
<file path=[Content_Types].xml><?xml version="1.0" encoding="utf-8"?>
<Types xmlns="http://schemas.openxmlformats.org/package/2006/content-types">
  <Override PartName="/xl/ctrlProps/ctrlProp527.xml" ContentType="application/vnd.ms-excel.controlproperties+xml"/>
  <Override PartName="/xl/ctrlProps/ctrlProp713.xml" ContentType="application/vnd.ms-excel.controlproperties+xml"/>
  <Override PartName="/xl/worksheets/sheet13.xml" ContentType="application/vnd.openxmlformats-officedocument.spreadsheetml.worksheet+xml"/>
  <Override PartName="/xl/styles.xml" ContentType="application/vnd.openxmlformats-officedocument.spreadsheetml.styles+xml"/>
  <Override PartName="/xl/tables/table61.xml" ContentType="application/vnd.openxmlformats-officedocument.spreadsheetml.table+xml"/>
  <Override PartName="/xl/ctrlProps/ctrlProp552.xml" ContentType="application/vnd.ms-excel.controlproperties+xml"/>
  <Override PartName="/xl/ctrlProps/ctrlProp697.xml" ContentType="application/vnd.ms-excel.controlproperties+xml"/>
  <Override PartName="/xl/ctrlProps/ctrlProp221.xml" ContentType="application/vnd.ms-excel.controlproperties+xml"/>
  <Override PartName="/xl/ctrlProps/ctrlProp366.xml" ContentType="application/vnd.ms-excel.controlproperties+xml"/>
  <Override PartName="/xl/ctrlProps/ctrlProp391.xml" ContentType="application/vnd.ms-excel.controlproperties+xml"/>
  <Override PartName="/xl/ctrlProps/ctrlProp628.xml" ContentType="application/vnd.ms-excel.controlproperties+xml"/>
  <Override PartName="/xl/ctrlProps/ctrlProp45.xml" ContentType="application/vnd.ms-excel.controlproperties+xml"/>
  <Default Extension="xml" ContentType="application/xml"/>
  <Override PartName="/xl/ctrlProps/ctrlProp467.xml" ContentType="application/vnd.ms-excel.controlproperties+xml"/>
  <Override PartName="/xl/ctrlProps/ctrlProp136.xml" ContentType="application/vnd.ms-excel.controlproperties+xml"/>
  <Override PartName="/xl/ctrlProps/ctrlProp653.xml" ContentType="application/vnd.ms-excel.controlproperties+xml"/>
  <Override PartName="/xl/ctrlProps/ctrlProp70.xml" ContentType="application/vnd.ms-excel.controlproperties+xml"/>
  <Override PartName="/xl/ctrlProps/ctrlProp322.xml" ContentType="application/vnd.ms-excel.controlproperties+xml"/>
  <Override PartName="/xl/ctrlProps/ctrlProp492.xml" ContentType="application/vnd.ms-excel.controlproperties+xml"/>
  <Override PartName="/xl/ctrlProps/ctrlProp729.xml" ContentType="application/vnd.ms-excel.controlproperties+xml"/>
  <Override PartName="/xl/ctrlProps/ctrlProp161.xml" ContentType="application/vnd.ms-excel.controlproperties+xml"/>
  <Override PartName="/xl/worksheets/sheet29.xml" ContentType="application/vnd.openxmlformats-officedocument.spreadsheetml.worksheet+xml"/>
  <Override PartName="/xl/tables/table77.xml" ContentType="application/vnd.openxmlformats-officedocument.spreadsheetml.table+xml"/>
  <Override PartName="/xl/ctrlProps/ctrlProp423.xml" ContentType="application/vnd.ms-excel.controlproperties+xml"/>
  <Override PartName="/xl/ctrlProps/ctrlProp568.xml" ContentType="application/vnd.ms-excel.controlproperties+xml"/>
  <Override PartName="/xl/ctrlProps/ctrlProp237.xml" ContentType="application/vnd.ms-excel.controlproperties+xml"/>
  <Override PartName="/xl/worksheets/sheet54.xml" ContentType="application/vnd.openxmlformats-officedocument.spreadsheetml.worksheet+xml"/>
  <Override PartName="/xl/tables/table5.xml" ContentType="application/vnd.openxmlformats-officedocument.spreadsheetml.table+xml"/>
  <Override PartName="/xl/ctrlProps/ctrlProp754.xml" ContentType="application/vnd.ms-excel.controlproperties+xml"/>
  <Override PartName="/xl/ctrlProps/ctrlProp262.xml" ContentType="application/vnd.ms-excel.controlproperties+xml"/>
  <Override PartName="/xl/tables/table120.xml" ContentType="application/vnd.openxmlformats-officedocument.spreadsheetml.table+xml"/>
  <Override PartName="/xl/ctrlProps/ctrlProp593.xml" ContentType="application/vnd.ms-excel.controlproperties+xml"/>
  <Override PartName="/xl/tables/table33.xml" ContentType="application/vnd.openxmlformats-officedocument.spreadsheetml.table+xml"/>
  <Override PartName="/xl/drawings/drawing7.xml" ContentType="application/vnd.openxmlformats-officedocument.drawing+xml"/>
  <Override PartName="/xl/ctrlProps/ctrlProp524.xml" ContentType="application/vnd.ms-excel.controlproperties+xml"/>
  <Override PartName="/xl/ctrlProps/ctrlProp669.xml" ContentType="application/vnd.ms-excel.controlproperties+xml"/>
  <Override PartName="/xl/ctrlProps/ctrlProp86.xml" ContentType="application/vnd.ms-excel.controlproperties+xml"/>
  <Override PartName="/xl/ctrlProps/ctrlProp177.xml" ContentType="application/vnd.ms-excel.controlproperties+xml"/>
  <Override PartName="/xl/ctrlProps/ctrlProp338.xml" ContentType="application/vnd.ms-excel.controlproperties+xml"/>
  <Override PartName="/xl/ctrlProps/ctrlProp694.xml" ContentType="application/vnd.ms-excel.controlproperties+xml"/>
  <Override PartName="/xl/ctrlProps/ctrlProp710.xml" ContentType="application/vnd.ms-excel.controlproperties+xml"/>
  <Override PartName="/xl/ctrlProps/ctrlProp17.xml" ContentType="application/vnd.ms-excel.controlproperties+xml"/>
  <Override PartName="/xl/ctrlProps/ctrlProp363.xml" ContentType="application/vnd.ms-excel.controlproperties+xml"/>
  <Override PartName="/xl/worksheets/sheet10.xml" ContentType="application/vnd.openxmlformats-officedocument.spreadsheetml.worksheet+xml"/>
  <Override PartName="/xl/ctrlProps/ctrlProp439.xml" ContentType="application/vnd.ms-excel.controlproperties+xml"/>
  <Override PartName="/xl/ctrlProps/ctrlProp108.xml" ContentType="application/vnd.ms-excel.controlproperties+xml"/>
  <Override PartName="/xl/ctrlProps/ctrlProp625.xml" ContentType="application/vnd.ms-excel.controlproperties+xml"/>
  <Override PartName="/xl/ctrlProps/ctrlProp42.xml" ContentType="application/vnd.ms-excel.controlproperties+xml"/>
  <Override PartName="/xl/ctrlProps/ctrlProp278.xml" ContentType="application/vnd.ms-excel.controlproperties+xml"/>
  <Override PartName="/xl/tables/table49.xml" ContentType="application/vnd.openxmlformats-officedocument.spreadsheetml.table+xml"/>
  <Override PartName="/xl/ctrlProps/ctrlProp464.xml" ContentType="application/vnd.ms-excel.controlproperties+xml"/>
  <Override PartName="/xl/ctrlProps/ctrlProp650.xml" ContentType="application/vnd.ms-excel.controlproperties+xml"/>
  <Override PartName="/xl/ctrlProps/ctrlProp133.xml" ContentType="application/vnd.ms-excel.controlproperties+xml"/>
  <Override PartName="/xl/ctrlProps/ctrlProp726.xml" ContentType="application/vnd.ms-excel.controlproperties+xml"/>
  <Override PartName="/xl/ctrlProps/ctrlProp209.xml" ContentType="application/vnd.ms-excel.controlproperties+xml"/>
  <Override PartName="/xl/worksheets/sheet26.xml" ContentType="application/vnd.openxmlformats-officedocument.spreadsheetml.worksheet+xml"/>
  <Override PartName="/xl/tables/table74.xml" ContentType="application/vnd.openxmlformats-officedocument.spreadsheetml.table+xml"/>
  <Override PartName="/xl/ctrlProps/ctrlProp565.xml" ContentType="application/vnd.ms-excel.controlproperties+xml"/>
  <Override PartName="/xl/ctrlProps/ctrlProp234.xml" ContentType="application/vnd.ms-excel.controlproperties+xml"/>
  <Override PartName="/xl/ctrlProps/ctrlProp379.xml" ContentType="application/vnd.ms-excel.controlproperties+xml"/>
  <Override PartName="/xl/ctrlProps/ctrlProp420.xml" ContentType="application/vnd.ms-excel.controlproperties+xml"/>
  <Override PartName="/xl/ctrlProps/ctrlProp751.xml" ContentType="application/vnd.ms-excel.controlproperties+xml"/>
  <Override PartName="/xl/worksheets/sheet51.xml" ContentType="application/vnd.openxmlformats-officedocument.spreadsheetml.worksheet+xml"/>
  <Override PartName="/xl/tables/table2.xml" ContentType="application/vnd.openxmlformats-officedocument.spreadsheetml.table+xml"/>
  <Override PartName="/xl/ctrlProps/ctrlProp590.xml" ContentType="application/vnd.ms-excel.controlproperties+xml"/>
  <Override PartName="/xl/ctrlProps/ctrlProp58.xml" ContentType="application/vnd.ms-excel.controlproperties+xml"/>
  <Override PartName="/xl/ctrlProps/ctrlProp149.xml" ContentType="application/vnd.ms-excel.controlproperties+xml"/>
  <Override PartName="/xl/tables/table30.xml" ContentType="application/vnd.openxmlformats-officedocument.spreadsheetml.table+xml"/>
  <Override PartName="/xl/drawings/drawing4.xml" ContentType="application/vnd.openxmlformats-officedocument.drawing+xml"/>
  <Override PartName="/xl/ctrlProps/ctrlProp521.xml" ContentType="application/vnd.ms-excel.controlproperties+xml"/>
  <Override PartName="/xl/ctrlProps/ctrlProp666.xml" ContentType="application/vnd.ms-excel.controlproperties+xml"/>
  <Override PartName="/xl/ctrlProps/ctrlProp83.xml" ContentType="application/vnd.ms-excel.controlproperties+xml"/>
  <Override PartName="/xl/ctrlProps/ctrlProp335.xml" ContentType="application/vnd.ms-excel.controlproperties+xml"/>
  <Override PartName="/xl/ctrlProps/ctrlProp174.xml" ContentType="application/vnd.ms-excel.controlproperties+xml"/>
  <Override PartName="/xl/ctrlProps/ctrlProp360.xml" ContentType="application/vnd.ms-excel.controlproperties+xml"/>
  <Override PartName="/xl/ctrlProps/ctrlProp691.xml" ContentType="application/vnd.ms-excel.controlproperties+xml"/>
  <Override PartName="/xl/ctrlProps/ctrlProp14.xml" ContentType="application/vnd.ms-excel.controlproperties+xml"/>
  <Override PartName="/xl/ctrlProps/ctrlProp105.xml" ContentType="application/vnd.ms-excel.controlproperties+xml"/>
  <Override PartName="/xl/tables/table108.xml" ContentType="application/vnd.openxmlformats-officedocument.spreadsheetml.table+xml"/>
  <Override PartName="/xl/ctrlProps/ctrlProp436.xml" ContentType="application/vnd.ms-excel.controlproperties+xml"/>
  <Override PartName="/xl/ctrlProps/ctrlProp622.xml" ContentType="application/vnd.ms-excel.controlproperties+xml"/>
  <Override PartName="/xl/ctrlProps/ctrlProp461.xml" ContentType="application/vnd.ms-excel.controlproperties+xml"/>
  <Override PartName="/xl/ctrlProps/ctrlProp130.xml" ContentType="application/vnd.ms-excel.controlproperties+xml"/>
  <Override PartName="/xl/ctrlProps/ctrlProp275.xml" ContentType="application/vnd.ms-excel.controlproperties+xml"/>
  <Override PartName="/xl/tables/table46.xml" ContentType="application/vnd.openxmlformats-officedocument.spreadsheetml.table+xml"/>
  <Override PartName="/xl/ctrlProps/ctrlProp537.xml" ContentType="application/vnd.ms-excel.controlproperties+xml"/>
  <Override PartName="/xl/ctrlProps/ctrlProp99.xml" ContentType="application/vnd.ms-excel.controlproperties+xml"/>
  <Override PartName="/xl/ctrlProps/ctrlProp206.xml" ContentType="application/vnd.ms-excel.controlproperties+xml"/>
  <Override PartName="/xl/tables/table71.xml" ContentType="application/vnd.openxmlformats-officedocument.spreadsheetml.table+xml"/>
  <Override PartName="/xl/ctrlProps/ctrlProp723.xml" ContentType="application/vnd.ms-excel.controlproperties+xml"/>
  <Override PartName="/xl/ctrlProps/ctrlProp376.xml" ContentType="application/vnd.ms-excel.controlproperties+xml"/>
  <Override PartName="/xl/worksheets/sheet23.xml" ContentType="application/vnd.openxmlformats-officedocument.spreadsheetml.worksheet+xml"/>
  <Override PartName="/xl/ctrlProps/ctrlProp562.xml" ContentType="application/vnd.ms-excel.controlproperties+xml"/>
  <Override PartName="/xl/ctrlProps/ctrlProp231.xml" ContentType="application/vnd.ms-excel.controlproperties+xml"/>
  <Override PartName="/xl/ctrlProps/ctrlProp638.xml" ContentType="application/vnd.ms-excel.controlproperties+xml"/>
  <Override PartName="/xl/ctrlProps/ctrlProp55.xml" ContentType="application/vnd.ms-excel.controlproperties+xml"/>
  <Override PartName="/xl/ctrlProps/ctrlProp307.xml" ContentType="application/vnd.ms-excel.controlproperties+xml"/>
  <Override PartName="/xl/ctrlProps/ctrlProp477.xml" ContentType="application/vnd.ms-excel.controlproperties+xml"/>
  <Override PartName="/xl/ctrlProps/ctrlProp9.xml" ContentType="application/vnd.ms-excel.controlproperties+xml"/>
  <Override PartName="/xl/ctrlProps/ctrlProp146.xml" ContentType="application/vnd.ms-excel.controlproperties+xml"/>
  <Override PartName="/xl/ctrlProps/ctrlProp332.xml" ContentType="application/vnd.ms-excel.controlproperties+xml"/>
  <Override PartName="/xl/drawings/drawing1.xml" ContentType="application/vnd.openxmlformats-officedocument.drawing+xml"/>
  <Override PartName="/xl/comments17.xml" ContentType="application/vnd.openxmlformats-officedocument.spreadsheetml.comments+xml"/>
  <Override PartName="/xl/ctrlProps/ctrlProp663.xml" ContentType="application/vnd.ms-excel.controlproperties+xml"/>
  <Override PartName="/xl/ctrlProps/ctrlProp80.xml" ContentType="application/vnd.ms-excel.controlproperties+xml"/>
  <Override PartName="/xl/ctrlProps/ctrlProp171.xml" ContentType="application/vnd.ms-excel.controlproperties+xml"/>
  <Override PartName="/xl/tables/table87.xml" ContentType="application/vnd.openxmlformats-officedocument.spreadsheetml.table+xml"/>
  <Override PartName="/xl/ctrlProps/ctrlProp408.xml" ContentType="application/vnd.ms-excel.controlproperties+xml"/>
  <Override PartName="/xl/ctrlProps/ctrlProp739.xml" ContentType="application/vnd.ms-excel.controlproperties+xml"/>
  <Override PartName="/xl/ctrlProps/ctrlProp11.xml" ContentType="application/vnd.ms-excel.controlproperties+xml"/>
  <Override PartName="/xl/worksheets/sheet39.xml" ContentType="application/vnd.openxmlformats-officedocument.spreadsheetml.worksheet+xml"/>
  <Override PartName="/xl/tables/table105.xml" ContentType="application/vnd.openxmlformats-officedocument.spreadsheetml.table+xml"/>
  <Override PartName="/xl/ctrlProps/ctrlProp433.xml" ContentType="application/vnd.ms-excel.controlproperties+xml"/>
  <Override PartName="/xl/ctrlProps/ctrlProp578.xml" ContentType="application/vnd.ms-excel.controlproperties+xml"/>
  <Override PartName="/xl/ctrlProps/ctrlProp764.xml" ContentType="application/vnd.ms-excel.controlproperties+xml"/>
  <Override PartName="/xl/ctrlProps/ctrlProp102.xml" ContentType="application/vnd.ms-excel.controlproperties+xml"/>
  <Override PartName="/xl/ctrlProps/ctrlProp247.xml" ContentType="application/vnd.ms-excel.controlproperties+xml"/>
  <Override PartName="/xl/tables/table18.xml" ContentType="application/vnd.openxmlformats-officedocument.spreadsheetml.table+xml"/>
  <Override PartName="/xl/charts/chart8.xml" ContentType="application/vnd.openxmlformats-officedocument.drawingml.chart+xml"/>
  <Override PartName="/xl/ctrlProps/ctrlProp509.xml" ContentType="application/vnd.ms-excel.controlproperties+xml"/>
  <Override PartName="/xl/ctrlProps/ctrlProp272.xml" ContentType="application/vnd.ms-excel.controlproperties+xml"/>
  <Override PartName="/xl/tables/table43.xml" ContentType="application/vnd.openxmlformats-officedocument.spreadsheetml.table+xml"/>
  <Override PartName="/xl/ctrlProps/ctrlProp679.xml" ContentType="application/vnd.ms-excel.controlproperties+xml"/>
  <Override PartName="/xl/ctrlProps/ctrlProp96.xml" ContentType="application/vnd.ms-excel.controlproperties+xml"/>
  <Override PartName="/xl/ctrlProps/ctrlProp348.xml" ContentType="application/vnd.ms-excel.controlproperties+xml"/>
  <Override PartName="/xl/ctrlProps/ctrlProp534.xml" ContentType="application/vnd.ms-excel.controlproperties+xml"/>
  <Override PartName="/xl/ctrlProps/ctrlProp720.xml" ContentType="application/vnd.ms-excel.controlproperties+xml"/>
  <Override PartName="/xl/ctrlProps/ctrlProp187.xml" ContentType="application/vnd.ms-excel.controlproperties+xml"/>
  <Override PartName="/xl/ctrlProps/ctrlProp203.xml" ContentType="application/vnd.ms-excel.controlproperties+xml"/>
  <Override PartName="/xl/worksheets/sheet20.xml" ContentType="application/vnd.openxmlformats-officedocument.spreadsheetml.worksheet+xml"/>
  <Override PartName="/xl/ctrlProps/ctrlProp27.xml" ContentType="application/vnd.ms-excel.controlproperties+xml"/>
  <Override PartName="/xl/ctrlProps/ctrlProp373.xml" ContentType="application/vnd.ms-excel.controlproperties+xml"/>
  <Override PartName="/xl/ctrlProps/ctrlProp449.xml" ContentType="application/vnd.ms-excel.controlproperties+xml"/>
  <Override PartName="/xl/ctrlProps/ctrlProp635.xml" ContentType="application/vnd.ms-excel.controlproperties+xml"/>
  <Override PartName="/xl/ctrlProps/ctrlProp52.xml" ContentType="application/vnd.ms-excel.controlproperties+xml"/>
  <Override PartName="/xl/ctrlProps/ctrlProp118.xml" ContentType="application/vnd.ms-excel.controlproperties+xml"/>
  <Override PartName="/xl/ctrlProps/ctrlProp304.xml" ContentType="application/vnd.ms-excel.controlproperties+xml"/>
  <Override PartName="/xl/ctrlProps/ctrlProp474.xml" ContentType="application/vnd.ms-excel.controlproperties+xml"/>
  <Override PartName="/xl/ctrlProps/ctrlProp143.xml" ContentType="application/vnd.ms-excel.controlproperties+xml"/>
  <Override PartName="/xl/ctrlProps/ctrlProp288.xml" ContentType="application/vnd.ms-excel.controlproperties+xml"/>
  <Override PartName="/xl/tables/table59.xml" ContentType="application/vnd.openxmlformats-officedocument.spreadsheetml.table+xml"/>
  <Override PartName="/xl/comments14.xml" ContentType="application/vnd.openxmlformats-officedocument.spreadsheetml.comments+xml"/>
  <Override PartName="/xl/ctrlProps/ctrlProp660.xml" ContentType="application/vnd.ms-excel.controlproperties+xml"/>
  <Override PartName="/xl/ctrlProps/ctrlProp6.xml" ContentType="application/vnd.ms-excel.controlproperties+xml"/>
  <Override PartName="/xl/ctrlProps/ctrlProp219.xml" ContentType="application/vnd.ms-excel.controlproperties+xml"/>
  <Override PartName="/xl/ctrlProps/ctrlProp405.xml" ContentType="application/vnd.ms-excel.controlproperties+xml"/>
  <Override PartName="/xl/ctrlProps/ctrlProp736.xml" ContentType="application/vnd.ms-excel.controlproperties+xml"/>
  <Override PartName="/xl/worksheets/sheet36.xml" ContentType="application/vnd.openxmlformats-officedocument.spreadsheetml.worksheet+xml"/>
  <Override PartName="/xl/tables/table84.xml" ContentType="application/vnd.openxmlformats-officedocument.spreadsheetml.table+xml"/>
  <Override PartName="/xl/ctrlProps/ctrlProp389.xml" ContentType="application/vnd.ms-excel.controlproperties+xml"/>
  <Override PartName="/xl/ctrlProps/ctrlProp575.xml" ContentType="application/vnd.ms-excel.controlproperties+xml"/>
  <Override PartName="/xl/ctrlProps/ctrlProp244.xml" ContentType="application/vnd.ms-excel.controlproperties+xml"/>
  <Override PartName="/xl/tables/table15.xml" ContentType="application/vnd.openxmlformats-officedocument.spreadsheetml.table+xml"/>
  <Override PartName="/xl/tables/table102.xml" ContentType="application/vnd.openxmlformats-officedocument.spreadsheetml.table+xml"/>
  <Override PartName="/xl/ctrlProps/ctrlProp430.xml" ContentType="application/vnd.ms-excel.controlproperties+xml"/>
  <Override PartName="/xl/ctrlProps/ctrlProp761.xml" ContentType="application/vnd.ms-excel.controlproperties+xml"/>
  <Override PartName="/xl/ctrlProps/ctrlProp68.xml" ContentType="application/vnd.ms-excel.controlproperties+xml"/>
  <Override PartName="/xl/worksheets/sheet61.xml" ContentType="application/vnd.openxmlformats-officedocument.spreadsheetml.worksheet+xml"/>
  <Override PartName="/xl/charts/chart5.xml" ContentType="application/vnd.openxmlformats-officedocument.drawingml.chart+xml"/>
  <Override PartName="/xl/ctrlProps/ctrlProp506.xml" ContentType="application/vnd.ms-excel.controlproperties+xml"/>
  <Override PartName="/xl/ctrlProps/ctrlProp159.xml" ContentType="application/vnd.ms-excel.controlproperties+xml"/>
  <Override PartName="/xl/tables/table40.xml" ContentType="application/vnd.openxmlformats-officedocument.spreadsheetml.table+xml"/>
  <Override PartName="/xl/ctrlProps/ctrlProp392.xml" ContentType="application/vnd.ms-excel.controlproperties+xml"/>
  <Override PartName="/xl/ctrlProps/ctrlProp531.xml" ContentType="application/vnd.ms-excel.controlproperties+xml"/>
  <Override PartName="/xl/ctrlProps/ctrlProp629.xml" ContentType="application/vnd.ms-excel.controlproperties+xml"/>
  <Override PartName="/xl/ctrlProps/ctrlProp676.xml" ContentType="application/vnd.ms-excel.controlproperties+xml"/>
  <Override PartName="/xl/ctrlProps/ctrlProp46.xml" ContentType="application/vnd.ms-excel.controlproperties+xml"/>
  <Override PartName="/xl/ctrlProps/ctrlProp93.xml" ContentType="application/vnd.ms-excel.controlproperties+xml"/>
  <Override PartName="/xl/ctrlProps/ctrlProp200.xml" ContentType="application/vnd.ms-excel.controlproperties+xml"/>
  <Override PartName="/xl/ctrlProps/ctrlProp345.xml" ContentType="application/vnd.ms-excel.controlproperties+xml"/>
  <Override PartName="/xl/ctrlProps/ctrlProp468.xml" ContentType="application/vnd.ms-excel.controlproperties+xml"/>
  <Override PartName="/xl/ctrlProps/ctrlProp607.xml" ContentType="application/vnd.ms-excel.controlproperties+xml"/>
  <Override PartName="/xl/ctrlProps/ctrlProp654.xml" ContentType="application/vnd.ms-excel.controlproperties+xml"/>
  <Override PartName="/xl/ctrlProps/ctrlProp24.xml" ContentType="application/vnd.ms-excel.controlproperties+xml"/>
  <Override PartName="/xl/ctrlProps/ctrlProp71.xml" ContentType="application/vnd.ms-excel.controlproperties+xml"/>
  <Override PartName="/xl/ctrlProps/ctrlProp184.xml" ContentType="application/vnd.ms-excel.controlproperties+xml"/>
  <Override PartName="/xl/ctrlProps/ctrlProp137.xml" ContentType="application/vnd.ms-excel.controlproperties+xml"/>
  <Override PartName="/xl/ctrlProps/ctrlProp370.xml" ContentType="application/vnd.ms-excel.controlproperties+xml"/>
  <Override PartName="/xl/ctrlProps/ctrlProp323.xml" ContentType="application/vnd.ms-excel.controlproperties+xml"/>
  <Override PartName="/xl/ctrlProps/ctrlProp493.xml" ContentType="application/vnd.ms-excel.controlproperties+xml"/>
  <Override PartName="/xl/ctrlProps/ctrlProp446.xml" ContentType="application/vnd.ms-excel.controlproperties+xml"/>
  <Override PartName="/xl/ctrlProps/ctrlProp162.xml" ContentType="application/vnd.ms-excel.controlproperties+xml"/>
  <Override PartName="/xl/ctrlProps/ctrlProp115.xml" ContentType="application/vnd.ms-excel.controlproperties+xml"/>
  <Override PartName="/xl/comments1.xml" ContentType="application/vnd.openxmlformats-officedocument.spreadsheetml.comments+xml"/>
  <Override PartName="/xl/tables/table78.xml" ContentType="application/vnd.openxmlformats-officedocument.spreadsheetml.table+xml"/>
  <Override PartName="/xl/tables/table118.xml" ContentType="application/vnd.openxmlformats-officedocument.spreadsheetml.table+xml"/>
  <Override PartName="/xl/ctrlProps/ctrlProp632.xml" ContentType="application/vnd.ms-excel.controlproperties+xml"/>
  <Override PartName="/xl/ctrlProps/ctrlProp301.xml" ContentType="application/vnd.ms-excel.controlproperties+xml"/>
  <Override PartName="/xl/ctrlProps/ctrlProp238.xml" ContentType="application/vnd.ms-excel.controlproperties+xml"/>
  <Override PartName="/xl/ctrlProps/ctrlProp285.xml" ContentType="application/vnd.ms-excel.controlproperties+xml"/>
  <Override PartName="/xl/ctrlProps/ctrlProp471.xml" ContentType="application/vnd.ms-excel.controlproperties+xml"/>
  <Override PartName="/xl/ctrlProps/ctrlProp424.xml" ContentType="application/vnd.ms-excel.controlproperties+xml"/>
  <Override PartName="/xl/ctrlProps/ctrlProp569.xml" ContentType="application/vnd.ms-excel.controlproperties+xml"/>
  <Override PartName="/xl/ctrlProps/ctrlProp610.xml" ContentType="application/vnd.ms-excel.controlproperties+xml"/>
  <Override PartName="/xl/ctrlProps/ctrlProp755.xml" ContentType="application/vnd.ms-excel.controlproperties+xml"/>
  <Override PartName="/xl/ctrlProps/ctrlProp708.xml" ContentType="application/vnd.ms-excel.controlproperties+xml"/>
  <Override PartName="/xl/ctrlProps/ctrlProp3.xml" ContentType="application/vnd.ms-excel.controlproperties+xml"/>
  <Override PartName="/xl/ctrlProps/ctrlProp140.xml" ContentType="application/vnd.ms-excel.controlproperties+xml"/>
  <Override PartName="/xl/worksheets/sheet55.xml" ContentType="application/vnd.openxmlformats-officedocument.spreadsheetml.worksheet+xml"/>
  <Override PartName="/xl/tables/table6.xml" ContentType="application/vnd.openxmlformats-officedocument.spreadsheetml.table+xml"/>
  <Override PartName="/xl/tables/table56.xml" ContentType="application/vnd.openxmlformats-officedocument.spreadsheetml.table+xml"/>
  <Override PartName="/xl/comments11.xml" ContentType="application/vnd.openxmlformats-officedocument.spreadsheetml.comments+xml"/>
  <Override PartName="/xl/ctrlProps/ctrlProp402.xml" ContentType="application/vnd.ms-excel.controlproperties+xml"/>
  <Override PartName="/xl/ctrlProps/ctrlProp547.xml" ContentType="application/vnd.ms-excel.controlproperties+xml"/>
  <Override PartName="/xl/ctrlProps/ctrlProp594.xml" ContentType="application/vnd.ms-excel.controlproperties+xml"/>
  <Override PartName="/xl/ctrlProps/ctrlProp216.xml" ContentType="application/vnd.ms-excel.controlproperties+xml"/>
  <Override PartName="/xl/ctrlProps/ctrlProp263.xml" ContentType="application/vnd.ms-excel.controlproperties+xml"/>
  <Override PartName="/xl/tables/table34.xml" ContentType="application/vnd.openxmlformats-officedocument.spreadsheetml.table+xml"/>
  <Override PartName="/xl/tables/table81.xml" ContentType="application/vnd.openxmlformats-officedocument.spreadsheetml.table+xml"/>
  <Override PartName="/xl/tables/table121.xml" ContentType="application/vnd.openxmlformats-officedocument.spreadsheetml.table+xml"/>
  <Override PartName="/xl/ctrlProps/ctrlProp386.xml" ContentType="application/vnd.ms-excel.controlproperties+xml"/>
  <Override PartName="/xl/ctrlProps/ctrlProp733.xml" ContentType="application/vnd.ms-excel.controlproperties+xml"/>
  <Override PartName="/xl/ctrlProps/ctrlProp87.xml" ContentType="application/vnd.ms-excel.controlproperties+xml"/>
  <Override PartName="/xl/ctrlProps/ctrlProp339.xml" ContentType="application/vnd.ms-excel.controlproperties+xml"/>
  <Override PartName="/xl/ctrlProps/ctrlProp241.xml" ContentType="application/vnd.ms-excel.controlproperties+xml"/>
  <Override PartName="/xl/worksheets/sheet9.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ctrlProps/ctrlProp525.xml" ContentType="application/vnd.ms-excel.controlproperties+xml"/>
  <Override PartName="/xl/ctrlProps/ctrlProp572.xml" ContentType="application/vnd.ms-excel.controlproperties+xml"/>
  <Override PartName="/xl/ctrlProps/ctrlProp711.xml" ContentType="application/vnd.ms-excel.controlproperties+xml"/>
  <Override PartName="/xl/ctrlProps/ctrlProp178.xml" ContentType="application/vnd.ms-excel.controlproperties+xml"/>
  <Override PartName="/xl/worksheets/sheet11.xml" ContentType="application/vnd.openxmlformats-officedocument.spreadsheetml.worksheet+xml"/>
  <Override PartName="/xl/tables/table12.xml" ContentType="application/vnd.openxmlformats-officedocument.spreadsheetml.table+xml"/>
  <Override PartName="/xl/charts/chart2.xml" ContentType="application/vnd.openxmlformats-officedocument.drawingml.chart+xml"/>
  <Override PartName="/xl/ctrlProps/ctrlProp550.xml" ContentType="application/vnd.ms-excel.controlproperties+xml"/>
  <Override PartName="/xl/ctrlProps/ctrlProp503.xml" ContentType="application/vnd.ms-excel.controlproperties+xml"/>
  <Override PartName="/xl/ctrlProps/ctrlProp695.xml" ContentType="application/vnd.ms-excel.controlproperties+xml"/>
  <Override PartName="/xl/ctrlProps/ctrlProp648.xml" ContentType="application/vnd.ms-excel.controlproperties+xml"/>
  <Override PartName="/xl/ctrlProps/ctrlProp65.xml" ContentType="application/vnd.ms-excel.controlproperties+xml"/>
  <Override PartName="/xl/ctrlProps/ctrlProp18.xml" ContentType="application/vnd.ms-excel.controlproperties+xml"/>
  <Override PartName="/xl/ctrlProps/ctrlProp317.xml" ContentType="application/vnd.ms-excel.controlproperties+xml"/>
  <Override PartName="/xl/ctrlProps/ctrlProp364.xml" ContentType="application/vnd.ms-excel.controlproperties+xml"/>
  <Override PartName="/xl/ctrlProps/ctrlProp487.xml" ContentType="application/vnd.ms-excel.controlproperties+xml"/>
  <Override PartName="/xl/ctrlProps/ctrlProp673.xml" ContentType="application/vnd.ms-excel.controlproperties+xml"/>
  <Override PartName="/xl/ctrlProps/ctrlProp626.xml" ContentType="application/vnd.ms-excel.controlproperties+xml"/>
  <Override PartName="/xl/ctrlProps/ctrlProp109.xml" ContentType="application/vnd.ms-excel.controlproperties+xml"/>
  <Override PartName="/xl/ctrlProps/ctrlProp43.xml" ContentType="application/vnd.ms-excel.controlproperties+xml"/>
  <Override PartName="/xl/ctrlProps/ctrlProp90.xml" ContentType="application/vnd.ms-excel.controlproperties+xml"/>
  <Override PartName="/xl/ctrlProps/ctrlProp156.xml" ContentType="application/vnd.ms-excel.controlproperties+xml"/>
  <Override PartName="/xl/ctrlProps/ctrlProp342.xml" ContentType="application/vnd.ms-excel.controlproperties+xml"/>
  <Override PartName="/xl/ctrlProps/ctrlProp465.xml" ContentType="application/vnd.ms-excel.controlproperties+xml"/>
  <Override PartName="/xl/ctrlProps/ctrlProp418.xml" ContentType="application/vnd.ms-excel.controlproperties+xml"/>
  <Override PartName="/xl/ctrlProps/ctrlProp749.xml" ContentType="application/vnd.ms-excel.controlproperties+xml"/>
  <Override PartName="/xl/ctrlProps/ctrlProp134.xml" ContentType="application/vnd.ms-excel.controlproperties+xml"/>
  <Override PartName="/xl/ctrlProps/ctrlProp181.xml" ContentType="application/vnd.ms-excel.controlproperties+xml"/>
  <Override PartName="/xl/ctrlProps/ctrlProp279.xml" ContentType="application/vnd.ms-excel.controlproperties+xml"/>
  <Override PartName="/xl/worksheets/sheet49.xml" ContentType="application/vnd.openxmlformats-officedocument.spreadsheetml.worksheet+xml"/>
  <Override PartName="/xl/tables/table97.xml" ContentType="application/vnd.openxmlformats-officedocument.spreadsheetml.table+xml"/>
  <Override PartName="/xl/ctrlProps/ctrlProp588.xml" ContentType="application/vnd.ms-excel.controlproperties+xml"/>
  <Override PartName="/xl/ctrlProps/ctrlProp651.xml" ContentType="application/vnd.ms-excel.controlproperties+xml"/>
  <Override PartName="/xl/ctrlProps/ctrlProp604.xml" ContentType="application/vnd.ms-excel.controlproperties+xml"/>
  <Override PartName="/xl/ctrlProps/ctrlProp21.xml" ContentType="application/vnd.ms-excel.controlproperties+xml"/>
  <Override PartName="/xl/ctrlProps/ctrlProp320.xml" ContentType="application/vnd.ms-excel.controlproperties+xml"/>
  <Override PartName="/xl/ctrlProps/ctrlProp257.xml" ContentType="application/vnd.ms-excel.controlproperties+xml"/>
  <Override PartName="/xl/tables/table115.xml" ContentType="application/vnd.openxmlformats-officedocument.spreadsheetml.table+xml"/>
  <Override PartName="/xl/ctrlProps/ctrlProp443.xml" ContentType="application/vnd.ms-excel.controlproperties+xml"/>
  <Override PartName="/xl/ctrlProps/ctrlProp490.xml" ContentType="application/vnd.ms-excel.controlproperties+xml"/>
  <Override PartName="/xl/ctrlProps/ctrlProp727.xml" ContentType="application/vnd.ms-excel.controlproperties+xml"/>
  <Override PartName="/xl/ctrlProps/ctrlProp112.xml" ContentType="application/vnd.ms-excel.controlproperties+xml"/>
  <Override PartName="/xl/worksheets/sheet27.xml" ContentType="application/vnd.openxmlformats-officedocument.spreadsheetml.worksheet+xml"/>
  <Override PartName="/xl/tables/table28.xml" ContentType="application/vnd.openxmlformats-officedocument.spreadsheetml.table+xml"/>
  <Override PartName="/xl/tables/table75.xml" ContentType="application/vnd.openxmlformats-officedocument.spreadsheetml.table+xml"/>
  <Override PartName="/xl/ctrlProps/ctrlProp566.xml" ContentType="application/vnd.ms-excel.controlproperties+xml"/>
  <Override PartName="/xl/ctrlProps/ctrlProp519.xml" ContentType="application/vnd.ms-excel.controlproperties+xml"/>
  <Override PartName="/xl/ctrlProps/ctrlProp421.xml" ContentType="application/vnd.ms-excel.controlproperties+xml"/>
  <Override PartName="/xl/ctrlProps/ctrlProp235.xml" ContentType="application/vnd.ms-excel.controlproperties+xml"/>
  <Override PartName="/xl/ctrlProps/ctrlProp282.xml" ContentType="application/vnd.ms-excel.controlproperties+xml"/>
  <Override PartName="/xl/worksheets/sheet52.xml" ContentType="application/vnd.openxmlformats-officedocument.spreadsheetml.worksheet+xml"/>
  <Override PartName="/xl/tables/table3.xml" ContentType="application/vnd.openxmlformats-officedocument.spreadsheetml.table+xml"/>
  <Override PartName="/xl/tables/table53.xml" ContentType="application/vnd.openxmlformats-officedocument.spreadsheetml.table+xml"/>
  <Override PartName="/xl/ctrlProps/ctrlProp544.xml" ContentType="application/vnd.ms-excel.controlproperties+xml"/>
  <Override PartName="/xl/ctrlProps/ctrlProp689.xml" ContentType="application/vnd.ms-excel.controlproperties+xml"/>
  <Override PartName="/xl/ctrlProps/ctrlProp705.xml" ContentType="application/vnd.ms-excel.controlproperties+xml"/>
  <Override PartName="/xl/ctrlProps/ctrlProp752.xml" ContentType="application/vnd.ms-excel.controlproperties+xml"/>
  <Override PartName="/xl/ctrlProps/ctrlProp59.xml" ContentType="application/vnd.ms-excel.controlproperties+xml"/>
  <Override PartName="/xl/ctrlProps/ctrlProp260.xml" ContentType="application/vnd.ms-excel.controlproperties+xml"/>
  <Override PartName="/xl/ctrlProps/ctrlProp213.xml" ContentType="application/vnd.ms-excel.controlproperties+xml"/>
  <Override PartName="/xl/ctrlProps/ctrlProp358.xml" ContentType="application/vnd.ms-excel.controlproperties+xml"/>
  <Override PartName="/xl/externalLinks/externalLink8.xml" ContentType="application/vnd.openxmlformats-officedocument.spreadsheetml.externalLink+xml"/>
  <Override PartName="/xl/ctrlProps/ctrlProp383.xml" ContentType="application/vnd.ms-excel.controlproperties+xml"/>
  <Override PartName="/xl/ctrlProps/ctrlProp730.xml" ContentType="application/vnd.ms-excel.controlproperties+xml"/>
  <Override PartName="/xl/ctrlProps/ctrlProp591.xml" ContentType="application/vnd.ms-excel.controlproperties+xml"/>
  <Override PartName="/xl/ctrlProps/ctrlProp197.xml" ContentType="application/vnd.ms-excel.controlproperties+xml"/>
  <Override PartName="/xl/ctrlProps/ctrlProp336.xml" ContentType="application/vnd.ms-excel.controlproperties+xml"/>
  <Override PartName="/xl/worksheets/sheet6.xml" ContentType="application/vnd.openxmlformats-officedocument.spreadsheetml.worksheet+xml"/>
  <Override PartName="/xl/worksheets/sheet30.xml" ContentType="application/vnd.openxmlformats-officedocument.spreadsheetml.worksheet+xml"/>
  <Override PartName="/xl/tables/table31.xml" ContentType="application/vnd.openxmlformats-officedocument.spreadsheetml.table+xml"/>
  <Override PartName="/xl/drawings/drawing5.xml" ContentType="application/vnd.openxmlformats-officedocument.drawing+xml"/>
  <Override PartName="/xl/ctrlProps/ctrlProp522.xml" ContentType="application/vnd.ms-excel.controlproperties+xml"/>
  <Override PartName="/xl/ctrlProps/ctrlProp667.xml" ContentType="application/vnd.ms-excel.controlproperties+xml"/>
  <Override PartName="/xl/ctrlProps/ctrlProp84.xml" ContentType="application/vnd.ms-excel.controlproperties+xml"/>
  <Override PartName="/xl/ctrlProps/ctrlProp175.xml" ContentType="application/vnd.ms-excel.controlproperties+xml"/>
  <Override PartName="/xl/ctrlProps/ctrlProp37.xml" ContentType="application/vnd.ms-excel.controlproperties+xml"/>
  <Override PartName="/xl/ctrlProps/ctrlProp128.xml" ContentType="application/vnd.ms-excel.controlproperties+xml"/>
  <Override PartName="/xl/ctrlProps/ctrlProp459.xml" ContentType="application/vnd.ms-excel.controlproperties+xml"/>
  <Override PartName="/xl/ctrlProps/ctrlProp645.xml" ContentType="application/vnd.ms-excel.controlproperties+xml"/>
  <Override PartName="/xl/ctrlProps/ctrlProp692.xml" ContentType="application/vnd.ms-excel.controlproperties+xml"/>
  <Override PartName="/xl/ctrlProps/ctrlProp62.xml" ContentType="application/vnd.ms-excel.controlproperties+xml"/>
  <Override PartName="/xl/ctrlProps/ctrlProp15.xml" ContentType="application/vnd.ms-excel.controlproperties+xml"/>
  <Override PartName="/xl/ctrlProps/ctrlProp314.xml" ContentType="application/vnd.ms-excel.controlproperties+xml"/>
  <Override PartName="/xl/ctrlProps/ctrlProp361.xml" ContentType="application/vnd.ms-excel.controlproperties+xml"/>
  <Override PartName="/xl/tables/table109.xml" ContentType="application/vnd.openxmlformats-officedocument.spreadsheetml.table+xml"/>
  <Override PartName="/xl/ctrlProps/ctrlProp484.xml" ContentType="application/vnd.ms-excel.controlproperties+xml"/>
  <Override PartName="/xl/ctrlProps/ctrlProp500.xml" ContentType="application/vnd.ms-excel.controlproperties+xml"/>
  <Override PartName="/xl/ctrlProps/ctrlProp437.xml" ContentType="application/vnd.ms-excel.controlproperties+xml"/>
  <Override PartName="/xl/ctrlProps/ctrlProp153.xml" ContentType="application/vnd.ms-excel.controlproperties+xml"/>
  <Override PartName="/xl/ctrlProps/ctrlProp106.xml" ContentType="application/vnd.ms-excel.controlproperties+xml"/>
  <Override PartName="/xl/ctrlProps/ctrlProp298.xml" ContentType="application/vnd.ms-excel.controlproperties+xml"/>
  <Override PartName="/xl/tables/table69.xml" ContentType="application/vnd.openxmlformats-officedocument.spreadsheetml.table+xml"/>
  <Override PartName="/xl/ctrlProps/ctrlProp623.xml" ContentType="application/vnd.ms-excel.controlproperties+xml"/>
  <Override PartName="/xl/ctrlProps/ctrlProp670.xml" ContentType="application/vnd.ms-excel.controlproperties+xml"/>
  <Override PartName="/xl/ctrlProps/ctrlProp40.xml" ContentType="application/vnd.ms-excel.controlproperties+xml"/>
  <Override PartName="/xl/ctrlProps/ctrlProp276.xml" ContentType="application/vnd.ms-excel.controlproperties+xml"/>
  <Override PartName="/xl/ctrlProps/ctrlProp229.xml" ContentType="application/vnd.ms-excel.controlproperties+xml"/>
  <Override PartName="/xl/tables/table47.xml" ContentType="application/vnd.openxmlformats-officedocument.spreadsheetml.table+xml"/>
  <Override PartName="/xl/tables/table94.xml" ContentType="application/vnd.openxmlformats-officedocument.spreadsheetml.table+xml"/>
  <Override PartName="/xl/ctrlProps/ctrlProp399.xml" ContentType="application/vnd.ms-excel.controlproperties+xml"/>
  <Override PartName="/xl/ctrlProps/ctrlProp415.xml" ContentType="application/vnd.ms-excel.controlproperties+xml"/>
  <Override PartName="/xl/ctrlProps/ctrlProp462.xml" ContentType="application/vnd.ms-excel.controlproperties+xml"/>
  <Override PartName="/xl/ctrlProps/ctrlProp746.xml" ContentType="application/vnd.ms-excel.controlproperties+xml"/>
  <Override PartName="/xl/ctrlProps/ctrlProp601.xml" ContentType="application/vnd.ms-excel.controlproperties+xml"/>
  <Override PartName="/xl/ctrlProps/ctrlProp131.xml" ContentType="application/vnd.ms-excel.controlproperties+xml"/>
  <Override PartName="/xl/worksheets/sheet46.xml" ContentType="application/vnd.openxmlformats-officedocument.spreadsheetml.worksheet+xml"/>
  <Override PartName="/xl/tables/table112.xml" ContentType="application/vnd.openxmlformats-officedocument.spreadsheetml.table+xml"/>
  <Override PartName="/xl/ctrlProps/ctrlProp440.xml" ContentType="application/vnd.ms-excel.controlproperties+xml"/>
  <Override PartName="/xl/ctrlProps/ctrlProp538.xml" ContentType="application/vnd.ms-excel.controlproperties+xml"/>
  <Override PartName="/xl/ctrlProps/ctrlProp724.xml" ContentType="application/vnd.ms-excel.controlproperties+xml"/>
  <Override PartName="/xl/ctrlProps/ctrlProp585.xml" ContentType="application/vnd.ms-excel.controlproperties+xml"/>
  <Override PartName="/xl/ctrlProps/ctrlProp254.xml" ContentType="application/vnd.ms-excel.controlproperties+xml"/>
  <Override PartName="/xl/ctrlProps/ctrlProp207.xml" ContentType="application/vnd.ms-excel.controlproperties+xml"/>
  <Override PartName="/xl/worksheets/sheet24.xml" ContentType="application/vnd.openxmlformats-officedocument.spreadsheetml.worksheet+xml"/>
  <Override PartName="/xl/tables/table25.xml" ContentType="application/vnd.openxmlformats-officedocument.spreadsheetml.table+xml"/>
  <Override PartName="/xl/tables/table72.xml" ContentType="application/vnd.openxmlformats-officedocument.spreadsheetml.table+xml"/>
  <Override PartName="/xl/ctrlProps/ctrlProp516.xml" ContentType="application/vnd.ms-excel.controlproperties+xml"/>
  <Override PartName="/xl/ctrlProps/ctrlProp563.xml" ContentType="application/vnd.ms-excel.controlproperties+xml"/>
  <Override PartName="/xl/ctrlProps/ctrlProp78.xml" ContentType="application/vnd.ms-excel.controlproperties+xml"/>
  <Override PartName="/xl/ctrlProps/ctrlProp232.xml" ContentType="application/vnd.ms-excel.controlproperties+xml"/>
  <Override PartName="/xl/ctrlProps/ctrlProp377.xml" ContentType="application/vnd.ms-excel.controlproperties+xml"/>
  <Override PartName="/xl/comments8.xml" ContentType="application/vnd.openxmlformats-officedocument.spreadsheetml.comments+xml"/>
  <Override PartName="/xl/ctrlProps/ctrlProp702.xml" ContentType="application/vnd.ms-excel.controlproperties+xml"/>
  <Override PartName="/xl/ctrlProps/ctrlProp169.xml" ContentType="application/vnd.ms-excel.controlproperties+xml"/>
  <Override PartName="/xl/ctrlProps/ctrlProp355.xml" ContentType="application/vnd.ms-excel.controlproperties+xml"/>
  <Override PartName="/xl/ctrlProps/ctrlProp308.xml" ContentType="application/vnd.ms-excel.controlproperties+xml"/>
  <Override PartName="/xl/tables/table50.xml" ContentType="application/vnd.openxmlformats-officedocument.spreadsheetml.table+xml"/>
  <Override PartName="/xl/ctrlProps/ctrlProp541.xml" ContentType="application/vnd.ms-excel.controlproperties+xml"/>
  <Override PartName="/xl/ctrlProps/ctrlProp639.xml" ContentType="application/vnd.ms-excel.controlproperties+xml"/>
  <Override PartName="/xl/ctrlProps/ctrlProp686.xml" ContentType="application/vnd.ms-excel.controlproperties+xml"/>
  <Override PartName="/xl/ctrlProps/ctrlProp56.xml" ContentType="application/vnd.ms-excel.controlproperties+xml"/>
  <Override PartName="/xl/ctrlProps/ctrlProp147.xml" ContentType="application/vnd.ms-excel.controlproperties+xml"/>
  <Override PartName="/xl/ctrlProps/ctrlProp194.xml" ContentType="application/vnd.ms-excel.controlproperties+xml"/>
  <Override PartName="/xl/ctrlProps/ctrlProp210.xml" ContentType="application/vnd.ms-excel.controlproperties+xml"/>
  <Override PartName="/xl/externalLinks/externalLink5.xml" ContentType="application/vnd.openxmlformats-officedocument.spreadsheetml.externalLink+xml"/>
  <Override PartName="/xl/drawings/drawing2.xml" ContentType="application/vnd.openxmlformats-officedocument.drawing+xml"/>
  <Override PartName="/xl/ctrlProps/ctrlProp478.xml" ContentType="application/vnd.ms-excel.controlproperties+xml"/>
  <Override PartName="/xl/ctrlProps/ctrlProp617.xml" ContentType="application/vnd.ms-excel.controlproperties+xml"/>
  <Override PartName="/xl/ctrlProps/ctrlProp664.xml" ContentType="application/vnd.ms-excel.controlproperties+xml"/>
  <Override PartName="/xl/ctrlProps/ctrlProp34.xml" ContentType="application/vnd.ms-excel.controlproperties+xml"/>
  <Override PartName="/xl/ctrlProps/ctrlProp81.xml" ContentType="application/vnd.ms-excel.controlproperties+xml"/>
  <Override PartName="/xl/ctrlProps/ctrlProp380.xml" ContentType="application/vnd.ms-excel.controlproperties+xml"/>
  <Override PartName="/xl/ctrlProps/ctrlProp333.xml" ContentType="application/vnd.ms-excel.controlproperties+xml"/>
  <Override PartName="/xl/worksheets/sheet3.xml" ContentType="application/vnd.openxmlformats-officedocument.spreadsheetml.worksheet+xml"/>
  <Override PartName="/xl/tables/table128.xml" ContentType="application/vnd.openxmlformats-officedocument.spreadsheetml.table+xml"/>
  <Override PartName="/xl/ctrlProps/ctrlProp456.xml" ContentType="application/vnd.ms-excel.controlproperties+xml"/>
  <Override PartName="/xl/ctrlProps/ctrlProp409.xml" ContentType="application/vnd.ms-excel.controlproperties+xml"/>
  <Override PartName="/xl/ctrlProps/ctrlProp172.xml" ContentType="application/vnd.ms-excel.controlproperties+xml"/>
  <Override PartName="/xl/ctrlProps/ctrlProp125.xml" ContentType="application/vnd.ms-excel.controlproperties+xml"/>
  <Override PartName="/xl/ctrlProps/ctrlProp311.xml" ContentType="application/vnd.ms-excel.controlproperties+xml"/>
  <Override PartName="/xl/tables/table88.xml" ContentType="application/vnd.openxmlformats-officedocument.spreadsheetml.table+xml"/>
  <Override PartName="/xl/ctrlProps/ctrlProp579.xml" ContentType="application/vnd.ms-excel.controlproperties+xml"/>
  <Override PartName="/xl/ctrlProps/ctrlProp642.xml" ContentType="application/vnd.ms-excel.controlproperties+xml"/>
  <Override PartName="/xl/ctrlProps/ctrlProp150.xml" ContentType="application/vnd.ms-excel.controlproperties+xml"/>
  <Override PartName="/xl/ctrlProps/ctrlProp12.xml" ContentType="application/vnd.ms-excel.controlproperties+xml"/>
  <Override PartName="/xl/ctrlProps/ctrlProp103.xml" ContentType="application/vnd.ms-excel.controlproperties+xml"/>
  <Override PartName="/xl/ctrlProps/ctrlProp248.xml" ContentType="application/vnd.ms-excel.controlproperties+xml"/>
  <Override PartName="/xl/ctrlProps/ctrlProp295.xml" ContentType="application/vnd.ms-excel.controlproperties+xml"/>
  <Override PartName="/xl/tables/table19.xml" ContentType="application/vnd.openxmlformats-officedocument.spreadsheetml.table+xml"/>
  <Override PartName="/xl/tables/table66.xml" ContentType="application/vnd.openxmlformats-officedocument.spreadsheetml.table+xml"/>
  <Override PartName="/xl/tables/table106.xml" ContentType="application/vnd.openxmlformats-officedocument.spreadsheetml.table+xml"/>
  <Override PartName="/xl/ctrlProps/ctrlProp434.xml" ContentType="application/vnd.ms-excel.controlproperties+xml"/>
  <Override PartName="/xl/ctrlProps/ctrlProp481.xml" ContentType="application/vnd.ms-excel.controlproperties+xml"/>
  <Override PartName="/xl/ctrlProps/ctrlProp620.xml" ContentType="application/vnd.ms-excel.controlproperties+xml"/>
  <Override PartName="/xl/ctrlProps/ctrlProp718.xml" ContentType="application/vnd.ms-excel.controlproperties+xml"/>
  <Override PartName="/xl/worksheets/sheet18.xml" ContentType="application/vnd.openxmlformats-officedocument.spreadsheetml.worksheet+xml"/>
  <Override PartName="/xl/ctrlProps/ctrlProp412.xml" ContentType="application/vnd.ms-excel.controlproperties+xml"/>
  <Override PartName="/xl/ctrlProps/ctrlProp557.xml" ContentType="application/vnd.ms-excel.controlproperties+xml"/>
  <Override PartName="/xl/ctrlProps/ctrlProp743.xml" ContentType="application/vnd.ms-excel.controlproperties+xml"/>
  <Override PartName="/xl/ctrlProps/ctrlProp226.xml" ContentType="application/vnd.ms-excel.controlproperties+xml"/>
  <Override PartName="/xl/ctrlProps/ctrlProp273.xml" ContentType="application/vnd.ms-excel.controlproperties+xml"/>
  <Override PartName="/xl/worksheets/sheet43.xml" ContentType="application/vnd.openxmlformats-officedocument.spreadsheetml.worksheet+xml"/>
  <Override PartName="/xl/tables/table44.xml" ContentType="application/vnd.openxmlformats-officedocument.spreadsheetml.table+xml"/>
  <Override PartName="/xl/tables/table91.xml" ContentType="application/vnd.openxmlformats-officedocument.spreadsheetml.table+xml"/>
  <Override PartName="/xl/ctrlProps/ctrlProp396.xml" ContentType="application/vnd.ms-excel.controlproperties+xml"/>
  <Override PartName="/xl/ctrlProps/ctrlProp535.xml" ContentType="application/vnd.ms-excel.controlproperties+xml"/>
  <Override PartName="/xl/ctrlProps/ctrlProp582.xml" ContentType="application/vnd.ms-excel.controlproperties+xml"/>
  <Override PartName="/xl/ctrlProps/ctrlProp97.xml" ContentType="application/vnd.ms-excel.controlproperties+xml"/>
  <Override PartName="/xl/ctrlProps/ctrlProp349.xml" ContentType="application/vnd.ms-excel.controlproperties+xml"/>
  <Override PartName="/xl/ctrlProps/ctrlProp251.xml" ContentType="application/vnd.ms-excel.controlproperties+xml"/>
  <Override PartName="/xl/ctrlProps/ctrlProp204.xml" ContentType="application/vnd.ms-excel.controlproperties+xml"/>
  <Override PartName="/xl/tables/table22.xml" ContentType="application/vnd.openxmlformats-officedocument.spreadsheetml.table+xml"/>
  <Override PartName="/xl/ctrlProps/ctrlProp721.xml" ContentType="application/vnd.ms-excel.controlproperties+xml"/>
  <Override PartName="/xl/ctrlProps/ctrlProp658.xml" ContentType="application/vnd.ms-excel.controlproperties+xml"/>
  <Override PartName="/xl/ctrlProps/ctrlProp188.xml" ContentType="application/vnd.ms-excel.controlproperties+xml"/>
  <Override PartName="/xl/ctrlProps/ctrlProp75.xml" ContentType="application/vnd.ms-excel.controlproperties+xml"/>
  <Override PartName="/xl/ctrlProps/ctrlProp28.xml" ContentType="application/vnd.ms-excel.controlproperties+xml"/>
  <Override PartName="/xl/ctrlProps/ctrlProp374.xml" ContentType="application/vnd.ms-excel.controlproperties+xml"/>
  <Override PartName="/xl/ctrlProps/ctrlProp327.xml" ContentType="application/vnd.ms-excel.controlproperties+xml"/>
  <Override PartName="/xl/worksheets/sheet21.xml" ContentType="application/vnd.openxmlformats-officedocument.spreadsheetml.worksheet+xml"/>
  <Override PartName="/xl/ctrlProps/ctrlProp513.xml" ContentType="application/vnd.ms-excel.controlproperties+xml"/>
  <Override PartName="/xl/ctrlProps/ctrlProp497.xml" ContentType="application/vnd.ms-excel.controlproperties+xml"/>
  <Override PartName="/xl/ctrlProps/ctrlProp560.xml" ContentType="application/vnd.ms-excel.controlproperties+xml"/>
  <Override PartName="/xl/ctrlProps/ctrlProp166.xml" ContentType="application/vnd.ms-excel.controlproperties+xml"/>
  <Override PartName="/xl/ctrlProps/ctrlProp119.xml" ContentType="application/vnd.ms-excel.controlproperties+xml"/>
  <Override PartName="/xl/comments5.xml" ContentType="application/vnd.openxmlformats-officedocument.spreadsheetml.comments+xml"/>
  <Override PartName="/xl/ctrlProps/ctrlProp683.xml" ContentType="application/vnd.ms-excel.controlproperties+xml"/>
  <Override PartName="/xl/ctrlProps/ctrlProp636.xml" ContentType="application/vnd.ms-excel.controlproperties+xml"/>
  <Override PartName="/xl/ctrlProps/ctrlProp53.xml" ContentType="application/vnd.ms-excel.controlproperties+xml"/>
  <Override PartName="/xl/ctrlProps/ctrlProp289.xml" ContentType="application/vnd.ms-excel.controlproperties+xml"/>
  <Override PartName="/xl/ctrlProps/ctrlProp352.xml" ContentType="application/vnd.ms-excel.controlproperties+xml"/>
  <Override PartName="/xl/ctrlProps/ctrlProp305.xml" ContentType="application/vnd.ms-excel.controlproperties+xml"/>
  <Override PartName="/docProps/app.xml" ContentType="application/vnd.openxmlformats-officedocument.extended-properties+xml"/>
  <Override PartName="/xl/externalLinks/externalLink2.xml" ContentType="application/vnd.openxmlformats-officedocument.spreadsheetml.externalLink+xml"/>
  <Override PartName="/xl/externalLinks/externalLink13.xml" ContentType="application/vnd.openxmlformats-officedocument.spreadsheetml.externalLink+xml"/>
  <Override PartName="/xl/ctrlProps/ctrlProp428.xml" ContentType="application/vnd.ms-excel.controlproperties+xml"/>
  <Override PartName="/xl/ctrlProps/ctrlProp475.xml" ContentType="application/vnd.ms-excel.controlproperties+xml"/>
  <Override PartName="/xl/ctrlProps/ctrlProp759.xml" ContentType="application/vnd.ms-excel.controlproperties+xml"/>
  <Override PartName="/xl/ctrlProps/ctrlProp144.xml" ContentType="application/vnd.ms-excel.controlproperties+xml"/>
  <Override PartName="/xl/ctrlProps/ctrlProp191.xml" ContentType="application/vnd.ms-excel.controlproperties+xml"/>
  <Override PartName="/xl/ctrlProps/ctrlProp7.xml" ContentType="application/vnd.ms-excel.controlproperties+xml"/>
  <Override PartName="/xl/ctrlProps/ctrlProp330.xml" ContentType="application/vnd.ms-excel.controlproperties+xml"/>
  <Override PartName="/xl/worksheets/sheet59.xml" ContentType="application/vnd.openxmlformats-officedocument.spreadsheetml.worksheet+xml"/>
  <Override PartName="/xl/comments15.xml" ContentType="application/vnd.openxmlformats-officedocument.spreadsheetml.comments+xml"/>
  <Override PartName="/xl/ctrlProps/ctrlProp598.xml" ContentType="application/vnd.ms-excel.controlproperties+xml"/>
  <Override PartName="/xl/ctrlProps/ctrlProp661.xml" ContentType="application/vnd.ms-excel.controlproperties+xml"/>
  <Override PartName="/xl/ctrlProps/ctrlProp614.xml" ContentType="application/vnd.ms-excel.controlproperties+xml"/>
  <Override PartName="/xl/ctrlProps/ctrlProp122.xml" ContentType="application/vnd.ms-excel.controlproperties+xml"/>
  <Override PartName="/xl/ctrlProps/ctrlProp31.xml" ContentType="application/vnd.ms-excel.controlproperties+xml"/>
  <Override PartName="/xl/ctrlProps/ctrlProp267.xml" ContentType="application/vnd.ms-excel.controlproperties+xml"/>
  <Override PartName="/xl/tables/table38.xml" ContentType="application/vnd.openxmlformats-officedocument.spreadsheetml.table+xml"/>
  <Override PartName="/xl/tables/table85.xml" ContentType="application/vnd.openxmlformats-officedocument.spreadsheetml.table+xml"/>
  <Override PartName="/xl/tables/table125.xml" ContentType="application/vnd.openxmlformats-officedocument.spreadsheetml.table+xml"/>
  <Override PartName="/xl/ctrlProps/ctrlProp406.xml" ContentType="application/vnd.ms-excel.controlproperties+xml"/>
  <Override PartName="/xl/ctrlProps/ctrlProp453.xml" ContentType="application/vnd.ms-excel.controlproperties+xml"/>
  <Override PartName="/xl/ctrlProps/ctrlProp737.xml" ContentType="application/vnd.ms-excel.controlproperties+xml"/>
  <Override PartName="/xl/ctrlProps/ctrlProp292.xml" ContentType="application/vnd.ms-excel.controlproperties+xml"/>
  <Override PartName="/xl/ctrlProps/ctrlProp245.xml" ContentType="application/vnd.ms-excel.controlproperties+xml"/>
  <Override PartName="/xl/worksheets/sheet37.xml" ContentType="application/vnd.openxmlformats-officedocument.spreadsheetml.worksheet+xml"/>
  <Override PartName="/xl/tables/table103.xml" ContentType="application/vnd.openxmlformats-officedocument.spreadsheetml.table+xml"/>
  <Override PartName="/xl/ctrlProps/ctrlProp529.xml" ContentType="application/vnd.ms-excel.controlproperties+xml"/>
  <Override PartName="/xl/ctrlProps/ctrlProp431.xml" ContentType="application/vnd.ms-excel.controlproperties+xml"/>
  <Override PartName="/xl/ctrlProps/ctrlProp576.xml" ContentType="application/vnd.ms-excel.controlproperties+xml"/>
  <Override PartName="/xl/ctrlProps/ctrlProp715.xml" ContentType="application/vnd.ms-excel.controlproperties+xml"/>
  <Override PartName="/xl/ctrlProps/ctrlProp762.xml" ContentType="application/vnd.ms-excel.controlproperties+xml"/>
  <Override PartName="/xl/ctrlProps/ctrlProp100.xml" ContentType="application/vnd.ms-excel.controlproperties+xml"/>
  <Override PartName="/xl/worksheets/sheet15.xml" ContentType="application/vnd.openxmlformats-officedocument.spreadsheetml.worksheet+xml"/>
  <Override PartName="/xl/worksheets/sheet62.xml" ContentType="application/vnd.openxmlformats-officedocument.spreadsheetml.worksheet+xml"/>
  <Override PartName="/xl/tables/table16.xml" ContentType="application/vnd.openxmlformats-officedocument.spreadsheetml.table+xml"/>
  <Override PartName="/xl/tables/table63.xml" ContentType="application/vnd.openxmlformats-officedocument.spreadsheetml.table+xml"/>
  <Override PartName="/xl/charts/chart6.xml" ContentType="application/vnd.openxmlformats-officedocument.drawingml.chart+xml"/>
  <Override PartName="/xl/ctrlProps/ctrlProp507.xml" ContentType="application/vnd.ms-excel.controlproperties+xml"/>
  <Override PartName="/xl/ctrlProps/ctrlProp554.xml" ContentType="application/vnd.ms-excel.controlproperties+xml"/>
  <Override PartName="/xl/ctrlProps/ctrlProp699.xml" ContentType="application/vnd.ms-excel.controlproperties+xml"/>
  <Override PartName="/xl/ctrlProps/ctrlProp69.xml" ContentType="application/vnd.ms-excel.controlproperties+xml"/>
  <Override PartName="/xl/ctrlProps/ctrlProp270.xml" ContentType="application/vnd.ms-excel.controlproperties+xml"/>
  <Override PartName="/xl/ctrlProps/ctrlProp223.xml" ContentType="application/vnd.ms-excel.controlproperties+xml"/>
  <Override PartName="/xl/ctrlProps/ctrlProp368.xml" ContentType="application/vnd.ms-excel.controlproperties+xml"/>
  <Override PartName="/xl/tables/table41.xml" ContentType="application/vnd.openxmlformats-officedocument.spreadsheetml.table+xml"/>
  <Override PartName="/xl/ctrlProps/ctrlProp393.xml" ContentType="application/vnd.ms-excel.controlproperties+xml"/>
  <Override PartName="/xl/ctrlProps/ctrlProp677.xml" ContentType="application/vnd.ms-excel.controlproperties+xml"/>
  <Override PartName="/xl/ctrlProps/ctrlProp740.xml" ContentType="application/vnd.ms-excel.controlproperties+xml"/>
  <Override PartName="/xl/ctrlProps/ctrlProp94.xml" ContentType="application/vnd.ms-excel.controlproperties+xml"/>
  <Override PartName="/xl/ctrlProps/ctrlProp47.xml" ContentType="application/vnd.ms-excel.controlproperties+xml"/>
  <Override PartName="/xl/ctrlProps/ctrlProp346.xml" ContentType="application/vnd.ms-excel.controlproperties+xml"/>
  <Override PartName="/xl/worksheets/sheet40.xml" ContentType="application/vnd.openxmlformats-officedocument.spreadsheetml.worksheet+xml"/>
  <Override PartName="/xl/ctrlProps/ctrlProp532.xml" ContentType="application/vnd.ms-excel.controlproperties+xml"/>
  <Override PartName="/xl/ctrlProps/ctrlProp469.xml" ContentType="application/vnd.ms-excel.controlproperties+xml"/>
  <Override PartName="/xl/ctrlProps/ctrlProp185.xml" ContentType="application/vnd.ms-excel.controlproperties+xml"/>
  <Override PartName="/xl/ctrlProps/ctrlProp138.xml" ContentType="application/vnd.ms-excel.controlproperties+xml"/>
  <Override PartName="/xl/ctrlProps/ctrlProp201.xml" ContentType="application/vnd.ms-excel.controlproperties+xml"/>
  <Override PartName="/xl/ctrlProps/ctrlProp510.xml" ContentType="application/vnd.ms-excel.controlproperties+xml"/>
  <Override PartName="/xl/ctrlProps/ctrlProp655.xml" ContentType="application/vnd.ms-excel.controlproperties+xml"/>
  <Override PartName="/xl/ctrlProps/ctrlProp608.xml" ContentType="application/vnd.ms-excel.controlproperties+xml"/>
  <Override PartName="/xl/ctrlProps/ctrlProp72.xml" ContentType="application/vnd.ms-excel.controlproperties+xml"/>
  <Override PartName="/xl/ctrlProps/ctrlProp25.xml" ContentType="application/vnd.ms-excel.controlproperties+xml"/>
  <Override PartName="/xl/ctrlProps/ctrlProp324.xml" ContentType="application/vnd.ms-excel.controlproperties+xml"/>
  <Override PartName="/xl/ctrlProps/ctrlProp371.xml" ContentType="application/vnd.ms-excel.controlproperties+xml"/>
  <Override PartName="/xl/comments2.xml" ContentType="application/vnd.openxmlformats-officedocument.spreadsheetml.comments+xml"/>
  <Override PartName="/xl/tables/table119.xml" ContentType="application/vnd.openxmlformats-officedocument.spreadsheetml.table+xml"/>
  <Override PartName="/xl/ctrlProps/ctrlProp494.xml" ContentType="application/vnd.ms-excel.controlproperties+xml"/>
  <Override PartName="/xl/ctrlProps/ctrlProp447.xml" ContentType="application/vnd.ms-excel.controlproperties+xml"/>
  <Override PartName="/xl/ctrlProps/ctrlProp680.xml" ContentType="application/vnd.ms-excel.controlproperties+xml"/>
  <Override PartName="/xl/ctrlProps/ctrlProp633.xml" ContentType="application/vnd.ms-excel.controlproperties+xml"/>
  <Override PartName="/xl/ctrlProps/ctrlProp50.xml" ContentType="application/vnd.ms-excel.controlproperties+xml"/>
  <Override PartName="/xl/ctrlProps/ctrlProp163.xml" ContentType="application/vnd.ms-excel.controlproperties+xml"/>
  <Override PartName="/xl/ctrlProps/ctrlProp116.xml" ContentType="application/vnd.ms-excel.controlproperties+xml"/>
  <Override PartName="/xl/ctrlProps/ctrlProp302.xml" ContentType="application/vnd.ms-excel.controlproperties+xml"/>
  <Override PartName="/xl/tables/table79.xml" ContentType="application/vnd.openxmlformats-officedocument.spreadsheetml.table+xml"/>
  <Override PartName="/xl/ctrlProps/ctrlProp472.xml" ContentType="application/vnd.ms-excel.controlproperties+xml"/>
  <Override PartName="/xl/ctrlProps/ctrlProp425.xml" ContentType="application/vnd.ms-excel.controlproperties+xml"/>
  <Override PartName="/xl/ctrlProps/ctrlProp141.xml" ContentType="application/vnd.ms-excel.controlproperties+xml"/>
  <Override PartName="/xl/ctrlProps/ctrlProp286.xml" ContentType="application/vnd.ms-excel.controlproperties+xml"/>
  <Override PartName="/xl/ctrlProps/ctrlProp239.xml" ContentType="application/vnd.ms-excel.controlproperties+xml"/>
  <Override PartName="/xl/externalLinks/externalLink10.xml" ContentType="application/vnd.openxmlformats-officedocument.spreadsheetml.externalLink+xml"/>
  <Override PartName="/xl/tables/table7.xml" ContentType="application/vnd.openxmlformats-officedocument.spreadsheetml.table+xml"/>
  <Override PartName="/xl/tables/table57.xml" ContentType="application/vnd.openxmlformats-officedocument.spreadsheetml.table+xml"/>
  <Override PartName="/xl/comments12.xml" ContentType="application/vnd.openxmlformats-officedocument.spreadsheetml.comments+xml"/>
  <Override PartName="/xl/ctrlProps/ctrlProp756.xml" ContentType="application/vnd.ms-excel.controlproperties+xml"/>
  <Override PartName="/xl/ctrlProps/ctrlProp709.xml" ContentType="application/vnd.ms-excel.controlproperties+xml"/>
  <Override PartName="/xl/ctrlProps/ctrlProp611.xml" ContentType="application/vnd.ms-excel.controlproperties+xml"/>
  <Override PartName="/xl/ctrlProps/ctrlProp4.xml" ContentType="application/vnd.ms-excel.controlproperties+xml"/>
  <Override PartName="/xl/ctrlProps/ctrlProp264.xml" ContentType="application/vnd.ms-excel.controlproperties+xml"/>
  <Override PartName="/xl/ctrlProps/ctrlProp217.xml" ContentType="application/vnd.ms-excel.controlproperties+xml"/>
  <Override PartName="/xl/worksheets/sheet56.xml" ContentType="application/vnd.openxmlformats-officedocument.spreadsheetml.worksheet+xml"/>
  <Override PartName="/xl/tables/table122.xml" ContentType="application/vnd.openxmlformats-officedocument.spreadsheetml.table+xml"/>
  <Override PartName="/xl/ctrlProps/ctrlProp450.xml" ContentType="application/vnd.ms-excel.controlproperties+xml"/>
  <Override PartName="/xl/ctrlProps/ctrlProp403.xml" ContentType="application/vnd.ms-excel.controlproperties+xml"/>
  <Override PartName="/xl/ctrlProps/ctrlProp548.xml" ContentType="application/vnd.ms-excel.controlproperties+xml"/>
  <Override PartName="/xl/ctrlProps/ctrlProp595.xml" ContentType="application/vnd.ms-excel.controlproperties+xml"/>
  <Override PartName="/xl/ctrlProps/ctrlProp734.xml" ContentType="application/vnd.ms-excel.controlproperties+xml"/>
  <Override PartName="/xl/worksheets/sheet34.xml" ContentType="application/vnd.openxmlformats-officedocument.spreadsheetml.worksheet+xml"/>
  <Override PartName="/xl/tables/table35.xml" ContentType="application/vnd.openxmlformats-officedocument.spreadsheetml.table+xml"/>
  <Override PartName="/xl/tables/table82.xml" ContentType="application/vnd.openxmlformats-officedocument.spreadsheetml.table+xml"/>
  <Override PartName="/xl/drawings/drawing9.xml" ContentType="application/vnd.openxmlformats-officedocument.drawing+xml"/>
  <Override PartName="/xl/ctrlProps/ctrlProp387.xml" ContentType="application/vnd.ms-excel.controlproperties+xml"/>
  <Override PartName="/xl/ctrlProps/ctrlProp526.xml" ContentType="application/vnd.ms-excel.controlproperties+xml"/>
  <Override PartName="/xl/ctrlProps/ctrlProp573.xml" ContentType="application/vnd.ms-excel.controlproperties+xml"/>
  <Override PartName="/xl/ctrlProps/ctrlProp88.xml" ContentType="application/vnd.ms-excel.controlproperties+xml"/>
  <Override PartName="/xl/ctrlProps/ctrlProp242.xml" ContentType="application/vnd.ms-excel.controlproperties+xml"/>
  <Override PartName="/xl/tables/table13.xml" ContentType="application/vnd.openxmlformats-officedocument.spreadsheetml.table+xml"/>
  <Override PartName="/xl/tables/table60.xml" ContentType="application/vnd.openxmlformats-officedocument.spreadsheetml.table+xml"/>
  <Override PartName="/xl/tables/table100.xml" ContentType="application/vnd.openxmlformats-officedocument.spreadsheetml.table+xml"/>
  <Override PartName="/xl/ctrlProps/ctrlProp649.xml" ContentType="application/vnd.ms-excel.controlproperties+xml"/>
  <Override PartName="/xl/ctrlProps/ctrlProp696.xml" ContentType="application/vnd.ms-excel.controlproperties+xml"/>
  <Override PartName="/xl/ctrlProps/ctrlProp712.xml" ContentType="application/vnd.ms-excel.controlproperties+xml"/>
  <Override PartName="/xl/ctrlProps/ctrlProp66.xml" ContentType="application/vnd.ms-excel.controlproperties+xml"/>
  <Override PartName="/xl/ctrlProps/ctrlProp19.xml" ContentType="application/vnd.ms-excel.controlproperties+xml"/>
  <Override PartName="/xl/ctrlProps/ctrlProp179.xml" ContentType="application/vnd.ms-excel.controlproperties+xml"/>
  <Override PartName="/xl/ctrlProps/ctrlProp365.xml" ContentType="application/vnd.ms-excel.controlproperties+xml"/>
  <Override PartName="/xl/ctrlProps/ctrlProp318.xml" ContentType="application/vnd.ms-excel.controlproperties+xml"/>
  <Override PartName="/xl/ctrlProps/ctrlProp220.xml" ContentType="application/vnd.ms-excel.controlproperties+xml"/>
  <Override PartName="/xl/worksheets/sheet12.xml" ContentType="application/vnd.openxmlformats-officedocument.spreadsheetml.worksheet+xml"/>
  <Override PartName="/xl/charts/chart3.xml" ContentType="application/vnd.openxmlformats-officedocument.drawingml.chart+xml"/>
  <Override PartName="/xl/ctrlProps/ctrlProp488.xml" ContentType="application/vnd.ms-excel.controlproperties+xml"/>
  <Override PartName="/xl/ctrlProps/ctrlProp551.xml" ContentType="application/vnd.ms-excel.controlproperties+xml"/>
  <Override PartName="/xl/ctrlProps/ctrlProp504.xml" ContentType="application/vnd.ms-excel.controlproperties+xml"/>
  <Override PartName="/xl/ctrlProps/ctrlProp157.xml" ContentType="application/vnd.ms-excel.controlproperties+xml"/>
  <Override PartName="/xl/ctrlProps/ctrlProp390.xml" ContentType="application/vnd.ms-excel.controlproperties+xml"/>
  <Override PartName="/xl/ctrlProps/ctrlProp674.xml" ContentType="application/vnd.ms-excel.controlproperties+xml"/>
  <Override PartName="/xl/ctrlProps/ctrlProp627.xml" ContentType="application/vnd.ms-excel.controlproperties+xml"/>
  <Override PartName="/xl/ctrlProps/ctrlProp44.xml" ContentType="application/vnd.ms-excel.controlproperties+xml"/>
  <Override PartName="/xl/ctrlProps/ctrlProp91.xml" ContentType="application/vnd.ms-excel.controlproperties+xml"/>
  <Override PartName="/xl/ctrlProps/ctrlProp343.xml" ContentType="application/vnd.ms-excel.controlproperties+xml"/>
  <Override PartName="/xl/ctrlProps/ctrlProp466.xml" ContentType="application/vnd.ms-excel.controlproperties+xml"/>
  <Override PartName="/xl/ctrlProps/ctrlProp419.xml" ContentType="application/vnd.ms-excel.controlproperties+xml"/>
  <Override PartName="/xl/ctrlProps/ctrlProp605.xml" ContentType="application/vnd.ms-excel.controlproperties+xml"/>
  <Override PartName="/xl/ctrlProps/ctrlProp652.xml" ContentType="application/vnd.ms-excel.controlproperties+xml"/>
  <Override PartName="/xl/ctrlProps/ctrlProp22.xml" ContentType="application/vnd.ms-excel.controlproperties+xml"/>
  <Override PartName="/xl/ctrlProps/ctrlProp182.xml" ContentType="application/vnd.ms-excel.controlproperties+xml"/>
  <Override PartName="/xl/ctrlProps/ctrlProp135.xml" ContentType="application/vnd.ms-excel.controlproperties+xml"/>
  <Override PartName="/xl/ctrlProps/ctrlProp321.xml" ContentType="application/vnd.ms-excel.controlproperties+xml"/>
  <Override PartName="/xl/tables/table98.xml" ContentType="application/vnd.openxmlformats-officedocument.spreadsheetml.table+xml"/>
  <Override PartName="/xl/tables/table116.xml" ContentType="application/vnd.openxmlformats-officedocument.spreadsheetml.table+xml"/>
  <Override PartName="/xl/ctrlProps/ctrlProp444.xml" ContentType="application/vnd.ms-excel.controlproperties+xml"/>
  <Override PartName="/xl/ctrlProps/ctrlProp491.xml" ContentType="application/vnd.ms-excel.controlproperties+xml"/>
  <Override PartName="/xl/ctrlProps/ctrlProp589.xml" ContentType="application/vnd.ms-excel.controlproperties+xml"/>
  <Override PartName="/xl/ctrlProps/ctrlProp160.xml" ContentType="application/vnd.ms-excel.controlproperties+xml"/>
  <Override PartName="/xl/ctrlProps/ctrlProp113.xml" ContentType="application/vnd.ms-excel.controlproperties+xml"/>
  <Override PartName="/xl/ctrlProps/ctrlProp258.xml" ContentType="application/vnd.ms-excel.controlproperties+xml"/>
  <Override PartName="/xl/worksheets/sheet28.xml" ContentType="application/vnd.openxmlformats-officedocument.spreadsheetml.worksheet+xml"/>
  <Override PartName="/xl/tables/table29.xml" ContentType="application/vnd.openxmlformats-officedocument.spreadsheetml.table+xml"/>
  <Override PartName="/xl/tables/table76.xml" ContentType="application/vnd.openxmlformats-officedocument.spreadsheetml.table+xml"/>
  <Override PartName="/xl/ctrlProps/ctrlProp567.xml" ContentType="application/vnd.ms-excel.controlproperties+xml"/>
  <Override PartName="/xl/ctrlProps/ctrlProp630.xml" ContentType="application/vnd.ms-excel.controlproperties+xml"/>
  <Override PartName="/xl/ctrlProps/ctrlProp728.xml" ContentType="application/vnd.ms-excel.controlproperties+xml"/>
  <Override PartName="/xl/ctrlProps/ctrlProp236.xml" ContentType="application/vnd.ms-excel.controlproperties+xml"/>
  <Override PartName="/xl/ctrlProps/ctrlProp283.xml" ContentType="application/vnd.ms-excel.controlproperties+xml"/>
  <Override PartName="/xl/ctrlProps/ctrlProp422.xml" ContentType="application/vnd.ms-excel.controlproperties+xml"/>
  <Override PartName="/xl/ctrlProps/ctrlProp706.xml" ContentType="application/vnd.ms-excel.controlproperties+xml"/>
  <Override PartName="/xl/ctrlProps/ctrlProp753.xml" ContentType="application/vnd.ms-excel.controlproperties+xml"/>
  <Override PartName="/xl/ctrlProps/ctrlProp1.xml" ContentType="application/vnd.ms-excel.controlproperties+xml"/>
  <Override PartName="/xl/ctrlProps/ctrlProp359.xml" ContentType="application/vnd.ms-excel.controlproperties+xml"/>
  <Override PartName="/xl/worksheets/sheet53.xml" ContentType="application/vnd.openxmlformats-officedocument.spreadsheetml.worksheet+xml"/>
  <Override PartName="/xl/tables/table4.xml" ContentType="application/vnd.openxmlformats-officedocument.spreadsheetml.table+xml"/>
  <Override PartName="/xl/tables/table54.xml" ContentType="application/vnd.openxmlformats-officedocument.spreadsheetml.table+xml"/>
  <Override PartName="/xl/ctrlProps/ctrlProp545.xml" ContentType="application/vnd.ms-excel.controlproperties+xml"/>
  <Override PartName="/xl/ctrlProps/ctrlProp400.xml" ContentType="application/vnd.ms-excel.controlproperties+xml"/>
  <Override PartName="/xl/ctrlProps/ctrlProp592.xml" ContentType="application/vnd.ms-excel.controlproperties+xml"/>
  <Override PartName="/xl/ctrlProps/ctrlProp198.xml" ContentType="application/vnd.ms-excel.controlproperties+xml"/>
  <Override PartName="/xl/ctrlProps/ctrlProp214.xml" ContentType="application/vnd.ms-excel.controlproperties+xml"/>
  <Override PartName="/xl/ctrlProps/ctrlProp261.xml" ContentType="application/vnd.ms-excel.controlproperties+xml"/>
  <Override PartName="/xl/externalLinks/externalLink9.xml" ContentType="application/vnd.openxmlformats-officedocument.spreadsheetml.externalLink+xml"/>
  <Override PartName="/xl/tables/table32.xml" ContentType="application/vnd.openxmlformats-officedocument.spreadsheetml.table+xml"/>
  <Override PartName="/xl/drawings/drawing6.xml" ContentType="application/vnd.openxmlformats-officedocument.drawing+xml"/>
  <Override PartName="/xl/ctrlProps/ctrlProp384.xml" ContentType="application/vnd.ms-excel.controlproperties+xml"/>
  <Override PartName="/xl/ctrlProps/ctrlProp668.xml" ContentType="application/vnd.ms-excel.controlproperties+xml"/>
  <Override PartName="/xl/ctrlProps/ctrlProp731.xml" ContentType="application/vnd.ms-excel.controlproperties+xml"/>
  <Override PartName="/xl/ctrlProps/ctrlProp85.xml" ContentType="application/vnd.ms-excel.controlproperties+xml"/>
  <Override PartName="/xl/ctrlProps/ctrlProp38.xml" ContentType="application/vnd.ms-excel.controlproperties+xml"/>
  <Override PartName="/xl/ctrlProps/ctrlProp337.xml" ContentType="application/vnd.ms-excel.controlproperties+xml"/>
  <Override PartName="/xl/worksheets/sheet7.xml" ContentType="application/vnd.openxmlformats-officedocument.spreadsheetml.worksheet+xml"/>
  <Override PartName="/xl/worksheets/sheet31.xml" ContentType="application/vnd.openxmlformats-officedocument.spreadsheetml.worksheet+xml"/>
  <Override PartName="/xl/ctrlProps/ctrlProp570.xml" ContentType="application/vnd.ms-excel.controlproperties+xml"/>
  <Override PartName="/xl/ctrlProps/ctrlProp523.xml" ContentType="application/vnd.ms-excel.controlproperties+xml"/>
  <Override PartName="/xl/ctrlProps/ctrlProp176.xml" ContentType="application/vnd.ms-excel.controlproperties+xml"/>
  <Override PartName="/xl/ctrlProps/ctrlProp129.xml" ContentType="application/vnd.ms-excel.controlproperties+xml"/>
  <Override PartName="/xl/tables/table10.xml" ContentType="application/vnd.openxmlformats-officedocument.spreadsheetml.table+xml"/>
  <Override PartName="/xl/ctrlProps/ctrlProp501.xml" ContentType="application/vnd.ms-excel.controlproperties+xml"/>
  <Override PartName="/xl/ctrlProps/ctrlProp693.xml" ContentType="application/vnd.ms-excel.controlproperties+xml"/>
  <Override PartName="/xl/ctrlProps/ctrlProp646.xml" ContentType="application/vnd.ms-excel.controlproperties+xml"/>
  <Override PartName="/xl/ctrlProps/ctrlProp63.xml" ContentType="application/vnd.ms-excel.controlproperties+xml"/>
  <Override PartName="/xl/ctrlProps/ctrlProp16.xml" ContentType="application/vnd.ms-excel.controlproperties+xml"/>
  <Override PartName="/xl/ctrlProps/ctrlProp107.xml" ContentType="application/vnd.ms-excel.controlproperties+xml"/>
  <Override PartName="/xl/ctrlProps/ctrlProp299.xml" ContentType="application/vnd.ms-excel.controlproperties+xml"/>
  <Override PartName="/xl/ctrlProps/ctrlProp315.xml" ContentType="application/vnd.ms-excel.controlproperties+xml"/>
  <Override PartName="/xl/ctrlProps/ctrlProp362.xml" ContentType="application/vnd.ms-excel.controlproperties+xml"/>
  <Override PartName="/xl/ctrlProps/ctrlProp438.xml" ContentType="application/vnd.ms-excel.controlproperties+xml"/>
  <Override PartName="/xl/ctrlProps/ctrlProp485.xml" ContentType="application/vnd.ms-excel.controlproperties+xml"/>
  <Override PartName="/xl/ctrlProps/ctrlProp624.xml" ContentType="application/vnd.ms-excel.controlproperties+xml"/>
  <Override PartName="/xl/ctrlProps/ctrlProp671.xml" ContentType="application/vnd.ms-excel.controlproperties+xml"/>
  <Override PartName="/xl/ctrlProps/ctrlProp41.xml" ContentType="application/vnd.ms-excel.controlproperties+xml"/>
  <Override PartName="/xl/ctrlProps/ctrlProp154.xml" ContentType="application/vnd.ms-excel.controlproperties+xml"/>
  <Override PartName="/xl/ctrlProps/ctrlProp340.xml" ContentType="application/vnd.ms-excel.controlproperties+xml"/>
  <Override PartName="/xl/ctrlProps/ctrlProp416.xml" ContentType="application/vnd.ms-excel.controlproperties+xml"/>
  <Override PartName="/xl/ctrlProps/ctrlProp463.xml" ContentType="application/vnd.ms-excel.controlproperties+xml"/>
  <Override PartName="/xl/ctrlProps/ctrlProp747.xml" ContentType="application/vnd.ms-excel.controlproperties+xml"/>
  <Override PartName="/xl/ctrlProps/ctrlProp132.xml" ContentType="application/vnd.ms-excel.controlproperties+xml"/>
  <Override PartName="/xl/ctrlProps/ctrlProp277.xml" ContentType="application/vnd.ms-excel.controlproperties+xml"/>
  <Override PartName="/xl/worksheets/sheet47.xml" ContentType="application/vnd.openxmlformats-officedocument.spreadsheetml.worksheet+xml"/>
  <Override PartName="/xl/sharedStrings.xml" ContentType="application/vnd.openxmlformats-officedocument.spreadsheetml.sharedStrings+xml"/>
  <Override PartName="/xl/tables/table48.xml" ContentType="application/vnd.openxmlformats-officedocument.spreadsheetml.table+xml"/>
  <Override PartName="/xl/tables/table95.xml" ContentType="application/vnd.openxmlformats-officedocument.spreadsheetml.table+xml"/>
  <Override PartName="/xl/ctrlProps/ctrlProp539.xml" ContentType="application/vnd.ms-excel.controlproperties+xml"/>
  <Override PartName="/xl/ctrlProps/ctrlProp586.xml" ContentType="application/vnd.ms-excel.controlproperties+xml"/>
  <Override PartName="/xl/ctrlProps/ctrlProp602.xml" ContentType="application/vnd.ms-excel.controlproperties+xml"/>
  <Override PartName="/xl/ctrlProps/ctrlProp255.xml" ContentType="application/vnd.ms-excel.controlproperties+xml"/>
  <Override PartName="/xl/ctrlProps/ctrlProp208.xml" ContentType="application/vnd.ms-excel.controlproperties+xml"/>
  <Override PartName="/xl/tables/table26.xml" ContentType="application/vnd.openxmlformats-officedocument.spreadsheetml.table+xml"/>
  <Override PartName="/xl/tables/table73.xml" ContentType="application/vnd.openxmlformats-officedocument.spreadsheetml.table+xml"/>
  <Override PartName="/xl/tables/table113.xml" ContentType="application/vnd.openxmlformats-officedocument.spreadsheetml.table+xml"/>
  <Override PartName="/xl/ctrlProps/ctrlProp441.xml" ContentType="application/vnd.ms-excel.controlproperties+xml"/>
  <Override PartName="/xl/ctrlProps/ctrlProp725.xml" ContentType="application/vnd.ms-excel.controlproperties+xml"/>
  <Override PartName="/xl/ctrlProps/ctrlProp110.xml" ContentType="application/vnd.ms-excel.controlproperties+xml"/>
  <Override PartName="/xl/ctrlProps/ctrlProp378.xml" ContentType="application/vnd.ms-excel.controlproperties+xml"/>
  <Override PartName="/xl/worksheets/sheet25.xml" ContentType="application/vnd.openxmlformats-officedocument.spreadsheetml.worksheet+xml"/>
  <Override PartName="/xl/ctrlProps/ctrlProp517.xml" ContentType="application/vnd.ms-excel.controlproperties+xml"/>
  <Override PartName="/xl/ctrlProps/ctrlProp564.xml" ContentType="application/vnd.ms-excel.controlproperties+xml"/>
  <Override PartName="/xl/ctrlProps/ctrlProp703.xml" ContentType="application/vnd.ms-excel.controlproperties+xml"/>
  <Override PartName="/xl/ctrlProps/ctrlProp750.xml" ContentType="application/vnd.ms-excel.controlproperties+xml"/>
  <Override PartName="/xl/ctrlProps/ctrlProp79.xml" ContentType="application/vnd.ms-excel.controlproperties+xml"/>
  <Override PartName="/xl/ctrlProps/ctrlProp280.xml" ContentType="application/vnd.ms-excel.controlproperties+xml"/>
  <Override PartName="/xl/ctrlProps/ctrlProp233.xml" ContentType="application/vnd.ms-excel.controlproperties+xml"/>
  <Override PartName="/xl/worksheets/sheet50.xml" ContentType="application/vnd.openxmlformats-officedocument.spreadsheetml.worksheet+xml"/>
  <Override PartName="/xl/tables/table1.xml" ContentType="application/vnd.openxmlformats-officedocument.spreadsheetml.table+xml"/>
  <Override PartName="/xl/comments9.xml" ContentType="application/vnd.openxmlformats-officedocument.spreadsheetml.comments+xml"/>
  <Override PartName="/xl/tables/table51.xml" ContentType="application/vnd.openxmlformats-officedocument.spreadsheetml.table+xml"/>
  <Override PartName="/xl/ctrlProps/ctrlProp542.xml" ContentType="application/vnd.ms-excel.controlproperties+xml"/>
  <Override PartName="/xl/ctrlProps/ctrlProp687.xml" ContentType="application/vnd.ms-excel.controlproperties+xml"/>
  <Override PartName="/xl/ctrlProps/ctrlProp57.xml" ContentType="application/vnd.ms-excel.controlproperties+xml"/>
  <Override PartName="/xl/ctrlProps/ctrlProp211.xml" ContentType="application/vnd.ms-excel.controlproperties+xml"/>
  <Override PartName="/xl/ctrlProps/ctrlProp356.xml" ContentType="application/vnd.ms-excel.controlproperties+xml"/>
  <Override PartName="/xl/ctrlProps/ctrlProp309.xml" ContentType="application/vnd.ms-excel.controlproperties+xml"/>
  <Override PartName="/xl/externalLinks/externalLink6.xml" ContentType="application/vnd.openxmlformats-officedocument.spreadsheetml.externalLink+xml"/>
  <Override PartName="/xl/ctrlProps/ctrlProp479.xml" ContentType="application/vnd.ms-excel.controlproperties+xml"/>
  <Override PartName="/xl/ctrlProps/ctrlProp148.xml" ContentType="application/vnd.ms-excel.controlproperties+xml"/>
  <Override PartName="/xl/ctrlProps/ctrlProp195.xml" ContentType="application/vnd.ms-excel.controlproperties+xml"/>
  <Override PartName="/xl/ctrlProps/ctrlProp334.xml" ContentType="application/vnd.ms-excel.controlproperties+xml"/>
  <Override PartName="/xl/ctrlProps/ctrlProp381.xml" ContentType="application/vnd.ms-excel.controlproperties+xml"/>
  <Override PartName="/xl/workbook.xml" ContentType="application/vnd.openxmlformats-officedocument.spreadsheetml.sheet.main+xml"/>
  <Override PartName="/xl/worksheets/sheet4.xml" ContentType="application/vnd.openxmlformats-officedocument.spreadsheetml.worksheet+xml"/>
  <Override PartName="/xl/drawings/drawing3.xml" ContentType="application/vnd.openxmlformats-officedocument.drawing+xml"/>
  <Override PartName="/xl/ctrlProps/ctrlProp520.xml" ContentType="application/vnd.ms-excel.controlproperties+xml"/>
  <Override PartName="/xl/ctrlProps/ctrlProp618.xml" ContentType="application/vnd.ms-excel.controlproperties+xml"/>
  <Override PartName="/xl/ctrlProps/ctrlProp665.xml" ContentType="application/vnd.ms-excel.controlproperties+xml"/>
  <Override PartName="/xl/ctrlProps/ctrlProp173.xml" ContentType="application/vnd.ms-excel.controlproperties+xml"/>
  <Override PartName="/xl/ctrlProps/ctrlProp82.xml" ContentType="application/vnd.ms-excel.controlproperties+xml"/>
  <Override PartName="/xl/ctrlProps/ctrlProp35.xml" ContentType="application/vnd.ms-excel.controlproperties+xml"/>
  <Override PartName="/xl/ctrlProps/ctrlProp126.xml" ContentType="application/vnd.ms-excel.controlproperties+xml"/>
  <Override PartName="/xl/tables/table89.xml" ContentType="application/vnd.openxmlformats-officedocument.spreadsheetml.table+xml"/>
  <Override PartName="/xl/tables/table129.xml" ContentType="application/vnd.openxmlformats-officedocument.spreadsheetml.table+xml"/>
  <Override PartName="/xl/ctrlProps/ctrlProp457.xml" ContentType="application/vnd.ms-excel.controlproperties+xml"/>
  <Override PartName="/xl/ctrlProps/ctrlProp690.xml" ContentType="application/vnd.ms-excel.controlproperties+xml"/>
  <Override PartName="/xl/ctrlProps/ctrlProp643.xml" ContentType="application/vnd.ms-excel.controlproperties+xml"/>
  <Override PartName="/xl/ctrlProps/ctrlProp13.xml" ContentType="application/vnd.ms-excel.controlproperties+xml"/>
  <Override PartName="/xl/ctrlProps/ctrlProp60.xml" ContentType="application/vnd.ms-excel.controlproperties+xml"/>
  <Override PartName="/xl/ctrlProps/ctrlProp312.xml" ContentType="application/vnd.ms-excel.controlproperties+xml"/>
  <Default Extension="vml" ContentType="application/vnd.openxmlformats-officedocument.vmlDrawing"/>
  <Override PartName="/xl/tables/table107.xml" ContentType="application/vnd.openxmlformats-officedocument.spreadsheetml.table+xml"/>
  <Override PartName="/xl/ctrlProps/ctrlProp482.xml" ContentType="application/vnd.ms-excel.controlproperties+xml"/>
  <Override PartName="/xl/ctrlProps/ctrlProp435.xml" ContentType="application/vnd.ms-excel.controlproperties+xml"/>
  <Override PartName="/xl/ctrlProps/ctrlProp719.xml" ContentType="application/vnd.ms-excel.controlproperties+xml"/>
  <Override PartName="/xl/ctrlProps/ctrlProp151.xml" ContentType="application/vnd.ms-excel.controlproperties+xml"/>
  <Override PartName="/xl/ctrlProps/ctrlProp104.xml" ContentType="application/vnd.ms-excel.controlproperties+xml"/>
  <Override PartName="/xl/ctrlProps/ctrlProp296.xml" ContentType="application/vnd.ms-excel.controlproperties+xml"/>
  <Override PartName="/xl/ctrlProps/ctrlProp249.xml" ContentType="application/vnd.ms-excel.controlproperties+xml"/>
  <Override PartName="/xl/worksheets/sheet19.xml" ContentType="application/vnd.openxmlformats-officedocument.spreadsheetml.worksheet+xml"/>
  <Override PartName="/xl/tables/table67.xml" ContentType="application/vnd.openxmlformats-officedocument.spreadsheetml.table+xml"/>
  <Override PartName="/xl/ctrlProps/ctrlProp558.xml" ContentType="application/vnd.ms-excel.controlproperties+xml"/>
  <Override PartName="/xl/ctrlProps/ctrlProp621.xml" ContentType="application/vnd.ms-excel.controlproperties+xml"/>
  <Override PartName="/xl/ctrlProps/ctrlProp274.xml" ContentType="application/vnd.ms-excel.controlproperties+xml"/>
  <Override PartName="/xl/ctrlProps/ctrlProp227.xml" ContentType="application/vnd.ms-excel.controlproperties+xml"/>
  <Override PartName="/xl/tables/table45.xml" ContentType="application/vnd.openxmlformats-officedocument.spreadsheetml.table+xml"/>
  <Override PartName="/xl/tables/table92.xml" ContentType="application/vnd.openxmlformats-officedocument.spreadsheetml.table+xml"/>
  <Override PartName="/xl/ctrlProps/ctrlProp397.xml" ContentType="application/vnd.ms-excel.controlproperties+xml"/>
  <Override PartName="/xl/ctrlProps/ctrlProp460.xml" ContentType="application/vnd.ms-excel.controlproperties+xml"/>
  <Override PartName="/xl/ctrlProps/ctrlProp413.xml" ContentType="application/vnd.ms-excel.controlproperties+xml"/>
  <Override PartName="/xl/ctrlProps/ctrlProp744.xml" ContentType="application/vnd.ms-excel.controlproperties+xml"/>
  <Override PartName="/xl/ctrlProps/ctrlProp98.xml" ContentType="application/vnd.ms-excel.controlproperties+xml"/>
  <Override PartName="/docProps/core.xml" ContentType="application/vnd.openxmlformats-package.core-properties+xml"/>
  <Override PartName="/xl/worksheets/sheet44.xml" ContentType="application/vnd.openxmlformats-officedocument.spreadsheetml.worksheet+xml"/>
  <Override PartName="/xl/tables/table110.xml" ContentType="application/vnd.openxmlformats-officedocument.spreadsheetml.table+xml"/>
  <Override PartName="/xl/ctrlProps/ctrlProp536.xml" ContentType="application/vnd.ms-excel.controlproperties+xml"/>
  <Override PartName="/xl/ctrlProps/ctrlProp583.xml" ContentType="application/vnd.ms-excel.controlproperties+xml"/>
  <Override PartName="/xl/ctrlProps/ctrlProp722.xml" ContentType="application/vnd.ms-excel.controlproperties+xml"/>
  <Override PartName="/xl/ctrlProps/ctrlProp189.xml" ContentType="application/vnd.ms-excel.controlproperties+xml"/>
  <Override PartName="/xl/ctrlProps/ctrlProp205.xml" ContentType="application/vnd.ms-excel.controlproperties+xml"/>
  <Override PartName="/xl/ctrlProps/ctrlProp252.xml" ContentType="application/vnd.ms-excel.controlproperties+xml"/>
  <Override PartName="/xl/worksheets/sheet22.xml" ContentType="application/vnd.openxmlformats-officedocument.spreadsheetml.worksheet+xml"/>
  <Override PartName="/xl/tables/table23.xml" ContentType="application/vnd.openxmlformats-officedocument.spreadsheetml.table+xml"/>
  <Override PartName="/xl/tables/table70.xml" ContentType="application/vnd.openxmlformats-officedocument.spreadsheetml.table+xml"/>
  <Override PartName="/xl/ctrlProps/ctrlProp561.xml" ContentType="application/vnd.ms-excel.controlproperties+xml"/>
  <Override PartName="/xl/ctrlProps/ctrlProp514.xml" ContentType="application/vnd.ms-excel.controlproperties+xml"/>
  <Override PartName="/xl/ctrlProps/ctrlProp659.xml" ContentType="application/vnd.ms-excel.controlproperties+xml"/>
  <Override PartName="/xl/ctrlProps/ctrlProp76.xml" ContentType="application/vnd.ms-excel.controlproperties+xml"/>
  <Override PartName="/xl/ctrlProps/ctrlProp29.xml" ContentType="application/vnd.ms-excel.controlproperties+xml"/>
  <Override PartName="/xl/ctrlProps/ctrlProp375.xml" ContentType="application/vnd.ms-excel.controlproperties+xml"/>
  <Override PartName="/xl/ctrlProps/ctrlProp328.xml" ContentType="application/vnd.ms-excel.controlproperties+xml"/>
  <Override PartName="/xl/ctrlProps/ctrlProp230.xml" ContentType="application/vnd.ms-excel.controlproperties+xml"/>
  <Override PartName="/xl/comments6.xml" ContentType="application/vnd.openxmlformats-officedocument.spreadsheetml.comments+xml"/>
  <Override PartName="/xl/ctrlProps/ctrlProp498.xml" ContentType="application/vnd.ms-excel.controlproperties+xml"/>
  <Override PartName="/xl/ctrlProps/ctrlProp700.xml" ContentType="application/vnd.ms-excel.controlproperties+xml"/>
  <Override PartName="/xl/ctrlProps/ctrlProp167.xml" ContentType="application/vnd.ms-excel.controlproperties+xml"/>
  <Override PartName="/xl/ctrlProps/ctrlProp306.xml" ContentType="application/vnd.ms-excel.controlproperties+xml"/>
  <Override PartName="/xl/ctrlProps/ctrlProp353.xml" ContentType="application/vnd.ms-excel.controlproperties+xml"/>
  <Default Extension="rels" ContentType="application/vnd.openxmlformats-package.relationships+xml"/>
  <Override PartName="/xl/ctrlProps/ctrlProp429.xml" ContentType="application/vnd.ms-excel.controlproperties+xml"/>
  <Override PartName="/xl/ctrlProps/ctrlProp684.xml" ContentType="application/vnd.ms-excel.controlproperties+xml"/>
  <Override PartName="/xl/ctrlProps/ctrlProp637.xml" ContentType="application/vnd.ms-excel.controlproperties+xml"/>
  <Override PartName="/xl/ctrlProps/ctrlProp54.xml" ContentType="application/vnd.ms-excel.controlproperties+xml"/>
  <Override PartName="/xl/ctrlProps/ctrlProp145.xml" ContentType="application/vnd.ms-excel.controlproperties+xml"/>
  <Override PartName="/xl/ctrlProps/ctrlProp192.xml" ContentType="application/vnd.ms-excel.controlproperties+xml"/>
  <Override PartName="/xl/externalLinks/externalLink3.xml" ContentType="application/vnd.openxmlformats-officedocument.spreadsheetml.externalLink+xml"/>
  <Override PartName="/xl/externalLinks/externalLink14.xml" ContentType="application/vnd.openxmlformats-officedocument.spreadsheetml.externalLink+xml"/>
  <Override PartName="/xl/comments16.xml" ContentType="application/vnd.openxmlformats-officedocument.spreadsheetml.comments+xml"/>
  <Override PartName="/xl/ctrlProps/ctrlProp476.xml" ContentType="application/vnd.ms-excel.controlproperties+xml"/>
  <Override PartName="/xl/ctrlProps/ctrlProp662.xml" ContentType="application/vnd.ms-excel.controlproperties+xml"/>
  <Override PartName="/xl/ctrlProps/ctrlProp615.xml" ContentType="application/vnd.ms-excel.controlproperties+xml"/>
  <Override PartName="/xl/ctrlProps/ctrlProp8.xml" ContentType="application/vnd.ms-excel.controlproperties+xml"/>
  <Override PartName="/xl/ctrlProps/ctrlProp32.xml" ContentType="application/vnd.ms-excel.controlproperties+xml"/>
  <Override PartName="/xl/ctrlProps/ctrlProp268.xml" ContentType="application/vnd.ms-excel.controlproperties+xml"/>
  <Override PartName="/xl/ctrlProps/ctrlProp331.xml" ContentType="application/vnd.ms-excel.controlproperties+xml"/>
  <Override PartName="/xl/worksheets/sheet1.xml" ContentType="application/vnd.openxmlformats-officedocument.spreadsheetml.worksheet+xml"/>
  <Override PartName="/xl/tables/table126.xml" ContentType="application/vnd.openxmlformats-officedocument.spreadsheetml.table+xml"/>
  <Override PartName="/xl/ctrlProps/ctrlProp407.xml" ContentType="application/vnd.ms-excel.controlproperties+xml"/>
  <Override PartName="/xl/ctrlProps/ctrlProp454.xml" ContentType="application/vnd.ms-excel.controlproperties+xml"/>
  <Override PartName="/xl/ctrlProps/ctrlProp599.xml" ContentType="application/vnd.ms-excel.controlproperties+xml"/>
  <Override PartName="/xl/ctrlProps/ctrlProp738.xml" ContentType="application/vnd.ms-excel.controlproperties+xml"/>
  <Override PartName="/xl/ctrlProps/ctrlProp123.xml" ContentType="application/vnd.ms-excel.controlproperties+xml"/>
  <Override PartName="/xl/ctrlProps/ctrlProp170.xml" ContentType="application/vnd.ms-excel.controlproperties+xml"/>
  <Override PartName="/xl/worksheets/sheet38.xml" ContentType="application/vnd.openxmlformats-officedocument.spreadsheetml.worksheet+xml"/>
  <Override PartName="/xl/tables/table39.xml" ContentType="application/vnd.openxmlformats-officedocument.spreadsheetml.table+xml"/>
  <Override PartName="/xl/tables/table86.xml" ContentType="application/vnd.openxmlformats-officedocument.spreadsheetml.table+xml"/>
  <Override PartName="/xl/ctrlProps/ctrlProp577.xml" ContentType="application/vnd.ms-excel.controlproperties+xml"/>
  <Override PartName="/xl/ctrlProps/ctrlProp640.xml" ContentType="application/vnd.ms-excel.controlproperties+xml"/>
  <Override PartName="/xl/ctrlProps/ctrlProp101.xml" ContentType="application/vnd.ms-excel.controlproperties+xml"/>
  <Override PartName="/xl/ctrlProps/ctrlProp10.xml" ContentType="application/vnd.ms-excel.controlproperties+xml"/>
  <Override PartName="/xl/ctrlProps/ctrlProp293.xml" ContentType="application/vnd.ms-excel.controlproperties+xml"/>
  <Override PartName="/xl/ctrlProps/ctrlProp246.xml" ContentType="application/vnd.ms-excel.controlproperties+xml"/>
  <Override PartName="/xl/tables/table17.xml" ContentType="application/vnd.openxmlformats-officedocument.spreadsheetml.table+xml"/>
  <Override PartName="/xl/tables/table64.xml" ContentType="application/vnd.openxmlformats-officedocument.spreadsheetml.table+xml"/>
  <Override PartName="/xl/tables/table104.xml" ContentType="application/vnd.openxmlformats-officedocument.spreadsheetml.table+xml"/>
  <Override PartName="/xl/ctrlProps/ctrlProp432.xml" ContentType="application/vnd.ms-excel.controlproperties+xml"/>
  <Override PartName="/xl/ctrlProps/ctrlProp716.xml" ContentType="application/vnd.ms-excel.controlproperties+xml"/>
  <Override PartName="/xl/ctrlProps/ctrlProp763.xml" ContentType="application/vnd.ms-excel.controlproperties+xml"/>
  <Override PartName="/xl/ctrlProps/ctrlProp369.xml" ContentType="application/vnd.ms-excel.controlproperties+xml"/>
  <Override PartName="/xl/worksheets/sheet16.xml" ContentType="application/vnd.openxmlformats-officedocument.spreadsheetml.worksheet+xml"/>
  <Override PartName="/xl/charts/chart7.xml" ContentType="application/vnd.openxmlformats-officedocument.drawingml.chart+xml"/>
  <Override PartName="/xl/ctrlProps/ctrlProp508.xml" ContentType="application/vnd.ms-excel.controlproperties+xml"/>
  <Override PartName="/xl/ctrlProps/ctrlProp410.xml" ContentType="application/vnd.ms-excel.controlproperties+xml"/>
  <Override PartName="/xl/ctrlProps/ctrlProp555.xml" ContentType="application/vnd.ms-excel.controlproperties+xml"/>
  <Override PartName="/xl/ctrlProps/ctrlProp741.xml" ContentType="application/vnd.ms-excel.controlproperties+xml"/>
  <Override PartName="/xl/ctrlProps/ctrlProp224.xml" ContentType="application/vnd.ms-excel.controlproperties+xml"/>
  <Override PartName="/xl/ctrlProps/ctrlProp271.xml" ContentType="application/vnd.ms-excel.controlproperties+xml"/>
  <Override PartName="/xl/worksheets/sheet41.xml" ContentType="application/vnd.openxmlformats-officedocument.spreadsheetml.worksheet+xml"/>
  <Override PartName="/xl/tables/table42.xml" ContentType="application/vnd.openxmlformats-officedocument.spreadsheetml.table+xml"/>
  <Override PartName="/xl/ctrlProps/ctrlProp394.xml" ContentType="application/vnd.ms-excel.controlproperties+xml"/>
  <Override PartName="/xl/ctrlProps/ctrlProp533.xml" ContentType="application/vnd.ms-excel.controlproperties+xml"/>
  <Override PartName="/xl/ctrlProps/ctrlProp678.xml" ContentType="application/vnd.ms-excel.controlproperties+xml"/>
  <Override PartName="/xl/ctrlProps/ctrlProp580.xml" ContentType="application/vnd.ms-excel.controlproperties+xml"/>
  <Override PartName="/xl/ctrlProps/ctrlProp95.xml" ContentType="application/vnd.ms-excel.controlproperties+xml"/>
  <Override PartName="/xl/ctrlProps/ctrlProp48.xml" ContentType="application/vnd.ms-excel.controlproperties+xml"/>
  <Override PartName="/xl/ctrlProps/ctrlProp202.xml" ContentType="application/vnd.ms-excel.controlproperties+xml"/>
  <Override PartName="/xl/ctrlProps/ctrlProp347.xml" ContentType="application/vnd.ms-excel.controlproperties+xml"/>
  <Override PartName="/xl/tables/table20.xml" ContentType="application/vnd.openxmlformats-officedocument.spreadsheetml.table+xml"/>
  <Override PartName="/xl/ctrlProps/ctrlProp656.xml" ContentType="application/vnd.ms-excel.controlproperties+xml"/>
  <Override PartName="/xl/ctrlProps/ctrlProp609.xml" ContentType="application/vnd.ms-excel.controlproperties+xml"/>
  <Override PartName="/xl/ctrlProps/ctrlProp73.xml" ContentType="application/vnd.ms-excel.controlproperties+xml"/>
  <Override PartName="/xl/ctrlProps/ctrlProp26.xml" ContentType="application/vnd.ms-excel.controlproperties+xml"/>
  <Override PartName="/xl/ctrlProps/ctrlProp186.xml" ContentType="application/vnd.ms-excel.controlproperties+xml"/>
  <Override PartName="/xl/ctrlProps/ctrlProp139.xml" ContentType="application/vnd.ms-excel.controlproperties+xml"/>
  <Override PartName="/xl/ctrlProps/ctrlProp325.xml" ContentType="application/vnd.ms-excel.controlproperties+xml"/>
  <Override PartName="/xl/ctrlProps/ctrlProp372.xml" ContentType="application/vnd.ms-excel.controlproperties+xml"/>
  <Override PartName="/xl/ctrlProps/ctrlProp495.xml" ContentType="application/vnd.ms-excel.controlproperties+xml"/>
  <Override PartName="/xl/ctrlProps/ctrlProp511.xml" ContentType="application/vnd.ms-excel.controlproperties+xml"/>
  <Override PartName="/xl/ctrlProps/ctrlProp448.xml" ContentType="application/vnd.ms-excel.controlproperties+xml"/>
  <Override PartName="/xl/ctrlProps/ctrlProp164.xml" ContentType="application/vnd.ms-excel.controlproperties+xml"/>
  <Override PartName="/xl/ctrlProps/ctrlProp117.xml" ContentType="application/vnd.ms-excel.controlproperties+xml"/>
  <Override PartName="/xl/comments3.xml" ContentType="application/vnd.openxmlformats-officedocument.spreadsheetml.comments+xml"/>
  <Override PartName="/xl/ctrlProps/ctrlProp634.xml" ContentType="application/vnd.ms-excel.controlproperties+xml"/>
  <Override PartName="/xl/ctrlProps/ctrlProp681.xml" ContentType="application/vnd.ms-excel.controlproperties+xml"/>
  <Override PartName="/xl/ctrlProps/ctrlProp51.xml" ContentType="application/vnd.ms-excel.controlproperties+xml"/>
  <Override PartName="/xl/ctrlProps/ctrlProp287.xml" ContentType="application/vnd.ms-excel.controlproperties+xml"/>
  <Override PartName="/xl/ctrlProps/ctrlProp350.xml" ContentType="application/vnd.ms-excel.controlproperties+xml"/>
  <Override PartName="/xl/ctrlProps/ctrlProp303.xml" ContentType="application/vnd.ms-excel.controlproperties+xml"/>
  <Override PartName="/xl/externalLinks/externalLink11.xml" ContentType="application/vnd.openxmlformats-officedocument.spreadsheetml.externalLink+xml"/>
  <Override PartName="/xl/ctrlProps/ctrlProp426.xml" ContentType="application/vnd.ms-excel.controlproperties+xml"/>
  <Override PartName="/xl/ctrlProps/ctrlProp473.xml" ContentType="application/vnd.ms-excel.controlproperties+xml"/>
  <Override PartName="/xl/ctrlProps/ctrlProp757.xml" ContentType="application/vnd.ms-excel.controlproperties+xml"/>
  <Override PartName="/xl/ctrlProps/ctrlProp612.xml" ContentType="application/vnd.ms-excel.controlproperties+xml"/>
  <Override PartName="/xl/ctrlProps/ctrlProp142.xml" ContentType="application/vnd.ms-excel.controlproperties+xml"/>
  <Override PartName="/xl/ctrlProps/ctrlProp5.xml" ContentType="application/vnd.ms-excel.controlproperties+xml"/>
  <Override PartName="/xl/worksheets/sheet57.xml" ContentType="application/vnd.openxmlformats-officedocument.spreadsheetml.worksheet+xml"/>
  <Override PartName="/xl/tables/table8.xml" ContentType="application/vnd.openxmlformats-officedocument.spreadsheetml.table+xml"/>
  <Override PartName="/xl/tables/table58.xml" ContentType="application/vnd.openxmlformats-officedocument.spreadsheetml.table+xml"/>
  <Override PartName="/xl/comments13.xml" ContentType="application/vnd.openxmlformats-officedocument.spreadsheetml.comments+xml"/>
  <Override PartName="/xl/ctrlProps/ctrlProp451.xml" ContentType="application/vnd.ms-excel.controlproperties+xml"/>
  <Override PartName="/xl/ctrlProps/ctrlProp404.xml" ContentType="application/vnd.ms-excel.controlproperties+xml"/>
  <Override PartName="/xl/ctrlProps/ctrlProp549.xml" ContentType="application/vnd.ms-excel.controlproperties+xml"/>
  <Override PartName="/xl/ctrlProps/ctrlProp596.xml" ContentType="application/vnd.ms-excel.controlproperties+xml"/>
  <Override PartName="/xl/ctrlProps/ctrlProp120.xml" ContentType="application/vnd.ms-excel.controlproperties+xml"/>
  <Override PartName="/xl/ctrlProps/ctrlProp265.xml" ContentType="application/vnd.ms-excel.controlproperties+xml"/>
  <Override PartName="/xl/ctrlProps/ctrlProp218.xml" ContentType="application/vnd.ms-excel.controlproperties+xml"/>
  <Override PartName="/xl/tables/table36.xml" ContentType="application/vnd.openxmlformats-officedocument.spreadsheetml.table+xml"/>
  <Override PartName="/xl/tables/table83.xml" ContentType="application/vnd.openxmlformats-officedocument.spreadsheetml.table+xml"/>
  <Override PartName="/xl/tables/table123.xml" ContentType="application/vnd.openxmlformats-officedocument.spreadsheetml.table+xml"/>
  <Override PartName="/xl/ctrlProps/ctrlProp388.xml" ContentType="application/vnd.ms-excel.controlproperties+xml"/>
  <Override PartName="/xl/ctrlProps/ctrlProp735.xml" ContentType="application/vnd.ms-excel.controlproperties+xml"/>
  <Override PartName="/xl/ctrlProps/ctrlProp89.xml" ContentType="application/vnd.ms-excel.controlproperties+xml"/>
  <Override PartName="/xl/ctrlProps/ctrlProp243.xml" ContentType="application/vnd.ms-excel.controlproperties+xml"/>
  <Override PartName="/xl/ctrlProps/ctrlProp290.xml" ContentType="application/vnd.ms-excel.controlproperties+xml"/>
  <Override PartName="/xl/worksheets/sheet35.xml" ContentType="application/vnd.openxmlformats-officedocument.spreadsheetml.worksheet+xml"/>
  <Override PartName="/xl/tables/table101.xml" ContentType="application/vnd.openxmlformats-officedocument.spreadsheetml.table+xml"/>
  <Override PartName="/xl/ctrlProps/ctrlProp760.xml" ContentType="application/vnd.ms-excel.controlproperties+xml"/>
  <Override PartName="/xl/ctrlProps/ctrlProp574.xml" ContentType="application/vnd.ms-excel.controlproperties+xml"/>
  <Override PartName="/xl/worksheets/sheet60.xml" ContentType="application/vnd.openxmlformats-officedocument.spreadsheetml.worksheet+xml"/>
  <Override PartName="/xl/tables/table14.xml" ContentType="application/vnd.openxmlformats-officedocument.spreadsheetml.table+xml"/>
  <Override PartName="/xl/charts/chart4.xml" ContentType="application/vnd.openxmlformats-officedocument.drawingml.chart+xml"/>
  <Override PartName="/xl/ctrlProps/ctrlProp505.xml" ContentType="application/vnd.ms-excel.controlproperties+xml"/>
  <Override PartName="/xl/ctrlProps/ctrlProp67.xml" ContentType="application/vnd.ms-excel.controlproperties+xml"/>
  <Override PartName="/xl/ctrlProps/ctrlProp319.xml" ContentType="application/vnd.ms-excel.controlproperties+xml"/>
  <Override PartName="/xl/ctrlProps/ctrlProp489.xml" ContentType="application/vnd.ms-excel.controlproperties+xml"/>
  <Override PartName="/xl/ctrlProps/ctrlProp675.xml" ContentType="application/vnd.ms-excel.controlproperties+xml"/>
  <Override PartName="/xl/ctrlProps/ctrlProp158.xml" ContentType="application/vnd.ms-excel.controlproperties+xml"/>
  <Override PartName="/xl/ctrlProps/ctrlProp92.xml" ContentType="application/vnd.ms-excel.controlproperties+xml"/>
  <Override PartName="/xl/ctrlProps/ctrlProp344.xml" ContentType="application/vnd.ms-excel.controlproperties+xml"/>
  <Override PartName="/xl/ctrlProps/ctrlProp530.xml" ContentType="application/vnd.ms-excel.controlproperties+xml"/>
  <Override PartName="/xl/ctrlProps/ctrlProp183.xml" ContentType="application/vnd.ms-excel.controlproperties+xml"/>
  <Override PartName="/xl/tables/table99.xml" ContentType="application/vnd.openxmlformats-officedocument.spreadsheetml.table+xml"/>
  <Override PartName="/xl/ctrlProps/ctrlProp606.xml" ContentType="application/vnd.ms-excel.controlproperties+xml"/>
  <Override PartName="/xl/ctrlProps/ctrlProp23.xml" ContentType="application/vnd.ms-excel.controlproperties+xml"/>
  <Override PartName="/xl/ctrlProps/ctrlProp259.xml" ContentType="application/vnd.ms-excel.controlproperties+xml"/>
  <Override PartName="/xl/tables/table117.xml" ContentType="application/vnd.openxmlformats-officedocument.spreadsheetml.table+xml"/>
  <Override PartName="/xl/ctrlProps/ctrlProp445.xml" ContentType="application/vnd.ms-excel.controlproperties+xml"/>
  <Override PartName="/xl/ctrlProps/ctrlProp631.xml" ContentType="application/vnd.ms-excel.controlproperties+xml"/>
  <Override PartName="/xl/ctrlProps/ctrlProp114.xml" ContentType="application/vnd.ms-excel.controlproperties+xml"/>
  <Override PartName="/xl/ctrlProps/ctrlProp300.xml" ContentType="application/vnd.ms-excel.controlproperties+xml"/>
  <Override PartName="/xl/ctrlProps/ctrlProp470.xml" ContentType="application/vnd.ms-excel.controlproperties+xml"/>
  <Override PartName="/xl/ctrlProps/ctrlProp284.xml" ContentType="application/vnd.ms-excel.controlproperties+xml"/>
  <Override PartName="/xl/comments10.xml" ContentType="application/vnd.openxmlformats-officedocument.spreadsheetml.comments+xml"/>
  <Override PartName="/xl/tables/table55.xml" ContentType="application/vnd.openxmlformats-officedocument.spreadsheetml.table+xml"/>
  <Override PartName="/xl/ctrlProps/ctrlProp707.xml" ContentType="application/vnd.ms-excel.controlproperties+xml"/>
  <Override PartName="/xl/ctrlProps/ctrlProp2.xml" ContentType="application/vnd.ms-excel.controlproperties+xml"/>
  <Override PartName="/xl/ctrlProps/ctrlProp215.xml" ContentType="application/vnd.ms-excel.controlproperties+xml"/>
  <Override PartName="/xl/ctrlProps/ctrlProp546.xml" ContentType="application/vnd.ms-excel.controlproperties+xml"/>
  <Override PartName="/xl/ctrlProps/ctrlProp401.xml" ContentType="application/vnd.ms-excel.controlproperties+xml"/>
  <Override PartName="/xl/ctrlProps/ctrlProp732.xml" ContentType="application/vnd.ms-excel.controlproperties+xml"/>
  <Override PartName="/xl/ctrlProps/ctrlProp199.xml" ContentType="application/vnd.ms-excel.controlproperties+xml"/>
  <Override PartName="/xl/worksheets/sheet32.xml" ContentType="application/vnd.openxmlformats-officedocument.spreadsheetml.worksheet+xml"/>
  <Override PartName="/xl/tables/table80.xml" ContentType="application/vnd.openxmlformats-officedocument.spreadsheetml.table+xml"/>
  <Override PartName="/xl/ctrlProps/ctrlProp571.xml" ContentType="application/vnd.ms-excel.controlproperties+xml"/>
  <Override PartName="/xl/ctrlProps/ctrlProp385.xml" ContentType="application/vnd.ms-excel.controlproperties+xml"/>
  <Override PartName="/xl/ctrlProps/ctrlProp39.xml" ContentType="application/vnd.ms-excel.controlproperties+xml"/>
  <Override PartName="/xl/ctrlProps/ctrlProp240.xml" ContentType="application/vnd.ms-excel.controlproperties+xml"/>
  <Override PartName="/xl/worksheets/sheet8.xml" ContentType="application/vnd.openxmlformats-officedocument.spreadsheetml.worksheet+xml"/>
  <Override PartName="/xl/tables/table11.xml" ContentType="application/vnd.openxmlformats-officedocument.spreadsheetml.table+xml"/>
  <Override PartName="/xl/ctrlProps/ctrlProp647.xml" ContentType="application/vnd.ms-excel.controlproperties+xml"/>
  <Override PartName="/xl/ctrlProps/ctrlProp64.xml" ContentType="application/vnd.ms-excel.controlproperties+xml"/>
  <Override PartName="/xl/ctrlProps/ctrlProp316.xml" ContentType="application/vnd.ms-excel.controlproperties+xml"/>
  <Override PartName="/xl/charts/chart1.xml" ContentType="application/vnd.openxmlformats-officedocument.drawingml.chart+xml"/>
  <Override PartName="/xl/ctrlProps/ctrlProp486.xml" ContentType="application/vnd.ms-excel.controlproperties+xml"/>
  <Override PartName="/xl/ctrlProps/ctrlProp502.xml" ContentType="application/vnd.ms-excel.controlproperties+xml"/>
  <Override PartName="/xl/ctrlProps/ctrlProp155.xml" ContentType="application/vnd.ms-excel.controlproperties+xml"/>
  <Override PartName="/xl/ctrlProps/ctrlProp672.xml" ContentType="application/vnd.ms-excel.controlproperties+xml"/>
  <Override PartName="/xl/ctrlProps/ctrlProp341.xml" ContentType="application/vnd.ms-excel.controlproperties+xml"/>
  <Override PartName="/xl/tables/table96.xml" ContentType="application/vnd.openxmlformats-officedocument.spreadsheetml.table+xml"/>
  <Override PartName="/xl/calcChain.xml" ContentType="application/vnd.openxmlformats-officedocument.spreadsheetml.calcChain+xml"/>
  <Override PartName="/xl/ctrlProps/ctrlProp417.xml" ContentType="application/vnd.ms-excel.controlproperties+xml"/>
  <Override PartName="/xl/ctrlProps/ctrlProp603.xml" ContentType="application/vnd.ms-excel.controlproperties+xml"/>
  <Override PartName="/xl/ctrlProps/ctrlProp748.xml" ContentType="application/vnd.ms-excel.controlproperties+xml"/>
  <Override PartName="/xl/ctrlProps/ctrlProp20.xml" ContentType="application/vnd.ms-excel.controlproperties+xml"/>
  <Override PartName="/xl/ctrlProps/ctrlProp180.xml" ContentType="application/vnd.ms-excel.controlproperties+xml"/>
  <Override PartName="/xl/worksheets/sheet48.xml" ContentType="application/vnd.openxmlformats-officedocument.spreadsheetml.worksheet+xml"/>
  <Override PartName="/xl/tables/table114.xml" ContentType="application/vnd.openxmlformats-officedocument.spreadsheetml.table+xml"/>
  <Override PartName="/xl/ctrlProps/ctrlProp442.xml" ContentType="application/vnd.ms-excel.controlproperties+xml"/>
  <Override PartName="/xl/ctrlProps/ctrlProp587.xml" ContentType="application/vnd.ms-excel.controlproperties+xml"/>
  <Override PartName="/xl/ctrlProps/ctrlProp111.xml" ContentType="application/vnd.ms-excel.controlproperties+xml"/>
  <Override PartName="/xl/ctrlProps/ctrlProp256.xml" ContentType="application/vnd.ms-excel.controlproperties+xml"/>
  <Override PartName="/xl/tables/table27.xml" ContentType="application/vnd.openxmlformats-officedocument.spreadsheetml.table+xml"/>
  <Override PartName="/xl/ctrlProps/ctrlProp518.xml" ContentType="application/vnd.ms-excel.controlproperties+xml"/>
  <Override PartName="/xl/ctrlProps/ctrlProp281.xml" ContentType="application/vnd.ms-excel.controlproperties+xml"/>
  <Override PartName="/xl/ctrlProps/ctrlProp704.xml" ContentType="application/vnd.ms-excel.controlproperties+xml"/>
  <Override PartName="/xl/ctrlProps/ctrlProp357.xml" ContentType="application/vnd.ms-excel.controlproperties+xml"/>
  <Override PartName="/xl/tables/table52.xml" ContentType="application/vnd.openxmlformats-officedocument.spreadsheetml.table+xml"/>
  <Override PartName="/xl/ctrlProps/ctrlProp543.xml" ContentType="application/vnd.ms-excel.controlproperties+xml"/>
  <Override PartName="/xl/ctrlProps/ctrlProp688.xml" ContentType="application/vnd.ms-excel.controlproperties+xml"/>
  <Override PartName="/xl/ctrlProps/ctrlProp196.xml" ContentType="application/vnd.ms-excel.controlproperties+xml"/>
  <Override PartName="/xl/ctrlProps/ctrlProp212.xml" ContentType="application/vnd.ms-excel.controlproperties+xml"/>
  <Override PartName="/xl/externalLinks/externalLink7.xml" ContentType="application/vnd.openxmlformats-officedocument.spreadsheetml.externalLink+xml"/>
  <Override PartName="/xl/ctrlProps/ctrlProp619.xml" ContentType="application/vnd.ms-excel.controlproperties+xml"/>
  <Override PartName="/xl/ctrlProps/ctrlProp36.xml" ContentType="application/vnd.ms-excel.controlproperties+xml"/>
  <Override PartName="/xl/ctrlProps/ctrlProp382.xml" ContentType="application/vnd.ms-excel.controlproperties+xml"/>
  <Override PartName="/xl/worksheets/sheet5.xml" ContentType="application/vnd.openxmlformats-officedocument.spreadsheetml.worksheet+xml"/>
  <Override PartName="/xl/ctrlProps/ctrlProp458.xml" ContentType="application/vnd.ms-excel.controlproperties+xml"/>
  <Override PartName="/xl/ctrlProps/ctrlProp127.xml" ContentType="application/vnd.ms-excel.controlproperties+xml"/>
  <Override PartName="/xl/ctrlProps/ctrlProp313.xml" ContentType="application/vnd.ms-excel.controlproperties+xml"/>
  <Override PartName="/xl/ctrlProps/ctrlProp644.xml" ContentType="application/vnd.ms-excel.controlproperties+xml"/>
  <Override PartName="/xl/ctrlProps/ctrlProp152.xml" ContentType="application/vnd.ms-excel.controlproperties+xml"/>
  <Override PartName="/xl/ctrlProps/ctrlProp61.xml" ContentType="application/vnd.ms-excel.controlproperties+xml"/>
  <Override PartName="/xl/ctrlProps/ctrlProp297.xml" ContentType="application/vnd.ms-excel.controlproperties+xml"/>
  <Override PartName="/xl/tables/table68.xml" ContentType="application/vnd.openxmlformats-officedocument.spreadsheetml.table+xml"/>
  <Override PartName="/xl/ctrlProps/ctrlProp483.xml" ContentType="application/vnd.ms-excel.controlproperties+xml"/>
  <Override PartName="/xl/ctrlProps/ctrlProp414.xml" ContentType="application/vnd.ms-excel.controlproperties+xml"/>
  <Override PartName="/xl/ctrlProps/ctrlProp559.xml" ContentType="application/vnd.ms-excel.controlproperties+xml"/>
  <Override PartName="/xl/ctrlProps/ctrlProp745.xml" ContentType="application/vnd.ms-excel.controlproperties+xml"/>
  <Override PartName="/xl/ctrlProps/ctrlProp228.xml" ContentType="application/vnd.ms-excel.controlproperties+xml"/>
  <Override PartName="/xl/worksheets/sheet45.xml" ContentType="application/vnd.openxmlformats-officedocument.spreadsheetml.worksheet+xml"/>
  <Override PartName="/xl/tables/table93.xml" ContentType="application/vnd.openxmlformats-officedocument.spreadsheetml.table+xml"/>
  <Override PartName="/xl/ctrlProps/ctrlProp398.xml" ContentType="application/vnd.ms-excel.controlproperties+xml"/>
  <Override PartName="/xl/ctrlProps/ctrlProp584.xml" ContentType="application/vnd.ms-excel.controlproperties+xml"/>
  <Override PartName="/xl/ctrlProps/ctrlProp600.xml" ContentType="application/vnd.ms-excel.controlproperties+xml"/>
  <Override PartName="/xl/ctrlProps/ctrlProp253.xml" ContentType="application/vnd.ms-excel.controlproperties+xml"/>
  <Override PartName="/xl/tables/table24.xml" ContentType="application/vnd.openxmlformats-officedocument.spreadsheetml.table+xml"/>
  <Override PartName="/xl/tables/table111.xml" ContentType="application/vnd.openxmlformats-officedocument.spreadsheetml.table+xml"/>
  <Override PartName="/xl/ctrlProps/ctrlProp77.xml" ContentType="application/vnd.ms-excel.controlproperties+xml"/>
  <Override PartName="/xl/ctrlProps/ctrlProp329.xml" ContentType="application/vnd.ms-excel.controlproperties+xml"/>
  <Override PartName="/xl/ctrlProps/ctrlProp515.xml" ContentType="application/vnd.ms-excel.controlproperties+xml"/>
  <Override PartName="/xl/ctrlProps/ctrlProp701.xml" ContentType="application/vnd.ms-excel.controlproperties+xml"/>
  <Override PartName="/xl/ctrlProps/ctrlProp168.xml" ContentType="application/vnd.ms-excel.controlproperties+xml"/>
  <Override PartName="/xl/comments7.xml" ContentType="application/vnd.openxmlformats-officedocument.spreadsheetml.comments+xml"/>
  <Override PartName="/xl/ctrlProps/ctrlProp540.xml" ContentType="application/vnd.ms-excel.controlproperties+xml"/>
  <Override PartName="/xl/ctrlProps/ctrlProp499.xml" ContentType="application/vnd.ms-excel.controlproperties+xml"/>
  <Override PartName="/xl/ctrlProps/ctrlProp685.xml" ContentType="application/vnd.ms-excel.controlproperties+xml"/>
  <Override PartName="/xl/ctrlProps/ctrlProp354.xml" ContentType="application/vnd.ms-excel.controlproperties+xml"/>
  <Override PartName="/xl/externalLinks/externalLink4.xml" ContentType="application/vnd.openxmlformats-officedocument.spreadsheetml.externalLink+xml"/>
  <Override PartName="/xl/externalLinks/externalLink15.xml" ContentType="application/vnd.openxmlformats-officedocument.spreadsheetml.externalLink+xml"/>
  <Override PartName="/xl/ctrlProps/ctrlProp193.xml" ContentType="application/vnd.ms-excel.controlproperties+xml"/>
  <Override PartName="/xl/worksheets/sheet2.xml" ContentType="application/vnd.openxmlformats-officedocument.spreadsheetml.worksheet+xml"/>
  <Override PartName="/xl/ctrlProps/ctrlProp616.xml" ContentType="application/vnd.ms-excel.controlproperties+xml"/>
  <Override PartName="/xl/ctrlProps/ctrlProp33.xml" ContentType="application/vnd.ms-excel.controlproperties+xml"/>
  <Override PartName="/xl/ctrlProps/ctrlProp124.xml" ContentType="application/vnd.ms-excel.controlproperties+xml"/>
  <Override PartName="/xl/ctrlProps/ctrlProp269.xml" ContentType="application/vnd.ms-excel.controlproperties+xml"/>
  <Override PartName="/xl/tables/table127.xml" ContentType="application/vnd.openxmlformats-officedocument.spreadsheetml.table+xml"/>
  <Override PartName="/xl/ctrlProps/ctrlProp455.xml" ContentType="application/vnd.ms-excel.controlproperties+xml"/>
  <Override PartName="/xl/ctrlProps/ctrlProp641.xml" ContentType="application/vnd.ms-excel.controlproperties+xml"/>
  <Override PartName="/xl/ctrlProps/ctrlProp310.xml" ContentType="application/vnd.ms-excel.controlproperties+xml"/>
  <Override PartName="/xl/ctrlProps/ctrlProp480.xml" ContentType="application/vnd.ms-excel.controlproperties+xml"/>
  <Override PartName="/xl/ctrlProps/ctrlProp717.xml" ContentType="application/vnd.ms-excel.controlproperties+xml"/>
  <Override PartName="/xl/ctrlProps/ctrlProp294.xml" ContentType="application/vnd.ms-excel.controlproperties+xml"/>
  <Override PartName="/xl/worksheets/sheet17.xml" ContentType="application/vnd.openxmlformats-officedocument.spreadsheetml.worksheet+xml"/>
  <Override PartName="/xl/tables/table65.xml" ContentType="application/vnd.openxmlformats-officedocument.spreadsheetml.table+xml"/>
  <Override PartName="/xl/ctrlProps/ctrlProp556.xml" ContentType="application/vnd.ms-excel.controlproperties+xml"/>
  <Override PartName="/xl/ctrlProps/ctrlProp225.xml" ContentType="application/vnd.ms-excel.controlproperties+xml"/>
  <Override PartName="/xl/tables/table90.xml" ContentType="application/vnd.openxmlformats-officedocument.spreadsheetml.table+xml"/>
  <Override PartName="/xl/ctrlProps/ctrlProp395.xml" ContentType="application/vnd.ms-excel.controlproperties+xml"/>
  <Override PartName="/xl/ctrlProps/ctrlProp411.xml" ContentType="application/vnd.ms-excel.controlproperties+xml"/>
  <Override PartName="/xl/ctrlProps/ctrlProp742.xml" ContentType="application/vnd.ms-excel.controlproperties+xml"/>
  <Override PartName="/xl/ctrlProps/ctrlProp49.xml" ContentType="application/vnd.ms-excel.controlproperties+xml"/>
  <Override PartName="/xl/worksheets/sheet42.xml" ContentType="application/vnd.openxmlformats-officedocument.spreadsheetml.worksheet+xml"/>
  <Override PartName="/xl/ctrlProps/ctrlProp581.xml" ContentType="application/vnd.ms-excel.controlproperties+xml"/>
  <Override PartName="/xl/ctrlProps/ctrlProp250.xml" ContentType="application/vnd.ms-excel.controlproperties+xml"/>
  <Override PartName="/xl/tables/table21.xml" ContentType="application/vnd.openxmlformats-officedocument.spreadsheetml.table+xml"/>
  <Override PartName="/xl/ctrlProps/ctrlProp512.xml" ContentType="application/vnd.ms-excel.controlproperties+xml"/>
  <Override PartName="/xl/ctrlProps/ctrlProp657.xml" ContentType="application/vnd.ms-excel.controlproperties+xml"/>
  <Override PartName="/xl/ctrlProps/ctrlProp74.xml" ContentType="application/vnd.ms-excel.controlproperties+xml"/>
  <Override PartName="/xl/ctrlProps/ctrlProp326.xml" ContentType="application/vnd.ms-excel.controlproperties+xml"/>
  <Override PartName="/xl/comments4.xml" ContentType="application/vnd.openxmlformats-officedocument.spreadsheetml.comments+xml"/>
  <Override PartName="/xl/ctrlProps/ctrlProp496.xml" ContentType="application/vnd.ms-excel.controlproperties+xml"/>
  <Override PartName="/xl/ctrlProps/ctrlProp682.xml" ContentType="application/vnd.ms-excel.controlproperties+xml"/>
  <Override PartName="/xl/ctrlProps/ctrlProp165.xml" ContentType="application/vnd.ms-excel.controlproperties+xml"/>
  <Override PartName="/xl/ctrlProps/ctrlProp351.xml" ContentType="application/vnd.ms-excel.controlproperties+xml"/>
  <Override PartName="/xl/ctrlProps/ctrlProp427.xml" ContentType="application/vnd.ms-excel.controlproperties+xml"/>
  <Override PartName="/xl/ctrlProps/ctrlProp190.xml" ContentType="application/vnd.ms-excel.controlproperties+xml"/>
  <Override PartName="/xl/externalLinks/externalLink1.xml" ContentType="application/vnd.openxmlformats-officedocument.spreadsheetml.externalLink+xml"/>
  <Override PartName="/xl/externalLinks/externalLink12.xml" ContentType="application/vnd.openxmlformats-officedocument.spreadsheetml.externalLink+xml"/>
  <Override PartName="/xl/tables/table9.xml" ContentType="application/vnd.openxmlformats-officedocument.spreadsheetml.table+xml"/>
  <Override PartName="/xl/ctrlProps/ctrlProp613.xml" ContentType="application/vnd.ms-excel.controlproperties+xml"/>
  <Override PartName="/xl/ctrlProps/ctrlProp758.xml" ContentType="application/vnd.ms-excel.controlproperties+xml"/>
  <Override PartName="/xl/ctrlProps/ctrlProp30.xml" ContentType="application/vnd.ms-excel.controlproperties+xml"/>
  <Override PartName="/xl/ctrlProps/ctrlProp266.xml" ContentType="application/vnd.ms-excel.controlproperties+xml"/>
  <Override PartName="/xl/worksheets/sheet58.xml" ContentType="application/vnd.openxmlformats-officedocument.spreadsheetml.worksheet+xml"/>
  <Override PartName="/xl/tables/table124.xml" ContentType="application/vnd.openxmlformats-officedocument.spreadsheetml.table+xml"/>
  <Override PartName="/xl/ctrlProps/ctrlProp452.xml" ContentType="application/vnd.ms-excel.controlproperties+xml"/>
  <Override PartName="/xl/ctrlProps/ctrlProp597.xml" ContentType="application/vnd.ms-excel.controlproperties+xml"/>
  <Override PartName="/xl/ctrlProps/ctrlProp121.xml" ContentType="application/vnd.ms-excel.controlproperties+xml"/>
  <Override PartName="/xl/tables/table37.xml" ContentType="application/vnd.openxmlformats-officedocument.spreadsheetml.table+xml"/>
  <Override PartName="/xl/ctrlProps/ctrlProp528.xml" ContentType="application/vnd.ms-excel.controlproperties+xml"/>
  <Override PartName="/xl/ctrlProps/ctrlProp291.xml" ContentType="application/vnd.ms-excel.controlproperties+xml"/>
  <Override PartName="/xl/tables/table62.xml" ContentType="application/vnd.openxmlformats-officedocument.spreadsheetml.table+xml"/>
  <Default Extension="bin" ContentType="application/vnd.openxmlformats-officedocument.spreadsheetml.printerSettings"/>
  <Override PartName="/xl/ctrlProps/ctrlProp714.xml" ContentType="application/vnd.ms-excel.controlproperties+xml"/>
  <Override PartName="/xl/ctrlProps/ctrlProp698.xml" ContentType="application/vnd.ms-excel.controlproperties+xml"/>
  <Override PartName="/xl/ctrlProps/ctrlProp222.xml" ContentType="application/vnd.ms-excel.controlproperties+xml"/>
  <Override PartName="/xl/ctrlProps/ctrlProp367.xml" ContentType="application/vnd.ms-excel.controlproperties+xml"/>
  <Override PartName="/xl/worksheets/sheet14.xml" ContentType="application/vnd.openxmlformats-officedocument.spreadsheetml.worksheet+xml"/>
  <Override PartName="/xl/ctrlProps/ctrlProp553.xml" ContentType="application/vnd.ms-excel.contro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codeName="ThisWorkbook" autoCompressPictures="0"/>
  <bookViews>
    <workbookView xWindow="0" yWindow="0" windowWidth="15600" windowHeight="7455" tabRatio="663" firstSheet="16" activeTab="30"/>
  </bookViews>
  <sheets>
    <sheet name="I.a" sheetId="197" r:id="rId1"/>
    <sheet name="I.b" sheetId="133" r:id="rId2"/>
    <sheet name="I.c" sheetId="200" r:id="rId3"/>
    <sheet name="I.d" sheetId="204" r:id="rId4"/>
    <sheet name="II" sheetId="182" r:id="rId5"/>
    <sheet name="III" sheetId="190" r:id="rId6"/>
    <sheet name="IV.a" sheetId="234" r:id="rId7"/>
    <sheet name="IV.b" sheetId="233" r:id="rId8"/>
    <sheet name="IV.c.1" sheetId="237" r:id="rId9"/>
    <sheet name="IV.c.2" sheetId="236" r:id="rId10"/>
    <sheet name="IV.d" sheetId="235" r:id="rId11"/>
    <sheet name="V.a" sheetId="168" r:id="rId12"/>
    <sheet name="V.b" sheetId="154" r:id="rId13"/>
    <sheet name="V.c" sheetId="153" r:id="rId14"/>
    <sheet name="V.d" sheetId="244" r:id="rId15"/>
    <sheet name="V.e" sheetId="245" r:id="rId16"/>
    <sheet name="VI" sheetId="238" r:id="rId17"/>
    <sheet name="VII.a" sheetId="198" r:id="rId18"/>
    <sheet name="VII.b" sheetId="199" r:id="rId19"/>
    <sheet name="IX" sheetId="189" r:id="rId20"/>
    <sheet name="X.a" sheetId="187" r:id="rId21"/>
    <sheet name="X.b" sheetId="188" r:id="rId22"/>
    <sheet name="XII.a" sheetId="271" r:id="rId23"/>
    <sheet name="XII.b" sheetId="272" r:id="rId24"/>
    <sheet name="XIII.a" sheetId="159" r:id="rId25"/>
    <sheet name="XIII.b" sheetId="157" r:id="rId26"/>
    <sheet name="XIV" sheetId="184" r:id="rId27"/>
    <sheet name="XV.a" sheetId="194" r:id="rId28"/>
    <sheet name="XV.b" sheetId="48" r:id="rId29"/>
    <sheet name="XV.c" sheetId="196" r:id="rId30"/>
    <sheet name="XVI" sheetId="191" r:id="rId31"/>
    <sheet name="XVII.a" sheetId="203" r:id="rId32"/>
    <sheet name="XVII.b" sheetId="201" r:id="rId33"/>
    <sheet name="Preferences" sheetId="24" r:id="rId34"/>
    <sheet name="Land &amp; Emissions" sheetId="273" r:id="rId35"/>
    <sheet name="Demand-Generation" sheetId="274" r:id="rId36"/>
    <sheet name="Demand-Supply" sheetId="275" r:id="rId37"/>
    <sheet name="Cost and Energy Security" sheetId="241" r:id="rId38"/>
    <sheet name="Charts" sheetId="280" r:id="rId39"/>
    <sheet name="Intermediate output" sheetId="279" r:id="rId40"/>
    <sheet name="Control" sheetId="232" r:id="rId41"/>
    <sheet name="Sheet1" sheetId="278" r:id="rId42"/>
    <sheet name="Pathways" sheetId="277" r:id="rId43"/>
    <sheet name="XI" sheetId="270" r:id="rId44"/>
    <sheet name="Oil Story" sheetId="276" r:id="rId45"/>
    <sheet name="2012 Baseline" sheetId="269" r:id="rId46"/>
    <sheet name="Conversions" sheetId="6" r:id="rId47"/>
    <sheet name="Global assumptions" sheetId="35" r:id="rId48"/>
    <sheet name="Constants" sheetId="12" r:id="rId49"/>
    <sheet name="Structure of the model" sheetId="23" r:id="rId50"/>
    <sheet name="Flows" sheetId="231" r:id="rId51"/>
    <sheet name="Land Use" sheetId="228" r:id="rId52"/>
    <sheet name="2007" sheetId="257" r:id="rId53"/>
    <sheet name="2012" sheetId="255" r:id="rId54"/>
    <sheet name="2017" sheetId="256" r:id="rId55"/>
    <sheet name="2022" sheetId="248" r:id="rId56"/>
    <sheet name="2027" sheetId="258" r:id="rId57"/>
    <sheet name="2032" sheetId="259" r:id="rId58"/>
    <sheet name="2037" sheetId="260" r:id="rId59"/>
    <sheet name="2042" sheetId="261" r:id="rId60"/>
    <sheet name="2047" sheetId="262" r:id="rId61"/>
    <sheet name="2052" sheetId="263" r:id="rId62"/>
  </sheets>
  <externalReferences>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s>
  <definedNames>
    <definedName name="_xlnm._FilterDatabase" localSheetId="38" hidden="1">Charts!$AY$408:$AY$590</definedName>
    <definedName name="_xlnm._FilterDatabase" localSheetId="40" hidden="1">Control!$A$4:$BR$54</definedName>
    <definedName name="_xlnm._FilterDatabase" localSheetId="50" hidden="1">Flows!$C$6:$C$62</definedName>
    <definedName name="_xlnm._FilterDatabase" localSheetId="39" hidden="1">'Intermediate output'!$AY$339:$AY$519</definedName>
    <definedName name="_xlnm._FilterDatabase" localSheetId="44" hidden="1">'Oil Story'!$AY$339:$AY$519</definedName>
    <definedName name="_xlnm._FilterDatabase" localSheetId="42" hidden="1">Pathways!$AY$398:$AY$579</definedName>
    <definedName name="_xlnm._FilterDatabase" localSheetId="12" hidden="1">V.b!#REF!</definedName>
    <definedName name="CHart1" localSheetId="34">'Land &amp; Emissions'!$N$7:$O$8</definedName>
    <definedName name="CHart1">#REF!</definedName>
    <definedName name="Constants.Density.Diesel">Constants!$C$38</definedName>
    <definedName name="Constants.Density.Ethanol">Constants!$C$36</definedName>
    <definedName name="Constants.Density.JetFuel">Constants!$C$37</definedName>
    <definedName name="Constants.Density.MotorSpirit">Constants!$C$35</definedName>
    <definedName name="Constants.GCV.ATF">[1]Constants!$C$18</definedName>
    <definedName name="Constants.GCV.Coal">[1]Constants!$C$8</definedName>
    <definedName name="Constants.GCV.Coke">[1]Constants!$C$9</definedName>
    <definedName name="Constants.GCV.CokeBreeze">[1]Constants!$C$10</definedName>
    <definedName name="Constants.GCV.Diesel">[1]Constants!$C$17</definedName>
    <definedName name="Constants.GCV.LandfillGas">Constants!$C$25</definedName>
    <definedName name="Constants.GCV.NaturalGasProduced">[1]Constants!$C$21</definedName>
    <definedName name="Conversion.to.annual.energy">Conversions!$E$82</definedName>
    <definedName name="Conversion.to.average.power">Conversions!$E$81</definedName>
    <definedName name="Conversion.to.energy.per.second">Conversions!$E$83</definedName>
    <definedName name="Conversion.UKgallons.to.litres">Conversions!$E$88</definedName>
    <definedName name="Conversion.USgallons.to.litres">Conversions!$E$89</definedName>
    <definedName name="Conversions.Area.m2">Conversions!$E$71:$E$76</definedName>
    <definedName name="Conversions.Area.Units">Conversions!$B$71:$B$76</definedName>
    <definedName name="Conversions.Energy.Joules">Conversions!$E$5:$E$47</definedName>
    <definedName name="Conversions.Energy.Units">Conversions!$B$5:$B$47</definedName>
    <definedName name="Conversions.Money.GBP">Conversions!$F$94:$F$108</definedName>
    <definedName name="Conversions.Money.Units">Conversions!$B$94:$B$108</definedName>
    <definedName name="Conversions.Power.Units">Conversions!$B$53:$B$58</definedName>
    <definedName name="Conversions.Power.Watts">Conversions!$E$53:$E$58</definedName>
    <definedName name="cost.FinanceCosttable">'Global assumptions'!$B$37:$I$88</definedName>
    <definedName name="discount_factors">'Global assumptions'!$D$29:$K$29</definedName>
    <definedName name="Discount_rate">'Global assumptions'!$C$27</definedName>
    <definedName name="EF.BlastFurnaceGas.CO2">Constants!$F$11</definedName>
    <definedName name="EF.Diesel.CH4">Constants!$G$9</definedName>
    <definedName name="EF.Diesel.CO2">Constants!$F$9</definedName>
    <definedName name="EF.Diesel.N2O">Constants!$H$9</definedName>
    <definedName name="EF.IndustrialCoal.CH4">Constants!$G$8</definedName>
    <definedName name="EF.IndustrialCoal.CO2">Constants!$F$8</definedName>
    <definedName name="EF.IndustrialCoal.N2O">Constants!$H$8</definedName>
    <definedName name="EF.NaturalGas.CH4">Constants!$G$10</definedName>
    <definedName name="EF.NaturalGas.CO2">Constants!$F$10</definedName>
    <definedName name="EF.NaturalGas.N2O">Constants!$H$10</definedName>
    <definedName name="EnergyPrice.Scenario">[2]Control!$T$2</definedName>
    <definedName name="Euro2002_">Conversions!$E$98</definedName>
    <definedName name="GBP">Conversions!$E$108</definedName>
    <definedName name="GBPppyr">Conversions!#REF!</definedName>
    <definedName name="GDP.Scenario">[2]Control!$G$2</definedName>
    <definedName name="GGBP">Conversions!$E$95</definedName>
    <definedName name="Global.UKIncidentSolarEnergy">'Global assumptions'!$D$20</definedName>
    <definedName name="Global.UKIncidentSolarEnergy_SouthFacing">'Global assumptions'!$D$21</definedName>
    <definedName name="GWP.CH4">Constants!$K$9</definedName>
    <definedName name="GWP.N2O">Constants!$K$10</definedName>
    <definedName name="himanshu.practice">[1]IX.c!$I$12</definedName>
    <definedName name="I.01">XV.b.Outputs[]</definedName>
    <definedName name="I.a.scenario">Control!$E$5</definedName>
    <definedName name="I.b.1.scenario">[2]Control!$T$13</definedName>
    <definedName name="I.b.2.Scenario">[2]Control!$T$14</definedName>
    <definedName name="I.b.scenario">Control!$E$7</definedName>
    <definedName name="I.b.scenario.efficiency">Control!$E$8</definedName>
    <definedName name="I.c.scenario">Control!$E$10</definedName>
    <definedName name="I.c.scenario.fuelmix">Control!$E$11</definedName>
    <definedName name="II.a.Scenario">[2]Control!$T$11</definedName>
    <definedName name="II.scenario">Control!$E$12</definedName>
    <definedName name="III.a.1.Scenario">[2]Control!$T$3</definedName>
    <definedName name="III.a.2.Scenario">[2]Control!$T$4</definedName>
    <definedName name="III.b.Scenario">[2]Control!$T$6</definedName>
    <definedName name="III.d.Scenario">[2]Control!$T$7</definedName>
    <definedName name="III.scenario">Control!$E$13</definedName>
    <definedName name="INR">Conversions!$E$102</definedName>
    <definedName name="INRCr">Conversions!$E$103</definedName>
    <definedName name="INRLac">Conversions!$E$107</definedName>
    <definedName name="INRm">Conversions!$E$106</definedName>
    <definedName name="IV.a.scenario">Control!$E$14</definedName>
    <definedName name="IV.b.scenario">Control!$E$15</definedName>
    <definedName name="IV.c.1.scenario">Control!$E$16</definedName>
    <definedName name="iv.c.2.scenario">Control!$E$17</definedName>
    <definedName name="IV.d.scenario">Control!$E$18</definedName>
    <definedName name="IX.a.Scenario.Electrification">[2]Control!$G$13</definedName>
    <definedName name="IX.a.Scenario.Fuel">[2]Control!$G$14</definedName>
    <definedName name="IX.a.Scenario.Insulation">[2]Control!$G$12</definedName>
    <definedName name="IX.a.Scenario.ServiceDemand">[2]Control!$G$11</definedName>
    <definedName name="IX.c.Scenario.Demand">[2]Control!$G$19</definedName>
    <definedName name="IX.c.Scenario.Electrification">[2]Control!$G$20</definedName>
    <definedName name="IX.c.Scenario.Fuel">[2]Control!$G$21</definedName>
    <definedName name="IX.scenario.commercial">Control!$E$47</definedName>
    <definedName name="IX.scenario.households">Control!$E$42</definedName>
    <definedName name="kGBP">Conversions!$E$97</definedName>
    <definedName name="MGBP">Conversions!$E$96</definedName>
    <definedName name="Minesize.xv.b">XV.b!$D$73</definedName>
    <definedName name="Money.Unit">Conversions!$D$94:$D$108</definedName>
    <definedName name="MoneyUnit">#REF!</definedName>
    <definedName name="Peak_Electricity_Generation_Capacity">'Intermediate output'!$AY$132:$BH$132</definedName>
    <definedName name="percentGDP">Conversions!#REF!</definedName>
    <definedName name="plantsize.I.b">I.b!$F$217</definedName>
    <definedName name="plantsize.I.b.Coal">I.b!#REF!</definedName>
    <definedName name="plantsize.I.b.GasCoal">I.b!#REF!</definedName>
    <definedName name="plantsize.Ib">[1]I.b!$F$87</definedName>
    <definedName name="Plantsize.II">II!$F$47</definedName>
    <definedName name="plantsize.II.a">[1]II.a!$F$71</definedName>
    <definedName name="plantsize.II.a.Nuclear">#REF!</definedName>
    <definedName name="plantsize.II.c">[3]II.c!$E$60</definedName>
    <definedName name="Plantsize.III">III!$F$58</definedName>
    <definedName name="plantsize.III.a.1">[1]III.a.1!$F$47</definedName>
    <definedName name="plantsize.III.a.2">[1]III.a.2!$F$53</definedName>
    <definedName name="plantsize.III.b">[1]III.b!$F$39</definedName>
    <definedName name="plantsize.III.c.TidalRange">[1]III.c!$F$79</definedName>
    <definedName name="plantsize.III.c.TidalStream">[1]III.c!$F$81</definedName>
    <definedName name="plantsize.III.c.Wave">[1]III.c!$F$77</definedName>
    <definedName name="plantsize.III.d">[1]III.d!$F$36</definedName>
    <definedName name="plantsize.iv.a">IV.a!$E$65</definedName>
    <definedName name="plantsize.iv.b">IV.b!$E$63</definedName>
    <definedName name="Plantsize.iv.c.1">IV.c.1!$F$61</definedName>
    <definedName name="plantsize.iv.c.2">IV.c.2!$F$60</definedName>
    <definedName name="plantsize.iv.d">IV.d!$F$66</definedName>
    <definedName name="plantsize.V.a.Dry_bio_and_waste_to_solid">[1]V.a!$F$84</definedName>
    <definedName name="plantsize.V.a.Energy_crops_1st_generation_to_gas">[1]V.a!$F$95</definedName>
    <definedName name="plantsize.V.a.Energy_crops_1st_generation_to_liquid">[1]V.a!$F$94</definedName>
    <definedName name="plantsize.V.a.Energy_crops_1st_generation_to_solid">[1]V.a!$F$93</definedName>
    <definedName name="plantsize.V.a.Energy_crops_2nd_generation_to_gas">[1]V.a!$F$92</definedName>
    <definedName name="plantsize.V.a.Energy_crops_2nd_generation_to_liquid">[1]V.a!$F$91</definedName>
    <definedName name="plantsize.V.a.Energy_crops_2nd_generation_to_solid">[1]V.a!$F$90</definedName>
    <definedName name="plantsize.V.a.Gaseous_waste_to_gas">[1]V.a!$F$98</definedName>
    <definedName name="plantsize.V.a.Gaseous_waste_to_liquid">[1]V.a!$F$97</definedName>
    <definedName name="plantsize.V.a.Gaseous_waste_to_solid">[1]V.a!$F$96</definedName>
    <definedName name="plantsize.V.a.Wet_bio_and_waste_to_gas">[1]V.a!$F$89</definedName>
    <definedName name="plantsize.V.a.Wet_bio_and_waste_to_liquid">[1]V.a!$F$88</definedName>
    <definedName name="plantsize.V.a.Wet_bio_and_waste_to_solid">[1]V.a!$F$87</definedName>
    <definedName name="plantsize.VI.b.Capturing_landfill_gas">[1]VI.b!$E$193</definedName>
    <definedName name="plantsize.VI.b.Landfill_site">[1]VI.b!$E$188</definedName>
    <definedName name="plantsize.VI.b.Recovering_landfill_gas">[1]VI.b!$E$194</definedName>
    <definedName name="plantsize.VI.b.Recovering_sewage_sludge">[1]VI.b!$E$199</definedName>
    <definedName name="plantsize.vi.c">[4]V.c!#REF!</definedName>
    <definedName name="Preferences.AreaUnits">Preferences!$C$7</definedName>
    <definedName name="preferences.energyunits">Preferences!$C$3</definedName>
    <definedName name="Preferences.moneyunits">Preferences!$C$9</definedName>
    <definedName name="Preferences.PowerUnits">Preferences!$C$5</definedName>
    <definedName name="Preferences.Unit.Energy">Preferences!$F$3</definedName>
    <definedName name="Preferences.Unit.Power">Preferences!$F$5</definedName>
    <definedName name="Price1990">Conversions!$D$114</definedName>
    <definedName name="Price1991">Conversions!$D$115</definedName>
    <definedName name="Price1992">Conversions!$D$116</definedName>
    <definedName name="Price1993">Conversions!$D$117</definedName>
    <definedName name="Price1994">Conversions!$D$118</definedName>
    <definedName name="Price1995">Conversions!$D$119</definedName>
    <definedName name="Price1996">Conversions!$D$120</definedName>
    <definedName name="Price1997">Conversions!$D$121</definedName>
    <definedName name="Price1998">Conversions!$D$122</definedName>
    <definedName name="Price1999">Conversions!$D$123</definedName>
    <definedName name="Price2000">Conversions!$D$124</definedName>
    <definedName name="Price2001">Conversions!$D$125</definedName>
    <definedName name="Price2002">Conversions!$D$126</definedName>
    <definedName name="Price2003">Conversions!$D$127</definedName>
    <definedName name="Price2004">Conversions!$D$128</definedName>
    <definedName name="Price2005">Conversions!$D$129</definedName>
    <definedName name="Price2006">Conversions!$D$130</definedName>
    <definedName name="Price2007">Conversions!$D$131</definedName>
    <definedName name="Price2008">Conversions!$D$132</definedName>
    <definedName name="Price2009">Conversions!$D$133</definedName>
    <definedName name="Price2010">Conversions!$D$134</definedName>
    <definedName name="Price2011">Conversions!$D$135</definedName>
    <definedName name="TGBP">Conversions!$E$94</definedName>
    <definedName name="this.year" localSheetId="52">'2007'!$E$2</definedName>
    <definedName name="this.year" localSheetId="53">'2012'!$E$2</definedName>
    <definedName name="this.year" localSheetId="54">'2017'!$E$2</definedName>
    <definedName name="this.year" localSheetId="55">'2022'!$E$2</definedName>
    <definedName name="this.year" localSheetId="56">'2027'!$E$2</definedName>
    <definedName name="this.year" localSheetId="57">'2032'!$E$2</definedName>
    <definedName name="this.year" localSheetId="58">'2037'!$E$2</definedName>
    <definedName name="this.year" localSheetId="59">'2042'!$E$2</definedName>
    <definedName name="this.year" localSheetId="60">'2047'!$E$2</definedName>
    <definedName name="this.year" localSheetId="61">'2052'!$E$2</definedName>
    <definedName name="this.year">#REF!</definedName>
    <definedName name="Unit.acre">Conversions!$F$73</definedName>
    <definedName name="unit.bcm">Conversions!$F$47</definedName>
    <definedName name="Unit.boe">Conversions!$F$16</definedName>
    <definedName name="unit.btce">Conversions!$F$25</definedName>
    <definedName name="Unit.Btu">Conversions!$F$27</definedName>
    <definedName name="Unit.calorie">Conversions!$F$29</definedName>
    <definedName name="Unit.day">Conversions!$F$64</definedName>
    <definedName name="unit.df">'Global assumptions'!$C$28</definedName>
    <definedName name="Unit.GJ">Conversions!$F$7</definedName>
    <definedName name="Unit.GW">Conversions!$F$53</definedName>
    <definedName name="Unit.GWh">Conversions!$F$14</definedName>
    <definedName name="Unit.GWyear">Conversions!$F$30</definedName>
    <definedName name="Unit.ha">Conversions!$F$71</definedName>
    <definedName name="Unit.hour">Conversions!$F$65</definedName>
    <definedName name="Unit.J">Conversions!$F$8</definedName>
    <definedName name="unit.kgb">Conversions!$F$33</definedName>
    <definedName name="unit.kgce">Conversions!$F$21</definedName>
    <definedName name="unit.kglpge">Conversions!$F$31</definedName>
    <definedName name="Unit.km2">Conversions!$F$74</definedName>
    <definedName name="Unit.ktoe">Conversions!$F$19</definedName>
    <definedName name="Unit.kW">Conversions!$F$55</definedName>
    <definedName name="Unit.kWh">Conversions!$F$11</definedName>
    <definedName name="Unit.kWh.p.d">Conversions!$F$12</definedName>
    <definedName name="unit.latfe">Conversions!$F$35</definedName>
    <definedName name="unit.lcng">Conversions!$F$45</definedName>
    <definedName name="unit.lde">Conversions!$F$36</definedName>
    <definedName name="unit.lke">Conversions!$F$39</definedName>
    <definedName name="unit.llpg">Conversions!$F$46</definedName>
    <definedName name="unit.lpe">Conversions!$F$38</definedName>
    <definedName name="Unit.m2">Conversions!$F$75</definedName>
    <definedName name="Unit.Mboe">Conversions!$F$17</definedName>
    <definedName name="Unit.mcm.d">Conversions!$F$57</definedName>
    <definedName name="Unit.Mha">Conversions!$F$72</definedName>
    <definedName name="Unit.minute">Conversions!$F$66</definedName>
    <definedName name="Unit.MJ">Conversions!$F$9</definedName>
    <definedName name="unit.mmbtu">Conversions!$F$28</definedName>
    <definedName name="unit.mmscm">Conversions!$F$43</definedName>
    <definedName name="unit.mtbe">Conversions!$F$41</definedName>
    <definedName name="Unit.Mtce">Conversions!$F$24</definedName>
    <definedName name="unit.mtde">Conversions!$F$37</definedName>
    <definedName name="unit.mtge">Conversions!$F$44</definedName>
    <definedName name="unit.mtle">Conversions!$F$22</definedName>
    <definedName name="Unit.Mtoe">Conversions!$F$20</definedName>
    <definedName name="Unit.Mtoe.y">Conversions!$F$58</definedName>
    <definedName name="Unit.MW">Conversions!$F$54</definedName>
    <definedName name="Unit.MWh">Conversions!$F$15</definedName>
    <definedName name="Unit.PJ">Conversions!$F$5</definedName>
    <definedName name="unit.scm">Conversions!$F$42</definedName>
    <definedName name="unit.scmb">Conversions!$F$40</definedName>
    <definedName name="unit.tbe">Conversions!$F$34</definedName>
    <definedName name="unit.tce">Conversions!$F$23</definedName>
    <definedName name="Unit.therm">Conversions!$F$26</definedName>
    <definedName name="Unit.TJ">Conversions!$F$6</definedName>
    <definedName name="unit.tlpge">Conversions!$F$32</definedName>
    <definedName name="Unit.toe">Conversions!$F$18</definedName>
    <definedName name="Unit.TWh">Conversions!$F$13</definedName>
    <definedName name="Unit.W">Conversions!$F$56</definedName>
    <definedName name="Unit.Wales">Conversions!$F$76</definedName>
    <definedName name="unit.wh">Conversions!$F$10</definedName>
    <definedName name="Unit.year">Conversions!$F$63</definedName>
    <definedName name="Unit.year.h">Conversions!$E$63</definedName>
    <definedName name="USD_Bn">Conversions!$E$104</definedName>
    <definedName name="USD_trn">Conversions!$E$105</definedName>
    <definedName name="USD2009_">Conversions!$E$99</definedName>
    <definedName name="USD2010_">Conversions!$E$100</definedName>
    <definedName name="USD2012_">Conversions!$E$101</definedName>
    <definedName name="V.a.fuelsplit">Control!$E$22</definedName>
    <definedName name="V.a.Scenario">[2]Control!$T$22</definedName>
    <definedName name="V.a.scnenario">Control!$E$21</definedName>
    <definedName name="V.b.scenario">Control!$E$23</definedName>
    <definedName name="V.c.scenario">Control!$E$24</definedName>
    <definedName name="VI.a.2.Scenario">#REF!</definedName>
    <definedName name="VI.a.scenario">Control!$E$25</definedName>
    <definedName name="VI.b.Scenario">[2]Control!$T$23</definedName>
    <definedName name="VII.a.scenario">Control!$E$19</definedName>
    <definedName name="VII.b.scenario">Control!$E$53</definedName>
    <definedName name="VII.c.Scenario">[2]Control!$T$28</definedName>
    <definedName name="X.a.efficiency">Control!$E$41</definedName>
    <definedName name="X.a.Scenario.Demand">[2]Control!$G$16</definedName>
    <definedName name="X.a.Scenario.Technology">[2]Control!$G$17</definedName>
    <definedName name="X.b.Scenario.Demand">[2]Control!$G$23</definedName>
    <definedName name="X.b.scenario.efficiency">Control!$E$46</definedName>
    <definedName name="X.b.Scenario.Technology">[2]Control!$G$24</definedName>
    <definedName name="XI.a.Scenario.CCS">[2]Control!$G$44</definedName>
    <definedName name="XI.b.Scenario.Efficiency">[2]Control!$G$27</definedName>
    <definedName name="XI.b.Scenario.Output">[2]Control!$G$26</definedName>
    <definedName name="XI.c.Scenario.Efficiency">[2]Control!$G$30</definedName>
    <definedName name="XI.c.Scenario.Output">[2]Control!$G$29</definedName>
    <definedName name="XI.d.Scenario.Efficiency">[2]Control!$G$33</definedName>
    <definedName name="XI.d.Scenario.Output">[2]Control!$G$32</definedName>
    <definedName name="XI.e.Scenario.Efficiency">[2]Control!$G$36</definedName>
    <definedName name="XI.e.Scenario.Output">[2]Control!$G$35</definedName>
    <definedName name="XI.f.Scenario.Efficiency">[2]Control!$G$39</definedName>
    <definedName name="XI.f.Scenario.Output">[2]Control!$G$38</definedName>
    <definedName name="XI.g.Scenario.Efficiency">[2]Control!$G$42</definedName>
    <definedName name="XI.g.Scenario.Output">[2]Control!$G$41</definedName>
    <definedName name="XI.multiplier">XI!$E$9</definedName>
    <definedName name="XI.scenario">Control!$E$43</definedName>
    <definedName name="XII.a.scenario">Control!$E$32</definedName>
    <definedName name="XII.a.Scenario.Demand">[2]Control!$G$4</definedName>
    <definedName name="XII.a.Scenario.Efficiency">[2]Control!$G$5</definedName>
    <definedName name="XII.a.scenario.EVs">Control!$E$35</definedName>
    <definedName name="XII.a.scenario.mode">Control!$E$33</definedName>
    <definedName name="XII.a.scenario.pub_pri">Control!$E$34</definedName>
    <definedName name="XII.a.Scenario.Technology">[2]Control!$G$6</definedName>
    <definedName name="XII.b.mode">Control!$E$38</definedName>
    <definedName name="XII.b.scenario">Control!$E$37</definedName>
    <definedName name="XII.c.Scenario">[2]Control!$G$8</definedName>
    <definedName name="XII.e.Scenario">[2]Control!$G$9</definedName>
    <definedName name="XIII.a.scenario">Control!#REF!</definedName>
    <definedName name="XIII.a.scenario.fuelsplit">Control!$E$39</definedName>
    <definedName name="XIII.b.scenario">Control!#REF!</definedName>
    <definedName name="XIII.b.scenario.fuelsplit">Control!$E$44</definedName>
    <definedName name="XIV.scenario">Control!$E$49</definedName>
    <definedName name="XIV.scenario.fuelsplit">Control!$E$50</definedName>
    <definedName name="xv.a.scenario">Control!$E$27</definedName>
    <definedName name="xv.b.scenario">Control!$E$28</definedName>
    <definedName name="XV.c.scenario">Control!$E$29</definedName>
    <definedName name="xvi.scenario.fuelsplit">Control!$E$51</definedName>
    <definedName name="year.emissions" localSheetId="52">'2007'!$BP$71:$DG$71</definedName>
    <definedName name="year.emissions" localSheetId="53">'2012'!$BP$71:$DG$71</definedName>
    <definedName name="year.emissions" localSheetId="54">'2017'!$BP$71:$DG$71</definedName>
    <definedName name="year.emissions" localSheetId="55">'2022'!$BP$71:$DG$71</definedName>
    <definedName name="year.emissions" localSheetId="56">'2027'!$BP$71:$DG$71</definedName>
    <definedName name="year.emissions" localSheetId="57">'2032'!$BP$71:$DG$71</definedName>
    <definedName name="year.emissions" localSheetId="58">'2037'!$BP$71:$DG$71</definedName>
    <definedName name="year.emissions" localSheetId="59">'2042'!$BP$71:$DG$71</definedName>
    <definedName name="year.emissions" localSheetId="60">'2047'!$BP$71:$DG$71</definedName>
    <definedName name="year.emissions" localSheetId="61">'2052'!$BP$71:$DG$71</definedName>
    <definedName name="year.emissionsBySector" localSheetId="52">'2007'!$DI$6:$DI$72</definedName>
    <definedName name="year.emissionsBySector" localSheetId="53">'2012'!$DI$6:$DI$72</definedName>
    <definedName name="year.emissionsBySector" localSheetId="54">'2017'!$DI$6:$DI$72</definedName>
    <definedName name="year.emissionsBySector" localSheetId="55">'2022'!$DI$6:$DI$72</definedName>
    <definedName name="year.emissionsBySector" localSheetId="56">'2027'!$DI$6:$DI$72</definedName>
    <definedName name="year.emissionsBySector" localSheetId="57">'2032'!$DI$6:$DI$72</definedName>
    <definedName name="year.emissionsBySector" localSheetId="58">'2037'!$DI$6:$DI$72</definedName>
    <definedName name="year.emissionsBySector" localSheetId="59">'2042'!$DI$6:$DI$72</definedName>
    <definedName name="year.emissionsBySector" localSheetId="60">'2047'!$DI$6:$DI$72</definedName>
    <definedName name="year.emissionsBySector" localSheetId="61">'2052'!$DI$6:$DI$72</definedName>
    <definedName name="year.GHG" localSheetId="52">'2007'!$BP$6:$DG$6</definedName>
    <definedName name="year.GHG" localSheetId="53">'2012'!$BP$6:$DG$6</definedName>
    <definedName name="year.GHG" localSheetId="54">'2017'!$BP$6:$DG$6</definedName>
    <definedName name="year.GHG" localSheetId="55">'2022'!$BP$6:$DG$6</definedName>
    <definedName name="year.GHG" localSheetId="56">'2027'!$BP$6:$DG$6</definedName>
    <definedName name="year.GHG" localSheetId="57">'2032'!$BP$6:$DG$6</definedName>
    <definedName name="year.GHG" localSheetId="58">'2037'!$BP$6:$DG$6</definedName>
    <definedName name="year.GHG" localSheetId="59">'2042'!$BP$6:$DG$6</definedName>
    <definedName name="year.GHG" localSheetId="60">'2047'!$BP$6:$DG$6</definedName>
    <definedName name="year.GHG" localSheetId="61">'2052'!$BP$6:$DG$6</definedName>
    <definedName name="year.IPCC" localSheetId="52">'2007'!$BP$5:$DG$5</definedName>
    <definedName name="year.IPCC" localSheetId="53">'2012'!$BP$5:$DG$5</definedName>
    <definedName name="year.IPCC" localSheetId="54">'2017'!$BP$5:$DG$5</definedName>
    <definedName name="year.IPCC" localSheetId="55">'2022'!$BP$5:$DG$5</definedName>
    <definedName name="year.IPCC" localSheetId="56">'2027'!$BP$5:$DG$5</definedName>
    <definedName name="year.IPCC" localSheetId="57">'2032'!$BP$5:$DG$5</definedName>
    <definedName name="year.IPCC" localSheetId="58">'2037'!$BP$5:$DG$5</definedName>
    <definedName name="year.IPCC" localSheetId="59">'2042'!$BP$5:$DG$5</definedName>
    <definedName name="year.IPCC" localSheetId="60">'2047'!$BP$5:$DG$5</definedName>
    <definedName name="year.IPCC" localSheetId="61">'2052'!$BP$5:$DG$5</definedName>
    <definedName name="year.matrix" localSheetId="52">'2007'!$G$6:$BM$72</definedName>
    <definedName name="year.matrix" localSheetId="53">'2012'!$G$6:$BM$72</definedName>
    <definedName name="year.matrix" localSheetId="54">'2017'!$G$6:$BM$72</definedName>
    <definedName name="year.matrix" localSheetId="55">'2022'!$G$6:$BM$72</definedName>
    <definedName name="year.matrix" localSheetId="56">'2027'!$G$6:$BM$72</definedName>
    <definedName name="year.matrix" localSheetId="57">'2032'!$G$6:$BM$72</definedName>
    <definedName name="year.matrix" localSheetId="58">'2037'!$G$6:$BM$72</definedName>
    <definedName name="year.matrix" localSheetId="59">'2042'!$G$6:$BM$72</definedName>
    <definedName name="year.matrix" localSheetId="60">'2047'!$G$6:$BM$72</definedName>
    <definedName name="year.matrix" localSheetId="61">'2052'!$G$6:$BM$72</definedName>
    <definedName name="year.Modules" localSheetId="52">'2007'!$C$6:$C$72</definedName>
    <definedName name="year.Modules" localSheetId="53">'2012'!$C$6:$C$72</definedName>
    <definedName name="year.Modules" localSheetId="54">'2017'!$C$6:$C$72</definedName>
    <definedName name="year.Modules" localSheetId="55">'2022'!$C$6:$C$72</definedName>
    <definedName name="year.Modules" localSheetId="56">'2027'!$C$6:$C$72</definedName>
    <definedName name="year.Modules" localSheetId="57">'2032'!$C$6:$C$72</definedName>
    <definedName name="year.Modules" localSheetId="58">'2037'!$C$6:$C$72</definedName>
    <definedName name="year.Modules" localSheetId="59">'2042'!$C$6:$C$72</definedName>
    <definedName name="year.Modules" localSheetId="60">'2047'!$C$6:$C$72</definedName>
    <definedName name="year.Modules" localSheetId="61">'2052'!$C$6:$C$72</definedName>
    <definedName name="year.Netbalance" localSheetId="52">'2007'!$G$71:$BM$71</definedName>
    <definedName name="year.Netbalance" localSheetId="53">'2012'!$G$71:$BM$71</definedName>
    <definedName name="year.Netbalance" localSheetId="54">'2017'!$G$71:$BM$71</definedName>
    <definedName name="year.Netbalance" localSheetId="55">'2022'!$G$71:$BM$71</definedName>
    <definedName name="year.Netbalance" localSheetId="56">'2027'!$G$71:$BM$71</definedName>
    <definedName name="year.Netbalance" localSheetId="57">'2032'!$G$71:$BM$71</definedName>
    <definedName name="year.Netbalance" localSheetId="58">'2037'!$G$71:$BM$71</definedName>
    <definedName name="year.Netbalance" localSheetId="59">'2042'!$G$71:$BM$71</definedName>
    <definedName name="year.Netbalance" localSheetId="60">'2047'!$G$71:$BM$71</definedName>
    <definedName name="year.Netbalance" localSheetId="61">'2052'!$G$71:$BM$71</definedName>
    <definedName name="year.vectors" localSheetId="52">'2007'!$G$5:$BM$5</definedName>
    <definedName name="year.vectors" localSheetId="53">'2012'!$G$5:$BM$5</definedName>
    <definedName name="year.vectors" localSheetId="54">'2017'!$G$5:$BM$5</definedName>
    <definedName name="year.vectors" localSheetId="55">'2022'!$G$5:$BM$5</definedName>
    <definedName name="year.vectors" localSheetId="56">'2027'!$G$5:$BM$5</definedName>
    <definedName name="year.vectors" localSheetId="57">'2032'!$G$5:$BM$5</definedName>
    <definedName name="year.vectors" localSheetId="58">'2037'!$G$5:$BM$5</definedName>
    <definedName name="year.vectors" localSheetId="59">'2042'!$G$5:$BM$5</definedName>
    <definedName name="year.vectors" localSheetId="60">'2047'!$G$5:$BM$5</definedName>
    <definedName name="year.vectors" localSheetId="61">'2052'!$G$5:$BM$5</definedName>
  </definedNames>
  <calcPr calcId="125725"/>
  <extLst>
    <ext xmlns:mx="http://schemas.microsoft.com/office/mac/excel/2008/main" uri="{7523E5D3-25F3-A5E0-1632-64F254C22452}">
      <mx:ArchID Flags="2"/>
    </ext>
  </extLst>
</workbook>
</file>

<file path=xl/calcChain.xml><?xml version="1.0" encoding="utf-8"?>
<calcChain xmlns="http://schemas.openxmlformats.org/spreadsheetml/2006/main">
  <c r="G639" i="270"/>
  <c r="O89" i="191"/>
  <c r="O154" s="1"/>
  <c r="N89"/>
  <c r="M89"/>
  <c r="L89"/>
  <c r="K89"/>
  <c r="H69"/>
  <c r="G69"/>
  <c r="F69"/>
  <c r="H66"/>
  <c r="I66" s="1"/>
  <c r="J66" s="1"/>
  <c r="K66" s="1"/>
  <c r="L66" s="1"/>
  <c r="M66" s="1"/>
  <c r="N66" s="1"/>
  <c r="O66" s="1"/>
  <c r="G66"/>
  <c r="F66"/>
  <c r="H63"/>
  <c r="I63" s="1"/>
  <c r="J63" s="1"/>
  <c r="K63" s="1"/>
  <c r="L63" s="1"/>
  <c r="M63" s="1"/>
  <c r="N63" s="1"/>
  <c r="O63" s="1"/>
  <c r="G63"/>
  <c r="F63"/>
  <c r="E7" i="238"/>
  <c r="O38" s="1"/>
  <c r="O239" s="1"/>
  <c r="F4" i="6"/>
  <c r="F52"/>
  <c r="F56" s="1"/>
  <c r="F5" i="24" s="1"/>
  <c r="F55" i="6"/>
  <c r="F65"/>
  <c r="F64" s="1"/>
  <c r="F63" s="1"/>
  <c r="O29" i="238"/>
  <c r="O234" s="1"/>
  <c r="O65"/>
  <c r="O225" s="1"/>
  <c r="O20"/>
  <c r="O219"/>
  <c r="E7" i="153"/>
  <c r="F70" i="6"/>
  <c r="E7" i="244"/>
  <c r="O20"/>
  <c r="E8"/>
  <c r="D39" s="1"/>
  <c r="O63" s="1"/>
  <c r="O71" s="1"/>
  <c r="F39"/>
  <c r="O65" s="1"/>
  <c r="O73" s="1"/>
  <c r="E7" i="154"/>
  <c r="O78"/>
  <c r="O29" i="244"/>
  <c r="E39"/>
  <c r="O64"/>
  <c r="E8" i="48"/>
  <c r="E8" i="196"/>
  <c r="E8" i="270"/>
  <c r="O33"/>
  <c r="O51"/>
  <c r="O60"/>
  <c r="O69"/>
  <c r="O87"/>
  <c r="E93" i="6"/>
  <c r="G33" i="270"/>
  <c r="G42"/>
  <c r="G51"/>
  <c r="G60"/>
  <c r="G69"/>
  <c r="G78"/>
  <c r="G87"/>
  <c r="E8" i="271"/>
  <c r="O31"/>
  <c r="E9"/>
  <c r="O49" s="1"/>
  <c r="E10"/>
  <c r="E11"/>
  <c r="J66"/>
  <c r="O327" s="1"/>
  <c r="O326" s="1"/>
  <c r="O324"/>
  <c r="O50"/>
  <c r="O51"/>
  <c r="O370" s="1"/>
  <c r="E8" i="272"/>
  <c r="E9"/>
  <c r="O39"/>
  <c r="D132"/>
  <c r="O40"/>
  <c r="O41"/>
  <c r="E7" i="157"/>
  <c r="E8" i="159"/>
  <c r="E8" i="184"/>
  <c r="F32" s="1"/>
  <c r="D32"/>
  <c r="E32"/>
  <c r="G32"/>
  <c r="E9"/>
  <c r="K38" s="1"/>
  <c r="O134" s="1"/>
  <c r="O172" s="1"/>
  <c r="D69"/>
  <c r="E7" i="191"/>
  <c r="O29"/>
  <c r="O138"/>
  <c r="O20"/>
  <c r="O113"/>
  <c r="E118" i="154"/>
  <c r="O263"/>
  <c r="I118"/>
  <c r="O264" s="1"/>
  <c r="O134"/>
  <c r="O266"/>
  <c r="O144"/>
  <c r="O269"/>
  <c r="O164"/>
  <c r="O279" s="1"/>
  <c r="O176"/>
  <c r="O285" s="1"/>
  <c r="O194"/>
  <c r="O293" s="1"/>
  <c r="E7" i="194"/>
  <c r="E7" i="182"/>
  <c r="F54" i="6"/>
  <c r="O37" i="182" s="1"/>
  <c r="O19"/>
  <c r="O28"/>
  <c r="O153" i="191"/>
  <c r="O128"/>
  <c r="O88"/>
  <c r="O129"/>
  <c r="E8" i="234"/>
  <c r="O28"/>
  <c r="O16"/>
  <c r="N28"/>
  <c r="N16"/>
  <c r="M28"/>
  <c r="M16"/>
  <c r="L28"/>
  <c r="L16"/>
  <c r="K28"/>
  <c r="K16"/>
  <c r="J28"/>
  <c r="J16"/>
  <c r="I28"/>
  <c r="I16"/>
  <c r="H28"/>
  <c r="H16"/>
  <c r="G28"/>
  <c r="G16"/>
  <c r="F28"/>
  <c r="F37" s="1"/>
  <c r="G37" s="1"/>
  <c r="F16"/>
  <c r="H37"/>
  <c r="E8" i="233"/>
  <c r="O16"/>
  <c r="O25"/>
  <c r="N16"/>
  <c r="N25"/>
  <c r="M16"/>
  <c r="M25"/>
  <c r="L16"/>
  <c r="L25"/>
  <c r="K16"/>
  <c r="K25"/>
  <c r="J16"/>
  <c r="J25"/>
  <c r="I16"/>
  <c r="I25"/>
  <c r="H16"/>
  <c r="H25"/>
  <c r="H34" s="1"/>
  <c r="G16"/>
  <c r="G34" s="1"/>
  <c r="E7" i="237"/>
  <c r="O15"/>
  <c r="O24"/>
  <c r="N15"/>
  <c r="N24"/>
  <c r="M15"/>
  <c r="M24"/>
  <c r="L15"/>
  <c r="L24"/>
  <c r="K15"/>
  <c r="K24"/>
  <c r="J15"/>
  <c r="J24"/>
  <c r="I15"/>
  <c r="I24"/>
  <c r="H15"/>
  <c r="H24"/>
  <c r="F53" i="6"/>
  <c r="G15" i="237" s="1"/>
  <c r="G24"/>
  <c r="G33"/>
  <c r="F15"/>
  <c r="F33" s="1"/>
  <c r="F24"/>
  <c r="E7" i="236"/>
  <c r="O15"/>
  <c r="O24"/>
  <c r="N15"/>
  <c r="N24"/>
  <c r="M15"/>
  <c r="M24"/>
  <c r="L15"/>
  <c r="L24"/>
  <c r="K15"/>
  <c r="K24"/>
  <c r="J15"/>
  <c r="J24"/>
  <c r="I15"/>
  <c r="I24"/>
  <c r="H15"/>
  <c r="H24"/>
  <c r="G15"/>
  <c r="G24"/>
  <c r="F15"/>
  <c r="F24"/>
  <c r="F33"/>
  <c r="E8" i="190"/>
  <c r="O16"/>
  <c r="O27"/>
  <c r="O39"/>
  <c r="O43" s="1"/>
  <c r="O80" s="1"/>
  <c r="O84" s="1"/>
  <c r="E8" i="235"/>
  <c r="O16"/>
  <c r="O27"/>
  <c r="N16"/>
  <c r="N27"/>
  <c r="M16"/>
  <c r="M27"/>
  <c r="L16"/>
  <c r="L27"/>
  <c r="K16"/>
  <c r="K27"/>
  <c r="J16"/>
  <c r="J27"/>
  <c r="I16"/>
  <c r="I27"/>
  <c r="H16"/>
  <c r="H27"/>
  <c r="G16"/>
  <c r="G27"/>
  <c r="G39" s="1"/>
  <c r="F16"/>
  <c r="F39" s="1"/>
  <c r="E7" i="198"/>
  <c r="E8" i="133"/>
  <c r="F114"/>
  <c r="E7"/>
  <c r="F17"/>
  <c r="F136"/>
  <c r="G114"/>
  <c r="G50"/>
  <c r="F50"/>
  <c r="G42"/>
  <c r="G136"/>
  <c r="H114"/>
  <c r="H50"/>
  <c r="H42"/>
  <c r="H136"/>
  <c r="I114"/>
  <c r="I42"/>
  <c r="I136"/>
  <c r="J114"/>
  <c r="J42"/>
  <c r="J136"/>
  <c r="K114"/>
  <c r="K42"/>
  <c r="K136"/>
  <c r="L114"/>
  <c r="L42"/>
  <c r="L136"/>
  <c r="M114"/>
  <c r="M42"/>
  <c r="M136"/>
  <c r="N114"/>
  <c r="N42"/>
  <c r="N136"/>
  <c r="O114"/>
  <c r="O42"/>
  <c r="O136"/>
  <c r="F115"/>
  <c r="F137"/>
  <c r="G115"/>
  <c r="G137"/>
  <c r="H115"/>
  <c r="H137"/>
  <c r="I115"/>
  <c r="I137"/>
  <c r="J115"/>
  <c r="J137"/>
  <c r="K115"/>
  <c r="K137"/>
  <c r="L115"/>
  <c r="L137"/>
  <c r="M115"/>
  <c r="M137"/>
  <c r="N115"/>
  <c r="N137"/>
  <c r="O115"/>
  <c r="O137"/>
  <c r="F116"/>
  <c r="F138"/>
  <c r="G116"/>
  <c r="G138"/>
  <c r="H116"/>
  <c r="H138"/>
  <c r="I116"/>
  <c r="I138"/>
  <c r="J116"/>
  <c r="J138"/>
  <c r="K116"/>
  <c r="K138"/>
  <c r="L116"/>
  <c r="L138"/>
  <c r="M116"/>
  <c r="M138"/>
  <c r="N116"/>
  <c r="N138"/>
  <c r="O116"/>
  <c r="O138"/>
  <c r="F117"/>
  <c r="F139"/>
  <c r="G117"/>
  <c r="G139"/>
  <c r="H117"/>
  <c r="H139"/>
  <c r="I117"/>
  <c r="I139"/>
  <c r="J117"/>
  <c r="J139"/>
  <c r="K117"/>
  <c r="K139"/>
  <c r="L117"/>
  <c r="L139"/>
  <c r="M117"/>
  <c r="M139"/>
  <c r="N117"/>
  <c r="N139"/>
  <c r="O117"/>
  <c r="O139"/>
  <c r="O170"/>
  <c r="O245" s="1"/>
  <c r="O31"/>
  <c r="O43"/>
  <c r="N31"/>
  <c r="N43"/>
  <c r="H51"/>
  <c r="H18" s="1"/>
  <c r="H31" s="1"/>
  <c r="I43"/>
  <c r="I51"/>
  <c r="J43"/>
  <c r="K43"/>
  <c r="L43"/>
  <c r="M43"/>
  <c r="G51"/>
  <c r="G18" s="1"/>
  <c r="G31" s="1"/>
  <c r="H43"/>
  <c r="F51"/>
  <c r="G43"/>
  <c r="F18"/>
  <c r="F31"/>
  <c r="F155" s="1"/>
  <c r="O180"/>
  <c r="O246" s="1"/>
  <c r="E8" i="197"/>
  <c r="G34"/>
  <c r="H34" s="1"/>
  <c r="I34"/>
  <c r="J34" s="1"/>
  <c r="K34" s="1"/>
  <c r="L34" s="1"/>
  <c r="M34" s="1"/>
  <c r="N34" s="1"/>
  <c r="O34" s="1"/>
  <c r="O38" s="1"/>
  <c r="O79" s="1"/>
  <c r="O84" s="1"/>
  <c r="O86" s="1"/>
  <c r="O53"/>
  <c r="O85" s="1"/>
  <c r="E8" i="200"/>
  <c r="E7"/>
  <c r="H17"/>
  <c r="G17"/>
  <c r="H34" s="1"/>
  <c r="H26"/>
  <c r="I17"/>
  <c r="I26"/>
  <c r="I34"/>
  <c r="J17"/>
  <c r="J34" s="1"/>
  <c r="J26"/>
  <c r="K17"/>
  <c r="K26"/>
  <c r="K34"/>
  <c r="L17"/>
  <c r="L26"/>
  <c r="M17"/>
  <c r="M26"/>
  <c r="N17"/>
  <c r="N34" s="1"/>
  <c r="N26"/>
  <c r="O17"/>
  <c r="O26"/>
  <c r="O34"/>
  <c r="E8" i="189"/>
  <c r="E8" i="187"/>
  <c r="E130"/>
  <c r="E131"/>
  <c r="E132"/>
  <c r="E133"/>
  <c r="O144"/>
  <c r="O145"/>
  <c r="O146"/>
  <c r="O90"/>
  <c r="O135"/>
  <c r="O136"/>
  <c r="O137"/>
  <c r="O138"/>
  <c r="O139"/>
  <c r="O140"/>
  <c r="E9" i="189"/>
  <c r="E8" i="188"/>
  <c r="F75"/>
  <c r="F74"/>
  <c r="H74" s="1"/>
  <c r="F73"/>
  <c r="H73" s="1"/>
  <c r="I75"/>
  <c r="I74"/>
  <c r="I73"/>
  <c r="K39" i="184"/>
  <c r="O135" s="1"/>
  <c r="O189" s="1"/>
  <c r="O46"/>
  <c r="O50"/>
  <c r="G46"/>
  <c r="G50"/>
  <c r="O146" i="191"/>
  <c r="O121"/>
  <c r="E11" i="168"/>
  <c r="N27"/>
  <c r="O62" s="1"/>
  <c r="E7" i="199"/>
  <c r="O27" s="1"/>
  <c r="O54" s="1"/>
  <c r="G38" i="197"/>
  <c r="G79"/>
  <c r="G84" s="1"/>
  <c r="H38"/>
  <c r="H79"/>
  <c r="H84"/>
  <c r="H53"/>
  <c r="H85" s="1"/>
  <c r="I38"/>
  <c r="I79"/>
  <c r="I84" s="1"/>
  <c r="I53"/>
  <c r="I85"/>
  <c r="I86"/>
  <c r="J38"/>
  <c r="J79" s="1"/>
  <c r="J84" s="1"/>
  <c r="J53"/>
  <c r="J85"/>
  <c r="K38"/>
  <c r="K79" s="1"/>
  <c r="K84" s="1"/>
  <c r="K53"/>
  <c r="K85" s="1"/>
  <c r="L38"/>
  <c r="L79" s="1"/>
  <c r="L84" s="1"/>
  <c r="L86" s="1"/>
  <c r="L53"/>
  <c r="L85" s="1"/>
  <c r="M38"/>
  <c r="M79"/>
  <c r="M84" s="1"/>
  <c r="M53"/>
  <c r="M85" s="1"/>
  <c r="M86"/>
  <c r="N38"/>
  <c r="N79" s="1"/>
  <c r="N84" s="1"/>
  <c r="N86" s="1"/>
  <c r="N53"/>
  <c r="N85"/>
  <c r="N38" i="238"/>
  <c r="N239" s="1"/>
  <c r="N29"/>
  <c r="N234" s="1"/>
  <c r="N65"/>
  <c r="N225"/>
  <c r="N20"/>
  <c r="N219" s="1"/>
  <c r="N20" i="244"/>
  <c r="E65"/>
  <c r="H65" s="1"/>
  <c r="I65" s="1"/>
  <c r="J65" s="1"/>
  <c r="K65" s="1"/>
  <c r="N78" i="154"/>
  <c r="E63" i="244"/>
  <c r="H63"/>
  <c r="I63" s="1"/>
  <c r="J63" s="1"/>
  <c r="K63" s="1"/>
  <c r="L63"/>
  <c r="M63" s="1"/>
  <c r="N29"/>
  <c r="E64"/>
  <c r="H64"/>
  <c r="I64"/>
  <c r="J64" s="1"/>
  <c r="K64" s="1"/>
  <c r="L64" s="1"/>
  <c r="N33" i="270"/>
  <c r="N42"/>
  <c r="N51"/>
  <c r="N60"/>
  <c r="N69"/>
  <c r="N78"/>
  <c r="N87"/>
  <c r="N31" i="271"/>
  <c r="N49"/>
  <c r="N50"/>
  <c r="N51"/>
  <c r="N370" s="1"/>
  <c r="N21" i="272"/>
  <c r="N151" s="1"/>
  <c r="N39"/>
  <c r="N152" s="1"/>
  <c r="N135"/>
  <c r="N40"/>
  <c r="N136"/>
  <c r="N41"/>
  <c r="N155" s="1"/>
  <c r="N29" i="191"/>
  <c r="N138"/>
  <c r="N20"/>
  <c r="N113"/>
  <c r="N263" i="154"/>
  <c r="N264"/>
  <c r="N134"/>
  <c r="N266" s="1"/>
  <c r="N144"/>
  <c r="N269"/>
  <c r="N164"/>
  <c r="N279" s="1"/>
  <c r="N176"/>
  <c r="N285"/>
  <c r="N194"/>
  <c r="N293" s="1"/>
  <c r="M38" i="238"/>
  <c r="M239" s="1"/>
  <c r="M29"/>
  <c r="M234" s="1"/>
  <c r="M65"/>
  <c r="M225" s="1"/>
  <c r="M20"/>
  <c r="M219" s="1"/>
  <c r="M20" i="244"/>
  <c r="M78" i="154"/>
  <c r="M29" i="244"/>
  <c r="M33" i="270"/>
  <c r="M42"/>
  <c r="M51"/>
  <c r="M60"/>
  <c r="M69"/>
  <c r="M78"/>
  <c r="M87"/>
  <c r="M31" i="271"/>
  <c r="M49"/>
  <c r="M50"/>
  <c r="M51"/>
  <c r="M21" i="272"/>
  <c r="M39"/>
  <c r="M135"/>
  <c r="M40"/>
  <c r="M136"/>
  <c r="M41"/>
  <c r="M29" i="191"/>
  <c r="M138" s="1"/>
  <c r="M20"/>
  <c r="M113"/>
  <c r="M263" i="154"/>
  <c r="M264"/>
  <c r="M134"/>
  <c r="M266" s="1"/>
  <c r="M144"/>
  <c r="M269"/>
  <c r="M164"/>
  <c r="M279"/>
  <c r="M176"/>
  <c r="M285" s="1"/>
  <c r="M194"/>
  <c r="M293"/>
  <c r="L38" i="238"/>
  <c r="L239" s="1"/>
  <c r="L29"/>
  <c r="L234"/>
  <c r="L65"/>
  <c r="L225"/>
  <c r="L20"/>
  <c r="L219"/>
  <c r="L20" i="244"/>
  <c r="L78" i="154"/>
  <c r="L29" i="244"/>
  <c r="L71"/>
  <c r="L33" i="270"/>
  <c r="L42"/>
  <c r="L51"/>
  <c r="L60"/>
  <c r="L69"/>
  <c r="L78"/>
  <c r="L87"/>
  <c r="L31" i="271"/>
  <c r="L49"/>
  <c r="L50"/>
  <c r="L51"/>
  <c r="L370"/>
  <c r="L21" i="272"/>
  <c r="L39"/>
  <c r="L135"/>
  <c r="L40"/>
  <c r="L136"/>
  <c r="L41"/>
  <c r="L29" i="191"/>
  <c r="L138"/>
  <c r="L20"/>
  <c r="L113"/>
  <c r="L263" i="154"/>
  <c r="L264"/>
  <c r="L134"/>
  <c r="L266" s="1"/>
  <c r="L144"/>
  <c r="L269" s="1"/>
  <c r="L164"/>
  <c r="L279"/>
  <c r="L176"/>
  <c r="L285"/>
  <c r="L194"/>
  <c r="L293" s="1"/>
  <c r="K38" i="238"/>
  <c r="K239" s="1"/>
  <c r="K29"/>
  <c r="K234" s="1"/>
  <c r="K65"/>
  <c r="K225"/>
  <c r="K20"/>
  <c r="K219" s="1"/>
  <c r="K20" i="244"/>
  <c r="K78" i="154"/>
  <c r="K29" i="244"/>
  <c r="K71"/>
  <c r="K72"/>
  <c r="K33" i="270"/>
  <c r="K42"/>
  <c r="K51"/>
  <c r="K60"/>
  <c r="K69"/>
  <c r="K78"/>
  <c r="K87"/>
  <c r="K31" i="271"/>
  <c r="K49"/>
  <c r="K50"/>
  <c r="K51"/>
  <c r="K370" s="1"/>
  <c r="K21" i="272"/>
  <c r="K39"/>
  <c r="K152" s="1"/>
  <c r="K135"/>
  <c r="K151"/>
  <c r="K40"/>
  <c r="K136"/>
  <c r="K41"/>
  <c r="K155"/>
  <c r="K29" i="191"/>
  <c r="K138"/>
  <c r="K20"/>
  <c r="K113" s="1"/>
  <c r="K263" i="154"/>
  <c r="K264"/>
  <c r="K134"/>
  <c r="K266" s="1"/>
  <c r="K144"/>
  <c r="K269"/>
  <c r="K164"/>
  <c r="K279" s="1"/>
  <c r="K176"/>
  <c r="K285"/>
  <c r="K194"/>
  <c r="K293"/>
  <c r="J38" i="238"/>
  <c r="J239" s="1"/>
  <c r="J29"/>
  <c r="J234"/>
  <c r="J65"/>
  <c r="J225" s="1"/>
  <c r="J20"/>
  <c r="J219"/>
  <c r="J20" i="244"/>
  <c r="J78" i="154"/>
  <c r="J29" i="244"/>
  <c r="J33" i="270"/>
  <c r="J42"/>
  <c r="J51"/>
  <c r="J60"/>
  <c r="J69"/>
  <c r="J78"/>
  <c r="J87"/>
  <c r="J31" i="271"/>
  <c r="J49"/>
  <c r="J50"/>
  <c r="J51"/>
  <c r="J21" i="272"/>
  <c r="J39"/>
  <c r="J135"/>
  <c r="J40"/>
  <c r="J136"/>
  <c r="J41"/>
  <c r="F69" i="184"/>
  <c r="J29" i="191"/>
  <c r="J138" s="1"/>
  <c r="J20"/>
  <c r="J113"/>
  <c r="J263" i="154"/>
  <c r="J264"/>
  <c r="J134"/>
  <c r="J266"/>
  <c r="J144"/>
  <c r="J269" s="1"/>
  <c r="J164"/>
  <c r="J279"/>
  <c r="J176"/>
  <c r="J285"/>
  <c r="J194"/>
  <c r="J293" s="1"/>
  <c r="I38" i="238"/>
  <c r="I239"/>
  <c r="I29"/>
  <c r="I234" s="1"/>
  <c r="I65"/>
  <c r="I225" s="1"/>
  <c r="I20"/>
  <c r="I219" s="1"/>
  <c r="I113" i="153"/>
  <c r="I143" s="1"/>
  <c r="I144" s="1"/>
  <c r="I103"/>
  <c r="I20" i="244"/>
  <c r="I72" s="1"/>
  <c r="I73"/>
  <c r="I78" i="154"/>
  <c r="I29" i="244"/>
  <c r="I71"/>
  <c r="I33" i="270"/>
  <c r="I42"/>
  <c r="I51"/>
  <c r="I60"/>
  <c r="I69"/>
  <c r="I78"/>
  <c r="I87"/>
  <c r="I31" i="271"/>
  <c r="I49"/>
  <c r="I50"/>
  <c r="I51"/>
  <c r="I370" s="1"/>
  <c r="I21" i="272"/>
  <c r="I151" s="1"/>
  <c r="I39"/>
  <c r="I135"/>
  <c r="I40"/>
  <c r="I136"/>
  <c r="I41"/>
  <c r="I155" s="1"/>
  <c r="I29" i="191"/>
  <c r="I138" s="1"/>
  <c r="I20"/>
  <c r="I113" s="1"/>
  <c r="I263" i="154"/>
  <c r="I264"/>
  <c r="I134"/>
  <c r="I266"/>
  <c r="I144"/>
  <c r="I269" s="1"/>
  <c r="I164"/>
  <c r="I279" s="1"/>
  <c r="I176"/>
  <c r="I285" s="1"/>
  <c r="I194"/>
  <c r="I293" s="1"/>
  <c r="H38" i="238"/>
  <c r="H239"/>
  <c r="H29"/>
  <c r="H234" s="1"/>
  <c r="H65"/>
  <c r="H225" s="1"/>
  <c r="H20"/>
  <c r="H219" s="1"/>
  <c r="H113" i="153"/>
  <c r="H143" s="1"/>
  <c r="H144" s="1"/>
  <c r="H103"/>
  <c r="H20" i="244"/>
  <c r="H73"/>
  <c r="H78" i="154"/>
  <c r="H29" i="244"/>
  <c r="H71"/>
  <c r="H72"/>
  <c r="H33" i="270"/>
  <c r="H42"/>
  <c r="H51"/>
  <c r="H60"/>
  <c r="H69"/>
  <c r="H78"/>
  <c r="H87"/>
  <c r="H31" i="271"/>
  <c r="H49"/>
  <c r="H50"/>
  <c r="H51"/>
  <c r="H370" s="1"/>
  <c r="H21" i="272"/>
  <c r="H151" s="1"/>
  <c r="H39"/>
  <c r="H135"/>
  <c r="H40"/>
  <c r="H136"/>
  <c r="H152" s="1"/>
  <c r="H41"/>
  <c r="H155" s="1"/>
  <c r="H29" i="191"/>
  <c r="H138" s="1"/>
  <c r="H20"/>
  <c r="H113" s="1"/>
  <c r="H263" i="154"/>
  <c r="H264"/>
  <c r="H134"/>
  <c r="H266"/>
  <c r="H144"/>
  <c r="H269" s="1"/>
  <c r="H164"/>
  <c r="H279" s="1"/>
  <c r="H176"/>
  <c r="H285" s="1"/>
  <c r="H194"/>
  <c r="H293" s="1"/>
  <c r="G38" i="238"/>
  <c r="G239" s="1"/>
  <c r="G29"/>
  <c r="G234" s="1"/>
  <c r="G65"/>
  <c r="G225" s="1"/>
  <c r="G20"/>
  <c r="G219" s="1"/>
  <c r="G113" i="153"/>
  <c r="G143" s="1"/>
  <c r="G144" s="1"/>
  <c r="G103"/>
  <c r="G20" i="244"/>
  <c r="G233" i="154"/>
  <c r="G320" s="1"/>
  <c r="G78"/>
  <c r="G29" i="244"/>
  <c r="G31" i="271"/>
  <c r="G49"/>
  <c r="G121"/>
  <c r="G122"/>
  <c r="G123"/>
  <c r="G119"/>
  <c r="G124"/>
  <c r="G50"/>
  <c r="G120"/>
  <c r="G51"/>
  <c r="G370" s="1"/>
  <c r="G21" i="272"/>
  <c r="G39"/>
  <c r="G135"/>
  <c r="G40"/>
  <c r="G136"/>
  <c r="G152" s="1"/>
  <c r="G41"/>
  <c r="G155" s="1"/>
  <c r="G29" i="191"/>
  <c r="G138"/>
  <c r="G20"/>
  <c r="G113" s="1"/>
  <c r="G164" i="154"/>
  <c r="G279" s="1"/>
  <c r="G176"/>
  <c r="G285" s="1"/>
  <c r="G194"/>
  <c r="G293"/>
  <c r="F38" i="238"/>
  <c r="F239" s="1"/>
  <c r="F29"/>
  <c r="F234"/>
  <c r="F65"/>
  <c r="F225"/>
  <c r="F20"/>
  <c r="F219"/>
  <c r="F113" i="153"/>
  <c r="F103"/>
  <c r="F143" s="1"/>
  <c r="F144" s="1"/>
  <c r="F20" i="244"/>
  <c r="F89" i="154"/>
  <c r="F106"/>
  <c r="F310" s="1"/>
  <c r="F216"/>
  <c r="F312"/>
  <c r="F233"/>
  <c r="F320" s="1"/>
  <c r="F78"/>
  <c r="F33" i="270"/>
  <c r="F42"/>
  <c r="F51"/>
  <c r="F60"/>
  <c r="F69"/>
  <c r="F78"/>
  <c r="F87"/>
  <c r="F39" i="272"/>
  <c r="F40"/>
  <c r="F41"/>
  <c r="F29" i="191"/>
  <c r="F138"/>
  <c r="F20"/>
  <c r="F113"/>
  <c r="F164" i="154"/>
  <c r="F279" s="1"/>
  <c r="F176"/>
  <c r="F285"/>
  <c r="F194"/>
  <c r="F293" s="1"/>
  <c r="M51" i="263"/>
  <c r="N39" i="187"/>
  <c r="N43" s="1"/>
  <c r="N184" s="1"/>
  <c r="N205" s="1"/>
  <c r="N144"/>
  <c r="N145"/>
  <c r="N146"/>
  <c r="N135"/>
  <c r="N66" s="1"/>
  <c r="N70" s="1"/>
  <c r="N185" s="1"/>
  <c r="N211" s="1"/>
  <c r="N136"/>
  <c r="N137"/>
  <c r="M51" i="262"/>
  <c r="N146" i="191"/>
  <c r="N88"/>
  <c r="N121"/>
  <c r="N153"/>
  <c r="N154"/>
  <c r="N128"/>
  <c r="N129"/>
  <c r="N138" i="187"/>
  <c r="N74" s="1"/>
  <c r="N78" s="1"/>
  <c r="N186" s="1"/>
  <c r="N217" s="1"/>
  <c r="N139"/>
  <c r="N140"/>
  <c r="N138" i="272"/>
  <c r="N154"/>
  <c r="N46" i="184"/>
  <c r="N50" s="1"/>
  <c r="N190" s="1"/>
  <c r="M39" i="187"/>
  <c r="M43" s="1"/>
  <c r="M184" s="1"/>
  <c r="M205" s="1"/>
  <c r="M144"/>
  <c r="M145"/>
  <c r="M146"/>
  <c r="M135"/>
  <c r="M136"/>
  <c r="M137"/>
  <c r="M66"/>
  <c r="M70" s="1"/>
  <c r="M185" s="1"/>
  <c r="M211" s="1"/>
  <c r="M51" i="261"/>
  <c r="M146" i="191"/>
  <c r="M88"/>
  <c r="M121"/>
  <c r="M153"/>
  <c r="M128"/>
  <c r="M129"/>
  <c r="M138" i="187"/>
  <c r="M139"/>
  <c r="M140"/>
  <c r="M74"/>
  <c r="M78" s="1"/>
  <c r="M186" s="1"/>
  <c r="M217" s="1"/>
  <c r="M138" i="272"/>
  <c r="M154" s="1"/>
  <c r="M46" i="184"/>
  <c r="M50" s="1"/>
  <c r="M190" s="1"/>
  <c r="L39" i="187"/>
  <c r="L43"/>
  <c r="L184"/>
  <c r="L205" s="1"/>
  <c r="L144"/>
  <c r="L90" s="1"/>
  <c r="L94" s="1"/>
  <c r="L188" s="1"/>
  <c r="L229" s="1"/>
  <c r="L145"/>
  <c r="L146"/>
  <c r="L135"/>
  <c r="L136"/>
  <c r="L137"/>
  <c r="L66"/>
  <c r="L70" s="1"/>
  <c r="L185" s="1"/>
  <c r="L211" s="1"/>
  <c r="M51" i="260"/>
  <c r="L146" i="191"/>
  <c r="L88"/>
  <c r="L121"/>
  <c r="L153"/>
  <c r="L154"/>
  <c r="L128"/>
  <c r="L129"/>
  <c r="L138" i="187"/>
  <c r="L139"/>
  <c r="L140"/>
  <c r="L74" s="1"/>
  <c r="L78" s="1"/>
  <c r="L186" s="1"/>
  <c r="L217" s="1"/>
  <c r="L138" i="272"/>
  <c r="L154" s="1"/>
  <c r="L46" i="184"/>
  <c r="L50"/>
  <c r="L190" s="1"/>
  <c r="K39" i="187"/>
  <c r="K43"/>
  <c r="K184" s="1"/>
  <c r="K205" s="1"/>
  <c r="K144"/>
  <c r="K145"/>
  <c r="K90" s="1"/>
  <c r="K94" s="1"/>
  <c r="K146"/>
  <c r="K188"/>
  <c r="K229" s="1"/>
  <c r="K135"/>
  <c r="K66" s="1"/>
  <c r="K70" s="1"/>
  <c r="K185" s="1"/>
  <c r="K211" s="1"/>
  <c r="K136"/>
  <c r="K137"/>
  <c r="M51" i="259"/>
  <c r="K146" i="191"/>
  <c r="K88"/>
  <c r="K121" s="1"/>
  <c r="K153"/>
  <c r="K154"/>
  <c r="K128"/>
  <c r="K129"/>
  <c r="K138" i="187"/>
  <c r="K74" s="1"/>
  <c r="K139"/>
  <c r="K140"/>
  <c r="K78"/>
  <c r="K186" s="1"/>
  <c r="K217" s="1"/>
  <c r="K138" i="272"/>
  <c r="K154"/>
  <c r="K46" i="184"/>
  <c r="J39" i="187"/>
  <c r="J43"/>
  <c r="J184" s="1"/>
  <c r="J205" s="1"/>
  <c r="J144"/>
  <c r="J145"/>
  <c r="J146"/>
  <c r="J90"/>
  <c r="J94" s="1"/>
  <c r="J188" s="1"/>
  <c r="J229" s="1"/>
  <c r="J135"/>
  <c r="J136"/>
  <c r="J137"/>
  <c r="M51" i="258"/>
  <c r="J89" i="191"/>
  <c r="J146"/>
  <c r="J88"/>
  <c r="J121" s="1"/>
  <c r="J153"/>
  <c r="J154"/>
  <c r="J128"/>
  <c r="J129"/>
  <c r="J138" i="187"/>
  <c r="J74" s="1"/>
  <c r="J78" s="1"/>
  <c r="J186" s="1"/>
  <c r="J139"/>
  <c r="J140"/>
  <c r="J217"/>
  <c r="J138" i="272"/>
  <c r="J154"/>
  <c r="I39" i="187"/>
  <c r="I43" s="1"/>
  <c r="I184" s="1"/>
  <c r="I205" s="1"/>
  <c r="I144"/>
  <c r="I145"/>
  <c r="I90" s="1"/>
  <c r="I94" s="1"/>
  <c r="I188" s="1"/>
  <c r="I229" s="1"/>
  <c r="I146"/>
  <c r="I135"/>
  <c r="I66" s="1"/>
  <c r="I70" s="1"/>
  <c r="I185" s="1"/>
  <c r="I211" s="1"/>
  <c r="I136"/>
  <c r="I137"/>
  <c r="M51" i="248"/>
  <c r="I89" i="191"/>
  <c r="I146"/>
  <c r="I88"/>
  <c r="I121" s="1"/>
  <c r="I153"/>
  <c r="I154"/>
  <c r="I128"/>
  <c r="I129"/>
  <c r="I138" i="187"/>
  <c r="I74" s="1"/>
  <c r="I139"/>
  <c r="I140"/>
  <c r="I78"/>
  <c r="I186" s="1"/>
  <c r="I217" s="1"/>
  <c r="I138" i="272"/>
  <c r="I154"/>
  <c r="H39" i="187"/>
  <c r="H43"/>
  <c r="H184" s="1"/>
  <c r="H205" s="1"/>
  <c r="H144"/>
  <c r="H145"/>
  <c r="H90" s="1"/>
  <c r="H94" s="1"/>
  <c r="H188" s="1"/>
  <c r="H229" s="1"/>
  <c r="H146"/>
  <c r="H135"/>
  <c r="H136"/>
  <c r="H137"/>
  <c r="M51" i="256"/>
  <c r="H89" i="191"/>
  <c r="H146"/>
  <c r="H88"/>
  <c r="H121" s="1"/>
  <c r="H153"/>
  <c r="H154"/>
  <c r="H128"/>
  <c r="H129"/>
  <c r="H138" i="187"/>
  <c r="H139"/>
  <c r="H140"/>
  <c r="H138" i="272"/>
  <c r="H154"/>
  <c r="G39" i="187"/>
  <c r="G43"/>
  <c r="G184" s="1"/>
  <c r="G205" s="1"/>
  <c r="G144"/>
  <c r="G145"/>
  <c r="G146"/>
  <c r="G90"/>
  <c r="G94" s="1"/>
  <c r="G188" s="1"/>
  <c r="G229" s="1"/>
  <c r="G135"/>
  <c r="G66" s="1"/>
  <c r="G70" s="1"/>
  <c r="G185" s="1"/>
  <c r="G211" s="1"/>
  <c r="G136"/>
  <c r="G137"/>
  <c r="M51" i="255"/>
  <c r="G89" i="191"/>
  <c r="G146"/>
  <c r="G88"/>
  <c r="G121" s="1"/>
  <c r="G153"/>
  <c r="G154"/>
  <c r="G128"/>
  <c r="G129"/>
  <c r="G138" i="187"/>
  <c r="G74" s="1"/>
  <c r="G78" s="1"/>
  <c r="G186" s="1"/>
  <c r="G217" s="1"/>
  <c r="G139"/>
  <c r="G140"/>
  <c r="G138" i="272"/>
  <c r="G154"/>
  <c r="G190" i="184"/>
  <c r="F39" i="187"/>
  <c r="F43" s="1"/>
  <c r="F184" s="1"/>
  <c r="F205" s="1"/>
  <c r="F144"/>
  <c r="F145"/>
  <c r="F146"/>
  <c r="F135"/>
  <c r="F136"/>
  <c r="F66" s="1"/>
  <c r="F70" s="1"/>
  <c r="F185" s="1"/>
  <c r="F211" s="1"/>
  <c r="F137"/>
  <c r="M51" i="257"/>
  <c r="F89" i="191"/>
  <c r="F146" s="1"/>
  <c r="F88"/>
  <c r="F121"/>
  <c r="F153"/>
  <c r="F154"/>
  <c r="F128"/>
  <c r="F129"/>
  <c r="F138" i="187"/>
  <c r="F139"/>
  <c r="F74" s="1"/>
  <c r="F78" s="1"/>
  <c r="F186" s="1"/>
  <c r="F217" s="1"/>
  <c r="F140"/>
  <c r="F170" i="133"/>
  <c r="F245"/>
  <c r="F244"/>
  <c r="F180"/>
  <c r="F246" s="1"/>
  <c r="F16" i="190"/>
  <c r="F39" s="1"/>
  <c r="F43" s="1"/>
  <c r="F80" s="1"/>
  <c r="F84" s="1"/>
  <c r="F27"/>
  <c r="F41" i="234"/>
  <c r="F83" s="1"/>
  <c r="F93" s="1"/>
  <c r="F16" i="233"/>
  <c r="F34"/>
  <c r="F38" s="1"/>
  <c r="F79" s="1"/>
  <c r="F89" s="1"/>
  <c r="F37" i="237"/>
  <c r="F79"/>
  <c r="F88" s="1"/>
  <c r="F37" i="236"/>
  <c r="F70"/>
  <c r="F78" s="1"/>
  <c r="F43" i="235"/>
  <c r="F107"/>
  <c r="F115" s="1"/>
  <c r="F19" i="182"/>
  <c r="F46" s="1"/>
  <c r="F50" s="1"/>
  <c r="F88" s="1"/>
  <c r="F92" s="1"/>
  <c r="F28"/>
  <c r="F37"/>
  <c r="F34" i="197"/>
  <c r="F38"/>
  <c r="F79" s="1"/>
  <c r="F84" s="1"/>
  <c r="F86" s="1"/>
  <c r="F53"/>
  <c r="F85"/>
  <c r="E27" i="168"/>
  <c r="F62" s="1"/>
  <c r="F27" i="199"/>
  <c r="F54"/>
  <c r="F56"/>
  <c r="G170" i="133"/>
  <c r="G245" s="1"/>
  <c r="G180"/>
  <c r="G246"/>
  <c r="G16" i="190"/>
  <c r="G27"/>
  <c r="G39"/>
  <c r="G43" s="1"/>
  <c r="G80"/>
  <c r="G84" s="1"/>
  <c r="G41" i="234"/>
  <c r="G83" s="1"/>
  <c r="G93"/>
  <c r="G38" i="233"/>
  <c r="G79"/>
  <c r="G89" s="1"/>
  <c r="G37" i="237"/>
  <c r="G79"/>
  <c r="G88" s="1"/>
  <c r="G43" i="235"/>
  <c r="G107"/>
  <c r="G115" s="1"/>
  <c r="G19" i="182"/>
  <c r="G46" s="1"/>
  <c r="G50" s="1"/>
  <c r="G88" s="1"/>
  <c r="G92" s="1"/>
  <c r="G28"/>
  <c r="G37"/>
  <c r="F27" i="168"/>
  <c r="G62"/>
  <c r="G27" i="199"/>
  <c r="G54"/>
  <c r="G56"/>
  <c r="H170" i="133"/>
  <c r="H245"/>
  <c r="H180"/>
  <c r="H246" s="1"/>
  <c r="H16" i="190"/>
  <c r="H27"/>
  <c r="H39" s="1"/>
  <c r="H43" s="1"/>
  <c r="H80" s="1"/>
  <c r="H84" s="1"/>
  <c r="H41" i="234"/>
  <c r="H83"/>
  <c r="H93" s="1"/>
  <c r="H38" i="233"/>
  <c r="H79" s="1"/>
  <c r="H89" s="1"/>
  <c r="H19" i="182"/>
  <c r="H28"/>
  <c r="H37"/>
  <c r="H46"/>
  <c r="H50" s="1"/>
  <c r="H88" s="1"/>
  <c r="H92" s="1"/>
  <c r="H27" i="199"/>
  <c r="H54"/>
  <c r="H56"/>
  <c r="I170" i="133"/>
  <c r="I245"/>
  <c r="I180"/>
  <c r="I246" s="1"/>
  <c r="I16" i="190"/>
  <c r="I27"/>
  <c r="I39" s="1"/>
  <c r="I43" s="1"/>
  <c r="I80" s="1"/>
  <c r="I84" s="1"/>
  <c r="I86" s="1"/>
  <c r="I19" i="182"/>
  <c r="I28"/>
  <c r="I37"/>
  <c r="I46"/>
  <c r="I50" s="1"/>
  <c r="I88" s="1"/>
  <c r="I92" s="1"/>
  <c r="I27" i="199"/>
  <c r="I54"/>
  <c r="I56"/>
  <c r="J170" i="133"/>
  <c r="J245"/>
  <c r="J180"/>
  <c r="J246" s="1"/>
  <c r="J16" i="190"/>
  <c r="J27"/>
  <c r="J39" s="1"/>
  <c r="J43" s="1"/>
  <c r="J80" s="1"/>
  <c r="J84" s="1"/>
  <c r="J19" i="182"/>
  <c r="J28"/>
  <c r="J37"/>
  <c r="J46"/>
  <c r="J50" s="1"/>
  <c r="J88" s="1"/>
  <c r="J92" s="1"/>
  <c r="J94" s="1"/>
  <c r="J27" i="199"/>
  <c r="J54"/>
  <c r="J56"/>
  <c r="K170" i="133"/>
  <c r="K245"/>
  <c r="K180"/>
  <c r="K246" s="1"/>
  <c r="K16" i="190"/>
  <c r="K27"/>
  <c r="K39" s="1"/>
  <c r="K43" s="1"/>
  <c r="K80" s="1"/>
  <c r="K84" s="1"/>
  <c r="K86" s="1"/>
  <c r="K19" i="182"/>
  <c r="K28"/>
  <c r="K37"/>
  <c r="K46"/>
  <c r="K50" s="1"/>
  <c r="K88" s="1"/>
  <c r="K92" s="1"/>
  <c r="K27" i="199"/>
  <c r="K54"/>
  <c r="K56"/>
  <c r="L170" i="133"/>
  <c r="L245"/>
  <c r="L180"/>
  <c r="L246" s="1"/>
  <c r="L16" i="190"/>
  <c r="L27"/>
  <c r="L39"/>
  <c r="L43" s="1"/>
  <c r="L80" s="1"/>
  <c r="L84" s="1"/>
  <c r="L19" i="182"/>
  <c r="L46" s="1"/>
  <c r="L28"/>
  <c r="L37"/>
  <c r="L50"/>
  <c r="L88" s="1"/>
  <c r="L92" s="1"/>
  <c r="L94" s="1"/>
  <c r="L27" i="199"/>
  <c r="L54" s="1"/>
  <c r="L56"/>
  <c r="M170" i="133"/>
  <c r="M245" s="1"/>
  <c r="M180"/>
  <c r="M246"/>
  <c r="M16" i="190"/>
  <c r="M27"/>
  <c r="M39"/>
  <c r="M43" s="1"/>
  <c r="M80" s="1"/>
  <c r="M84" s="1"/>
  <c r="M86" s="1"/>
  <c r="M19" i="182"/>
  <c r="M46" s="1"/>
  <c r="M28"/>
  <c r="M37"/>
  <c r="M50"/>
  <c r="M88" s="1"/>
  <c r="M92" s="1"/>
  <c r="M94" s="1"/>
  <c r="M27" i="199"/>
  <c r="M54" s="1"/>
  <c r="M56"/>
  <c r="N170" i="133"/>
  <c r="N245" s="1"/>
  <c r="N180"/>
  <c r="N246"/>
  <c r="N16" i="190"/>
  <c r="N27"/>
  <c r="N39"/>
  <c r="N43" s="1"/>
  <c r="N80" s="1"/>
  <c r="N84" s="1"/>
  <c r="N86" s="1"/>
  <c r="N19" i="182"/>
  <c r="N46" s="1"/>
  <c r="N28"/>
  <c r="N37"/>
  <c r="N50"/>
  <c r="N88" s="1"/>
  <c r="N92" s="1"/>
  <c r="N94" s="1"/>
  <c r="N27" i="199"/>
  <c r="N54" s="1"/>
  <c r="N56"/>
  <c r="O56"/>
  <c r="BK70" i="279"/>
  <c r="E47" i="6"/>
  <c r="E13"/>
  <c r="F385" i="270"/>
  <c r="F494" s="1"/>
  <c r="E18" i="6"/>
  <c r="E20"/>
  <c r="F513" i="270"/>
  <c r="F387"/>
  <c r="F532"/>
  <c r="F388"/>
  <c r="F552"/>
  <c r="F389"/>
  <c r="F571"/>
  <c r="F390"/>
  <c r="F590"/>
  <c r="F391"/>
  <c r="F609"/>
  <c r="F106" i="6"/>
  <c r="F103"/>
  <c r="G385" i="270"/>
  <c r="G494"/>
  <c r="G411"/>
  <c r="G513"/>
  <c r="G421"/>
  <c r="G387"/>
  <c r="G532"/>
  <c r="G430"/>
  <c r="H430" s="1"/>
  <c r="I430" s="1"/>
  <c r="J430" s="1"/>
  <c r="K430" s="1"/>
  <c r="L430" s="1"/>
  <c r="M430" s="1"/>
  <c r="N430" s="1"/>
  <c r="O430" s="1"/>
  <c r="G388"/>
  <c r="G552"/>
  <c r="G389"/>
  <c r="G571"/>
  <c r="G449"/>
  <c r="G390"/>
  <c r="G590"/>
  <c r="G459"/>
  <c r="H459" s="1"/>
  <c r="I459" s="1"/>
  <c r="J459" s="1"/>
  <c r="K459" s="1"/>
  <c r="L459" s="1"/>
  <c r="M459" s="1"/>
  <c r="N459" s="1"/>
  <c r="G391"/>
  <c r="G609"/>
  <c r="G468"/>
  <c r="H468" s="1"/>
  <c r="I468" s="1"/>
  <c r="G412"/>
  <c r="H412" s="1"/>
  <c r="I412" s="1"/>
  <c r="J412" s="1"/>
  <c r="K412" s="1"/>
  <c r="L412" s="1"/>
  <c r="M412" s="1"/>
  <c r="N412" s="1"/>
  <c r="O412" s="1"/>
  <c r="G422"/>
  <c r="G431"/>
  <c r="G450"/>
  <c r="G460"/>
  <c r="H460" s="1"/>
  <c r="I460" s="1"/>
  <c r="J460" s="1"/>
  <c r="K460" s="1"/>
  <c r="L460" s="1"/>
  <c r="M460" s="1"/>
  <c r="N460" s="1"/>
  <c r="O460" s="1"/>
  <c r="G469"/>
  <c r="G413"/>
  <c r="G423"/>
  <c r="H423" s="1"/>
  <c r="I423" s="1"/>
  <c r="J423" s="1"/>
  <c r="G432"/>
  <c r="G451"/>
  <c r="G461"/>
  <c r="G470"/>
  <c r="H470" s="1"/>
  <c r="I470" s="1"/>
  <c r="J470" s="1"/>
  <c r="F27" i="271"/>
  <c r="F31" s="1"/>
  <c r="F36"/>
  <c r="F49" s="1"/>
  <c r="F76"/>
  <c r="F120" s="1"/>
  <c r="F318"/>
  <c r="F75"/>
  <c r="F119" s="1"/>
  <c r="F315"/>
  <c r="F77"/>
  <c r="F121" s="1"/>
  <c r="F321"/>
  <c r="F79"/>
  <c r="F123" s="1"/>
  <c r="F328"/>
  <c r="F80"/>
  <c r="F124" s="1"/>
  <c r="F332"/>
  <c r="E43" i="6"/>
  <c r="F43" s="1"/>
  <c r="B8" i="35"/>
  <c r="B9"/>
  <c r="B10"/>
  <c r="E6"/>
  <c r="E42" i="6"/>
  <c r="F51" i="159"/>
  <c r="D6" i="35"/>
  <c r="F60" i="159"/>
  <c r="F55"/>
  <c r="F64"/>
  <c r="E31" i="6"/>
  <c r="F49" i="159"/>
  <c r="F58"/>
  <c r="F187" i="194"/>
  <c r="G85" i="197"/>
  <c r="F179" i="200"/>
  <c r="F180" s="1"/>
  <c r="F181"/>
  <c r="F188"/>
  <c r="F166" i="187"/>
  <c r="F167"/>
  <c r="F319" i="271"/>
  <c r="F78"/>
  <c r="F122" s="1"/>
  <c r="F324"/>
  <c r="F325"/>
  <c r="F326"/>
  <c r="F330"/>
  <c r="F314"/>
  <c r="F320"/>
  <c r="F334"/>
  <c r="F37"/>
  <c r="F50" s="1"/>
  <c r="F335"/>
  <c r="F317"/>
  <c r="F331"/>
  <c r="F322"/>
  <c r="F329"/>
  <c r="F333"/>
  <c r="F38"/>
  <c r="F51" s="1"/>
  <c r="F17" i="272"/>
  <c r="F21" s="1"/>
  <c r="F99"/>
  <c r="F135" s="1"/>
  <c r="F102"/>
  <c r="F138" s="1"/>
  <c r="F101"/>
  <c r="F137" s="1"/>
  <c r="F100"/>
  <c r="F136" s="1"/>
  <c r="F54" i="159"/>
  <c r="F63"/>
  <c r="G19" i="184"/>
  <c r="F19"/>
  <c r="F23" s="1"/>
  <c r="F149" s="1"/>
  <c r="F150"/>
  <c r="F152"/>
  <c r="F139" i="191"/>
  <c r="F57"/>
  <c r="F74" s="1"/>
  <c r="F76" s="1"/>
  <c r="F137"/>
  <c r="F114"/>
  <c r="F65" i="244"/>
  <c r="F73" s="1"/>
  <c r="F207" i="154"/>
  <c r="E71" i="6"/>
  <c r="F71" s="1"/>
  <c r="F225" i="154"/>
  <c r="F278"/>
  <c r="F183"/>
  <c r="F185"/>
  <c r="E16" i="270"/>
  <c r="H16"/>
  <c r="H20"/>
  <c r="G414"/>
  <c r="H414" s="1"/>
  <c r="H513"/>
  <c r="G424"/>
  <c r="H424" s="1"/>
  <c r="I424" s="1"/>
  <c r="J424" s="1"/>
  <c r="K424" s="1"/>
  <c r="L424" s="1"/>
  <c r="M424" s="1"/>
  <c r="N424" s="1"/>
  <c r="G433"/>
  <c r="H433" s="1"/>
  <c r="I433" s="1"/>
  <c r="J433" s="1"/>
  <c r="K433" s="1"/>
  <c r="L433" s="1"/>
  <c r="M433" s="1"/>
  <c r="N433" s="1"/>
  <c r="G452"/>
  <c r="H452" s="1"/>
  <c r="I452" s="1"/>
  <c r="J452" s="1"/>
  <c r="G462"/>
  <c r="H462" s="1"/>
  <c r="I462" s="1"/>
  <c r="J462" s="1"/>
  <c r="G471"/>
  <c r="H471"/>
  <c r="I471" s="1"/>
  <c r="J471" s="1"/>
  <c r="O76" i="271"/>
  <c r="O120" s="1"/>
  <c r="G74"/>
  <c r="H74"/>
  <c r="H318"/>
  <c r="O75"/>
  <c r="E75" s="1"/>
  <c r="H75" s="1"/>
  <c r="G316"/>
  <c r="O77"/>
  <c r="E77"/>
  <c r="H77" s="1"/>
  <c r="H121" s="1"/>
  <c r="G323"/>
  <c r="O79"/>
  <c r="O123" s="1"/>
  <c r="E79"/>
  <c r="H79" s="1"/>
  <c r="H123" s="1"/>
  <c r="H328"/>
  <c r="O80"/>
  <c r="E80"/>
  <c r="H80" s="1"/>
  <c r="H332"/>
  <c r="G234" i="159"/>
  <c r="E8" i="35"/>
  <c r="O168" i="159"/>
  <c r="E168"/>
  <c r="H168" s="1"/>
  <c r="I168" s="1"/>
  <c r="J168" s="1"/>
  <c r="K168" s="1"/>
  <c r="L168" s="1"/>
  <c r="M168" s="1"/>
  <c r="N168" s="1"/>
  <c r="H51"/>
  <c r="D8" i="35"/>
  <c r="H60" i="159"/>
  <c r="O172"/>
  <c r="E172" s="1"/>
  <c r="H172" s="1"/>
  <c r="I172" s="1"/>
  <c r="H55"/>
  <c r="H64"/>
  <c r="O166"/>
  <c r="E166" s="1"/>
  <c r="H166" s="1"/>
  <c r="I166" s="1"/>
  <c r="J166" s="1"/>
  <c r="K166" s="1"/>
  <c r="L166" s="1"/>
  <c r="M166" s="1"/>
  <c r="N166" s="1"/>
  <c r="H49"/>
  <c r="H58"/>
  <c r="H187" i="194"/>
  <c r="H181" i="200"/>
  <c r="H188"/>
  <c r="BA4" i="279"/>
  <c r="I16" i="270"/>
  <c r="I20" s="1"/>
  <c r="I414"/>
  <c r="J414" s="1"/>
  <c r="K414" s="1"/>
  <c r="L414" s="1"/>
  <c r="M414" s="1"/>
  <c r="N414" s="1"/>
  <c r="I513"/>
  <c r="I74" i="271"/>
  <c r="J74" s="1"/>
  <c r="K74" s="1"/>
  <c r="L74" s="1"/>
  <c r="M74" s="1"/>
  <c r="N74" s="1"/>
  <c r="I318"/>
  <c r="I79"/>
  <c r="I328"/>
  <c r="I332"/>
  <c r="E9" i="35"/>
  <c r="I51" i="159"/>
  <c r="D9" i="35"/>
  <c r="I60" i="159"/>
  <c r="I55"/>
  <c r="I64"/>
  <c r="I49"/>
  <c r="I58"/>
  <c r="I187" i="194"/>
  <c r="I181" i="200"/>
  <c r="I188"/>
  <c r="J513" i="270"/>
  <c r="J318" i="271"/>
  <c r="J328"/>
  <c r="J332"/>
  <c r="E10" i="35"/>
  <c r="J51" i="159"/>
  <c r="D10" i="35"/>
  <c r="J60" i="159"/>
  <c r="J172"/>
  <c r="K172" s="1"/>
  <c r="L172" s="1"/>
  <c r="M172" s="1"/>
  <c r="N172" s="1"/>
  <c r="J55"/>
  <c r="J64"/>
  <c r="J49"/>
  <c r="J58"/>
  <c r="J187" i="194"/>
  <c r="J181" i="200"/>
  <c r="J188"/>
  <c r="K513" i="270"/>
  <c r="K452"/>
  <c r="L452" s="1"/>
  <c r="M452" s="1"/>
  <c r="N452" s="1"/>
  <c r="O452" s="1"/>
  <c r="K462"/>
  <c r="K471"/>
  <c r="L471" s="1"/>
  <c r="M471" s="1"/>
  <c r="N471" s="1"/>
  <c r="O471" s="1"/>
  <c r="K318" i="271"/>
  <c r="K328"/>
  <c r="K332"/>
  <c r="E11" i="35"/>
  <c r="K51" i="159"/>
  <c r="D11" i="35"/>
  <c r="K60" i="159"/>
  <c r="K55"/>
  <c r="K64"/>
  <c r="K49"/>
  <c r="K58"/>
  <c r="K187" i="194"/>
  <c r="K181" i="200"/>
  <c r="K188"/>
  <c r="L513" i="270"/>
  <c r="L462"/>
  <c r="M462" s="1"/>
  <c r="N462" s="1"/>
  <c r="O462" s="1"/>
  <c r="L318" i="271"/>
  <c r="L328"/>
  <c r="L332"/>
  <c r="E12" i="35"/>
  <c r="L51" i="159"/>
  <c r="D12" i="35"/>
  <c r="L60" i="159"/>
  <c r="L55"/>
  <c r="L64"/>
  <c r="L49"/>
  <c r="L58"/>
  <c r="L187" i="194"/>
  <c r="L181" i="200"/>
  <c r="L188"/>
  <c r="M513" i="270"/>
  <c r="M318" i="271"/>
  <c r="M328"/>
  <c r="M332"/>
  <c r="E13" i="35"/>
  <c r="M51" i="159"/>
  <c r="D13" i="35"/>
  <c r="M60" i="159"/>
  <c r="M55"/>
  <c r="M64"/>
  <c r="M49"/>
  <c r="M58"/>
  <c r="M187" i="194"/>
  <c r="M181" i="200"/>
  <c r="M188"/>
  <c r="N513" i="270"/>
  <c r="N318" i="271"/>
  <c r="N328"/>
  <c r="N332"/>
  <c r="E14" i="35"/>
  <c r="N51" i="159"/>
  <c r="D14" i="35"/>
  <c r="N60" i="159"/>
  <c r="N55"/>
  <c r="N64"/>
  <c r="N49"/>
  <c r="N58"/>
  <c r="N187" i="194"/>
  <c r="N181" i="200"/>
  <c r="N188"/>
  <c r="H124" i="187"/>
  <c r="H166"/>
  <c r="H167"/>
  <c r="H413" i="270"/>
  <c r="H432"/>
  <c r="I432" s="1"/>
  <c r="J432" s="1"/>
  <c r="K432" s="1"/>
  <c r="L432" s="1"/>
  <c r="M432" s="1"/>
  <c r="N432" s="1"/>
  <c r="O432" s="1"/>
  <c r="H451"/>
  <c r="H461"/>
  <c r="O78" i="271"/>
  <c r="E78"/>
  <c r="H78" s="1"/>
  <c r="G327"/>
  <c r="H330"/>
  <c r="H334"/>
  <c r="H335"/>
  <c r="H317"/>
  <c r="H331"/>
  <c r="H329"/>
  <c r="H333"/>
  <c r="H101" i="272"/>
  <c r="H137" s="1"/>
  <c r="H153" s="1"/>
  <c r="O171" i="159"/>
  <c r="E171"/>
  <c r="H171" s="1"/>
  <c r="H54"/>
  <c r="H63"/>
  <c r="G134" i="184"/>
  <c r="E106"/>
  <c r="G147"/>
  <c r="H147" s="1"/>
  <c r="I147" s="1"/>
  <c r="J147" s="1"/>
  <c r="H150"/>
  <c r="H139" i="191"/>
  <c r="G57"/>
  <c r="G74" s="1"/>
  <c r="G76" s="1"/>
  <c r="G137" s="1"/>
  <c r="H114"/>
  <c r="G84" i="154"/>
  <c r="H84"/>
  <c r="G344"/>
  <c r="H344"/>
  <c r="H267"/>
  <c r="H268" s="1"/>
  <c r="H271"/>
  <c r="I124" i="187"/>
  <c r="I166"/>
  <c r="I167"/>
  <c r="I413" i="270"/>
  <c r="J413" s="1"/>
  <c r="K413" s="1"/>
  <c r="L413" s="1"/>
  <c r="M413" s="1"/>
  <c r="N413" s="1"/>
  <c r="O413" s="1"/>
  <c r="I451"/>
  <c r="I461"/>
  <c r="I330" i="271"/>
  <c r="I334"/>
  <c r="I335"/>
  <c r="I317"/>
  <c r="I331"/>
  <c r="I329"/>
  <c r="I333"/>
  <c r="I101" i="272"/>
  <c r="I137" s="1"/>
  <c r="I153" s="1"/>
  <c r="I171" i="159"/>
  <c r="I54"/>
  <c r="I63"/>
  <c r="I150" i="184"/>
  <c r="I139" i="191"/>
  <c r="I114"/>
  <c r="I344" i="154"/>
  <c r="I267"/>
  <c r="I268" s="1"/>
  <c r="I271"/>
  <c r="J124" i="187"/>
  <c r="J166"/>
  <c r="J167"/>
  <c r="J451" i="270"/>
  <c r="K451" s="1"/>
  <c r="J461"/>
  <c r="K461" s="1"/>
  <c r="L461" s="1"/>
  <c r="M461" s="1"/>
  <c r="N461" s="1"/>
  <c r="O461" s="1"/>
  <c r="J330" i="271"/>
  <c r="J334"/>
  <c r="J335"/>
  <c r="J317"/>
  <c r="J331"/>
  <c r="J329"/>
  <c r="J333"/>
  <c r="J101" i="272"/>
  <c r="J137" s="1"/>
  <c r="J171" i="159"/>
  <c r="K171" s="1"/>
  <c r="J54"/>
  <c r="J63"/>
  <c r="J150" i="184"/>
  <c r="J139" i="191"/>
  <c r="J114"/>
  <c r="J130" s="1"/>
  <c r="E74" i="6"/>
  <c r="F74" s="1"/>
  <c r="E37"/>
  <c r="J344" i="154"/>
  <c r="J267"/>
  <c r="J268" s="1"/>
  <c r="J271"/>
  <c r="K124" i="187"/>
  <c r="K166"/>
  <c r="K167"/>
  <c r="K423" i="270"/>
  <c r="L423" s="1"/>
  <c r="M423" s="1"/>
  <c r="K470"/>
  <c r="L470" s="1"/>
  <c r="M470" s="1"/>
  <c r="K330" i="271"/>
  <c r="K334"/>
  <c r="K335"/>
  <c r="K368" s="1"/>
  <c r="K317"/>
  <c r="K331"/>
  <c r="K329"/>
  <c r="K333"/>
  <c r="K101" i="272"/>
  <c r="K137" s="1"/>
  <c r="K54" i="159"/>
  <c r="K63"/>
  <c r="K150" i="184"/>
  <c r="K139" i="191"/>
  <c r="K114"/>
  <c r="K344" i="154"/>
  <c r="K267"/>
  <c r="K268" s="1"/>
  <c r="K271"/>
  <c r="L166" i="187"/>
  <c r="L167"/>
  <c r="L451" i="270"/>
  <c r="M451" s="1"/>
  <c r="N451" s="1"/>
  <c r="L330" i="271"/>
  <c r="L334"/>
  <c r="L335"/>
  <c r="L317"/>
  <c r="L331"/>
  <c r="L329"/>
  <c r="L333"/>
  <c r="L101" i="272"/>
  <c r="L137" s="1"/>
  <c r="L153" s="1"/>
  <c r="L171" i="159"/>
  <c r="M171" s="1"/>
  <c r="N171" s="1"/>
  <c r="L54"/>
  <c r="L63"/>
  <c r="L150" i="184"/>
  <c r="L139" i="191"/>
  <c r="L114"/>
  <c r="L130" s="1"/>
  <c r="L267" i="154"/>
  <c r="L268" s="1"/>
  <c r="L271"/>
  <c r="M166" i="187"/>
  <c r="M167"/>
  <c r="M330" i="271"/>
  <c r="M334"/>
  <c r="M335"/>
  <c r="M317"/>
  <c r="M331"/>
  <c r="M329"/>
  <c r="M333"/>
  <c r="M101" i="272"/>
  <c r="M137" s="1"/>
  <c r="M153" s="1"/>
  <c r="M54" i="159"/>
  <c r="M63"/>
  <c r="M150" i="184"/>
  <c r="M139" i="191"/>
  <c r="M155" s="1"/>
  <c r="M114"/>
  <c r="M130" s="1"/>
  <c r="M267" i="154"/>
  <c r="M268" s="1"/>
  <c r="M271"/>
  <c r="N166" i="187"/>
  <c r="N167"/>
  <c r="N423" i="270"/>
  <c r="N470"/>
  <c r="N330" i="271"/>
  <c r="N334"/>
  <c r="N335"/>
  <c r="N317"/>
  <c r="N331"/>
  <c r="N329"/>
  <c r="N333"/>
  <c r="N101" i="272"/>
  <c r="N137" s="1"/>
  <c r="N153" s="1"/>
  <c r="N54" i="159"/>
  <c r="N63"/>
  <c r="N150" i="184"/>
  <c r="N139" i="191"/>
  <c r="N114"/>
  <c r="N267" i="154"/>
  <c r="N268" s="1"/>
  <c r="N271"/>
  <c r="G318" i="271"/>
  <c r="G351" s="1"/>
  <c r="G315"/>
  <c r="G348" s="1"/>
  <c r="G321"/>
  <c r="G354" s="1"/>
  <c r="G328"/>
  <c r="G361" s="1"/>
  <c r="G332"/>
  <c r="G365" s="1"/>
  <c r="E7" i="35"/>
  <c r="G51" i="159"/>
  <c r="D7" i="35"/>
  <c r="G60" i="159"/>
  <c r="G55"/>
  <c r="G64"/>
  <c r="G49"/>
  <c r="G58"/>
  <c r="G187" i="194"/>
  <c r="G181" i="200"/>
  <c r="G188"/>
  <c r="G166" i="187"/>
  <c r="G167"/>
  <c r="G319" i="271"/>
  <c r="G352" s="1"/>
  <c r="G324"/>
  <c r="G357" s="1"/>
  <c r="G325"/>
  <c r="G326"/>
  <c r="G330"/>
  <c r="G314"/>
  <c r="G347" s="1"/>
  <c r="G320"/>
  <c r="G334"/>
  <c r="G335"/>
  <c r="G317"/>
  <c r="G331"/>
  <c r="G364" s="1"/>
  <c r="G322"/>
  <c r="G329"/>
  <c r="G362" s="1"/>
  <c r="G333"/>
  <c r="G366" s="1"/>
  <c r="G101" i="272"/>
  <c r="G137" s="1"/>
  <c r="G153" s="1"/>
  <c r="G54" i="159"/>
  <c r="G63"/>
  <c r="G150" i="184"/>
  <c r="G152"/>
  <c r="G139" i="191"/>
  <c r="G75"/>
  <c r="G112" s="1"/>
  <c r="G114"/>
  <c r="G278" i="154"/>
  <c r="E24" i="6"/>
  <c r="H422" i="270"/>
  <c r="H431"/>
  <c r="I431" s="1"/>
  <c r="H450"/>
  <c r="I450" s="1"/>
  <c r="J450" s="1"/>
  <c r="K450" s="1"/>
  <c r="L450" s="1"/>
  <c r="M450" s="1"/>
  <c r="N450" s="1"/>
  <c r="O450" s="1"/>
  <c r="H469"/>
  <c r="O170" i="159"/>
  <c r="E170" s="1"/>
  <c r="H170" s="1"/>
  <c r="I170" s="1"/>
  <c r="J170" s="1"/>
  <c r="K170" s="1"/>
  <c r="L170" s="1"/>
  <c r="M170" s="1"/>
  <c r="N170" s="1"/>
  <c r="H53"/>
  <c r="H62"/>
  <c r="O169"/>
  <c r="E169" s="1"/>
  <c r="H169" s="1"/>
  <c r="I169" s="1"/>
  <c r="J169" s="1"/>
  <c r="K169" s="1"/>
  <c r="L169" s="1"/>
  <c r="M169" s="1"/>
  <c r="N169" s="1"/>
  <c r="H52"/>
  <c r="H61"/>
  <c r="F156" i="238"/>
  <c r="H186" i="194"/>
  <c r="H145" i="200"/>
  <c r="H152"/>
  <c r="H163"/>
  <c r="H170"/>
  <c r="E11" i="6"/>
  <c r="G193" i="187"/>
  <c r="H203"/>
  <c r="H204"/>
  <c r="H227"/>
  <c r="H228"/>
  <c r="H209"/>
  <c r="H210"/>
  <c r="H215"/>
  <c r="H216"/>
  <c r="H221"/>
  <c r="H222"/>
  <c r="G97" i="188"/>
  <c r="H57"/>
  <c r="I57"/>
  <c r="J57"/>
  <c r="K57"/>
  <c r="L57"/>
  <c r="M57"/>
  <c r="N57"/>
  <c r="O57"/>
  <c r="P57"/>
  <c r="Q57"/>
  <c r="R57"/>
  <c r="S57"/>
  <c r="T57"/>
  <c r="U57"/>
  <c r="V57"/>
  <c r="W57"/>
  <c r="X57"/>
  <c r="Y57"/>
  <c r="Z57"/>
  <c r="AA57"/>
  <c r="F93"/>
  <c r="F94"/>
  <c r="H411" i="270"/>
  <c r="I411" s="1"/>
  <c r="J411" s="1"/>
  <c r="K411" s="1"/>
  <c r="L411" s="1"/>
  <c r="M411" s="1"/>
  <c r="N411" s="1"/>
  <c r="H421"/>
  <c r="H449"/>
  <c r="H185" i="271"/>
  <c r="H336"/>
  <c r="H369" s="1"/>
  <c r="O167" i="159"/>
  <c r="E167" s="1"/>
  <c r="H167" s="1"/>
  <c r="I167" s="1"/>
  <c r="H50"/>
  <c r="H59"/>
  <c r="G135" i="184"/>
  <c r="H147" i="191"/>
  <c r="H122"/>
  <c r="H185" i="194"/>
  <c r="H85" i="190"/>
  <c r="H94" i="234"/>
  <c r="G43" i="233"/>
  <c r="G47" s="1"/>
  <c r="G83" s="1"/>
  <c r="G90" s="1"/>
  <c r="F42" i="237"/>
  <c r="F46" s="1"/>
  <c r="F84" s="1"/>
  <c r="F89" s="1"/>
  <c r="H43" i="236"/>
  <c r="H47" s="1"/>
  <c r="H74" s="1"/>
  <c r="H79" s="1"/>
  <c r="F48" i="235"/>
  <c r="F52" s="1"/>
  <c r="F111" s="1"/>
  <c r="F116" s="1"/>
  <c r="H93" i="182"/>
  <c r="G23" i="168"/>
  <c r="G27" s="1"/>
  <c r="H62" s="1"/>
  <c r="H138" i="204"/>
  <c r="I422" i="270"/>
  <c r="I469"/>
  <c r="I53" i="159"/>
  <c r="I62"/>
  <c r="I52"/>
  <c r="I61"/>
  <c r="I186" i="194"/>
  <c r="I145" i="200"/>
  <c r="I152"/>
  <c r="I163"/>
  <c r="I170"/>
  <c r="I203" i="187"/>
  <c r="I204"/>
  <c r="I227"/>
  <c r="I228"/>
  <c r="I209"/>
  <c r="I210"/>
  <c r="I215"/>
  <c r="I216"/>
  <c r="I221"/>
  <c r="I222"/>
  <c r="I421" i="270"/>
  <c r="I449"/>
  <c r="J449" s="1"/>
  <c r="I185" i="271"/>
  <c r="I336"/>
  <c r="I369" s="1"/>
  <c r="I50" i="159"/>
  <c r="I59"/>
  <c r="I147" i="191"/>
  <c r="I122"/>
  <c r="I185" i="194"/>
  <c r="I85" i="190"/>
  <c r="I94" i="234"/>
  <c r="I93" i="182"/>
  <c r="H23" i="168"/>
  <c r="I23" s="1"/>
  <c r="I27" s="1"/>
  <c r="J62" s="1"/>
  <c r="I138" i="204"/>
  <c r="J422" i="270"/>
  <c r="K422" s="1"/>
  <c r="J431"/>
  <c r="K431" s="1"/>
  <c r="J469"/>
  <c r="K469" s="1"/>
  <c r="J53" i="159"/>
  <c r="J62"/>
  <c r="J52"/>
  <c r="J61"/>
  <c r="J186" i="194"/>
  <c r="J145" i="200"/>
  <c r="J152"/>
  <c r="J163"/>
  <c r="J170"/>
  <c r="J203" i="187"/>
  <c r="J204"/>
  <c r="J227"/>
  <c r="J228"/>
  <c r="J209"/>
  <c r="J210"/>
  <c r="J215"/>
  <c r="J216"/>
  <c r="J221"/>
  <c r="J222"/>
  <c r="J421" i="270"/>
  <c r="K421" s="1"/>
  <c r="L421" s="1"/>
  <c r="J468"/>
  <c r="K468" s="1"/>
  <c r="L468" s="1"/>
  <c r="M468" s="1"/>
  <c r="N468" s="1"/>
  <c r="J185" i="271"/>
  <c r="J336"/>
  <c r="J369" s="1"/>
  <c r="J167" i="159"/>
  <c r="K167" s="1"/>
  <c r="J50"/>
  <c r="J59"/>
  <c r="J147" i="191"/>
  <c r="J122"/>
  <c r="J185" i="194"/>
  <c r="J85" i="190"/>
  <c r="J94" i="234"/>
  <c r="J93" i="182"/>
  <c r="J138" i="204"/>
  <c r="K53" i="159"/>
  <c r="K62"/>
  <c r="K52"/>
  <c r="K61"/>
  <c r="K186" i="194"/>
  <c r="K145" i="200"/>
  <c r="K152"/>
  <c r="K163"/>
  <c r="K170"/>
  <c r="K203" i="187"/>
  <c r="K204"/>
  <c r="K227"/>
  <c r="K228"/>
  <c r="K209"/>
  <c r="K210"/>
  <c r="K215"/>
  <c r="K216"/>
  <c r="K221"/>
  <c r="K222"/>
  <c r="K449" i="270"/>
  <c r="K185" i="271"/>
  <c r="K336"/>
  <c r="K369" s="1"/>
  <c r="K50" i="159"/>
  <c r="K59"/>
  <c r="K147" i="191"/>
  <c r="K122"/>
  <c r="K185" i="194"/>
  <c r="K85" i="190"/>
  <c r="K94" i="234"/>
  <c r="K93" i="182"/>
  <c r="J23" i="168"/>
  <c r="J27" s="1"/>
  <c r="K62" s="1"/>
  <c r="K138" i="204"/>
  <c r="L422" i="270"/>
  <c r="M422" s="1"/>
  <c r="N422" s="1"/>
  <c r="L431"/>
  <c r="L469"/>
  <c r="M469" s="1"/>
  <c r="N469" s="1"/>
  <c r="L53" i="159"/>
  <c r="L62"/>
  <c r="L52"/>
  <c r="L61"/>
  <c r="L186" i="194"/>
  <c r="L145" i="200"/>
  <c r="L152"/>
  <c r="L163"/>
  <c r="L170"/>
  <c r="L203" i="187"/>
  <c r="L204"/>
  <c r="L227"/>
  <c r="L228"/>
  <c r="L209"/>
  <c r="L210"/>
  <c r="L215"/>
  <c r="L216"/>
  <c r="L221"/>
  <c r="L222"/>
  <c r="AB57" i="188"/>
  <c r="AC57"/>
  <c r="AD57"/>
  <c r="AE57"/>
  <c r="AF57"/>
  <c r="L449" i="270"/>
  <c r="M449" s="1"/>
  <c r="N449" s="1"/>
  <c r="L185" i="271"/>
  <c r="L336"/>
  <c r="L369" s="1"/>
  <c r="L167" i="159"/>
  <c r="L50"/>
  <c r="L59"/>
  <c r="L147" i="191"/>
  <c r="L122"/>
  <c r="L185" i="194"/>
  <c r="L85" i="190"/>
  <c r="L86" s="1"/>
  <c r="L94" i="234"/>
  <c r="L93" i="182"/>
  <c r="L138" i="204"/>
  <c r="M431" i="270"/>
  <c r="N431" s="1"/>
  <c r="M53" i="159"/>
  <c r="M62"/>
  <c r="M52"/>
  <c r="M61"/>
  <c r="M186" i="194"/>
  <c r="M145" i="200"/>
  <c r="M152"/>
  <c r="M163"/>
  <c r="M170"/>
  <c r="M203" i="187"/>
  <c r="M204"/>
  <c r="M227"/>
  <c r="M228"/>
  <c r="M209"/>
  <c r="M210"/>
  <c r="M215"/>
  <c r="M216"/>
  <c r="M221"/>
  <c r="M222"/>
  <c r="AG57" i="188"/>
  <c r="AH57"/>
  <c r="AI57"/>
  <c r="AJ57"/>
  <c r="AK57"/>
  <c r="M421" i="270"/>
  <c r="N421" s="1"/>
  <c r="M185" i="271"/>
  <c r="M336" s="1"/>
  <c r="M369" s="1"/>
  <c r="M167" i="159"/>
  <c r="N167" s="1"/>
  <c r="M50"/>
  <c r="M59"/>
  <c r="M147" i="191"/>
  <c r="M122"/>
  <c r="M185" i="194"/>
  <c r="M85" i="190"/>
  <c r="M94" i="234"/>
  <c r="M93" i="182"/>
  <c r="M138" i="204"/>
  <c r="N53" i="159"/>
  <c r="N62"/>
  <c r="N52"/>
  <c r="N61"/>
  <c r="N186" i="194"/>
  <c r="N145" i="200"/>
  <c r="N152"/>
  <c r="N163"/>
  <c r="N170"/>
  <c r="N203" i="187"/>
  <c r="N204"/>
  <c r="N227"/>
  <c r="N228"/>
  <c r="N209"/>
  <c r="N210"/>
  <c r="N215"/>
  <c r="N216"/>
  <c r="N221"/>
  <c r="N222"/>
  <c r="AL57" i="188"/>
  <c r="AM57"/>
  <c r="AN57"/>
  <c r="AO57"/>
  <c r="AP57"/>
  <c r="N185" i="271"/>
  <c r="N336" s="1"/>
  <c r="N369" s="1"/>
  <c r="N50" i="159"/>
  <c r="N59"/>
  <c r="N147" i="191"/>
  <c r="N122"/>
  <c r="N185" i="194"/>
  <c r="N85" i="190"/>
  <c r="N94" i="234"/>
  <c r="N93" i="182"/>
  <c r="N138" i="204"/>
  <c r="G53" i="159"/>
  <c r="G62"/>
  <c r="G52"/>
  <c r="G61"/>
  <c r="G186" i="194"/>
  <c r="G145" i="200"/>
  <c r="G152"/>
  <c r="G163"/>
  <c r="G170"/>
  <c r="G203" i="187"/>
  <c r="G204"/>
  <c r="G227"/>
  <c r="G228"/>
  <c r="G209"/>
  <c r="G210"/>
  <c r="G215"/>
  <c r="G216"/>
  <c r="G221"/>
  <c r="G222"/>
  <c r="G185" i="271"/>
  <c r="G336"/>
  <c r="G369" s="1"/>
  <c r="G50" i="159"/>
  <c r="G59"/>
  <c r="G189" i="184"/>
  <c r="G147" i="191"/>
  <c r="G122"/>
  <c r="G185" i="194"/>
  <c r="G85" i="190"/>
  <c r="G94" i="234"/>
  <c r="G43" i="236"/>
  <c r="G47" s="1"/>
  <c r="G74" s="1"/>
  <c r="G79" s="1"/>
  <c r="G93" i="182"/>
  <c r="G138" i="204"/>
  <c r="F53" i="159"/>
  <c r="F62"/>
  <c r="F52"/>
  <c r="F61"/>
  <c r="F186" i="194"/>
  <c r="F143" i="200"/>
  <c r="F145"/>
  <c r="F152"/>
  <c r="F161"/>
  <c r="F163"/>
  <c r="F170"/>
  <c r="F203" i="187"/>
  <c r="F204"/>
  <c r="F227"/>
  <c r="F228"/>
  <c r="F209"/>
  <c r="F210"/>
  <c r="F215"/>
  <c r="F216"/>
  <c r="F221"/>
  <c r="F222"/>
  <c r="F323" i="271"/>
  <c r="F327"/>
  <c r="F185"/>
  <c r="F336" s="1"/>
  <c r="F50" i="159"/>
  <c r="F59"/>
  <c r="F135" i="184"/>
  <c r="F189" s="1"/>
  <c r="F147" i="191"/>
  <c r="F122"/>
  <c r="F185" i="194"/>
  <c r="F85" i="190"/>
  <c r="F94" i="234"/>
  <c r="F43" i="233"/>
  <c r="F47" s="1"/>
  <c r="F83" s="1"/>
  <c r="F90" s="1"/>
  <c r="F43" i="236"/>
  <c r="F47" s="1"/>
  <c r="F74" s="1"/>
  <c r="F79" s="1"/>
  <c r="F93" i="182"/>
  <c r="F64" i="244"/>
  <c r="F72" s="1"/>
  <c r="F138" i="204"/>
  <c r="F25" i="244"/>
  <c r="F29" s="1"/>
  <c r="F63"/>
  <c r="F71" s="1"/>
  <c r="D373" i="279"/>
  <c r="D372"/>
  <c r="D371"/>
  <c r="D370"/>
  <c r="D369"/>
  <c r="D368"/>
  <c r="D367"/>
  <c r="D366"/>
  <c r="D365"/>
  <c r="D364"/>
  <c r="D363"/>
  <c r="D362"/>
  <c r="D361"/>
  <c r="D360"/>
  <c r="D321"/>
  <c r="D320"/>
  <c r="D319"/>
  <c r="D318"/>
  <c r="D317"/>
  <c r="D316"/>
  <c r="D315"/>
  <c r="D307"/>
  <c r="D306"/>
  <c r="D305"/>
  <c r="D304"/>
  <c r="D303"/>
  <c r="D302"/>
  <c r="D301"/>
  <c r="D300"/>
  <c r="D283"/>
  <c r="D282"/>
  <c r="D281"/>
  <c r="D280"/>
  <c r="D279"/>
  <c r="D276"/>
  <c r="D275"/>
  <c r="D274"/>
  <c r="D273"/>
  <c r="D272"/>
  <c r="D271"/>
  <c r="D252"/>
  <c r="D251"/>
  <c r="D250"/>
  <c r="D249"/>
  <c r="D248"/>
  <c r="E222"/>
  <c r="E221"/>
  <c r="E220"/>
  <c r="D209"/>
  <c r="D208"/>
  <c r="D207"/>
  <c r="D206"/>
  <c r="D205"/>
  <c r="D204"/>
  <c r="D203"/>
  <c r="D202"/>
  <c r="D201"/>
  <c r="D199"/>
  <c r="D198"/>
  <c r="F192"/>
  <c r="F191"/>
  <c r="F190"/>
  <c r="F189"/>
  <c r="F188"/>
  <c r="F187"/>
  <c r="F186"/>
  <c r="F185"/>
  <c r="F184"/>
  <c r="F182"/>
  <c r="F181"/>
  <c r="F180"/>
  <c r="F179"/>
  <c r="F178"/>
  <c r="F177"/>
  <c r="F176"/>
  <c r="D168"/>
  <c r="D167"/>
  <c r="D166"/>
  <c r="D165"/>
  <c r="D164"/>
  <c r="D163"/>
  <c r="D162"/>
  <c r="D161"/>
  <c r="D160"/>
  <c r="D158"/>
  <c r="D157"/>
  <c r="D147"/>
  <c r="D145"/>
  <c r="D144"/>
  <c r="D143"/>
  <c r="D142"/>
  <c r="D141"/>
  <c r="D140"/>
  <c r="D139"/>
  <c r="D138"/>
  <c r="D137"/>
  <c r="D136"/>
  <c r="D135"/>
  <c r="D127"/>
  <c r="D125"/>
  <c r="D124"/>
  <c r="D123"/>
  <c r="D122"/>
  <c r="D121"/>
  <c r="D120"/>
  <c r="D119"/>
  <c r="D117"/>
  <c r="D116"/>
  <c r="D114"/>
  <c r="D113"/>
  <c r="D112"/>
  <c r="D111"/>
  <c r="D104"/>
  <c r="D96"/>
  <c r="D95"/>
  <c r="D88"/>
  <c r="D87"/>
  <c r="D86"/>
  <c r="D85"/>
  <c r="D84"/>
  <c r="D83"/>
  <c r="D82"/>
  <c r="D81"/>
  <c r="D80"/>
  <c r="D79"/>
  <c r="D78"/>
  <c r="D77"/>
  <c r="D76"/>
  <c r="D75"/>
  <c r="D62"/>
  <c r="D61"/>
  <c r="D60"/>
  <c r="D56"/>
  <c r="D55"/>
  <c r="D48"/>
  <c r="D47"/>
  <c r="D45"/>
  <c r="D44"/>
  <c r="D42"/>
  <c r="D41"/>
  <c r="D39"/>
  <c r="D38"/>
  <c r="D37"/>
  <c r="D36"/>
  <c r="D33"/>
  <c r="D32"/>
  <c r="D31"/>
  <c r="D30"/>
  <c r="D29"/>
  <c r="D28"/>
  <c r="D27"/>
  <c r="D26"/>
  <c r="D15"/>
  <c r="D13"/>
  <c r="D12"/>
  <c r="D11"/>
  <c r="D10"/>
  <c r="D8"/>
  <c r="D7"/>
  <c r="D355" i="280"/>
  <c r="D354"/>
  <c r="D353"/>
  <c r="D352"/>
  <c r="D351"/>
  <c r="D348"/>
  <c r="D347"/>
  <c r="D346"/>
  <c r="D345"/>
  <c r="D344"/>
  <c r="D343"/>
  <c r="D327"/>
  <c r="D326"/>
  <c r="D325"/>
  <c r="D324"/>
  <c r="D323"/>
  <c r="D322"/>
  <c r="D321"/>
  <c r="D320"/>
  <c r="D287"/>
  <c r="D286"/>
  <c r="D284"/>
  <c r="D283"/>
  <c r="D279"/>
  <c r="D272"/>
  <c r="D271"/>
  <c r="D270"/>
  <c r="E243"/>
  <c r="E242"/>
  <c r="E241"/>
  <c r="D217"/>
  <c r="D216"/>
  <c r="D215"/>
  <c r="D214"/>
  <c r="D213"/>
  <c r="D212"/>
  <c r="D211"/>
  <c r="D210"/>
  <c r="D209"/>
  <c r="D207"/>
  <c r="D206"/>
  <c r="F200"/>
  <c r="F199"/>
  <c r="F198"/>
  <c r="F197"/>
  <c r="F196"/>
  <c r="F195"/>
  <c r="F194"/>
  <c r="F193"/>
  <c r="F192"/>
  <c r="F190"/>
  <c r="F189"/>
  <c r="F188"/>
  <c r="F187"/>
  <c r="F186"/>
  <c r="F185"/>
  <c r="F184"/>
  <c r="D154"/>
  <c r="D152"/>
  <c r="D151"/>
  <c r="D150"/>
  <c r="D149"/>
  <c r="D148"/>
  <c r="D147"/>
  <c r="D146"/>
  <c r="D145"/>
  <c r="D144"/>
  <c r="D143"/>
  <c r="D142"/>
  <c r="D134"/>
  <c r="D132"/>
  <c r="D131"/>
  <c r="D130"/>
  <c r="D129"/>
  <c r="D128"/>
  <c r="D127"/>
  <c r="D126"/>
  <c r="D124"/>
  <c r="D123"/>
  <c r="D121"/>
  <c r="D120"/>
  <c r="D119"/>
  <c r="D118"/>
  <c r="D111"/>
  <c r="D103"/>
  <c r="D102"/>
  <c r="D93"/>
  <c r="D92"/>
  <c r="D91"/>
  <c r="D90"/>
  <c r="D89"/>
  <c r="D88"/>
  <c r="D87"/>
  <c r="D86"/>
  <c r="D85"/>
  <c r="D84"/>
  <c r="D83"/>
  <c r="D82"/>
  <c r="D81"/>
  <c r="D80"/>
  <c r="D69"/>
  <c r="D68"/>
  <c r="D67"/>
  <c r="D63"/>
  <c r="D62"/>
  <c r="D55"/>
  <c r="D54"/>
  <c r="D52"/>
  <c r="D51"/>
  <c r="D49"/>
  <c r="D48"/>
  <c r="D46"/>
  <c r="D45"/>
  <c r="D44"/>
  <c r="D43"/>
  <c r="D41"/>
  <c r="D40"/>
  <c r="D39"/>
  <c r="D38"/>
  <c r="D37"/>
  <c r="D36"/>
  <c r="D35"/>
  <c r="D34"/>
  <c r="D15"/>
  <c r="D13"/>
  <c r="D12"/>
  <c r="D11"/>
  <c r="D10"/>
  <c r="D8"/>
  <c r="D7"/>
  <c r="M68" i="257"/>
  <c r="F184" i="194"/>
  <c r="E40" i="184"/>
  <c r="F136" s="1"/>
  <c r="F201" s="1"/>
  <c r="F155" i="191"/>
  <c r="F130"/>
  <c r="M68" i="255"/>
  <c r="G184" i="194"/>
  <c r="F40" i="184"/>
  <c r="G136" s="1"/>
  <c r="G155" i="191"/>
  <c r="G130"/>
  <c r="M68" i="256"/>
  <c r="H184" i="194"/>
  <c r="G40" i="184"/>
  <c r="K40" s="1"/>
  <c r="O136" s="1"/>
  <c r="H155" i="191"/>
  <c r="H130"/>
  <c r="M68" i="248"/>
  <c r="I184" i="194"/>
  <c r="I155" i="191"/>
  <c r="I130"/>
  <c r="M68" i="258"/>
  <c r="J184" i="194"/>
  <c r="J155" i="191"/>
  <c r="M68" i="259"/>
  <c r="K184" i="194"/>
  <c r="K155" i="191"/>
  <c r="K130"/>
  <c r="M68" i="260"/>
  <c r="L184" i="194"/>
  <c r="L155" i="191"/>
  <c r="M68" i="261"/>
  <c r="M184" i="194"/>
  <c r="M68" i="262"/>
  <c r="N184" i="194"/>
  <c r="N155" i="191"/>
  <c r="N130"/>
  <c r="O203" i="187"/>
  <c r="O204"/>
  <c r="O209"/>
  <c r="O210"/>
  <c r="O215"/>
  <c r="O216"/>
  <c r="O221"/>
  <c r="O222"/>
  <c r="O227"/>
  <c r="O228"/>
  <c r="E15" i="35"/>
  <c r="O166" i="187"/>
  <c r="D15" i="35"/>
  <c r="O167" i="187"/>
  <c r="AQ57" i="188"/>
  <c r="AR57"/>
  <c r="AS57"/>
  <c r="AT57"/>
  <c r="AU57"/>
  <c r="M68" i="263"/>
  <c r="O20" i="270"/>
  <c r="O378"/>
  <c r="O377"/>
  <c r="O376"/>
  <c r="O375"/>
  <c r="O374"/>
  <c r="O373"/>
  <c r="O513"/>
  <c r="O371"/>
  <c r="O184" i="194"/>
  <c r="O317" i="271"/>
  <c r="O318"/>
  <c r="O328"/>
  <c r="O329"/>
  <c r="O330"/>
  <c r="O331"/>
  <c r="O332"/>
  <c r="O333"/>
  <c r="O334"/>
  <c r="O335"/>
  <c r="O185"/>
  <c r="O336"/>
  <c r="O369" s="1"/>
  <c r="O101" i="272"/>
  <c r="O150" i="184"/>
  <c r="O147" i="191"/>
  <c r="O122"/>
  <c r="O139"/>
  <c r="O114"/>
  <c r="O155"/>
  <c r="O130"/>
  <c r="O49" i="159"/>
  <c r="O50"/>
  <c r="O51"/>
  <c r="O52"/>
  <c r="O53"/>
  <c r="O54"/>
  <c r="O55"/>
  <c r="O58"/>
  <c r="O59"/>
  <c r="O60"/>
  <c r="O61"/>
  <c r="O62"/>
  <c r="O63"/>
  <c r="O64"/>
  <c r="C14" i="35"/>
  <c r="E419" i="279" s="1"/>
  <c r="C13" i="35"/>
  <c r="E418" i="279" s="1"/>
  <c r="C12" i="35"/>
  <c r="E417" i="279" s="1"/>
  <c r="C11" i="35"/>
  <c r="E416" i="279" s="1"/>
  <c r="C10" i="35"/>
  <c r="E415" i="279"/>
  <c r="C9" i="35"/>
  <c r="E414" i="279" s="1"/>
  <c r="C8" i="35"/>
  <c r="E413" i="279"/>
  <c r="C7" i="35"/>
  <c r="E412" i="279" s="1"/>
  <c r="C6" i="35"/>
  <c r="E411" i="279" s="1"/>
  <c r="O267" i="154"/>
  <c r="O268" s="1"/>
  <c r="O271"/>
  <c r="E44" i="6"/>
  <c r="F44" s="1"/>
  <c r="D85" i="12" s="1"/>
  <c r="BG175" i="279"/>
  <c r="BH175" s="1"/>
  <c r="C15" i="35"/>
  <c r="BA175" i="279"/>
  <c r="O166" i="191"/>
  <c r="O197"/>
  <c r="N166"/>
  <c r="N197" s="1"/>
  <c r="M166"/>
  <c r="M197" s="1"/>
  <c r="L166"/>
  <c r="L197"/>
  <c r="K166"/>
  <c r="K197"/>
  <c r="J166"/>
  <c r="J197" s="1"/>
  <c r="I166"/>
  <c r="I197" s="1"/>
  <c r="H166"/>
  <c r="H197" s="1"/>
  <c r="G166"/>
  <c r="G197"/>
  <c r="O469" i="270"/>
  <c r="O470"/>
  <c r="O451"/>
  <c r="O431"/>
  <c r="O433"/>
  <c r="O422"/>
  <c r="O423"/>
  <c r="O424"/>
  <c r="O414"/>
  <c r="O186" i="188"/>
  <c r="O188"/>
  <c r="N186"/>
  <c r="N188"/>
  <c r="M186"/>
  <c r="M188"/>
  <c r="L186"/>
  <c r="L188"/>
  <c r="K186"/>
  <c r="K188"/>
  <c r="J186"/>
  <c r="J188"/>
  <c r="I186"/>
  <c r="I188"/>
  <c r="H186"/>
  <c r="H188"/>
  <c r="G186"/>
  <c r="G188"/>
  <c r="F186"/>
  <c r="F188"/>
  <c r="O181" i="200"/>
  <c r="O188"/>
  <c r="O163"/>
  <c r="O170"/>
  <c r="O145"/>
  <c r="O152"/>
  <c r="O411" i="270"/>
  <c r="O421"/>
  <c r="O449"/>
  <c r="O459"/>
  <c r="O468"/>
  <c r="O185" i="194"/>
  <c r="O85" i="190"/>
  <c r="O94" i="234"/>
  <c r="O93" i="182"/>
  <c r="O138" i="204"/>
  <c r="N291" i="238"/>
  <c r="N292"/>
  <c r="N293"/>
  <c r="N204" i="194"/>
  <c r="N205"/>
  <c r="N206"/>
  <c r="N202"/>
  <c r="N203"/>
  <c r="N100" i="203"/>
  <c r="O291" i="238"/>
  <c r="O292"/>
  <c r="O293"/>
  <c r="O204" i="194"/>
  <c r="O205"/>
  <c r="O206"/>
  <c r="O202"/>
  <c r="O203"/>
  <c r="O100" i="203"/>
  <c r="M291" i="238"/>
  <c r="M292"/>
  <c r="M293"/>
  <c r="M204" i="194"/>
  <c r="M205"/>
  <c r="M206"/>
  <c r="M202"/>
  <c r="M203"/>
  <c r="M100" i="203"/>
  <c r="L291" i="238"/>
  <c r="L292"/>
  <c r="L293"/>
  <c r="L204" i="194"/>
  <c r="L205"/>
  <c r="L206"/>
  <c r="L202"/>
  <c r="L203"/>
  <c r="L100" i="203"/>
  <c r="K291" i="238"/>
  <c r="K292"/>
  <c r="K293"/>
  <c r="K204" i="194"/>
  <c r="K205"/>
  <c r="K206"/>
  <c r="K202"/>
  <c r="K203"/>
  <c r="K100" i="203"/>
  <c r="J291" i="238"/>
  <c r="J292"/>
  <c r="J293"/>
  <c r="J204" i="194"/>
  <c r="J205"/>
  <c r="J206"/>
  <c r="J202"/>
  <c r="J203"/>
  <c r="J100" i="203"/>
  <c r="I291" i="238"/>
  <c r="I292"/>
  <c r="I293"/>
  <c r="I204" i="194"/>
  <c r="I205"/>
  <c r="I206"/>
  <c r="I202"/>
  <c r="I203"/>
  <c r="I100" i="203"/>
  <c r="H291" i="238"/>
  <c r="H292"/>
  <c r="H293"/>
  <c r="H204" i="194"/>
  <c r="H205"/>
  <c r="H206"/>
  <c r="H202"/>
  <c r="H203"/>
  <c r="H100" i="203"/>
  <c r="G291" i="238"/>
  <c r="G292"/>
  <c r="G293"/>
  <c r="G204" i="194"/>
  <c r="G205"/>
  <c r="G206"/>
  <c r="G202"/>
  <c r="G203"/>
  <c r="G100" i="203"/>
  <c r="F291" i="238"/>
  <c r="F292"/>
  <c r="F293"/>
  <c r="F204" i="194"/>
  <c r="F205"/>
  <c r="F206"/>
  <c r="F202"/>
  <c r="F203"/>
  <c r="F100" i="203"/>
  <c r="AY203" i="280"/>
  <c r="AY202"/>
  <c r="BI191"/>
  <c r="BH191"/>
  <c r="BG191"/>
  <c r="BF191"/>
  <c r="BE191"/>
  <c r="BD191"/>
  <c r="BC191"/>
  <c r="BB191"/>
  <c r="BA191"/>
  <c r="AY191"/>
  <c r="BA134" i="279"/>
  <c r="O21" i="200"/>
  <c r="O230"/>
  <c r="O150" i="204"/>
  <c r="O110" i="190"/>
  <c r="O64" i="168"/>
  <c r="N21" i="200"/>
  <c r="N230"/>
  <c r="N150" i="204"/>
  <c r="N126" i="182"/>
  <c r="N110" i="190"/>
  <c r="N64" i="168"/>
  <c r="M21" i="200"/>
  <c r="M230" s="1"/>
  <c r="M150" i="204"/>
  <c r="M126" i="182"/>
  <c r="M110" i="190"/>
  <c r="M64" i="168"/>
  <c r="L21" i="200"/>
  <c r="L230"/>
  <c r="L150" i="204"/>
  <c r="L126" i="182"/>
  <c r="L110" i="190"/>
  <c r="L64" i="168"/>
  <c r="K21" i="200"/>
  <c r="K230"/>
  <c r="K150" i="204"/>
  <c r="K126" i="182"/>
  <c r="K110" i="190"/>
  <c r="K64" i="168"/>
  <c r="J21" i="200"/>
  <c r="J230"/>
  <c r="J150" i="204"/>
  <c r="J126" i="182"/>
  <c r="J110" i="190"/>
  <c r="J64" i="168"/>
  <c r="I21" i="200"/>
  <c r="I230" s="1"/>
  <c r="I150" i="204"/>
  <c r="I126" i="182"/>
  <c r="I110" i="190"/>
  <c r="I64" i="168"/>
  <c r="H52" i="133"/>
  <c r="H63"/>
  <c r="H297" s="1"/>
  <c r="H21" i="200"/>
  <c r="H230"/>
  <c r="H150" i="204"/>
  <c r="H126" i="182"/>
  <c r="H110" i="190"/>
  <c r="H118" i="234"/>
  <c r="H120" i="233"/>
  <c r="H64" i="168"/>
  <c r="G52" i="133"/>
  <c r="G63"/>
  <c r="G297"/>
  <c r="G21" i="200"/>
  <c r="G230"/>
  <c r="G150" i="204"/>
  <c r="G126" i="182"/>
  <c r="G110" i="190"/>
  <c r="G118" i="234"/>
  <c r="G120" i="233"/>
  <c r="G113" i="237"/>
  <c r="G142" i="235"/>
  <c r="G64" i="168"/>
  <c r="AZ157" i="280"/>
  <c r="F52" i="133"/>
  <c r="F63"/>
  <c r="F297"/>
  <c r="F17" i="200"/>
  <c r="F21"/>
  <c r="F230"/>
  <c r="F150" i="204"/>
  <c r="F126" i="182"/>
  <c r="F110" i="190"/>
  <c r="F118" i="234"/>
  <c r="F120" i="233"/>
  <c r="F113" i="237"/>
  <c r="F100" i="236"/>
  <c r="F142" i="235"/>
  <c r="F64" i="168"/>
  <c r="AZ156" i="280"/>
  <c r="AZ155"/>
  <c r="AZ154"/>
  <c r="AZ153"/>
  <c r="AZ152"/>
  <c r="AZ151"/>
  <c r="AZ150"/>
  <c r="AZ149"/>
  <c r="AZ148"/>
  <c r="AZ147"/>
  <c r="AZ146"/>
  <c r="AZ145"/>
  <c r="AZ144"/>
  <c r="AZ143"/>
  <c r="O116" i="197"/>
  <c r="N116"/>
  <c r="M116"/>
  <c r="L116"/>
  <c r="K116"/>
  <c r="J116"/>
  <c r="I116"/>
  <c r="H116"/>
  <c r="G116"/>
  <c r="AZ142" i="280"/>
  <c r="F116" i="197"/>
  <c r="BI140" i="280"/>
  <c r="BH140"/>
  <c r="BG140"/>
  <c r="BF140"/>
  <c r="BE140"/>
  <c r="BD140"/>
  <c r="BC140"/>
  <c r="BB140"/>
  <c r="BA140"/>
  <c r="AZ140"/>
  <c r="AY140"/>
  <c r="AZ139"/>
  <c r="AZ138"/>
  <c r="AZ137"/>
  <c r="AZ136"/>
  <c r="BI135"/>
  <c r="BH135"/>
  <c r="BG135"/>
  <c r="BF135"/>
  <c r="BE135"/>
  <c r="BD135"/>
  <c r="BC135"/>
  <c r="BB135"/>
  <c r="BA135"/>
  <c r="AZ135"/>
  <c r="AY135"/>
  <c r="AZ134"/>
  <c r="AZ133"/>
  <c r="AZ132"/>
  <c r="AZ131"/>
  <c r="AZ130"/>
  <c r="AZ129"/>
  <c r="AZ128"/>
  <c r="AZ127"/>
  <c r="AZ126"/>
  <c r="AZ125"/>
  <c r="AZ124"/>
  <c r="AZ123"/>
  <c r="AZ122"/>
  <c r="AZ121"/>
  <c r="AZ120"/>
  <c r="AZ119"/>
  <c r="AZ118"/>
  <c r="O101" i="182"/>
  <c r="G91" i="234"/>
  <c r="H91"/>
  <c r="O86" i="238"/>
  <c r="O121" s="1"/>
  <c r="F150"/>
  <c r="O186" i="194"/>
  <c r="O187"/>
  <c r="O117" i="182"/>
  <c r="AS66" i="263"/>
  <c r="N101" i="182"/>
  <c r="N117"/>
  <c r="AS66" i="262"/>
  <c r="M101" i="182"/>
  <c r="M117"/>
  <c r="AS66" i="261"/>
  <c r="L101" i="182"/>
  <c r="L117"/>
  <c r="AS66" i="260"/>
  <c r="K101" i="182"/>
  <c r="K117"/>
  <c r="AS66" i="259"/>
  <c r="J101" i="182"/>
  <c r="J117"/>
  <c r="AS66" i="258"/>
  <c r="I101" i="182"/>
  <c r="I117"/>
  <c r="AS66" i="248"/>
  <c r="H101" i="182"/>
  <c r="H117"/>
  <c r="AS66" i="256"/>
  <c r="G101" i="182"/>
  <c r="G117"/>
  <c r="AS66" i="255"/>
  <c r="AZ113" i="280"/>
  <c r="F101" i="182"/>
  <c r="F117"/>
  <c r="AS66" i="257"/>
  <c r="BI112" i="280"/>
  <c r="BH112"/>
  <c r="BG112"/>
  <c r="BF112"/>
  <c r="BE112"/>
  <c r="BD112"/>
  <c r="BC112"/>
  <c r="BB112"/>
  <c r="BA112"/>
  <c r="AZ112"/>
  <c r="AY112"/>
  <c r="AZ111"/>
  <c r="BI110"/>
  <c r="BH110"/>
  <c r="BG110"/>
  <c r="BF110"/>
  <c r="BE110"/>
  <c r="BD110"/>
  <c r="BC110"/>
  <c r="BB110"/>
  <c r="BA110"/>
  <c r="AZ110"/>
  <c r="AY110"/>
  <c r="BI109"/>
  <c r="BH109"/>
  <c r="BG109"/>
  <c r="BF109"/>
  <c r="BE109"/>
  <c r="BD109"/>
  <c r="BC109"/>
  <c r="BB109"/>
  <c r="BA109"/>
  <c r="AZ109"/>
  <c r="AY109"/>
  <c r="AZ108"/>
  <c r="AZ107"/>
  <c r="AZ106"/>
  <c r="BI105"/>
  <c r="BH105"/>
  <c r="BG105"/>
  <c r="BF105"/>
  <c r="BE105"/>
  <c r="BD105"/>
  <c r="BC105"/>
  <c r="BB105"/>
  <c r="BA105"/>
  <c r="AZ105"/>
  <c r="AY105"/>
  <c r="AZ104"/>
  <c r="AZ103"/>
  <c r="AZ102"/>
  <c r="AZ96"/>
  <c r="BI95"/>
  <c r="BH95"/>
  <c r="BG95"/>
  <c r="BF95"/>
  <c r="BE95"/>
  <c r="BD95"/>
  <c r="BC95"/>
  <c r="BB95"/>
  <c r="BA95"/>
  <c r="AZ95"/>
  <c r="AY95"/>
  <c r="AZ94"/>
  <c r="AZ93"/>
  <c r="AZ92"/>
  <c r="AZ91"/>
  <c r="AZ90"/>
  <c r="AZ89"/>
  <c r="AZ88"/>
  <c r="AZ87"/>
  <c r="AZ86"/>
  <c r="AZ85"/>
  <c r="AZ84"/>
  <c r="AZ83"/>
  <c r="AZ82"/>
  <c r="AZ81"/>
  <c r="AZ80"/>
  <c r="AZ64"/>
  <c r="AZ63"/>
  <c r="AZ62"/>
  <c r="AZ57"/>
  <c r="AZ56"/>
  <c r="AZ55"/>
  <c r="AZ54"/>
  <c r="AZ53"/>
  <c r="AZ52"/>
  <c r="AZ51"/>
  <c r="AZ50"/>
  <c r="AZ49"/>
  <c r="AZ48"/>
  <c r="AZ47"/>
  <c r="AZ46"/>
  <c r="AZ45"/>
  <c r="AZ44"/>
  <c r="AZ43"/>
  <c r="AZ42"/>
  <c r="AZ41"/>
  <c r="AZ40"/>
  <c r="AZ39"/>
  <c r="AZ38"/>
  <c r="AZ37"/>
  <c r="AZ36"/>
  <c r="AZ35"/>
  <c r="AZ34"/>
  <c r="AZ21"/>
  <c r="BJ341"/>
  <c r="AX336"/>
  <c r="AX334"/>
  <c r="F334"/>
  <c r="AX333"/>
  <c r="F333"/>
  <c r="E333"/>
  <c r="D333"/>
  <c r="AX332"/>
  <c r="F332"/>
  <c r="E332"/>
  <c r="D332"/>
  <c r="AX331"/>
  <c r="F331"/>
  <c r="E331"/>
  <c r="AX330"/>
  <c r="F330"/>
  <c r="E330"/>
  <c r="D330"/>
  <c r="AX329"/>
  <c r="F329"/>
  <c r="E329"/>
  <c r="AX328"/>
  <c r="F328"/>
  <c r="E328"/>
  <c r="D328"/>
  <c r="C328"/>
  <c r="AX327"/>
  <c r="F327"/>
  <c r="E327"/>
  <c r="AX326"/>
  <c r="F326"/>
  <c r="E326"/>
  <c r="AX325"/>
  <c r="F325"/>
  <c r="E325"/>
  <c r="AX324"/>
  <c r="F324"/>
  <c r="E324"/>
  <c r="AX323"/>
  <c r="F323"/>
  <c r="E323"/>
  <c r="AX322"/>
  <c r="F322"/>
  <c r="E322"/>
  <c r="AX321"/>
  <c r="F321"/>
  <c r="E321"/>
  <c r="AX320"/>
  <c r="F320"/>
  <c r="E320"/>
  <c r="BI292"/>
  <c r="BH292"/>
  <c r="BG292"/>
  <c r="BF292"/>
  <c r="BE292"/>
  <c r="BD292"/>
  <c r="BC292"/>
  <c r="BB292"/>
  <c r="BA292"/>
  <c r="AY292"/>
  <c r="BI291"/>
  <c r="BH291"/>
  <c r="BG291"/>
  <c r="BF291"/>
  <c r="BE291"/>
  <c r="BD291"/>
  <c r="BC291"/>
  <c r="BB291"/>
  <c r="BA291"/>
  <c r="AY291"/>
  <c r="BI290"/>
  <c r="BH290"/>
  <c r="BG290"/>
  <c r="BF290"/>
  <c r="BE290"/>
  <c r="BD290"/>
  <c r="BC290"/>
  <c r="BB290"/>
  <c r="BA290"/>
  <c r="AY290"/>
  <c r="BA4"/>
  <c r="BB4"/>
  <c r="BC4" s="1"/>
  <c r="BA240"/>
  <c r="BB240"/>
  <c r="BC240" s="1"/>
  <c r="BD240" s="1"/>
  <c r="BE240" s="1"/>
  <c r="BF240" s="1"/>
  <c r="BG240" s="1"/>
  <c r="BH240" s="1"/>
  <c r="BI240" s="1"/>
  <c r="D77" i="12"/>
  <c r="AR215" i="280"/>
  <c r="AQ215"/>
  <c r="AP215"/>
  <c r="AO215"/>
  <c r="AN215"/>
  <c r="AM215"/>
  <c r="AL215"/>
  <c r="AK215"/>
  <c r="AJ215"/>
  <c r="AI215"/>
  <c r="AH215"/>
  <c r="AG215"/>
  <c r="AF215"/>
  <c r="AE215"/>
  <c r="AD215"/>
  <c r="AC215"/>
  <c r="AB215"/>
  <c r="BG183"/>
  <c r="BH183" s="1"/>
  <c r="BI183" s="1"/>
  <c r="BA183"/>
  <c r="BB183" s="1"/>
  <c r="BC183" s="1"/>
  <c r="BD183"/>
  <c r="BE183" s="1"/>
  <c r="AV157"/>
  <c r="AU157"/>
  <c r="AT157"/>
  <c r="AS157"/>
  <c r="AR157"/>
  <c r="AV150"/>
  <c r="AU150"/>
  <c r="AT150"/>
  <c r="AS150"/>
  <c r="AR150"/>
  <c r="AV147"/>
  <c r="AU147"/>
  <c r="AT147"/>
  <c r="AS147"/>
  <c r="AR147"/>
  <c r="AV142"/>
  <c r="AU142"/>
  <c r="AT142"/>
  <c r="AS142"/>
  <c r="AR142"/>
  <c r="BA141"/>
  <c r="BB141" s="1"/>
  <c r="BC141" s="1"/>
  <c r="BD141" s="1"/>
  <c r="BE141" s="1"/>
  <c r="BF141" s="1"/>
  <c r="BG141" s="1"/>
  <c r="BH141" s="1"/>
  <c r="BI141" s="1"/>
  <c r="D141"/>
  <c r="AX138"/>
  <c r="AX139"/>
  <c r="AX121"/>
  <c r="BA117"/>
  <c r="BB117" s="1"/>
  <c r="BC117" s="1"/>
  <c r="BD117" s="1"/>
  <c r="BE117" s="1"/>
  <c r="BF117" s="1"/>
  <c r="BG117" s="1"/>
  <c r="BH117" s="1"/>
  <c r="BI117" s="1"/>
  <c r="D117"/>
  <c r="BK73"/>
  <c r="BA71"/>
  <c r="BB71"/>
  <c r="P41"/>
  <c r="BB24"/>
  <c r="BC24" s="1"/>
  <c r="BD24"/>
  <c r="BE24" s="1"/>
  <c r="BF24" s="1"/>
  <c r="BG24" s="1"/>
  <c r="BH24" s="1"/>
  <c r="D4"/>
  <c r="D412" i="279"/>
  <c r="D413" s="1"/>
  <c r="D414" s="1"/>
  <c r="D415" s="1"/>
  <c r="D416" s="1"/>
  <c r="D417" s="1"/>
  <c r="D418" s="1"/>
  <c r="D419" s="1"/>
  <c r="AX363"/>
  <c r="BA359"/>
  <c r="BB359" s="1"/>
  <c r="BC359" s="1"/>
  <c r="BD359" s="1"/>
  <c r="BE359" s="1"/>
  <c r="BF359" s="1"/>
  <c r="BG359" s="1"/>
  <c r="BH359" s="1"/>
  <c r="BI359" s="1"/>
  <c r="D359"/>
  <c r="E352"/>
  <c r="F102" i="6"/>
  <c r="F101" s="1"/>
  <c r="E101" s="1"/>
  <c r="BI344" i="279" s="1"/>
  <c r="F23" i="6"/>
  <c r="E16"/>
  <c r="F16" s="1"/>
  <c r="E28"/>
  <c r="F28"/>
  <c r="BF336" i="279"/>
  <c r="BF344"/>
  <c r="BE336"/>
  <c r="BE344"/>
  <c r="BB340"/>
  <c r="BA340"/>
  <c r="D345"/>
  <c r="D344"/>
  <c r="D343"/>
  <c r="D341"/>
  <c r="D340"/>
  <c r="D339"/>
  <c r="D337"/>
  <c r="D336"/>
  <c r="D335"/>
  <c r="BA313"/>
  <c r="BB313" s="1"/>
  <c r="BC313" s="1"/>
  <c r="BD313" s="1"/>
  <c r="BE313" s="1"/>
  <c r="BF313" s="1"/>
  <c r="BG313" s="1"/>
  <c r="BH313" s="1"/>
  <c r="BI313" s="1"/>
  <c r="BJ269"/>
  <c r="AX260"/>
  <c r="AX259"/>
  <c r="F259"/>
  <c r="AX258"/>
  <c r="F258"/>
  <c r="E258"/>
  <c r="D258"/>
  <c r="AZ257"/>
  <c r="AX256"/>
  <c r="F256"/>
  <c r="E256"/>
  <c r="D256"/>
  <c r="AX255"/>
  <c r="F255"/>
  <c r="E255"/>
  <c r="AX254"/>
  <c r="F254"/>
  <c r="E254"/>
  <c r="D254"/>
  <c r="AX253"/>
  <c r="F253"/>
  <c r="E253"/>
  <c r="AX252"/>
  <c r="F252"/>
  <c r="E252"/>
  <c r="AX251"/>
  <c r="F251"/>
  <c r="E251"/>
  <c r="AX250"/>
  <c r="F250"/>
  <c r="E250"/>
  <c r="AX249"/>
  <c r="F249"/>
  <c r="E249"/>
  <c r="AX248"/>
  <c r="F248"/>
  <c r="E248"/>
  <c r="BA219"/>
  <c r="BB219" s="1"/>
  <c r="BC219" s="1"/>
  <c r="BD219" s="1"/>
  <c r="BE219" s="1"/>
  <c r="BF219" s="1"/>
  <c r="BG219" s="1"/>
  <c r="BH219" s="1"/>
  <c r="BI219" s="1"/>
  <c r="AR207"/>
  <c r="AQ207"/>
  <c r="AP207"/>
  <c r="AO207"/>
  <c r="AN207"/>
  <c r="AM207"/>
  <c r="AL207"/>
  <c r="AK207"/>
  <c r="AJ207"/>
  <c r="AI207"/>
  <c r="AH207"/>
  <c r="AG207"/>
  <c r="AF207"/>
  <c r="AE207"/>
  <c r="AD207"/>
  <c r="AC207"/>
  <c r="AB207"/>
  <c r="BA156"/>
  <c r="BB156" s="1"/>
  <c r="BC156" s="1"/>
  <c r="BD156" s="1"/>
  <c r="BE156" s="1"/>
  <c r="BF156" s="1"/>
  <c r="BG156" s="1"/>
  <c r="BH156" s="1"/>
  <c r="BI156" s="1"/>
  <c r="AV150"/>
  <c r="AU150"/>
  <c r="AT150"/>
  <c r="AS150"/>
  <c r="AR150"/>
  <c r="AV143"/>
  <c r="AU143"/>
  <c r="AT143"/>
  <c r="AS143"/>
  <c r="AR143"/>
  <c r="AV140"/>
  <c r="AU140"/>
  <c r="AT140"/>
  <c r="AS140"/>
  <c r="AR140"/>
  <c r="AV135"/>
  <c r="AU135"/>
  <c r="AT135"/>
  <c r="AS135"/>
  <c r="AR135"/>
  <c r="D134"/>
  <c r="AX131"/>
  <c r="AX132" s="1"/>
  <c r="AX114"/>
  <c r="BA110"/>
  <c r="BB110" s="1"/>
  <c r="BC110" s="1"/>
  <c r="BD110" s="1"/>
  <c r="BE110" s="1"/>
  <c r="BF110" s="1"/>
  <c r="BG110" s="1"/>
  <c r="BH110" s="1"/>
  <c r="BI110" s="1"/>
  <c r="D110"/>
  <c r="BK66"/>
  <c r="BA64"/>
  <c r="BB64"/>
  <c r="D4"/>
  <c r="S8" i="278"/>
  <c r="S7"/>
  <c r="S6"/>
  <c r="S5"/>
  <c r="N12"/>
  <c r="N11"/>
  <c r="N10"/>
  <c r="N9"/>
  <c r="N8"/>
  <c r="N7"/>
  <c r="N6"/>
  <c r="N5"/>
  <c r="F8" i="270"/>
  <c r="D689"/>
  <c r="D688"/>
  <c r="J40" i="228"/>
  <c r="J42" s="1"/>
  <c r="K41"/>
  <c r="J39"/>
  <c r="J38"/>
  <c r="J37"/>
  <c r="D411" i="277"/>
  <c r="D410"/>
  <c r="G4" i="35"/>
  <c r="C16"/>
  <c r="E25" i="6"/>
  <c r="G21"/>
  <c r="E632" i="270"/>
  <c r="E631"/>
  <c r="Q20" i="272"/>
  <c r="Q19"/>
  <c r="Q18"/>
  <c r="F18"/>
  <c r="F19"/>
  <c r="F20"/>
  <c r="G278" i="271"/>
  <c r="H278" s="1"/>
  <c r="I278" s="1"/>
  <c r="J278" s="1"/>
  <c r="K278" s="1"/>
  <c r="L278" s="1"/>
  <c r="M278" s="1"/>
  <c r="N278" s="1"/>
  <c r="O278" s="1"/>
  <c r="G249"/>
  <c r="H249" s="1"/>
  <c r="I249" s="1"/>
  <c r="J249" s="1"/>
  <c r="K249" s="1"/>
  <c r="L249" s="1"/>
  <c r="M249" s="1"/>
  <c r="N249" s="1"/>
  <c r="O249" s="1"/>
  <c r="G220"/>
  <c r="H220"/>
  <c r="I220" s="1"/>
  <c r="J220" s="1"/>
  <c r="K220" s="1"/>
  <c r="L220" s="1"/>
  <c r="M220" s="1"/>
  <c r="N220" s="1"/>
  <c r="O220" s="1"/>
  <c r="G191"/>
  <c r="H191" s="1"/>
  <c r="I191" s="1"/>
  <c r="J191" s="1"/>
  <c r="K191" s="1"/>
  <c r="L191" s="1"/>
  <c r="M191" s="1"/>
  <c r="N191" s="1"/>
  <c r="O191" s="1"/>
  <c r="F69" i="269"/>
  <c r="E5" i="6"/>
  <c r="F5" s="1"/>
  <c r="BA2" i="277"/>
  <c r="AX2"/>
  <c r="J62" i="187"/>
  <c r="AJ35" i="188"/>
  <c r="AK103"/>
  <c r="F140" i="159"/>
  <c r="F46" i="234"/>
  <c r="F50" s="1"/>
  <c r="F87" s="1"/>
  <c r="I19" i="153"/>
  <c r="I153" s="1"/>
  <c r="E93" i="277"/>
  <c r="F43" i="48"/>
  <c r="D83" i="277"/>
  <c r="BA4"/>
  <c r="E95" i="6"/>
  <c r="R77" i="197"/>
  <c r="R79" s="1"/>
  <c r="D409" i="277"/>
  <c r="D408"/>
  <c r="D407"/>
  <c r="D404"/>
  <c r="D403"/>
  <c r="D402"/>
  <c r="D400"/>
  <c r="D399"/>
  <c r="D398"/>
  <c r="D396"/>
  <c r="D395"/>
  <c r="D394"/>
  <c r="BG234"/>
  <c r="BH234" s="1"/>
  <c r="BI234" s="1"/>
  <c r="BA234"/>
  <c r="BB234" s="1"/>
  <c r="BC234" s="1"/>
  <c r="BD234" s="1"/>
  <c r="BE234" s="1"/>
  <c r="D380"/>
  <c r="D379"/>
  <c r="D378"/>
  <c r="D377"/>
  <c r="D376"/>
  <c r="D375"/>
  <c r="D374"/>
  <c r="BA372"/>
  <c r="BB372" s="1"/>
  <c r="BC372" s="1"/>
  <c r="BD372" s="1"/>
  <c r="BE372" s="1"/>
  <c r="BF372" s="1"/>
  <c r="BG372" s="1"/>
  <c r="BH372" s="1"/>
  <c r="BI372" s="1"/>
  <c r="D366"/>
  <c r="D365"/>
  <c r="D364"/>
  <c r="D363"/>
  <c r="D362"/>
  <c r="D361"/>
  <c r="D360"/>
  <c r="D359"/>
  <c r="D342"/>
  <c r="D341"/>
  <c r="D340"/>
  <c r="D339"/>
  <c r="D338"/>
  <c r="D335"/>
  <c r="D334"/>
  <c r="D333"/>
  <c r="D332"/>
  <c r="D331"/>
  <c r="D330"/>
  <c r="BJ328"/>
  <c r="AX323"/>
  <c r="AX321"/>
  <c r="F321"/>
  <c r="AX320"/>
  <c r="F320"/>
  <c r="E320"/>
  <c r="D320"/>
  <c r="AX319"/>
  <c r="F319"/>
  <c r="E319"/>
  <c r="D319"/>
  <c r="AX318"/>
  <c r="F318"/>
  <c r="E318"/>
  <c r="AX317"/>
  <c r="F317"/>
  <c r="E317"/>
  <c r="D317"/>
  <c r="AX316"/>
  <c r="F316"/>
  <c r="E316"/>
  <c r="AX315"/>
  <c r="F315"/>
  <c r="E315"/>
  <c r="D64"/>
  <c r="D315" s="1"/>
  <c r="C315"/>
  <c r="AX314"/>
  <c r="F314"/>
  <c r="E314"/>
  <c r="D314"/>
  <c r="AX313"/>
  <c r="F313"/>
  <c r="E313"/>
  <c r="D313"/>
  <c r="AX312"/>
  <c r="F312"/>
  <c r="E312"/>
  <c r="D312"/>
  <c r="AX311"/>
  <c r="F311"/>
  <c r="E311"/>
  <c r="D311"/>
  <c r="AX310"/>
  <c r="F310"/>
  <c r="E310"/>
  <c r="D310"/>
  <c r="AX309"/>
  <c r="F309"/>
  <c r="E309"/>
  <c r="D309"/>
  <c r="AX308"/>
  <c r="F308"/>
  <c r="E308"/>
  <c r="D308"/>
  <c r="AX307"/>
  <c r="F307"/>
  <c r="E307"/>
  <c r="D307"/>
  <c r="E281"/>
  <c r="E280"/>
  <c r="E279"/>
  <c r="BA278"/>
  <c r="BB278" s="1"/>
  <c r="BC278" s="1"/>
  <c r="BD278" s="1"/>
  <c r="BE278" s="1"/>
  <c r="BF278" s="1"/>
  <c r="BG278" s="1"/>
  <c r="BH278" s="1"/>
  <c r="BI278" s="1"/>
  <c r="D268"/>
  <c r="D267"/>
  <c r="AR266"/>
  <c r="AQ266"/>
  <c r="AP266"/>
  <c r="AO266"/>
  <c r="AN266"/>
  <c r="AM266"/>
  <c r="AL266"/>
  <c r="AK266"/>
  <c r="AJ266"/>
  <c r="AI266"/>
  <c r="AH266"/>
  <c r="AG266"/>
  <c r="AF266"/>
  <c r="AE266"/>
  <c r="AD266"/>
  <c r="AC266"/>
  <c r="AB266"/>
  <c r="D266"/>
  <c r="D265"/>
  <c r="D264"/>
  <c r="D263"/>
  <c r="D262"/>
  <c r="D261"/>
  <c r="D260"/>
  <c r="D258"/>
  <c r="D257"/>
  <c r="F251"/>
  <c r="F250"/>
  <c r="F249"/>
  <c r="F248"/>
  <c r="F247"/>
  <c r="F246"/>
  <c r="F245"/>
  <c r="F244"/>
  <c r="F243"/>
  <c r="F241"/>
  <c r="F240"/>
  <c r="F239"/>
  <c r="F238"/>
  <c r="F237"/>
  <c r="F236"/>
  <c r="F235"/>
  <c r="D227"/>
  <c r="D226"/>
  <c r="D225"/>
  <c r="D224"/>
  <c r="D223"/>
  <c r="D222"/>
  <c r="D221"/>
  <c r="D220"/>
  <c r="D219"/>
  <c r="D217"/>
  <c r="D216"/>
  <c r="BA215"/>
  <c r="BB215" s="1"/>
  <c r="BC215" s="1"/>
  <c r="BD215" s="1"/>
  <c r="BE215" s="1"/>
  <c r="BF215" s="1"/>
  <c r="BG215" s="1"/>
  <c r="BH215" s="1"/>
  <c r="BI215" s="1"/>
  <c r="BA193"/>
  <c r="BB193" s="1"/>
  <c r="BC193" s="1"/>
  <c r="BD193" s="1"/>
  <c r="BE193" s="1"/>
  <c r="BF193" s="1"/>
  <c r="BG193" s="1"/>
  <c r="BH193" s="1"/>
  <c r="BI193" s="1"/>
  <c r="D206"/>
  <c r="D204"/>
  <c r="D203"/>
  <c r="D202"/>
  <c r="D201"/>
  <c r="D200"/>
  <c r="D199"/>
  <c r="D198"/>
  <c r="D197"/>
  <c r="D196"/>
  <c r="D195"/>
  <c r="D194"/>
  <c r="D193"/>
  <c r="AX190"/>
  <c r="AX191"/>
  <c r="D186"/>
  <c r="D184"/>
  <c r="D183"/>
  <c r="D182"/>
  <c r="D181"/>
  <c r="D180"/>
  <c r="D179"/>
  <c r="D178"/>
  <c r="D176"/>
  <c r="D175"/>
  <c r="AX173"/>
  <c r="D173"/>
  <c r="D172"/>
  <c r="D171"/>
  <c r="D170"/>
  <c r="BA169"/>
  <c r="BB169" s="1"/>
  <c r="BC169" s="1"/>
  <c r="BD169" s="1"/>
  <c r="BE169" s="1"/>
  <c r="BF169" s="1"/>
  <c r="BG169" s="1"/>
  <c r="BH169" s="1"/>
  <c r="BI169" s="1"/>
  <c r="D169"/>
  <c r="D163"/>
  <c r="D155"/>
  <c r="D154"/>
  <c r="D147"/>
  <c r="D146"/>
  <c r="D145"/>
  <c r="D144"/>
  <c r="D143"/>
  <c r="D142"/>
  <c r="D141"/>
  <c r="D140"/>
  <c r="D139"/>
  <c r="D138"/>
  <c r="D137"/>
  <c r="D136"/>
  <c r="D135"/>
  <c r="D134"/>
  <c r="BK125"/>
  <c r="BA123"/>
  <c r="BB123" s="1"/>
  <c r="BC123" s="1"/>
  <c r="BD123" s="1"/>
  <c r="BE123" s="1"/>
  <c r="BF123" s="1"/>
  <c r="BG123" s="1"/>
  <c r="BH123" s="1"/>
  <c r="BI123" s="1"/>
  <c r="D121"/>
  <c r="D120"/>
  <c r="D119"/>
  <c r="D115"/>
  <c r="D114"/>
  <c r="D76"/>
  <c r="D75"/>
  <c r="D73"/>
  <c r="D72"/>
  <c r="D70"/>
  <c r="D69"/>
  <c r="D67"/>
  <c r="D66"/>
  <c r="D65"/>
  <c r="D61"/>
  <c r="D60"/>
  <c r="D59"/>
  <c r="D58"/>
  <c r="D57"/>
  <c r="D56"/>
  <c r="D55"/>
  <c r="D54"/>
  <c r="D15"/>
  <c r="D13"/>
  <c r="D12"/>
  <c r="D11"/>
  <c r="D10"/>
  <c r="D8"/>
  <c r="D7"/>
  <c r="D4"/>
  <c r="E419" i="276"/>
  <c r="D412"/>
  <c r="D413" s="1"/>
  <c r="D414" s="1"/>
  <c r="D415" s="1"/>
  <c r="D416" s="1"/>
  <c r="D417" s="1"/>
  <c r="D418" s="1"/>
  <c r="D419" s="1"/>
  <c r="E418"/>
  <c r="E417"/>
  <c r="E416"/>
  <c r="E415"/>
  <c r="E414"/>
  <c r="E413"/>
  <c r="E412"/>
  <c r="E411"/>
  <c r="BA4"/>
  <c r="BC385"/>
  <c r="BD385" s="1"/>
  <c r="BE385" s="1"/>
  <c r="BF385" s="1"/>
  <c r="BG385" s="1"/>
  <c r="BH385" s="1"/>
  <c r="BI385" s="1"/>
  <c r="AY385"/>
  <c r="D383"/>
  <c r="D382"/>
  <c r="D381"/>
  <c r="D380"/>
  <c r="D379"/>
  <c r="D378"/>
  <c r="D373"/>
  <c r="D372"/>
  <c r="D371"/>
  <c r="D370"/>
  <c r="D369"/>
  <c r="D368"/>
  <c r="D367"/>
  <c r="D366"/>
  <c r="D365"/>
  <c r="D364"/>
  <c r="AX363"/>
  <c r="D363"/>
  <c r="D362"/>
  <c r="D361"/>
  <c r="D360"/>
  <c r="BA359"/>
  <c r="BB359" s="1"/>
  <c r="BC359" s="1"/>
  <c r="BD359" s="1"/>
  <c r="BE359" s="1"/>
  <c r="BF359" s="1"/>
  <c r="BG359" s="1"/>
  <c r="BH359" s="1"/>
  <c r="BI359" s="1"/>
  <c r="D359"/>
  <c r="E352"/>
  <c r="D350"/>
  <c r="D349"/>
  <c r="D348"/>
  <c r="D345"/>
  <c r="D344"/>
  <c r="D343"/>
  <c r="D341"/>
  <c r="D340"/>
  <c r="D339"/>
  <c r="D337"/>
  <c r="D336"/>
  <c r="D335"/>
  <c r="BG175"/>
  <c r="BH175" s="1"/>
  <c r="BI175" s="1"/>
  <c r="BA175"/>
  <c r="BB175" s="1"/>
  <c r="BC175" s="1"/>
  <c r="BD175" s="1"/>
  <c r="BE175" s="1"/>
  <c r="D321"/>
  <c r="D320"/>
  <c r="D319"/>
  <c r="D318"/>
  <c r="D317"/>
  <c r="D316"/>
  <c r="D315"/>
  <c r="BA313"/>
  <c r="BB313" s="1"/>
  <c r="BC313" s="1"/>
  <c r="BD313" s="1"/>
  <c r="BE313" s="1"/>
  <c r="BF313" s="1"/>
  <c r="BG313" s="1"/>
  <c r="BH313" s="1"/>
  <c r="BI313" s="1"/>
  <c r="D307"/>
  <c r="D306"/>
  <c r="D305"/>
  <c r="D304"/>
  <c r="D303"/>
  <c r="D302"/>
  <c r="D301"/>
  <c r="D300"/>
  <c r="D283"/>
  <c r="D282"/>
  <c r="D281"/>
  <c r="D280"/>
  <c r="D279"/>
  <c r="D276"/>
  <c r="D275"/>
  <c r="D274"/>
  <c r="D273"/>
  <c r="D272"/>
  <c r="D271"/>
  <c r="BJ269"/>
  <c r="AX264"/>
  <c r="AX262"/>
  <c r="F262"/>
  <c r="AX261"/>
  <c r="F261"/>
  <c r="E261"/>
  <c r="D261"/>
  <c r="AX260"/>
  <c r="F260"/>
  <c r="E260"/>
  <c r="D260"/>
  <c r="AX259"/>
  <c r="F259"/>
  <c r="E259"/>
  <c r="AX258"/>
  <c r="F258"/>
  <c r="E258"/>
  <c r="D258"/>
  <c r="AX257"/>
  <c r="F257"/>
  <c r="E257"/>
  <c r="AX256"/>
  <c r="F256"/>
  <c r="E256"/>
  <c r="D36"/>
  <c r="D256" s="1"/>
  <c r="C256"/>
  <c r="AX255"/>
  <c r="F255"/>
  <c r="E255"/>
  <c r="D255"/>
  <c r="AX254"/>
  <c r="F254"/>
  <c r="E254"/>
  <c r="D254"/>
  <c r="AX253"/>
  <c r="F253"/>
  <c r="E253"/>
  <c r="D253"/>
  <c r="AX252"/>
  <c r="F252"/>
  <c r="E252"/>
  <c r="D252"/>
  <c r="AX251"/>
  <c r="F251"/>
  <c r="E251"/>
  <c r="D251"/>
  <c r="AX250"/>
  <c r="F250"/>
  <c r="E250"/>
  <c r="D250"/>
  <c r="AX249"/>
  <c r="F249"/>
  <c r="E249"/>
  <c r="D249"/>
  <c r="AX248"/>
  <c r="F248"/>
  <c r="E248"/>
  <c r="D248"/>
  <c r="E222"/>
  <c r="E221"/>
  <c r="E220"/>
  <c r="BA219"/>
  <c r="BB219"/>
  <c r="BC219" s="1"/>
  <c r="BD219" s="1"/>
  <c r="BE219" s="1"/>
  <c r="BF219" s="1"/>
  <c r="BG219" s="1"/>
  <c r="BH219" s="1"/>
  <c r="BI219" s="1"/>
  <c r="D209"/>
  <c r="D208"/>
  <c r="AR207"/>
  <c r="AQ207"/>
  <c r="AP207"/>
  <c r="AO207"/>
  <c r="AN207"/>
  <c r="AM207"/>
  <c r="AL207"/>
  <c r="AK207"/>
  <c r="AJ207"/>
  <c r="AI207"/>
  <c r="AH207"/>
  <c r="AG207"/>
  <c r="AF207"/>
  <c r="AE207"/>
  <c r="AD207"/>
  <c r="AC207"/>
  <c r="AB207"/>
  <c r="D207"/>
  <c r="D206"/>
  <c r="D205"/>
  <c r="D204"/>
  <c r="D203"/>
  <c r="D202"/>
  <c r="D201"/>
  <c r="D199"/>
  <c r="D198"/>
  <c r="F192"/>
  <c r="F191"/>
  <c r="F190"/>
  <c r="F189"/>
  <c r="F188"/>
  <c r="F187"/>
  <c r="F186"/>
  <c r="F185"/>
  <c r="F184"/>
  <c r="F182"/>
  <c r="F181"/>
  <c r="F180"/>
  <c r="F179"/>
  <c r="F178"/>
  <c r="F177"/>
  <c r="F176"/>
  <c r="D168"/>
  <c r="D167"/>
  <c r="D166"/>
  <c r="D165"/>
  <c r="D164"/>
  <c r="D163"/>
  <c r="D162"/>
  <c r="D161"/>
  <c r="D160"/>
  <c r="D158"/>
  <c r="D157"/>
  <c r="BA156"/>
  <c r="BB156"/>
  <c r="BC156" s="1"/>
  <c r="BD156" s="1"/>
  <c r="BE156" s="1"/>
  <c r="BF156" s="1"/>
  <c r="BG156" s="1"/>
  <c r="BH156" s="1"/>
  <c r="BI156" s="1"/>
  <c r="BA134"/>
  <c r="BB134" s="1"/>
  <c r="BC134" s="1"/>
  <c r="BD134" s="1"/>
  <c r="BE134" s="1"/>
  <c r="BF134" s="1"/>
  <c r="BG134" s="1"/>
  <c r="BH134" s="1"/>
  <c r="BI134" s="1"/>
  <c r="D147"/>
  <c r="D145"/>
  <c r="D144"/>
  <c r="D143"/>
  <c r="D142"/>
  <c r="D141"/>
  <c r="D140"/>
  <c r="D139"/>
  <c r="D138"/>
  <c r="D137"/>
  <c r="D136"/>
  <c r="D135"/>
  <c r="D134"/>
  <c r="AX131"/>
  <c r="AX132" s="1"/>
  <c r="D127"/>
  <c r="D125"/>
  <c r="D124"/>
  <c r="D123"/>
  <c r="D122"/>
  <c r="D121"/>
  <c r="D120"/>
  <c r="D119"/>
  <c r="D117"/>
  <c r="D116"/>
  <c r="AX114"/>
  <c r="D114"/>
  <c r="D113"/>
  <c r="D112"/>
  <c r="D111"/>
  <c r="BA110"/>
  <c r="BB110"/>
  <c r="BC110" s="1"/>
  <c r="BD110" s="1"/>
  <c r="BE110" s="1"/>
  <c r="BF110" s="1"/>
  <c r="BG110" s="1"/>
  <c r="BH110" s="1"/>
  <c r="BI110" s="1"/>
  <c r="D110"/>
  <c r="D104"/>
  <c r="D96"/>
  <c r="D95"/>
  <c r="D88"/>
  <c r="D87"/>
  <c r="D86"/>
  <c r="D85"/>
  <c r="D84"/>
  <c r="D83"/>
  <c r="D82"/>
  <c r="D81"/>
  <c r="D80"/>
  <c r="D79"/>
  <c r="D78"/>
  <c r="D77"/>
  <c r="D76"/>
  <c r="D75"/>
  <c r="BK66"/>
  <c r="BA64"/>
  <c r="BB64"/>
  <c r="BC64" s="1"/>
  <c r="BD64" s="1"/>
  <c r="BE64" s="1"/>
  <c r="BF64" s="1"/>
  <c r="BG64" s="1"/>
  <c r="BH64" s="1"/>
  <c r="BI64" s="1"/>
  <c r="D62"/>
  <c r="D61"/>
  <c r="D60"/>
  <c r="D56"/>
  <c r="D55"/>
  <c r="D48"/>
  <c r="D47"/>
  <c r="D45"/>
  <c r="D44"/>
  <c r="D42"/>
  <c r="D41"/>
  <c r="D39"/>
  <c r="D38"/>
  <c r="D37"/>
  <c r="D33"/>
  <c r="D32"/>
  <c r="D31"/>
  <c r="D30"/>
  <c r="D29"/>
  <c r="D28"/>
  <c r="D27"/>
  <c r="D26"/>
  <c r="D15"/>
  <c r="D13"/>
  <c r="D12"/>
  <c r="D11"/>
  <c r="D10"/>
  <c r="D8"/>
  <c r="D7"/>
  <c r="D4"/>
  <c r="G45" i="191"/>
  <c r="F31" i="270"/>
  <c r="G31"/>
  <c r="F32"/>
  <c r="G32"/>
  <c r="O226"/>
  <c r="D25" i="275"/>
  <c r="D22"/>
  <c r="D17"/>
  <c r="D14"/>
  <c r="D11"/>
  <c r="D8"/>
  <c r="V3"/>
  <c r="D3"/>
  <c r="D25" i="274"/>
  <c r="D22"/>
  <c r="D17"/>
  <c r="D14"/>
  <c r="D11"/>
  <c r="D8"/>
  <c r="V3"/>
  <c r="D3"/>
  <c r="D25" i="273"/>
  <c r="D22"/>
  <c r="D17"/>
  <c r="D14"/>
  <c r="D11"/>
  <c r="D8"/>
  <c r="V3"/>
  <c r="D3"/>
  <c r="F100" i="6"/>
  <c r="H358" i="270"/>
  <c r="F129" i="272"/>
  <c r="F128" s="1"/>
  <c r="N128"/>
  <c r="O128"/>
  <c r="M128"/>
  <c r="L128"/>
  <c r="K128"/>
  <c r="J128"/>
  <c r="I128"/>
  <c r="H128"/>
  <c r="H207" i="194"/>
  <c r="G128" i="272"/>
  <c r="E72" i="6"/>
  <c r="F104"/>
  <c r="E121" i="168"/>
  <c r="E39" i="245"/>
  <c r="E396" i="154"/>
  <c r="O712" i="271"/>
  <c r="N712"/>
  <c r="M712"/>
  <c r="L712"/>
  <c r="K712"/>
  <c r="J712"/>
  <c r="I712"/>
  <c r="H712"/>
  <c r="G712"/>
  <c r="F712"/>
  <c r="O711"/>
  <c r="N711"/>
  <c r="M711"/>
  <c r="L711"/>
  <c r="K711"/>
  <c r="J711"/>
  <c r="I711"/>
  <c r="H711"/>
  <c r="G711"/>
  <c r="F711"/>
  <c r="D539"/>
  <c r="E529"/>
  <c r="E528"/>
  <c r="E527"/>
  <c r="E521"/>
  <c r="E520"/>
  <c r="E519"/>
  <c r="E513"/>
  <c r="E512"/>
  <c r="E511"/>
  <c r="E505"/>
  <c r="E504"/>
  <c r="E503"/>
  <c r="D493"/>
  <c r="D492"/>
  <c r="D486"/>
  <c r="D485"/>
  <c r="D484"/>
  <c r="D478"/>
  <c r="D477"/>
  <c r="D476"/>
  <c r="D475"/>
  <c r="D474"/>
  <c r="D468"/>
  <c r="D467"/>
  <c r="D466"/>
  <c r="D465"/>
  <c r="D464"/>
  <c r="D463"/>
  <c r="C446"/>
  <c r="C445"/>
  <c r="C444"/>
  <c r="B2"/>
  <c r="B1"/>
  <c r="O556" i="272"/>
  <c r="N556"/>
  <c r="M556"/>
  <c r="L556"/>
  <c r="K556"/>
  <c r="J556"/>
  <c r="I556"/>
  <c r="H556"/>
  <c r="G556"/>
  <c r="F556"/>
  <c r="O555"/>
  <c r="N555"/>
  <c r="M555"/>
  <c r="L555"/>
  <c r="K555"/>
  <c r="J555"/>
  <c r="I555"/>
  <c r="H555"/>
  <c r="G555"/>
  <c r="F555"/>
  <c r="D311"/>
  <c r="D310"/>
  <c r="D309"/>
  <c r="D308"/>
  <c r="D302"/>
  <c r="D301"/>
  <c r="D300"/>
  <c r="D299"/>
  <c r="D293"/>
  <c r="D292"/>
  <c r="D291"/>
  <c r="D290"/>
  <c r="D284"/>
  <c r="D283"/>
  <c r="D282"/>
  <c r="D281"/>
  <c r="E252"/>
  <c r="E251"/>
  <c r="E250"/>
  <c r="E244"/>
  <c r="E243"/>
  <c r="E242"/>
  <c r="E236"/>
  <c r="E235"/>
  <c r="E234"/>
  <c r="E228"/>
  <c r="E227"/>
  <c r="E226"/>
  <c r="D216"/>
  <c r="D215"/>
  <c r="D209"/>
  <c r="D208"/>
  <c r="D207"/>
  <c r="D201"/>
  <c r="D200"/>
  <c r="D199"/>
  <c r="D193"/>
  <c r="D192"/>
  <c r="D191"/>
  <c r="D190"/>
  <c r="D189"/>
  <c r="C172"/>
  <c r="C171"/>
  <c r="B2"/>
  <c r="B1"/>
  <c r="O312"/>
  <c r="N312"/>
  <c r="M312"/>
  <c r="L312"/>
  <c r="K312"/>
  <c r="J312"/>
  <c r="I312"/>
  <c r="H312"/>
  <c r="G312"/>
  <c r="F312"/>
  <c r="O303"/>
  <c r="N303"/>
  <c r="M303"/>
  <c r="L303"/>
  <c r="K303"/>
  <c r="J303"/>
  <c r="I303"/>
  <c r="H303"/>
  <c r="G303"/>
  <c r="F303"/>
  <c r="O294"/>
  <c r="N294"/>
  <c r="M294"/>
  <c r="L294"/>
  <c r="K294"/>
  <c r="J294"/>
  <c r="I294"/>
  <c r="H294"/>
  <c r="G294"/>
  <c r="F294"/>
  <c r="O285"/>
  <c r="N285"/>
  <c r="M285"/>
  <c r="L285"/>
  <c r="K285"/>
  <c r="J285"/>
  <c r="I285"/>
  <c r="H285"/>
  <c r="G285"/>
  <c r="F285"/>
  <c r="O274"/>
  <c r="N274"/>
  <c r="M274"/>
  <c r="L274"/>
  <c r="K274"/>
  <c r="J274"/>
  <c r="I274"/>
  <c r="H274"/>
  <c r="G274"/>
  <c r="F274"/>
  <c r="F272"/>
  <c r="O263"/>
  <c r="N263"/>
  <c r="M263"/>
  <c r="L263"/>
  <c r="K263"/>
  <c r="J263"/>
  <c r="I263"/>
  <c r="H263"/>
  <c r="G263"/>
  <c r="O212"/>
  <c r="O204"/>
  <c r="O196"/>
  <c r="O186"/>
  <c r="F186"/>
  <c r="E172"/>
  <c r="E171"/>
  <c r="G169"/>
  <c r="H169" s="1"/>
  <c r="I169" s="1"/>
  <c r="J169" s="1"/>
  <c r="K169" s="1"/>
  <c r="L169" s="1"/>
  <c r="M169" s="1"/>
  <c r="N169" s="1"/>
  <c r="O169" s="1"/>
  <c r="G160"/>
  <c r="O159"/>
  <c r="G150"/>
  <c r="H150" s="1"/>
  <c r="I150" s="1"/>
  <c r="J150" s="1"/>
  <c r="K150" s="1"/>
  <c r="L150" s="1"/>
  <c r="M150" s="1"/>
  <c r="N150" s="1"/>
  <c r="O150" s="1"/>
  <c r="G134"/>
  <c r="H134" s="1"/>
  <c r="I134" s="1"/>
  <c r="J134" s="1"/>
  <c r="K134" s="1"/>
  <c r="L134" s="1"/>
  <c r="M134" s="1"/>
  <c r="N134" s="1"/>
  <c r="O134" s="1"/>
  <c r="F127"/>
  <c r="F126"/>
  <c r="G125"/>
  <c r="H125" s="1"/>
  <c r="I125" s="1"/>
  <c r="J125" s="1"/>
  <c r="K125" s="1"/>
  <c r="L125" s="1"/>
  <c r="M125" s="1"/>
  <c r="N125" s="1"/>
  <c r="O125" s="1"/>
  <c r="O119"/>
  <c r="N119"/>
  <c r="M119"/>
  <c r="L119"/>
  <c r="K119"/>
  <c r="J119"/>
  <c r="I119"/>
  <c r="H119"/>
  <c r="G119"/>
  <c r="F119"/>
  <c r="G116"/>
  <c r="H116"/>
  <c r="I116" s="1"/>
  <c r="J116" s="1"/>
  <c r="K116" s="1"/>
  <c r="L116" s="1"/>
  <c r="M116" s="1"/>
  <c r="N116" s="1"/>
  <c r="O116" s="1"/>
  <c r="O110"/>
  <c r="N110"/>
  <c r="M110"/>
  <c r="L110"/>
  <c r="K110"/>
  <c r="J110"/>
  <c r="I110"/>
  <c r="H110"/>
  <c r="G110"/>
  <c r="F110"/>
  <c r="G107"/>
  <c r="H107" s="1"/>
  <c r="I107" s="1"/>
  <c r="J107" s="1"/>
  <c r="K107" s="1"/>
  <c r="L107" s="1"/>
  <c r="M107" s="1"/>
  <c r="N107" s="1"/>
  <c r="O107" s="1"/>
  <c r="G98"/>
  <c r="H98"/>
  <c r="I98" s="1"/>
  <c r="J98" s="1"/>
  <c r="K98" s="1"/>
  <c r="L98" s="1"/>
  <c r="M98" s="1"/>
  <c r="N98" s="1"/>
  <c r="O98" s="1"/>
  <c r="G82"/>
  <c r="H82" s="1"/>
  <c r="I82" s="1"/>
  <c r="J82" s="1"/>
  <c r="K82" s="1"/>
  <c r="L82" s="1"/>
  <c r="M82" s="1"/>
  <c r="N82" s="1"/>
  <c r="O82" s="1"/>
  <c r="G74"/>
  <c r="H74" s="1"/>
  <c r="I74" s="1"/>
  <c r="J74" s="1"/>
  <c r="K74" s="1"/>
  <c r="L74" s="1"/>
  <c r="M74" s="1"/>
  <c r="N74" s="1"/>
  <c r="O74" s="1"/>
  <c r="G66"/>
  <c r="H66" s="1"/>
  <c r="I66" s="1"/>
  <c r="J66" s="1"/>
  <c r="K66" s="1"/>
  <c r="L66" s="1"/>
  <c r="M66" s="1"/>
  <c r="N66" s="1"/>
  <c r="O66" s="1"/>
  <c r="G58"/>
  <c r="H58"/>
  <c r="I58" s="1"/>
  <c r="J58" s="1"/>
  <c r="K58" s="1"/>
  <c r="L58" s="1"/>
  <c r="M58" s="1"/>
  <c r="N58" s="1"/>
  <c r="O58" s="1"/>
  <c r="O56"/>
  <c r="G49"/>
  <c r="H49" s="1"/>
  <c r="I49" s="1"/>
  <c r="J49" s="1"/>
  <c r="K49" s="1"/>
  <c r="L49" s="1"/>
  <c r="M49" s="1"/>
  <c r="N49" s="1"/>
  <c r="O49" s="1"/>
  <c r="O47"/>
  <c r="G25"/>
  <c r="H25"/>
  <c r="I25" s="1"/>
  <c r="J25" s="1"/>
  <c r="K25" s="1"/>
  <c r="L25" s="1"/>
  <c r="M25" s="1"/>
  <c r="N25" s="1"/>
  <c r="O25" s="1"/>
  <c r="G16"/>
  <c r="H16" s="1"/>
  <c r="I16" s="1"/>
  <c r="J16" s="1"/>
  <c r="K16" s="1"/>
  <c r="L16" s="1"/>
  <c r="M16" s="1"/>
  <c r="N16" s="1"/>
  <c r="O16" s="1"/>
  <c r="E539" i="271"/>
  <c r="O489"/>
  <c r="O481"/>
  <c r="O471"/>
  <c r="O460"/>
  <c r="E446"/>
  <c r="E445"/>
  <c r="E444"/>
  <c r="G442"/>
  <c r="H442" s="1"/>
  <c r="I442" s="1"/>
  <c r="J442" s="1"/>
  <c r="K442" s="1"/>
  <c r="L442" s="1"/>
  <c r="M442" s="1"/>
  <c r="N442" s="1"/>
  <c r="O442" s="1"/>
  <c r="D438"/>
  <c r="G431"/>
  <c r="H431"/>
  <c r="I431" s="1"/>
  <c r="J431" s="1"/>
  <c r="K431" s="1"/>
  <c r="L431" s="1"/>
  <c r="M431" s="1"/>
  <c r="N431" s="1"/>
  <c r="O431" s="1"/>
  <c r="O430"/>
  <c r="C428"/>
  <c r="G403"/>
  <c r="H403" s="1"/>
  <c r="I403" s="1"/>
  <c r="J403" s="1"/>
  <c r="K403" s="1"/>
  <c r="L403" s="1"/>
  <c r="M403" s="1"/>
  <c r="N403" s="1"/>
  <c r="O403" s="1"/>
  <c r="O402"/>
  <c r="G374"/>
  <c r="H374" s="1"/>
  <c r="I374" s="1"/>
  <c r="J374" s="1"/>
  <c r="K374" s="1"/>
  <c r="L374" s="1"/>
  <c r="M374" s="1"/>
  <c r="N374" s="1"/>
  <c r="O374" s="1"/>
  <c r="O373"/>
  <c r="G346"/>
  <c r="H346" s="1"/>
  <c r="I346" s="1"/>
  <c r="J346" s="1"/>
  <c r="K346" s="1"/>
  <c r="L346" s="1"/>
  <c r="M346" s="1"/>
  <c r="N346" s="1"/>
  <c r="O346" s="1"/>
  <c r="G313"/>
  <c r="H313"/>
  <c r="I313" s="1"/>
  <c r="J313" s="1"/>
  <c r="K313" s="1"/>
  <c r="L313" s="1"/>
  <c r="M313" s="1"/>
  <c r="N313" s="1"/>
  <c r="O313" s="1"/>
  <c r="F302"/>
  <c r="F301"/>
  <c r="F300"/>
  <c r="F299"/>
  <c r="F298"/>
  <c r="F297"/>
  <c r="F296"/>
  <c r="F295"/>
  <c r="F294"/>
  <c r="F293"/>
  <c r="F292"/>
  <c r="F291"/>
  <c r="F290"/>
  <c r="F289"/>
  <c r="F288"/>
  <c r="F287"/>
  <c r="F286"/>
  <c r="F285"/>
  <c r="F284"/>
  <c r="F283"/>
  <c r="F282"/>
  <c r="F280"/>
  <c r="F279"/>
  <c r="F273"/>
  <c r="F272"/>
  <c r="F271"/>
  <c r="F270"/>
  <c r="F269"/>
  <c r="F268"/>
  <c r="F267"/>
  <c r="F266"/>
  <c r="F265"/>
  <c r="F264"/>
  <c r="F263"/>
  <c r="F262"/>
  <c r="F261"/>
  <c r="F260"/>
  <c r="F259"/>
  <c r="F258"/>
  <c r="F257"/>
  <c r="F256"/>
  <c r="F255"/>
  <c r="F254"/>
  <c r="F253"/>
  <c r="F251"/>
  <c r="F250"/>
  <c r="F244"/>
  <c r="F243"/>
  <c r="F242"/>
  <c r="F241"/>
  <c r="F240"/>
  <c r="F239"/>
  <c r="F238"/>
  <c r="F237"/>
  <c r="F236"/>
  <c r="F235"/>
  <c r="F234"/>
  <c r="F233"/>
  <c r="F232"/>
  <c r="F231"/>
  <c r="F230"/>
  <c r="F229"/>
  <c r="F228"/>
  <c r="F227"/>
  <c r="F226"/>
  <c r="F225"/>
  <c r="F224"/>
  <c r="F222"/>
  <c r="F221"/>
  <c r="O190"/>
  <c r="G163"/>
  <c r="H163" s="1"/>
  <c r="I163" s="1"/>
  <c r="J163" s="1"/>
  <c r="K163" s="1"/>
  <c r="L163" s="1"/>
  <c r="M163" s="1"/>
  <c r="N163" s="1"/>
  <c r="O163" s="1"/>
  <c r="F155"/>
  <c r="F154"/>
  <c r="F153"/>
  <c r="F152"/>
  <c r="F151"/>
  <c r="F150"/>
  <c r="G149"/>
  <c r="H149" s="1"/>
  <c r="I149" s="1"/>
  <c r="J149" s="1"/>
  <c r="K149" s="1"/>
  <c r="L149" s="1"/>
  <c r="M149" s="1"/>
  <c r="N149" s="1"/>
  <c r="O149" s="1"/>
  <c r="G142"/>
  <c r="H142" s="1"/>
  <c r="G118"/>
  <c r="H118"/>
  <c r="I118" s="1"/>
  <c r="J118" s="1"/>
  <c r="K118" s="1"/>
  <c r="L118" s="1"/>
  <c r="M118" s="1"/>
  <c r="N118" s="1"/>
  <c r="O118" s="1"/>
  <c r="O113"/>
  <c r="E113" s="1"/>
  <c r="G107"/>
  <c r="H107" s="1"/>
  <c r="O112"/>
  <c r="E112"/>
  <c r="H112" s="1"/>
  <c r="O111"/>
  <c r="E111" s="1"/>
  <c r="O110"/>
  <c r="E110" s="1"/>
  <c r="H110" s="1"/>
  <c r="O109"/>
  <c r="E109"/>
  <c r="H109" s="1"/>
  <c r="O108"/>
  <c r="E108"/>
  <c r="O102"/>
  <c r="E102" s="1"/>
  <c r="H102" s="1"/>
  <c r="I102" s="1"/>
  <c r="J102" s="1"/>
  <c r="G96"/>
  <c r="H96"/>
  <c r="I96"/>
  <c r="F102"/>
  <c r="J96"/>
  <c r="K96" s="1"/>
  <c r="L96" s="1"/>
  <c r="M96" s="1"/>
  <c r="N96" s="1"/>
  <c r="O96" s="1"/>
  <c r="O101"/>
  <c r="F101"/>
  <c r="E101"/>
  <c r="H101" s="1"/>
  <c r="I101" s="1"/>
  <c r="O100"/>
  <c r="F100"/>
  <c r="E100"/>
  <c r="H100" s="1"/>
  <c r="I100" s="1"/>
  <c r="J100" s="1"/>
  <c r="O99"/>
  <c r="E99" s="1"/>
  <c r="H99" s="1"/>
  <c r="I99" s="1"/>
  <c r="F99"/>
  <c r="O98"/>
  <c r="E98" s="1"/>
  <c r="H98" s="1"/>
  <c r="I98" s="1"/>
  <c r="J98" s="1"/>
  <c r="F98"/>
  <c r="O97"/>
  <c r="E97" s="1"/>
  <c r="H97" s="1"/>
  <c r="I97" s="1"/>
  <c r="J97" s="1"/>
  <c r="F97"/>
  <c r="O91"/>
  <c r="E91" s="1"/>
  <c r="H91" s="1"/>
  <c r="F91"/>
  <c r="G85"/>
  <c r="H85"/>
  <c r="I85" s="1"/>
  <c r="J85" s="1"/>
  <c r="K85" s="1"/>
  <c r="L85" s="1"/>
  <c r="M85" s="1"/>
  <c r="N85" s="1"/>
  <c r="O85" s="1"/>
  <c r="O90"/>
  <c r="E90"/>
  <c r="H90" s="1"/>
  <c r="F90"/>
  <c r="O89"/>
  <c r="E89" s="1"/>
  <c r="H89" s="1"/>
  <c r="I89" s="1"/>
  <c r="J89" s="1"/>
  <c r="K89" s="1"/>
  <c r="L89" s="1"/>
  <c r="M89" s="1"/>
  <c r="N89" s="1"/>
  <c r="F89"/>
  <c r="O88"/>
  <c r="E88" s="1"/>
  <c r="H88" s="1"/>
  <c r="F88"/>
  <c r="O87"/>
  <c r="E87" s="1"/>
  <c r="H87" s="1"/>
  <c r="I87" s="1"/>
  <c r="J87" s="1"/>
  <c r="K87" s="1"/>
  <c r="L87" s="1"/>
  <c r="M87" s="1"/>
  <c r="N87" s="1"/>
  <c r="F87"/>
  <c r="O86"/>
  <c r="E86"/>
  <c r="H86" s="1"/>
  <c r="F86"/>
  <c r="I60"/>
  <c r="H60"/>
  <c r="G60"/>
  <c r="F60"/>
  <c r="E60"/>
  <c r="F47"/>
  <c r="F46"/>
  <c r="F45"/>
  <c r="F44"/>
  <c r="F43"/>
  <c r="F42"/>
  <c r="F41"/>
  <c r="F40"/>
  <c r="F39"/>
  <c r="G35"/>
  <c r="H35"/>
  <c r="I35" s="1"/>
  <c r="J35" s="1"/>
  <c r="K35" s="1"/>
  <c r="L35" s="1"/>
  <c r="M35" s="1"/>
  <c r="N35" s="1"/>
  <c r="O35" s="1"/>
  <c r="F30"/>
  <c r="F29"/>
  <c r="F28"/>
  <c r="G26"/>
  <c r="H26"/>
  <c r="I26" s="1"/>
  <c r="J26" s="1"/>
  <c r="K26" s="1"/>
  <c r="L26" s="1"/>
  <c r="M26" s="1"/>
  <c r="N26" s="1"/>
  <c r="O26" s="1"/>
  <c r="G17"/>
  <c r="H17" s="1"/>
  <c r="I17" s="1"/>
  <c r="J17" s="1"/>
  <c r="K17" s="1"/>
  <c r="L17" s="1"/>
  <c r="M17" s="1"/>
  <c r="N17" s="1"/>
  <c r="O17" s="1"/>
  <c r="G272" i="272"/>
  <c r="H160"/>
  <c r="O74" i="271"/>
  <c r="H272" i="272"/>
  <c r="I160"/>
  <c r="I272" s="1"/>
  <c r="E641" i="270"/>
  <c r="G114" i="269"/>
  <c r="J9"/>
  <c r="N6"/>
  <c r="H19" i="244"/>
  <c r="I19"/>
  <c r="J19" s="1"/>
  <c r="K19" s="1"/>
  <c r="L19" s="1"/>
  <c r="M19" s="1"/>
  <c r="N19" s="1"/>
  <c r="O19" s="1"/>
  <c r="C58" i="12"/>
  <c r="N655" i="270"/>
  <c r="E76" i="6"/>
  <c r="F76" s="1"/>
  <c r="F41" i="270"/>
  <c r="F50"/>
  <c r="F59"/>
  <c r="F68"/>
  <c r="F77"/>
  <c r="F86"/>
  <c r="G41"/>
  <c r="G50"/>
  <c r="G59"/>
  <c r="G68"/>
  <c r="G77"/>
  <c r="G86"/>
  <c r="D25" i="168"/>
  <c r="G25"/>
  <c r="H25" s="1"/>
  <c r="I25" s="1"/>
  <c r="J25" s="1"/>
  <c r="K25" s="1"/>
  <c r="L25" s="1"/>
  <c r="M25" s="1"/>
  <c r="E25"/>
  <c r="G146" i="159"/>
  <c r="G479" s="1"/>
  <c r="D673" i="270"/>
  <c r="D672"/>
  <c r="D671"/>
  <c r="C662"/>
  <c r="C661"/>
  <c r="C660"/>
  <c r="C659"/>
  <c r="C658"/>
  <c r="C640"/>
  <c r="C639"/>
  <c r="C638"/>
  <c r="C637"/>
  <c r="C619"/>
  <c r="C618"/>
  <c r="C617"/>
  <c r="C616"/>
  <c r="C600"/>
  <c r="C599"/>
  <c r="C598"/>
  <c r="C597"/>
  <c r="C581"/>
  <c r="C580"/>
  <c r="C579"/>
  <c r="C578"/>
  <c r="C562"/>
  <c r="C561"/>
  <c r="C560"/>
  <c r="C559"/>
  <c r="C542"/>
  <c r="C541"/>
  <c r="C540"/>
  <c r="C539"/>
  <c r="C523"/>
  <c r="C522"/>
  <c r="C521"/>
  <c r="C520"/>
  <c r="C504"/>
  <c r="C503"/>
  <c r="C502"/>
  <c r="C501"/>
  <c r="D481"/>
  <c r="D480"/>
  <c r="D479"/>
  <c r="D478"/>
  <c r="D477"/>
  <c r="D472"/>
  <c r="D471"/>
  <c r="D470"/>
  <c r="D469"/>
  <c r="D468"/>
  <c r="D463"/>
  <c r="D462"/>
  <c r="D461"/>
  <c r="D460"/>
  <c r="D459"/>
  <c r="D453"/>
  <c r="D452"/>
  <c r="D451"/>
  <c r="D450"/>
  <c r="D449"/>
  <c r="D444"/>
  <c r="D443"/>
  <c r="D442"/>
  <c r="D441"/>
  <c r="D440"/>
  <c r="D434"/>
  <c r="D433"/>
  <c r="D432"/>
  <c r="D431"/>
  <c r="D430"/>
  <c r="D425"/>
  <c r="D424"/>
  <c r="D423"/>
  <c r="D422"/>
  <c r="D421"/>
  <c r="D415"/>
  <c r="D414"/>
  <c r="D413"/>
  <c r="D412"/>
  <c r="D411"/>
  <c r="B2"/>
  <c r="B1"/>
  <c r="E640"/>
  <c r="E639"/>
  <c r="E638"/>
  <c r="E637"/>
  <c r="P633"/>
  <c r="E633"/>
  <c r="G626"/>
  <c r="H626" s="1"/>
  <c r="I626" s="1"/>
  <c r="J626" s="1"/>
  <c r="K626" s="1"/>
  <c r="L626" s="1"/>
  <c r="M626" s="1"/>
  <c r="N626" s="1"/>
  <c r="O626" s="1"/>
  <c r="E619"/>
  <c r="E618"/>
  <c r="E617"/>
  <c r="E616"/>
  <c r="E612"/>
  <c r="G607"/>
  <c r="H607" s="1"/>
  <c r="I607" s="1"/>
  <c r="J607" s="1"/>
  <c r="K607" s="1"/>
  <c r="L607" s="1"/>
  <c r="M607" s="1"/>
  <c r="N607" s="1"/>
  <c r="O607" s="1"/>
  <c r="E600"/>
  <c r="E599"/>
  <c r="E598"/>
  <c r="E597"/>
  <c r="E593"/>
  <c r="G588"/>
  <c r="H588" s="1"/>
  <c r="I588" s="1"/>
  <c r="J588" s="1"/>
  <c r="K588" s="1"/>
  <c r="L588" s="1"/>
  <c r="M588" s="1"/>
  <c r="N588" s="1"/>
  <c r="O588" s="1"/>
  <c r="E581"/>
  <c r="E580"/>
  <c r="E579"/>
  <c r="E578"/>
  <c r="E574"/>
  <c r="G569"/>
  <c r="H569" s="1"/>
  <c r="I569" s="1"/>
  <c r="J569" s="1"/>
  <c r="K569" s="1"/>
  <c r="L569" s="1"/>
  <c r="M569" s="1"/>
  <c r="N569" s="1"/>
  <c r="O569" s="1"/>
  <c r="E562"/>
  <c r="E561"/>
  <c r="E560"/>
  <c r="E559"/>
  <c r="E555"/>
  <c r="G550"/>
  <c r="H550" s="1"/>
  <c r="I550" s="1"/>
  <c r="J550" s="1"/>
  <c r="K550" s="1"/>
  <c r="L550" s="1"/>
  <c r="M550" s="1"/>
  <c r="N550" s="1"/>
  <c r="O550" s="1"/>
  <c r="E542"/>
  <c r="E541"/>
  <c r="E540"/>
  <c r="E539"/>
  <c r="E535"/>
  <c r="G530"/>
  <c r="H530" s="1"/>
  <c r="I530" s="1"/>
  <c r="J530" s="1"/>
  <c r="K530" s="1"/>
  <c r="L530" s="1"/>
  <c r="M530" s="1"/>
  <c r="N530" s="1"/>
  <c r="O530" s="1"/>
  <c r="E523"/>
  <c r="E522"/>
  <c r="E521"/>
  <c r="E520"/>
  <c r="E516"/>
  <c r="G511"/>
  <c r="H511" s="1"/>
  <c r="I511" s="1"/>
  <c r="J511" s="1"/>
  <c r="K511" s="1"/>
  <c r="L511" s="1"/>
  <c r="M511" s="1"/>
  <c r="N511" s="1"/>
  <c r="O511" s="1"/>
  <c r="E504"/>
  <c r="E503"/>
  <c r="E502"/>
  <c r="E501"/>
  <c r="E497"/>
  <c r="G492"/>
  <c r="H492" s="1"/>
  <c r="I492" s="1"/>
  <c r="J492" s="1"/>
  <c r="K492" s="1"/>
  <c r="L492" s="1"/>
  <c r="M492" s="1"/>
  <c r="N492" s="1"/>
  <c r="O492" s="1"/>
  <c r="G476"/>
  <c r="H476" s="1"/>
  <c r="I476" s="1"/>
  <c r="J476" s="1"/>
  <c r="K476" s="1"/>
  <c r="L476" s="1"/>
  <c r="M476" s="1"/>
  <c r="N476" s="1"/>
  <c r="O476" s="1"/>
  <c r="F472"/>
  <c r="G467"/>
  <c r="H467"/>
  <c r="I467" s="1"/>
  <c r="J467" s="1"/>
  <c r="K467" s="1"/>
  <c r="L467" s="1"/>
  <c r="M467" s="1"/>
  <c r="N467" s="1"/>
  <c r="O467" s="1"/>
  <c r="F463"/>
  <c r="G458"/>
  <c r="H458" s="1"/>
  <c r="I458" s="1"/>
  <c r="J458" s="1"/>
  <c r="K458" s="1"/>
  <c r="L458" s="1"/>
  <c r="M458" s="1"/>
  <c r="N458" s="1"/>
  <c r="O458" s="1"/>
  <c r="F453"/>
  <c r="G448"/>
  <c r="H448"/>
  <c r="I448" s="1"/>
  <c r="J448" s="1"/>
  <c r="K448" s="1"/>
  <c r="L448" s="1"/>
  <c r="M448" s="1"/>
  <c r="N448" s="1"/>
  <c r="O448" s="1"/>
  <c r="O444"/>
  <c r="N444"/>
  <c r="M444"/>
  <c r="L444"/>
  <c r="K444"/>
  <c r="J444"/>
  <c r="I444"/>
  <c r="H444"/>
  <c r="G444"/>
  <c r="F444"/>
  <c r="G439"/>
  <c r="H439" s="1"/>
  <c r="I439" s="1"/>
  <c r="J439" s="1"/>
  <c r="K439" s="1"/>
  <c r="L439" s="1"/>
  <c r="M439" s="1"/>
  <c r="N439" s="1"/>
  <c r="O439" s="1"/>
  <c r="F434"/>
  <c r="G429"/>
  <c r="H429" s="1"/>
  <c r="I429" s="1"/>
  <c r="J429" s="1"/>
  <c r="K429" s="1"/>
  <c r="L429" s="1"/>
  <c r="M429" s="1"/>
  <c r="N429" s="1"/>
  <c r="O429" s="1"/>
  <c r="F425"/>
  <c r="G420"/>
  <c r="H420" s="1"/>
  <c r="I420" s="1"/>
  <c r="J420" s="1"/>
  <c r="K420" s="1"/>
  <c r="L420" s="1"/>
  <c r="M420" s="1"/>
  <c r="N420" s="1"/>
  <c r="O420" s="1"/>
  <c r="F415"/>
  <c r="G410"/>
  <c r="H410" s="1"/>
  <c r="I410" s="1"/>
  <c r="J410" s="1"/>
  <c r="K410" s="1"/>
  <c r="L410" s="1"/>
  <c r="M410" s="1"/>
  <c r="N410" s="1"/>
  <c r="O410" s="1"/>
  <c r="C396"/>
  <c r="G384"/>
  <c r="H384" s="1"/>
  <c r="I384" s="1"/>
  <c r="J384" s="1"/>
  <c r="K384" s="1"/>
  <c r="L384" s="1"/>
  <c r="M384" s="1"/>
  <c r="N384" s="1"/>
  <c r="O384" s="1"/>
  <c r="G370"/>
  <c r="H370"/>
  <c r="I370" s="1"/>
  <c r="J370" s="1"/>
  <c r="K370" s="1"/>
  <c r="L370"/>
  <c r="M370" s="1"/>
  <c r="N370" s="1"/>
  <c r="O370" s="1"/>
  <c r="G356"/>
  <c r="H356" s="1"/>
  <c r="I356" s="1"/>
  <c r="J356" s="1"/>
  <c r="K356"/>
  <c r="L356" s="1"/>
  <c r="M356" s="1"/>
  <c r="N356" s="1"/>
  <c r="O356" s="1"/>
  <c r="G344"/>
  <c r="G333"/>
  <c r="H333" s="1"/>
  <c r="I333"/>
  <c r="J333" s="1"/>
  <c r="K333" s="1"/>
  <c r="L333" s="1"/>
  <c r="M333" s="1"/>
  <c r="N333" s="1"/>
  <c r="O333" s="1"/>
  <c r="G318"/>
  <c r="H318"/>
  <c r="I318" s="1"/>
  <c r="J318" s="1"/>
  <c r="K318" s="1"/>
  <c r="L318"/>
  <c r="M318" s="1"/>
  <c r="N318" s="1"/>
  <c r="O318" s="1"/>
  <c r="O316"/>
  <c r="G309"/>
  <c r="H309" s="1"/>
  <c r="I309" s="1"/>
  <c r="J309" s="1"/>
  <c r="K309" s="1"/>
  <c r="L309" s="1"/>
  <c r="M309" s="1"/>
  <c r="N309" s="1"/>
  <c r="O309" s="1"/>
  <c r="O307"/>
  <c r="G300"/>
  <c r="H300"/>
  <c r="I300" s="1"/>
  <c r="J300" s="1"/>
  <c r="K300" s="1"/>
  <c r="L300"/>
  <c r="M300" s="1"/>
  <c r="N300" s="1"/>
  <c r="O300" s="1"/>
  <c r="O298"/>
  <c r="G291"/>
  <c r="H291" s="1"/>
  <c r="I291" s="1"/>
  <c r="J291" s="1"/>
  <c r="K291" s="1"/>
  <c r="L291" s="1"/>
  <c r="M291" s="1"/>
  <c r="N291" s="1"/>
  <c r="O291" s="1"/>
  <c r="O289"/>
  <c r="G282"/>
  <c r="H282"/>
  <c r="I282" s="1"/>
  <c r="J282" s="1"/>
  <c r="K282" s="1"/>
  <c r="L282"/>
  <c r="M282" s="1"/>
  <c r="N282" s="1"/>
  <c r="O282" s="1"/>
  <c r="O280"/>
  <c r="G273"/>
  <c r="H273" s="1"/>
  <c r="I273" s="1"/>
  <c r="J273"/>
  <c r="K273" s="1"/>
  <c r="L273" s="1"/>
  <c r="M273" s="1"/>
  <c r="N273"/>
  <c r="O273" s="1"/>
  <c r="O271"/>
  <c r="G264"/>
  <c r="H264"/>
  <c r="I264" s="1"/>
  <c r="J264" s="1"/>
  <c r="K264" s="1"/>
  <c r="L264"/>
  <c r="M264" s="1"/>
  <c r="N264" s="1"/>
  <c r="O264" s="1"/>
  <c r="O262"/>
  <c r="G255"/>
  <c r="H255" s="1"/>
  <c r="I255" s="1"/>
  <c r="J255"/>
  <c r="K255" s="1"/>
  <c r="L255" s="1"/>
  <c r="M255" s="1"/>
  <c r="N255"/>
  <c r="O255" s="1"/>
  <c r="O253"/>
  <c r="G246"/>
  <c r="H246"/>
  <c r="I246" s="1"/>
  <c r="J246" s="1"/>
  <c r="K246" s="1"/>
  <c r="L246"/>
  <c r="M246" s="1"/>
  <c r="N246" s="1"/>
  <c r="O246" s="1"/>
  <c r="O244"/>
  <c r="G227"/>
  <c r="H227" s="1"/>
  <c r="I227" s="1"/>
  <c r="J227"/>
  <c r="K227" s="1"/>
  <c r="L227" s="1"/>
  <c r="M227" s="1"/>
  <c r="N227"/>
  <c r="O227" s="1"/>
  <c r="G218"/>
  <c r="H218" s="1"/>
  <c r="I218" s="1"/>
  <c r="J218" s="1"/>
  <c r="K218" s="1"/>
  <c r="L218" s="1"/>
  <c r="M218" s="1"/>
  <c r="N218" s="1"/>
  <c r="O218" s="1"/>
  <c r="O217"/>
  <c r="G209"/>
  <c r="H209" s="1"/>
  <c r="I209" s="1"/>
  <c r="J209" s="1"/>
  <c r="K209" s="1"/>
  <c r="L209" s="1"/>
  <c r="M209" s="1"/>
  <c r="N209" s="1"/>
  <c r="O209" s="1"/>
  <c r="O208"/>
  <c r="G200"/>
  <c r="H200"/>
  <c r="I200"/>
  <c r="J200" s="1"/>
  <c r="K200" s="1"/>
  <c r="L200" s="1"/>
  <c r="M200"/>
  <c r="N200" s="1"/>
  <c r="O200" s="1"/>
  <c r="O199"/>
  <c r="G191"/>
  <c r="H191" s="1"/>
  <c r="I191" s="1"/>
  <c r="J191" s="1"/>
  <c r="K191"/>
  <c r="L191" s="1"/>
  <c r="M191" s="1"/>
  <c r="N191" s="1"/>
  <c r="O191"/>
  <c r="O190"/>
  <c r="G182"/>
  <c r="H182"/>
  <c r="I182"/>
  <c r="J182" s="1"/>
  <c r="K182" s="1"/>
  <c r="L182" s="1"/>
  <c r="M182" s="1"/>
  <c r="N182" s="1"/>
  <c r="O182" s="1"/>
  <c r="O181"/>
  <c r="G173"/>
  <c r="H173" s="1"/>
  <c r="I173" s="1"/>
  <c r="J173" s="1"/>
  <c r="K173"/>
  <c r="L173" s="1"/>
  <c r="M173" s="1"/>
  <c r="N173" s="1"/>
  <c r="O173" s="1"/>
  <c r="O172"/>
  <c r="G164"/>
  <c r="H164"/>
  <c r="I164"/>
  <c r="J164" s="1"/>
  <c r="K164" s="1"/>
  <c r="L164" s="1"/>
  <c r="M164" s="1"/>
  <c r="N164" s="1"/>
  <c r="O164" s="1"/>
  <c r="O163"/>
  <c r="G155"/>
  <c r="H155" s="1"/>
  <c r="I155" s="1"/>
  <c r="J155" s="1"/>
  <c r="K155" s="1"/>
  <c r="L155" s="1"/>
  <c r="M155" s="1"/>
  <c r="N155" s="1"/>
  <c r="O155" s="1"/>
  <c r="O154"/>
  <c r="G146"/>
  <c r="H146"/>
  <c r="I146"/>
  <c r="J146" s="1"/>
  <c r="K146" s="1"/>
  <c r="L146" s="1"/>
  <c r="M146"/>
  <c r="N146" s="1"/>
  <c r="O146" s="1"/>
  <c r="O145"/>
  <c r="G137"/>
  <c r="H137" s="1"/>
  <c r="I137" s="1"/>
  <c r="J137" s="1"/>
  <c r="K137" s="1"/>
  <c r="L137" s="1"/>
  <c r="M137" s="1"/>
  <c r="N137" s="1"/>
  <c r="O137" s="1"/>
  <c r="O136"/>
  <c r="G128"/>
  <c r="H128"/>
  <c r="I128"/>
  <c r="J128" s="1"/>
  <c r="K128" s="1"/>
  <c r="L128" s="1"/>
  <c r="M128"/>
  <c r="N128" s="1"/>
  <c r="O128" s="1"/>
  <c r="O127"/>
  <c r="G119"/>
  <c r="H119" s="1"/>
  <c r="I119" s="1"/>
  <c r="J119" s="1"/>
  <c r="K119"/>
  <c r="L119" s="1"/>
  <c r="M119" s="1"/>
  <c r="N119" s="1"/>
  <c r="O119"/>
  <c r="O118"/>
  <c r="G110"/>
  <c r="H110"/>
  <c r="I110"/>
  <c r="J110" s="1"/>
  <c r="K110" s="1"/>
  <c r="L110" s="1"/>
  <c r="M110" s="1"/>
  <c r="N110" s="1"/>
  <c r="O110" s="1"/>
  <c r="O109"/>
  <c r="G101"/>
  <c r="H101" s="1"/>
  <c r="I101" s="1"/>
  <c r="J101" s="1"/>
  <c r="K101"/>
  <c r="L101" s="1"/>
  <c r="M101" s="1"/>
  <c r="N101" s="1"/>
  <c r="O101" s="1"/>
  <c r="O100"/>
  <c r="M95"/>
  <c r="O95"/>
  <c r="N95"/>
  <c r="L95"/>
  <c r="K95"/>
  <c r="J95"/>
  <c r="I95"/>
  <c r="H95"/>
  <c r="G95"/>
  <c r="F95"/>
  <c r="O94"/>
  <c r="N94"/>
  <c r="M94"/>
  <c r="L94"/>
  <c r="K94"/>
  <c r="J94"/>
  <c r="I94"/>
  <c r="H94"/>
  <c r="G94"/>
  <c r="F94"/>
  <c r="G91"/>
  <c r="H91"/>
  <c r="I91"/>
  <c r="J91" s="1"/>
  <c r="K91" s="1"/>
  <c r="L91" s="1"/>
  <c r="M91" s="1"/>
  <c r="N91" s="1"/>
  <c r="O91" s="1"/>
  <c r="G85"/>
  <c r="F85"/>
  <c r="G82"/>
  <c r="H82" s="1"/>
  <c r="I82" s="1"/>
  <c r="J82" s="1"/>
  <c r="K82" s="1"/>
  <c r="L82" s="1"/>
  <c r="M82" s="1"/>
  <c r="N82" s="1"/>
  <c r="O82" s="1"/>
  <c r="G76"/>
  <c r="F76"/>
  <c r="G73"/>
  <c r="H73" s="1"/>
  <c r="I73" s="1"/>
  <c r="J73" s="1"/>
  <c r="K73" s="1"/>
  <c r="L73" s="1"/>
  <c r="M73" s="1"/>
  <c r="N73" s="1"/>
  <c r="O73" s="1"/>
  <c r="F67"/>
  <c r="G64"/>
  <c r="H64" s="1"/>
  <c r="I64" s="1"/>
  <c r="J64" s="1"/>
  <c r="K64" s="1"/>
  <c r="L64" s="1"/>
  <c r="M64" s="1"/>
  <c r="N64" s="1"/>
  <c r="O64" s="1"/>
  <c r="G58"/>
  <c r="F58"/>
  <c r="G55"/>
  <c r="H55" s="1"/>
  <c r="I55" s="1"/>
  <c r="J55"/>
  <c r="K55" s="1"/>
  <c r="L55" s="1"/>
  <c r="M55" s="1"/>
  <c r="N55" s="1"/>
  <c r="O55" s="1"/>
  <c r="G49"/>
  <c r="F49"/>
  <c r="G46"/>
  <c r="H46" s="1"/>
  <c r="I46" s="1"/>
  <c r="J46" s="1"/>
  <c r="K46" s="1"/>
  <c r="L46" s="1"/>
  <c r="M46" s="1"/>
  <c r="N46" s="1"/>
  <c r="O46" s="1"/>
  <c r="F40"/>
  <c r="G37"/>
  <c r="H37" s="1"/>
  <c r="I37" s="1"/>
  <c r="J37" s="1"/>
  <c r="K37" s="1"/>
  <c r="L37" s="1"/>
  <c r="M37" s="1"/>
  <c r="N37" s="1"/>
  <c r="O37" s="1"/>
  <c r="G28"/>
  <c r="H28"/>
  <c r="I28" s="1"/>
  <c r="J28" s="1"/>
  <c r="K28" s="1"/>
  <c r="L28" s="1"/>
  <c r="M28" s="1"/>
  <c r="N28" s="1"/>
  <c r="O28" s="1"/>
  <c r="E19"/>
  <c r="H19" s="1"/>
  <c r="I19" s="1"/>
  <c r="J19" s="1"/>
  <c r="K19" s="1"/>
  <c r="L19" s="1"/>
  <c r="M19" s="1"/>
  <c r="N19" s="1"/>
  <c r="E18"/>
  <c r="H18" s="1"/>
  <c r="I18" s="1"/>
  <c r="J18" s="1"/>
  <c r="K18" s="1"/>
  <c r="L18" s="1"/>
  <c r="M18" s="1"/>
  <c r="N18" s="1"/>
  <c r="E17"/>
  <c r="H17" s="1"/>
  <c r="I17" s="1"/>
  <c r="J17" s="1"/>
  <c r="K17" s="1"/>
  <c r="L17" s="1"/>
  <c r="M17" s="1"/>
  <c r="N17" s="1"/>
  <c r="G15"/>
  <c r="H15" s="1"/>
  <c r="I15" s="1"/>
  <c r="J15" s="1"/>
  <c r="K15" s="1"/>
  <c r="L15" s="1"/>
  <c r="M15" s="1"/>
  <c r="N15" s="1"/>
  <c r="O15" s="1"/>
  <c r="C253" i="154"/>
  <c r="C246"/>
  <c r="C238"/>
  <c r="C220"/>
  <c r="E25" i="269"/>
  <c r="O14" i="200"/>
  <c r="O23"/>
  <c r="O32"/>
  <c r="O34" i="234"/>
  <c r="O25"/>
  <c r="O13"/>
  <c r="B1" i="153"/>
  <c r="B1" i="154"/>
  <c r="A8" i="269"/>
  <c r="A4"/>
  <c r="E57" i="203"/>
  <c r="E56"/>
  <c r="B56"/>
  <c r="D24"/>
  <c r="G23"/>
  <c r="H23" s="1"/>
  <c r="I23" s="1"/>
  <c r="J23" s="1"/>
  <c r="K23" s="1"/>
  <c r="L23" s="1"/>
  <c r="M23" s="1"/>
  <c r="N23" s="1"/>
  <c r="O23" s="1"/>
  <c r="D129" i="188"/>
  <c r="E142" i="235"/>
  <c r="E141"/>
  <c r="O96"/>
  <c r="E101" i="236"/>
  <c r="E100"/>
  <c r="O21"/>
  <c r="O12"/>
  <c r="O69" i="190"/>
  <c r="O68" i="237"/>
  <c r="E94"/>
  <c r="O30"/>
  <c r="O21"/>
  <c r="O12"/>
  <c r="O43" i="182"/>
  <c r="O34"/>
  <c r="O25"/>
  <c r="O16"/>
  <c r="F63" i="233"/>
  <c r="G21" i="48"/>
  <c r="H16" i="6"/>
  <c r="H10"/>
  <c r="F231" i="200"/>
  <c r="D36" i="228"/>
  <c r="E99" i="234"/>
  <c r="O260" i="187"/>
  <c r="N260"/>
  <c r="M260"/>
  <c r="L260"/>
  <c r="K260"/>
  <c r="J260"/>
  <c r="I260"/>
  <c r="H260"/>
  <c r="G260"/>
  <c r="F260"/>
  <c r="O259"/>
  <c r="N259"/>
  <c r="M259"/>
  <c r="L259"/>
  <c r="K259"/>
  <c r="J259"/>
  <c r="I259"/>
  <c r="H259"/>
  <c r="G259"/>
  <c r="F259"/>
  <c r="C256"/>
  <c r="C255"/>
  <c r="G253" i="154"/>
  <c r="D91"/>
  <c r="G66" i="244"/>
  <c r="F28"/>
  <c r="F27"/>
  <c r="F26"/>
  <c r="G35"/>
  <c r="F56" i="153"/>
  <c r="D80"/>
  <c r="D54"/>
  <c r="G245" i="154"/>
  <c r="H245" s="1"/>
  <c r="I245" s="1"/>
  <c r="J245" s="1"/>
  <c r="K245" s="1"/>
  <c r="L245" s="1"/>
  <c r="M245" s="1"/>
  <c r="N245" s="1"/>
  <c r="O245" s="1"/>
  <c r="G237"/>
  <c r="H237"/>
  <c r="I237" s="1"/>
  <c r="J237" s="1"/>
  <c r="K237" s="1"/>
  <c r="L237" s="1"/>
  <c r="M237" s="1"/>
  <c r="N237" s="1"/>
  <c r="O237" s="1"/>
  <c r="G219"/>
  <c r="H219" s="1"/>
  <c r="I219" s="1"/>
  <c r="J219" s="1"/>
  <c r="K219" s="1"/>
  <c r="L219" s="1"/>
  <c r="M219" s="1"/>
  <c r="N219" s="1"/>
  <c r="O219" s="1"/>
  <c r="C71" i="190"/>
  <c r="C68"/>
  <c r="G58"/>
  <c r="O77" i="182"/>
  <c r="C79"/>
  <c r="E104"/>
  <c r="D59"/>
  <c r="D64"/>
  <c r="D88"/>
  <c r="C76"/>
  <c r="G78"/>
  <c r="H78"/>
  <c r="I78" s="1"/>
  <c r="J78" s="1"/>
  <c r="K78" s="1"/>
  <c r="L78" s="1"/>
  <c r="M78" s="1"/>
  <c r="N78" s="1"/>
  <c r="O78" s="1"/>
  <c r="D128"/>
  <c r="D127"/>
  <c r="D126"/>
  <c r="D117"/>
  <c r="D116"/>
  <c r="D115"/>
  <c r="D114"/>
  <c r="D113"/>
  <c r="H40" i="48"/>
  <c r="I40" s="1"/>
  <c r="J40" s="1"/>
  <c r="K40" s="1"/>
  <c r="L40" s="1"/>
  <c r="M40" s="1"/>
  <c r="H41"/>
  <c r="I41" s="1"/>
  <c r="J41" s="1"/>
  <c r="K41" s="1"/>
  <c r="L41" s="1"/>
  <c r="M41" s="1"/>
  <c r="H42"/>
  <c r="I42" s="1"/>
  <c r="J42" s="1"/>
  <c r="K42" s="1"/>
  <c r="L42" s="1"/>
  <c r="M42" s="1"/>
  <c r="H39"/>
  <c r="I39" s="1"/>
  <c r="I43" s="1"/>
  <c r="D271" i="187"/>
  <c r="G149"/>
  <c r="E256"/>
  <c r="E255"/>
  <c r="E252"/>
  <c r="E251"/>
  <c r="E250"/>
  <c r="E241"/>
  <c r="E239"/>
  <c r="E240"/>
  <c r="E238"/>
  <c r="D153" i="189"/>
  <c r="D143"/>
  <c r="G108"/>
  <c r="H108" s="1"/>
  <c r="I108" s="1"/>
  <c r="J108" s="1"/>
  <c r="K108"/>
  <c r="L108" s="1"/>
  <c r="M108" s="1"/>
  <c r="N108" s="1"/>
  <c r="O108" s="1"/>
  <c r="G100"/>
  <c r="H100" s="1"/>
  <c r="I100" s="1"/>
  <c r="J100" s="1"/>
  <c r="K100" s="1"/>
  <c r="L100" s="1"/>
  <c r="M100" s="1"/>
  <c r="N100" s="1"/>
  <c r="O100" s="1"/>
  <c r="G92"/>
  <c r="H92" s="1"/>
  <c r="I92"/>
  <c r="J92" s="1"/>
  <c r="K92" s="1"/>
  <c r="L92" s="1"/>
  <c r="M92" s="1"/>
  <c r="N92" s="1"/>
  <c r="O92" s="1"/>
  <c r="G84"/>
  <c r="H84"/>
  <c r="I84" s="1"/>
  <c r="J84" s="1"/>
  <c r="K84" s="1"/>
  <c r="L84"/>
  <c r="M84" s="1"/>
  <c r="N84" s="1"/>
  <c r="O84" s="1"/>
  <c r="O74"/>
  <c r="O127" i="182"/>
  <c r="N127"/>
  <c r="M127"/>
  <c r="L127"/>
  <c r="K127"/>
  <c r="J127"/>
  <c r="I127"/>
  <c r="H127"/>
  <c r="G127"/>
  <c r="F127"/>
  <c r="E126"/>
  <c r="O110"/>
  <c r="E95"/>
  <c r="E92"/>
  <c r="O85"/>
  <c r="F66"/>
  <c r="O78" i="133"/>
  <c r="C66" i="197"/>
  <c r="D104"/>
  <c r="E120" i="168"/>
  <c r="O663" i="201"/>
  <c r="N663"/>
  <c r="M663"/>
  <c r="L663"/>
  <c r="K663"/>
  <c r="J663"/>
  <c r="I663"/>
  <c r="H663"/>
  <c r="G663"/>
  <c r="F663"/>
  <c r="O662"/>
  <c r="N662"/>
  <c r="M662"/>
  <c r="L662"/>
  <c r="K662"/>
  <c r="J662"/>
  <c r="I662"/>
  <c r="H662"/>
  <c r="G662"/>
  <c r="F662"/>
  <c r="O691" i="203"/>
  <c r="N691"/>
  <c r="M691"/>
  <c r="L691"/>
  <c r="K691"/>
  <c r="J691"/>
  <c r="I691"/>
  <c r="H691"/>
  <c r="G691"/>
  <c r="F691"/>
  <c r="O690"/>
  <c r="N690"/>
  <c r="M690"/>
  <c r="L690"/>
  <c r="K690"/>
  <c r="J690"/>
  <c r="I690"/>
  <c r="H690"/>
  <c r="G690"/>
  <c r="F690"/>
  <c r="D19"/>
  <c r="D11"/>
  <c r="D10"/>
  <c r="D9"/>
  <c r="O558" i="196"/>
  <c r="N558"/>
  <c r="M558"/>
  <c r="L558"/>
  <c r="K558"/>
  <c r="J558"/>
  <c r="I558"/>
  <c r="H558"/>
  <c r="G558"/>
  <c r="F558"/>
  <c r="O557"/>
  <c r="N557"/>
  <c r="M557"/>
  <c r="L557"/>
  <c r="K557"/>
  <c r="J557"/>
  <c r="I557"/>
  <c r="H557"/>
  <c r="G557"/>
  <c r="F557"/>
  <c r="D209" i="238"/>
  <c r="D74" i="236"/>
  <c r="D84" i="237"/>
  <c r="D80" i="190"/>
  <c r="D15" i="201"/>
  <c r="E100" i="203"/>
  <c r="D86"/>
  <c r="D87"/>
  <c r="D88"/>
  <c r="D89"/>
  <c r="D90"/>
  <c r="D91"/>
  <c r="D85"/>
  <c r="B2" i="191"/>
  <c r="B1"/>
  <c r="E100" i="196"/>
  <c r="E101"/>
  <c r="E102"/>
  <c r="E103"/>
  <c r="E99"/>
  <c r="B1"/>
  <c r="D217" i="194"/>
  <c r="D216"/>
  <c r="E203"/>
  <c r="E204"/>
  <c r="E205"/>
  <c r="E206"/>
  <c r="E202"/>
  <c r="D174"/>
  <c r="D175"/>
  <c r="D176"/>
  <c r="D173"/>
  <c r="D168"/>
  <c r="D166"/>
  <c r="D167"/>
  <c r="D165"/>
  <c r="D138"/>
  <c r="D137"/>
  <c r="D128"/>
  <c r="C195" i="188"/>
  <c r="C196"/>
  <c r="C197"/>
  <c r="C194"/>
  <c r="E187"/>
  <c r="E188"/>
  <c r="E186"/>
  <c r="B1"/>
  <c r="C289" i="187"/>
  <c r="C290"/>
  <c r="C291"/>
  <c r="C288"/>
  <c r="E281"/>
  <c r="E282"/>
  <c r="E280"/>
  <c r="B1"/>
  <c r="E181" i="189"/>
  <c r="E182"/>
  <c r="E180"/>
  <c r="B2"/>
  <c r="B1"/>
  <c r="D66" i="199"/>
  <c r="D67"/>
  <c r="D65"/>
  <c r="B1" i="198"/>
  <c r="E292" i="238"/>
  <c r="E293"/>
  <c r="E291"/>
  <c r="B2"/>
  <c r="B1"/>
  <c r="D142" i="235"/>
  <c r="D141"/>
  <c r="D132"/>
  <c r="D131"/>
  <c r="D111"/>
  <c r="D107"/>
  <c r="D61"/>
  <c r="B2"/>
  <c r="B1"/>
  <c r="B2" i="236"/>
  <c r="B1"/>
  <c r="D103" i="237"/>
  <c r="D102"/>
  <c r="B2"/>
  <c r="B1"/>
  <c r="D120" i="233"/>
  <c r="D119"/>
  <c r="D110"/>
  <c r="D109"/>
  <c r="D83"/>
  <c r="D79"/>
  <c r="D61"/>
  <c r="D56"/>
  <c r="B2"/>
  <c r="B1"/>
  <c r="D117" i="234"/>
  <c r="D118"/>
  <c r="D87"/>
  <c r="D83"/>
  <c r="D63"/>
  <c r="D58"/>
  <c r="B2"/>
  <c r="B1"/>
  <c r="D110" i="190"/>
  <c r="D109"/>
  <c r="D100"/>
  <c r="D99"/>
  <c r="B2"/>
  <c r="B1"/>
  <c r="B2" i="182"/>
  <c r="B1"/>
  <c r="D16" i="204"/>
  <c r="D15"/>
  <c r="B1"/>
  <c r="D202"/>
  <c r="B1" i="200"/>
  <c r="D79" i="197"/>
  <c r="E63" i="6"/>
  <c r="E66"/>
  <c r="E65"/>
  <c r="G78" i="133"/>
  <c r="G118" s="1"/>
  <c r="H78"/>
  <c r="I78"/>
  <c r="J78"/>
  <c r="K78"/>
  <c r="L78"/>
  <c r="M78"/>
  <c r="F78"/>
  <c r="B2" i="198"/>
  <c r="B2" i="196"/>
  <c r="P71" i="194"/>
  <c r="G57" i="189"/>
  <c r="H57"/>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G45"/>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M51" i="231"/>
  <c r="AL51"/>
  <c r="AK51"/>
  <c r="Z51"/>
  <c r="AJ51"/>
  <c r="AI51"/>
  <c r="AH51"/>
  <c r="AG51"/>
  <c r="AF51"/>
  <c r="AE51"/>
  <c r="AD51"/>
  <c r="AM50"/>
  <c r="AL50"/>
  <c r="AK50"/>
  <c r="AJ50"/>
  <c r="AI50"/>
  <c r="X50"/>
  <c r="AT50"/>
  <c r="AH50"/>
  <c r="AS50" s="1"/>
  <c r="AG50"/>
  <c r="AF50"/>
  <c r="AE50"/>
  <c r="AD50"/>
  <c r="AM49"/>
  <c r="AL49"/>
  <c r="AK49"/>
  <c r="Z49"/>
  <c r="AJ49"/>
  <c r="AI49"/>
  <c r="AH49"/>
  <c r="AS49" s="1"/>
  <c r="AG49"/>
  <c r="AF49"/>
  <c r="AE49"/>
  <c r="AD49"/>
  <c r="AM29"/>
  <c r="AL29"/>
  <c r="AK29"/>
  <c r="AJ29"/>
  <c r="AI29"/>
  <c r="AH29"/>
  <c r="AG29"/>
  <c r="AF29"/>
  <c r="AE29"/>
  <c r="AD29"/>
  <c r="AM26"/>
  <c r="AL26"/>
  <c r="AK26"/>
  <c r="AJ26"/>
  <c r="AI26"/>
  <c r="AH26"/>
  <c r="AG26"/>
  <c r="AF26"/>
  <c r="AE26"/>
  <c r="AD26"/>
  <c r="AM25"/>
  <c r="AL25"/>
  <c r="AK25"/>
  <c r="AJ25"/>
  <c r="AI25"/>
  <c r="AH25"/>
  <c r="AG25"/>
  <c r="AF25"/>
  <c r="AE25"/>
  <c r="AD25"/>
  <c r="AM24"/>
  <c r="AL24"/>
  <c r="AK24"/>
  <c r="AJ24"/>
  <c r="AI24"/>
  <c r="AH24"/>
  <c r="AG24"/>
  <c r="AF24"/>
  <c r="AE24"/>
  <c r="AD24"/>
  <c r="AM23"/>
  <c r="AL23"/>
  <c r="AK23"/>
  <c r="AJ23"/>
  <c r="AI23"/>
  <c r="AH23"/>
  <c r="AG23"/>
  <c r="AF23"/>
  <c r="AE23"/>
  <c r="AD23"/>
  <c r="AM19"/>
  <c r="AL19"/>
  <c r="AK19"/>
  <c r="AJ19"/>
  <c r="AI19"/>
  <c r="AH19"/>
  <c r="AG19"/>
  <c r="AF19"/>
  <c r="AE19"/>
  <c r="AD19"/>
  <c r="AM18"/>
  <c r="AL18"/>
  <c r="AK18"/>
  <c r="AJ18"/>
  <c r="AI18"/>
  <c r="AH18"/>
  <c r="AG18"/>
  <c r="AF18"/>
  <c r="AE18"/>
  <c r="AD18"/>
  <c r="AM17"/>
  <c r="AL17"/>
  <c r="AK17"/>
  <c r="AJ17"/>
  <c r="AI17"/>
  <c r="AH17"/>
  <c r="AG17"/>
  <c r="AF17"/>
  <c r="AE17"/>
  <c r="AD17"/>
  <c r="AM16"/>
  <c r="AL16"/>
  <c r="AK16"/>
  <c r="AJ16"/>
  <c r="AI16"/>
  <c r="AH16"/>
  <c r="AG16"/>
  <c r="AF16"/>
  <c r="AE16"/>
  <c r="AD16"/>
  <c r="AM15"/>
  <c r="AL15"/>
  <c r="AK15"/>
  <c r="AJ15"/>
  <c r="AI15"/>
  <c r="AH15"/>
  <c r="AG15"/>
  <c r="AF15"/>
  <c r="AE15"/>
  <c r="AD15"/>
  <c r="AM14"/>
  <c r="AL14"/>
  <c r="AK14"/>
  <c r="AJ14"/>
  <c r="AI14"/>
  <c r="AH14"/>
  <c r="AG14"/>
  <c r="AF14"/>
  <c r="AE14"/>
  <c r="AD14"/>
  <c r="AM13"/>
  <c r="AL13"/>
  <c r="AK13"/>
  <c r="AJ13"/>
  <c r="AI13"/>
  <c r="AH13"/>
  <c r="AG13"/>
  <c r="AF13"/>
  <c r="AE13"/>
  <c r="AD13"/>
  <c r="AM12"/>
  <c r="AL12"/>
  <c r="AK12"/>
  <c r="AJ12"/>
  <c r="AI12"/>
  <c r="AH12"/>
  <c r="AG12"/>
  <c r="AF12"/>
  <c r="AE12"/>
  <c r="AD12"/>
  <c r="AM11"/>
  <c r="AL11"/>
  <c r="AK11"/>
  <c r="AJ11"/>
  <c r="AI11"/>
  <c r="AH11"/>
  <c r="AG11"/>
  <c r="AF11"/>
  <c r="AE11"/>
  <c r="AD11"/>
  <c r="AM10"/>
  <c r="AL10"/>
  <c r="AK10"/>
  <c r="AJ10"/>
  <c r="AI10"/>
  <c r="AH10"/>
  <c r="AG10"/>
  <c r="AF10"/>
  <c r="AE10"/>
  <c r="AD10"/>
  <c r="AM9"/>
  <c r="AL9"/>
  <c r="AK9"/>
  <c r="AJ9"/>
  <c r="AI9"/>
  <c r="AH9"/>
  <c r="AG9"/>
  <c r="AF9"/>
  <c r="AE9"/>
  <c r="AD9"/>
  <c r="AB39"/>
  <c r="AA39"/>
  <c r="Z39"/>
  <c r="Y39"/>
  <c r="X39"/>
  <c r="W39"/>
  <c r="V39"/>
  <c r="U39"/>
  <c r="T39"/>
  <c r="S39"/>
  <c r="AD6"/>
  <c r="AE6"/>
  <c r="AF6"/>
  <c r="AG6"/>
  <c r="AH6"/>
  <c r="AI6"/>
  <c r="AJ6"/>
  <c r="AK6"/>
  <c r="AL6"/>
  <c r="AM6"/>
  <c r="D281" i="238"/>
  <c r="E247"/>
  <c r="D271"/>
  <c r="D270"/>
  <c r="D269"/>
  <c r="D268"/>
  <c r="D272"/>
  <c r="E178"/>
  <c r="E158"/>
  <c r="C158"/>
  <c r="C157"/>
  <c r="E173"/>
  <c r="E235"/>
  <c r="E227"/>
  <c r="E549" i="159"/>
  <c r="E548"/>
  <c r="E547"/>
  <c r="BM70" i="263"/>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c r="BK24"/>
  <c r="BM24" s="1"/>
  <c r="D22"/>
  <c r="D21"/>
  <c r="D20"/>
  <c r="D19"/>
  <c r="DI18"/>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BM70" i="262"/>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s="1"/>
  <c r="BK24"/>
  <c r="BM24"/>
  <c r="D22"/>
  <c r="D21"/>
  <c r="D20"/>
  <c r="D19"/>
  <c r="DI18"/>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BM70" i="261"/>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c r="BK24"/>
  <c r="BM24" s="1"/>
  <c r="D22"/>
  <c r="D21"/>
  <c r="D20"/>
  <c r="D19"/>
  <c r="DI18"/>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BM70" i="260"/>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s="1"/>
  <c r="BK24"/>
  <c r="BM24"/>
  <c r="D22"/>
  <c r="D21"/>
  <c r="D20"/>
  <c r="D19"/>
  <c r="DI18"/>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BM70" i="259"/>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c r="BK24"/>
  <c r="BM24" s="1"/>
  <c r="D22"/>
  <c r="D21"/>
  <c r="D20"/>
  <c r="D19"/>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BM70" i="258"/>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c r="BK24"/>
  <c r="BM24" s="1"/>
  <c r="D22"/>
  <c r="D21"/>
  <c r="D20"/>
  <c r="D19"/>
  <c r="DI18"/>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BM70" i="257"/>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s="1"/>
  <c r="BK24"/>
  <c r="BM24"/>
  <c r="D22"/>
  <c r="D21"/>
  <c r="D20"/>
  <c r="D19"/>
  <c r="DI18"/>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BM70" i="256"/>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c r="BK24"/>
  <c r="BM24" s="1"/>
  <c r="D22"/>
  <c r="D21"/>
  <c r="D20"/>
  <c r="D19"/>
  <c r="DI18"/>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BM70" i="255"/>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s="1"/>
  <c r="BK24"/>
  <c r="BM24"/>
  <c r="D22"/>
  <c r="D21"/>
  <c r="D20"/>
  <c r="D19"/>
  <c r="DI18"/>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D107" i="234"/>
  <c r="D106"/>
  <c r="D108"/>
  <c r="E97"/>
  <c r="BM70" i="248"/>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c r="BK24"/>
  <c r="BM24" s="1"/>
  <c r="D22"/>
  <c r="D21"/>
  <c r="D20"/>
  <c r="D19"/>
  <c r="DI18"/>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H23" i="23"/>
  <c r="I23" s="1"/>
  <c r="D30" i="245"/>
  <c r="D29"/>
  <c r="O26"/>
  <c r="O12"/>
  <c r="B2"/>
  <c r="B1"/>
  <c r="D373" i="154"/>
  <c r="E353"/>
  <c r="E352"/>
  <c r="E26" i="168"/>
  <c r="D26"/>
  <c r="G26" s="1"/>
  <c r="H26"/>
  <c r="I26" s="1"/>
  <c r="J26" s="1"/>
  <c r="K26" s="1"/>
  <c r="L26" s="1"/>
  <c r="M26" s="1"/>
  <c r="D24"/>
  <c r="G24" s="1"/>
  <c r="H24" s="1"/>
  <c r="I24" s="1"/>
  <c r="J24" s="1"/>
  <c r="K24" s="1"/>
  <c r="L24" s="1"/>
  <c r="M24" s="1"/>
  <c r="F22"/>
  <c r="G22" s="1"/>
  <c r="H22" s="1"/>
  <c r="I22" s="1"/>
  <c r="J22" s="1"/>
  <c r="K22" s="1"/>
  <c r="L22" s="1"/>
  <c r="M22" s="1"/>
  <c r="N22" s="1"/>
  <c r="H22" i="23"/>
  <c r="I22"/>
  <c r="D108" i="244"/>
  <c r="E127"/>
  <c r="D127"/>
  <c r="E126"/>
  <c r="D126"/>
  <c r="D107"/>
  <c r="D106"/>
  <c r="D105"/>
  <c r="D104"/>
  <c r="D103"/>
  <c r="O100"/>
  <c r="O76"/>
  <c r="G62"/>
  <c r="H62" s="1"/>
  <c r="I62" s="1"/>
  <c r="J62" s="1"/>
  <c r="K62" s="1"/>
  <c r="L62" s="1"/>
  <c r="M62" s="1"/>
  <c r="N62" s="1"/>
  <c r="O62" s="1"/>
  <c r="G44"/>
  <c r="H44" s="1"/>
  <c r="I44" s="1"/>
  <c r="J44" s="1"/>
  <c r="K44" s="1"/>
  <c r="L44" s="1"/>
  <c r="M44" s="1"/>
  <c r="N44" s="1"/>
  <c r="O44" s="1"/>
  <c r="O42"/>
  <c r="G38"/>
  <c r="G37"/>
  <c r="G36"/>
  <c r="G24"/>
  <c r="H24"/>
  <c r="I24"/>
  <c r="J24" s="1"/>
  <c r="K24" s="1"/>
  <c r="L24" s="1"/>
  <c r="M24" s="1"/>
  <c r="N24" s="1"/>
  <c r="O24" s="1"/>
  <c r="G15"/>
  <c r="H15"/>
  <c r="I15" s="1"/>
  <c r="J15" s="1"/>
  <c r="K15" s="1"/>
  <c r="L15" s="1"/>
  <c r="M15" s="1"/>
  <c r="N15" s="1"/>
  <c r="O15" s="1"/>
  <c r="B2"/>
  <c r="B1"/>
  <c r="D25" i="241"/>
  <c r="D22"/>
  <c r="D17"/>
  <c r="D14"/>
  <c r="D11"/>
  <c r="D8"/>
  <c r="V3"/>
  <c r="D3"/>
  <c r="O282" i="238"/>
  <c r="N282"/>
  <c r="M282"/>
  <c r="L282"/>
  <c r="K282"/>
  <c r="J282"/>
  <c r="I282"/>
  <c r="H282"/>
  <c r="G282"/>
  <c r="F282"/>
  <c r="E282"/>
  <c r="D282"/>
  <c r="D100" i="236"/>
  <c r="D101"/>
  <c r="D90"/>
  <c r="D91"/>
  <c r="E110" i="190"/>
  <c r="E109"/>
  <c r="O229" i="200"/>
  <c r="N229"/>
  <c r="M229"/>
  <c r="L229"/>
  <c r="K229"/>
  <c r="J229"/>
  <c r="I229"/>
  <c r="H229"/>
  <c r="G229"/>
  <c r="D229"/>
  <c r="D230"/>
  <c r="D231"/>
  <c r="H43" i="12"/>
  <c r="B2" i="188"/>
  <c r="B2" i="187"/>
  <c r="G33" i="189"/>
  <c r="H33"/>
  <c r="I33" s="1"/>
  <c r="J33" s="1"/>
  <c r="K33" s="1"/>
  <c r="L33" s="1"/>
  <c r="M33" s="1"/>
  <c r="N33" s="1"/>
  <c r="O33" s="1"/>
  <c r="G24"/>
  <c r="H24" s="1"/>
  <c r="I24" s="1"/>
  <c r="J24" s="1"/>
  <c r="K24" s="1"/>
  <c r="L24" s="1"/>
  <c r="M24" s="1"/>
  <c r="N24" s="1"/>
  <c r="O24" s="1"/>
  <c r="B2" i="197"/>
  <c r="B1"/>
  <c r="E281" i="238"/>
  <c r="O265"/>
  <c r="G252"/>
  <c r="H252" s="1"/>
  <c r="I252" s="1"/>
  <c r="J252" s="1"/>
  <c r="K252" s="1"/>
  <c r="L252" s="1"/>
  <c r="M252" s="1"/>
  <c r="N252" s="1"/>
  <c r="O252" s="1"/>
  <c r="E246"/>
  <c r="E244"/>
  <c r="E242"/>
  <c r="E233"/>
  <c r="O232"/>
  <c r="N232"/>
  <c r="M232"/>
  <c r="L232"/>
  <c r="K232"/>
  <c r="J232"/>
  <c r="I232"/>
  <c r="H232"/>
  <c r="G232"/>
  <c r="F232"/>
  <c r="E230"/>
  <c r="E226"/>
  <c r="E224"/>
  <c r="E220"/>
  <c r="E218"/>
  <c r="O206"/>
  <c r="G150"/>
  <c r="O96"/>
  <c r="O131"/>
  <c r="N96"/>
  <c r="N131" s="1"/>
  <c r="M96"/>
  <c r="M131" s="1"/>
  <c r="L96"/>
  <c r="L131" s="1"/>
  <c r="K96"/>
  <c r="K131" s="1"/>
  <c r="J96"/>
  <c r="J131" s="1"/>
  <c r="I96"/>
  <c r="I131" s="1"/>
  <c r="H96"/>
  <c r="H131" s="1"/>
  <c r="G96"/>
  <c r="G131"/>
  <c r="F96"/>
  <c r="F131" s="1"/>
  <c r="N86"/>
  <c r="N121" s="1"/>
  <c r="M86"/>
  <c r="M121" s="1"/>
  <c r="M126" s="1"/>
  <c r="L86"/>
  <c r="L106" s="1"/>
  <c r="K86"/>
  <c r="J86"/>
  <c r="I86"/>
  <c r="H86"/>
  <c r="G86"/>
  <c r="F86"/>
  <c r="F106"/>
  <c r="O49"/>
  <c r="E113" i="237"/>
  <c r="E112"/>
  <c r="O99"/>
  <c r="E91"/>
  <c r="E90"/>
  <c r="E88"/>
  <c r="G87"/>
  <c r="H87" s="1"/>
  <c r="I87" s="1"/>
  <c r="J87" s="1"/>
  <c r="K87" s="1"/>
  <c r="L87" s="1"/>
  <c r="M87" s="1"/>
  <c r="N87" s="1"/>
  <c r="O87" s="1"/>
  <c r="G83"/>
  <c r="H83"/>
  <c r="I83" s="1"/>
  <c r="J83" s="1"/>
  <c r="K83" s="1"/>
  <c r="L83" s="1"/>
  <c r="M83" s="1"/>
  <c r="N83" s="1"/>
  <c r="O83" s="1"/>
  <c r="O76"/>
  <c r="G69"/>
  <c r="H69" s="1"/>
  <c r="I69" s="1"/>
  <c r="J69"/>
  <c r="K69" s="1"/>
  <c r="L69" s="1"/>
  <c r="M69" s="1"/>
  <c r="N69" s="1"/>
  <c r="O69" s="1"/>
  <c r="G61"/>
  <c r="F45"/>
  <c r="F44"/>
  <c r="F43"/>
  <c r="G41"/>
  <c r="H41" s="1"/>
  <c r="I41" s="1"/>
  <c r="J41" s="1"/>
  <c r="K41" s="1"/>
  <c r="L41" s="1"/>
  <c r="M41" s="1"/>
  <c r="N41" s="1"/>
  <c r="O41" s="1"/>
  <c r="O87" i="236"/>
  <c r="E81"/>
  <c r="E80"/>
  <c r="E78"/>
  <c r="G73"/>
  <c r="H73"/>
  <c r="I73" s="1"/>
  <c r="J73" s="1"/>
  <c r="K73" s="1"/>
  <c r="L73" s="1"/>
  <c r="M73" s="1"/>
  <c r="N73" s="1"/>
  <c r="O73" s="1"/>
  <c r="O67"/>
  <c r="G60"/>
  <c r="H46"/>
  <c r="G46"/>
  <c r="F46"/>
  <c r="H45"/>
  <c r="G45"/>
  <c r="F45"/>
  <c r="H44"/>
  <c r="G44"/>
  <c r="F44"/>
  <c r="G42"/>
  <c r="H42"/>
  <c r="I42" s="1"/>
  <c r="J42" s="1"/>
  <c r="K42" s="1"/>
  <c r="L42" s="1"/>
  <c r="M42" s="1"/>
  <c r="N42" s="1"/>
  <c r="O42" s="1"/>
  <c r="O30"/>
  <c r="O128" i="235"/>
  <c r="E121"/>
  <c r="E119"/>
  <c r="E117"/>
  <c r="E115"/>
  <c r="G114"/>
  <c r="H114" s="1"/>
  <c r="I114" s="1"/>
  <c r="J114" s="1"/>
  <c r="K114" s="1"/>
  <c r="L114" s="1"/>
  <c r="M114" s="1"/>
  <c r="N114" s="1"/>
  <c r="O114" s="1"/>
  <c r="G110"/>
  <c r="H110"/>
  <c r="I110" s="1"/>
  <c r="J110" s="1"/>
  <c r="K110" s="1"/>
  <c r="L110" s="1"/>
  <c r="M110" s="1"/>
  <c r="N110" s="1"/>
  <c r="O110" s="1"/>
  <c r="G106"/>
  <c r="H106" s="1"/>
  <c r="I106" s="1"/>
  <c r="J106" s="1"/>
  <c r="K106" s="1"/>
  <c r="L106" s="1"/>
  <c r="M106" s="1"/>
  <c r="N106" s="1"/>
  <c r="O106" s="1"/>
  <c r="O104"/>
  <c r="G97"/>
  <c r="H97" s="1"/>
  <c r="I97" s="1"/>
  <c r="J97" s="1"/>
  <c r="K97" s="1"/>
  <c r="L97" s="1"/>
  <c r="M97" s="1"/>
  <c r="N97" s="1"/>
  <c r="O97" s="1"/>
  <c r="G87"/>
  <c r="H87"/>
  <c r="I87" s="1"/>
  <c r="J87" s="1"/>
  <c r="K87" s="1"/>
  <c r="L87" s="1"/>
  <c r="M87" s="1"/>
  <c r="N87" s="1"/>
  <c r="O87" s="1"/>
  <c r="E90" s="1"/>
  <c r="O85"/>
  <c r="G80"/>
  <c r="H80" s="1"/>
  <c r="I80" s="1"/>
  <c r="J80"/>
  <c r="K80" s="1"/>
  <c r="L80" s="1"/>
  <c r="M80" s="1"/>
  <c r="N80" s="1"/>
  <c r="O80" s="1"/>
  <c r="O78"/>
  <c r="G68"/>
  <c r="G67"/>
  <c r="G66"/>
  <c r="G60"/>
  <c r="H60" s="1"/>
  <c r="I60" s="1"/>
  <c r="J60" s="1"/>
  <c r="K60" s="1"/>
  <c r="L60" s="1"/>
  <c r="M60" s="1"/>
  <c r="N60" s="1"/>
  <c r="O60" s="1"/>
  <c r="F51"/>
  <c r="F50"/>
  <c r="F49"/>
  <c r="G47"/>
  <c r="H47" s="1"/>
  <c r="I47" s="1"/>
  <c r="J47" s="1"/>
  <c r="K47" s="1"/>
  <c r="L47" s="1"/>
  <c r="M47" s="1"/>
  <c r="N47" s="1"/>
  <c r="O47" s="1"/>
  <c r="G38"/>
  <c r="H38"/>
  <c r="I38" s="1"/>
  <c r="J38" s="1"/>
  <c r="K38" s="1"/>
  <c r="L38" s="1"/>
  <c r="M38" s="1"/>
  <c r="N38" s="1"/>
  <c r="O38" s="1"/>
  <c r="O36"/>
  <c r="G26"/>
  <c r="H26" s="1"/>
  <c r="I26" s="1"/>
  <c r="J26"/>
  <c r="K26" s="1"/>
  <c r="L26" s="1"/>
  <c r="M26" s="1"/>
  <c r="N26" s="1"/>
  <c r="O26" s="1"/>
  <c r="O24"/>
  <c r="O13"/>
  <c r="E118" i="234"/>
  <c r="E117"/>
  <c r="O103"/>
  <c r="E96"/>
  <c r="E95"/>
  <c r="E93"/>
  <c r="G86"/>
  <c r="H86" s="1"/>
  <c r="I86" s="1"/>
  <c r="J86" s="1"/>
  <c r="K86" s="1"/>
  <c r="L86" s="1"/>
  <c r="M86" s="1"/>
  <c r="N86" s="1"/>
  <c r="O86" s="1"/>
  <c r="G82"/>
  <c r="H82"/>
  <c r="I82" s="1"/>
  <c r="J82" s="1"/>
  <c r="K82" s="1"/>
  <c r="L82" s="1"/>
  <c r="M82" s="1"/>
  <c r="N82" s="1"/>
  <c r="O82" s="1"/>
  <c r="O80"/>
  <c r="G73"/>
  <c r="H73" s="1"/>
  <c r="I73" s="1"/>
  <c r="J73"/>
  <c r="K73" s="1"/>
  <c r="L73" s="1"/>
  <c r="M73" s="1"/>
  <c r="N73" s="1"/>
  <c r="O73" s="1"/>
  <c r="O72"/>
  <c r="F65"/>
  <c r="G62"/>
  <c r="H62" s="1"/>
  <c r="I62" s="1"/>
  <c r="J62" s="1"/>
  <c r="K62" s="1"/>
  <c r="L62" s="1"/>
  <c r="M62" s="1"/>
  <c r="N62" s="1"/>
  <c r="O62" s="1"/>
  <c r="G57"/>
  <c r="H57" s="1"/>
  <c r="I57" s="1"/>
  <c r="J57"/>
  <c r="K57" s="1"/>
  <c r="L57" s="1"/>
  <c r="M57" s="1"/>
  <c r="N57" s="1"/>
  <c r="O57" s="1"/>
  <c r="F49"/>
  <c r="F48"/>
  <c r="F47"/>
  <c r="G45"/>
  <c r="H45" s="1"/>
  <c r="I45" s="1"/>
  <c r="J45"/>
  <c r="K45" s="1"/>
  <c r="L45" s="1"/>
  <c r="M45" s="1"/>
  <c r="N45" s="1"/>
  <c r="O45" s="1"/>
  <c r="G36"/>
  <c r="H36" s="1"/>
  <c r="I36" s="1"/>
  <c r="J36" s="1"/>
  <c r="K36" s="1"/>
  <c r="L36" s="1"/>
  <c r="M36" s="1"/>
  <c r="N36" s="1"/>
  <c r="O36" s="1"/>
  <c r="G27"/>
  <c r="H27"/>
  <c r="I27" s="1"/>
  <c r="J27" s="1"/>
  <c r="K27" s="1"/>
  <c r="L27" s="1"/>
  <c r="M27" s="1"/>
  <c r="N27" s="1"/>
  <c r="O27" s="1"/>
  <c r="G15"/>
  <c r="H15" s="1"/>
  <c r="I15" s="1"/>
  <c r="J15" s="1"/>
  <c r="K15" s="1"/>
  <c r="L15" s="1"/>
  <c r="M15" s="1"/>
  <c r="N15" s="1"/>
  <c r="O15" s="1"/>
  <c r="E120" i="233"/>
  <c r="E119"/>
  <c r="O106"/>
  <c r="E98"/>
  <c r="E92"/>
  <c r="E91"/>
  <c r="P90"/>
  <c r="E89"/>
  <c r="G82"/>
  <c r="H82" s="1"/>
  <c r="I82" s="1"/>
  <c r="J82"/>
  <c r="K82" s="1"/>
  <c r="L82" s="1"/>
  <c r="M82" s="1"/>
  <c r="N82" s="1"/>
  <c r="O82" s="1"/>
  <c r="G78"/>
  <c r="H78" s="1"/>
  <c r="I78" s="1"/>
  <c r="J78" s="1"/>
  <c r="K78" s="1"/>
  <c r="L78" s="1"/>
  <c r="M78" s="1"/>
  <c r="N78" s="1"/>
  <c r="O78" s="1"/>
  <c r="O76"/>
  <c r="G69"/>
  <c r="H69" s="1"/>
  <c r="I69" s="1"/>
  <c r="J69" s="1"/>
  <c r="K69" s="1"/>
  <c r="L69" s="1"/>
  <c r="M69" s="1"/>
  <c r="N69" s="1"/>
  <c r="O69" s="1"/>
  <c r="O68"/>
  <c r="F61"/>
  <c r="G61" s="1"/>
  <c r="G46"/>
  <c r="F46"/>
  <c r="G45"/>
  <c r="F45"/>
  <c r="G44"/>
  <c r="F44"/>
  <c r="G42"/>
  <c r="H42" s="1"/>
  <c r="I42"/>
  <c r="J42" s="1"/>
  <c r="K42" s="1"/>
  <c r="L42" s="1"/>
  <c r="M42" s="1"/>
  <c r="N42" s="1"/>
  <c r="O42" s="1"/>
  <c r="G33"/>
  <c r="H33"/>
  <c r="I33" s="1"/>
  <c r="J33" s="1"/>
  <c r="K33" s="1"/>
  <c r="L33" s="1"/>
  <c r="M33" s="1"/>
  <c r="N33" s="1"/>
  <c r="O33" s="1"/>
  <c r="O31"/>
  <c r="G24"/>
  <c r="H24" s="1"/>
  <c r="I24" s="1"/>
  <c r="J24" s="1"/>
  <c r="K24" s="1"/>
  <c r="L24" s="1"/>
  <c r="M24" s="1"/>
  <c r="N24" s="1"/>
  <c r="O24" s="1"/>
  <c r="O22"/>
  <c r="O13"/>
  <c r="AP5" i="231"/>
  <c r="AQ5" s="1"/>
  <c r="AR5" s="1"/>
  <c r="AS5" s="1"/>
  <c r="AT5" s="1"/>
  <c r="AU5" s="1"/>
  <c r="AV5" s="1"/>
  <c r="AW5" s="1"/>
  <c r="AX5" s="1"/>
  <c r="AE5"/>
  <c r="AF5" s="1"/>
  <c r="AG5" s="1"/>
  <c r="AH5" s="1"/>
  <c r="AI5" s="1"/>
  <c r="AJ5" s="1"/>
  <c r="AK5" s="1"/>
  <c r="AL5" s="1"/>
  <c r="AM5" s="1"/>
  <c r="T5"/>
  <c r="U5" s="1"/>
  <c r="V5"/>
  <c r="W5" s="1"/>
  <c r="X5" s="1"/>
  <c r="Y5" s="1"/>
  <c r="Z5" s="1"/>
  <c r="AA5" s="1"/>
  <c r="AB5" s="1"/>
  <c r="F5"/>
  <c r="G5"/>
  <c r="H5" s="1"/>
  <c r="AB48"/>
  <c r="AA48"/>
  <c r="Z48"/>
  <c r="Y48"/>
  <c r="X48"/>
  <c r="W48"/>
  <c r="V48"/>
  <c r="U48"/>
  <c r="T48"/>
  <c r="S48"/>
  <c r="AB46"/>
  <c r="AA46"/>
  <c r="Z46"/>
  <c r="Y46"/>
  <c r="X46"/>
  <c r="W46"/>
  <c r="V46"/>
  <c r="U46"/>
  <c r="T46"/>
  <c r="S46"/>
  <c r="AB44"/>
  <c r="AA44"/>
  <c r="Z44"/>
  <c r="Y44"/>
  <c r="X44"/>
  <c r="W44"/>
  <c r="V44"/>
  <c r="U44"/>
  <c r="T44"/>
  <c r="S44"/>
  <c r="AB43"/>
  <c r="AA43"/>
  <c r="Z43"/>
  <c r="Y43"/>
  <c r="X43"/>
  <c r="W43"/>
  <c r="V43"/>
  <c r="U43"/>
  <c r="T43"/>
  <c r="S43"/>
  <c r="N4"/>
  <c r="E298" i="133"/>
  <c r="D298"/>
  <c r="AA47" i="231"/>
  <c r="Y50"/>
  <c r="V47"/>
  <c r="W47"/>
  <c r="S47"/>
  <c r="Y47"/>
  <c r="T50"/>
  <c r="U47"/>
  <c r="Z47"/>
  <c r="U50"/>
  <c r="AQ50" s="1"/>
  <c r="Z50"/>
  <c r="T47"/>
  <c r="X47"/>
  <c r="AB47"/>
  <c r="V50"/>
  <c r="AB50"/>
  <c r="AX50" s="1"/>
  <c r="S50"/>
  <c r="W50"/>
  <c r="AA50"/>
  <c r="AW50"/>
  <c r="D29" i="228"/>
  <c r="D28"/>
  <c r="D26"/>
  <c r="I26"/>
  <c r="J26"/>
  <c r="K26" s="1"/>
  <c r="L26" s="1"/>
  <c r="M26" s="1"/>
  <c r="N26" s="1"/>
  <c r="O26" s="1"/>
  <c r="P26" s="1"/>
  <c r="Q26" s="1"/>
  <c r="D21"/>
  <c r="D20"/>
  <c r="D19"/>
  <c r="D18"/>
  <c r="D16"/>
  <c r="D15"/>
  <c r="D14"/>
  <c r="D13"/>
  <c r="D11"/>
  <c r="D10"/>
  <c r="D9"/>
  <c r="D8"/>
  <c r="D7"/>
  <c r="D6"/>
  <c r="D4"/>
  <c r="I4"/>
  <c r="J4"/>
  <c r="K4" s="1"/>
  <c r="L4" s="1"/>
  <c r="M4" s="1"/>
  <c r="R26"/>
  <c r="R4"/>
  <c r="D174" i="204"/>
  <c r="G132"/>
  <c r="H132"/>
  <c r="I132" s="1"/>
  <c r="J132" s="1"/>
  <c r="K132" s="1"/>
  <c r="L132" s="1"/>
  <c r="M132" s="1"/>
  <c r="N132" s="1"/>
  <c r="O132" s="1"/>
  <c r="D372" i="154"/>
  <c r="D371"/>
  <c r="D130" i="168"/>
  <c r="E129"/>
  <c r="E130"/>
  <c r="D129"/>
  <c r="D109"/>
  <c r="B533" i="159"/>
  <c r="D115" i="197"/>
  <c r="D116"/>
  <c r="E30" i="201"/>
  <c r="E29"/>
  <c r="E28"/>
  <c r="D30"/>
  <c r="D29"/>
  <c r="D28"/>
  <c r="E203" i="204"/>
  <c r="D203"/>
  <c r="E156"/>
  <c r="E65"/>
  <c r="G432" i="159"/>
  <c r="G155" i="204"/>
  <c r="H155" s="1"/>
  <c r="I155" s="1"/>
  <c r="J155" s="1"/>
  <c r="K155" s="1"/>
  <c r="L155" s="1"/>
  <c r="M155" s="1"/>
  <c r="N155" s="1"/>
  <c r="O155" s="1"/>
  <c r="G148"/>
  <c r="H148"/>
  <c r="I148"/>
  <c r="J148" s="1"/>
  <c r="K148" s="1"/>
  <c r="L148" s="1"/>
  <c r="M148" s="1"/>
  <c r="N148" s="1"/>
  <c r="O148" s="1"/>
  <c r="E139"/>
  <c r="E137"/>
  <c r="E136"/>
  <c r="E135"/>
  <c r="F111"/>
  <c r="F110"/>
  <c r="G207" i="133"/>
  <c r="H207" s="1"/>
  <c r="I207" s="1"/>
  <c r="J207" s="1"/>
  <c r="K207" s="1"/>
  <c r="L207" s="1"/>
  <c r="M207" s="1"/>
  <c r="N207" s="1"/>
  <c r="O207" s="1"/>
  <c r="G202"/>
  <c r="H202"/>
  <c r="I202"/>
  <c r="J202" s="1"/>
  <c r="K202" s="1"/>
  <c r="L202" s="1"/>
  <c r="M202" s="1"/>
  <c r="N202" s="1"/>
  <c r="O202" s="1"/>
  <c r="G61" i="204"/>
  <c r="H61"/>
  <c r="I61" s="1"/>
  <c r="J61" s="1"/>
  <c r="K61" s="1"/>
  <c r="L61" s="1"/>
  <c r="M61" s="1"/>
  <c r="N61" s="1"/>
  <c r="O61" s="1"/>
  <c r="G56"/>
  <c r="H56" s="1"/>
  <c r="I56" s="1"/>
  <c r="J56" s="1"/>
  <c r="K56" s="1"/>
  <c r="L56" s="1"/>
  <c r="M56" s="1"/>
  <c r="N56" s="1"/>
  <c r="O56" s="1"/>
  <c r="G51"/>
  <c r="H51" s="1"/>
  <c r="I51" s="1"/>
  <c r="J51" s="1"/>
  <c r="K51" s="1"/>
  <c r="L51" s="1"/>
  <c r="M51" s="1"/>
  <c r="N51" s="1"/>
  <c r="O51" s="1"/>
  <c r="D134"/>
  <c r="D169"/>
  <c r="D170"/>
  <c r="D171"/>
  <c r="D172"/>
  <c r="D173"/>
  <c r="E134"/>
  <c r="B2"/>
  <c r="H11" i="23"/>
  <c r="I11"/>
  <c r="E202" i="204"/>
  <c r="O166"/>
  <c r="E153"/>
  <c r="E152"/>
  <c r="E151"/>
  <c r="E133"/>
  <c r="O12"/>
  <c r="G18" i="203"/>
  <c r="H18"/>
  <c r="I18" s="1"/>
  <c r="J18" s="1"/>
  <c r="K18" s="1"/>
  <c r="L18" s="1"/>
  <c r="M18" s="1"/>
  <c r="N18" s="1"/>
  <c r="O18" s="1"/>
  <c r="B1"/>
  <c r="B2"/>
  <c r="O82"/>
  <c r="E73"/>
  <c r="E60"/>
  <c r="E55"/>
  <c r="E54"/>
  <c r="O6"/>
  <c r="D11" i="201"/>
  <c r="D10"/>
  <c r="D9"/>
  <c r="B1"/>
  <c r="B2"/>
  <c r="O50"/>
  <c r="N50"/>
  <c r="M50"/>
  <c r="L50"/>
  <c r="K50"/>
  <c r="J50"/>
  <c r="I50"/>
  <c r="H50"/>
  <c r="G50"/>
  <c r="F50"/>
  <c r="O41"/>
  <c r="N41"/>
  <c r="M41"/>
  <c r="L41"/>
  <c r="K41"/>
  <c r="J41"/>
  <c r="I41"/>
  <c r="H41"/>
  <c r="G41"/>
  <c r="F41"/>
  <c r="O37"/>
  <c r="O6"/>
  <c r="D205" i="200"/>
  <c r="D204"/>
  <c r="B2"/>
  <c r="F101" i="203"/>
  <c r="M101"/>
  <c r="I101"/>
  <c r="L101"/>
  <c r="N101"/>
  <c r="J101"/>
  <c r="O101"/>
  <c r="E218" i="200"/>
  <c r="D203"/>
  <c r="D202"/>
  <c r="D201"/>
  <c r="E217"/>
  <c r="E216"/>
  <c r="E215"/>
  <c r="C190"/>
  <c r="E190"/>
  <c r="E187"/>
  <c r="E186"/>
  <c r="E184"/>
  <c r="E182"/>
  <c r="E180"/>
  <c r="E179"/>
  <c r="E172"/>
  <c r="C172"/>
  <c r="E169"/>
  <c r="E168"/>
  <c r="E166"/>
  <c r="E164"/>
  <c r="E162"/>
  <c r="E161"/>
  <c r="E154"/>
  <c r="C154"/>
  <c r="E151"/>
  <c r="E150"/>
  <c r="E148"/>
  <c r="E146"/>
  <c r="E144"/>
  <c r="E143"/>
  <c r="O198"/>
  <c r="P56" i="199"/>
  <c r="D15"/>
  <c r="G30"/>
  <c r="H30"/>
  <c r="I30" s="1"/>
  <c r="J30" s="1"/>
  <c r="K30" s="1"/>
  <c r="L30" s="1"/>
  <c r="M30" s="1"/>
  <c r="N30" s="1"/>
  <c r="O30" s="1"/>
  <c r="G22"/>
  <c r="H22" s="1"/>
  <c r="I22" s="1"/>
  <c r="J22" s="1"/>
  <c r="K22" s="1"/>
  <c r="L22" s="1"/>
  <c r="M22" s="1"/>
  <c r="N22" s="1"/>
  <c r="O22" s="1"/>
  <c r="B2"/>
  <c r="B1"/>
  <c r="O62"/>
  <c r="E53"/>
  <c r="O12"/>
  <c r="E144" i="157"/>
  <c r="E143"/>
  <c r="E142"/>
  <c r="E114"/>
  <c r="C114"/>
  <c r="E113"/>
  <c r="C113"/>
  <c r="G111"/>
  <c r="H111" s="1"/>
  <c r="I111" s="1"/>
  <c r="J111" s="1"/>
  <c r="K111" s="1"/>
  <c r="L111" s="1"/>
  <c r="M111" s="1"/>
  <c r="N111" s="1"/>
  <c r="O111" s="1"/>
  <c r="D389" i="154"/>
  <c r="D370"/>
  <c r="D369"/>
  <c r="D144" i="153"/>
  <c r="G43" i="198"/>
  <c r="H43"/>
  <c r="I43"/>
  <c r="J43" s="1"/>
  <c r="K43" s="1"/>
  <c r="L43" s="1"/>
  <c r="M43" s="1"/>
  <c r="N43" s="1"/>
  <c r="O43" s="1"/>
  <c r="D56"/>
  <c r="D55"/>
  <c r="O52"/>
  <c r="E46"/>
  <c r="O41"/>
  <c r="G28"/>
  <c r="H28" s="1"/>
  <c r="I28" s="1"/>
  <c r="J28" s="1"/>
  <c r="K28" s="1"/>
  <c r="L28" s="1"/>
  <c r="M28" s="1"/>
  <c r="N28" s="1"/>
  <c r="O28" s="1"/>
  <c r="O26"/>
  <c r="D106" i="197"/>
  <c r="D105"/>
  <c r="E70"/>
  <c r="E69"/>
  <c r="O67"/>
  <c r="E89"/>
  <c r="C89"/>
  <c r="E116"/>
  <c r="E115"/>
  <c r="O101"/>
  <c r="E97"/>
  <c r="E87"/>
  <c r="E84"/>
  <c r="G82"/>
  <c r="H82"/>
  <c r="I82" s="1"/>
  <c r="J82" s="1"/>
  <c r="K82" s="1"/>
  <c r="L82" s="1"/>
  <c r="M82" s="1"/>
  <c r="N82" s="1"/>
  <c r="O82" s="1"/>
  <c r="G78"/>
  <c r="H78" s="1"/>
  <c r="I78" s="1"/>
  <c r="J78" s="1"/>
  <c r="K78" s="1"/>
  <c r="L78" s="1"/>
  <c r="M78" s="1"/>
  <c r="N78" s="1"/>
  <c r="O78" s="1"/>
  <c r="O76"/>
  <c r="G68"/>
  <c r="H68"/>
  <c r="I68"/>
  <c r="J68" s="1"/>
  <c r="K68" s="1"/>
  <c r="L68" s="1"/>
  <c r="M68" s="1"/>
  <c r="N68" s="1"/>
  <c r="O68" s="1"/>
  <c r="G57"/>
  <c r="H57"/>
  <c r="I57" s="1"/>
  <c r="J57" s="1"/>
  <c r="K57" s="1"/>
  <c r="L57" s="1"/>
  <c r="M57" s="1"/>
  <c r="N57" s="1"/>
  <c r="O57" s="1"/>
  <c r="G48"/>
  <c r="H48" s="1"/>
  <c r="I48" s="1"/>
  <c r="J48" s="1"/>
  <c r="K48" s="1"/>
  <c r="L48" s="1"/>
  <c r="M48" s="1"/>
  <c r="N48" s="1"/>
  <c r="O48" s="1"/>
  <c r="G33"/>
  <c r="H33" s="1"/>
  <c r="I33" s="1"/>
  <c r="J33" s="1"/>
  <c r="K33" s="1"/>
  <c r="L33" s="1"/>
  <c r="M33" s="1"/>
  <c r="N33" s="1"/>
  <c r="O33" s="1"/>
  <c r="O31"/>
  <c r="G24"/>
  <c r="H24"/>
  <c r="I24" s="1"/>
  <c r="J24" s="1"/>
  <c r="K24" s="1"/>
  <c r="L24" s="1"/>
  <c r="M24" s="1"/>
  <c r="N24" s="1"/>
  <c r="O24" s="1"/>
  <c r="O22"/>
  <c r="G15"/>
  <c r="H15" s="1"/>
  <c r="I15" s="1"/>
  <c r="J15" s="1"/>
  <c r="K15" s="1"/>
  <c r="L15" s="1"/>
  <c r="M15" s="1"/>
  <c r="N15" s="1"/>
  <c r="O15" s="1"/>
  <c r="O13"/>
  <c r="D90" i="196"/>
  <c r="D89"/>
  <c r="O104"/>
  <c r="N104"/>
  <c r="M104"/>
  <c r="L104"/>
  <c r="K104"/>
  <c r="J104"/>
  <c r="I104"/>
  <c r="H104"/>
  <c r="G104"/>
  <c r="F104"/>
  <c r="O86"/>
  <c r="E69"/>
  <c r="G38"/>
  <c r="H38" s="1"/>
  <c r="I38" s="1"/>
  <c r="J38" s="1"/>
  <c r="K38" s="1"/>
  <c r="L38" s="1"/>
  <c r="M38" s="1"/>
  <c r="N38" s="1"/>
  <c r="O38" s="1"/>
  <c r="O37"/>
  <c r="G30"/>
  <c r="H30"/>
  <c r="I30" s="1"/>
  <c r="J30" s="1"/>
  <c r="K30" s="1"/>
  <c r="L30" s="1"/>
  <c r="M30" s="1"/>
  <c r="N30" s="1"/>
  <c r="O30" s="1"/>
  <c r="O29"/>
  <c r="G22"/>
  <c r="H22" s="1"/>
  <c r="I22" s="1"/>
  <c r="J22" s="1"/>
  <c r="K22" s="1"/>
  <c r="L22" s="1"/>
  <c r="M22" s="1"/>
  <c r="N22" s="1"/>
  <c r="O22" s="1"/>
  <c r="O21"/>
  <c r="G14"/>
  <c r="H14"/>
  <c r="I14" s="1"/>
  <c r="J14" s="1"/>
  <c r="K14" s="1"/>
  <c r="L14" s="1"/>
  <c r="M14" s="1"/>
  <c r="N14" s="1"/>
  <c r="O14" s="1"/>
  <c r="O13"/>
  <c r="O207" i="194"/>
  <c r="D189"/>
  <c r="D188"/>
  <c r="D187"/>
  <c r="D186"/>
  <c r="D185"/>
  <c r="D184"/>
  <c r="B2"/>
  <c r="B1"/>
  <c r="O181"/>
  <c r="G172"/>
  <c r="H172"/>
  <c r="I172" s="1"/>
  <c r="J172" s="1"/>
  <c r="K172" s="1"/>
  <c r="L172" s="1"/>
  <c r="M172" s="1"/>
  <c r="N172" s="1"/>
  <c r="O172" s="1"/>
  <c r="G164"/>
  <c r="H164" s="1"/>
  <c r="I164" s="1"/>
  <c r="J164" s="1"/>
  <c r="K164" s="1"/>
  <c r="L164" s="1"/>
  <c r="M164" s="1"/>
  <c r="N164" s="1"/>
  <c r="O164" s="1"/>
  <c r="G144"/>
  <c r="H144" s="1"/>
  <c r="I144" s="1"/>
  <c r="J144" s="1"/>
  <c r="K144" s="1"/>
  <c r="L144" s="1"/>
  <c r="M144" s="1"/>
  <c r="N144" s="1"/>
  <c r="O144" s="1"/>
  <c r="O125"/>
  <c r="O107"/>
  <c r="O91"/>
  <c r="O83"/>
  <c r="O67"/>
  <c r="O59"/>
  <c r="O51"/>
  <c r="O43"/>
  <c r="O35"/>
  <c r="O27"/>
  <c r="E198" i="191"/>
  <c r="E197"/>
  <c r="E196"/>
  <c r="D186"/>
  <c r="D185"/>
  <c r="D184"/>
  <c r="D183"/>
  <c r="E162"/>
  <c r="C162"/>
  <c r="E161"/>
  <c r="C161"/>
  <c r="E160"/>
  <c r="C160"/>
  <c r="O180"/>
  <c r="E156"/>
  <c r="E154"/>
  <c r="E148"/>
  <c r="E146"/>
  <c r="E141"/>
  <c r="E140"/>
  <c r="G134"/>
  <c r="H134" s="1"/>
  <c r="I134" s="1"/>
  <c r="J134" s="1"/>
  <c r="K134" s="1"/>
  <c r="L134" s="1"/>
  <c r="M134" s="1"/>
  <c r="N134" s="1"/>
  <c r="O134" s="1"/>
  <c r="E131"/>
  <c r="E129"/>
  <c r="E123"/>
  <c r="E121"/>
  <c r="E116"/>
  <c r="E115"/>
  <c r="G108"/>
  <c r="H108"/>
  <c r="I108" s="1"/>
  <c r="J108" s="1"/>
  <c r="K108" s="1"/>
  <c r="L108" s="1"/>
  <c r="M108" s="1"/>
  <c r="N108" s="1"/>
  <c r="O108" s="1"/>
  <c r="O26"/>
  <c r="G24"/>
  <c r="H24" s="1"/>
  <c r="I24" s="1"/>
  <c r="J24" s="1"/>
  <c r="K24" s="1"/>
  <c r="L24" s="1"/>
  <c r="M24" s="1"/>
  <c r="N24" s="1"/>
  <c r="O24" s="1"/>
  <c r="G15"/>
  <c r="H15"/>
  <c r="I15"/>
  <c r="J15" s="1"/>
  <c r="K15" s="1"/>
  <c r="L15" s="1"/>
  <c r="M15" s="1"/>
  <c r="N15" s="1"/>
  <c r="O15" s="1"/>
  <c r="G99"/>
  <c r="H99"/>
  <c r="I99" s="1"/>
  <c r="J99" s="1"/>
  <c r="K99" s="1"/>
  <c r="L99" s="1"/>
  <c r="M99" s="1"/>
  <c r="N99" s="1"/>
  <c r="O99" s="1"/>
  <c r="G93"/>
  <c r="H93" s="1"/>
  <c r="I93" s="1"/>
  <c r="J93" s="1"/>
  <c r="K93" s="1"/>
  <c r="L93" s="1"/>
  <c r="M93" s="1"/>
  <c r="N93" s="1"/>
  <c r="O93" s="1"/>
  <c r="G87"/>
  <c r="H87" s="1"/>
  <c r="I87" s="1"/>
  <c r="J87" s="1"/>
  <c r="K87" s="1"/>
  <c r="L87" s="1"/>
  <c r="M87" s="1"/>
  <c r="N87" s="1"/>
  <c r="O87" s="1"/>
  <c r="O85"/>
  <c r="G80"/>
  <c r="H80"/>
  <c r="I80" s="1"/>
  <c r="J80" s="1"/>
  <c r="K80" s="1"/>
  <c r="L80" s="1"/>
  <c r="M80" s="1"/>
  <c r="N80" s="1"/>
  <c r="O80" s="1"/>
  <c r="G73"/>
  <c r="H73" s="1"/>
  <c r="I73" s="1"/>
  <c r="J73" s="1"/>
  <c r="K73" s="1"/>
  <c r="L73" s="1"/>
  <c r="M73" s="1"/>
  <c r="N73" s="1"/>
  <c r="O73" s="1"/>
  <c r="G68"/>
  <c r="H68" s="1"/>
  <c r="G65"/>
  <c r="H65"/>
  <c r="I65" s="1"/>
  <c r="J65" s="1"/>
  <c r="K65"/>
  <c r="L65" s="1"/>
  <c r="M65" s="1"/>
  <c r="N65" s="1"/>
  <c r="O65" s="1"/>
  <c r="G62"/>
  <c r="H62" s="1"/>
  <c r="I62" s="1"/>
  <c r="J62"/>
  <c r="K62" s="1"/>
  <c r="L62" s="1"/>
  <c r="M62" s="1"/>
  <c r="N62" s="1"/>
  <c r="O62" s="1"/>
  <c r="G59"/>
  <c r="H59" s="1"/>
  <c r="I59" s="1"/>
  <c r="J59" s="1"/>
  <c r="K59" s="1"/>
  <c r="L59" s="1"/>
  <c r="M59" s="1"/>
  <c r="N59" s="1"/>
  <c r="O59" s="1"/>
  <c r="G56"/>
  <c r="H56"/>
  <c r="I56"/>
  <c r="J56" s="1"/>
  <c r="K56" s="1"/>
  <c r="L56"/>
  <c r="M56" s="1"/>
  <c r="N56" s="1"/>
  <c r="O56" s="1"/>
  <c r="G36"/>
  <c r="O96" i="190"/>
  <c r="E90"/>
  <c r="E88"/>
  <c r="E84"/>
  <c r="G83"/>
  <c r="H83" s="1"/>
  <c r="I83" s="1"/>
  <c r="J83"/>
  <c r="K83" s="1"/>
  <c r="L83" s="1"/>
  <c r="M83" s="1"/>
  <c r="N83" s="1"/>
  <c r="O83" s="1"/>
  <c r="G79"/>
  <c r="H79" s="1"/>
  <c r="I79" s="1"/>
  <c r="J79" s="1"/>
  <c r="K79" s="1"/>
  <c r="L79" s="1"/>
  <c r="M79" s="1"/>
  <c r="N79" s="1"/>
  <c r="O79" s="1"/>
  <c r="O77"/>
  <c r="G70"/>
  <c r="H70" s="1"/>
  <c r="I70" s="1"/>
  <c r="J70" s="1"/>
  <c r="K70" s="1"/>
  <c r="L70" s="1"/>
  <c r="M70" s="1"/>
  <c r="N70" s="1"/>
  <c r="O70" s="1"/>
  <c r="G53"/>
  <c r="H53" s="1"/>
  <c r="I53" s="1"/>
  <c r="J53"/>
  <c r="K53" s="1"/>
  <c r="L53" s="1"/>
  <c r="M53" s="1"/>
  <c r="N53" s="1"/>
  <c r="O53" s="1"/>
  <c r="G38"/>
  <c r="H38" s="1"/>
  <c r="I38" s="1"/>
  <c r="J38" s="1"/>
  <c r="K38" s="1"/>
  <c r="L38" s="1"/>
  <c r="M38" s="1"/>
  <c r="N38" s="1"/>
  <c r="O38" s="1"/>
  <c r="O36"/>
  <c r="G26"/>
  <c r="H26"/>
  <c r="I26" s="1"/>
  <c r="J26" s="1"/>
  <c r="K26"/>
  <c r="L26" s="1"/>
  <c r="M26" s="1"/>
  <c r="N26" s="1"/>
  <c r="O26" s="1"/>
  <c r="O24"/>
  <c r="O13"/>
  <c r="D177" i="188"/>
  <c r="D175"/>
  <c r="D176"/>
  <c r="D171" i="189"/>
  <c r="D172"/>
  <c r="D272" i="187"/>
  <c r="D270"/>
  <c r="D269"/>
  <c r="E193" i="189"/>
  <c r="E192"/>
  <c r="E191"/>
  <c r="O183"/>
  <c r="N183"/>
  <c r="M183"/>
  <c r="L183"/>
  <c r="K183"/>
  <c r="J183"/>
  <c r="I183"/>
  <c r="H183"/>
  <c r="G183"/>
  <c r="F183"/>
  <c r="D164"/>
  <c r="D158"/>
  <c r="D156"/>
  <c r="D154"/>
  <c r="D152"/>
  <c r="D148"/>
  <c r="D146"/>
  <c r="D144"/>
  <c r="D142"/>
  <c r="F141"/>
  <c r="G141" s="1"/>
  <c r="H141" s="1"/>
  <c r="I141"/>
  <c r="J141" s="1"/>
  <c r="K141" s="1"/>
  <c r="L141" s="1"/>
  <c r="M141" s="1"/>
  <c r="N141" s="1"/>
  <c r="G131"/>
  <c r="H131" s="1"/>
  <c r="I131" s="1"/>
  <c r="J131" s="1"/>
  <c r="K131" s="1"/>
  <c r="L131" s="1"/>
  <c r="M131" s="1"/>
  <c r="N131" s="1"/>
  <c r="O131" s="1"/>
  <c r="O129"/>
  <c r="G126"/>
  <c r="H126" s="1"/>
  <c r="I126" s="1"/>
  <c r="J126" s="1"/>
  <c r="K126" s="1"/>
  <c r="L126" s="1"/>
  <c r="M126" s="1"/>
  <c r="N126" s="1"/>
  <c r="O126" s="1"/>
  <c r="O124"/>
  <c r="G121"/>
  <c r="H121" s="1"/>
  <c r="I121" s="1"/>
  <c r="J121" s="1"/>
  <c r="K121" s="1"/>
  <c r="L121" s="1"/>
  <c r="M121" s="1"/>
  <c r="N121" s="1"/>
  <c r="O121" s="1"/>
  <c r="O119"/>
  <c r="G75"/>
  <c r="H75" s="1"/>
  <c r="I75" s="1"/>
  <c r="J75" s="1"/>
  <c r="K75" s="1"/>
  <c r="L75" s="1"/>
  <c r="M75" s="1"/>
  <c r="N75" s="1"/>
  <c r="O75" s="1"/>
  <c r="G67"/>
  <c r="H67" s="1"/>
  <c r="I67" s="1"/>
  <c r="J67"/>
  <c r="K67" s="1"/>
  <c r="L67" s="1"/>
  <c r="M67" s="1"/>
  <c r="N67" s="1"/>
  <c r="O67" s="1"/>
  <c r="G62"/>
  <c r="H62" s="1"/>
  <c r="I62" s="1"/>
  <c r="J62" s="1"/>
  <c r="K62" s="1"/>
  <c r="L62" s="1"/>
  <c r="M62" s="1"/>
  <c r="N62" s="1"/>
  <c r="O62" s="1"/>
  <c r="O56"/>
  <c r="O44"/>
  <c r="O31"/>
  <c r="O22"/>
  <c r="G15"/>
  <c r="H15"/>
  <c r="I15" s="1"/>
  <c r="J15" s="1"/>
  <c r="K15" s="1"/>
  <c r="L15" s="1"/>
  <c r="M15" s="1"/>
  <c r="N15" s="1"/>
  <c r="O15" s="1"/>
  <c r="O13"/>
  <c r="BU392" i="188"/>
  <c r="CH392" s="1"/>
  <c r="BT392"/>
  <c r="CG392"/>
  <c r="BS392"/>
  <c r="CF392" s="1"/>
  <c r="BR392"/>
  <c r="CE392"/>
  <c r="BQ392"/>
  <c r="CD392" s="1"/>
  <c r="BP392"/>
  <c r="CC392"/>
  <c r="BO392"/>
  <c r="CB392" s="1"/>
  <c r="BN392"/>
  <c r="CA392"/>
  <c r="BM392"/>
  <c r="BZ392" s="1"/>
  <c r="BL392"/>
  <c r="BY392"/>
  <c r="BK392"/>
  <c r="BX392" s="1"/>
  <c r="BU391"/>
  <c r="CH391"/>
  <c r="BT391"/>
  <c r="CG391" s="1"/>
  <c r="BS391"/>
  <c r="CF391"/>
  <c r="BR391"/>
  <c r="CE391" s="1"/>
  <c r="BQ391"/>
  <c r="CD391"/>
  <c r="BP391"/>
  <c r="CC391" s="1"/>
  <c r="BO391"/>
  <c r="CB391"/>
  <c r="BN391"/>
  <c r="CA391" s="1"/>
  <c r="BM391"/>
  <c r="BZ391"/>
  <c r="BL391"/>
  <c r="BY391" s="1"/>
  <c r="BK391"/>
  <c r="BX391"/>
  <c r="BU389"/>
  <c r="CH389" s="1"/>
  <c r="BT389"/>
  <c r="CG389"/>
  <c r="BS389"/>
  <c r="CF389" s="1"/>
  <c r="BR389"/>
  <c r="CE389"/>
  <c r="BQ389"/>
  <c r="CD389" s="1"/>
  <c r="BP389"/>
  <c r="CC389"/>
  <c r="BO389"/>
  <c r="CB389" s="1"/>
  <c r="BN389"/>
  <c r="CA389"/>
  <c r="BM389"/>
  <c r="BZ389" s="1"/>
  <c r="BL389"/>
  <c r="BY389"/>
  <c r="BK389"/>
  <c r="BX389" s="1"/>
  <c r="BU388"/>
  <c r="CH388"/>
  <c r="BT388"/>
  <c r="CG388" s="1"/>
  <c r="BS388"/>
  <c r="CF388"/>
  <c r="BR388"/>
  <c r="CE388" s="1"/>
  <c r="BQ388"/>
  <c r="CD388"/>
  <c r="BP388"/>
  <c r="CC388" s="1"/>
  <c r="BO388"/>
  <c r="CB388"/>
  <c r="BN388"/>
  <c r="CA388" s="1"/>
  <c r="BM388"/>
  <c r="BZ388"/>
  <c r="BL388"/>
  <c r="BY388" s="1"/>
  <c r="BK388"/>
  <c r="BX388"/>
  <c r="I189"/>
  <c r="O189"/>
  <c r="L189"/>
  <c r="K189"/>
  <c r="H189"/>
  <c r="G189"/>
  <c r="E172"/>
  <c r="E167"/>
  <c r="E165"/>
  <c r="E164"/>
  <c r="E163"/>
  <c r="E162"/>
  <c r="E160"/>
  <c r="E159"/>
  <c r="H157"/>
  <c r="I157"/>
  <c r="J157" s="1"/>
  <c r="K157" s="1"/>
  <c r="L157" s="1"/>
  <c r="M157" s="1"/>
  <c r="N157" s="1"/>
  <c r="O157" s="1"/>
  <c r="E155"/>
  <c r="E153"/>
  <c r="E151"/>
  <c r="E149"/>
  <c r="E147"/>
  <c r="E145"/>
  <c r="E143"/>
  <c r="E134"/>
  <c r="E133"/>
  <c r="H131"/>
  <c r="I131" s="1"/>
  <c r="J131" s="1"/>
  <c r="K131" s="1"/>
  <c r="L131" s="1"/>
  <c r="M131" s="1"/>
  <c r="N131" s="1"/>
  <c r="O131" s="1"/>
  <c r="D127"/>
  <c r="D126"/>
  <c r="D125"/>
  <c r="D123"/>
  <c r="D122"/>
  <c r="D121"/>
  <c r="D118"/>
  <c r="D117"/>
  <c r="D116"/>
  <c r="F92"/>
  <c r="G63"/>
  <c r="G53"/>
  <c r="H53"/>
  <c r="I53" s="1"/>
  <c r="J53" s="1"/>
  <c r="K53" s="1"/>
  <c r="L53" s="1"/>
  <c r="M53" s="1"/>
  <c r="N53" s="1"/>
  <c r="O53" s="1"/>
  <c r="O52"/>
  <c r="O266" i="187"/>
  <c r="E245"/>
  <c r="E234"/>
  <c r="E233"/>
  <c r="E232"/>
  <c r="E230"/>
  <c r="E229"/>
  <c r="E224"/>
  <c r="E223"/>
  <c r="E218"/>
  <c r="E217"/>
  <c r="E212"/>
  <c r="E211"/>
  <c r="E206"/>
  <c r="E205"/>
  <c r="G200"/>
  <c r="H200" s="1"/>
  <c r="I200" s="1"/>
  <c r="J200" s="1"/>
  <c r="K200" s="1"/>
  <c r="L200" s="1"/>
  <c r="M200" s="1"/>
  <c r="N200" s="1"/>
  <c r="O200" s="1"/>
  <c r="G183"/>
  <c r="H183" s="1"/>
  <c r="I183" s="1"/>
  <c r="J183" s="1"/>
  <c r="K183" s="1"/>
  <c r="L183" s="1"/>
  <c r="M183" s="1"/>
  <c r="N183" s="1"/>
  <c r="O183" s="1"/>
  <c r="H134"/>
  <c r="I134" s="1"/>
  <c r="J134"/>
  <c r="K134" s="1"/>
  <c r="L134" s="1"/>
  <c r="M134" s="1"/>
  <c r="N134" s="1"/>
  <c r="O134" s="1"/>
  <c r="O133"/>
  <c r="E128"/>
  <c r="H115"/>
  <c r="I115" s="1"/>
  <c r="J115" s="1"/>
  <c r="K115" s="1"/>
  <c r="L115" s="1"/>
  <c r="M115" s="1"/>
  <c r="N115" s="1"/>
  <c r="O115" s="1"/>
  <c r="H109"/>
  <c r="I109" s="1"/>
  <c r="J109" s="1"/>
  <c r="K109" s="1"/>
  <c r="L109" s="1"/>
  <c r="M109" s="1"/>
  <c r="N109" s="1"/>
  <c r="O109" s="1"/>
  <c r="H100"/>
  <c r="I100" s="1"/>
  <c r="J100" s="1"/>
  <c r="K100" s="1"/>
  <c r="L100" s="1"/>
  <c r="M100" s="1"/>
  <c r="N100" s="1"/>
  <c r="O100" s="1"/>
  <c r="P85"/>
  <c r="O65"/>
  <c r="G47"/>
  <c r="H47" s="1"/>
  <c r="I47" s="1"/>
  <c r="J47" s="1"/>
  <c r="K47" s="1"/>
  <c r="L47" s="1"/>
  <c r="M47" s="1"/>
  <c r="N47" s="1"/>
  <c r="O47" s="1"/>
  <c r="O38"/>
  <c r="G16"/>
  <c r="H16" s="1"/>
  <c r="I16" s="1"/>
  <c r="J16" s="1"/>
  <c r="K16" s="1"/>
  <c r="L16" s="1"/>
  <c r="M16" s="1"/>
  <c r="N16" s="1"/>
  <c r="O16" s="1"/>
  <c r="E514" i="159"/>
  <c r="C514"/>
  <c r="E513"/>
  <c r="C513"/>
  <c r="E512"/>
  <c r="C512"/>
  <c r="E511"/>
  <c r="C511"/>
  <c r="G509"/>
  <c r="H509" s="1"/>
  <c r="I509" s="1"/>
  <c r="J509"/>
  <c r="K509" s="1"/>
  <c r="L509" s="1"/>
  <c r="M509" s="1"/>
  <c r="N509" s="1"/>
  <c r="O509" s="1"/>
  <c r="E499"/>
  <c r="C499"/>
  <c r="E498"/>
  <c r="C498"/>
  <c r="E497"/>
  <c r="C497"/>
  <c r="E496"/>
  <c r="C496"/>
  <c r="G494"/>
  <c r="H494" s="1"/>
  <c r="I494" s="1"/>
  <c r="J494" s="1"/>
  <c r="K494" s="1"/>
  <c r="L494" s="1"/>
  <c r="M494" s="1"/>
  <c r="N494" s="1"/>
  <c r="O494" s="1"/>
  <c r="E247" i="184"/>
  <c r="E246"/>
  <c r="E245"/>
  <c r="E238"/>
  <c r="E237"/>
  <c r="E236"/>
  <c r="E230"/>
  <c r="E229"/>
  <c r="E228"/>
  <c r="D217"/>
  <c r="D216"/>
  <c r="D215"/>
  <c r="D214"/>
  <c r="O211"/>
  <c r="E203"/>
  <c r="C203"/>
  <c r="E202"/>
  <c r="E200"/>
  <c r="G198"/>
  <c r="H198" s="1"/>
  <c r="I198" s="1"/>
  <c r="J198"/>
  <c r="K198" s="1"/>
  <c r="L198" s="1"/>
  <c r="M198" s="1"/>
  <c r="N198" s="1"/>
  <c r="O198" s="1"/>
  <c r="E192"/>
  <c r="C192"/>
  <c r="E191"/>
  <c r="E188"/>
  <c r="G186"/>
  <c r="H186" s="1"/>
  <c r="I186" s="1"/>
  <c r="J186" s="1"/>
  <c r="K186" s="1"/>
  <c r="L186" s="1"/>
  <c r="M186" s="1"/>
  <c r="N186" s="1"/>
  <c r="O186" s="1"/>
  <c r="E141"/>
  <c r="E140"/>
  <c r="E139"/>
  <c r="E138"/>
  <c r="F138"/>
  <c r="E175"/>
  <c r="C175"/>
  <c r="C114"/>
  <c r="C113"/>
  <c r="E174"/>
  <c r="E171"/>
  <c r="G172"/>
  <c r="F134"/>
  <c r="F172"/>
  <c r="G133"/>
  <c r="H133" s="1"/>
  <c r="I133" s="1"/>
  <c r="J133"/>
  <c r="K133" s="1"/>
  <c r="L133" s="1"/>
  <c r="M133" s="1"/>
  <c r="N133" s="1"/>
  <c r="O133" s="1"/>
  <c r="H40"/>
  <c r="I40"/>
  <c r="J40"/>
  <c r="C112"/>
  <c r="O52"/>
  <c r="G54"/>
  <c r="H54"/>
  <c r="I54" s="1"/>
  <c r="J54" s="1"/>
  <c r="K54" s="1"/>
  <c r="L54" s="1"/>
  <c r="M54" s="1"/>
  <c r="N54" s="1"/>
  <c r="O54" s="1"/>
  <c r="O43"/>
  <c r="G45"/>
  <c r="H45" s="1"/>
  <c r="I45" s="1"/>
  <c r="J45"/>
  <c r="K45" s="1"/>
  <c r="L45" s="1"/>
  <c r="M45" s="1"/>
  <c r="N45" s="1"/>
  <c r="O45" s="1"/>
  <c r="G169"/>
  <c r="H169" s="1"/>
  <c r="I169" s="1"/>
  <c r="J169" s="1"/>
  <c r="K169" s="1"/>
  <c r="L169" s="1"/>
  <c r="M169" s="1"/>
  <c r="N169" s="1"/>
  <c r="O169" s="1"/>
  <c r="E160"/>
  <c r="C160"/>
  <c r="G158"/>
  <c r="H158" s="1"/>
  <c r="I158" s="1"/>
  <c r="J158"/>
  <c r="K158" s="1"/>
  <c r="L158" s="1"/>
  <c r="M158" s="1"/>
  <c r="N158" s="1"/>
  <c r="O158" s="1"/>
  <c r="E107"/>
  <c r="E153"/>
  <c r="E151"/>
  <c r="G22"/>
  <c r="H22" s="1"/>
  <c r="G21"/>
  <c r="G20"/>
  <c r="F20"/>
  <c r="F21" s="1"/>
  <c r="F22" s="1"/>
  <c r="C102"/>
  <c r="C95"/>
  <c r="E64"/>
  <c r="B1"/>
  <c r="K147"/>
  <c r="L147"/>
  <c r="M147" s="1"/>
  <c r="N147" s="1"/>
  <c r="O147" s="1"/>
  <c r="G18"/>
  <c r="H18"/>
  <c r="I18" s="1"/>
  <c r="J18" s="1"/>
  <c r="K18" s="1"/>
  <c r="L18" s="1"/>
  <c r="M18" s="1"/>
  <c r="N18" s="1"/>
  <c r="O18" s="1"/>
  <c r="J73" i="12"/>
  <c r="J78"/>
  <c r="E91" i="168"/>
  <c r="G43"/>
  <c r="G89"/>
  <c r="H89" s="1"/>
  <c r="I89" s="1"/>
  <c r="J89" s="1"/>
  <c r="K89" s="1"/>
  <c r="L89" s="1"/>
  <c r="M89" s="1"/>
  <c r="N89" s="1"/>
  <c r="O89" s="1"/>
  <c r="E332" i="154"/>
  <c r="E331"/>
  <c r="G325"/>
  <c r="H325"/>
  <c r="I325" s="1"/>
  <c r="J325" s="1"/>
  <c r="K325" s="1"/>
  <c r="L325" s="1"/>
  <c r="M325" s="1"/>
  <c r="N325" s="1"/>
  <c r="O325" s="1"/>
  <c r="G41"/>
  <c r="H41" s="1"/>
  <c r="I41" s="1"/>
  <c r="J41" s="1"/>
  <c r="K41" s="1"/>
  <c r="L41" s="1"/>
  <c r="M41" s="1"/>
  <c r="N41" s="1"/>
  <c r="O41" s="1"/>
  <c r="E67" i="168"/>
  <c r="E66"/>
  <c r="E65"/>
  <c r="E63"/>
  <c r="E61"/>
  <c r="G59"/>
  <c r="H59"/>
  <c r="I59"/>
  <c r="J59" s="1"/>
  <c r="K59" s="1"/>
  <c r="L59" s="1"/>
  <c r="M59" s="1"/>
  <c r="N59" s="1"/>
  <c r="O59" s="1"/>
  <c r="O104"/>
  <c r="O50"/>
  <c r="D107"/>
  <c r="D111"/>
  <c r="D110"/>
  <c r="D108"/>
  <c r="O366" i="154"/>
  <c r="E349"/>
  <c r="E347"/>
  <c r="E339"/>
  <c r="E323"/>
  <c r="E322"/>
  <c r="G317"/>
  <c r="H317"/>
  <c r="I317" s="1"/>
  <c r="J317" s="1"/>
  <c r="K317" s="1"/>
  <c r="L317" s="1"/>
  <c r="M317" s="1"/>
  <c r="N317" s="1"/>
  <c r="O317" s="1"/>
  <c r="E315"/>
  <c r="E314"/>
  <c r="G308"/>
  <c r="H308"/>
  <c r="I308"/>
  <c r="J308" s="1"/>
  <c r="K308" s="1"/>
  <c r="L308" s="1"/>
  <c r="M308" s="1"/>
  <c r="N308" s="1"/>
  <c r="O308" s="1"/>
  <c r="E302"/>
  <c r="E300"/>
  <c r="G201"/>
  <c r="G297"/>
  <c r="H297"/>
  <c r="I297"/>
  <c r="J297" s="1"/>
  <c r="K297" s="1"/>
  <c r="L297" s="1"/>
  <c r="M297" s="1"/>
  <c r="N297" s="1"/>
  <c r="O297" s="1"/>
  <c r="E295"/>
  <c r="G197"/>
  <c r="G289"/>
  <c r="H289" s="1"/>
  <c r="I289" s="1"/>
  <c r="J289" s="1"/>
  <c r="K289" s="1"/>
  <c r="L289" s="1"/>
  <c r="M289" s="1"/>
  <c r="N289" s="1"/>
  <c r="O289" s="1"/>
  <c r="E287"/>
  <c r="G178"/>
  <c r="G282"/>
  <c r="H282" s="1"/>
  <c r="I282" s="1"/>
  <c r="J282" s="1"/>
  <c r="K282" s="1"/>
  <c r="L282" s="1"/>
  <c r="M282" s="1"/>
  <c r="N282" s="1"/>
  <c r="O282" s="1"/>
  <c r="E280"/>
  <c r="G166"/>
  <c r="G275"/>
  <c r="H275"/>
  <c r="I275" s="1"/>
  <c r="J275" s="1"/>
  <c r="K275" s="1"/>
  <c r="L275" s="1"/>
  <c r="M275" s="1"/>
  <c r="N275" s="1"/>
  <c r="O275" s="1"/>
  <c r="G150"/>
  <c r="E273"/>
  <c r="G271"/>
  <c r="F271"/>
  <c r="O51"/>
  <c r="G267"/>
  <c r="F267"/>
  <c r="G260"/>
  <c r="H260"/>
  <c r="I260" s="1"/>
  <c r="J260" s="1"/>
  <c r="K260" s="1"/>
  <c r="L260" s="1"/>
  <c r="M260" s="1"/>
  <c r="N260" s="1"/>
  <c r="O260" s="1"/>
  <c r="B2" i="168"/>
  <c r="B1"/>
  <c r="G228" i="154"/>
  <c r="H228"/>
  <c r="I228"/>
  <c r="J228" s="1"/>
  <c r="K228" s="1"/>
  <c r="L228" s="1"/>
  <c r="M228" s="1"/>
  <c r="N228" s="1"/>
  <c r="O228" s="1"/>
  <c r="G211"/>
  <c r="H211"/>
  <c r="I211" s="1"/>
  <c r="J211" s="1"/>
  <c r="K211" s="1"/>
  <c r="L211" s="1"/>
  <c r="M211" s="1"/>
  <c r="N211" s="1"/>
  <c r="O211" s="1"/>
  <c r="G189"/>
  <c r="H189" s="1"/>
  <c r="I189" s="1"/>
  <c r="J189" s="1"/>
  <c r="K189" s="1"/>
  <c r="L189" s="1"/>
  <c r="M189" s="1"/>
  <c r="N189" s="1"/>
  <c r="O189" s="1"/>
  <c r="G171"/>
  <c r="H171" s="1"/>
  <c r="I171" s="1"/>
  <c r="J171" s="1"/>
  <c r="K171" s="1"/>
  <c r="L171" s="1"/>
  <c r="M171" s="1"/>
  <c r="N171" s="1"/>
  <c r="O171" s="1"/>
  <c r="G159"/>
  <c r="H159"/>
  <c r="I159"/>
  <c r="J159" s="1"/>
  <c r="K159" s="1"/>
  <c r="L159" s="1"/>
  <c r="M159" s="1"/>
  <c r="N159" s="1"/>
  <c r="O159" s="1"/>
  <c r="G139"/>
  <c r="H139"/>
  <c r="I139" s="1"/>
  <c r="J139" s="1"/>
  <c r="K139" s="1"/>
  <c r="L139" s="1"/>
  <c r="M139" s="1"/>
  <c r="N139" s="1"/>
  <c r="O139" s="1"/>
  <c r="G129"/>
  <c r="H129" s="1"/>
  <c r="I129" s="1"/>
  <c r="J129" s="1"/>
  <c r="K129" s="1"/>
  <c r="L129" s="1"/>
  <c r="M129" s="1"/>
  <c r="N129" s="1"/>
  <c r="O129" s="1"/>
  <c r="G53"/>
  <c r="H53" s="1"/>
  <c r="I53" s="1"/>
  <c r="J53" s="1"/>
  <c r="K53" s="1"/>
  <c r="L53" s="1"/>
  <c r="M53" s="1"/>
  <c r="N53" s="1"/>
  <c r="O53" s="1"/>
  <c r="O13"/>
  <c r="G15"/>
  <c r="H15"/>
  <c r="I15" s="1"/>
  <c r="J15" s="1"/>
  <c r="K15" s="1"/>
  <c r="L15" s="1"/>
  <c r="M15" s="1"/>
  <c r="N15" s="1"/>
  <c r="O15" s="1"/>
  <c r="C31" i="23"/>
  <c r="B2" i="154"/>
  <c r="E130" i="153"/>
  <c r="E129"/>
  <c r="E127"/>
  <c r="E126"/>
  <c r="G125"/>
  <c r="H125"/>
  <c r="I125"/>
  <c r="J125" s="1"/>
  <c r="K125" s="1"/>
  <c r="L125" s="1"/>
  <c r="M125" s="1"/>
  <c r="N125" s="1"/>
  <c r="O125" s="1"/>
  <c r="D154"/>
  <c r="D153"/>
  <c r="E154"/>
  <c r="D143"/>
  <c r="B2"/>
  <c r="G77" i="48"/>
  <c r="H77" s="1"/>
  <c r="I77" s="1"/>
  <c r="J77" s="1"/>
  <c r="K77" s="1"/>
  <c r="L77" s="1"/>
  <c r="M77" s="1"/>
  <c r="N77" s="1"/>
  <c r="O77" s="1"/>
  <c r="G65"/>
  <c r="H65"/>
  <c r="I65"/>
  <c r="J65"/>
  <c r="K65" s="1"/>
  <c r="L65" s="1"/>
  <c r="M65" s="1"/>
  <c r="N65" s="1"/>
  <c r="O65" s="1"/>
  <c r="D296" i="133"/>
  <c r="D297"/>
  <c r="E297"/>
  <c r="C28" i="35"/>
  <c r="D26"/>
  <c r="E26"/>
  <c r="F26" s="1"/>
  <c r="G26" s="1"/>
  <c r="H26" s="1"/>
  <c r="I26" s="1"/>
  <c r="J26" s="1"/>
  <c r="K26" s="1"/>
  <c r="D127" i="157"/>
  <c r="D529" i="159"/>
  <c r="B1"/>
  <c r="B1" i="157"/>
  <c r="H43" i="23"/>
  <c r="I43"/>
  <c r="H42"/>
  <c r="I42" s="1"/>
  <c r="H40"/>
  <c r="I40"/>
  <c r="H31"/>
  <c r="I31" s="1"/>
  <c r="H30"/>
  <c r="I30"/>
  <c r="H35"/>
  <c r="I35" s="1"/>
  <c r="H34"/>
  <c r="I34"/>
  <c r="H33"/>
  <c r="I33" s="1"/>
  <c r="H36"/>
  <c r="I36"/>
  <c r="H21"/>
  <c r="I21" s="1"/>
  <c r="H18"/>
  <c r="I18"/>
  <c r="H17"/>
  <c r="I17" s="1"/>
  <c r="I538" i="159"/>
  <c r="H538"/>
  <c r="D533"/>
  <c r="D532"/>
  <c r="D531"/>
  <c r="D530"/>
  <c r="O526"/>
  <c r="G472"/>
  <c r="H472"/>
  <c r="I472"/>
  <c r="J472"/>
  <c r="K472" s="1"/>
  <c r="L472" s="1"/>
  <c r="M472" s="1"/>
  <c r="N472" s="1"/>
  <c r="O472" s="1"/>
  <c r="C458"/>
  <c r="C432"/>
  <c r="G435"/>
  <c r="H435" s="1"/>
  <c r="I435" s="1"/>
  <c r="J435" s="1"/>
  <c r="K435" s="1"/>
  <c r="L435" s="1"/>
  <c r="M435" s="1"/>
  <c r="N435" s="1"/>
  <c r="O435" s="1"/>
  <c r="G284"/>
  <c r="H284"/>
  <c r="I284"/>
  <c r="J284" s="1"/>
  <c r="K284" s="1"/>
  <c r="L284" s="1"/>
  <c r="M284" s="1"/>
  <c r="N284" s="1"/>
  <c r="O284" s="1"/>
  <c r="E285"/>
  <c r="E286"/>
  <c r="E287"/>
  <c r="E288"/>
  <c r="E289"/>
  <c r="E290"/>
  <c r="E291"/>
  <c r="G294"/>
  <c r="G297"/>
  <c r="H297"/>
  <c r="I297" s="1"/>
  <c r="J297" s="1"/>
  <c r="K297" s="1"/>
  <c r="L297" s="1"/>
  <c r="M297" s="1"/>
  <c r="N297" s="1"/>
  <c r="O297" s="1"/>
  <c r="E298"/>
  <c r="E299"/>
  <c r="E300"/>
  <c r="E301"/>
  <c r="E302"/>
  <c r="E303"/>
  <c r="E304"/>
  <c r="G309"/>
  <c r="H309"/>
  <c r="I309" s="1"/>
  <c r="J309" s="1"/>
  <c r="K309" s="1"/>
  <c r="L309" s="1"/>
  <c r="M309" s="1"/>
  <c r="N309" s="1"/>
  <c r="O309" s="1"/>
  <c r="E310"/>
  <c r="E311"/>
  <c r="E312"/>
  <c r="E313"/>
  <c r="E314"/>
  <c r="E315"/>
  <c r="E316"/>
  <c r="G214"/>
  <c r="H214"/>
  <c r="I214" s="1"/>
  <c r="J214" s="1"/>
  <c r="K214" s="1"/>
  <c r="L214" s="1"/>
  <c r="M214" s="1"/>
  <c r="N214" s="1"/>
  <c r="O214" s="1"/>
  <c r="G139"/>
  <c r="H139" s="1"/>
  <c r="I139" s="1"/>
  <c r="J139" s="1"/>
  <c r="K139" s="1"/>
  <c r="L139" s="1"/>
  <c r="M139" s="1"/>
  <c r="N139" s="1"/>
  <c r="O139" s="1"/>
  <c r="H103" i="157"/>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E97"/>
  <c r="E96"/>
  <c r="H38" i="6"/>
  <c r="G460" i="159"/>
  <c r="H460" s="1"/>
  <c r="I460" s="1"/>
  <c r="J460" s="1"/>
  <c r="K460" s="1"/>
  <c r="L460" s="1"/>
  <c r="M460" s="1"/>
  <c r="N460" s="1"/>
  <c r="O460" s="1"/>
  <c r="O458"/>
  <c r="K29" i="6"/>
  <c r="K27"/>
  <c r="K26"/>
  <c r="K25"/>
  <c r="K24"/>
  <c r="K21"/>
  <c r="O34" i="159"/>
  <c r="O25"/>
  <c r="O13"/>
  <c r="G393"/>
  <c r="H393"/>
  <c r="I393" s="1"/>
  <c r="J393" s="1"/>
  <c r="K393" s="1"/>
  <c r="L393" s="1"/>
  <c r="M393" s="1"/>
  <c r="N393" s="1"/>
  <c r="O393" s="1"/>
  <c r="O391"/>
  <c r="G371"/>
  <c r="H371" s="1"/>
  <c r="I371" s="1"/>
  <c r="J371" s="1"/>
  <c r="K371" s="1"/>
  <c r="L371" s="1"/>
  <c r="M371" s="1"/>
  <c r="N371" s="1"/>
  <c r="O371" s="1"/>
  <c r="O369"/>
  <c r="G349"/>
  <c r="H349"/>
  <c r="I349" s="1"/>
  <c r="J349" s="1"/>
  <c r="K349" s="1"/>
  <c r="L349" s="1"/>
  <c r="M349" s="1"/>
  <c r="N349" s="1"/>
  <c r="O349" s="1"/>
  <c r="O347"/>
  <c r="O326"/>
  <c r="G328"/>
  <c r="H328"/>
  <c r="I328"/>
  <c r="J328" s="1"/>
  <c r="K328" s="1"/>
  <c r="L328" s="1"/>
  <c r="M328" s="1"/>
  <c r="N328" s="1"/>
  <c r="O328" s="1"/>
  <c r="E280"/>
  <c r="E279"/>
  <c r="E278"/>
  <c r="E277"/>
  <c r="E276"/>
  <c r="E275"/>
  <c r="E274"/>
  <c r="G273"/>
  <c r="H273"/>
  <c r="I273"/>
  <c r="J273" s="1"/>
  <c r="K273" s="1"/>
  <c r="L273" s="1"/>
  <c r="M273" s="1"/>
  <c r="N273" s="1"/>
  <c r="O273" s="1"/>
  <c r="E247"/>
  <c r="E246"/>
  <c r="E245"/>
  <c r="E244"/>
  <c r="E248"/>
  <c r="E243"/>
  <c r="E242"/>
  <c r="O208"/>
  <c r="E208"/>
  <c r="H208"/>
  <c r="I208"/>
  <c r="J208" s="1"/>
  <c r="K208" s="1"/>
  <c r="L208" s="1"/>
  <c r="M208" s="1"/>
  <c r="N208" s="1"/>
  <c r="O207"/>
  <c r="E207"/>
  <c r="H207" s="1"/>
  <c r="I207" s="1"/>
  <c r="J207" s="1"/>
  <c r="K207" s="1"/>
  <c r="L207" s="1"/>
  <c r="M207" s="1"/>
  <c r="N207" s="1"/>
  <c r="O206"/>
  <c r="E206" s="1"/>
  <c r="H206" s="1"/>
  <c r="I206" s="1"/>
  <c r="J206" s="1"/>
  <c r="K206" s="1"/>
  <c r="L206" s="1"/>
  <c r="M206" s="1"/>
  <c r="N206" s="1"/>
  <c r="O205"/>
  <c r="E205" s="1"/>
  <c r="H205" s="1"/>
  <c r="I205" s="1"/>
  <c r="J205" s="1"/>
  <c r="K205" s="1"/>
  <c r="L205" s="1"/>
  <c r="M205" s="1"/>
  <c r="N205" s="1"/>
  <c r="O204"/>
  <c r="E204"/>
  <c r="H204"/>
  <c r="I204" s="1"/>
  <c r="J204" s="1"/>
  <c r="K204" s="1"/>
  <c r="L204" s="1"/>
  <c r="M204" s="1"/>
  <c r="N204" s="1"/>
  <c r="O203"/>
  <c r="E203"/>
  <c r="H203" s="1"/>
  <c r="I203" s="1"/>
  <c r="J203" s="1"/>
  <c r="K203" s="1"/>
  <c r="L203" s="1"/>
  <c r="M203" s="1"/>
  <c r="N203" s="1"/>
  <c r="O202"/>
  <c r="E202" s="1"/>
  <c r="H202" s="1"/>
  <c r="I202" s="1"/>
  <c r="J202" s="1"/>
  <c r="K202" s="1"/>
  <c r="L202" s="1"/>
  <c r="M202" s="1"/>
  <c r="N202" s="1"/>
  <c r="O196"/>
  <c r="E196" s="1"/>
  <c r="H196" s="1"/>
  <c r="I196" s="1"/>
  <c r="J196" s="1"/>
  <c r="K196" s="1"/>
  <c r="L196" s="1"/>
  <c r="M196" s="1"/>
  <c r="N196" s="1"/>
  <c r="O195"/>
  <c r="O194"/>
  <c r="E194"/>
  <c r="H194" s="1"/>
  <c r="I194" s="1"/>
  <c r="J194" s="1"/>
  <c r="K194" s="1"/>
  <c r="L194" s="1"/>
  <c r="M194" s="1"/>
  <c r="N194" s="1"/>
  <c r="O193"/>
  <c r="E193" s="1"/>
  <c r="H193" s="1"/>
  <c r="I193" s="1"/>
  <c r="J193" s="1"/>
  <c r="K193" s="1"/>
  <c r="L193" s="1"/>
  <c r="M193" s="1"/>
  <c r="N193" s="1"/>
  <c r="O192"/>
  <c r="E192" s="1"/>
  <c r="H192" s="1"/>
  <c r="I192" s="1"/>
  <c r="J192" s="1"/>
  <c r="K192" s="1"/>
  <c r="L192" s="1"/>
  <c r="M192" s="1"/>
  <c r="N192" s="1"/>
  <c r="O191"/>
  <c r="E191" s="1"/>
  <c r="H191" s="1"/>
  <c r="I191" s="1"/>
  <c r="J191" s="1"/>
  <c r="K191" s="1"/>
  <c r="L191" s="1"/>
  <c r="M191" s="1"/>
  <c r="N191" s="1"/>
  <c r="O190"/>
  <c r="E190" s="1"/>
  <c r="H190" s="1"/>
  <c r="I190" s="1"/>
  <c r="J190" s="1"/>
  <c r="K190" s="1"/>
  <c r="L190" s="1"/>
  <c r="M190" s="1"/>
  <c r="N190" s="1"/>
  <c r="O183"/>
  <c r="E183"/>
  <c r="H183"/>
  <c r="I183" s="1"/>
  <c r="J183" s="1"/>
  <c r="K183" s="1"/>
  <c r="L183" s="1"/>
  <c r="M183" s="1"/>
  <c r="N183" s="1"/>
  <c r="O182"/>
  <c r="E182"/>
  <c r="H182" s="1"/>
  <c r="I182" s="1"/>
  <c r="J182" s="1"/>
  <c r="K182" s="1"/>
  <c r="L182" s="1"/>
  <c r="M182" s="1"/>
  <c r="N182" s="1"/>
  <c r="O181"/>
  <c r="E181" s="1"/>
  <c r="H181" s="1"/>
  <c r="I181" s="1"/>
  <c r="J181" s="1"/>
  <c r="K181" s="1"/>
  <c r="L181" s="1"/>
  <c r="M181" s="1"/>
  <c r="N181" s="1"/>
  <c r="O180"/>
  <c r="E180" s="1"/>
  <c r="H180" s="1"/>
  <c r="I180"/>
  <c r="J180" s="1"/>
  <c r="K180" s="1"/>
  <c r="L180" s="1"/>
  <c r="M180" s="1"/>
  <c r="N180" s="1"/>
  <c r="O179"/>
  <c r="E179"/>
  <c r="H179"/>
  <c r="I179" s="1"/>
  <c r="J179" s="1"/>
  <c r="K179" s="1"/>
  <c r="L179" s="1"/>
  <c r="M179" s="1"/>
  <c r="N179" s="1"/>
  <c r="O178"/>
  <c r="E178" s="1"/>
  <c r="H178" s="1"/>
  <c r="I178" s="1"/>
  <c r="J178" s="1"/>
  <c r="K178" s="1"/>
  <c r="L178" s="1"/>
  <c r="M178" s="1"/>
  <c r="N178" s="1"/>
  <c r="O177"/>
  <c r="E177" s="1"/>
  <c r="H177" s="1"/>
  <c r="I177" s="1"/>
  <c r="J177" s="1"/>
  <c r="K177" s="1"/>
  <c r="L177" s="1"/>
  <c r="M177" s="1"/>
  <c r="N177" s="1"/>
  <c r="G201"/>
  <c r="H201"/>
  <c r="I201"/>
  <c r="J201" s="1"/>
  <c r="K201" s="1"/>
  <c r="L201" s="1"/>
  <c r="M201" s="1"/>
  <c r="N201" s="1"/>
  <c r="O201" s="1"/>
  <c r="G189"/>
  <c r="H189"/>
  <c r="I189" s="1"/>
  <c r="J189" s="1"/>
  <c r="K189" s="1"/>
  <c r="L189" s="1"/>
  <c r="M189" s="1"/>
  <c r="N189" s="1"/>
  <c r="O189" s="1"/>
  <c r="G176"/>
  <c r="H176" s="1"/>
  <c r="I176" s="1"/>
  <c r="J176" s="1"/>
  <c r="K176" s="1"/>
  <c r="L176" s="1"/>
  <c r="M176" s="1"/>
  <c r="N176" s="1"/>
  <c r="O176" s="1"/>
  <c r="E195"/>
  <c r="H195" s="1"/>
  <c r="I195" s="1"/>
  <c r="J195" s="1"/>
  <c r="K195" s="1"/>
  <c r="L195" s="1"/>
  <c r="M195" s="1"/>
  <c r="N195" s="1"/>
  <c r="G165"/>
  <c r="H165" s="1"/>
  <c r="I165" s="1"/>
  <c r="J165" s="1"/>
  <c r="K165" s="1"/>
  <c r="L165" s="1"/>
  <c r="M165" s="1"/>
  <c r="N165" s="1"/>
  <c r="O165" s="1"/>
  <c r="I132"/>
  <c r="L132"/>
  <c r="F132"/>
  <c r="K132"/>
  <c r="N132"/>
  <c r="P87"/>
  <c r="O86"/>
  <c r="N86"/>
  <c r="M86"/>
  <c r="L86"/>
  <c r="K86"/>
  <c r="J86"/>
  <c r="I86"/>
  <c r="H86"/>
  <c r="G86"/>
  <c r="F86"/>
  <c r="O85"/>
  <c r="N85"/>
  <c r="M85"/>
  <c r="L85"/>
  <c r="K85"/>
  <c r="J85"/>
  <c r="I85"/>
  <c r="H85"/>
  <c r="G85"/>
  <c r="F85"/>
  <c r="O84"/>
  <c r="N84"/>
  <c r="M84"/>
  <c r="L84"/>
  <c r="K84"/>
  <c r="J84"/>
  <c r="I84"/>
  <c r="H84"/>
  <c r="G84"/>
  <c r="F84"/>
  <c r="O83"/>
  <c r="N83"/>
  <c r="M83"/>
  <c r="L83"/>
  <c r="K83"/>
  <c r="J83"/>
  <c r="I83"/>
  <c r="H83"/>
  <c r="G83"/>
  <c r="F83"/>
  <c r="O82"/>
  <c r="N82"/>
  <c r="M82"/>
  <c r="L82"/>
  <c r="K82"/>
  <c r="K80"/>
  <c r="K81"/>
  <c r="J82"/>
  <c r="I82"/>
  <c r="H82"/>
  <c r="G82"/>
  <c r="F82"/>
  <c r="O81"/>
  <c r="O87" s="1"/>
  <c r="O80"/>
  <c r="N81"/>
  <c r="N80"/>
  <c r="N87" s="1"/>
  <c r="M81"/>
  <c r="L81"/>
  <c r="J81"/>
  <c r="J80"/>
  <c r="I81"/>
  <c r="H81"/>
  <c r="H87" s="1"/>
  <c r="G81"/>
  <c r="G80"/>
  <c r="G87"/>
  <c r="F81"/>
  <c r="M80"/>
  <c r="L80"/>
  <c r="L87"/>
  <c r="I80"/>
  <c r="H80"/>
  <c r="F80"/>
  <c r="O77"/>
  <c r="N77"/>
  <c r="M77"/>
  <c r="L77"/>
  <c r="K77"/>
  <c r="J77"/>
  <c r="I77"/>
  <c r="H77"/>
  <c r="G77"/>
  <c r="F77"/>
  <c r="O76"/>
  <c r="N76"/>
  <c r="M76"/>
  <c r="L76"/>
  <c r="K76"/>
  <c r="J76"/>
  <c r="I76"/>
  <c r="H76"/>
  <c r="G76"/>
  <c r="F76"/>
  <c r="O75"/>
  <c r="N75"/>
  <c r="M75"/>
  <c r="L75"/>
  <c r="K75"/>
  <c r="J75"/>
  <c r="I75"/>
  <c r="H75"/>
  <c r="G75"/>
  <c r="F75"/>
  <c r="O74"/>
  <c r="N74"/>
  <c r="M74"/>
  <c r="L74"/>
  <c r="K74"/>
  <c r="J74"/>
  <c r="I74"/>
  <c r="H74"/>
  <c r="G74"/>
  <c r="F74"/>
  <c r="O73"/>
  <c r="N73"/>
  <c r="M73"/>
  <c r="L73"/>
  <c r="K73"/>
  <c r="J73"/>
  <c r="I73"/>
  <c r="H73"/>
  <c r="G73"/>
  <c r="F73"/>
  <c r="O72"/>
  <c r="N72"/>
  <c r="N78" s="1"/>
  <c r="M72"/>
  <c r="M78" s="1"/>
  <c r="M71"/>
  <c r="L72"/>
  <c r="L71"/>
  <c r="L78" s="1"/>
  <c r="K72"/>
  <c r="J72"/>
  <c r="I72"/>
  <c r="I71"/>
  <c r="H72"/>
  <c r="H71"/>
  <c r="G72"/>
  <c r="F72"/>
  <c r="F78" s="1"/>
  <c r="O71"/>
  <c r="O78" s="1"/>
  <c r="N71"/>
  <c r="K71"/>
  <c r="K78"/>
  <c r="J71"/>
  <c r="G71"/>
  <c r="G78" s="1"/>
  <c r="F71"/>
  <c r="M132"/>
  <c r="H132"/>
  <c r="O132"/>
  <c r="J132"/>
  <c r="G132"/>
  <c r="M123"/>
  <c r="L123"/>
  <c r="I123"/>
  <c r="H123"/>
  <c r="O123"/>
  <c r="N123"/>
  <c r="K123"/>
  <c r="J123"/>
  <c r="G123"/>
  <c r="F123"/>
  <c r="G115"/>
  <c r="H115"/>
  <c r="I115" s="1"/>
  <c r="J115" s="1"/>
  <c r="K115" s="1"/>
  <c r="L115" s="1"/>
  <c r="M115" s="1"/>
  <c r="N115" s="1"/>
  <c r="O115" s="1"/>
  <c r="M110"/>
  <c r="L110"/>
  <c r="I110"/>
  <c r="H110"/>
  <c r="O110"/>
  <c r="N110"/>
  <c r="K110"/>
  <c r="J110"/>
  <c r="G110"/>
  <c r="F110"/>
  <c r="M101"/>
  <c r="L101"/>
  <c r="I101"/>
  <c r="H101"/>
  <c r="O101"/>
  <c r="N101"/>
  <c r="K101"/>
  <c r="J101"/>
  <c r="G101"/>
  <c r="F101"/>
  <c r="G93"/>
  <c r="H93" s="1"/>
  <c r="I93" s="1"/>
  <c r="J93" s="1"/>
  <c r="K93" s="1"/>
  <c r="L93" s="1"/>
  <c r="M93" s="1"/>
  <c r="N93" s="1"/>
  <c r="O93" s="1"/>
  <c r="G70"/>
  <c r="H70" s="1"/>
  <c r="I70" s="1"/>
  <c r="J70" s="1"/>
  <c r="K70" s="1"/>
  <c r="L70" s="1"/>
  <c r="M70" s="1"/>
  <c r="N70" s="1"/>
  <c r="O70" s="1"/>
  <c r="G48"/>
  <c r="H48"/>
  <c r="I48"/>
  <c r="J48" s="1"/>
  <c r="K48" s="1"/>
  <c r="L48" s="1"/>
  <c r="M48" s="1"/>
  <c r="N48" s="1"/>
  <c r="O48" s="1"/>
  <c r="B2"/>
  <c r="G36"/>
  <c r="H36" s="1"/>
  <c r="I36" s="1"/>
  <c r="J36" s="1"/>
  <c r="K36" s="1"/>
  <c r="L36" s="1"/>
  <c r="M36" s="1"/>
  <c r="N36" s="1"/>
  <c r="O36" s="1"/>
  <c r="G27"/>
  <c r="H27" s="1"/>
  <c r="I27" s="1"/>
  <c r="J27"/>
  <c r="K27" s="1"/>
  <c r="L27" s="1"/>
  <c r="M27" s="1"/>
  <c r="N27" s="1"/>
  <c r="O27" s="1"/>
  <c r="G15"/>
  <c r="H15"/>
  <c r="I15"/>
  <c r="J15" s="1"/>
  <c r="K15" s="1"/>
  <c r="L15" s="1"/>
  <c r="M15" s="1"/>
  <c r="N15" s="1"/>
  <c r="O15" s="1"/>
  <c r="G95" i="157"/>
  <c r="H95"/>
  <c r="I95"/>
  <c r="J95" s="1"/>
  <c r="K95" s="1"/>
  <c r="L95" s="1"/>
  <c r="M95" s="1"/>
  <c r="N95" s="1"/>
  <c r="O95" s="1"/>
  <c r="O93"/>
  <c r="G86"/>
  <c r="H86" s="1"/>
  <c r="I86" s="1"/>
  <c r="J86" s="1"/>
  <c r="K86" s="1"/>
  <c r="L86" s="1"/>
  <c r="M86" s="1"/>
  <c r="N86" s="1"/>
  <c r="O86" s="1"/>
  <c r="O78"/>
  <c r="G37"/>
  <c r="H37"/>
  <c r="I37"/>
  <c r="J37" s="1"/>
  <c r="K37" s="1"/>
  <c r="L37" s="1"/>
  <c r="M37" s="1"/>
  <c r="N37" s="1"/>
  <c r="O37" s="1"/>
  <c r="G27"/>
  <c r="H27"/>
  <c r="I27" s="1"/>
  <c r="J27" s="1"/>
  <c r="K27" s="1"/>
  <c r="L27" s="1"/>
  <c r="M27" s="1"/>
  <c r="N27" s="1"/>
  <c r="O27" s="1"/>
  <c r="O14"/>
  <c r="E65"/>
  <c r="E63"/>
  <c r="E64"/>
  <c r="G61"/>
  <c r="H61" s="1"/>
  <c r="I61" s="1"/>
  <c r="J61" s="1"/>
  <c r="K61" s="1"/>
  <c r="L61" s="1"/>
  <c r="M61" s="1"/>
  <c r="N61" s="1"/>
  <c r="O61" s="1"/>
  <c r="D131"/>
  <c r="D130"/>
  <c r="D129"/>
  <c r="D128"/>
  <c r="O124"/>
  <c r="G80"/>
  <c r="H80"/>
  <c r="I80"/>
  <c r="J80" s="1"/>
  <c r="K80" s="1"/>
  <c r="L80" s="1"/>
  <c r="M80" s="1"/>
  <c r="N80" s="1"/>
  <c r="O80" s="1"/>
  <c r="G16"/>
  <c r="H16"/>
  <c r="I16" s="1"/>
  <c r="J16" s="1"/>
  <c r="K16" s="1"/>
  <c r="L16" s="1"/>
  <c r="M16" s="1"/>
  <c r="N16" s="1"/>
  <c r="O16" s="1"/>
  <c r="B2"/>
  <c r="E389" i="154"/>
  <c r="E153" i="153"/>
  <c r="O140"/>
  <c r="G108"/>
  <c r="H108" s="1"/>
  <c r="I108" s="1"/>
  <c r="J108" s="1"/>
  <c r="K108" s="1"/>
  <c r="L108" s="1"/>
  <c r="M108" s="1"/>
  <c r="N108" s="1"/>
  <c r="O108" s="1"/>
  <c r="O107"/>
  <c r="G98"/>
  <c r="H98"/>
  <c r="I98"/>
  <c r="J98" s="1"/>
  <c r="K98" s="1"/>
  <c r="L98" s="1"/>
  <c r="M98" s="1"/>
  <c r="N98" s="1"/>
  <c r="O98" s="1"/>
  <c r="O97"/>
  <c r="G23"/>
  <c r="H23" s="1"/>
  <c r="I23" s="1"/>
  <c r="J23" s="1"/>
  <c r="K23" s="1"/>
  <c r="L23" s="1"/>
  <c r="M23" s="1"/>
  <c r="N23" s="1"/>
  <c r="O23" s="1"/>
  <c r="O21"/>
  <c r="G14"/>
  <c r="H14"/>
  <c r="I14"/>
  <c r="J14" s="1"/>
  <c r="K14" s="1"/>
  <c r="L14" s="1"/>
  <c r="M14" s="1"/>
  <c r="N14" s="1"/>
  <c r="O14" s="1"/>
  <c r="O12"/>
  <c r="D291" i="133"/>
  <c r="O283"/>
  <c r="F224"/>
  <c r="F223"/>
  <c r="E223"/>
  <c r="G223" s="1"/>
  <c r="H223" s="1"/>
  <c r="F222"/>
  <c r="H221"/>
  <c r="E222"/>
  <c r="G222" s="1"/>
  <c r="H222" s="1"/>
  <c r="E224"/>
  <c r="G224" s="1"/>
  <c r="H224" s="1"/>
  <c r="E163" i="48"/>
  <c r="D163"/>
  <c r="E162"/>
  <c r="O93"/>
  <c r="D73"/>
  <c r="C92"/>
  <c r="G94"/>
  <c r="H94" s="1"/>
  <c r="I94" s="1"/>
  <c r="J94" s="1"/>
  <c r="K94" s="1"/>
  <c r="L94" s="1"/>
  <c r="M94" s="1"/>
  <c r="N94" s="1"/>
  <c r="O94" s="1"/>
  <c r="O46"/>
  <c r="G47"/>
  <c r="H47"/>
  <c r="I47"/>
  <c r="J47" s="1"/>
  <c r="K47" s="1"/>
  <c r="L47" s="1"/>
  <c r="M47" s="1"/>
  <c r="N47" s="1"/>
  <c r="O47" s="1"/>
  <c r="O40"/>
  <c r="G38"/>
  <c r="H38" s="1"/>
  <c r="I38" s="1"/>
  <c r="J38" s="1"/>
  <c r="K38" s="1"/>
  <c r="L38" s="1"/>
  <c r="M38" s="1"/>
  <c r="N38" s="1"/>
  <c r="O38" s="1"/>
  <c r="G22"/>
  <c r="H22"/>
  <c r="I22"/>
  <c r="J22"/>
  <c r="K22" s="1"/>
  <c r="L22" s="1"/>
  <c r="M22" s="1"/>
  <c r="N22" s="1"/>
  <c r="O22" s="1"/>
  <c r="O21"/>
  <c r="G28"/>
  <c r="H28" s="1"/>
  <c r="I28" s="1"/>
  <c r="J28" s="1"/>
  <c r="K28" s="1"/>
  <c r="L28" s="1"/>
  <c r="M28" s="1"/>
  <c r="N28" s="1"/>
  <c r="O28" s="1"/>
  <c r="O27"/>
  <c r="K4" i="6"/>
  <c r="O13" i="48"/>
  <c r="G14"/>
  <c r="H14" s="1"/>
  <c r="I14" s="1"/>
  <c r="J14" s="1"/>
  <c r="K14" s="1"/>
  <c r="L14" s="1"/>
  <c r="M14" s="1"/>
  <c r="N14" s="1"/>
  <c r="O14" s="1"/>
  <c r="E259" i="133"/>
  <c r="E257"/>
  <c r="E244"/>
  <c r="G242"/>
  <c r="H242" s="1"/>
  <c r="I242" s="1"/>
  <c r="J242" s="1"/>
  <c r="K242" s="1"/>
  <c r="L242" s="1"/>
  <c r="M242" s="1"/>
  <c r="N242" s="1"/>
  <c r="O242" s="1"/>
  <c r="O235"/>
  <c r="O230"/>
  <c r="G236"/>
  <c r="H236"/>
  <c r="I236" s="1"/>
  <c r="J236" s="1"/>
  <c r="K236" s="1"/>
  <c r="L236" s="1"/>
  <c r="M236" s="1"/>
  <c r="N236" s="1"/>
  <c r="O236" s="1"/>
  <c r="G231"/>
  <c r="H231" s="1"/>
  <c r="I231" s="1"/>
  <c r="J231" s="1"/>
  <c r="K231" s="1"/>
  <c r="L231" s="1"/>
  <c r="M231" s="1"/>
  <c r="N231" s="1"/>
  <c r="O231" s="1"/>
  <c r="G175"/>
  <c r="H175" s="1"/>
  <c r="I175" s="1"/>
  <c r="J175" s="1"/>
  <c r="K175" s="1"/>
  <c r="L175" s="1"/>
  <c r="M175" s="1"/>
  <c r="N175" s="1"/>
  <c r="O175" s="1"/>
  <c r="G165"/>
  <c r="H165"/>
  <c r="I165"/>
  <c r="J165" s="1"/>
  <c r="K165" s="1"/>
  <c r="L165" s="1"/>
  <c r="M165" s="1"/>
  <c r="N165" s="1"/>
  <c r="O165" s="1"/>
  <c r="G159"/>
  <c r="H159"/>
  <c r="I159" s="1"/>
  <c r="J159" s="1"/>
  <c r="K159" s="1"/>
  <c r="L159" s="1"/>
  <c r="M159" s="1"/>
  <c r="N159" s="1"/>
  <c r="O159" s="1"/>
  <c r="O158"/>
  <c r="G154"/>
  <c r="H154" s="1"/>
  <c r="I154" s="1"/>
  <c r="J154"/>
  <c r="K154"/>
  <c r="L154" s="1"/>
  <c r="M154" s="1"/>
  <c r="N154" s="1"/>
  <c r="O154" s="1"/>
  <c r="O153"/>
  <c r="G145"/>
  <c r="H145"/>
  <c r="I145" s="1"/>
  <c r="J145" s="1"/>
  <c r="K145" s="1"/>
  <c r="L145" s="1"/>
  <c r="M145" s="1"/>
  <c r="N145" s="1"/>
  <c r="O145" s="1"/>
  <c r="O144"/>
  <c r="G135"/>
  <c r="H135" s="1"/>
  <c r="I135" s="1"/>
  <c r="J135"/>
  <c r="K135"/>
  <c r="L135" s="1"/>
  <c r="M135" s="1"/>
  <c r="N135" s="1"/>
  <c r="O135" s="1"/>
  <c r="O134"/>
  <c r="O124"/>
  <c r="G125"/>
  <c r="H125" s="1"/>
  <c r="I125" s="1"/>
  <c r="J125" s="1"/>
  <c r="K125" s="1"/>
  <c r="L125" s="1"/>
  <c r="M125" s="1"/>
  <c r="N125" s="1"/>
  <c r="O125" s="1"/>
  <c r="G113"/>
  <c r="H113" s="1"/>
  <c r="I113" s="1"/>
  <c r="J113"/>
  <c r="K113"/>
  <c r="L113" s="1"/>
  <c r="M113" s="1"/>
  <c r="N113" s="1"/>
  <c r="O113" s="1"/>
  <c r="D111"/>
  <c r="G102"/>
  <c r="H102"/>
  <c r="I102" s="1"/>
  <c r="J102" s="1"/>
  <c r="K102" s="1"/>
  <c r="L102" s="1"/>
  <c r="M102" s="1"/>
  <c r="N102" s="1"/>
  <c r="O102" s="1"/>
  <c r="G93"/>
  <c r="H93" s="1"/>
  <c r="I93" s="1"/>
  <c r="J93" s="1"/>
  <c r="K93" s="1"/>
  <c r="L93" s="1"/>
  <c r="M93" s="1"/>
  <c r="N93" s="1"/>
  <c r="O93" s="1"/>
  <c r="G83"/>
  <c r="H83" s="1"/>
  <c r="I83" s="1"/>
  <c r="J83" s="1"/>
  <c r="K83" s="1"/>
  <c r="L83" s="1"/>
  <c r="M83" s="1"/>
  <c r="N83" s="1"/>
  <c r="O83" s="1"/>
  <c r="G73"/>
  <c r="H73" s="1"/>
  <c r="I73"/>
  <c r="J73" s="1"/>
  <c r="K73" s="1"/>
  <c r="L73" s="1"/>
  <c r="M73" s="1"/>
  <c r="N73" s="1"/>
  <c r="O73" s="1"/>
  <c r="G49"/>
  <c r="H49"/>
  <c r="I49" s="1"/>
  <c r="J49" s="1"/>
  <c r="K49" s="1"/>
  <c r="L49" s="1"/>
  <c r="M49" s="1"/>
  <c r="N49" s="1"/>
  <c r="O49" s="1"/>
  <c r="O47"/>
  <c r="G41"/>
  <c r="H41" s="1"/>
  <c r="I41" s="1"/>
  <c r="J41" s="1"/>
  <c r="K41" s="1"/>
  <c r="L41" s="1"/>
  <c r="M41" s="1"/>
  <c r="N41" s="1"/>
  <c r="O41" s="1"/>
  <c r="O39"/>
  <c r="O14"/>
  <c r="G16"/>
  <c r="H16" s="1"/>
  <c r="I16" s="1"/>
  <c r="J16" s="1"/>
  <c r="K16" s="1"/>
  <c r="L16" s="1"/>
  <c r="M16" s="1"/>
  <c r="N16" s="1"/>
  <c r="O16" s="1"/>
  <c r="F107" i="6"/>
  <c r="I9" i="23"/>
  <c r="H8"/>
  <c r="I8"/>
  <c r="D279" i="133"/>
  <c r="D278"/>
  <c r="D277"/>
  <c r="D276"/>
  <c r="O273"/>
  <c r="E250"/>
  <c r="E248"/>
  <c r="E243"/>
  <c r="G217"/>
  <c r="B2"/>
  <c r="B1"/>
  <c r="C28" i="23"/>
  <c r="C29"/>
  <c r="C27"/>
  <c r="E7" i="6"/>
  <c r="D124"/>
  <c r="E15"/>
  <c r="F15" s="1"/>
  <c r="D134"/>
  <c r="D135"/>
  <c r="E26"/>
  <c r="F26" s="1"/>
  <c r="F11" i="12" s="1"/>
  <c r="E22" i="6"/>
  <c r="C38" i="12"/>
  <c r="E6" i="6"/>
  <c r="F6" s="1"/>
  <c r="E14"/>
  <c r="F14" s="1"/>
  <c r="F99"/>
  <c r="D133"/>
  <c r="H44" i="23"/>
  <c r="O127" i="48"/>
  <c r="C46" i="12"/>
  <c r="G46"/>
  <c r="C47"/>
  <c r="G47"/>
  <c r="C48"/>
  <c r="G48"/>
  <c r="C49"/>
  <c r="G49"/>
  <c r="C50"/>
  <c r="G50"/>
  <c r="C51"/>
  <c r="G51"/>
  <c r="C52"/>
  <c r="G52"/>
  <c r="C53"/>
  <c r="G53"/>
  <c r="C54"/>
  <c r="G54"/>
  <c r="C55"/>
  <c r="G55"/>
  <c r="C56"/>
  <c r="G56"/>
  <c r="C57"/>
  <c r="G57"/>
  <c r="G58"/>
  <c r="C59"/>
  <c r="G59"/>
  <c r="C60"/>
  <c r="G60"/>
  <c r="C61"/>
  <c r="G61"/>
  <c r="C62"/>
  <c r="G62"/>
  <c r="C63"/>
  <c r="G63"/>
  <c r="C64"/>
  <c r="G64"/>
  <c r="C65"/>
  <c r="G65"/>
  <c r="C66"/>
  <c r="G66"/>
  <c r="C67"/>
  <c r="G67"/>
  <c r="C68"/>
  <c r="G68"/>
  <c r="C69"/>
  <c r="G69"/>
  <c r="C70"/>
  <c r="G70"/>
  <c r="C71"/>
  <c r="G71"/>
  <c r="C72"/>
  <c r="G72"/>
  <c r="C73"/>
  <c r="G73"/>
  <c r="C74"/>
  <c r="G74"/>
  <c r="C75"/>
  <c r="C76"/>
  <c r="C77"/>
  <c r="C78"/>
  <c r="C79"/>
  <c r="C80"/>
  <c r="C81"/>
  <c r="G81"/>
  <c r="C82"/>
  <c r="G82"/>
  <c r="C83"/>
  <c r="C84"/>
  <c r="C85"/>
  <c r="C86"/>
  <c r="C87"/>
  <c r="G87"/>
  <c r="C88"/>
  <c r="G88"/>
  <c r="C89"/>
  <c r="G89"/>
  <c r="C90"/>
  <c r="G90"/>
  <c r="C91"/>
  <c r="G91"/>
  <c r="D114" i="6"/>
  <c r="D115"/>
  <c r="D116"/>
  <c r="D117"/>
  <c r="D118"/>
  <c r="D119"/>
  <c r="D120"/>
  <c r="D121"/>
  <c r="D122"/>
  <c r="D123"/>
  <c r="D125"/>
  <c r="D126"/>
  <c r="D127"/>
  <c r="D128"/>
  <c r="D129"/>
  <c r="D130"/>
  <c r="D131"/>
  <c r="D132"/>
  <c r="D29" i="35"/>
  <c r="E29" s="1"/>
  <c r="F29" s="1"/>
  <c r="G29" s="1"/>
  <c r="H29" s="1"/>
  <c r="I29" s="1"/>
  <c r="J29" s="1"/>
  <c r="K29" s="1"/>
  <c r="H7" i="23"/>
  <c r="I7" s="1"/>
  <c r="H10"/>
  <c r="I10"/>
  <c r="I12"/>
  <c r="I13"/>
  <c r="H14"/>
  <c r="I14"/>
  <c r="H15"/>
  <c r="I15" s="1"/>
  <c r="H16"/>
  <c r="I16"/>
  <c r="H19"/>
  <c r="I19" s="1"/>
  <c r="H20"/>
  <c r="I20"/>
  <c r="H24"/>
  <c r="I24" s="1"/>
  <c r="H25"/>
  <c r="I25"/>
  <c r="H26"/>
  <c r="I26" s="1"/>
  <c r="H27"/>
  <c r="I27"/>
  <c r="H28"/>
  <c r="I28" s="1"/>
  <c r="H29"/>
  <c r="I29"/>
  <c r="H37"/>
  <c r="I37" s="1"/>
  <c r="H38"/>
  <c r="I38"/>
  <c r="H39"/>
  <c r="I39" s="1"/>
  <c r="H41"/>
  <c r="I41"/>
  <c r="F98" i="6"/>
  <c r="E98" s="1"/>
  <c r="C37" i="12"/>
  <c r="E9" i="6"/>
  <c r="E12"/>
  <c r="F12" s="1"/>
  <c r="E30"/>
  <c r="F30" s="1"/>
  <c r="E57"/>
  <c r="B81"/>
  <c r="F81"/>
  <c r="B82"/>
  <c r="F82"/>
  <c r="B83"/>
  <c r="F83"/>
  <c r="E152" i="48"/>
  <c r="E151"/>
  <c r="E150"/>
  <c r="E149"/>
  <c r="E148"/>
  <c r="D139"/>
  <c r="D138"/>
  <c r="D137"/>
  <c r="D136"/>
  <c r="D135"/>
  <c r="D134"/>
  <c r="D133"/>
  <c r="D132"/>
  <c r="D131"/>
  <c r="D130"/>
  <c r="E111"/>
  <c r="D80"/>
  <c r="D79"/>
  <c r="D78"/>
  <c r="D68"/>
  <c r="D67"/>
  <c r="D66"/>
  <c r="O63"/>
  <c r="B2"/>
  <c r="B1"/>
  <c r="C35" i="12"/>
  <c r="C20"/>
  <c r="C13"/>
  <c r="C7"/>
  <c r="H4"/>
  <c r="G86"/>
  <c r="AT60" i="231"/>
  <c r="AS60"/>
  <c r="AV60"/>
  <c r="AQ60"/>
  <c r="AP60"/>
  <c r="AX60"/>
  <c r="AU60"/>
  <c r="AW60"/>
  <c r="AR60"/>
  <c r="AO60"/>
  <c r="G78" i="12"/>
  <c r="G80"/>
  <c r="G79"/>
  <c r="J617" i="48"/>
  <c r="K617"/>
  <c r="H617"/>
  <c r="I617"/>
  <c r="N617"/>
  <c r="F617"/>
  <c r="O617"/>
  <c r="G617"/>
  <c r="L617"/>
  <c r="M617"/>
  <c r="J618"/>
  <c r="H618"/>
  <c r="N618"/>
  <c r="F618"/>
  <c r="L618"/>
  <c r="O618"/>
  <c r="G618"/>
  <c r="M618"/>
  <c r="K618"/>
  <c r="I618"/>
  <c r="AO59" i="231"/>
  <c r="J153" i="48"/>
  <c r="O153"/>
  <c r="I153"/>
  <c r="G153"/>
  <c r="N153"/>
  <c r="M153"/>
  <c r="H153"/>
  <c r="L153"/>
  <c r="K153"/>
  <c r="F153"/>
  <c r="S30" i="231"/>
  <c r="T30"/>
  <c r="AP59"/>
  <c r="AQ59"/>
  <c r="AR59"/>
  <c r="AS59"/>
  <c r="AT59"/>
  <c r="AU59"/>
  <c r="AV59"/>
  <c r="AX59"/>
  <c r="AW59"/>
  <c r="X30"/>
  <c r="Y30"/>
  <c r="U30"/>
  <c r="V30"/>
  <c r="Z30"/>
  <c r="AA30"/>
  <c r="W30"/>
  <c r="AB30"/>
  <c r="G101" i="203"/>
  <c r="K101"/>
  <c r="F173" i="204"/>
  <c r="G173"/>
  <c r="H101" i="203"/>
  <c r="H173" i="204"/>
  <c r="O173"/>
  <c r="N173"/>
  <c r="M173"/>
  <c r="L173"/>
  <c r="K173"/>
  <c r="J173"/>
  <c r="I173"/>
  <c r="I174"/>
  <c r="J174"/>
  <c r="L174"/>
  <c r="M174"/>
  <c r="K174"/>
  <c r="N174"/>
  <c r="O174"/>
  <c r="H174"/>
  <c r="G174"/>
  <c r="F174"/>
  <c r="AO62" i="231"/>
  <c r="AV62"/>
  <c r="AX62"/>
  <c r="AT62"/>
  <c r="AS62"/>
  <c r="AR62"/>
  <c r="AW62"/>
  <c r="AQ62"/>
  <c r="AU62"/>
  <c r="AP62"/>
  <c r="AB45"/>
  <c r="T45"/>
  <c r="V45"/>
  <c r="X45"/>
  <c r="Z45"/>
  <c r="W45"/>
  <c r="U45"/>
  <c r="Y45"/>
  <c r="AA45"/>
  <c r="W51"/>
  <c r="AS51" s="1"/>
  <c r="AB51"/>
  <c r="AX51" s="1"/>
  <c r="AA51"/>
  <c r="AW51" s="1"/>
  <c r="V51"/>
  <c r="X51"/>
  <c r="AT51"/>
  <c r="Y51"/>
  <c r="S45"/>
  <c r="AB41"/>
  <c r="AA41"/>
  <c r="Y41"/>
  <c r="V41"/>
  <c r="X41"/>
  <c r="W41"/>
  <c r="Z41"/>
  <c r="S51"/>
  <c r="S41"/>
  <c r="U51"/>
  <c r="T51"/>
  <c r="AP51" s="1"/>
  <c r="AX61"/>
  <c r="AQ61"/>
  <c r="AS61"/>
  <c r="AP61"/>
  <c r="AU61"/>
  <c r="AR61"/>
  <c r="AV61"/>
  <c r="AO61"/>
  <c r="AT61"/>
  <c r="AW61"/>
  <c r="S40"/>
  <c r="T41"/>
  <c r="U41"/>
  <c r="V40"/>
  <c r="AB40"/>
  <c r="Y40"/>
  <c r="T40"/>
  <c r="X40"/>
  <c r="Z40"/>
  <c r="W40"/>
  <c r="U40"/>
  <c r="AA40"/>
  <c r="V35"/>
  <c r="U35"/>
  <c r="T35"/>
  <c r="Z35"/>
  <c r="AB35"/>
  <c r="Y35"/>
  <c r="X35"/>
  <c r="W35"/>
  <c r="AA35"/>
  <c r="S35"/>
  <c r="AB49"/>
  <c r="AX49" s="1"/>
  <c r="Y49"/>
  <c r="AU49"/>
  <c r="U49"/>
  <c r="AQ49" s="1"/>
  <c r="AA49"/>
  <c r="AW49" s="1"/>
  <c r="V49"/>
  <c r="S49"/>
  <c r="T49"/>
  <c r="AP49" s="1"/>
  <c r="W49"/>
  <c r="X49"/>
  <c r="AT49"/>
  <c r="X42"/>
  <c r="S42"/>
  <c r="AB42"/>
  <c r="Y42"/>
  <c r="V42"/>
  <c r="AA42"/>
  <c r="W42"/>
  <c r="U42"/>
  <c r="Z42"/>
  <c r="T42"/>
  <c r="E19" i="6"/>
  <c r="K106" i="238"/>
  <c r="N78" i="133"/>
  <c r="F72" i="6"/>
  <c r="M106" i="238"/>
  <c r="I22" i="184"/>
  <c r="J22" s="1"/>
  <c r="K22" s="1"/>
  <c r="L22" s="1"/>
  <c r="M22" s="1"/>
  <c r="N22" s="1"/>
  <c r="O22" s="1"/>
  <c r="M189" i="188"/>
  <c r="O294" i="238"/>
  <c r="K294"/>
  <c r="G294"/>
  <c r="J207" i="194"/>
  <c r="F66" i="244"/>
  <c r="N65" i="159"/>
  <c r="K65"/>
  <c r="J56"/>
  <c r="F121" i="238"/>
  <c r="O126"/>
  <c r="O106"/>
  <c r="F294"/>
  <c r="L294"/>
  <c r="H294"/>
  <c r="N294"/>
  <c r="J294"/>
  <c r="J61" i="233"/>
  <c r="L61"/>
  <c r="AU50" i="231"/>
  <c r="N56" i="159"/>
  <c r="J121" i="238"/>
  <c r="J126"/>
  <c r="J106"/>
  <c r="O65" i="159"/>
  <c r="H21" i="184"/>
  <c r="I21"/>
  <c r="J21"/>
  <c r="K21" s="1"/>
  <c r="L21" s="1"/>
  <c r="M21" s="1"/>
  <c r="N21" s="1"/>
  <c r="O21" s="1"/>
  <c r="H20"/>
  <c r="I20"/>
  <c r="J20" s="1"/>
  <c r="K20" s="1"/>
  <c r="L20" s="1"/>
  <c r="M20" s="1"/>
  <c r="N20" s="1"/>
  <c r="O20" s="1"/>
  <c r="H61" i="233"/>
  <c r="N61"/>
  <c r="I61"/>
  <c r="K61"/>
  <c r="M61"/>
  <c r="F189" i="188"/>
  <c r="J189"/>
  <c r="G121" i="238"/>
  <c r="G126" s="1"/>
  <c r="G106"/>
  <c r="M294"/>
  <c r="I294"/>
  <c r="N189" i="188"/>
  <c r="E58" i="6"/>
  <c r="F73"/>
  <c r="O56" i="159"/>
  <c r="I56"/>
  <c r="L56"/>
  <c r="H56"/>
  <c r="F56"/>
  <c r="G65"/>
  <c r="L65"/>
  <c r="K56"/>
  <c r="F65"/>
  <c r="I65"/>
  <c r="H65"/>
  <c r="J65"/>
  <c r="G56"/>
  <c r="M56"/>
  <c r="M65"/>
  <c r="F81" i="191"/>
  <c r="G35" i="188"/>
  <c r="H103" s="1"/>
  <c r="L49" i="184"/>
  <c r="E103" i="6"/>
  <c r="E99"/>
  <c r="E97"/>
  <c r="E94"/>
  <c r="E102"/>
  <c r="L121" i="238"/>
  <c r="L126" s="1"/>
  <c r="N126"/>
  <c r="F105" i="6"/>
  <c r="F20" i="270"/>
  <c r="G20"/>
  <c r="G378"/>
  <c r="G374"/>
  <c r="G372"/>
  <c r="AT40" i="188"/>
  <c r="AU104" s="1"/>
  <c r="Z30"/>
  <c r="AA102"/>
  <c r="AJ40"/>
  <c r="AK104" s="1"/>
  <c r="O40"/>
  <c r="P104"/>
  <c r="AK30"/>
  <c r="AL102" s="1"/>
  <c r="R40"/>
  <c r="S104"/>
  <c r="AN40"/>
  <c r="AO104" s="1"/>
  <c r="BB4" i="277"/>
  <c r="BA82"/>
  <c r="O89" i="154"/>
  <c r="O106" s="1"/>
  <c r="O310" s="1"/>
  <c r="O311" s="1"/>
  <c r="J216" i="159"/>
  <c r="G152"/>
  <c r="G485" s="1"/>
  <c r="K153"/>
  <c r="K486" s="1"/>
  <c r="L151"/>
  <c r="L484" s="1"/>
  <c r="L215"/>
  <c r="F219"/>
  <c r="I145"/>
  <c r="I478" s="1"/>
  <c r="O140"/>
  <c r="O473" s="1"/>
  <c r="O480" s="1"/>
  <c r="O144"/>
  <c r="O477" s="1"/>
  <c r="J140"/>
  <c r="J473" s="1"/>
  <c r="G141"/>
  <c r="G474" s="1"/>
  <c r="N215"/>
  <c r="M215"/>
  <c r="M216"/>
  <c r="K219"/>
  <c r="I215"/>
  <c r="O221"/>
  <c r="E221" s="1"/>
  <c r="F215"/>
  <c r="F152"/>
  <c r="F485"/>
  <c r="M143"/>
  <c r="M476" s="1"/>
  <c r="F145"/>
  <c r="F478"/>
  <c r="N154"/>
  <c r="H142"/>
  <c r="H475"/>
  <c r="K155"/>
  <c r="K488" s="1"/>
  <c r="N140"/>
  <c r="N473"/>
  <c r="L150"/>
  <c r="L483" s="1"/>
  <c r="K140"/>
  <c r="K473"/>
  <c r="F149"/>
  <c r="K221"/>
  <c r="H215"/>
  <c r="H218"/>
  <c r="F218"/>
  <c r="M144"/>
  <c r="M477"/>
  <c r="G145"/>
  <c r="G478" s="1"/>
  <c r="N145"/>
  <c r="N478"/>
  <c r="I140"/>
  <c r="K151"/>
  <c r="K484"/>
  <c r="N155"/>
  <c r="N488" s="1"/>
  <c r="F141"/>
  <c r="F474"/>
  <c r="F155"/>
  <c r="F488" s="1"/>
  <c r="H221"/>
  <c r="J215"/>
  <c r="O219"/>
  <c r="E219" s="1"/>
  <c r="G153"/>
  <c r="G486" s="1"/>
  <c r="N143"/>
  <c r="N476" s="1"/>
  <c r="J143"/>
  <c r="J476" s="1"/>
  <c r="J145"/>
  <c r="J478" s="1"/>
  <c r="H149"/>
  <c r="H482" s="1"/>
  <c r="J155"/>
  <c r="J488" s="1"/>
  <c r="M149"/>
  <c r="M482" s="1"/>
  <c r="O155"/>
  <c r="O488"/>
  <c r="J141"/>
  <c r="J474" s="1"/>
  <c r="AO40" i="188"/>
  <c r="AP104" s="1"/>
  <c r="Z35"/>
  <c r="AA103" s="1"/>
  <c r="H40"/>
  <c r="I104"/>
  <c r="F40"/>
  <c r="G104" s="1"/>
  <c r="AK35"/>
  <c r="AL103" s="1"/>
  <c r="AB30"/>
  <c r="AC102" s="1"/>
  <c r="AF40"/>
  <c r="AG104" s="1"/>
  <c r="X35"/>
  <c r="Y103" s="1"/>
  <c r="I40"/>
  <c r="J104" s="1"/>
  <c r="AL35"/>
  <c r="AM103" s="1"/>
  <c r="W30"/>
  <c r="X102"/>
  <c r="S35"/>
  <c r="T103" s="1"/>
  <c r="N35"/>
  <c r="O103" s="1"/>
  <c r="AL40"/>
  <c r="AM104" s="1"/>
  <c r="AI40"/>
  <c r="AJ104" s="1"/>
  <c r="V35"/>
  <c r="W103" s="1"/>
  <c r="X40"/>
  <c r="Y104" s="1"/>
  <c r="AS40"/>
  <c r="AT104" s="1"/>
  <c r="U30"/>
  <c r="V102"/>
  <c r="J35"/>
  <c r="K103" s="1"/>
  <c r="E35"/>
  <c r="F103" s="1"/>
  <c r="AC30"/>
  <c r="AD102" s="1"/>
  <c r="T40"/>
  <c r="U104" s="1"/>
  <c r="W35"/>
  <c r="X103" s="1"/>
  <c r="I47" i="238"/>
  <c r="I240" s="1"/>
  <c r="H233" i="154"/>
  <c r="H320" s="1"/>
  <c r="L216"/>
  <c r="L312"/>
  <c r="G30" i="188"/>
  <c r="H102" s="1"/>
  <c r="L30"/>
  <c r="M102" s="1"/>
  <c r="AJ30"/>
  <c r="AK102" s="1"/>
  <c r="Q30"/>
  <c r="R102" s="1"/>
  <c r="Y30"/>
  <c r="Z102" s="1"/>
  <c r="K35"/>
  <c r="L103" s="1"/>
  <c r="AC35"/>
  <c r="AD103" s="1"/>
  <c r="K30"/>
  <c r="L102"/>
  <c r="H35"/>
  <c r="I103" s="1"/>
  <c r="AD40"/>
  <c r="AE104" s="1"/>
  <c r="AE35"/>
  <c r="AF103" s="1"/>
  <c r="N40"/>
  <c r="O104" s="1"/>
  <c r="F30"/>
  <c r="G102" s="1"/>
  <c r="AH40"/>
  <c r="AI104" s="1"/>
  <c r="O35"/>
  <c r="P103" s="1"/>
  <c r="M35"/>
  <c r="N103"/>
  <c r="AK40"/>
  <c r="AL104" s="1"/>
  <c r="AE40"/>
  <c r="AF104" s="1"/>
  <c r="J30"/>
  <c r="K102" s="1"/>
  <c r="F35"/>
  <c r="G103" s="1"/>
  <c r="AT30"/>
  <c r="AU102" s="1"/>
  <c r="AS35"/>
  <c r="AT103" s="1"/>
  <c r="AQ35"/>
  <c r="AR103" s="1"/>
  <c r="N30"/>
  <c r="O102"/>
  <c r="W40"/>
  <c r="X104" s="1"/>
  <c r="X30"/>
  <c r="Y102" s="1"/>
  <c r="AB35"/>
  <c r="AC103" s="1"/>
  <c r="AG30"/>
  <c r="AH102" s="1"/>
  <c r="AQ30"/>
  <c r="AR102" s="1"/>
  <c r="U40"/>
  <c r="V104" s="1"/>
  <c r="K40"/>
  <c r="L104" s="1"/>
  <c r="AP40"/>
  <c r="AQ104"/>
  <c r="K34" i="187"/>
  <c r="O36"/>
  <c r="F60"/>
  <c r="O61"/>
  <c r="L217" i="159"/>
  <c r="K218"/>
  <c r="O217"/>
  <c r="M219"/>
  <c r="I219"/>
  <c r="F216"/>
  <c r="F220"/>
  <c r="F144"/>
  <c r="F477" s="1"/>
  <c r="H152"/>
  <c r="H485"/>
  <c r="O152"/>
  <c r="O485" s="1"/>
  <c r="N153"/>
  <c r="N486"/>
  <c r="L143"/>
  <c r="L476" s="1"/>
  <c r="I152"/>
  <c r="I485"/>
  <c r="H154"/>
  <c r="H487" s="1"/>
  <c r="L154"/>
  <c r="L487"/>
  <c r="O154"/>
  <c r="O487" s="1"/>
  <c r="H155"/>
  <c r="H488"/>
  <c r="I146"/>
  <c r="I479" s="1"/>
  <c r="J151"/>
  <c r="J484"/>
  <c r="L149"/>
  <c r="L482" s="1"/>
  <c r="M155"/>
  <c r="M488"/>
  <c r="N146"/>
  <c r="N479" s="1"/>
  <c r="O151"/>
  <c r="O484"/>
  <c r="H150"/>
  <c r="M150"/>
  <c r="M483"/>
  <c r="F142"/>
  <c r="N217"/>
  <c r="L221"/>
  <c r="M220"/>
  <c r="M221"/>
  <c r="L219"/>
  <c r="J219"/>
  <c r="F217"/>
  <c r="F221"/>
  <c r="H153"/>
  <c r="H486"/>
  <c r="O153"/>
  <c r="O486" s="1"/>
  <c r="N144"/>
  <c r="N477"/>
  <c r="L144"/>
  <c r="L477" s="1"/>
  <c r="I153"/>
  <c r="I486"/>
  <c r="H145"/>
  <c r="H478" s="1"/>
  <c r="M154"/>
  <c r="M487"/>
  <c r="G140"/>
  <c r="G473" s="1"/>
  <c r="H146"/>
  <c r="H479"/>
  <c r="I142"/>
  <c r="I475" s="1"/>
  <c r="J142"/>
  <c r="J475"/>
  <c r="L155"/>
  <c r="L488" s="1"/>
  <c r="M142"/>
  <c r="M475"/>
  <c r="N142"/>
  <c r="N475" s="1"/>
  <c r="I150"/>
  <c r="I483"/>
  <c r="M141"/>
  <c r="K220"/>
  <c r="M47" i="238"/>
  <c r="M240" s="1"/>
  <c r="F47"/>
  <c r="F240" s="1"/>
  <c r="K47"/>
  <c r="K240" s="1"/>
  <c r="J47"/>
  <c r="J240" s="1"/>
  <c r="G134" i="154"/>
  <c r="G266"/>
  <c r="G268" s="1"/>
  <c r="F134"/>
  <c r="F266"/>
  <c r="F268" s="1"/>
  <c r="G89"/>
  <c r="G106" s="1"/>
  <c r="G310" s="1"/>
  <c r="G311" s="1"/>
  <c r="H43" i="48"/>
  <c r="K118" i="133"/>
  <c r="L118"/>
  <c r="J118"/>
  <c r="M296"/>
  <c r="M118"/>
  <c r="F118"/>
  <c r="K296"/>
  <c r="I296"/>
  <c r="AF30" i="188"/>
  <c r="AG102" s="1"/>
  <c r="AA35"/>
  <c r="AB103"/>
  <c r="AG35"/>
  <c r="AH103" s="1"/>
  <c r="AS30"/>
  <c r="AT102"/>
  <c r="AF35"/>
  <c r="AG103" s="1"/>
  <c r="AP30"/>
  <c r="AQ102"/>
  <c r="S40"/>
  <c r="T104" s="1"/>
  <c r="Q40"/>
  <c r="R104"/>
  <c r="P35"/>
  <c r="Q103" s="1"/>
  <c r="Y35"/>
  <c r="Z103"/>
  <c r="L40"/>
  <c r="M104" s="1"/>
  <c r="AH30"/>
  <c r="AI102"/>
  <c r="U35"/>
  <c r="V103" s="1"/>
  <c r="AR35"/>
  <c r="AS103"/>
  <c r="AO30"/>
  <c r="AP102" s="1"/>
  <c r="O30"/>
  <c r="P102"/>
  <c r="Z40"/>
  <c r="AA104" s="1"/>
  <c r="AP35"/>
  <c r="AQ103"/>
  <c r="S30"/>
  <c r="T102" s="1"/>
  <c r="AM40"/>
  <c r="AN104"/>
  <c r="V40"/>
  <c r="W104" s="1"/>
  <c r="AO35"/>
  <c r="AP103"/>
  <c r="AQ40"/>
  <c r="AR104" s="1"/>
  <c r="T35"/>
  <c r="U103"/>
  <c r="AC40"/>
  <c r="AD104" s="1"/>
  <c r="H30"/>
  <c r="I102"/>
  <c r="AM35"/>
  <c r="AN103" s="1"/>
  <c r="AI30"/>
  <c r="AJ102"/>
  <c r="AD35"/>
  <c r="AE103" s="1"/>
  <c r="P40"/>
  <c r="Q104"/>
  <c r="AA30"/>
  <c r="AB102" s="1"/>
  <c r="AN35"/>
  <c r="AO103"/>
  <c r="L35"/>
  <c r="M103" s="1"/>
  <c r="E30"/>
  <c r="F102"/>
  <c r="AN30"/>
  <c r="AO102" s="1"/>
  <c r="J40"/>
  <c r="K104"/>
  <c r="AH35"/>
  <c r="AI103" s="1"/>
  <c r="G22"/>
  <c r="F85"/>
  <c r="P30"/>
  <c r="Q102" s="1"/>
  <c r="AB40"/>
  <c r="AC104"/>
  <c r="E40"/>
  <c r="F104" s="1"/>
  <c r="M30"/>
  <c r="N102"/>
  <c r="AR30"/>
  <c r="AS102" s="1"/>
  <c r="AE30"/>
  <c r="AF102"/>
  <c r="M40"/>
  <c r="N104" s="1"/>
  <c r="AM30"/>
  <c r="AN102"/>
  <c r="Y40"/>
  <c r="Z104" s="1"/>
  <c r="R35"/>
  <c r="S103"/>
  <c r="T30"/>
  <c r="U102" s="1"/>
  <c r="AG40"/>
  <c r="AH104"/>
  <c r="AA40"/>
  <c r="AB104" s="1"/>
  <c r="AT35"/>
  <c r="AU103"/>
  <c r="AR40"/>
  <c r="AS104" s="1"/>
  <c r="I30"/>
  <c r="J102"/>
  <c r="Q35"/>
  <c r="R103" s="1"/>
  <c r="AI35"/>
  <c r="AJ103"/>
  <c r="R30"/>
  <c r="S102" s="1"/>
  <c r="V30"/>
  <c r="W102"/>
  <c r="AD30"/>
  <c r="AE102" s="1"/>
  <c r="AL30"/>
  <c r="AM102"/>
  <c r="I35"/>
  <c r="J103" s="1"/>
  <c r="G40"/>
  <c r="H104"/>
  <c r="M33" i="187"/>
  <c r="L35"/>
  <c r="N60"/>
  <c r="F34"/>
  <c r="G36"/>
  <c r="L61"/>
  <c r="I35"/>
  <c r="I60"/>
  <c r="H35" i="199"/>
  <c r="J35"/>
  <c r="I35"/>
  <c r="O216" i="154"/>
  <c r="O312" s="1"/>
  <c r="F35" i="199"/>
  <c r="N35"/>
  <c r="M35"/>
  <c r="G35"/>
  <c r="L35"/>
  <c r="O35"/>
  <c r="K35"/>
  <c r="I118" i="133"/>
  <c r="H296"/>
  <c r="O118"/>
  <c r="H118"/>
  <c r="N118"/>
  <c r="F296"/>
  <c r="J296"/>
  <c r="K89" i="154"/>
  <c r="K106" s="1"/>
  <c r="K310" s="1"/>
  <c r="K311" s="1"/>
  <c r="H216"/>
  <c r="H312" s="1"/>
  <c r="I233"/>
  <c r="I320" s="1"/>
  <c r="K233"/>
  <c r="K320" s="1"/>
  <c r="H118"/>
  <c r="G264" s="1"/>
  <c r="F144"/>
  <c r="F269"/>
  <c r="M89"/>
  <c r="M106" s="1"/>
  <c r="M310" s="1"/>
  <c r="M311" s="1"/>
  <c r="J233"/>
  <c r="J320" s="1"/>
  <c r="M216"/>
  <c r="M312"/>
  <c r="H89"/>
  <c r="H106" s="1"/>
  <c r="H310" s="1"/>
  <c r="H311"/>
  <c r="J89"/>
  <c r="J106" s="1"/>
  <c r="J310" s="1"/>
  <c r="J311" s="1"/>
  <c r="G144"/>
  <c r="G269" s="1"/>
  <c r="L233"/>
  <c r="L320"/>
  <c r="G216"/>
  <c r="G312" s="1"/>
  <c r="N216"/>
  <c r="N312"/>
  <c r="L89"/>
  <c r="L106" s="1"/>
  <c r="L310" s="1"/>
  <c r="L311" s="1"/>
  <c r="I216"/>
  <c r="I312" s="1"/>
  <c r="N233"/>
  <c r="N320"/>
  <c r="K216"/>
  <c r="K312" s="1"/>
  <c r="N89"/>
  <c r="N106"/>
  <c r="N310" s="1"/>
  <c r="N311" s="1"/>
  <c r="D118"/>
  <c r="F263"/>
  <c r="I89"/>
  <c r="I106" s="1"/>
  <c r="I310" s="1"/>
  <c r="I311" s="1"/>
  <c r="J216"/>
  <c r="J312" s="1"/>
  <c r="M233"/>
  <c r="M320"/>
  <c r="O233"/>
  <c r="O320" s="1"/>
  <c r="G39" i="244"/>
  <c r="N43" i="48"/>
  <c r="O43"/>
  <c r="M43"/>
  <c r="G43"/>
  <c r="M217" i="159"/>
  <c r="K217"/>
  <c r="J217"/>
  <c r="I217"/>
  <c r="I221"/>
  <c r="O215"/>
  <c r="E215" s="1"/>
  <c r="M218"/>
  <c r="J221"/>
  <c r="N216"/>
  <c r="L216"/>
  <c r="K216"/>
  <c r="J220"/>
  <c r="H220"/>
  <c r="O218"/>
  <c r="O220"/>
  <c r="G216"/>
  <c r="G218"/>
  <c r="G220"/>
  <c r="F153"/>
  <c r="F486" s="1"/>
  <c r="G143"/>
  <c r="G476"/>
  <c r="H143"/>
  <c r="H476" s="1"/>
  <c r="M152"/>
  <c r="M485"/>
  <c r="L152"/>
  <c r="L485" s="1"/>
  <c r="K152"/>
  <c r="K485"/>
  <c r="J152"/>
  <c r="J485" s="1"/>
  <c r="J144"/>
  <c r="J477"/>
  <c r="I144"/>
  <c r="I477" s="1"/>
  <c r="G154"/>
  <c r="G487"/>
  <c r="K154"/>
  <c r="K487" s="1"/>
  <c r="L220"/>
  <c r="O145"/>
  <c r="O478" s="1"/>
  <c r="G155"/>
  <c r="G488" s="1"/>
  <c r="G142"/>
  <c r="G475"/>
  <c r="I149"/>
  <c r="I482" s="1"/>
  <c r="I151"/>
  <c r="I484" s="1"/>
  <c r="K146"/>
  <c r="K479" s="1"/>
  <c r="L140"/>
  <c r="L473" s="1"/>
  <c r="L480" s="1"/>
  <c r="L142"/>
  <c r="L475" s="1"/>
  <c r="M146"/>
  <c r="M479" s="1"/>
  <c r="N149"/>
  <c r="N482" s="1"/>
  <c r="N221"/>
  <c r="O149"/>
  <c r="O482" s="1"/>
  <c r="O489" s="1"/>
  <c r="O146"/>
  <c r="O479" s="1"/>
  <c r="F150"/>
  <c r="F483" s="1"/>
  <c r="I141"/>
  <c r="K150"/>
  <c r="K483"/>
  <c r="L141"/>
  <c r="L474" s="1"/>
  <c r="N150"/>
  <c r="N483"/>
  <c r="O150"/>
  <c r="O483" s="1"/>
  <c r="K142"/>
  <c r="K475"/>
  <c r="K145"/>
  <c r="K478" s="1"/>
  <c r="F151"/>
  <c r="F484"/>
  <c r="F146"/>
  <c r="F479" s="1"/>
  <c r="N220"/>
  <c r="H217"/>
  <c r="N218"/>
  <c r="L218"/>
  <c r="J218"/>
  <c r="I220"/>
  <c r="I216"/>
  <c r="I218"/>
  <c r="H216"/>
  <c r="H219"/>
  <c r="O216"/>
  <c r="G215"/>
  <c r="G217"/>
  <c r="G219"/>
  <c r="G221"/>
  <c r="F143"/>
  <c r="F476" s="1"/>
  <c r="G144"/>
  <c r="G477" s="1"/>
  <c r="H144"/>
  <c r="H477" s="1"/>
  <c r="O143"/>
  <c r="O476" s="1"/>
  <c r="N152"/>
  <c r="N485" s="1"/>
  <c r="N219"/>
  <c r="M153"/>
  <c r="M486" s="1"/>
  <c r="L153"/>
  <c r="L486"/>
  <c r="K143"/>
  <c r="K476" s="1"/>
  <c r="J153"/>
  <c r="J486"/>
  <c r="I143"/>
  <c r="I476" s="1"/>
  <c r="F154"/>
  <c r="F487"/>
  <c r="I154"/>
  <c r="I487" s="1"/>
  <c r="J154"/>
  <c r="J487"/>
  <c r="L145"/>
  <c r="L478" s="1"/>
  <c r="M145"/>
  <c r="M478"/>
  <c r="G149"/>
  <c r="G482" s="1"/>
  <c r="G151"/>
  <c r="G484"/>
  <c r="H140"/>
  <c r="H473" s="1"/>
  <c r="H151"/>
  <c r="I155"/>
  <c r="I488" s="1"/>
  <c r="J149"/>
  <c r="J482" s="1"/>
  <c r="J146"/>
  <c r="J479"/>
  <c r="K149"/>
  <c r="K482" s="1"/>
  <c r="L146"/>
  <c r="L479" s="1"/>
  <c r="M140"/>
  <c r="M473" s="1"/>
  <c r="M151"/>
  <c r="M484" s="1"/>
  <c r="M489" s="1"/>
  <c r="N151"/>
  <c r="O142"/>
  <c r="O475"/>
  <c r="G150"/>
  <c r="H141"/>
  <c r="H474" s="1"/>
  <c r="J150"/>
  <c r="J156" s="1"/>
  <c r="K141"/>
  <c r="K474" s="1"/>
  <c r="N141"/>
  <c r="N474"/>
  <c r="O141"/>
  <c r="O474" s="1"/>
  <c r="K144"/>
  <c r="K477" s="1"/>
  <c r="H271" i="272"/>
  <c r="K48" i="184"/>
  <c r="K47"/>
  <c r="E47" s="1"/>
  <c r="N49"/>
  <c r="N48"/>
  <c r="K49"/>
  <c r="O47"/>
  <c r="G47"/>
  <c r="M49"/>
  <c r="N47"/>
  <c r="O48"/>
  <c r="G49"/>
  <c r="F49" s="1"/>
  <c r="M48"/>
  <c r="O49"/>
  <c r="G48"/>
  <c r="F48" s="1"/>
  <c r="L48"/>
  <c r="M47"/>
  <c r="L47"/>
  <c r="F57" i="6"/>
  <c r="F58"/>
  <c r="E105"/>
  <c r="E108"/>
  <c r="F9" i="24" s="1"/>
  <c r="E107" i="6"/>
  <c r="E100"/>
  <c r="E104"/>
  <c r="E96"/>
  <c r="G143" i="271"/>
  <c r="F143"/>
  <c r="AR50" i="231"/>
  <c r="AV50"/>
  <c r="AR51"/>
  <c r="AU51"/>
  <c r="AQ51"/>
  <c r="AR49"/>
  <c r="AO51"/>
  <c r="H463" i="270"/>
  <c r="M415"/>
  <c r="N96"/>
  <c r="G415"/>
  <c r="H96"/>
  <c r="G96"/>
  <c r="M96"/>
  <c r="G434"/>
  <c r="O415"/>
  <c r="K96"/>
  <c r="K434"/>
  <c r="H453"/>
  <c r="J434"/>
  <c r="I472"/>
  <c r="H425"/>
  <c r="L415"/>
  <c r="K415"/>
  <c r="H472"/>
  <c r="H415"/>
  <c r="G453"/>
  <c r="G425"/>
  <c r="I96"/>
  <c r="F96"/>
  <c r="H434"/>
  <c r="G472"/>
  <c r="N415"/>
  <c r="J415"/>
  <c r="I415"/>
  <c r="L96"/>
  <c r="O96"/>
  <c r="J96"/>
  <c r="I434"/>
  <c r="G463"/>
  <c r="F473" i="159"/>
  <c r="BB399" i="277"/>
  <c r="AY399"/>
  <c r="O62" i="187"/>
  <c r="K62"/>
  <c r="G62"/>
  <c r="M61"/>
  <c r="I61"/>
  <c r="O60"/>
  <c r="K60"/>
  <c r="G60"/>
  <c r="L36"/>
  <c r="H36"/>
  <c r="N35"/>
  <c r="J35"/>
  <c r="F35"/>
  <c r="L34"/>
  <c r="H34"/>
  <c r="N33"/>
  <c r="J33"/>
  <c r="F33"/>
  <c r="L62"/>
  <c r="H62"/>
  <c r="N61"/>
  <c r="J61"/>
  <c r="F61"/>
  <c r="L60"/>
  <c r="H60"/>
  <c r="M36"/>
  <c r="I36"/>
  <c r="O35"/>
  <c r="K35"/>
  <c r="G35"/>
  <c r="M34"/>
  <c r="I34"/>
  <c r="O33"/>
  <c r="K33"/>
  <c r="G33"/>
  <c r="N62"/>
  <c r="F62"/>
  <c r="H61"/>
  <c r="J60"/>
  <c r="K36"/>
  <c r="M35"/>
  <c r="O34"/>
  <c r="G34"/>
  <c r="I33"/>
  <c r="I62"/>
  <c r="K61"/>
  <c r="M60"/>
  <c r="N36"/>
  <c r="F36"/>
  <c r="H35"/>
  <c r="J34"/>
  <c r="L33"/>
  <c r="F34" i="6"/>
  <c r="F17"/>
  <c r="F19"/>
  <c r="F9"/>
  <c r="F7"/>
  <c r="F25"/>
  <c r="F10"/>
  <c r="F22"/>
  <c r="I23" i="48" s="1"/>
  <c r="H33" i="187"/>
  <c r="N34"/>
  <c r="J36"/>
  <c r="G61"/>
  <c r="M62"/>
  <c r="N207" i="194"/>
  <c r="D48" i="153"/>
  <c r="F19"/>
  <c r="F153"/>
  <c r="H19"/>
  <c r="H153" s="1"/>
  <c r="D74"/>
  <c r="G19"/>
  <c r="G153" s="1"/>
  <c r="BC340" i="276"/>
  <c r="I207" i="194"/>
  <c r="K207"/>
  <c r="H47" i="238"/>
  <c r="H240" s="1"/>
  <c r="G47"/>
  <c r="G240"/>
  <c r="F56"/>
  <c r="F209" s="1"/>
  <c r="O47"/>
  <c r="O240"/>
  <c r="L47"/>
  <c r="L240" s="1"/>
  <c r="N47"/>
  <c r="N240"/>
  <c r="M207" i="194"/>
  <c r="F46" i="184"/>
  <c r="F50" s="1"/>
  <c r="L23" i="182"/>
  <c r="O19" i="236"/>
  <c r="G20" i="234"/>
  <c r="G28" i="237"/>
  <c r="L31" i="235"/>
  <c r="J23" i="182"/>
  <c r="H20" i="234"/>
  <c r="H28" i="237"/>
  <c r="M31" i="235"/>
  <c r="H32" i="182"/>
  <c r="O296" i="133"/>
  <c r="L296"/>
  <c r="K41" i="187"/>
  <c r="I30" i="200"/>
  <c r="M30"/>
  <c r="K31" i="190"/>
  <c r="J31"/>
  <c r="H31"/>
  <c r="AU209" i="277"/>
  <c r="AU202"/>
  <c r="AU199"/>
  <c r="AT194"/>
  <c r="AV150" i="276"/>
  <c r="H30" i="200"/>
  <c r="O30"/>
  <c r="K30"/>
  <c r="L31" i="190"/>
  <c r="I20" i="234"/>
  <c r="G41" i="182"/>
  <c r="M20" i="234"/>
  <c r="J28" i="237"/>
  <c r="N41" i="182"/>
  <c r="J30" i="200"/>
  <c r="BD399" i="277"/>
  <c r="BC4"/>
  <c r="BB82"/>
  <c r="I271" i="272"/>
  <c r="BC399" i="277"/>
  <c r="BH399"/>
  <c r="BG399"/>
  <c r="BE340" i="276"/>
  <c r="BF399" i="277"/>
  <c r="BA399"/>
  <c r="BA340" i="276"/>
  <c r="L489" i="159"/>
  <c r="L156"/>
  <c r="E217"/>
  <c r="H480"/>
  <c r="N271" i="272"/>
  <c r="N147" i="159"/>
  <c r="K271" i="272"/>
  <c r="G271"/>
  <c r="O66" i="244"/>
  <c r="E66" s="1"/>
  <c r="H66"/>
  <c r="H74" s="1"/>
  <c r="H484" i="159"/>
  <c r="N484"/>
  <c r="G156"/>
  <c r="G483"/>
  <c r="I474"/>
  <c r="M156"/>
  <c r="E216"/>
  <c r="O25" i="153"/>
  <c r="O16"/>
  <c r="O26"/>
  <c r="O17"/>
  <c r="F20" i="234"/>
  <c r="K20"/>
  <c r="K28" i="237"/>
  <c r="G28" i="236"/>
  <c r="N23" i="182"/>
  <c r="O29" i="233"/>
  <c r="I19" i="237"/>
  <c r="O31" i="235"/>
  <c r="M41" i="182"/>
  <c r="K32"/>
  <c r="I23"/>
  <c r="L39"/>
  <c r="F20"/>
  <c r="N20"/>
  <c r="N29"/>
  <c r="N38"/>
  <c r="N47"/>
  <c r="L40"/>
  <c r="H21"/>
  <c r="G22"/>
  <c r="H22"/>
  <c r="M25" i="237"/>
  <c r="N26"/>
  <c r="J25"/>
  <c r="H25" i="236"/>
  <c r="O16"/>
  <c r="H6"/>
  <c r="M18" i="237"/>
  <c r="O19" i="235"/>
  <c r="H25" i="237"/>
  <c r="I29" i="235"/>
  <c r="M29" i="234"/>
  <c r="K55" i="238"/>
  <c r="F27" i="237"/>
  <c r="I30" i="234"/>
  <c r="G29" i="182"/>
  <c r="O38"/>
  <c r="I20"/>
  <c r="F22"/>
  <c r="G40"/>
  <c r="K21"/>
  <c r="O29" i="235"/>
  <c r="J18" i="234"/>
  <c r="K19"/>
  <c r="I18" i="236"/>
  <c r="J30" i="235"/>
  <c r="J19"/>
  <c r="M18" i="236"/>
  <c r="N19" i="235"/>
  <c r="N27" i="236"/>
  <c r="K31" i="182"/>
  <c r="N21"/>
  <c r="G30"/>
  <c r="O22"/>
  <c r="I22"/>
  <c r="H26" i="233"/>
  <c r="N26"/>
  <c r="N18" i="234"/>
  <c r="N53" i="238"/>
  <c r="F25" i="237"/>
  <c r="F66" i="235"/>
  <c r="N18" i="233"/>
  <c r="H54" i="238"/>
  <c r="K26" i="237"/>
  <c r="J16"/>
  <c r="G25"/>
  <c r="J18" i="236"/>
  <c r="J52" i="238"/>
  <c r="J56"/>
  <c r="J209" s="1"/>
  <c r="M18" i="234"/>
  <c r="K17" i="236"/>
  <c r="J39" i="237"/>
  <c r="L18" i="235"/>
  <c r="N25" i="236"/>
  <c r="K28" i="235"/>
  <c r="F19" i="233"/>
  <c r="F37" s="1"/>
  <c r="O40" i="182"/>
  <c r="O31"/>
  <c r="O49"/>
  <c r="I25" i="237"/>
  <c r="N16" i="236"/>
  <c r="L19" i="235"/>
  <c r="N19" i="233"/>
  <c r="G16" i="236"/>
  <c r="H27" i="237"/>
  <c r="J20" i="233"/>
  <c r="G31" i="235"/>
  <c r="J32" i="182"/>
  <c r="I40"/>
  <c r="O29"/>
  <c r="F29"/>
  <c r="M22"/>
  <c r="J38"/>
  <c r="I39"/>
  <c r="G31" i="234"/>
  <c r="K17" i="235"/>
  <c r="K29" i="234"/>
  <c r="L17" i="237"/>
  <c r="I52" i="238"/>
  <c r="I56" s="1"/>
  <c r="I209" s="1"/>
  <c r="O17" i="233"/>
  <c r="J45" i="235"/>
  <c r="G18" i="233"/>
  <c r="G36" s="1"/>
  <c r="H18"/>
  <c r="H27"/>
  <c r="H36" s="1"/>
  <c r="I18"/>
  <c r="I27"/>
  <c r="J18"/>
  <c r="J27"/>
  <c r="K27" i="236"/>
  <c r="N54" i="238"/>
  <c r="L19" i="233"/>
  <c r="J40" i="182"/>
  <c r="I29"/>
  <c r="H39"/>
  <c r="L38"/>
  <c r="J28" i="233"/>
  <c r="N28"/>
  <c r="O27" i="237"/>
  <c r="I26" i="236"/>
  <c r="G55" i="238"/>
  <c r="G30" i="234"/>
  <c r="G18"/>
  <c r="F30"/>
  <c r="F39" s="1"/>
  <c r="F18"/>
  <c r="G39"/>
  <c r="G48" s="1"/>
  <c r="H26" i="237"/>
  <c r="M39" i="182"/>
  <c r="G21"/>
  <c r="G31"/>
  <c r="G49" s="1"/>
  <c r="L52" i="238"/>
  <c r="L56" s="1"/>
  <c r="L209" s="1"/>
  <c r="L26" i="237"/>
  <c r="O30" i="235"/>
  <c r="G17" i="236"/>
  <c r="M54" i="238"/>
  <c r="O25" i="237"/>
  <c r="F16"/>
  <c r="J26" i="236"/>
  <c r="J54" i="238"/>
  <c r="M31" i="234"/>
  <c r="G52" i="238"/>
  <c r="G56" s="1"/>
  <c r="G209" s="1"/>
  <c r="O53"/>
  <c r="M16" i="237"/>
  <c r="O27" i="233"/>
  <c r="M25" i="236"/>
  <c r="J26" i="237"/>
  <c r="H40" i="182"/>
  <c r="G28" i="233"/>
  <c r="O25" i="236"/>
  <c r="N17"/>
  <c r="J28" i="235"/>
  <c r="G19" i="234"/>
  <c r="J17" i="237"/>
  <c r="G53" i="238"/>
  <c r="L29" i="234"/>
  <c r="O18"/>
  <c r="N30" i="182"/>
  <c r="N30" i="235"/>
  <c r="J29"/>
  <c r="F18"/>
  <c r="F41" s="1"/>
  <c r="G18"/>
  <c r="G29"/>
  <c r="H30" i="182"/>
  <c r="H53" i="238"/>
  <c r="H27" i="236"/>
  <c r="H28" i="233"/>
  <c r="N18" i="237"/>
  <c r="H19" i="233"/>
  <c r="H16" i="237"/>
  <c r="M19" i="234"/>
  <c r="F17" i="236"/>
  <c r="F35" s="1"/>
  <c r="F26"/>
  <c r="K17" i="233"/>
  <c r="N30" i="234"/>
  <c r="O69" i="197"/>
  <c r="F58" i="190"/>
  <c r="J17" i="235"/>
  <c r="O28" i="236"/>
  <c r="I32" i="182"/>
  <c r="K40"/>
  <c r="M30"/>
  <c r="K22"/>
  <c r="M31"/>
  <c r="N40"/>
  <c r="H31"/>
  <c r="N19" i="234"/>
  <c r="M28" i="233"/>
  <c r="O17" i="236"/>
  <c r="K18" i="235"/>
  <c r="J16" i="236"/>
  <c r="I28" i="235"/>
  <c r="O19" i="234"/>
  <c r="L17" i="236"/>
  <c r="G26" i="233"/>
  <c r="G20" i="182"/>
  <c r="F21"/>
  <c r="I38"/>
  <c r="I30"/>
  <c r="I48" s="1"/>
  <c r="K30"/>
  <c r="H29" i="234"/>
  <c r="O54" i="238"/>
  <c r="M26" i="233"/>
  <c r="N31" i="234"/>
  <c r="F60" i="236"/>
  <c r="N25" i="237"/>
  <c r="I17" i="235"/>
  <c r="G69" i="182"/>
  <c r="N31"/>
  <c r="K38"/>
  <c r="M27" i="233"/>
  <c r="N17" i="237"/>
  <c r="J18"/>
  <c r="L17" i="234"/>
  <c r="F16" i="236"/>
  <c r="F34" s="1"/>
  <c r="L27"/>
  <c r="J29" i="234"/>
  <c r="G17"/>
  <c r="G19" i="233"/>
  <c r="G37" s="1"/>
  <c r="F18"/>
  <c r="F36" s="1"/>
  <c r="L25" i="236"/>
  <c r="H30" i="234"/>
  <c r="N26" i="236"/>
  <c r="H17" i="237"/>
  <c r="O16"/>
  <c r="I17" i="233"/>
  <c r="I35" s="1"/>
  <c r="N39" i="182"/>
  <c r="H18" i="235"/>
  <c r="H29"/>
  <c r="K52" i="238"/>
  <c r="K56" s="1"/>
  <c r="K209" s="1"/>
  <c r="H30" i="235"/>
  <c r="F31" i="234"/>
  <c r="F40" s="1"/>
  <c r="G49" s="1"/>
  <c r="H49" s="1"/>
  <c r="K31"/>
  <c r="H26" i="236"/>
  <c r="K30" i="234"/>
  <c r="I16" i="237"/>
  <c r="F27" i="233"/>
  <c r="O28" i="235"/>
  <c r="M30" i="234"/>
  <c r="L17" i="235"/>
  <c r="F30"/>
  <c r="M29" i="182"/>
  <c r="F25" i="236"/>
  <c r="N52" i="238"/>
  <c r="N56"/>
  <c r="N209" s="1"/>
  <c r="F17" i="233"/>
  <c r="F35" s="1"/>
  <c r="N17"/>
  <c r="O18" i="237"/>
  <c r="K53" i="238"/>
  <c r="N18" i="236"/>
  <c r="O52" i="238"/>
  <c r="O56" s="1"/>
  <c r="O209" s="1"/>
  <c r="M17" i="233"/>
  <c r="I30" i="235"/>
  <c r="J20" i="182"/>
  <c r="J47" s="1"/>
  <c r="J29"/>
  <c r="F17" i="237"/>
  <c r="J26" i="233"/>
  <c r="J31" i="235"/>
  <c r="L31" i="182"/>
  <c r="G25" i="236"/>
  <c r="L25" i="237"/>
  <c r="M17" i="235"/>
  <c r="H19"/>
  <c r="J17" i="233"/>
  <c r="F38" i="182"/>
  <c r="J53" i="238"/>
  <c r="O27" i="236"/>
  <c r="K27" i="233"/>
  <c r="G54" i="238"/>
  <c r="F39" i="182"/>
  <c r="I31"/>
  <c r="J22" i="233"/>
  <c r="O18" i="236"/>
  <c r="M16"/>
  <c r="H18" i="237"/>
  <c r="K54" i="238"/>
  <c r="L27" i="237"/>
  <c r="F18"/>
  <c r="I54" i="238"/>
  <c r="M17" i="236"/>
  <c r="F61" i="237"/>
  <c r="C67" s="1"/>
  <c r="H18" i="234"/>
  <c r="F25" i="233"/>
  <c r="I27" i="236"/>
  <c r="O28" i="233"/>
  <c r="L55" i="238"/>
  <c r="J43" i="234"/>
  <c r="O18" i="235"/>
  <c r="E63" i="233"/>
  <c r="C67" s="1"/>
  <c r="J31" i="234"/>
  <c r="O55" i="238"/>
  <c r="M17" i="234"/>
  <c r="N27" i="233"/>
  <c r="O20" i="182"/>
  <c r="O47" s="1"/>
  <c r="M38"/>
  <c r="J17" i="234"/>
  <c r="G27" i="236"/>
  <c r="O18" i="233"/>
  <c r="L30" i="234"/>
  <c r="I31"/>
  <c r="L28" i="235"/>
  <c r="L18" i="233"/>
  <c r="L19" i="234"/>
  <c r="K18" i="233"/>
  <c r="O70" i="237"/>
  <c r="K26" i="236"/>
  <c r="F19" i="234"/>
  <c r="H17" i="235"/>
  <c r="N18"/>
  <c r="G70" i="233"/>
  <c r="J69" i="197"/>
  <c r="K70" i="233"/>
  <c r="G74" i="234"/>
  <c r="G99" s="1"/>
  <c r="I74"/>
  <c r="L70" i="233"/>
  <c r="L30" i="182"/>
  <c r="F31"/>
  <c r="F49" s="1"/>
  <c r="F69"/>
  <c r="O17" i="237"/>
  <c r="F17" i="234"/>
  <c r="J19" i="233"/>
  <c r="O30" i="234"/>
  <c r="I19" i="233"/>
  <c r="H38" i="182"/>
  <c r="L20"/>
  <c r="L47" s="1"/>
  <c r="L29"/>
  <c r="L31" i="234"/>
  <c r="K17" i="237"/>
  <c r="K25"/>
  <c r="M21" i="182"/>
  <c r="M48"/>
  <c r="K20"/>
  <c r="N55" i="238"/>
  <c r="J40" i="236"/>
  <c r="M17" i="237"/>
  <c r="O17" i="234"/>
  <c r="F28" i="233"/>
  <c r="L17"/>
  <c r="F29" i="235"/>
  <c r="I21" i="182"/>
  <c r="H17" i="234"/>
  <c r="L30" i="235"/>
  <c r="G30"/>
  <c r="O26" i="233"/>
  <c r="G27" i="237"/>
  <c r="O21" i="182"/>
  <c r="O48" s="1"/>
  <c r="O30"/>
  <c r="O39"/>
  <c r="I27" i="237"/>
  <c r="I36" s="1"/>
  <c r="J31" i="233"/>
  <c r="L26" i="236"/>
  <c r="J30" i="234"/>
  <c r="N17"/>
  <c r="M27" i="236"/>
  <c r="N28" i="235"/>
  <c r="F18" i="236"/>
  <c r="K17" i="234"/>
  <c r="G29"/>
  <c r="G18" i="236"/>
  <c r="J27"/>
  <c r="L27" i="233"/>
  <c r="K18" i="236"/>
  <c r="L29" i="235"/>
  <c r="G26" i="236"/>
  <c r="N16" i="237"/>
  <c r="I17"/>
  <c r="K29" i="235"/>
  <c r="I16" i="236"/>
  <c r="L16" i="237"/>
  <c r="J30" i="236"/>
  <c r="N70" i="233"/>
  <c r="N74" i="234"/>
  <c r="I98" i="235"/>
  <c r="O70" i="233"/>
  <c r="G70" i="197"/>
  <c r="K70"/>
  <c r="J19" i="236"/>
  <c r="H23" i="182"/>
  <c r="J31"/>
  <c r="H20"/>
  <c r="K29"/>
  <c r="K47" s="1"/>
  <c r="K18" i="237"/>
  <c r="L53" i="238"/>
  <c r="K16" i="237"/>
  <c r="K19" i="233"/>
  <c r="J17" i="236"/>
  <c r="G38" i="182"/>
  <c r="M40"/>
  <c r="M49" s="1"/>
  <c r="K39"/>
  <c r="I17" i="234"/>
  <c r="O19" i="233"/>
  <c r="O31" i="234"/>
  <c r="F30" i="182"/>
  <c r="J39"/>
  <c r="K30" i="235"/>
  <c r="H31" i="234"/>
  <c r="H40" s="1"/>
  <c r="L21" i="182"/>
  <c r="L48" s="1"/>
  <c r="M20"/>
  <c r="H17" i="236"/>
  <c r="G25" i="233"/>
  <c r="G29" s="1"/>
  <c r="L26"/>
  <c r="N29" i="235"/>
  <c r="H29" i="182"/>
  <c r="N27" i="237"/>
  <c r="H52" i="238"/>
  <c r="H56"/>
  <c r="H209" s="1"/>
  <c r="N29" i="234"/>
  <c r="J22" i="182"/>
  <c r="F40"/>
  <c r="I29" i="234"/>
  <c r="O26" i="236"/>
  <c r="I26" i="237"/>
  <c r="H28" i="235"/>
  <c r="K28" i="233"/>
  <c r="J27" i="237"/>
  <c r="L28" i="233"/>
  <c r="N22" i="182"/>
  <c r="F19" i="235"/>
  <c r="F42" s="1"/>
  <c r="F28"/>
  <c r="E65" i="234"/>
  <c r="I19" i="235"/>
  <c r="F27" i="236"/>
  <c r="J55" i="238"/>
  <c r="H69" i="197"/>
  <c r="M52" i="238"/>
  <c r="M56" s="1"/>
  <c r="M209" s="1"/>
  <c r="M55"/>
  <c r="K18" i="234"/>
  <c r="J40" i="233"/>
  <c r="J30" i="182"/>
  <c r="H55" i="238"/>
  <c r="L18" i="237"/>
  <c r="L22" i="182"/>
  <c r="L49" s="1"/>
  <c r="I18" i="235"/>
  <c r="M26" i="237"/>
  <c r="I25" i="236"/>
  <c r="N17" i="235"/>
  <c r="H17" i="233"/>
  <c r="H35" s="1"/>
  <c r="G17"/>
  <c r="G35" s="1"/>
  <c r="H44"/>
  <c r="I53" i="238"/>
  <c r="M53"/>
  <c r="I18" i="234"/>
  <c r="H16" i="236"/>
  <c r="J18" i="235"/>
  <c r="G39" i="182"/>
  <c r="H18" i="236"/>
  <c r="K25"/>
  <c r="M26"/>
  <c r="M28" i="235"/>
  <c r="F69" i="197"/>
  <c r="N70" i="237"/>
  <c r="F70" i="233"/>
  <c r="M98" i="235"/>
  <c r="J70" i="197"/>
  <c r="O70"/>
  <c r="M70" i="237"/>
  <c r="K29" i="233"/>
  <c r="O26" i="237"/>
  <c r="I26" i="233"/>
  <c r="M29" i="235"/>
  <c r="J25" i="236"/>
  <c r="K16"/>
  <c r="G28" i="235"/>
  <c r="O17"/>
  <c r="K26" i="233"/>
  <c r="L16" i="236"/>
  <c r="I18" i="237"/>
  <c r="L69" i="197"/>
  <c r="F70"/>
  <c r="F27" i="235"/>
  <c r="F31"/>
  <c r="L18" i="234"/>
  <c r="F17" i="235"/>
  <c r="F40" s="1"/>
  <c r="F29" i="234"/>
  <c r="N70" i="197"/>
  <c r="M18" i="233"/>
  <c r="K19" i="235"/>
  <c r="O29" i="234"/>
  <c r="M27" i="237"/>
  <c r="M30" i="235"/>
  <c r="J21" i="182"/>
  <c r="J48" s="1"/>
  <c r="J19" i="234"/>
  <c r="K27" i="237"/>
  <c r="F26" i="233"/>
  <c r="F70" i="237"/>
  <c r="N98" i="235"/>
  <c r="I28" i="233"/>
  <c r="M18" i="235"/>
  <c r="M19" i="233"/>
  <c r="M74" i="234"/>
  <c r="F43" i="168"/>
  <c r="G27" i="233"/>
  <c r="I19" i="234"/>
  <c r="H19"/>
  <c r="I55" i="238"/>
  <c r="I17" i="236"/>
  <c r="F26" i="237"/>
  <c r="M19" i="235"/>
  <c r="G26" i="237"/>
  <c r="L18" i="236"/>
  <c r="L54" i="238"/>
  <c r="J70" i="233"/>
  <c r="L98" i="235"/>
  <c r="N28" i="236"/>
  <c r="M29" i="233"/>
  <c r="O75" i="187"/>
  <c r="L41" i="182"/>
  <c r="K23"/>
  <c r="N42" i="187"/>
  <c r="M19" i="236"/>
  <c r="L20" i="234"/>
  <c r="I41" i="182"/>
  <c r="N32"/>
  <c r="H28" i="236"/>
  <c r="H19" i="237"/>
  <c r="L32" i="234"/>
  <c r="J29" i="233"/>
  <c r="F32" i="182"/>
  <c r="O32"/>
  <c r="I19" i="236"/>
  <c r="H20" i="233"/>
  <c r="F41" i="182"/>
  <c r="O41"/>
  <c r="I28" i="236"/>
  <c r="H29" i="233"/>
  <c r="M32" i="234"/>
  <c r="K20" i="235"/>
  <c r="H31"/>
  <c r="M28" i="237"/>
  <c r="F28" i="236"/>
  <c r="N19" i="237"/>
  <c r="F28"/>
  <c r="F19" i="236"/>
  <c r="M19" i="237"/>
  <c r="N20" i="234"/>
  <c r="O20" i="235"/>
  <c r="K19" i="237"/>
  <c r="K32" i="234"/>
  <c r="G19" i="236"/>
  <c r="I29" i="233"/>
  <c r="J20" i="234"/>
  <c r="O20"/>
  <c r="O23" i="182"/>
  <c r="L28" i="237"/>
  <c r="L76" i="187"/>
  <c r="G23" i="182"/>
  <c r="I20" i="235"/>
  <c r="M28" i="236"/>
  <c r="N29" i="233"/>
  <c r="G32" i="182"/>
  <c r="I31" i="235"/>
  <c r="L19" i="236"/>
  <c r="L20" i="233"/>
  <c r="O28" i="237"/>
  <c r="M32" i="182"/>
  <c r="AZ340" i="276"/>
  <c r="BH340"/>
  <c r="BG340"/>
  <c r="BB340"/>
  <c r="AZ399" i="277"/>
  <c r="BD340" i="276"/>
  <c r="BG395" i="277"/>
  <c r="BI340" i="276"/>
  <c r="BE399" i="277"/>
  <c r="AY340" i="276"/>
  <c r="BF340"/>
  <c r="G19" i="271"/>
  <c r="F19"/>
  <c r="BB395" i="277"/>
  <c r="BC395"/>
  <c r="I463" i="270"/>
  <c r="I425"/>
  <c r="J472"/>
  <c r="I453"/>
  <c r="L434"/>
  <c r="L41" i="187"/>
  <c r="L40"/>
  <c r="L75"/>
  <c r="K40"/>
  <c r="J67"/>
  <c r="H41"/>
  <c r="J40"/>
  <c r="O77"/>
  <c r="E48" i="184"/>
  <c r="H48" s="1"/>
  <c r="I48" s="1"/>
  <c r="J48" s="1"/>
  <c r="M87" i="159"/>
  <c r="F264" i="154"/>
  <c r="M47" i="182"/>
  <c r="G375" i="270"/>
  <c r="F36" i="237"/>
  <c r="I87" i="159"/>
  <c r="L17" i="153"/>
  <c r="E218" i="159"/>
  <c r="I489"/>
  <c r="K215"/>
  <c r="J101" i="271"/>
  <c r="K101" s="1"/>
  <c r="L101" s="1"/>
  <c r="M101" s="1"/>
  <c r="N101" s="1"/>
  <c r="K102"/>
  <c r="L102" s="1"/>
  <c r="M102" s="1"/>
  <c r="N102" s="1"/>
  <c r="J99"/>
  <c r="K99" s="1"/>
  <c r="L99" s="1"/>
  <c r="M99" s="1"/>
  <c r="N99" s="1"/>
  <c r="O27" i="153"/>
  <c r="O18"/>
  <c r="H372" i="270"/>
  <c r="O372"/>
  <c r="F207" i="194"/>
  <c r="G207"/>
  <c r="L207"/>
  <c r="L232" i="133"/>
  <c r="N31" i="235"/>
  <c r="K19" i="236"/>
  <c r="N28" i="237"/>
  <c r="I32" i="234"/>
  <c r="N296" i="133"/>
  <c r="G296"/>
  <c r="G263" i="154"/>
  <c r="G74" i="244"/>
  <c r="BH403" i="277"/>
  <c r="BE403"/>
  <c r="AZ403"/>
  <c r="BF403"/>
  <c r="AY403"/>
  <c r="BG344" i="276"/>
  <c r="BC344"/>
  <c r="BI344"/>
  <c r="BD344"/>
  <c r="BA403" i="277"/>
  <c r="BE344" i="276"/>
  <c r="AY344"/>
  <c r="BB344"/>
  <c r="BD403" i="277"/>
  <c r="BF344" i="276"/>
  <c r="AZ344"/>
  <c r="BH344"/>
  <c r="BA344"/>
  <c r="BB403" i="277"/>
  <c r="BG403"/>
  <c r="BC403"/>
  <c r="F41" i="187"/>
  <c r="M41"/>
  <c r="L93"/>
  <c r="I93"/>
  <c r="F76"/>
  <c r="M76"/>
  <c r="J92"/>
  <c r="G92"/>
  <c r="K75"/>
  <c r="F69" i="188"/>
  <c r="K93" i="187"/>
  <c r="O69"/>
  <c r="H23" i="48"/>
  <c r="C42" i="269"/>
  <c r="L23" i="48"/>
  <c r="J23"/>
  <c r="F23"/>
  <c r="O23"/>
  <c r="M23"/>
  <c r="F40" i="187"/>
  <c r="O42"/>
  <c r="L30" i="200"/>
  <c r="G44" i="133"/>
  <c r="N44"/>
  <c r="L140"/>
  <c r="M140"/>
  <c r="L20" i="190"/>
  <c r="I20"/>
  <c r="F31"/>
  <c r="AV209" i="277"/>
  <c r="AT202"/>
  <c r="AS199"/>
  <c r="AU194"/>
  <c r="K44" i="133"/>
  <c r="I140"/>
  <c r="AR209" i="277"/>
  <c r="AV202"/>
  <c r="AT199"/>
  <c r="AV194"/>
  <c r="N30" i="200"/>
  <c r="I44" i="133"/>
  <c r="AR199" i="277"/>
  <c r="AT150" i="276"/>
  <c r="AT143"/>
  <c r="AT140"/>
  <c r="AV135"/>
  <c r="AR135"/>
  <c r="O17" i="190"/>
  <c r="O40" s="1"/>
  <c r="F19" i="200"/>
  <c r="I29"/>
  <c r="G60"/>
  <c r="F18"/>
  <c r="F29" i="190"/>
  <c r="N17"/>
  <c r="G28"/>
  <c r="G17"/>
  <c r="O27" i="197"/>
  <c r="I17"/>
  <c r="L16"/>
  <c r="L20"/>
  <c r="G125" i="200"/>
  <c r="O31" i="190"/>
  <c r="AR202" i="277"/>
  <c r="AV199"/>
  <c r="AR194"/>
  <c r="AU150" i="276"/>
  <c r="AU143"/>
  <c r="AU140"/>
  <c r="AS135"/>
  <c r="N35" i="197"/>
  <c r="O18" i="190"/>
  <c r="N27" i="200"/>
  <c r="N60"/>
  <c r="N29" i="190"/>
  <c r="L18"/>
  <c r="O28"/>
  <c r="M17"/>
  <c r="O25" i="197"/>
  <c r="O29"/>
  <c r="J28"/>
  <c r="M19"/>
  <c r="N20" i="200"/>
  <c r="H62"/>
  <c r="J28"/>
  <c r="N28" i="190"/>
  <c r="N40" s="1"/>
  <c r="L17"/>
  <c r="G30"/>
  <c r="F37" i="197"/>
  <c r="O60" i="200"/>
  <c r="F27" i="133"/>
  <c r="J29" i="190"/>
  <c r="H18"/>
  <c r="M19"/>
  <c r="M42" s="1"/>
  <c r="I54" i="133"/>
  <c r="J25" i="197"/>
  <c r="J29" s="1"/>
  <c r="K18"/>
  <c r="H17" i="190"/>
  <c r="G53" i="133"/>
  <c r="K17" i="197"/>
  <c r="J20" i="200"/>
  <c r="I20"/>
  <c r="I27"/>
  <c r="K53" i="133"/>
  <c r="L27" i="197"/>
  <c r="F17"/>
  <c r="I16"/>
  <c r="I20" s="1"/>
  <c r="O28" i="200"/>
  <c r="F20"/>
  <c r="F229"/>
  <c r="H60" i="133"/>
  <c r="M27" i="200"/>
  <c r="G16" i="237"/>
  <c r="G34"/>
  <c r="H29" i="190"/>
  <c r="L54" i="133"/>
  <c r="M18" i="197"/>
  <c r="J19" i="200"/>
  <c r="K56" i="133"/>
  <c r="F217"/>
  <c r="I27" i="197"/>
  <c r="H19"/>
  <c r="K20" i="200"/>
  <c r="G29"/>
  <c r="F56" i="133"/>
  <c r="G60"/>
  <c r="F26"/>
  <c r="F28"/>
  <c r="F21"/>
  <c r="N56"/>
  <c r="O60"/>
  <c r="N60"/>
  <c r="K27" i="197"/>
  <c r="L59" i="133"/>
  <c r="J56"/>
  <c r="O62" i="200"/>
  <c r="K19" i="190"/>
  <c r="J53" i="133"/>
  <c r="H18" i="197"/>
  <c r="I19" i="200"/>
  <c r="J60" i="133"/>
  <c r="K19" i="197"/>
  <c r="N27"/>
  <c r="K16"/>
  <c r="K20"/>
  <c r="H29" i="200"/>
  <c r="G61"/>
  <c r="F27" i="197"/>
  <c r="K61" i="200"/>
  <c r="J29"/>
  <c r="F20" i="133"/>
  <c r="M26" i="197"/>
  <c r="F29" i="200"/>
  <c r="O61"/>
  <c r="AR150" i="276"/>
  <c r="AV143"/>
  <c r="AR140"/>
  <c r="F23" i="133"/>
  <c r="J19" i="190"/>
  <c r="K18"/>
  <c r="J26" i="197"/>
  <c r="N29" i="200"/>
  <c r="G17" i="237"/>
  <c r="K60" i="200"/>
  <c r="F26"/>
  <c r="J18" i="190"/>
  <c r="K29"/>
  <c r="J62" i="200"/>
  <c r="J30" i="190"/>
  <c r="F19"/>
  <c r="G18"/>
  <c r="O26" i="197"/>
  <c r="M17"/>
  <c r="G29" i="190"/>
  <c r="H27" i="197"/>
  <c r="G26" i="200"/>
  <c r="G30" s="1"/>
  <c r="G27"/>
  <c r="G54" i="133"/>
  <c r="K25" i="197"/>
  <c r="K29" s="1"/>
  <c r="L18"/>
  <c r="K29" i="200"/>
  <c r="M18"/>
  <c r="K19"/>
  <c r="F18" i="190"/>
  <c r="F41" s="1"/>
  <c r="H26" i="197"/>
  <c r="L28" i="200"/>
  <c r="L36" s="1"/>
  <c r="N54" i="133"/>
  <c r="L60" i="200"/>
  <c r="O53" i="133"/>
  <c r="F28" i="197"/>
  <c r="M62" i="200"/>
  <c r="H57" i="133"/>
  <c r="K26" i="197"/>
  <c r="G56" i="133"/>
  <c r="N25" i="197"/>
  <c r="N29" s="1"/>
  <c r="J27" i="200"/>
  <c r="K59" i="133"/>
  <c r="N18" i="190"/>
  <c r="N41" s="1"/>
  <c r="I18" i="197"/>
  <c r="L60" i="133"/>
  <c r="F26" i="197"/>
  <c r="F61" i="200"/>
  <c r="H28" i="197"/>
  <c r="G20" i="200"/>
  <c r="H17" i="197"/>
  <c r="K18" i="200"/>
  <c r="O18"/>
  <c r="J18"/>
  <c r="J17" i="197"/>
  <c r="K17" i="190"/>
  <c r="I56" i="133"/>
  <c r="O237"/>
  <c r="F232"/>
  <c r="H237"/>
  <c r="G20" i="235"/>
  <c r="AS194" i="277"/>
  <c r="AS150" i="276"/>
  <c r="AS140"/>
  <c r="AT135"/>
  <c r="O36" i="197"/>
  <c r="O19" i="190"/>
  <c r="K28" i="200"/>
  <c r="H28" i="190"/>
  <c r="I19"/>
  <c r="K28" i="197"/>
  <c r="L56" i="133"/>
  <c r="G18" i="237"/>
  <c r="G18" i="200"/>
  <c r="H19" i="190"/>
  <c r="K30"/>
  <c r="N30"/>
  <c r="K28"/>
  <c r="N53" i="133"/>
  <c r="F25" i="197"/>
  <c r="M28"/>
  <c r="L20" i="200"/>
  <c r="I60" i="133"/>
  <c r="J61" i="200"/>
  <c r="N17" i="197"/>
  <c r="L61" i="200"/>
  <c r="K62"/>
  <c r="K27"/>
  <c r="I61"/>
  <c r="M27" i="197"/>
  <c r="I62" i="200"/>
  <c r="O59" i="133"/>
  <c r="J54"/>
  <c r="I25" i="197"/>
  <c r="I29" s="1"/>
  <c r="G16"/>
  <c r="G20"/>
  <c r="N59" i="133"/>
  <c r="F28" i="200"/>
  <c r="H59" i="133"/>
  <c r="I28" i="190"/>
  <c r="M61" i="200"/>
  <c r="H54" i="133"/>
  <c r="L19" i="197"/>
  <c r="G158" i="200"/>
  <c r="H27"/>
  <c r="H25" i="197"/>
  <c r="H29" s="1"/>
  <c r="L57" i="133"/>
  <c r="G25" i="197"/>
  <c r="G29"/>
  <c r="H18" i="200"/>
  <c r="M60" i="133"/>
  <c r="M25" i="197"/>
  <c r="M29" s="1"/>
  <c r="I26"/>
  <c r="I59" i="133"/>
  <c r="K60"/>
  <c r="O27" i="200"/>
  <c r="H61"/>
  <c r="J57" i="133"/>
  <c r="J58" s="1"/>
  <c r="M16" i="197"/>
  <c r="M20" s="1"/>
  <c r="L29" i="200"/>
  <c r="N232" i="133"/>
  <c r="J232"/>
  <c r="G237"/>
  <c r="M237"/>
  <c r="G140"/>
  <c r="AS209" i="277"/>
  <c r="AS202"/>
  <c r="AU135" i="276"/>
  <c r="G57" i="133"/>
  <c r="F17" i="190"/>
  <c r="G18" i="197"/>
  <c r="L29" i="190"/>
  <c r="M28"/>
  <c r="F30"/>
  <c r="I17"/>
  <c r="I19" i="197"/>
  <c r="I18" i="190"/>
  <c r="F27" i="200"/>
  <c r="L53" i="133"/>
  <c r="J19" i="197"/>
  <c r="G56" i="200"/>
  <c r="G17" i="197"/>
  <c r="O57" i="133"/>
  <c r="N26" i="197"/>
  <c r="O16"/>
  <c r="O20"/>
  <c r="M56" i="133"/>
  <c r="M20" i="200"/>
  <c r="N37" s="1"/>
  <c r="H56" i="133"/>
  <c r="M57"/>
  <c r="M24" s="1"/>
  <c r="M25" s="1"/>
  <c r="G62" i="200"/>
  <c r="N18" i="197"/>
  <c r="F62" i="200"/>
  <c r="I30" i="190"/>
  <c r="I42"/>
  <c r="F35" i="197"/>
  <c r="G232" i="133"/>
  <c r="J237"/>
  <c r="AS143" i="276"/>
  <c r="F57" i="133"/>
  <c r="M29" i="190"/>
  <c r="G19"/>
  <c r="G42"/>
  <c r="N19"/>
  <c r="H16" i="197"/>
  <c r="H20" s="1"/>
  <c r="M28" i="200"/>
  <c r="M36" s="1"/>
  <c r="O54" i="133"/>
  <c r="M19" i="200"/>
  <c r="H60"/>
  <c r="G19"/>
  <c r="H36" s="1"/>
  <c r="L19" i="190"/>
  <c r="F60" i="200"/>
  <c r="L26" i="197"/>
  <c r="O19" i="200"/>
  <c r="O36" s="1"/>
  <c r="F19" i="197"/>
  <c r="H20" i="190"/>
  <c r="AT209" i="277"/>
  <c r="G17" i="235"/>
  <c r="G40" s="1"/>
  <c r="H30" i="190"/>
  <c r="M53" i="133"/>
  <c r="J60" i="200"/>
  <c r="O30" i="190"/>
  <c r="O42" s="1"/>
  <c r="G19" i="235"/>
  <c r="G42"/>
  <c r="N18" i="200"/>
  <c r="N35"/>
  <c r="I29" i="190"/>
  <c r="J27" i="197"/>
  <c r="J28" i="190"/>
  <c r="N16" i="197"/>
  <c r="N20" s="1"/>
  <c r="J59" i="133"/>
  <c r="G28" i="197"/>
  <c r="F59" i="133"/>
  <c r="M18" i="190"/>
  <c r="N62" i="200"/>
  <c r="F53" i="133"/>
  <c r="J18" i="197"/>
  <c r="N28" i="200"/>
  <c r="O29"/>
  <c r="F16" i="197"/>
  <c r="F20" s="1"/>
  <c r="F18"/>
  <c r="G13" i="200"/>
  <c r="G59" i="133"/>
  <c r="M30" i="190"/>
  <c r="K54" i="133"/>
  <c r="I60" i="200"/>
  <c r="I28"/>
  <c r="I57" i="133"/>
  <c r="M59"/>
  <c r="K232"/>
  <c r="AR143" i="276"/>
  <c r="AV140"/>
  <c r="K37" i="197"/>
  <c r="L62" i="200"/>
  <c r="L30" i="190"/>
  <c r="H53" i="133"/>
  <c r="L19" i="200"/>
  <c r="F24" i="133"/>
  <c r="F25"/>
  <c r="L28" i="190"/>
  <c r="H19" i="200"/>
  <c r="H20"/>
  <c r="J17" i="190"/>
  <c r="O28" i="197"/>
  <c r="G28" i="200"/>
  <c r="G19" i="197"/>
  <c r="N57" i="133"/>
  <c r="N58" s="1"/>
  <c r="G26" i="197"/>
  <c r="L18" i="200"/>
  <c r="F42" i="133"/>
  <c r="O29" i="190"/>
  <c r="N61" i="200"/>
  <c r="K57" i="133"/>
  <c r="L17" i="197"/>
  <c r="I18" i="200"/>
  <c r="M29"/>
  <c r="O17" i="197"/>
  <c r="I28"/>
  <c r="O56" i="133"/>
  <c r="N19" i="197"/>
  <c r="H28" i="200"/>
  <c r="N19"/>
  <c r="N36"/>
  <c r="G27" i="197"/>
  <c r="M60" i="200"/>
  <c r="L28" i="197"/>
  <c r="F237" i="133"/>
  <c r="H232"/>
  <c r="F36" i="197"/>
  <c r="O18"/>
  <c r="F28" i="190"/>
  <c r="F54" i="133"/>
  <c r="M54"/>
  <c r="L25" i="197"/>
  <c r="L29"/>
  <c r="F60" i="133"/>
  <c r="F61"/>
  <c r="J16" i="197"/>
  <c r="J20"/>
  <c r="N28"/>
  <c r="L27" i="200"/>
  <c r="I53" i="133"/>
  <c r="I20"/>
  <c r="O20" i="200"/>
  <c r="O19" i="197"/>
  <c r="BH395" i="277"/>
  <c r="BA395"/>
  <c r="AZ395"/>
  <c r="BD395"/>
  <c r="BI336" i="276"/>
  <c r="BE395" i="277"/>
  <c r="BF336" i="276"/>
  <c r="BB336"/>
  <c r="BF395" i="277"/>
  <c r="BG336" i="276"/>
  <c r="BC336"/>
  <c r="BH336"/>
  <c r="AY336"/>
  <c r="BA336"/>
  <c r="AZ336"/>
  <c r="AY395" i="277"/>
  <c r="BD336" i="276"/>
  <c r="BE336"/>
  <c r="G85" i="12"/>
  <c r="G77"/>
  <c r="L29" i="233"/>
  <c r="G75" i="187"/>
  <c r="G76"/>
  <c r="L77"/>
  <c r="L91"/>
  <c r="L92"/>
  <c r="K69"/>
  <c r="F77"/>
  <c r="F75"/>
  <c r="J69"/>
  <c r="J68"/>
  <c r="F42"/>
  <c r="G40"/>
  <c r="N40"/>
  <c r="I42"/>
  <c r="H40"/>
  <c r="M42"/>
  <c r="I41"/>
  <c r="K42"/>
  <c r="O41"/>
  <c r="H42"/>
  <c r="I40"/>
  <c r="K41" i="182"/>
  <c r="K28" i="236"/>
  <c r="I28" i="237"/>
  <c r="K92" i="187"/>
  <c r="K91"/>
  <c r="N77"/>
  <c r="N75"/>
  <c r="N76"/>
  <c r="H92"/>
  <c r="H93"/>
  <c r="J93"/>
  <c r="F140" i="133"/>
  <c r="O140"/>
  <c r="K140"/>
  <c r="O76" i="187"/>
  <c r="J140" i="133"/>
  <c r="K31" i="235"/>
  <c r="M20"/>
  <c r="H19" i="236"/>
  <c r="F19" i="237"/>
  <c r="O19"/>
  <c r="N20" i="233"/>
  <c r="G46" i="234"/>
  <c r="G50" s="1"/>
  <c r="G87" s="1"/>
  <c r="G32"/>
  <c r="O32"/>
  <c r="H41" i="182"/>
  <c r="J41"/>
  <c r="M23"/>
  <c r="F20" i="235"/>
  <c r="H20"/>
  <c r="J20"/>
  <c r="L20"/>
  <c r="N20"/>
  <c r="J28" i="236"/>
  <c r="L28"/>
  <c r="J19" i="237"/>
  <c r="L19"/>
  <c r="G20" i="233"/>
  <c r="I20"/>
  <c r="K20"/>
  <c r="M20"/>
  <c r="O20"/>
  <c r="H32" i="234"/>
  <c r="J32"/>
  <c r="N32"/>
  <c r="N19" i="236"/>
  <c r="M31" i="190"/>
  <c r="G19" i="237"/>
  <c r="O44" i="133"/>
  <c r="M44"/>
  <c r="M26"/>
  <c r="M20"/>
  <c r="I23"/>
  <c r="F19"/>
  <c r="F32"/>
  <c r="F97" i="197"/>
  <c r="F115"/>
  <c r="O20" i="190"/>
  <c r="L44" i="133"/>
  <c r="L26"/>
  <c r="L23"/>
  <c r="G35" i="197"/>
  <c r="F20" i="190"/>
  <c r="G31"/>
  <c r="I31"/>
  <c r="N20"/>
  <c r="J27" i="133"/>
  <c r="J44"/>
  <c r="K75" i="188"/>
  <c r="H75"/>
  <c r="M69" i="187"/>
  <c r="M67"/>
  <c r="M68"/>
  <c r="L42"/>
  <c r="M40"/>
  <c r="G42"/>
  <c r="J42"/>
  <c r="O40"/>
  <c r="G41"/>
  <c r="N41"/>
  <c r="J41"/>
  <c r="BD4" i="277"/>
  <c r="BC82"/>
  <c r="F259" i="133"/>
  <c r="F298"/>
  <c r="O74" i="244"/>
  <c r="I66"/>
  <c r="I74"/>
  <c r="M232" i="133"/>
  <c r="E110" i="204"/>
  <c r="I232" i="133"/>
  <c r="O232"/>
  <c r="N25" i="153"/>
  <c r="K25"/>
  <c r="J25"/>
  <c r="I25" s="1"/>
  <c r="M25"/>
  <c r="L25"/>
  <c r="N26"/>
  <c r="M26"/>
  <c r="L26"/>
  <c r="K26"/>
  <c r="J26"/>
  <c r="I26" s="1"/>
  <c r="N16"/>
  <c r="M16"/>
  <c r="L16"/>
  <c r="K16"/>
  <c r="J16"/>
  <c r="I16" s="1"/>
  <c r="E111" i="204"/>
  <c r="N237" i="133"/>
  <c r="L237"/>
  <c r="I237"/>
  <c r="K237"/>
  <c r="N17" i="153"/>
  <c r="K17"/>
  <c r="J17"/>
  <c r="I17"/>
  <c r="M17"/>
  <c r="H37" i="233"/>
  <c r="H39" i="234"/>
  <c r="I39" s="1"/>
  <c r="F36" i="236"/>
  <c r="F48" i="182"/>
  <c r="G35" i="236"/>
  <c r="H35" s="1"/>
  <c r="G81" i="235"/>
  <c r="O90"/>
  <c r="K90"/>
  <c r="M88"/>
  <c r="N88"/>
  <c r="G82"/>
  <c r="K88"/>
  <c r="K89" s="1"/>
  <c r="H82"/>
  <c r="G88"/>
  <c r="C78"/>
  <c r="N82"/>
  <c r="L88"/>
  <c r="H90"/>
  <c r="F82"/>
  <c r="J90"/>
  <c r="C85"/>
  <c r="F88"/>
  <c r="G83"/>
  <c r="K82"/>
  <c r="I88"/>
  <c r="F81"/>
  <c r="L82"/>
  <c r="F90"/>
  <c r="I82"/>
  <c r="H88"/>
  <c r="H89"/>
  <c r="G90"/>
  <c r="I90"/>
  <c r="J82"/>
  <c r="O82"/>
  <c r="E82" s="1"/>
  <c r="F83"/>
  <c r="N90"/>
  <c r="M90"/>
  <c r="M82"/>
  <c r="K48" i="182"/>
  <c r="N49"/>
  <c r="H47"/>
  <c r="N48"/>
  <c r="I77" i="187"/>
  <c r="F55" i="133"/>
  <c r="K55"/>
  <c r="M41" i="190"/>
  <c r="F58" i="133"/>
  <c r="L20"/>
  <c r="H35" i="200"/>
  <c r="J55" i="133"/>
  <c r="G36" i="237"/>
  <c r="N140" i="133"/>
  <c r="C95" i="235"/>
  <c r="C71" i="234"/>
  <c r="P74"/>
  <c r="P95" i="48"/>
  <c r="F38" i="234"/>
  <c r="F35" i="237"/>
  <c r="K49" i="182"/>
  <c r="I49"/>
  <c r="H48"/>
  <c r="F20" i="233"/>
  <c r="N24" i="133"/>
  <c r="M55"/>
  <c r="J88" i="235"/>
  <c r="J89" s="1"/>
  <c r="G48" i="182"/>
  <c r="F34" i="237"/>
  <c r="G43" s="1"/>
  <c r="H34"/>
  <c r="I34" s="1"/>
  <c r="G47" i="182"/>
  <c r="F47"/>
  <c r="G93" i="187"/>
  <c r="G26" i="133"/>
  <c r="O55"/>
  <c r="G24"/>
  <c r="N26"/>
  <c r="K35" i="200"/>
  <c r="H42" i="190"/>
  <c r="M23" i="133"/>
  <c r="K40" i="190"/>
  <c r="K41"/>
  <c r="I36" i="200"/>
  <c r="K42" i="190"/>
  <c r="K23" i="133"/>
  <c r="K25" s="1"/>
  <c r="I37" i="200"/>
  <c r="H40" i="190"/>
  <c r="J21" i="133"/>
  <c r="O88" i="235"/>
  <c r="O89" s="1"/>
  <c r="L90"/>
  <c r="J49" i="182"/>
  <c r="G40" i="234"/>
  <c r="H49" i="182"/>
  <c r="G34" i="236"/>
  <c r="I47" i="182"/>
  <c r="F23"/>
  <c r="J463" i="270"/>
  <c r="M434"/>
  <c r="J453"/>
  <c r="K472"/>
  <c r="J425"/>
  <c r="G20" i="190"/>
  <c r="G71"/>
  <c r="G90"/>
  <c r="G109" s="1"/>
  <c r="N31"/>
  <c r="N71"/>
  <c r="N90"/>
  <c r="N109" s="1"/>
  <c r="L61" i="133"/>
  <c r="L27"/>
  <c r="H44"/>
  <c r="N68" i="187"/>
  <c r="N67"/>
  <c r="N69"/>
  <c r="G81" i="191"/>
  <c r="L35" i="200"/>
  <c r="N55" i="133"/>
  <c r="G20"/>
  <c r="M40" i="190"/>
  <c r="O41"/>
  <c r="H91" i="187"/>
  <c r="F83" i="191"/>
  <c r="H140" i="133"/>
  <c r="F74" i="244"/>
  <c r="N36" i="154"/>
  <c r="L34"/>
  <c r="H71"/>
  <c r="F70"/>
  <c r="N69"/>
  <c r="I73"/>
  <c r="F69"/>
  <c r="M72"/>
  <c r="G36"/>
  <c r="K70"/>
  <c r="F37"/>
  <c r="I35"/>
  <c r="R67"/>
  <c r="H68"/>
  <c r="O68"/>
  <c r="F68"/>
  <c r="N63"/>
  <c r="F31"/>
  <c r="O67"/>
  <c r="G31"/>
  <c r="M23"/>
  <c r="F28"/>
  <c r="G29"/>
  <c r="J32"/>
  <c r="F23"/>
  <c r="H25"/>
  <c r="I25"/>
  <c r="K24"/>
  <c r="H26"/>
  <c r="O29"/>
  <c r="L30"/>
  <c r="H22"/>
  <c r="M26"/>
  <c r="K29"/>
  <c r="J23"/>
  <c r="F60"/>
  <c r="G95" i="48"/>
  <c r="H65" i="154"/>
  <c r="N61"/>
  <c r="K65"/>
  <c r="L31"/>
  <c r="O24"/>
  <c r="M28"/>
  <c r="L22"/>
  <c r="I79" i="182"/>
  <c r="K95" i="48"/>
  <c r="O61" i="154"/>
  <c r="F61"/>
  <c r="O95" i="48"/>
  <c r="G59" i="154"/>
  <c r="K62"/>
  <c r="M32"/>
  <c r="L26"/>
  <c r="J29"/>
  <c r="M66"/>
  <c r="I64"/>
  <c r="L60"/>
  <c r="K64"/>
  <c r="H64"/>
  <c r="F62"/>
  <c r="J60"/>
  <c r="I67"/>
  <c r="M79" i="182"/>
  <c r="M104" s="1"/>
  <c r="M128" s="1"/>
  <c r="J66" i="154"/>
  <c r="H23"/>
  <c r="N60"/>
  <c r="J31"/>
  <c r="J33" s="1"/>
  <c r="N25"/>
  <c r="J28"/>
  <c r="J63"/>
  <c r="M63"/>
  <c r="H63"/>
  <c r="O63"/>
  <c r="F63"/>
  <c r="J62"/>
  <c r="M62"/>
  <c r="K30"/>
  <c r="G22"/>
  <c r="J24"/>
  <c r="K26"/>
  <c r="N29"/>
  <c r="M67"/>
  <c r="H67"/>
  <c r="H31"/>
  <c r="I32"/>
  <c r="O22"/>
  <c r="L23"/>
  <c r="I28"/>
  <c r="F29"/>
  <c r="G52"/>
  <c r="K22"/>
  <c r="I24"/>
  <c r="H79" i="182"/>
  <c r="N79"/>
  <c r="J59" i="154"/>
  <c r="N65"/>
  <c r="I65"/>
  <c r="J65"/>
  <c r="L67"/>
  <c r="J67"/>
  <c r="H29"/>
  <c r="K23"/>
  <c r="G79" i="182"/>
  <c r="G104" s="1"/>
  <c r="G128" s="1"/>
  <c r="K96" i="48"/>
  <c r="G64" i="154"/>
  <c r="L65"/>
  <c r="O59"/>
  <c r="M95" i="48"/>
  <c r="J95"/>
  <c r="L25" i="154"/>
  <c r="K28"/>
  <c r="K33" s="1"/>
  <c r="J22"/>
  <c r="J25"/>
  <c r="J26"/>
  <c r="J27"/>
  <c r="H24"/>
  <c r="F71" i="190"/>
  <c r="J61" i="154"/>
  <c r="N64"/>
  <c r="N95" i="48"/>
  <c r="L61" i="154"/>
  <c r="I66"/>
  <c r="K25"/>
  <c r="F59"/>
  <c r="L32"/>
  <c r="F96" i="48"/>
  <c r="N62" i="154"/>
  <c r="M22"/>
  <c r="M61"/>
  <c r="O26"/>
  <c r="F26"/>
  <c r="I95" i="48"/>
  <c r="M68" i="154"/>
  <c r="G68"/>
  <c r="I63"/>
  <c r="N68"/>
  <c r="K63"/>
  <c r="K68"/>
  <c r="E61"/>
  <c r="M31"/>
  <c r="O28"/>
  <c r="H32"/>
  <c r="N22"/>
  <c r="O23"/>
  <c r="H28"/>
  <c r="G62"/>
  <c r="O25"/>
  <c r="O27" s="1"/>
  <c r="L62"/>
  <c r="M29"/>
  <c r="J30"/>
  <c r="F22"/>
  <c r="F27" s="1"/>
  <c r="M24"/>
  <c r="K31"/>
  <c r="F30"/>
  <c r="N32"/>
  <c r="L71" i="190"/>
  <c r="F95" i="48"/>
  <c r="F65" i="154"/>
  <c r="G65"/>
  <c r="H95" i="48"/>
  <c r="H60" i="154"/>
  <c r="I31"/>
  <c r="M25"/>
  <c r="M27" s="1"/>
  <c r="F24"/>
  <c r="F32"/>
  <c r="J71" i="190"/>
  <c r="L95" i="48"/>
  <c r="K66" i="154"/>
  <c r="O64"/>
  <c r="O60"/>
  <c r="I61"/>
  <c r="O65"/>
  <c r="F14"/>
  <c r="I23"/>
  <c r="I30"/>
  <c r="I33" s="1"/>
  <c r="O79" i="182"/>
  <c r="I71" i="190"/>
  <c r="F64" i="154"/>
  <c r="K60"/>
  <c r="M59"/>
  <c r="G61"/>
  <c r="N59"/>
  <c r="K71" i="190"/>
  <c r="K90" s="1"/>
  <c r="K109" s="1"/>
  <c r="L96" i="48"/>
  <c r="G32" i="154"/>
  <c r="L59"/>
  <c r="H62"/>
  <c r="H71" i="190"/>
  <c r="M60" i="154"/>
  <c r="L79" i="182"/>
  <c r="H66" i="154"/>
  <c r="I29"/>
  <c r="J68"/>
  <c r="I26"/>
  <c r="L24"/>
  <c r="G28"/>
  <c r="N23"/>
  <c r="O71" i="190"/>
  <c r="H61" i="154"/>
  <c r="O32"/>
  <c r="N66"/>
  <c r="L64"/>
  <c r="K79" i="182"/>
  <c r="K104" s="1"/>
  <c r="K128" s="1"/>
  <c r="N96" i="48"/>
  <c r="I60" i="154"/>
  <c r="I59"/>
  <c r="K61"/>
  <c r="I68"/>
  <c r="G63"/>
  <c r="O62"/>
  <c r="L29"/>
  <c r="N31"/>
  <c r="N28"/>
  <c r="N30"/>
  <c r="O30"/>
  <c r="H96" i="48"/>
  <c r="M96"/>
  <c r="N26" i="154"/>
  <c r="J96" i="48"/>
  <c r="I62" i="154"/>
  <c r="J79" i="182"/>
  <c r="O96" i="48"/>
  <c r="H30" i="154"/>
  <c r="I96" i="48"/>
  <c r="L68" i="154"/>
  <c r="L63"/>
  <c r="G25"/>
  <c r="M30"/>
  <c r="G67"/>
  <c r="F67"/>
  <c r="K32"/>
  <c r="N24"/>
  <c r="G66"/>
  <c r="K67"/>
  <c r="M71" i="190"/>
  <c r="M64" i="154"/>
  <c r="G60"/>
  <c r="O66"/>
  <c r="L66"/>
  <c r="K59"/>
  <c r="F25"/>
  <c r="N67"/>
  <c r="I22"/>
  <c r="O31"/>
  <c r="O33" s="1"/>
  <c r="G23"/>
  <c r="L28"/>
  <c r="L33" s="1"/>
  <c r="M65"/>
  <c r="G30"/>
  <c r="J64"/>
  <c r="H59"/>
  <c r="G26"/>
  <c r="G96" i="48"/>
  <c r="F79" i="182"/>
  <c r="G24" i="154"/>
  <c r="F66"/>
  <c r="O34"/>
  <c r="N37"/>
  <c r="L35"/>
  <c r="J38"/>
  <c r="I36"/>
  <c r="O71"/>
  <c r="M69"/>
  <c r="L72"/>
  <c r="J70"/>
  <c r="H73"/>
  <c r="G71"/>
  <c r="L69"/>
  <c r="I70"/>
  <c r="G37"/>
  <c r="F73"/>
  <c r="M38"/>
  <c r="J34"/>
  <c r="G38"/>
  <c r="F34"/>
  <c r="K38"/>
  <c r="L71"/>
  <c r="G69"/>
  <c r="O36"/>
  <c r="M34"/>
  <c r="L37"/>
  <c r="J35"/>
  <c r="H38"/>
  <c r="N73"/>
  <c r="M71"/>
  <c r="K69"/>
  <c r="J72"/>
  <c r="H70"/>
  <c r="O72"/>
  <c r="K73"/>
  <c r="H69"/>
  <c r="M37"/>
  <c r="I38"/>
  <c r="G72"/>
  <c r="F72" s="1"/>
  <c r="J36"/>
  <c r="J39" s="1"/>
  <c r="O38"/>
  <c r="J69"/>
  <c r="K37"/>
  <c r="N38"/>
  <c r="N39" s="1"/>
  <c r="M36"/>
  <c r="K34"/>
  <c r="J37"/>
  <c r="H35"/>
  <c r="N70"/>
  <c r="L73"/>
  <c r="K71"/>
  <c r="I69"/>
  <c r="H72"/>
  <c r="N71"/>
  <c r="K72"/>
  <c r="H37"/>
  <c r="O35"/>
  <c r="L36"/>
  <c r="I37"/>
  <c r="F35"/>
  <c r="O37"/>
  <c r="H34"/>
  <c r="O70"/>
  <c r="I72"/>
  <c r="O73"/>
  <c r="N35"/>
  <c r="L38"/>
  <c r="L39" s="1"/>
  <c r="K36"/>
  <c r="I34"/>
  <c r="I39" s="1"/>
  <c r="O69"/>
  <c r="N72"/>
  <c r="L70"/>
  <c r="J73"/>
  <c r="I71"/>
  <c r="G73"/>
  <c r="M70"/>
  <c r="J71"/>
  <c r="G70"/>
  <c r="N34"/>
  <c r="K35"/>
  <c r="H36"/>
  <c r="F36"/>
  <c r="M35"/>
  <c r="G35"/>
  <c r="F38"/>
  <c r="M73"/>
  <c r="G34"/>
  <c r="F71"/>
  <c r="K18" i="153"/>
  <c r="L18"/>
  <c r="M18"/>
  <c r="J18"/>
  <c r="I18"/>
  <c r="N18"/>
  <c r="J42" i="190"/>
  <c r="G270" i="272"/>
  <c r="H139"/>
  <c r="G139"/>
  <c r="O139"/>
  <c r="N139"/>
  <c r="K139"/>
  <c r="I139"/>
  <c r="F139"/>
  <c r="L139"/>
  <c r="M139"/>
  <c r="J139"/>
  <c r="M270"/>
  <c r="L32" i="182"/>
  <c r="N27" i="153"/>
  <c r="M27"/>
  <c r="L27"/>
  <c r="K27"/>
  <c r="J27"/>
  <c r="I27"/>
  <c r="O92" i="187"/>
  <c r="O91"/>
  <c r="O93"/>
  <c r="F69"/>
  <c r="F68"/>
  <c r="F67"/>
  <c r="H75"/>
  <c r="H76"/>
  <c r="L28" i="133"/>
  <c r="F93" i="187"/>
  <c r="F92"/>
  <c r="H67"/>
  <c r="H69"/>
  <c r="H68"/>
  <c r="M75"/>
  <c r="M77"/>
  <c r="M91"/>
  <c r="M92"/>
  <c r="I24" i="133"/>
  <c r="I25"/>
  <c r="I58"/>
  <c r="J24"/>
  <c r="G55"/>
  <c r="G21"/>
  <c r="G22" s="1"/>
  <c r="H27"/>
  <c r="H61"/>
  <c r="I55"/>
  <c r="I21"/>
  <c r="J20" i="190"/>
  <c r="J90"/>
  <c r="J109"/>
  <c r="M20"/>
  <c r="M93" i="187"/>
  <c r="F91"/>
  <c r="L42" i="190"/>
  <c r="M37" i="200"/>
  <c r="O26" i="133"/>
  <c r="O35" i="200"/>
  <c r="G41" i="190"/>
  <c r="H77" i="187"/>
  <c r="H36" i="237"/>
  <c r="G45"/>
  <c r="H45"/>
  <c r="F38" i="200"/>
  <c r="F30"/>
  <c r="H42" i="235"/>
  <c r="I42"/>
  <c r="J42" s="1"/>
  <c r="G51"/>
  <c r="H51" s="1"/>
  <c r="I51" s="1"/>
  <c r="J51" s="1"/>
  <c r="H24" i="133"/>
  <c r="H58"/>
  <c r="G27"/>
  <c r="G61"/>
  <c r="K20" i="190"/>
  <c r="I67" i="187"/>
  <c r="I69"/>
  <c r="I68"/>
  <c r="K77"/>
  <c r="K76"/>
  <c r="G91"/>
  <c r="I75"/>
  <c r="I76"/>
  <c r="I92"/>
  <c r="I91"/>
  <c r="N92"/>
  <c r="N93"/>
  <c r="N91"/>
  <c r="N42" i="190"/>
  <c r="K26" i="133"/>
  <c r="J61"/>
  <c r="G40" i="190"/>
  <c r="K21" i="133"/>
  <c r="K22" s="1"/>
  <c r="K27"/>
  <c r="O68" i="187"/>
  <c r="I35" i="200"/>
  <c r="J40" i="190"/>
  <c r="I41"/>
  <c r="K61" i="133"/>
  <c r="H26"/>
  <c r="O20"/>
  <c r="O22" s="1"/>
  <c r="F42" i="190"/>
  <c r="O61" i="133"/>
  <c r="J36" i="200"/>
  <c r="L40" i="190"/>
  <c r="L41"/>
  <c r="J91" i="187"/>
  <c r="L67"/>
  <c r="L69"/>
  <c r="G68"/>
  <c r="G67"/>
  <c r="G69"/>
  <c r="H21" i="133"/>
  <c r="H55"/>
  <c r="I27"/>
  <c r="J31" i="200"/>
  <c r="J35"/>
  <c r="J75" i="187"/>
  <c r="J76"/>
  <c r="J77"/>
  <c r="G77"/>
  <c r="K68"/>
  <c r="K67"/>
  <c r="K58" i="133"/>
  <c r="H20"/>
  <c r="H22" s="1"/>
  <c r="I40" i="190"/>
  <c r="L37" i="200"/>
  <c r="K36"/>
  <c r="F22" i="133"/>
  <c r="K24"/>
  <c r="L68" i="187"/>
  <c r="O67"/>
  <c r="O37" i="200"/>
  <c r="H37"/>
  <c r="M58" i="133"/>
  <c r="O58"/>
  <c r="F40" i="190"/>
  <c r="N20" i="133"/>
  <c r="N22" s="1"/>
  <c r="J41" i="190"/>
  <c r="J20" i="133"/>
  <c r="J22" s="1"/>
  <c r="J23"/>
  <c r="N23"/>
  <c r="N25" s="1"/>
  <c r="K20"/>
  <c r="H41" i="190"/>
  <c r="G259" i="133"/>
  <c r="G298" s="1"/>
  <c r="N75" i="188"/>
  <c r="G36" i="197"/>
  <c r="H35"/>
  <c r="H259" i="133"/>
  <c r="H298"/>
  <c r="H46" i="234"/>
  <c r="H50"/>
  <c r="H87" s="1"/>
  <c r="I89" i="235"/>
  <c r="BE4" i="277"/>
  <c r="F90" i="190"/>
  <c r="F109"/>
  <c r="I90"/>
  <c r="I109"/>
  <c r="F126" i="153"/>
  <c r="H126"/>
  <c r="N104" i="182"/>
  <c r="N128"/>
  <c r="O90" i="190"/>
  <c r="O109"/>
  <c r="J66" i="244"/>
  <c r="J74" s="1"/>
  <c r="M90" i="190"/>
  <c r="M109"/>
  <c r="I27" i="154"/>
  <c r="H27"/>
  <c r="I44" i="233"/>
  <c r="F89" i="235"/>
  <c r="G89"/>
  <c r="N89"/>
  <c r="G38" i="234"/>
  <c r="M89" i="235"/>
  <c r="G28" i="133"/>
  <c r="G39" i="154"/>
  <c r="H90" i="190"/>
  <c r="H109" s="1"/>
  <c r="L89" i="235"/>
  <c r="E88"/>
  <c r="H81"/>
  <c r="I81"/>
  <c r="J81" s="1"/>
  <c r="K81"/>
  <c r="L81" s="1"/>
  <c r="M81" s="1"/>
  <c r="N81" s="1"/>
  <c r="O81"/>
  <c r="K463" i="270"/>
  <c r="K425"/>
  <c r="L472"/>
  <c r="K453"/>
  <c r="O434"/>
  <c r="N434"/>
  <c r="L270" i="272"/>
  <c r="M39" i="154"/>
  <c r="G33"/>
  <c r="L27"/>
  <c r="N270" i="272"/>
  <c r="F39" i="154"/>
  <c r="O39"/>
  <c r="G27"/>
  <c r="G83" i="191"/>
  <c r="K42" i="235"/>
  <c r="I372" i="270"/>
  <c r="N156" i="272"/>
  <c r="H156"/>
  <c r="F33" i="154"/>
  <c r="H270" i="272"/>
  <c r="I270"/>
  <c r="K39" i="154"/>
  <c r="H33"/>
  <c r="N27"/>
  <c r="I126" i="153"/>
  <c r="L90" i="190"/>
  <c r="L109" s="1"/>
  <c r="K28" i="133"/>
  <c r="H28"/>
  <c r="J25"/>
  <c r="F94" i="237"/>
  <c r="F112" s="1"/>
  <c r="E35" i="197"/>
  <c r="I35" s="1"/>
  <c r="J35" s="1"/>
  <c r="K35" s="1"/>
  <c r="J104" i="182"/>
  <c r="J128" s="1"/>
  <c r="H104"/>
  <c r="H128" s="1"/>
  <c r="H36" i="197"/>
  <c r="I36"/>
  <c r="J36" s="1"/>
  <c r="K36"/>
  <c r="G37"/>
  <c r="H37"/>
  <c r="I129" i="153"/>
  <c r="I127"/>
  <c r="BF4" i="277"/>
  <c r="H129" i="153"/>
  <c r="F129"/>
  <c r="G126"/>
  <c r="G127"/>
  <c r="K66" i="244"/>
  <c r="K74"/>
  <c r="E89" i="235"/>
  <c r="I104" i="182"/>
  <c r="I128" s="1"/>
  <c r="F98" i="233"/>
  <c r="F119" s="1"/>
  <c r="F104" i="182"/>
  <c r="F128" s="1"/>
  <c r="L463" i="270"/>
  <c r="L453"/>
  <c r="M472"/>
  <c r="L425"/>
  <c r="L35" i="197"/>
  <c r="M35" s="1"/>
  <c r="I45" i="237"/>
  <c r="L104" i="182"/>
  <c r="L128"/>
  <c r="E37" i="197"/>
  <c r="L37"/>
  <c r="M37" s="1"/>
  <c r="N37" s="1"/>
  <c r="O37" s="1"/>
  <c r="G98" i="233"/>
  <c r="G119"/>
  <c r="G117" i="234"/>
  <c r="BG4" i="277"/>
  <c r="G129" i="153"/>
  <c r="G130" s="1"/>
  <c r="H127"/>
  <c r="M463" i="270"/>
  <c r="M425"/>
  <c r="O472"/>
  <c r="N472"/>
  <c r="M453"/>
  <c r="I37" i="197"/>
  <c r="J37" s="1"/>
  <c r="BH4" i="277"/>
  <c r="I145" i="153"/>
  <c r="H145"/>
  <c r="F145"/>
  <c r="N463" i="270"/>
  <c r="O463"/>
  <c r="O453"/>
  <c r="N453"/>
  <c r="N425"/>
  <c r="J97" i="197"/>
  <c r="J115"/>
  <c r="G145" i="153"/>
  <c r="O425" i="270"/>
  <c r="O97" i="197"/>
  <c r="O115" s="1"/>
  <c r="BI4" i="277" l="1"/>
  <c r="H39" i="154"/>
  <c r="J34" i="237"/>
  <c r="O83" i="235"/>
  <c r="H83"/>
  <c r="I83" s="1"/>
  <c r="J83" s="1"/>
  <c r="K83" s="1"/>
  <c r="L83" s="1"/>
  <c r="M83" s="1"/>
  <c r="N83" s="1"/>
  <c r="H49"/>
  <c r="G49"/>
  <c r="H40"/>
  <c r="I26" i="133"/>
  <c r="I28" s="1"/>
  <c r="I61"/>
  <c r="N27"/>
  <c r="N28" s="1"/>
  <c r="N61"/>
  <c r="C234"/>
  <c r="F233"/>
  <c r="L55"/>
  <c r="L21"/>
  <c r="L22" s="1"/>
  <c r="I40" i="234"/>
  <c r="I49" s="1"/>
  <c r="K34" i="237"/>
  <c r="E36" i="197"/>
  <c r="L36" s="1"/>
  <c r="M36" s="1"/>
  <c r="N36" s="1"/>
  <c r="L42" i="235"/>
  <c r="L51"/>
  <c r="C229" i="133"/>
  <c r="K51" i="235"/>
  <c r="N33" i="154"/>
  <c r="H43" i="237"/>
  <c r="J39" i="234"/>
  <c r="K39" s="1"/>
  <c r="O35" i="197"/>
  <c r="H34" i="236"/>
  <c r="H46" i="233"/>
  <c r="N4" i="228"/>
  <c r="I43" i="237"/>
  <c r="J43" s="1"/>
  <c r="M21" i="133"/>
  <c r="M22" s="1"/>
  <c r="I35" i="236"/>
  <c r="I45"/>
  <c r="I22" i="133"/>
  <c r="H23"/>
  <c r="H25" s="1"/>
  <c r="G58"/>
  <c r="G23"/>
  <c r="G25" s="1"/>
  <c r="M35" i="200"/>
  <c r="J40" i="234"/>
  <c r="J35" i="233"/>
  <c r="I36"/>
  <c r="J36" s="1"/>
  <c r="J480" i="159"/>
  <c r="I5" i="231"/>
  <c r="I130" i="153"/>
  <c r="H130"/>
  <c r="G47" i="234"/>
  <c r="H47" s="1"/>
  <c r="H38"/>
  <c r="K27" i="154"/>
  <c r="M33"/>
  <c r="J26" i="133"/>
  <c r="J28" s="1"/>
  <c r="I37" i="233"/>
  <c r="I46"/>
  <c r="M61" i="133"/>
  <c r="M27"/>
  <c r="M28" s="1"/>
  <c r="L58"/>
  <c r="L24"/>
  <c r="L25" s="1"/>
  <c r="J37" i="200"/>
  <c r="K37"/>
  <c r="L34" i="237"/>
  <c r="J45"/>
  <c r="J36"/>
  <c r="J37" i="233"/>
  <c r="G36" i="236"/>
  <c r="H36" s="1"/>
  <c r="N480" i="159"/>
  <c r="H483"/>
  <c r="H489" s="1"/>
  <c r="H156"/>
  <c r="K480"/>
  <c r="N487"/>
  <c r="N156"/>
  <c r="I121" i="238"/>
  <c r="I126" s="1"/>
  <c r="I106"/>
  <c r="BD4" i="280"/>
  <c r="H48" i="234"/>
  <c r="I48" s="1"/>
  <c r="J48" s="1"/>
  <c r="O23" i="133"/>
  <c r="O25" s="1"/>
  <c r="G35" i="237"/>
  <c r="O27" i="133"/>
  <c r="O28" s="1"/>
  <c r="L147" i="159"/>
  <c r="G41" i="235"/>
  <c r="K156" i="159"/>
  <c r="O156"/>
  <c r="G147"/>
  <c r="H147"/>
  <c r="G20" i="271"/>
  <c r="F20" s="1"/>
  <c r="G18"/>
  <c r="G21"/>
  <c r="F21" s="1"/>
  <c r="F47" i="184"/>
  <c r="H47"/>
  <c r="I47" s="1"/>
  <c r="J47" s="1"/>
  <c r="G489" i="159"/>
  <c r="E220"/>
  <c r="M474"/>
  <c r="M480" s="1"/>
  <c r="M147"/>
  <c r="G480"/>
  <c r="F475"/>
  <c r="F480" s="1"/>
  <c r="F147"/>
  <c r="I473"/>
  <c r="I480" s="1"/>
  <c r="I147"/>
  <c r="G377" i="270"/>
  <c r="G376"/>
  <c r="G371"/>
  <c r="G373"/>
  <c r="H70" i="197"/>
  <c r="H97" s="1"/>
  <c r="H115" s="1"/>
  <c r="J70" i="237"/>
  <c r="K69" i="197"/>
  <c r="K97" s="1"/>
  <c r="K115" s="1"/>
  <c r="N69"/>
  <c r="N97" s="1"/>
  <c r="N115" s="1"/>
  <c r="H70" i="237"/>
  <c r="I70"/>
  <c r="H74" i="234"/>
  <c r="H99" s="1"/>
  <c r="H117" s="1"/>
  <c r="L70" i="237"/>
  <c r="I70" i="197"/>
  <c r="H98" i="235"/>
  <c r="O74" i="234"/>
  <c r="J98" i="235"/>
  <c r="O98"/>
  <c r="K70" i="237"/>
  <c r="K74" i="234"/>
  <c r="G70" i="237"/>
  <c r="G94" s="1"/>
  <c r="G112" s="1"/>
  <c r="G69" i="197"/>
  <c r="G97" s="1"/>
  <c r="G115" s="1"/>
  <c r="M70"/>
  <c r="L70"/>
  <c r="L97" s="1"/>
  <c r="L115" s="1"/>
  <c r="F74" i="234"/>
  <c r="F99" s="1"/>
  <c r="F117" s="1"/>
  <c r="H70" i="233"/>
  <c r="H98" s="1"/>
  <c r="H119" s="1"/>
  <c r="I69" i="197"/>
  <c r="I97" s="1"/>
  <c r="I115" s="1"/>
  <c r="M70" i="233"/>
  <c r="F98" i="235"/>
  <c r="F121" s="1"/>
  <c r="F141" s="1"/>
  <c r="I70" i="233"/>
  <c r="J74" i="234"/>
  <c r="L74"/>
  <c r="M69" i="197"/>
  <c r="M97" s="1"/>
  <c r="M115" s="1"/>
  <c r="G98" i="235"/>
  <c r="G121" s="1"/>
  <c r="G141" s="1"/>
  <c r="K98"/>
  <c r="I78" i="159"/>
  <c r="J87"/>
  <c r="F126" i="238"/>
  <c r="N106"/>
  <c r="J39" i="48"/>
  <c r="I86" i="271"/>
  <c r="J86" s="1"/>
  <c r="K86" s="1"/>
  <c r="L86" s="1"/>
  <c r="M86" s="1"/>
  <c r="N86" s="1"/>
  <c r="K97"/>
  <c r="L97" s="1"/>
  <c r="M97" s="1"/>
  <c r="N97" s="1"/>
  <c r="G50" i="235"/>
  <c r="H45" i="233"/>
  <c r="I45" s="1"/>
  <c r="K147" i="159"/>
  <c r="N489"/>
  <c r="O147"/>
  <c r="F6" i="35"/>
  <c r="F7"/>
  <c r="F87" i="159"/>
  <c r="E27" i="6"/>
  <c r="F27" s="1"/>
  <c r="H78" i="159"/>
  <c r="J78"/>
  <c r="K87"/>
  <c r="K121" i="238"/>
  <c r="K126"/>
  <c r="AO50" i="231"/>
  <c r="AV51"/>
  <c r="I88" i="271"/>
  <c r="J88" s="1"/>
  <c r="K88" s="1"/>
  <c r="L88" s="1"/>
  <c r="M88" s="1"/>
  <c r="N88" s="1"/>
  <c r="I90"/>
  <c r="J90" s="1"/>
  <c r="K90" s="1"/>
  <c r="L90" s="1"/>
  <c r="M90" s="1"/>
  <c r="N90" s="1"/>
  <c r="K100"/>
  <c r="L100" s="1"/>
  <c r="M100" s="1"/>
  <c r="N100" s="1"/>
  <c r="I110"/>
  <c r="J110" s="1"/>
  <c r="K110" s="1"/>
  <c r="L110" s="1"/>
  <c r="M110" s="1"/>
  <c r="N110" s="1"/>
  <c r="I107"/>
  <c r="J107" s="1"/>
  <c r="K107" s="1"/>
  <c r="L107" s="1"/>
  <c r="M107" s="1"/>
  <c r="N107" s="1"/>
  <c r="O107" s="1"/>
  <c r="H108"/>
  <c r="I108" s="1"/>
  <c r="J108" s="1"/>
  <c r="K108" s="1"/>
  <c r="L108" s="1"/>
  <c r="M108" s="1"/>
  <c r="N108" s="1"/>
  <c r="H143"/>
  <c r="I142"/>
  <c r="J483" i="159"/>
  <c r="J489" s="1"/>
  <c r="K489"/>
  <c r="F482"/>
  <c r="F489" s="1"/>
  <c r="F156"/>
  <c r="J147"/>
  <c r="H121" i="238"/>
  <c r="H126" s="1"/>
  <c r="H106"/>
  <c r="AO49" i="231"/>
  <c r="AV49"/>
  <c r="AP50"/>
  <c r="I91" i="271"/>
  <c r="J91" s="1"/>
  <c r="K91" s="1"/>
  <c r="L91" s="1"/>
  <c r="M91" s="1"/>
  <c r="N91" s="1"/>
  <c r="K98"/>
  <c r="L98" s="1"/>
  <c r="M98" s="1"/>
  <c r="N98" s="1"/>
  <c r="H111"/>
  <c r="I111" s="1"/>
  <c r="J111" s="1"/>
  <c r="K111" s="1"/>
  <c r="L111" s="1"/>
  <c r="M111" s="1"/>
  <c r="N111" s="1"/>
  <c r="H113"/>
  <c r="I113" s="1"/>
  <c r="J113" s="1"/>
  <c r="K113" s="1"/>
  <c r="L113" s="1"/>
  <c r="M113" s="1"/>
  <c r="N113" s="1"/>
  <c r="BB134" i="279"/>
  <c r="BB344"/>
  <c r="BB336"/>
  <c r="BF340"/>
  <c r="BI336"/>
  <c r="N23" i="48"/>
  <c r="K23"/>
  <c r="G23"/>
  <c r="E49" i="184"/>
  <c r="H49" s="1"/>
  <c r="I49" s="1"/>
  <c r="J49" s="1"/>
  <c r="I156" i="159"/>
  <c r="J160" i="272"/>
  <c r="BA344" i="279"/>
  <c r="BA336"/>
  <c r="BE340"/>
  <c r="BB4" i="276"/>
  <c r="BC64" i="279"/>
  <c r="BH336"/>
  <c r="BH340"/>
  <c r="BH344"/>
  <c r="BD336"/>
  <c r="BD340"/>
  <c r="BD344"/>
  <c r="AY336"/>
  <c r="AY340"/>
  <c r="AY344"/>
  <c r="BI340"/>
  <c r="BG336"/>
  <c r="BG340"/>
  <c r="BG344"/>
  <c r="BC336"/>
  <c r="BC340"/>
  <c r="BC344"/>
  <c r="AZ344"/>
  <c r="AZ340"/>
  <c r="AZ336"/>
  <c r="BC71" i="280"/>
  <c r="I91" i="234"/>
  <c r="BB175" i="279"/>
  <c r="I371" i="270"/>
  <c r="I375"/>
  <c r="I376"/>
  <c r="I377"/>
  <c r="I378"/>
  <c r="I373"/>
  <c r="I374"/>
  <c r="H119" i="271"/>
  <c r="I75"/>
  <c r="BI175" i="279"/>
  <c r="G145" i="191"/>
  <c r="G152"/>
  <c r="G120"/>
  <c r="G127"/>
  <c r="L344" i="154"/>
  <c r="I84"/>
  <c r="H122" i="271"/>
  <c r="I78"/>
  <c r="L514" i="270"/>
  <c r="L515" s="1"/>
  <c r="G235" i="159"/>
  <c r="G236"/>
  <c r="H371" i="270"/>
  <c r="H385" s="1"/>
  <c r="H373"/>
  <c r="H387" s="1"/>
  <c r="H375"/>
  <c r="H374"/>
  <c r="H388" s="1"/>
  <c r="H376"/>
  <c r="H390" s="1"/>
  <c r="F145" i="191"/>
  <c r="F152"/>
  <c r="G64" i="157"/>
  <c r="H64" s="1"/>
  <c r="I64" s="1"/>
  <c r="J64" s="1"/>
  <c r="K64" s="1"/>
  <c r="L64" s="1"/>
  <c r="M64" s="1"/>
  <c r="N64" s="1"/>
  <c r="O64" s="1"/>
  <c r="F64"/>
  <c r="F364" i="271"/>
  <c r="F355"/>
  <c r="F359"/>
  <c r="F363"/>
  <c r="F353"/>
  <c r="F367"/>
  <c r="F368"/>
  <c r="F350"/>
  <c r="F352"/>
  <c r="F347"/>
  <c r="F366"/>
  <c r="F357"/>
  <c r="F370"/>
  <c r="F358"/>
  <c r="F362"/>
  <c r="F349"/>
  <c r="F360"/>
  <c r="F369"/>
  <c r="F348"/>
  <c r="F356"/>
  <c r="F354"/>
  <c r="F365"/>
  <c r="F351"/>
  <c r="F361"/>
  <c r="G573" i="270"/>
  <c r="G572"/>
  <c r="G514"/>
  <c r="G515" s="1"/>
  <c r="F591"/>
  <c r="F592" s="1"/>
  <c r="F554"/>
  <c r="F553"/>
  <c r="F514"/>
  <c r="F515" s="1"/>
  <c r="F39" i="6"/>
  <c r="F38"/>
  <c r="F41"/>
  <c r="F46"/>
  <c r="F35"/>
  <c r="F32"/>
  <c r="F36"/>
  <c r="F13"/>
  <c r="F21"/>
  <c r="D246" i="159" s="1"/>
  <c r="F45" i="6"/>
  <c r="F40"/>
  <c r="D248" i="159" s="1"/>
  <c r="J86" i="190"/>
  <c r="H27" i="168"/>
  <c r="I62" s="1"/>
  <c r="H95" i="234"/>
  <c r="F94" i="182"/>
  <c r="G201" i="184"/>
  <c r="F24" i="6"/>
  <c r="J16" i="270"/>
  <c r="I123" i="271"/>
  <c r="I361" s="1"/>
  <c r="J79"/>
  <c r="H363"/>
  <c r="H361"/>
  <c r="H378" i="270"/>
  <c r="H377"/>
  <c r="H391" s="1"/>
  <c r="F151" i="272"/>
  <c r="F155"/>
  <c r="F152"/>
  <c r="F153"/>
  <c r="F154"/>
  <c r="F31" i="6"/>
  <c r="G126" i="187"/>
  <c r="F235" i="159"/>
  <c r="F236"/>
  <c r="G125" i="187"/>
  <c r="F126"/>
  <c r="F125"/>
  <c r="B11" i="35"/>
  <c r="G591" i="270"/>
  <c r="G592" s="1"/>
  <c r="H389"/>
  <c r="G533"/>
  <c r="G534"/>
  <c r="E106" i="6"/>
  <c r="F20"/>
  <c r="K94" i="182"/>
  <c r="H193" i="187"/>
  <c r="G174"/>
  <c r="E134" i="184"/>
  <c r="H134" s="1"/>
  <c r="M514" i="270"/>
  <c r="M515"/>
  <c r="K515"/>
  <c r="K514"/>
  <c r="I77" i="271"/>
  <c r="H124"/>
  <c r="I80"/>
  <c r="O364"/>
  <c r="O361"/>
  <c r="G23" i="184"/>
  <c r="G149" s="1"/>
  <c r="H19"/>
  <c r="F182" i="200"/>
  <c r="I94" i="182"/>
  <c r="K23" i="168"/>
  <c r="H97" i="188"/>
  <c r="F11" i="6"/>
  <c r="F139" i="184" s="1"/>
  <c r="G173" i="187"/>
  <c r="L124"/>
  <c r="F37" i="6"/>
  <c r="H57" i="191"/>
  <c r="I57" s="1"/>
  <c r="J57" s="1"/>
  <c r="K57" s="1"/>
  <c r="L57" s="1"/>
  <c r="H234" i="159"/>
  <c r="F75" i="191"/>
  <c r="F495" i="270"/>
  <c r="F496"/>
  <c r="O24" i="153"/>
  <c r="O15"/>
  <c r="Q327" i="271"/>
  <c r="H327"/>
  <c r="G360"/>
  <c r="H126" i="187"/>
  <c r="H174" s="1"/>
  <c r="H125"/>
  <c r="H173" s="1"/>
  <c r="N514" i="270"/>
  <c r="N515"/>
  <c r="J514"/>
  <c r="J515"/>
  <c r="BB4" i="279"/>
  <c r="G356" i="271"/>
  <c r="G349"/>
  <c r="E76"/>
  <c r="H76" s="1"/>
  <c r="H514" i="270"/>
  <c r="H515" s="1"/>
  <c r="F174" i="187"/>
  <c r="G610" i="270"/>
  <c r="G554"/>
  <c r="G553"/>
  <c r="G495"/>
  <c r="F610"/>
  <c r="F611" s="1"/>
  <c r="F572"/>
  <c r="F573"/>
  <c r="F533"/>
  <c r="F534" s="1"/>
  <c r="F18" i="6"/>
  <c r="F47"/>
  <c r="F95" i="234"/>
  <c r="O201" i="184"/>
  <c r="E136"/>
  <c r="H136" s="1"/>
  <c r="E135"/>
  <c r="H135"/>
  <c r="J125" i="187"/>
  <c r="J173" s="1"/>
  <c r="J126"/>
  <c r="J174" s="1"/>
  <c r="I126"/>
  <c r="I174" s="1"/>
  <c r="I125"/>
  <c r="I173" s="1"/>
  <c r="I514" i="270"/>
  <c r="O351" i="271"/>
  <c r="O20" i="154"/>
  <c r="O46" s="1"/>
  <c r="O107" s="1"/>
  <c r="O327" s="1"/>
  <c r="O16"/>
  <c r="O55"/>
  <c r="O75" s="1"/>
  <c r="O54"/>
  <c r="O74" s="1"/>
  <c r="O17"/>
  <c r="O43" s="1"/>
  <c r="O57"/>
  <c r="O77" s="1"/>
  <c r="O18"/>
  <c r="O44" s="1"/>
  <c r="O56"/>
  <c r="O76" s="1"/>
  <c r="O104" s="1"/>
  <c r="O299" s="1"/>
  <c r="O19"/>
  <c r="O45" s="1"/>
  <c r="O389" s="1"/>
  <c r="N20"/>
  <c r="N46" s="1"/>
  <c r="N107" s="1"/>
  <c r="N327" s="1"/>
  <c r="N54"/>
  <c r="N74" s="1"/>
  <c r="N17"/>
  <c r="N43" s="1"/>
  <c r="N18"/>
  <c r="N44" s="1"/>
  <c r="N19"/>
  <c r="N45" s="1"/>
  <c r="N389" s="1"/>
  <c r="N16"/>
  <c r="N55"/>
  <c r="N75" s="1"/>
  <c r="N103" s="1"/>
  <c r="N284" s="1"/>
  <c r="N56"/>
  <c r="N76" s="1"/>
  <c r="N104" s="1"/>
  <c r="N299" s="1"/>
  <c r="N57"/>
  <c r="N77" s="1"/>
  <c r="N105" s="1"/>
  <c r="N346" s="1"/>
  <c r="M20"/>
  <c r="M46" s="1"/>
  <c r="M16"/>
  <c r="M55"/>
  <c r="M75" s="1"/>
  <c r="M56"/>
  <c r="M76" s="1"/>
  <c r="M57"/>
  <c r="M77" s="1"/>
  <c r="L20"/>
  <c r="L46" s="1"/>
  <c r="M17"/>
  <c r="M43" s="1"/>
  <c r="M54"/>
  <c r="M74" s="1"/>
  <c r="L55"/>
  <c r="L75" s="1"/>
  <c r="L56"/>
  <c r="L76" s="1"/>
  <c r="L18"/>
  <c r="L44" s="1"/>
  <c r="L57"/>
  <c r="L77" s="1"/>
  <c r="K54"/>
  <c r="K74" s="1"/>
  <c r="K17"/>
  <c r="K43" s="1"/>
  <c r="K18"/>
  <c r="K44" s="1"/>
  <c r="K19"/>
  <c r="K45" s="1"/>
  <c r="M19"/>
  <c r="M45" s="1"/>
  <c r="M389" s="1"/>
  <c r="L16"/>
  <c r="L19"/>
  <c r="L45" s="1"/>
  <c r="L389" s="1"/>
  <c r="L17"/>
  <c r="L43" s="1"/>
  <c r="K16"/>
  <c r="K55"/>
  <c r="K75" s="1"/>
  <c r="K103" s="1"/>
  <c r="K284" s="1"/>
  <c r="K56"/>
  <c r="K76" s="1"/>
  <c r="K104" s="1"/>
  <c r="K299" s="1"/>
  <c r="K57"/>
  <c r="K77" s="1"/>
  <c r="K105" s="1"/>
  <c r="K346" s="1"/>
  <c r="J20"/>
  <c r="J46" s="1"/>
  <c r="J16"/>
  <c r="M18"/>
  <c r="M44" s="1"/>
  <c r="L54"/>
  <c r="L74" s="1"/>
  <c r="K20"/>
  <c r="K46" s="1"/>
  <c r="K107" s="1"/>
  <c r="K327" s="1"/>
  <c r="J55"/>
  <c r="J75" s="1"/>
  <c r="J18"/>
  <c r="J44" s="1"/>
  <c r="J19"/>
  <c r="J45" s="1"/>
  <c r="J389" s="1"/>
  <c r="I20"/>
  <c r="I46" s="1"/>
  <c r="I107" s="1"/>
  <c r="I327" s="1"/>
  <c r="I54"/>
  <c r="I74" s="1"/>
  <c r="I17"/>
  <c r="I43" s="1"/>
  <c r="I18"/>
  <c r="I44" s="1"/>
  <c r="I19"/>
  <c r="I45" s="1"/>
  <c r="I389" s="1"/>
  <c r="H20"/>
  <c r="H46" s="1"/>
  <c r="H107" s="1"/>
  <c r="H327" s="1"/>
  <c r="H54"/>
  <c r="H74" s="1"/>
  <c r="H17"/>
  <c r="H43" s="1"/>
  <c r="H18"/>
  <c r="H44" s="1"/>
  <c r="H19"/>
  <c r="H45" s="1"/>
  <c r="H389" s="1"/>
  <c r="G17"/>
  <c r="G43" s="1"/>
  <c r="G18"/>
  <c r="G44" s="1"/>
  <c r="G19"/>
  <c r="G45" s="1"/>
  <c r="F54"/>
  <c r="F74" s="1"/>
  <c r="F20"/>
  <c r="F46" s="1"/>
  <c r="F107" s="1"/>
  <c r="F327" s="1"/>
  <c r="J17"/>
  <c r="J43" s="1"/>
  <c r="G16"/>
  <c r="F17"/>
  <c r="F43" s="1"/>
  <c r="F18"/>
  <c r="F44" s="1"/>
  <c r="F19"/>
  <c r="F45" s="1"/>
  <c r="F389" s="1"/>
  <c r="I56"/>
  <c r="I76" s="1"/>
  <c r="I104" s="1"/>
  <c r="I299" s="1"/>
  <c r="H16"/>
  <c r="H55"/>
  <c r="H75" s="1"/>
  <c r="H103" s="1"/>
  <c r="H284" s="1"/>
  <c r="G20"/>
  <c r="G46" s="1"/>
  <c r="J57"/>
  <c r="J77" s="1"/>
  <c r="J105" s="1"/>
  <c r="J346" s="1"/>
  <c r="H56"/>
  <c r="H76" s="1"/>
  <c r="H104" s="1"/>
  <c r="H299" s="1"/>
  <c r="H57"/>
  <c r="H77" s="1"/>
  <c r="H105" s="1"/>
  <c r="H346" s="1"/>
  <c r="G55"/>
  <c r="G75" s="1"/>
  <c r="G103" s="1"/>
  <c r="G284" s="1"/>
  <c r="F55"/>
  <c r="F75" s="1"/>
  <c r="F103" s="1"/>
  <c r="F284" s="1"/>
  <c r="J54"/>
  <c r="J74" s="1"/>
  <c r="I16"/>
  <c r="I57"/>
  <c r="I77" s="1"/>
  <c r="I105" s="1"/>
  <c r="I346" s="1"/>
  <c r="G54"/>
  <c r="G74" s="1"/>
  <c r="G56"/>
  <c r="G76" s="1"/>
  <c r="G104" s="1"/>
  <c r="G299" s="1"/>
  <c r="G57"/>
  <c r="J56"/>
  <c r="J76" s="1"/>
  <c r="J104" s="1"/>
  <c r="J299" s="1"/>
  <c r="I55"/>
  <c r="I75" s="1"/>
  <c r="I103" s="1"/>
  <c r="I284" s="1"/>
  <c r="F56"/>
  <c r="F76" s="1"/>
  <c r="F104" s="1"/>
  <c r="F299" s="1"/>
  <c r="F16"/>
  <c r="F173" i="187"/>
  <c r="F42" i="6"/>
  <c r="D244" i="159" s="1"/>
  <c r="H86" i="190"/>
  <c r="G94" i="182"/>
  <c r="H94"/>
  <c r="G86" i="190"/>
  <c r="F91" i="233"/>
  <c r="F86" i="190"/>
  <c r="F117" i="235"/>
  <c r="F80" i="236"/>
  <c r="F90" i="237"/>
  <c r="G91" i="233"/>
  <c r="G95" i="234"/>
  <c r="F90" i="187"/>
  <c r="F94" s="1"/>
  <c r="F188" s="1"/>
  <c r="F229" s="1"/>
  <c r="K50" i="184"/>
  <c r="K190" s="1"/>
  <c r="E46"/>
  <c r="H46" s="1"/>
  <c r="F311" i="154"/>
  <c r="F313" s="1"/>
  <c r="H74" i="187"/>
  <c r="H78" s="1"/>
  <c r="H186" s="1"/>
  <c r="H217" s="1"/>
  <c r="J66"/>
  <c r="J70" s="1"/>
  <c r="J185" s="1"/>
  <c r="J211" s="1"/>
  <c r="H66"/>
  <c r="H70" s="1"/>
  <c r="H185" s="1"/>
  <c r="H211" s="1"/>
  <c r="G358" i="271"/>
  <c r="G71" i="244"/>
  <c r="G73"/>
  <c r="M154" i="191"/>
  <c r="G107" i="154"/>
  <c r="G327" s="1"/>
  <c r="M90" i="187"/>
  <c r="M94" s="1"/>
  <c r="M188" s="1"/>
  <c r="M229" s="1"/>
  <c r="N90"/>
  <c r="N94" s="1"/>
  <c r="N188" s="1"/>
  <c r="N229" s="1"/>
  <c r="G72" i="244"/>
  <c r="I364" i="271"/>
  <c r="I362"/>
  <c r="J153" i="272"/>
  <c r="J151"/>
  <c r="J155"/>
  <c r="J152"/>
  <c r="G359" i="271"/>
  <c r="I152" i="272"/>
  <c r="J107" i="154"/>
  <c r="J327" s="1"/>
  <c r="H367" i="271"/>
  <c r="I368"/>
  <c r="J368"/>
  <c r="J370"/>
  <c r="G151" i="272"/>
  <c r="G355" i="271"/>
  <c r="H362"/>
  <c r="H364"/>
  <c r="H368"/>
  <c r="I363"/>
  <c r="L107" i="154"/>
  <c r="L327" s="1"/>
  <c r="G350" i="271"/>
  <c r="G368"/>
  <c r="G367"/>
  <c r="G353"/>
  <c r="G363"/>
  <c r="K153" i="272"/>
  <c r="L65" i="244"/>
  <c r="K73"/>
  <c r="J73"/>
  <c r="J71"/>
  <c r="J72"/>
  <c r="L151" i="272"/>
  <c r="L155"/>
  <c r="L152"/>
  <c r="M152"/>
  <c r="M151"/>
  <c r="M155"/>
  <c r="L72" i="244"/>
  <c r="M64"/>
  <c r="M107" i="154"/>
  <c r="M327" s="1"/>
  <c r="K74" i="188"/>
  <c r="K73"/>
  <c r="L368" i="271"/>
  <c r="M370"/>
  <c r="M368"/>
  <c r="N368"/>
  <c r="N73" i="188"/>
  <c r="N63" i="244"/>
  <c r="M71"/>
  <c r="L34" i="200"/>
  <c r="M34"/>
  <c r="K86" i="197"/>
  <c r="J86"/>
  <c r="H86"/>
  <c r="G86"/>
  <c r="O190" i="184"/>
  <c r="E22" i="188"/>
  <c r="F87" s="1"/>
  <c r="F22"/>
  <c r="F86" s="1"/>
  <c r="N74"/>
  <c r="O135" i="272"/>
  <c r="O137"/>
  <c r="O136"/>
  <c r="O138"/>
  <c r="O94" i="187"/>
  <c r="O188" s="1"/>
  <c r="O229" s="1"/>
  <c r="F47" i="200"/>
  <c r="G47"/>
  <c r="H17" i="133"/>
  <c r="I50"/>
  <c r="O86" i="190"/>
  <c r="O66" i="187"/>
  <c r="O39"/>
  <c r="G155" i="133"/>
  <c r="H155" s="1"/>
  <c r="O74" i="187"/>
  <c r="O78" s="1"/>
  <c r="O186" s="1"/>
  <c r="O217" s="1"/>
  <c r="O70"/>
  <c r="O185" s="1"/>
  <c r="O211" s="1"/>
  <c r="O43"/>
  <c r="O184" s="1"/>
  <c r="O205" s="1"/>
  <c r="H38" i="200"/>
  <c r="J38"/>
  <c r="L38"/>
  <c r="N38"/>
  <c r="G38"/>
  <c r="I38"/>
  <c r="K38"/>
  <c r="M38"/>
  <c r="O38"/>
  <c r="J51" i="133"/>
  <c r="I18"/>
  <c r="I31" s="1"/>
  <c r="G48" i="235"/>
  <c r="G52" s="1"/>
  <c r="G111" s="1"/>
  <c r="G116" s="1"/>
  <c r="G117" s="1"/>
  <c r="I37" i="234"/>
  <c r="F30" i="133"/>
  <c r="F126" s="1"/>
  <c r="H39" i="235"/>
  <c r="G33" i="236"/>
  <c r="H43" i="233"/>
  <c r="H47" s="1"/>
  <c r="H83" s="1"/>
  <c r="H90" s="1"/>
  <c r="H91" s="1"/>
  <c r="I34"/>
  <c r="H33" i="237"/>
  <c r="O46" i="182"/>
  <c r="O50" s="1"/>
  <c r="O88" s="1"/>
  <c r="G17" i="133"/>
  <c r="G19" s="1"/>
  <c r="G32" s="1"/>
  <c r="G42" i="237"/>
  <c r="J37" i="234"/>
  <c r="O21" i="272"/>
  <c r="O122" i="271"/>
  <c r="O124"/>
  <c r="O366" s="1"/>
  <c r="J65"/>
  <c r="O323" s="1"/>
  <c r="J67"/>
  <c r="O316" s="1"/>
  <c r="O363"/>
  <c r="O368"/>
  <c r="O362"/>
  <c r="F75" i="6"/>
  <c r="O350" i="271"/>
  <c r="O119"/>
  <c r="O325"/>
  <c r="O121"/>
  <c r="O380"/>
  <c r="O375"/>
  <c r="O381"/>
  <c r="O395"/>
  <c r="O396"/>
  <c r="O378"/>
  <c r="O390"/>
  <c r="O385"/>
  <c r="O42" i="270"/>
  <c r="O514" s="1"/>
  <c r="O78"/>
  <c r="O72" i="244"/>
  <c r="F29" i="6"/>
  <c r="O188" i="238" s="1"/>
  <c r="O233" s="1"/>
  <c r="O235" s="1"/>
  <c r="O269" s="1"/>
  <c r="F8" i="6"/>
  <c r="F33"/>
  <c r="F83" i="244" s="1"/>
  <c r="BF19" i="263"/>
  <c r="BF15"/>
  <c r="BF41"/>
  <c r="BF50"/>
  <c r="BF59"/>
  <c r="AN19"/>
  <c r="AN45"/>
  <c r="AN26"/>
  <c r="AU41"/>
  <c r="AU50"/>
  <c r="Z16"/>
  <c r="Z39"/>
  <c r="Z47"/>
  <c r="Z30"/>
  <c r="BF16"/>
  <c r="BF38"/>
  <c r="BF46"/>
  <c r="AN11"/>
  <c r="AN18"/>
  <c r="AN38"/>
  <c r="AN46"/>
  <c r="AN57"/>
  <c r="AU13"/>
  <c r="AU34"/>
  <c r="AU42"/>
  <c r="AU29"/>
  <c r="AU65"/>
  <c r="Z21"/>
  <c r="Z48"/>
  <c r="Z60"/>
  <c r="BF21"/>
  <c r="BF39"/>
  <c r="BF47"/>
  <c r="AN16"/>
  <c r="AN43"/>
  <c r="AN28"/>
  <c r="AN59"/>
  <c r="AU19"/>
  <c r="AU39"/>
  <c r="AU47"/>
  <c r="AU30"/>
  <c r="Z10"/>
  <c r="Z22"/>
  <c r="BF48"/>
  <c r="AN21"/>
  <c r="AN27"/>
  <c r="AU36"/>
  <c r="Z15"/>
  <c r="Z41"/>
  <c r="AN34"/>
  <c r="AU60"/>
  <c r="Z45"/>
  <c r="AN13"/>
  <c r="AU15"/>
  <c r="W11"/>
  <c r="W39"/>
  <c r="W47"/>
  <c r="AN48"/>
  <c r="Z38"/>
  <c r="W32"/>
  <c r="W40"/>
  <c r="BF40"/>
  <c r="AN60"/>
  <c r="Z46"/>
  <c r="W38"/>
  <c r="W46"/>
  <c r="W29"/>
  <c r="AP13"/>
  <c r="AP38"/>
  <c r="AP46"/>
  <c r="AP57"/>
  <c r="AW13"/>
  <c r="AW34"/>
  <c r="AW42"/>
  <c r="AW28"/>
  <c r="AW59"/>
  <c r="AX19"/>
  <c r="AX43"/>
  <c r="AX28"/>
  <c r="AX59"/>
  <c r="AY19"/>
  <c r="AY39"/>
  <c r="AY29"/>
  <c r="AY65"/>
  <c r="AZ21"/>
  <c r="AZ38"/>
  <c r="AZ46"/>
  <c r="AZ57"/>
  <c r="BA13"/>
  <c r="BA34"/>
  <c r="BA42"/>
  <c r="BA29"/>
  <c r="BA65"/>
  <c r="BB21"/>
  <c r="BB38"/>
  <c r="BB46"/>
  <c r="BB57"/>
  <c r="BC13"/>
  <c r="BC34"/>
  <c r="BC48"/>
  <c r="BC60"/>
  <c r="AR15"/>
  <c r="AR32"/>
  <c r="AR40"/>
  <c r="AR27"/>
  <c r="U10"/>
  <c r="U22"/>
  <c r="W50"/>
  <c r="W59"/>
  <c r="AP19"/>
  <c r="AP39"/>
  <c r="AP47"/>
  <c r="AP30"/>
  <c r="AW10"/>
  <c r="AW35"/>
  <c r="AW43"/>
  <c r="AW27"/>
  <c r="AX11"/>
  <c r="AX18"/>
  <c r="AX36"/>
  <c r="AX27"/>
  <c r="AY11"/>
  <c r="AY18"/>
  <c r="AY36"/>
  <c r="AY43"/>
  <c r="AY28"/>
  <c r="AY59"/>
  <c r="AZ19"/>
  <c r="AZ39"/>
  <c r="AZ47"/>
  <c r="AZ30"/>
  <c r="BA10"/>
  <c r="BA35"/>
  <c r="BA43"/>
  <c r="BA28"/>
  <c r="BA59"/>
  <c r="BB19"/>
  <c r="BB39"/>
  <c r="BB47"/>
  <c r="BB30"/>
  <c r="BC10"/>
  <c r="BC35"/>
  <c r="BC45"/>
  <c r="BC26"/>
  <c r="AR41"/>
  <c r="AR50"/>
  <c r="AR60"/>
  <c r="U15"/>
  <c r="U34"/>
  <c r="Z57"/>
  <c r="W28"/>
  <c r="AP41"/>
  <c r="AP50"/>
  <c r="AW16"/>
  <c r="AW46"/>
  <c r="AW57"/>
  <c r="AX13"/>
  <c r="AX34"/>
  <c r="AX42"/>
  <c r="AX29"/>
  <c r="AX65"/>
  <c r="AY21"/>
  <c r="AY38"/>
  <c r="AY50"/>
  <c r="AZ16"/>
  <c r="AZ45"/>
  <c r="AZ26"/>
  <c r="BA41"/>
  <c r="AP15"/>
  <c r="AP27"/>
  <c r="AW36"/>
  <c r="AX50"/>
  <c r="AZ11"/>
  <c r="AZ27"/>
  <c r="BA36"/>
  <c r="BB16"/>
  <c r="BB50"/>
  <c r="BC47"/>
  <c r="AR39"/>
  <c r="AR30"/>
  <c r="U21"/>
  <c r="AU32"/>
  <c r="AP40"/>
  <c r="AW40"/>
  <c r="AZ15"/>
  <c r="BA15"/>
  <c r="BA27"/>
  <c r="BB11"/>
  <c r="BB36"/>
  <c r="BB60"/>
  <c r="BC18"/>
  <c r="BC57"/>
  <c r="AR42"/>
  <c r="Z42"/>
  <c r="AP11"/>
  <c r="AW32"/>
  <c r="AX45"/>
  <c r="AZ32"/>
  <c r="BA32"/>
  <c r="BB15"/>
  <c r="BB40"/>
  <c r="BC15"/>
  <c r="BC42"/>
  <c r="BC29"/>
  <c r="AR13"/>
  <c r="AR38"/>
  <c r="AR29"/>
  <c r="AX41"/>
  <c r="BC39"/>
  <c r="T32"/>
  <c r="T40"/>
  <c r="T29"/>
  <c r="U30"/>
  <c r="BE41"/>
  <c r="BE50"/>
  <c r="BE60"/>
  <c r="AQ15"/>
  <c r="AQ32"/>
  <c r="AQ40"/>
  <c r="AQ27"/>
  <c r="AT10"/>
  <c r="AW50"/>
  <c r="BC28"/>
  <c r="T19"/>
  <c r="T45"/>
  <c r="T30"/>
  <c r="U27"/>
  <c r="BE21"/>
  <c r="BE38"/>
  <c r="BE46"/>
  <c r="AQ41"/>
  <c r="AQ50"/>
  <c r="AT11"/>
  <c r="AT18"/>
  <c r="AT36"/>
  <c r="AW18"/>
  <c r="BA18"/>
  <c r="AR10"/>
  <c r="T35"/>
  <c r="T43"/>
  <c r="T28"/>
  <c r="U29"/>
  <c r="BE15"/>
  <c r="BE32"/>
  <c r="BE40"/>
  <c r="BE27"/>
  <c r="BE59"/>
  <c r="AQ19"/>
  <c r="AQ39"/>
  <c r="AQ47"/>
  <c r="AQ30"/>
  <c r="AT13"/>
  <c r="AT34"/>
  <c r="AT42"/>
  <c r="T42"/>
  <c r="AQ34"/>
  <c r="BF10"/>
  <c r="BF11"/>
  <c r="BF18"/>
  <c r="BF45"/>
  <c r="BF30"/>
  <c r="AN10"/>
  <c r="AN41"/>
  <c r="AN50"/>
  <c r="AU16"/>
  <c r="AU45"/>
  <c r="AU26"/>
  <c r="Z32"/>
  <c r="Z43"/>
  <c r="Z26"/>
  <c r="Z59"/>
  <c r="BF34"/>
  <c r="BF42"/>
  <c r="BF60"/>
  <c r="AN15"/>
  <c r="AN32"/>
  <c r="AN42"/>
  <c r="AN29"/>
  <c r="AN65"/>
  <c r="AU21"/>
  <c r="AU38"/>
  <c r="AU46"/>
  <c r="AU57"/>
  <c r="Z13"/>
  <c r="Z40"/>
  <c r="Z27"/>
  <c r="BF13"/>
  <c r="BF35"/>
  <c r="BF43"/>
  <c r="BF27"/>
  <c r="AN39"/>
  <c r="AN47"/>
  <c r="AN30"/>
  <c r="AU10"/>
  <c r="AU35"/>
  <c r="AU43"/>
  <c r="AU28"/>
  <c r="AU59"/>
  <c r="Z19"/>
  <c r="BF57"/>
  <c r="BF65"/>
  <c r="AN36"/>
  <c r="AU11"/>
  <c r="AU27"/>
  <c r="Z35"/>
  <c r="Z50"/>
  <c r="AU40"/>
  <c r="Z34"/>
  <c r="Z29"/>
  <c r="AN40"/>
  <c r="AU48"/>
  <c r="W35"/>
  <c r="W43"/>
  <c r="W26"/>
  <c r="AU18"/>
  <c r="Z28"/>
  <c r="W36"/>
  <c r="W48"/>
  <c r="BF26"/>
  <c r="Z18"/>
  <c r="W34"/>
  <c r="W42"/>
  <c r="W45"/>
  <c r="W57"/>
  <c r="AP21"/>
  <c r="AP42"/>
  <c r="AP29"/>
  <c r="AP65"/>
  <c r="AW21"/>
  <c r="AW38"/>
  <c r="AW47"/>
  <c r="AW30"/>
  <c r="AX10"/>
  <c r="AX35"/>
  <c r="AX47"/>
  <c r="AX30"/>
  <c r="AY10"/>
  <c r="AY35"/>
  <c r="AY46"/>
  <c r="AY57"/>
  <c r="AZ13"/>
  <c r="AZ34"/>
  <c r="AZ42"/>
  <c r="AZ29"/>
  <c r="AZ65"/>
  <c r="BA21"/>
  <c r="BA38"/>
  <c r="BA46"/>
  <c r="BA57"/>
  <c r="BB13"/>
  <c r="BB34"/>
  <c r="BB42"/>
  <c r="BB29"/>
  <c r="BB65"/>
  <c r="BC21"/>
  <c r="BC40"/>
  <c r="BC27"/>
  <c r="AR11"/>
  <c r="AR18"/>
  <c r="AR36"/>
  <c r="AR48"/>
  <c r="AR59"/>
  <c r="U19"/>
  <c r="BF36"/>
  <c r="W30"/>
  <c r="AP10"/>
  <c r="AP35"/>
  <c r="AP43"/>
  <c r="AP28"/>
  <c r="AP59"/>
  <c r="AW19"/>
  <c r="AW39"/>
  <c r="AW48"/>
  <c r="AW60"/>
  <c r="AX15"/>
  <c r="AX32"/>
  <c r="AX48"/>
  <c r="AX60"/>
  <c r="AY15"/>
  <c r="AY32"/>
  <c r="AY40"/>
  <c r="AY47"/>
  <c r="AY30"/>
  <c r="AZ10"/>
  <c r="AZ35"/>
  <c r="AZ43"/>
  <c r="AZ28"/>
  <c r="AZ59"/>
  <c r="BA19"/>
  <c r="BA39"/>
  <c r="BA47"/>
  <c r="BA30"/>
  <c r="BB10"/>
  <c r="BB35"/>
  <c r="BB43"/>
  <c r="BB28"/>
  <c r="BB59"/>
  <c r="BC19"/>
  <c r="BC41"/>
  <c r="BC50"/>
  <c r="AR16"/>
  <c r="AR45"/>
  <c r="AR26"/>
  <c r="U11"/>
  <c r="U18"/>
  <c r="Z11"/>
  <c r="W41"/>
  <c r="AP16"/>
  <c r="AP45"/>
  <c r="AP26"/>
  <c r="AW41"/>
  <c r="AW29"/>
  <c r="AW65"/>
  <c r="AX21"/>
  <c r="AX38"/>
  <c r="AX46"/>
  <c r="AX57"/>
  <c r="AY13"/>
  <c r="AY34"/>
  <c r="AY45"/>
  <c r="AY26"/>
  <c r="AZ41"/>
  <c r="AZ50"/>
  <c r="BA16"/>
  <c r="BA45"/>
  <c r="AP36"/>
  <c r="AW11"/>
  <c r="AX16"/>
  <c r="AY27"/>
  <c r="AZ36"/>
  <c r="BA11"/>
  <c r="BA50"/>
  <c r="BB41"/>
  <c r="BC16"/>
  <c r="BC30"/>
  <c r="AR47"/>
  <c r="U13"/>
  <c r="U36"/>
  <c r="AP18"/>
  <c r="AW15"/>
  <c r="AX26"/>
  <c r="AZ40"/>
  <c r="BA40"/>
  <c r="BA60"/>
  <c r="BB18"/>
  <c r="BB27"/>
  <c r="BC11"/>
  <c r="BC36"/>
  <c r="AR34"/>
  <c r="U16"/>
  <c r="W60"/>
  <c r="AP48"/>
  <c r="AW26"/>
  <c r="AY48"/>
  <c r="AZ48"/>
  <c r="BA48"/>
  <c r="BB32"/>
  <c r="BB48"/>
  <c r="BC32"/>
  <c r="BC46"/>
  <c r="BC65"/>
  <c r="AR21"/>
  <c r="AR46"/>
  <c r="U35"/>
  <c r="AZ18"/>
  <c r="AR19"/>
  <c r="T36"/>
  <c r="T48"/>
  <c r="T59"/>
  <c r="BE16"/>
  <c r="BE45"/>
  <c r="BE26"/>
  <c r="AQ11"/>
  <c r="AQ18"/>
  <c r="AQ36"/>
  <c r="AQ48"/>
  <c r="AQ60"/>
  <c r="AT19"/>
  <c r="BA26"/>
  <c r="AR35"/>
  <c r="T41"/>
  <c r="T26"/>
  <c r="T60"/>
  <c r="BE13"/>
  <c r="BE34"/>
  <c r="BE42"/>
  <c r="AQ16"/>
  <c r="AQ45"/>
  <c r="AQ26"/>
  <c r="AT15"/>
  <c r="AT32"/>
  <c r="AT40"/>
  <c r="AY60"/>
  <c r="BB26"/>
  <c r="AR28"/>
  <c r="T39"/>
  <c r="T47"/>
  <c r="T57"/>
  <c r="BE11"/>
  <c r="BE18"/>
  <c r="BE36"/>
  <c r="BE48"/>
  <c r="BE30"/>
  <c r="AQ10"/>
  <c r="AQ35"/>
  <c r="AQ43"/>
  <c r="AQ28"/>
  <c r="AQ59"/>
  <c r="AT21"/>
  <c r="AT38"/>
  <c r="AT46"/>
  <c r="BE39"/>
  <c r="AT47"/>
  <c r="AT30"/>
  <c r="Y10"/>
  <c r="Y22"/>
  <c r="Y41"/>
  <c r="Y50"/>
  <c r="V15"/>
  <c r="V36"/>
  <c r="V27"/>
  <c r="AO21"/>
  <c r="AO41"/>
  <c r="AO50"/>
  <c r="AV11"/>
  <c r="AV18"/>
  <c r="AV36"/>
  <c r="AV48"/>
  <c r="AV60"/>
  <c r="AA15"/>
  <c r="AA38"/>
  <c r="AA46"/>
  <c r="AA57"/>
  <c r="X16"/>
  <c r="X39"/>
  <c r="X27"/>
  <c r="BF16" i="262"/>
  <c r="BF39"/>
  <c r="BF47"/>
  <c r="BF60"/>
  <c r="AN15"/>
  <c r="AN32"/>
  <c r="AN40"/>
  <c r="AN27"/>
  <c r="AU11"/>
  <c r="AU18"/>
  <c r="AU36"/>
  <c r="AU48"/>
  <c r="AU60"/>
  <c r="Z15"/>
  <c r="Z35"/>
  <c r="Z48"/>
  <c r="Z60"/>
  <c r="W32"/>
  <c r="W40"/>
  <c r="W60"/>
  <c r="AP15"/>
  <c r="AP32"/>
  <c r="AP42"/>
  <c r="AP29"/>
  <c r="AP65"/>
  <c r="BF21" i="261"/>
  <c r="BF40"/>
  <c r="AN16"/>
  <c r="AN45"/>
  <c r="AN26"/>
  <c r="AZ60" i="263"/>
  <c r="T46"/>
  <c r="BE19"/>
  <c r="AQ13"/>
  <c r="AQ29"/>
  <c r="AT48"/>
  <c r="AT60"/>
  <c r="Y15"/>
  <c r="Y38"/>
  <c r="Y46"/>
  <c r="Y57"/>
  <c r="V16"/>
  <c r="V45"/>
  <c r="V57"/>
  <c r="AO19"/>
  <c r="AO38"/>
  <c r="AO46"/>
  <c r="AO57"/>
  <c r="AV16"/>
  <c r="AV45"/>
  <c r="AV26"/>
  <c r="AA32"/>
  <c r="AA39"/>
  <c r="AA47"/>
  <c r="AA30"/>
  <c r="X11"/>
  <c r="X36"/>
  <c r="X28"/>
  <c r="BF21" i="262"/>
  <c r="BF40"/>
  <c r="AN16"/>
  <c r="AN45"/>
  <c r="AN26"/>
  <c r="AU41"/>
  <c r="AU50"/>
  <c r="Z16"/>
  <c r="Z41"/>
  <c r="Z50"/>
  <c r="W41"/>
  <c r="W50"/>
  <c r="AP16"/>
  <c r="AP39"/>
  <c r="AP47"/>
  <c r="AP30"/>
  <c r="BF10" i="261"/>
  <c r="BF41"/>
  <c r="BF50"/>
  <c r="BF65"/>
  <c r="AN21"/>
  <c r="AN38"/>
  <c r="AN46"/>
  <c r="AP32" i="263"/>
  <c r="AR43"/>
  <c r="BE10"/>
  <c r="BE28"/>
  <c r="AQ21"/>
  <c r="AQ65"/>
  <c r="AT29"/>
  <c r="AT65"/>
  <c r="Y21"/>
  <c r="Y40"/>
  <c r="Y27"/>
  <c r="V19"/>
  <c r="V39"/>
  <c r="V47"/>
  <c r="AO16"/>
  <c r="AO48"/>
  <c r="AO60"/>
  <c r="AV19"/>
  <c r="AV39"/>
  <c r="AV47"/>
  <c r="AV30"/>
  <c r="AA10"/>
  <c r="AA22"/>
  <c r="AA45"/>
  <c r="AA28"/>
  <c r="X38"/>
  <c r="X46"/>
  <c r="X30"/>
  <c r="BF11" i="262"/>
  <c r="BF18"/>
  <c r="BF38"/>
  <c r="BF46"/>
  <c r="BF30"/>
  <c r="AN10"/>
  <c r="AN39"/>
  <c r="AN47"/>
  <c r="AN30"/>
  <c r="AU10"/>
  <c r="AU35"/>
  <c r="AU43"/>
  <c r="AU28"/>
  <c r="AU59"/>
  <c r="Z19"/>
  <c r="Z34"/>
  <c r="Z43"/>
  <c r="Z26"/>
  <c r="Z59"/>
  <c r="W39"/>
  <c r="W47"/>
  <c r="W30"/>
  <c r="AP10"/>
  <c r="AP41"/>
  <c r="AP50"/>
  <c r="BF16" i="261"/>
  <c r="BF39"/>
  <c r="BF47"/>
  <c r="BF60"/>
  <c r="AN15"/>
  <c r="AN32"/>
  <c r="AN40"/>
  <c r="AN27"/>
  <c r="AT35" i="263"/>
  <c r="Y59"/>
  <c r="AO39"/>
  <c r="AV13"/>
  <c r="AV29"/>
  <c r="BF10" i="262"/>
  <c r="AN34"/>
  <c r="AN65"/>
  <c r="AU46"/>
  <c r="Z42"/>
  <c r="W34"/>
  <c r="AP36"/>
  <c r="BF11" i="261"/>
  <c r="BF30"/>
  <c r="AN59"/>
  <c r="AU19"/>
  <c r="AU39"/>
  <c r="AU47"/>
  <c r="AU30"/>
  <c r="Z10"/>
  <c r="Z22"/>
  <c r="Z39"/>
  <c r="Z47"/>
  <c r="Z30"/>
  <c r="W35"/>
  <c r="W43"/>
  <c r="W26"/>
  <c r="W59"/>
  <c r="AP19"/>
  <c r="AP45"/>
  <c r="AP26"/>
  <c r="BF35" i="260"/>
  <c r="BF43"/>
  <c r="BF26"/>
  <c r="AN11"/>
  <c r="AN18"/>
  <c r="AN36"/>
  <c r="AN48"/>
  <c r="AN60"/>
  <c r="AU15"/>
  <c r="AU32"/>
  <c r="AU40"/>
  <c r="AU27"/>
  <c r="Z11"/>
  <c r="Z18"/>
  <c r="Z40"/>
  <c r="Z27"/>
  <c r="W11"/>
  <c r="W36"/>
  <c r="W48"/>
  <c r="AP11"/>
  <c r="AP18"/>
  <c r="AP38"/>
  <c r="AP46"/>
  <c r="AP57"/>
  <c r="BF13" i="259"/>
  <c r="BF36"/>
  <c r="BF48"/>
  <c r="AQ42" i="263"/>
  <c r="Y32"/>
  <c r="V11"/>
  <c r="V29"/>
  <c r="AO43"/>
  <c r="AV42"/>
  <c r="AA21"/>
  <c r="X41"/>
  <c r="AN13" i="262"/>
  <c r="Z13"/>
  <c r="W38"/>
  <c r="AP40"/>
  <c r="BF34" i="261"/>
  <c r="AN19"/>
  <c r="AN30"/>
  <c r="AU11"/>
  <c r="AU18"/>
  <c r="AU36"/>
  <c r="AU48"/>
  <c r="AU60"/>
  <c r="Z15"/>
  <c r="Z35"/>
  <c r="Z48"/>
  <c r="Z60"/>
  <c r="W32"/>
  <c r="W40"/>
  <c r="W60"/>
  <c r="AP15"/>
  <c r="AP32"/>
  <c r="AP42"/>
  <c r="AP29"/>
  <c r="AP65"/>
  <c r="BF21" i="260"/>
  <c r="BF40"/>
  <c r="AN16"/>
  <c r="AN45"/>
  <c r="AN26"/>
  <c r="AU41"/>
  <c r="AU50"/>
  <c r="Z16"/>
  <c r="Z41"/>
  <c r="Z50"/>
  <c r="U60" i="263"/>
  <c r="AT16"/>
  <c r="Y16"/>
  <c r="Y30"/>
  <c r="AO11"/>
  <c r="AV34"/>
  <c r="AA36"/>
  <c r="AQ57"/>
  <c r="V21"/>
  <c r="AA48"/>
  <c r="AN21" i="262"/>
  <c r="AU42"/>
  <c r="Z29"/>
  <c r="BF27" i="261"/>
  <c r="AN47"/>
  <c r="AU13"/>
  <c r="AU38"/>
  <c r="AT50" i="263"/>
  <c r="AO32"/>
  <c r="X45"/>
  <c r="BF19" i="262"/>
  <c r="AN38"/>
  <c r="AU29"/>
  <c r="AU16" i="261"/>
  <c r="AU50"/>
  <c r="Z28"/>
  <c r="W42"/>
  <c r="AP35"/>
  <c r="AP28"/>
  <c r="BF10" i="260"/>
  <c r="BF38"/>
  <c r="BF59"/>
  <c r="AN19"/>
  <c r="AN47"/>
  <c r="AU39"/>
  <c r="AU30"/>
  <c r="Z19"/>
  <c r="Z43"/>
  <c r="Z59"/>
  <c r="AV65" i="263"/>
  <c r="BF65" i="262"/>
  <c r="AU57"/>
  <c r="W42"/>
  <c r="BF42" i="261"/>
  <c r="AU34"/>
  <c r="AU57"/>
  <c r="Z21"/>
  <c r="Z46"/>
  <c r="W45"/>
  <c r="AP36"/>
  <c r="AP60"/>
  <c r="BF18" i="260"/>
  <c r="BF50"/>
  <c r="AN13"/>
  <c r="AN42"/>
  <c r="AU34"/>
  <c r="AU57"/>
  <c r="Z21"/>
  <c r="Z46"/>
  <c r="W38"/>
  <c r="W50"/>
  <c r="AP19"/>
  <c r="BE47" i="263"/>
  <c r="Z32" i="261"/>
  <c r="W50"/>
  <c r="AP21"/>
  <c r="BF42" i="260"/>
  <c r="AN43"/>
  <c r="AU19"/>
  <c r="AU59"/>
  <c r="Z39"/>
  <c r="W34"/>
  <c r="W47"/>
  <c r="AP21"/>
  <c r="AP50"/>
  <c r="AP60"/>
  <c r="BF38" i="259"/>
  <c r="BF50"/>
  <c r="AN16"/>
  <c r="AN45"/>
  <c r="AN26"/>
  <c r="AU41"/>
  <c r="AU50"/>
  <c r="Z16"/>
  <c r="Z41"/>
  <c r="Z50"/>
  <c r="W41"/>
  <c r="W50"/>
  <c r="AP16"/>
  <c r="AP39"/>
  <c r="AP47"/>
  <c r="AP30"/>
  <c r="BF10" i="258"/>
  <c r="BF41"/>
  <c r="BF50"/>
  <c r="BF65"/>
  <c r="AN21"/>
  <c r="AN38"/>
  <c r="AN46"/>
  <c r="AN57"/>
  <c r="AU13"/>
  <c r="AU34"/>
  <c r="AU42"/>
  <c r="AU29"/>
  <c r="AU65"/>
  <c r="Z21"/>
  <c r="Z42"/>
  <c r="Z29"/>
  <c r="W34"/>
  <c r="W42"/>
  <c r="W29" i="262"/>
  <c r="AU65" i="261"/>
  <c r="Z57"/>
  <c r="AP39"/>
  <c r="BF45" i="260"/>
  <c r="AN46"/>
  <c r="AU21"/>
  <c r="AU65"/>
  <c r="Z57"/>
  <c r="W42"/>
  <c r="W59"/>
  <c r="AP35"/>
  <c r="AP45"/>
  <c r="BF10" i="259"/>
  <c r="BF34"/>
  <c r="BF45"/>
  <c r="BF65"/>
  <c r="AN21"/>
  <c r="AN38"/>
  <c r="AN46"/>
  <c r="AN57"/>
  <c r="AU13"/>
  <c r="AU34"/>
  <c r="AU42"/>
  <c r="AU29"/>
  <c r="AU65"/>
  <c r="Z21"/>
  <c r="Z42"/>
  <c r="Z29"/>
  <c r="W34"/>
  <c r="W42"/>
  <c r="W29"/>
  <c r="AP13"/>
  <c r="AP36"/>
  <c r="AP48"/>
  <c r="AP60"/>
  <c r="BF15" i="258"/>
  <c r="BF34"/>
  <c r="BF42"/>
  <c r="BF27"/>
  <c r="BF59"/>
  <c r="AN19"/>
  <c r="AN43"/>
  <c r="AN28"/>
  <c r="AN59"/>
  <c r="AU19"/>
  <c r="AU39"/>
  <c r="AU47"/>
  <c r="AU30"/>
  <c r="Z10"/>
  <c r="Z22"/>
  <c r="Z39"/>
  <c r="Z47"/>
  <c r="Z30"/>
  <c r="AN29" i="262"/>
  <c r="AP21"/>
  <c r="Z16" i="261"/>
  <c r="W41"/>
  <c r="AP40"/>
  <c r="BF34" i="260"/>
  <c r="AN28"/>
  <c r="AU35"/>
  <c r="Z47"/>
  <c r="W26"/>
  <c r="AP10"/>
  <c r="AP41"/>
  <c r="AP27"/>
  <c r="BF16" i="259"/>
  <c r="BF41"/>
  <c r="BF30"/>
  <c r="AN10"/>
  <c r="AN39"/>
  <c r="AN47"/>
  <c r="AN30"/>
  <c r="AU10"/>
  <c r="AU35"/>
  <c r="AU43"/>
  <c r="AU28"/>
  <c r="AU59"/>
  <c r="Z19"/>
  <c r="Z34"/>
  <c r="Z43"/>
  <c r="Z26"/>
  <c r="Z59"/>
  <c r="W39"/>
  <c r="W47"/>
  <c r="W30"/>
  <c r="AP10"/>
  <c r="AP41"/>
  <c r="AP50"/>
  <c r="BF16" i="258"/>
  <c r="BF39"/>
  <c r="BF47"/>
  <c r="BF60"/>
  <c r="AN15"/>
  <c r="AN32"/>
  <c r="AN40"/>
  <c r="AN27"/>
  <c r="AU11"/>
  <c r="AU18"/>
  <c r="AU36"/>
  <c r="AU48"/>
  <c r="AU60"/>
  <c r="Z15"/>
  <c r="Z35"/>
  <c r="Z48"/>
  <c r="Z60"/>
  <c r="W32"/>
  <c r="W40"/>
  <c r="AN38" i="260"/>
  <c r="W30"/>
  <c r="AN15" i="259"/>
  <c r="AN27"/>
  <c r="AU36"/>
  <c r="Z15"/>
  <c r="W32"/>
  <c r="AP18"/>
  <c r="AP65"/>
  <c r="BF40" i="258"/>
  <c r="AU50"/>
  <c r="W39"/>
  <c r="W60"/>
  <c r="AP15"/>
  <c r="AP32"/>
  <c r="AP42"/>
  <c r="AP29"/>
  <c r="AP65"/>
  <c r="BF21" i="248"/>
  <c r="BF40"/>
  <c r="BF27"/>
  <c r="BF59"/>
  <c r="AN19"/>
  <c r="AN43"/>
  <c r="AN28"/>
  <c r="AN59"/>
  <c r="AU19"/>
  <c r="AT39" i="263"/>
  <c r="AT28"/>
  <c r="AT59"/>
  <c r="Y19"/>
  <c r="Y34"/>
  <c r="Y45"/>
  <c r="Y28"/>
  <c r="V34"/>
  <c r="V40"/>
  <c r="AO13"/>
  <c r="AO34"/>
  <c r="AO45"/>
  <c r="AO26"/>
  <c r="AV15"/>
  <c r="AV32"/>
  <c r="AV40"/>
  <c r="AV27"/>
  <c r="AA11"/>
  <c r="AA18"/>
  <c r="AA42"/>
  <c r="AA29"/>
  <c r="X10"/>
  <c r="X35"/>
  <c r="X43"/>
  <c r="X60"/>
  <c r="BF35" i="262"/>
  <c r="BF43"/>
  <c r="BF26"/>
  <c r="AN11"/>
  <c r="AN18"/>
  <c r="AN36"/>
  <c r="AN48"/>
  <c r="AN60"/>
  <c r="AU15"/>
  <c r="AU32"/>
  <c r="AU40"/>
  <c r="AU27"/>
  <c r="Z11"/>
  <c r="Z18"/>
  <c r="Z40"/>
  <c r="Z27"/>
  <c r="W11"/>
  <c r="W36"/>
  <c r="W48"/>
  <c r="AP11"/>
  <c r="AP18"/>
  <c r="AP38"/>
  <c r="AP46"/>
  <c r="AP57"/>
  <c r="BF13" i="261"/>
  <c r="BF36"/>
  <c r="BF48"/>
  <c r="AN41"/>
  <c r="AN50"/>
  <c r="AP60" i="263"/>
  <c r="AR65"/>
  <c r="U28"/>
  <c r="BE43"/>
  <c r="AQ38"/>
  <c r="AT41"/>
  <c r="AT27"/>
  <c r="Y11"/>
  <c r="Y18"/>
  <c r="Y42"/>
  <c r="Y29"/>
  <c r="V10"/>
  <c r="V41"/>
  <c r="V28"/>
  <c r="AO10"/>
  <c r="AO35"/>
  <c r="AO42"/>
  <c r="AO29"/>
  <c r="AO65"/>
  <c r="AV41"/>
  <c r="AV50"/>
  <c r="AA16"/>
  <c r="AA35"/>
  <c r="AA43"/>
  <c r="AA26"/>
  <c r="AA59"/>
  <c r="X21"/>
  <c r="X40"/>
  <c r="BF13" i="262"/>
  <c r="BF36"/>
  <c r="BF48"/>
  <c r="AN41"/>
  <c r="AN50"/>
  <c r="AU16"/>
  <c r="AU45"/>
  <c r="AU26"/>
  <c r="Z32"/>
  <c r="Z45"/>
  <c r="Z28"/>
  <c r="W45"/>
  <c r="W28"/>
  <c r="AP35"/>
  <c r="AP43"/>
  <c r="AP28"/>
  <c r="AP59"/>
  <c r="BF19" i="261"/>
  <c r="BF45"/>
  <c r="BF57"/>
  <c r="AN13"/>
  <c r="AN34"/>
  <c r="AN42"/>
  <c r="AN29"/>
  <c r="BB45" i="263"/>
  <c r="T38"/>
  <c r="BE35"/>
  <c r="BE65"/>
  <c r="AQ46"/>
  <c r="AT45"/>
  <c r="AT57"/>
  <c r="Y13"/>
  <c r="Y36"/>
  <c r="Y48"/>
  <c r="Y60"/>
  <c r="V22"/>
  <c r="V43"/>
  <c r="V60"/>
  <c r="AO40"/>
  <c r="AO27"/>
  <c r="AV10"/>
  <c r="AV35"/>
  <c r="AV43"/>
  <c r="AV28"/>
  <c r="AV59"/>
  <c r="AA19"/>
  <c r="AA41"/>
  <c r="AA50"/>
  <c r="X34"/>
  <c r="X42"/>
  <c r="X50"/>
  <c r="X59"/>
  <c r="BF15" i="262"/>
  <c r="BF34"/>
  <c r="BF42"/>
  <c r="BF27"/>
  <c r="BF59"/>
  <c r="AN19"/>
  <c r="AN43"/>
  <c r="AN28"/>
  <c r="AN59"/>
  <c r="AU19"/>
  <c r="AU39"/>
  <c r="AU47"/>
  <c r="AU30"/>
  <c r="Z10"/>
  <c r="Z22"/>
  <c r="Z39"/>
  <c r="Z47"/>
  <c r="Z30"/>
  <c r="W35"/>
  <c r="W43"/>
  <c r="W26"/>
  <c r="W59"/>
  <c r="AP19"/>
  <c r="AP45"/>
  <c r="AP26"/>
  <c r="BF35" i="261"/>
  <c r="BF43"/>
  <c r="BF26"/>
  <c r="AN11"/>
  <c r="AN18"/>
  <c r="AN36"/>
  <c r="AN48"/>
  <c r="BC59" i="263"/>
  <c r="Y43"/>
  <c r="AO15"/>
  <c r="AO30"/>
  <c r="AV38"/>
  <c r="AA40"/>
  <c r="BF41" i="262"/>
  <c r="AN46"/>
  <c r="AU21"/>
  <c r="AU65"/>
  <c r="Z57"/>
  <c r="W57"/>
  <c r="AP27"/>
  <c r="BF46" i="261"/>
  <c r="AN28"/>
  <c r="AU10"/>
  <c r="AU35"/>
  <c r="AU43"/>
  <c r="AU28"/>
  <c r="AU59"/>
  <c r="Z19"/>
  <c r="Z34"/>
  <c r="Z43"/>
  <c r="Z26"/>
  <c r="Z59"/>
  <c r="W39"/>
  <c r="W47"/>
  <c r="W30"/>
  <c r="AP10"/>
  <c r="AP41"/>
  <c r="AP50"/>
  <c r="BF16" i="260"/>
  <c r="BF39"/>
  <c r="BF47"/>
  <c r="BF60"/>
  <c r="AN15"/>
  <c r="AN32"/>
  <c r="AN40"/>
  <c r="AN27"/>
  <c r="AU11"/>
  <c r="AU18"/>
  <c r="AU36"/>
  <c r="AU48"/>
  <c r="AU60"/>
  <c r="Z15"/>
  <c r="Z35"/>
  <c r="Z48"/>
  <c r="Z60"/>
  <c r="W32"/>
  <c r="W40"/>
  <c r="W60"/>
  <c r="AP15"/>
  <c r="AP32"/>
  <c r="AP42"/>
  <c r="AP29"/>
  <c r="AP65"/>
  <c r="BF21" i="259"/>
  <c r="BF40"/>
  <c r="T34" i="263"/>
  <c r="AT43"/>
  <c r="Y47"/>
  <c r="V38"/>
  <c r="AO18"/>
  <c r="AO59"/>
  <c r="AV57"/>
  <c r="AA60"/>
  <c r="BF45" i="262"/>
  <c r="AU34"/>
  <c r="Z46"/>
  <c r="AP13"/>
  <c r="BF15" i="261"/>
  <c r="BF59"/>
  <c r="AN39"/>
  <c r="AN60"/>
  <c r="AU15"/>
  <c r="AU32"/>
  <c r="AU40"/>
  <c r="AU27"/>
  <c r="Z11"/>
  <c r="Z18"/>
  <c r="Z40"/>
  <c r="Z27"/>
  <c r="W11"/>
  <c r="W36"/>
  <c r="W48"/>
  <c r="AP11"/>
  <c r="AP18"/>
  <c r="AP38"/>
  <c r="AP46"/>
  <c r="AP57"/>
  <c r="BF13" i="260"/>
  <c r="BF36"/>
  <c r="BF48"/>
  <c r="AN41"/>
  <c r="AN50"/>
  <c r="AU16"/>
  <c r="AU45"/>
  <c r="AU26"/>
  <c r="Z32"/>
  <c r="Z45"/>
  <c r="Z28"/>
  <c r="BE57" i="263"/>
  <c r="AT26"/>
  <c r="Y39"/>
  <c r="V59"/>
  <c r="AO28"/>
  <c r="AA13"/>
  <c r="AA27"/>
  <c r="Y26"/>
  <c r="AV21"/>
  <c r="BF50" i="262"/>
  <c r="AN57"/>
  <c r="Z21"/>
  <c r="AP60"/>
  <c r="AN10" i="261"/>
  <c r="AN65"/>
  <c r="AU21"/>
  <c r="AY16" i="263"/>
  <c r="V42"/>
  <c r="AV46"/>
  <c r="X29"/>
  <c r="BF57" i="262"/>
  <c r="AU13"/>
  <c r="BF38" i="261"/>
  <c r="AU41"/>
  <c r="Z45"/>
  <c r="W34"/>
  <c r="AP16"/>
  <c r="AP43"/>
  <c r="AP59"/>
  <c r="BF19" i="260"/>
  <c r="BF46"/>
  <c r="AN10"/>
  <c r="AN39"/>
  <c r="AN30"/>
  <c r="AU47"/>
  <c r="Z10"/>
  <c r="Z34"/>
  <c r="Z26"/>
  <c r="AO47" i="263"/>
  <c r="X57"/>
  <c r="AN42" i="262"/>
  <c r="Z38"/>
  <c r="BF18" i="261"/>
  <c r="AN57"/>
  <c r="AU42"/>
  <c r="Z13"/>
  <c r="Z38"/>
  <c r="Z29"/>
  <c r="W57"/>
  <c r="AP27"/>
  <c r="BF11" i="260"/>
  <c r="BF41"/>
  <c r="BF65"/>
  <c r="AN21"/>
  <c r="AN57"/>
  <c r="AU42"/>
  <c r="Z13"/>
  <c r="Z38"/>
  <c r="Z29"/>
  <c r="W43"/>
  <c r="AP13"/>
  <c r="T27" i="263"/>
  <c r="AU45" i="261"/>
  <c r="Z41"/>
  <c r="W29"/>
  <c r="AP48"/>
  <c r="BF27" i="260"/>
  <c r="AN59"/>
  <c r="AU43"/>
  <c r="Z22"/>
  <c r="Z30"/>
  <c r="W41"/>
  <c r="W57"/>
  <c r="AP39"/>
  <c r="AP30"/>
  <c r="BF18" i="259"/>
  <c r="BF43"/>
  <c r="BF26"/>
  <c r="AN41"/>
  <c r="AN50"/>
  <c r="AU16"/>
  <c r="AU45"/>
  <c r="AU26"/>
  <c r="Z32"/>
  <c r="Z45"/>
  <c r="Z28"/>
  <c r="W45"/>
  <c r="W28"/>
  <c r="AP35"/>
  <c r="AP43"/>
  <c r="AP28"/>
  <c r="AP59"/>
  <c r="BF19" i="258"/>
  <c r="BF45"/>
  <c r="BF57"/>
  <c r="AN13"/>
  <c r="AN34"/>
  <c r="AN42"/>
  <c r="AN29"/>
  <c r="AN65"/>
  <c r="AU21"/>
  <c r="AU38"/>
  <c r="AU46"/>
  <c r="AU57"/>
  <c r="Z13"/>
  <c r="Z38"/>
  <c r="Z46"/>
  <c r="Z57"/>
  <c r="W38"/>
  <c r="W46"/>
  <c r="AU46" i="261"/>
  <c r="Z42"/>
  <c r="W38"/>
  <c r="AP30"/>
  <c r="AN34" i="260"/>
  <c r="AN65"/>
  <c r="AU46"/>
  <c r="Z42"/>
  <c r="W35"/>
  <c r="W28"/>
  <c r="AP16"/>
  <c r="AP40"/>
  <c r="AP28"/>
  <c r="BF15" i="259"/>
  <c r="BF39"/>
  <c r="BF57"/>
  <c r="AN13"/>
  <c r="AN34"/>
  <c r="AN42"/>
  <c r="AN29"/>
  <c r="AN65"/>
  <c r="AU21"/>
  <c r="AU38"/>
  <c r="AU46"/>
  <c r="AU57"/>
  <c r="Z13"/>
  <c r="Z38"/>
  <c r="Z46"/>
  <c r="Z57"/>
  <c r="W38"/>
  <c r="W46"/>
  <c r="W57"/>
  <c r="AP21"/>
  <c r="AP40"/>
  <c r="AP27"/>
  <c r="BF11" i="258"/>
  <c r="BF18"/>
  <c r="BF38"/>
  <c r="BF46"/>
  <c r="BF30"/>
  <c r="AN10"/>
  <c r="AN39"/>
  <c r="AN47"/>
  <c r="AN30"/>
  <c r="AU10"/>
  <c r="AU35"/>
  <c r="AU43"/>
  <c r="AU28"/>
  <c r="AU59"/>
  <c r="Z19"/>
  <c r="Z34"/>
  <c r="Z43"/>
  <c r="Z26"/>
  <c r="Z59"/>
  <c r="W46" i="262"/>
  <c r="AU26" i="261"/>
  <c r="Z50"/>
  <c r="AP13"/>
  <c r="BF15" i="260"/>
  <c r="BF30"/>
  <c r="AU10"/>
  <c r="AU28"/>
  <c r="W45"/>
  <c r="W29"/>
  <c r="AP36"/>
  <c r="AP47"/>
  <c r="BF11" i="259"/>
  <c r="BF35"/>
  <c r="BF46"/>
  <c r="BF59"/>
  <c r="AN19"/>
  <c r="AN43"/>
  <c r="AN28"/>
  <c r="AN59"/>
  <c r="AU19"/>
  <c r="AU39"/>
  <c r="AU47"/>
  <c r="AU30"/>
  <c r="Z10"/>
  <c r="Z22"/>
  <c r="Z39"/>
  <c r="Z47"/>
  <c r="Z30"/>
  <c r="W35"/>
  <c r="W43"/>
  <c r="W26"/>
  <c r="W59"/>
  <c r="AP19"/>
  <c r="AP45"/>
  <c r="AP26"/>
  <c r="BF35" i="258"/>
  <c r="BF43"/>
  <c r="BF26"/>
  <c r="AN11"/>
  <c r="AN18"/>
  <c r="AN36"/>
  <c r="AN48"/>
  <c r="AN60"/>
  <c r="AU15"/>
  <c r="AU32"/>
  <c r="AU40"/>
  <c r="AU27"/>
  <c r="Z11"/>
  <c r="Z18"/>
  <c r="Z40"/>
  <c r="Z27"/>
  <c r="W11"/>
  <c r="W36"/>
  <c r="W48"/>
  <c r="AU29" i="260"/>
  <c r="AP59"/>
  <c r="AN36" i="259"/>
  <c r="AU11"/>
  <c r="AU27"/>
  <c r="Z48"/>
  <c r="W48"/>
  <c r="AP46"/>
  <c r="BF21" i="258"/>
  <c r="AN50"/>
  <c r="Z45"/>
  <c r="W47"/>
  <c r="AP11"/>
  <c r="AP18"/>
  <c r="AP38"/>
  <c r="AP46"/>
  <c r="AP57"/>
  <c r="BF13" i="248"/>
  <c r="BF36"/>
  <c r="BF48"/>
  <c r="BF30"/>
  <c r="AN10"/>
  <c r="AN39"/>
  <c r="AN47"/>
  <c r="AN30"/>
  <c r="AU10"/>
  <c r="AU39"/>
  <c r="AU47"/>
  <c r="AU30"/>
  <c r="Z10"/>
  <c r="Z22"/>
  <c r="Z39"/>
  <c r="Z47"/>
  <c r="Z30"/>
  <c r="W32"/>
  <c r="W40"/>
  <c r="W60"/>
  <c r="AP15"/>
  <c r="AP32"/>
  <c r="AP42"/>
  <c r="AP29"/>
  <c r="AP65"/>
  <c r="BF21" i="256"/>
  <c r="BF40"/>
  <c r="BF27"/>
  <c r="BF59"/>
  <c r="AN19"/>
  <c r="AU29" i="261"/>
  <c r="AP43" i="260"/>
  <c r="BF60" i="259"/>
  <c r="AN40"/>
  <c r="AU40"/>
  <c r="Z27"/>
  <c r="AP32"/>
  <c r="AN26" i="258"/>
  <c r="Z16"/>
  <c r="W41"/>
  <c r="W28"/>
  <c r="AP35"/>
  <c r="AP43"/>
  <c r="AP28"/>
  <c r="AP59"/>
  <c r="BF19" i="248"/>
  <c r="BF45"/>
  <c r="BF26"/>
  <c r="AN11"/>
  <c r="AN18"/>
  <c r="AN36"/>
  <c r="AN48"/>
  <c r="AN60"/>
  <c r="AU15"/>
  <c r="AU32"/>
  <c r="AU40"/>
  <c r="AU27"/>
  <c r="Z11"/>
  <c r="Z18"/>
  <c r="Z40"/>
  <c r="Z27"/>
  <c r="W11"/>
  <c r="W45"/>
  <c r="W28"/>
  <c r="AP35"/>
  <c r="AP43"/>
  <c r="AP28"/>
  <c r="AP59"/>
  <c r="BF19" i="256"/>
  <c r="BF45"/>
  <c r="BF26"/>
  <c r="AN11"/>
  <c r="AN18"/>
  <c r="AN36"/>
  <c r="AN48"/>
  <c r="AN60"/>
  <c r="AU15"/>
  <c r="AU32"/>
  <c r="AU40"/>
  <c r="AU27"/>
  <c r="Z11"/>
  <c r="Z18"/>
  <c r="Z40"/>
  <c r="Z27"/>
  <c r="W11"/>
  <c r="W45"/>
  <c r="W28"/>
  <c r="AP38"/>
  <c r="AP46"/>
  <c r="AP57"/>
  <c r="BF13" i="255"/>
  <c r="BF36"/>
  <c r="BF48"/>
  <c r="AN16"/>
  <c r="AN45"/>
  <c r="AN26"/>
  <c r="AU41"/>
  <c r="AU50"/>
  <c r="Z16"/>
  <c r="Z41"/>
  <c r="Z50"/>
  <c r="W32"/>
  <c r="W40"/>
  <c r="W28"/>
  <c r="AP36"/>
  <c r="AP48"/>
  <c r="AP60"/>
  <c r="BF15" i="257"/>
  <c r="BF34"/>
  <c r="BF42"/>
  <c r="BF30"/>
  <c r="AN10"/>
  <c r="AN39"/>
  <c r="AN47"/>
  <c r="AN30"/>
  <c r="AU10"/>
  <c r="AU35"/>
  <c r="AU43"/>
  <c r="AU28"/>
  <c r="AU59"/>
  <c r="Z19"/>
  <c r="Z34"/>
  <c r="Z43"/>
  <c r="Z26"/>
  <c r="Z59"/>
  <c r="W39"/>
  <c r="W47"/>
  <c r="W60"/>
  <c r="AP15"/>
  <c r="AP32"/>
  <c r="AP42"/>
  <c r="AP29"/>
  <c r="AP65"/>
  <c r="I18" i="263"/>
  <c r="I39"/>
  <c r="I47"/>
  <c r="J10"/>
  <c r="J36"/>
  <c r="J60"/>
  <c r="AP48" i="262"/>
  <c r="AP47" i="261"/>
  <c r="AU13" i="260"/>
  <c r="AP48"/>
  <c r="AN32" i="259"/>
  <c r="AU18"/>
  <c r="Z40"/>
  <c r="W40"/>
  <c r="AP11"/>
  <c r="AP29"/>
  <c r="BF48" i="258"/>
  <c r="AU16"/>
  <c r="Z28"/>
  <c r="W43"/>
  <c r="W29"/>
  <c r="AP13"/>
  <c r="AP36"/>
  <c r="AP48"/>
  <c r="AP60"/>
  <c r="BF15" i="248"/>
  <c r="BF34"/>
  <c r="BF42"/>
  <c r="AN16"/>
  <c r="AN45"/>
  <c r="AN26"/>
  <c r="AU41"/>
  <c r="AU50"/>
  <c r="Z16"/>
  <c r="Z41"/>
  <c r="Z50"/>
  <c r="W34"/>
  <c r="W42"/>
  <c r="W29"/>
  <c r="AP13"/>
  <c r="AP36"/>
  <c r="AP48"/>
  <c r="AP60"/>
  <c r="BF15" i="256"/>
  <c r="BF34"/>
  <c r="BF42"/>
  <c r="AN16"/>
  <c r="AN45"/>
  <c r="AN26"/>
  <c r="AU41"/>
  <c r="AU50"/>
  <c r="Z16"/>
  <c r="Z41"/>
  <c r="Z50"/>
  <c r="W34"/>
  <c r="W42"/>
  <c r="W29"/>
  <c r="AP13"/>
  <c r="AP35"/>
  <c r="AP43"/>
  <c r="AP28"/>
  <c r="AP59"/>
  <c r="BF19" i="255"/>
  <c r="BF45"/>
  <c r="BF26"/>
  <c r="BF65"/>
  <c r="AN21"/>
  <c r="AN38"/>
  <c r="AN46"/>
  <c r="AN57"/>
  <c r="AU13"/>
  <c r="AU34"/>
  <c r="AU42"/>
  <c r="AU29"/>
  <c r="AU65"/>
  <c r="Z21"/>
  <c r="Z42"/>
  <c r="Z29"/>
  <c r="W41"/>
  <c r="W50"/>
  <c r="W57"/>
  <c r="AP21"/>
  <c r="AP45"/>
  <c r="AP26"/>
  <c r="BF35" i="257"/>
  <c r="BF43"/>
  <c r="BF28"/>
  <c r="AN11"/>
  <c r="AN18"/>
  <c r="AN36"/>
  <c r="AN48"/>
  <c r="AN60"/>
  <c r="AU15"/>
  <c r="AU32"/>
  <c r="AU40"/>
  <c r="AU27"/>
  <c r="Z11"/>
  <c r="Z18"/>
  <c r="Z40"/>
  <c r="Z27"/>
  <c r="W11"/>
  <c r="W36"/>
  <c r="W48"/>
  <c r="AP16"/>
  <c r="AP39"/>
  <c r="AP47"/>
  <c r="AP30"/>
  <c r="I10" i="263"/>
  <c r="I32"/>
  <c r="I40"/>
  <c r="J11"/>
  <c r="J41"/>
  <c r="M16"/>
  <c r="M36"/>
  <c r="AU38" i="260"/>
  <c r="Z11" i="259"/>
  <c r="Z32" i="258"/>
  <c r="W30"/>
  <c r="BF47" i="248"/>
  <c r="AN46"/>
  <c r="AU21"/>
  <c r="AU65"/>
  <c r="Z57"/>
  <c r="AP19"/>
  <c r="BF43" i="256"/>
  <c r="BF57"/>
  <c r="AN47"/>
  <c r="AU39"/>
  <c r="AU30"/>
  <c r="Z19"/>
  <c r="Z43"/>
  <c r="Z59"/>
  <c r="W47"/>
  <c r="AP32"/>
  <c r="AP50"/>
  <c r="BF38" i="255"/>
  <c r="BF59"/>
  <c r="AN19"/>
  <c r="AN47"/>
  <c r="AU39"/>
  <c r="AU30"/>
  <c r="Z19"/>
  <c r="Z43"/>
  <c r="Z59"/>
  <c r="W47"/>
  <c r="AP42"/>
  <c r="BF41" i="257"/>
  <c r="BF27"/>
  <c r="AN34"/>
  <c r="AN46"/>
  <c r="AN65"/>
  <c r="AU21"/>
  <c r="AU46"/>
  <c r="AU65"/>
  <c r="Z57"/>
  <c r="W42"/>
  <c r="AP41"/>
  <c r="I22" i="263"/>
  <c r="I46"/>
  <c r="J13"/>
  <c r="J35"/>
  <c r="J59"/>
  <c r="M42"/>
  <c r="O15"/>
  <c r="O34"/>
  <c r="O42"/>
  <c r="O57"/>
  <c r="P13"/>
  <c r="P34"/>
  <c r="P42"/>
  <c r="P57"/>
  <c r="G13"/>
  <c r="G41"/>
  <c r="H16"/>
  <c r="H36"/>
  <c r="H60"/>
  <c r="K32"/>
  <c r="K40"/>
  <c r="L11"/>
  <c r="L41"/>
  <c r="N11"/>
  <c r="N18"/>
  <c r="N34"/>
  <c r="N42"/>
  <c r="N57"/>
  <c r="Q13"/>
  <c r="Q36"/>
  <c r="Q60"/>
  <c r="I32" i="262"/>
  <c r="I40"/>
  <c r="J11"/>
  <c r="J35"/>
  <c r="J43"/>
  <c r="J59"/>
  <c r="M21"/>
  <c r="M45"/>
  <c r="O21"/>
  <c r="O38"/>
  <c r="O46"/>
  <c r="O65"/>
  <c r="P21"/>
  <c r="P45"/>
  <c r="G32"/>
  <c r="G40"/>
  <c r="H13"/>
  <c r="H41"/>
  <c r="K11"/>
  <c r="K41"/>
  <c r="L19"/>
  <c r="L34"/>
  <c r="L42"/>
  <c r="L57"/>
  <c r="N16"/>
  <c r="N34"/>
  <c r="N42"/>
  <c r="N57"/>
  <c r="Q13"/>
  <c r="Q35"/>
  <c r="Q43"/>
  <c r="Q59"/>
  <c r="I18" i="261"/>
  <c r="I39"/>
  <c r="I47"/>
  <c r="J10"/>
  <c r="J22"/>
  <c r="J38"/>
  <c r="J46"/>
  <c r="J65"/>
  <c r="M32"/>
  <c r="M40"/>
  <c r="O41"/>
  <c r="P16"/>
  <c r="P36"/>
  <c r="P60"/>
  <c r="G15"/>
  <c r="G35"/>
  <c r="G43"/>
  <c r="G59"/>
  <c r="H16"/>
  <c r="H36"/>
  <c r="H60"/>
  <c r="K32"/>
  <c r="K40"/>
  <c r="L11"/>
  <c r="L41"/>
  <c r="N11"/>
  <c r="N18"/>
  <c r="N45"/>
  <c r="Q22"/>
  <c r="Q38"/>
  <c r="Q46"/>
  <c r="Q65"/>
  <c r="I19" i="260"/>
  <c r="I34"/>
  <c r="I42"/>
  <c r="I57"/>
  <c r="J13"/>
  <c r="J41"/>
  <c r="M15"/>
  <c r="M35"/>
  <c r="M43"/>
  <c r="O15"/>
  <c r="O32"/>
  <c r="O40"/>
  <c r="P11"/>
  <c r="P35"/>
  <c r="P43"/>
  <c r="P59"/>
  <c r="G22"/>
  <c r="G38"/>
  <c r="G46"/>
  <c r="W46" i="261"/>
  <c r="BF47" i="259"/>
  <c r="AP57"/>
  <c r="W59" i="258"/>
  <c r="AP26"/>
  <c r="AN13" i="248"/>
  <c r="Z13"/>
  <c r="W43"/>
  <c r="AP50"/>
  <c r="BF65" i="256"/>
  <c r="AN42"/>
  <c r="AU34"/>
  <c r="AU57"/>
  <c r="Z21"/>
  <c r="Z46"/>
  <c r="W32"/>
  <c r="W48"/>
  <c r="AP10"/>
  <c r="AP36"/>
  <c r="AP60"/>
  <c r="BF18" i="255"/>
  <c r="BF47"/>
  <c r="AN11"/>
  <c r="AN40"/>
  <c r="AU15"/>
  <c r="AU40"/>
  <c r="Z11"/>
  <c r="Z35"/>
  <c r="Z60"/>
  <c r="W42"/>
  <c r="AP32"/>
  <c r="AP43"/>
  <c r="AP59"/>
  <c r="BF19" i="257"/>
  <c r="BF26"/>
  <c r="AN50"/>
  <c r="AU41"/>
  <c r="Z45"/>
  <c r="W45"/>
  <c r="W57"/>
  <c r="AP27"/>
  <c r="I11" i="263"/>
  <c r="J22"/>
  <c r="J46"/>
  <c r="M13"/>
  <c r="M38"/>
  <c r="O16"/>
  <c r="O39"/>
  <c r="O47"/>
  <c r="P10"/>
  <c r="P35"/>
  <c r="P43"/>
  <c r="P59"/>
  <c r="G22"/>
  <c r="G38"/>
  <c r="G46"/>
  <c r="G65"/>
  <c r="H21"/>
  <c r="H45"/>
  <c r="K21"/>
  <c r="K45"/>
  <c r="L22"/>
  <c r="L38"/>
  <c r="L46"/>
  <c r="L65"/>
  <c r="N35"/>
  <c r="N43"/>
  <c r="N59"/>
  <c r="Q21"/>
  <c r="Q45"/>
  <c r="I21" i="262"/>
  <c r="I45"/>
  <c r="J36"/>
  <c r="J60"/>
  <c r="M22"/>
  <c r="M38"/>
  <c r="O10"/>
  <c r="O35"/>
  <c r="O43"/>
  <c r="O59"/>
  <c r="P19"/>
  <c r="P34"/>
  <c r="P42"/>
  <c r="P57"/>
  <c r="G13"/>
  <c r="G41"/>
  <c r="H19"/>
  <c r="H34"/>
  <c r="H42"/>
  <c r="H57"/>
  <c r="K19"/>
  <c r="K34"/>
  <c r="K42"/>
  <c r="K57"/>
  <c r="L13"/>
  <c r="L35"/>
  <c r="L43"/>
  <c r="L59"/>
  <c r="N35"/>
  <c r="N43"/>
  <c r="N59"/>
  <c r="Q32"/>
  <c r="Q40"/>
  <c r="I16" i="261"/>
  <c r="I36"/>
  <c r="I60"/>
  <c r="J18"/>
  <c r="J39"/>
  <c r="J47"/>
  <c r="M13"/>
  <c r="M41"/>
  <c r="O13"/>
  <c r="O34"/>
  <c r="O42"/>
  <c r="O57"/>
  <c r="P13"/>
  <c r="P41"/>
  <c r="G16"/>
  <c r="G36"/>
  <c r="G60"/>
  <c r="H21"/>
  <c r="H45"/>
  <c r="K21"/>
  <c r="K45"/>
  <c r="L22"/>
  <c r="L38"/>
  <c r="L46"/>
  <c r="L65"/>
  <c r="N22"/>
  <c r="N38"/>
  <c r="N46"/>
  <c r="N65"/>
  <c r="Q18"/>
  <c r="Q39"/>
  <c r="Q47"/>
  <c r="I15" i="260"/>
  <c r="I35"/>
  <c r="I43"/>
  <c r="I59"/>
  <c r="J19"/>
  <c r="J34"/>
  <c r="J42"/>
  <c r="J57"/>
  <c r="M16"/>
  <c r="M36"/>
  <c r="O16"/>
  <c r="O45"/>
  <c r="P32"/>
  <c r="P40"/>
  <c r="G11"/>
  <c r="G18"/>
  <c r="G39"/>
  <c r="G47"/>
  <c r="H10"/>
  <c r="AN11" i="259"/>
  <c r="AP15"/>
  <c r="AP41" i="258"/>
  <c r="BF39" i="248"/>
  <c r="AN38"/>
  <c r="AU13"/>
  <c r="AU29"/>
  <c r="W59"/>
  <c r="AP26"/>
  <c r="AN43" i="256"/>
  <c r="AN59"/>
  <c r="AU19"/>
  <c r="AU43"/>
  <c r="AU59"/>
  <c r="Z39"/>
  <c r="Z30"/>
  <c r="W43"/>
  <c r="W60"/>
  <c r="AP18"/>
  <c r="AP26"/>
  <c r="BF42" i="255"/>
  <c r="BF30"/>
  <c r="AN28"/>
  <c r="AU10"/>
  <c r="AU35"/>
  <c r="AU28"/>
  <c r="Z22"/>
  <c r="Z47"/>
  <c r="W35"/>
  <c r="W26"/>
  <c r="AP10"/>
  <c r="AN43" i="261"/>
  <c r="AU48" i="259"/>
  <c r="BF36" i="258"/>
  <c r="AP19"/>
  <c r="BF43" i="248"/>
  <c r="BF65"/>
  <c r="AN42"/>
  <c r="AU42"/>
  <c r="Z21"/>
  <c r="Z29"/>
  <c r="W26"/>
  <c r="BF16" i="256"/>
  <c r="AN13"/>
  <c r="AN38"/>
  <c r="AN29"/>
  <c r="AU13"/>
  <c r="AU38"/>
  <c r="AU29"/>
  <c r="Z42"/>
  <c r="W36"/>
  <c r="BF15" i="255"/>
  <c r="AN60"/>
  <c r="W60"/>
  <c r="AP65"/>
  <c r="F91" i="154"/>
  <c r="AN26" i="257"/>
  <c r="Z16"/>
  <c r="W50"/>
  <c r="AP10"/>
  <c r="I34" i="263"/>
  <c r="J39"/>
  <c r="M39"/>
  <c r="O40"/>
  <c r="P36"/>
  <c r="G11"/>
  <c r="G35"/>
  <c r="G59"/>
  <c r="H19"/>
  <c r="H42"/>
  <c r="K22"/>
  <c r="K46"/>
  <c r="L13"/>
  <c r="L35"/>
  <c r="L59"/>
  <c r="N40"/>
  <c r="Q22"/>
  <c r="Q46"/>
  <c r="I11" i="262"/>
  <c r="I38"/>
  <c r="I65"/>
  <c r="J41"/>
  <c r="M35"/>
  <c r="O16"/>
  <c r="P32"/>
  <c r="G19"/>
  <c r="G42"/>
  <c r="H15"/>
  <c r="H47"/>
  <c r="K32"/>
  <c r="L21"/>
  <c r="N11"/>
  <c r="N41"/>
  <c r="Q22"/>
  <c r="Q46"/>
  <c r="I11" i="261"/>
  <c r="I38"/>
  <c r="I65"/>
  <c r="J41"/>
  <c r="M39"/>
  <c r="O32"/>
  <c r="P15"/>
  <c r="P43"/>
  <c r="G19"/>
  <c r="G42"/>
  <c r="H15"/>
  <c r="H47"/>
  <c r="K18"/>
  <c r="K43"/>
  <c r="L10"/>
  <c r="L40"/>
  <c r="N60"/>
  <c r="Q41"/>
  <c r="J36" i="260"/>
  <c r="M41"/>
  <c r="O47"/>
  <c r="P42"/>
  <c r="G41"/>
  <c r="H13"/>
  <c r="H41"/>
  <c r="K11"/>
  <c r="K41"/>
  <c r="L19"/>
  <c r="L34"/>
  <c r="L42"/>
  <c r="L57"/>
  <c r="N16"/>
  <c r="N34"/>
  <c r="N42"/>
  <c r="N57"/>
  <c r="Q13"/>
  <c r="Q35"/>
  <c r="Q43"/>
  <c r="Q59"/>
  <c r="I18" i="259"/>
  <c r="I39"/>
  <c r="I47"/>
  <c r="J10"/>
  <c r="J22"/>
  <c r="J38"/>
  <c r="J46"/>
  <c r="J65"/>
  <c r="M32"/>
  <c r="M40"/>
  <c r="O41"/>
  <c r="P16"/>
  <c r="P36"/>
  <c r="P60"/>
  <c r="G15"/>
  <c r="G35"/>
  <c r="G43"/>
  <c r="G59"/>
  <c r="H16"/>
  <c r="H36"/>
  <c r="H60"/>
  <c r="K32"/>
  <c r="K40"/>
  <c r="L11"/>
  <c r="L41"/>
  <c r="N11"/>
  <c r="N18"/>
  <c r="N45"/>
  <c r="Q22"/>
  <c r="Q38"/>
  <c r="Q46"/>
  <c r="Q65"/>
  <c r="I19" i="258"/>
  <c r="I34"/>
  <c r="I42"/>
  <c r="I57"/>
  <c r="J13"/>
  <c r="J41"/>
  <c r="M19"/>
  <c r="M34"/>
  <c r="M42"/>
  <c r="O19"/>
  <c r="O39"/>
  <c r="O47"/>
  <c r="P10"/>
  <c r="P22"/>
  <c r="P38"/>
  <c r="P46"/>
  <c r="P65"/>
  <c r="G21"/>
  <c r="G45"/>
  <c r="H22"/>
  <c r="H38"/>
  <c r="H46"/>
  <c r="H65"/>
  <c r="K22"/>
  <c r="K38"/>
  <c r="K46"/>
  <c r="K65"/>
  <c r="L18"/>
  <c r="L39"/>
  <c r="L47"/>
  <c r="N13"/>
  <c r="N36"/>
  <c r="N60"/>
  <c r="Q15"/>
  <c r="Q41"/>
  <c r="I10" i="248"/>
  <c r="I41"/>
  <c r="J32"/>
  <c r="J40"/>
  <c r="M16"/>
  <c r="M36"/>
  <c r="O16"/>
  <c r="O45"/>
  <c r="P32"/>
  <c r="P40"/>
  <c r="G11"/>
  <c r="G18"/>
  <c r="G39"/>
  <c r="G47"/>
  <c r="H10"/>
  <c r="H32"/>
  <c r="H40"/>
  <c r="K10"/>
  <c r="K36"/>
  <c r="K60"/>
  <c r="L21"/>
  <c r="L45"/>
  <c r="N15"/>
  <c r="N22"/>
  <c r="N38"/>
  <c r="N46"/>
  <c r="N65"/>
  <c r="Q18"/>
  <c r="Q39"/>
  <c r="Q47"/>
  <c r="I15" i="256"/>
  <c r="I35"/>
  <c r="I43"/>
  <c r="I59"/>
  <c r="J19"/>
  <c r="J34"/>
  <c r="J42"/>
  <c r="J57"/>
  <c r="M19"/>
  <c r="M34"/>
  <c r="M42"/>
  <c r="O19"/>
  <c r="O39"/>
  <c r="O47"/>
  <c r="P10"/>
  <c r="P22"/>
  <c r="P38"/>
  <c r="P46"/>
  <c r="P65"/>
  <c r="G21"/>
  <c r="G45"/>
  <c r="H22"/>
  <c r="W30"/>
  <c r="AN36" i="255"/>
  <c r="AU27"/>
  <c r="AP47"/>
  <c r="BF65" i="257"/>
  <c r="AN42"/>
  <c r="AU42"/>
  <c r="Z21"/>
  <c r="Z29"/>
  <c r="AP13"/>
  <c r="J19" i="263"/>
  <c r="M22"/>
  <c r="O10"/>
  <c r="O41"/>
  <c r="P21"/>
  <c r="G36"/>
  <c r="H18"/>
  <c r="H43"/>
  <c r="K39"/>
  <c r="L36"/>
  <c r="N10"/>
  <c r="N41"/>
  <c r="Q39"/>
  <c r="I15" i="262"/>
  <c r="I47"/>
  <c r="J34"/>
  <c r="J57"/>
  <c r="O11"/>
  <c r="O32"/>
  <c r="P15"/>
  <c r="P43"/>
  <c r="G11"/>
  <c r="G35"/>
  <c r="G59"/>
  <c r="H16"/>
  <c r="H40"/>
  <c r="K35"/>
  <c r="K59"/>
  <c r="L32"/>
  <c r="N36"/>
  <c r="Q11"/>
  <c r="I41" i="261"/>
  <c r="J60"/>
  <c r="M34"/>
  <c r="O10"/>
  <c r="O35"/>
  <c r="O59"/>
  <c r="P19"/>
  <c r="P38"/>
  <c r="P65"/>
  <c r="G21"/>
  <c r="H19"/>
  <c r="H42"/>
  <c r="K22"/>
  <c r="K46"/>
  <c r="L13"/>
  <c r="L35"/>
  <c r="L59"/>
  <c r="N47"/>
  <c r="Q60"/>
  <c r="I60" i="260"/>
  <c r="J39"/>
  <c r="M19"/>
  <c r="M42"/>
  <c r="O19"/>
  <c r="O42"/>
  <c r="P21"/>
  <c r="G36"/>
  <c r="H19"/>
  <c r="H34"/>
  <c r="H42"/>
  <c r="H57"/>
  <c r="K19"/>
  <c r="K34"/>
  <c r="K42"/>
  <c r="K57"/>
  <c r="L13"/>
  <c r="L35"/>
  <c r="L43"/>
  <c r="L59"/>
  <c r="N35"/>
  <c r="N43"/>
  <c r="N59"/>
  <c r="Q32"/>
  <c r="Q40"/>
  <c r="I16" i="259"/>
  <c r="I36"/>
  <c r="I60"/>
  <c r="J18"/>
  <c r="J39"/>
  <c r="J47"/>
  <c r="M13"/>
  <c r="M41"/>
  <c r="O13"/>
  <c r="O34"/>
  <c r="O42"/>
  <c r="O57"/>
  <c r="P13"/>
  <c r="P41"/>
  <c r="G16"/>
  <c r="G36"/>
  <c r="G60"/>
  <c r="H21"/>
  <c r="H45"/>
  <c r="K21"/>
  <c r="K45"/>
  <c r="L22"/>
  <c r="L38"/>
  <c r="L46"/>
  <c r="L65"/>
  <c r="N22"/>
  <c r="N38"/>
  <c r="N46"/>
  <c r="N65"/>
  <c r="Q18"/>
  <c r="Q39"/>
  <c r="Q47"/>
  <c r="I15" i="258"/>
  <c r="I35"/>
  <c r="I43"/>
  <c r="I59"/>
  <c r="J19"/>
  <c r="J34"/>
  <c r="J42"/>
  <c r="J57"/>
  <c r="M15"/>
  <c r="M35"/>
  <c r="M43"/>
  <c r="O15"/>
  <c r="O32"/>
  <c r="O40"/>
  <c r="P11"/>
  <c r="P35"/>
  <c r="P43"/>
  <c r="P59"/>
  <c r="G22"/>
  <c r="G38"/>
  <c r="G46"/>
  <c r="G65"/>
  <c r="H18"/>
  <c r="H39"/>
  <c r="H47"/>
  <c r="K13"/>
  <c r="K35"/>
  <c r="K43"/>
  <c r="K59"/>
  <c r="L32"/>
  <c r="L40"/>
  <c r="N10"/>
  <c r="N41"/>
  <c r="Q16"/>
  <c r="Q34"/>
  <c r="Q42"/>
  <c r="Q57"/>
  <c r="I11" i="248"/>
  <c r="I22"/>
  <c r="I38"/>
  <c r="I46"/>
  <c r="I65"/>
  <c r="J21"/>
  <c r="J45"/>
  <c r="M21"/>
  <c r="M45"/>
  <c r="O21"/>
  <c r="O38"/>
  <c r="O46"/>
  <c r="O65"/>
  <c r="P21"/>
  <c r="P45"/>
  <c r="G32"/>
  <c r="G40"/>
  <c r="BF35" i="255"/>
  <c r="AU60"/>
  <c r="W11"/>
  <c r="AP38"/>
  <c r="BF13" i="257"/>
  <c r="AN45"/>
  <c r="Z32"/>
  <c r="W41"/>
  <c r="AP45"/>
  <c r="I42" i="263"/>
  <c r="M34"/>
  <c r="O13"/>
  <c r="O36"/>
  <c r="P11"/>
  <c r="P40"/>
  <c r="G39"/>
  <c r="H22"/>
  <c r="H46"/>
  <c r="K19"/>
  <c r="K42"/>
  <c r="L39"/>
  <c r="N13"/>
  <c r="N60"/>
  <c r="Q34"/>
  <c r="Q57"/>
  <c r="I34" i="262"/>
  <c r="I57"/>
  <c r="J45"/>
  <c r="M39"/>
  <c r="P16"/>
  <c r="P60"/>
  <c r="G38"/>
  <c r="G65"/>
  <c r="H35"/>
  <c r="H59"/>
  <c r="K60"/>
  <c r="L41"/>
  <c r="N45"/>
  <c r="Q42"/>
  <c r="I19" i="261"/>
  <c r="I42"/>
  <c r="J21"/>
  <c r="M18"/>
  <c r="M43"/>
  <c r="O18"/>
  <c r="O60"/>
  <c r="P39"/>
  <c r="G22"/>
  <c r="G46"/>
  <c r="H18"/>
  <c r="AU35" i="248"/>
  <c r="AU43"/>
  <c r="AU28"/>
  <c r="AU59"/>
  <c r="Z19"/>
  <c r="Z34"/>
  <c r="Z43"/>
  <c r="Z26"/>
  <c r="Z59"/>
  <c r="W36"/>
  <c r="W48"/>
  <c r="AP11"/>
  <c r="AP18"/>
  <c r="AP38"/>
  <c r="AP46"/>
  <c r="AP57"/>
  <c r="BF13" i="256"/>
  <c r="BF36"/>
  <c r="BF48"/>
  <c r="BF30"/>
  <c r="AN10"/>
  <c r="X22" i="263"/>
  <c r="AN29" i="260"/>
  <c r="BF27" i="259"/>
  <c r="AN18"/>
  <c r="AU15"/>
  <c r="Z18"/>
  <c r="W36"/>
  <c r="AN16" i="258"/>
  <c r="AU26"/>
  <c r="Z50"/>
  <c r="W50"/>
  <c r="AP16"/>
  <c r="AP39"/>
  <c r="AP47"/>
  <c r="AP30"/>
  <c r="BF10" i="248"/>
  <c r="BF41"/>
  <c r="BF50"/>
  <c r="BF60"/>
  <c r="AN15"/>
  <c r="AN32"/>
  <c r="AN40"/>
  <c r="AN27"/>
  <c r="AU11"/>
  <c r="AU18"/>
  <c r="AU36"/>
  <c r="AU48"/>
  <c r="AU60"/>
  <c r="Z15"/>
  <c r="Z35"/>
  <c r="Z48"/>
  <c r="Z60"/>
  <c r="W41"/>
  <c r="W50"/>
  <c r="AP16"/>
  <c r="AP39"/>
  <c r="AP47"/>
  <c r="AP30"/>
  <c r="BF10" i="256"/>
  <c r="BF41"/>
  <c r="BF50"/>
  <c r="BF60"/>
  <c r="AN15"/>
  <c r="AN32"/>
  <c r="AN40"/>
  <c r="AN27"/>
  <c r="AU11"/>
  <c r="AU18"/>
  <c r="AU36"/>
  <c r="AU48"/>
  <c r="AU60"/>
  <c r="Z15"/>
  <c r="Z35"/>
  <c r="Z48"/>
  <c r="Z60"/>
  <c r="W41"/>
  <c r="W50"/>
  <c r="AP16"/>
  <c r="AP42"/>
  <c r="AP29"/>
  <c r="AP65"/>
  <c r="BF21" i="255"/>
  <c r="BF40"/>
  <c r="BF27"/>
  <c r="AN41"/>
  <c r="AN50"/>
  <c r="AU16"/>
  <c r="AU45"/>
  <c r="AU26"/>
  <c r="Z32"/>
  <c r="Z45"/>
  <c r="Z28"/>
  <c r="W36"/>
  <c r="W48"/>
  <c r="AP16"/>
  <c r="AP40"/>
  <c r="AP27"/>
  <c r="BF11" i="257"/>
  <c r="BF18"/>
  <c r="BF38"/>
  <c r="BF46"/>
  <c r="BF59"/>
  <c r="AN19"/>
  <c r="AN43"/>
  <c r="AN28"/>
  <c r="AN59"/>
  <c r="AU19"/>
  <c r="AU39"/>
  <c r="AU47"/>
  <c r="AU30"/>
  <c r="Z10"/>
  <c r="Z22"/>
  <c r="Z39"/>
  <c r="Z47"/>
  <c r="Z30"/>
  <c r="W35"/>
  <c r="W43"/>
  <c r="W26"/>
  <c r="AP11"/>
  <c r="AP18"/>
  <c r="AP38"/>
  <c r="AP46"/>
  <c r="AP57"/>
  <c r="I15" i="263"/>
  <c r="I35"/>
  <c r="I43"/>
  <c r="I59"/>
  <c r="J32"/>
  <c r="J40"/>
  <c r="M15"/>
  <c r="W28" i="261"/>
  <c r="BF57" i="260"/>
  <c r="W39"/>
  <c r="BF42" i="259"/>
  <c r="AN60"/>
  <c r="AU60"/>
  <c r="W11"/>
  <c r="W60"/>
  <c r="AP38"/>
  <c r="BF13" i="258"/>
  <c r="AN41"/>
  <c r="AU41"/>
  <c r="W35"/>
  <c r="W26"/>
  <c r="W57"/>
  <c r="AP21"/>
  <c r="AP40"/>
  <c r="AP27"/>
  <c r="BF11" i="248"/>
  <c r="BF18"/>
  <c r="BF38"/>
  <c r="BF46"/>
  <c r="AN41"/>
  <c r="AN50"/>
  <c r="AU16"/>
  <c r="AU45"/>
  <c r="AU26"/>
  <c r="Z32"/>
  <c r="Z45"/>
  <c r="Z28"/>
  <c r="W38"/>
  <c r="W46"/>
  <c r="W57"/>
  <c r="AP21"/>
  <c r="AP40"/>
  <c r="AP27"/>
  <c r="BF11" i="256"/>
  <c r="BF18"/>
  <c r="BF38"/>
  <c r="BF46"/>
  <c r="AN41"/>
  <c r="AN50"/>
  <c r="AU16"/>
  <c r="AU45"/>
  <c r="AU26"/>
  <c r="Z32"/>
  <c r="Z45"/>
  <c r="Z28"/>
  <c r="W38"/>
  <c r="W46"/>
  <c r="W57"/>
  <c r="AP21"/>
  <c r="AP39"/>
  <c r="AP47"/>
  <c r="AP30"/>
  <c r="BF10" i="255"/>
  <c r="BF41"/>
  <c r="BF50"/>
  <c r="BF57"/>
  <c r="AN13"/>
  <c r="AN34"/>
  <c r="AN42"/>
  <c r="AN29"/>
  <c r="AN65"/>
  <c r="AU21"/>
  <c r="AU38"/>
  <c r="AU46"/>
  <c r="AU57"/>
  <c r="Z13"/>
  <c r="Z38"/>
  <c r="Z46"/>
  <c r="Z57"/>
  <c r="W45"/>
  <c r="W29"/>
  <c r="AP13"/>
  <c r="AP41"/>
  <c r="AP50"/>
  <c r="BF16" i="257"/>
  <c r="BF39"/>
  <c r="BF47"/>
  <c r="BF60"/>
  <c r="AN15"/>
  <c r="AN32"/>
  <c r="AN40"/>
  <c r="AN27"/>
  <c r="AU11"/>
  <c r="AU18"/>
  <c r="AU36"/>
  <c r="AU48"/>
  <c r="AU60"/>
  <c r="Z15"/>
  <c r="Z35"/>
  <c r="Z48"/>
  <c r="Z60"/>
  <c r="W32"/>
  <c r="W40"/>
  <c r="W28"/>
  <c r="AP35"/>
  <c r="AP43"/>
  <c r="AP28"/>
  <c r="AP59"/>
  <c r="I16" i="263"/>
  <c r="I36"/>
  <c r="I60"/>
  <c r="J21"/>
  <c r="J45"/>
  <c r="M32"/>
  <c r="M40"/>
  <c r="AN48" i="259"/>
  <c r="AP42"/>
  <c r="W45" i="258"/>
  <c r="AP50"/>
  <c r="AN34" i="248"/>
  <c r="AN65"/>
  <c r="AU46"/>
  <c r="Z42"/>
  <c r="W39"/>
  <c r="AP45"/>
  <c r="BF28" i="256"/>
  <c r="AN39"/>
  <c r="AN30"/>
  <c r="AU47"/>
  <c r="Z10"/>
  <c r="Z34"/>
  <c r="Z26"/>
  <c r="W39"/>
  <c r="AP15"/>
  <c r="AP41"/>
  <c r="BF16" i="255"/>
  <c r="BF46"/>
  <c r="AN10"/>
  <c r="AN39"/>
  <c r="AN30"/>
  <c r="AU47"/>
  <c r="Z10"/>
  <c r="Z34"/>
  <c r="Z26"/>
  <c r="W39"/>
  <c r="W30"/>
  <c r="AP57"/>
  <c r="BF50" i="257"/>
  <c r="BF57"/>
  <c r="AN38"/>
  <c r="AN29"/>
  <c r="AU13"/>
  <c r="AU38"/>
  <c r="AU29"/>
  <c r="Z42"/>
  <c r="W34"/>
  <c r="W30"/>
  <c r="AP50"/>
  <c r="I38" i="263"/>
  <c r="I65"/>
  <c r="J18"/>
  <c r="J43"/>
  <c r="M19"/>
  <c r="O11"/>
  <c r="O18"/>
  <c r="O38"/>
  <c r="O46"/>
  <c r="O65"/>
  <c r="P22"/>
  <c r="P38"/>
  <c r="P46"/>
  <c r="P65"/>
  <c r="G21"/>
  <c r="G45"/>
  <c r="H32"/>
  <c r="H40"/>
  <c r="K10"/>
  <c r="K36"/>
  <c r="K60"/>
  <c r="L21"/>
  <c r="L45"/>
  <c r="N15"/>
  <c r="N22"/>
  <c r="N38"/>
  <c r="N46"/>
  <c r="N65"/>
  <c r="Q32"/>
  <c r="Q40"/>
  <c r="I16" i="262"/>
  <c r="I36"/>
  <c r="I60"/>
  <c r="J18"/>
  <c r="J39"/>
  <c r="J47"/>
  <c r="M13"/>
  <c r="M41"/>
  <c r="O13"/>
  <c r="O34"/>
  <c r="O42"/>
  <c r="O57"/>
  <c r="P13"/>
  <c r="P41"/>
  <c r="G16"/>
  <c r="G36"/>
  <c r="G60"/>
  <c r="H21"/>
  <c r="H45"/>
  <c r="K21"/>
  <c r="K45"/>
  <c r="L22"/>
  <c r="L38"/>
  <c r="L46"/>
  <c r="L65"/>
  <c r="N22"/>
  <c r="N38"/>
  <c r="N46"/>
  <c r="N65"/>
  <c r="Q18"/>
  <c r="Q39"/>
  <c r="Q47"/>
  <c r="I15" i="261"/>
  <c r="I35"/>
  <c r="I43"/>
  <c r="I59"/>
  <c r="J19"/>
  <c r="J34"/>
  <c r="J42"/>
  <c r="J57"/>
  <c r="M16"/>
  <c r="M36"/>
  <c r="O16"/>
  <c r="O45"/>
  <c r="P32"/>
  <c r="P40"/>
  <c r="G11"/>
  <c r="G18"/>
  <c r="G39"/>
  <c r="G47"/>
  <c r="H10"/>
  <c r="H32"/>
  <c r="H40"/>
  <c r="K10"/>
  <c r="K36"/>
  <c r="K60"/>
  <c r="L21"/>
  <c r="L45"/>
  <c r="N15"/>
  <c r="N41"/>
  <c r="Q16"/>
  <c r="Q34"/>
  <c r="Q42"/>
  <c r="Q57"/>
  <c r="I11" i="260"/>
  <c r="I22"/>
  <c r="I38"/>
  <c r="I46"/>
  <c r="I65"/>
  <c r="J21"/>
  <c r="J45"/>
  <c r="M18"/>
  <c r="M39"/>
  <c r="O11"/>
  <c r="O18"/>
  <c r="O36"/>
  <c r="O60"/>
  <c r="P15"/>
  <c r="P39"/>
  <c r="P47"/>
  <c r="G19"/>
  <c r="G34"/>
  <c r="G42"/>
  <c r="AU38" i="262"/>
  <c r="AP26" i="260"/>
  <c r="Z35" i="259"/>
  <c r="Z41" i="258"/>
  <c r="AP10"/>
  <c r="BF35" i="248"/>
  <c r="AU34"/>
  <c r="Z46"/>
  <c r="W30"/>
  <c r="BF47" i="256"/>
  <c r="AN21"/>
  <c r="AN57"/>
  <c r="AU42"/>
  <c r="Z13"/>
  <c r="Z38"/>
  <c r="Z29"/>
  <c r="W40"/>
  <c r="W59"/>
  <c r="AP19"/>
  <c r="AP27"/>
  <c r="BF11" i="255"/>
  <c r="BF39"/>
  <c r="BF60"/>
  <c r="AN18"/>
  <c r="AN48"/>
  <c r="AU32"/>
  <c r="AU48"/>
  <c r="Z18"/>
  <c r="Z27"/>
  <c r="W34"/>
  <c r="AP15"/>
  <c r="AP35"/>
  <c r="AP28"/>
  <c r="BF10" i="257"/>
  <c r="BF36"/>
  <c r="AN41"/>
  <c r="AU16"/>
  <c r="AU50"/>
  <c r="Z28"/>
  <c r="F352" i="154"/>
  <c r="AP36" i="257"/>
  <c r="AP60"/>
  <c r="I41" i="263"/>
  <c r="J38"/>
  <c r="J65"/>
  <c r="M18"/>
  <c r="M43"/>
  <c r="O35"/>
  <c r="O43"/>
  <c r="O59"/>
  <c r="P19"/>
  <c r="P39"/>
  <c r="P47"/>
  <c r="G19"/>
  <c r="G34"/>
  <c r="G42"/>
  <c r="G57"/>
  <c r="H13"/>
  <c r="H41"/>
  <c r="K11"/>
  <c r="K41"/>
  <c r="L19"/>
  <c r="L34"/>
  <c r="L42"/>
  <c r="L57"/>
  <c r="N16"/>
  <c r="N39"/>
  <c r="N47"/>
  <c r="Q10"/>
  <c r="Q41"/>
  <c r="I10" i="262"/>
  <c r="I41"/>
  <c r="J32"/>
  <c r="J40"/>
  <c r="M19"/>
  <c r="M34"/>
  <c r="M42"/>
  <c r="O19"/>
  <c r="O39"/>
  <c r="O47"/>
  <c r="P10"/>
  <c r="P22"/>
  <c r="P38"/>
  <c r="P46"/>
  <c r="P65"/>
  <c r="G21"/>
  <c r="G45"/>
  <c r="H22"/>
  <c r="H38"/>
  <c r="H46"/>
  <c r="H65"/>
  <c r="K22"/>
  <c r="K38"/>
  <c r="K46"/>
  <c r="K65"/>
  <c r="L18"/>
  <c r="L39"/>
  <c r="L47"/>
  <c r="N13"/>
  <c r="N39"/>
  <c r="N47"/>
  <c r="Q10"/>
  <c r="Q36"/>
  <c r="Q60"/>
  <c r="I32" i="261"/>
  <c r="I40"/>
  <c r="J11"/>
  <c r="J35"/>
  <c r="J43"/>
  <c r="J59"/>
  <c r="M21"/>
  <c r="M45"/>
  <c r="O21"/>
  <c r="O38"/>
  <c r="O46"/>
  <c r="O65"/>
  <c r="P21"/>
  <c r="P45"/>
  <c r="G32"/>
  <c r="G40"/>
  <c r="H13"/>
  <c r="H41"/>
  <c r="K11"/>
  <c r="K41"/>
  <c r="L19"/>
  <c r="L34"/>
  <c r="L42"/>
  <c r="L57"/>
  <c r="N16"/>
  <c r="N34"/>
  <c r="N42"/>
  <c r="N57"/>
  <c r="Q13"/>
  <c r="Q35"/>
  <c r="Q43"/>
  <c r="Q59"/>
  <c r="I18" i="260"/>
  <c r="I39"/>
  <c r="I47"/>
  <c r="J10"/>
  <c r="J22"/>
  <c r="J38"/>
  <c r="J46"/>
  <c r="J65"/>
  <c r="M32"/>
  <c r="M40"/>
  <c r="O41"/>
  <c r="P16"/>
  <c r="P36"/>
  <c r="P60"/>
  <c r="G15"/>
  <c r="G35"/>
  <c r="G43"/>
  <c r="G59"/>
  <c r="BF19" i="259"/>
  <c r="AU32"/>
  <c r="AU45" i="258"/>
  <c r="BF16" i="248"/>
  <c r="BF57"/>
  <c r="AN29"/>
  <c r="AU38"/>
  <c r="W47"/>
  <c r="AP10"/>
  <c r="BF35" i="256"/>
  <c r="AN28"/>
  <c r="AU10"/>
  <c r="AU35"/>
  <c r="AU28"/>
  <c r="Z22"/>
  <c r="Z47"/>
  <c r="W35"/>
  <c r="W26"/>
  <c r="AP11"/>
  <c r="AP45"/>
  <c r="BF34" i="255"/>
  <c r="BF28"/>
  <c r="AN43"/>
  <c r="AN59"/>
  <c r="AU19"/>
  <c r="AU43"/>
  <c r="AU59"/>
  <c r="Z39"/>
  <c r="Z30"/>
  <c r="W43"/>
  <c r="W59"/>
  <c r="AP19"/>
  <c r="W46" i="260"/>
  <c r="Z60" i="259"/>
  <c r="AN45" i="258"/>
  <c r="AP45"/>
  <c r="BF28" i="248"/>
  <c r="AN21"/>
  <c r="AN57"/>
  <c r="AU57"/>
  <c r="Z38"/>
  <c r="W35"/>
  <c r="AP41"/>
  <c r="BF39" i="256"/>
  <c r="AN34"/>
  <c r="AN46"/>
  <c r="AN65"/>
  <c r="AU21"/>
  <c r="AU46"/>
  <c r="AU65"/>
  <c r="Z57"/>
  <c r="AP40"/>
  <c r="AN32" i="255"/>
  <c r="W38"/>
  <c r="AP46"/>
  <c r="BF21" i="257"/>
  <c r="AN16"/>
  <c r="AU26"/>
  <c r="Z50"/>
  <c r="W59"/>
  <c r="AP26"/>
  <c r="I57" i="263"/>
  <c r="M21"/>
  <c r="O32"/>
  <c r="P15"/>
  <c r="P60"/>
  <c r="G18"/>
  <c r="G43"/>
  <c r="H10"/>
  <c r="H34"/>
  <c r="H57"/>
  <c r="K38"/>
  <c r="K65"/>
  <c r="L18"/>
  <c r="L43"/>
  <c r="N32"/>
  <c r="Q15"/>
  <c r="Q38"/>
  <c r="Q65"/>
  <c r="I22" i="262"/>
  <c r="I46"/>
  <c r="J13"/>
  <c r="M18"/>
  <c r="M43"/>
  <c r="O45"/>
  <c r="P40"/>
  <c r="G34"/>
  <c r="G57"/>
  <c r="H39"/>
  <c r="K13"/>
  <c r="K40"/>
  <c r="L45"/>
  <c r="N18"/>
  <c r="Q16"/>
  <c r="Q38"/>
  <c r="Q65"/>
  <c r="I22" i="261"/>
  <c r="I46"/>
  <c r="J13"/>
  <c r="M15"/>
  <c r="O15"/>
  <c r="O40"/>
  <c r="P35"/>
  <c r="P59"/>
  <c r="G34"/>
  <c r="G57"/>
  <c r="H39"/>
  <c r="K13"/>
  <c r="K35"/>
  <c r="K59"/>
  <c r="L32"/>
  <c r="N36"/>
  <c r="Q11"/>
  <c r="I41" i="260"/>
  <c r="J60"/>
  <c r="O39"/>
  <c r="P34"/>
  <c r="P57"/>
  <c r="G65"/>
  <c r="H21"/>
  <c r="H45"/>
  <c r="K21"/>
  <c r="K45"/>
  <c r="L22"/>
  <c r="L38"/>
  <c r="L46"/>
  <c r="L65"/>
  <c r="N22"/>
  <c r="N38"/>
  <c r="N46"/>
  <c r="N65"/>
  <c r="Q18"/>
  <c r="Q39"/>
  <c r="Q47"/>
  <c r="I15" i="259"/>
  <c r="I35"/>
  <c r="I43"/>
  <c r="I59"/>
  <c r="J19"/>
  <c r="J34"/>
  <c r="J42"/>
  <c r="J57"/>
  <c r="M16"/>
  <c r="M36"/>
  <c r="O16"/>
  <c r="O45"/>
  <c r="P32"/>
  <c r="P40"/>
  <c r="G11"/>
  <c r="G18"/>
  <c r="G39"/>
  <c r="G47"/>
  <c r="H10"/>
  <c r="H32"/>
  <c r="H40"/>
  <c r="K10"/>
  <c r="K36"/>
  <c r="K60"/>
  <c r="L21"/>
  <c r="L45"/>
  <c r="N15"/>
  <c r="N41"/>
  <c r="Q16"/>
  <c r="Q34"/>
  <c r="Q42"/>
  <c r="Q57"/>
  <c r="I11" i="258"/>
  <c r="I22"/>
  <c r="I38"/>
  <c r="I46"/>
  <c r="I65"/>
  <c r="J21"/>
  <c r="J45"/>
  <c r="M22"/>
  <c r="M38"/>
  <c r="O10"/>
  <c r="O35"/>
  <c r="O43"/>
  <c r="O59"/>
  <c r="P19"/>
  <c r="P34"/>
  <c r="P42"/>
  <c r="P57"/>
  <c r="G13"/>
  <c r="G41"/>
  <c r="H19"/>
  <c r="H34"/>
  <c r="H42"/>
  <c r="H57"/>
  <c r="K19"/>
  <c r="K34"/>
  <c r="K42"/>
  <c r="K57"/>
  <c r="L13"/>
  <c r="L35"/>
  <c r="L43"/>
  <c r="L59"/>
  <c r="N32"/>
  <c r="N40"/>
  <c r="Q11"/>
  <c r="Q21"/>
  <c r="Q45"/>
  <c r="I21" i="248"/>
  <c r="I45"/>
  <c r="J36"/>
  <c r="J60"/>
  <c r="M32"/>
  <c r="M40"/>
  <c r="O41"/>
  <c r="P16"/>
  <c r="P36"/>
  <c r="P60"/>
  <c r="G15"/>
  <c r="G35"/>
  <c r="G43"/>
  <c r="G59"/>
  <c r="H16"/>
  <c r="H36"/>
  <c r="H60"/>
  <c r="K32"/>
  <c r="K40"/>
  <c r="L11"/>
  <c r="L41"/>
  <c r="N11"/>
  <c r="N18"/>
  <c r="N34"/>
  <c r="N42"/>
  <c r="N57"/>
  <c r="Q13"/>
  <c r="Q35"/>
  <c r="Q43"/>
  <c r="Q59"/>
  <c r="I18" i="256"/>
  <c r="I39"/>
  <c r="I47"/>
  <c r="J10"/>
  <c r="J22"/>
  <c r="J38"/>
  <c r="J46"/>
  <c r="J65"/>
  <c r="M22"/>
  <c r="M38"/>
  <c r="O10"/>
  <c r="O35"/>
  <c r="O43"/>
  <c r="O59"/>
  <c r="P19"/>
  <c r="P34"/>
  <c r="P42"/>
  <c r="P57"/>
  <c r="G13"/>
  <c r="G41"/>
  <c r="H19"/>
  <c r="H34"/>
  <c r="AP48"/>
  <c r="AU11" i="255"/>
  <c r="W46"/>
  <c r="BF40" i="257"/>
  <c r="AN21"/>
  <c r="AN57"/>
  <c r="AU57"/>
  <c r="Z38"/>
  <c r="W38"/>
  <c r="AP40"/>
  <c r="J42" i="263"/>
  <c r="M41"/>
  <c r="O19"/>
  <c r="P16"/>
  <c r="P45"/>
  <c r="G60"/>
  <c r="H35"/>
  <c r="H59"/>
  <c r="K47"/>
  <c r="L60"/>
  <c r="N19"/>
  <c r="Q16"/>
  <c r="Q47"/>
  <c r="I39" i="262"/>
  <c r="J19"/>
  <c r="J42"/>
  <c r="M36"/>
  <c r="O18"/>
  <c r="O40"/>
  <c r="P35"/>
  <c r="P59"/>
  <c r="G18"/>
  <c r="G43"/>
  <c r="H10"/>
  <c r="H32"/>
  <c r="K18"/>
  <c r="K43"/>
  <c r="L10"/>
  <c r="L40"/>
  <c r="N60"/>
  <c r="Q41"/>
  <c r="J36" i="261"/>
  <c r="M19"/>
  <c r="M42"/>
  <c r="O19"/>
  <c r="O43"/>
  <c r="P10"/>
  <c r="P22"/>
  <c r="P46"/>
  <c r="G13"/>
  <c r="G45"/>
  <c r="H34"/>
  <c r="H57"/>
  <c r="K38"/>
  <c r="K65"/>
  <c r="L18"/>
  <c r="L43"/>
  <c r="N39"/>
  <c r="Q36"/>
  <c r="I36" i="260"/>
  <c r="J11"/>
  <c r="J47"/>
  <c r="M34"/>
  <c r="O10"/>
  <c r="O34"/>
  <c r="O57"/>
  <c r="P45"/>
  <c r="G57"/>
  <c r="H22"/>
  <c r="H38"/>
  <c r="H46"/>
  <c r="H65"/>
  <c r="K22"/>
  <c r="K38"/>
  <c r="K46"/>
  <c r="K65"/>
  <c r="L18"/>
  <c r="L39"/>
  <c r="L47"/>
  <c r="N13"/>
  <c r="N39"/>
  <c r="N47"/>
  <c r="Q10"/>
  <c r="Q36"/>
  <c r="Q60"/>
  <c r="I32" i="259"/>
  <c r="I40"/>
  <c r="J11"/>
  <c r="J35"/>
  <c r="J43"/>
  <c r="J59"/>
  <c r="M21"/>
  <c r="M45"/>
  <c r="O21"/>
  <c r="O38"/>
  <c r="O46"/>
  <c r="O65"/>
  <c r="P21"/>
  <c r="P45"/>
  <c r="G32"/>
  <c r="G40"/>
  <c r="H13"/>
  <c r="H41"/>
  <c r="K11"/>
  <c r="K41"/>
  <c r="L19"/>
  <c r="L34"/>
  <c r="L42"/>
  <c r="L57"/>
  <c r="N16"/>
  <c r="N34"/>
  <c r="N42"/>
  <c r="N57"/>
  <c r="Q13"/>
  <c r="Q35"/>
  <c r="Q43"/>
  <c r="Q59"/>
  <c r="I18" i="258"/>
  <c r="I39"/>
  <c r="I47"/>
  <c r="J10"/>
  <c r="J22"/>
  <c r="J38"/>
  <c r="J46"/>
  <c r="J65"/>
  <c r="M18"/>
  <c r="M39"/>
  <c r="O11"/>
  <c r="O18"/>
  <c r="O36"/>
  <c r="O60"/>
  <c r="P15"/>
  <c r="P39"/>
  <c r="P47"/>
  <c r="G19"/>
  <c r="G34"/>
  <c r="G42"/>
  <c r="G57"/>
  <c r="H15"/>
  <c r="H35"/>
  <c r="H43"/>
  <c r="H59"/>
  <c r="K18"/>
  <c r="K39"/>
  <c r="K47"/>
  <c r="L10"/>
  <c r="L36"/>
  <c r="L60"/>
  <c r="N19"/>
  <c r="N45"/>
  <c r="Q22"/>
  <c r="Q38"/>
  <c r="Q46"/>
  <c r="Q65"/>
  <c r="I19" i="248"/>
  <c r="I34"/>
  <c r="I42"/>
  <c r="I57"/>
  <c r="J13"/>
  <c r="J41"/>
  <c r="M13"/>
  <c r="M41"/>
  <c r="O13"/>
  <c r="O34"/>
  <c r="O42"/>
  <c r="O57"/>
  <c r="P13"/>
  <c r="P41"/>
  <c r="G16"/>
  <c r="G36"/>
  <c r="G60"/>
  <c r="AU18" i="255"/>
  <c r="Z40"/>
  <c r="AP11"/>
  <c r="AP29"/>
  <c r="BF45" i="257"/>
  <c r="AU45"/>
  <c r="Z41"/>
  <c r="AP19"/>
  <c r="I19" i="263"/>
  <c r="J47"/>
  <c r="M45"/>
  <c r="O21"/>
  <c r="O60"/>
  <c r="P32"/>
  <c r="G15"/>
  <c r="G47"/>
  <c r="H38"/>
  <c r="H65"/>
  <c r="K34"/>
  <c r="K57"/>
  <c r="L47"/>
  <c r="N36"/>
  <c r="Q11"/>
  <c r="Q42"/>
  <c r="I19" i="262"/>
  <c r="I42"/>
  <c r="J21"/>
  <c r="M15"/>
  <c r="O41"/>
  <c r="P36"/>
  <c r="G22"/>
  <c r="G46"/>
  <c r="H18"/>
  <c r="H43"/>
  <c r="K36"/>
  <c r="L11"/>
  <c r="N15"/>
  <c r="Q34"/>
  <c r="Q57"/>
  <c r="I34" i="261"/>
  <c r="I57"/>
  <c r="J45"/>
  <c r="M35"/>
  <c r="O11"/>
  <c r="O36"/>
  <c r="P11"/>
  <c r="P47"/>
  <c r="G38"/>
  <c r="G65"/>
  <c r="H35"/>
  <c r="H59"/>
  <c r="K47"/>
  <c r="L60"/>
  <c r="N19"/>
  <c r="N40"/>
  <c r="Q21"/>
  <c r="I10" i="260"/>
  <c r="I45"/>
  <c r="J40"/>
  <c r="M21"/>
  <c r="O13"/>
  <c r="O35"/>
  <c r="O59"/>
  <c r="P19"/>
  <c r="P38"/>
  <c r="P65"/>
  <c r="G21"/>
  <c r="G60"/>
  <c r="H18"/>
  <c r="H39"/>
  <c r="H47"/>
  <c r="K13"/>
  <c r="K35"/>
  <c r="K43"/>
  <c r="K59"/>
  <c r="L32"/>
  <c r="L40"/>
  <c r="N10"/>
  <c r="N32"/>
  <c r="N40"/>
  <c r="Q11"/>
  <c r="Q21"/>
  <c r="Q45"/>
  <c r="I21" i="259"/>
  <c r="I45"/>
  <c r="J36"/>
  <c r="J60"/>
  <c r="M22"/>
  <c r="M38"/>
  <c r="O10"/>
  <c r="O35"/>
  <c r="O43"/>
  <c r="O59"/>
  <c r="P19"/>
  <c r="P34"/>
  <c r="P42"/>
  <c r="P57"/>
  <c r="G13"/>
  <c r="G41"/>
  <c r="H19"/>
  <c r="H34"/>
  <c r="H42"/>
  <c r="H57"/>
  <c r="K19"/>
  <c r="K34"/>
  <c r="K42"/>
  <c r="K57"/>
  <c r="L13"/>
  <c r="L35"/>
  <c r="L43"/>
  <c r="L59"/>
  <c r="N35"/>
  <c r="N43"/>
  <c r="N59"/>
  <c r="Q32"/>
  <c r="Q40"/>
  <c r="I16" i="258"/>
  <c r="I36"/>
  <c r="I60"/>
  <c r="J18"/>
  <c r="J39"/>
  <c r="J47"/>
  <c r="M16"/>
  <c r="M36"/>
  <c r="O16"/>
  <c r="O45"/>
  <c r="P32"/>
  <c r="P40"/>
  <c r="G11"/>
  <c r="G18"/>
  <c r="G39"/>
  <c r="G47"/>
  <c r="H10"/>
  <c r="H32"/>
  <c r="H40"/>
  <c r="K10"/>
  <c r="K36"/>
  <c r="K60"/>
  <c r="L21"/>
  <c r="L45"/>
  <c r="N15"/>
  <c r="N22"/>
  <c r="N38"/>
  <c r="N46"/>
  <c r="N65"/>
  <c r="Q18"/>
  <c r="Q39"/>
  <c r="Q47"/>
  <c r="I15" i="248"/>
  <c r="I35"/>
  <c r="I43"/>
  <c r="I59"/>
  <c r="J19"/>
  <c r="J34"/>
  <c r="J42"/>
  <c r="J57"/>
  <c r="M19"/>
  <c r="M34"/>
  <c r="M42"/>
  <c r="O19"/>
  <c r="O39"/>
  <c r="O47"/>
  <c r="P10"/>
  <c r="P22"/>
  <c r="P38"/>
  <c r="P46"/>
  <c r="P65"/>
  <c r="G21"/>
  <c r="G45"/>
  <c r="H22"/>
  <c r="H38"/>
  <c r="H46"/>
  <c r="H65"/>
  <c r="K22"/>
  <c r="K38"/>
  <c r="K46"/>
  <c r="K65"/>
  <c r="L18"/>
  <c r="L39"/>
  <c r="L47"/>
  <c r="N13"/>
  <c r="N36"/>
  <c r="N60"/>
  <c r="Q15"/>
  <c r="Q41"/>
  <c r="I10" i="256"/>
  <c r="I41"/>
  <c r="J32"/>
  <c r="J40"/>
  <c r="M16"/>
  <c r="M36"/>
  <c r="O16"/>
  <c r="O45"/>
  <c r="P32"/>
  <c r="P40"/>
  <c r="G11"/>
  <c r="G18"/>
  <c r="G39"/>
  <c r="G47"/>
  <c r="H10"/>
  <c r="BF43" i="255"/>
  <c r="AN27"/>
  <c r="Z15"/>
  <c r="AP18"/>
  <c r="AP30"/>
  <c r="AN13" i="257"/>
  <c r="Z13"/>
  <c r="W46"/>
  <c r="AP21"/>
  <c r="I21" i="263"/>
  <c r="J34"/>
  <c r="M35"/>
  <c r="P41"/>
  <c r="G32"/>
  <c r="H15"/>
  <c r="H47"/>
  <c r="K18"/>
  <c r="K43"/>
  <c r="L10"/>
  <c r="L40"/>
  <c r="Q18"/>
  <c r="Q43"/>
  <c r="I18" i="262"/>
  <c r="I43"/>
  <c r="J10"/>
  <c r="J38"/>
  <c r="J65"/>
  <c r="M32"/>
  <c r="O15"/>
  <c r="O60"/>
  <c r="P39"/>
  <c r="G15"/>
  <c r="G47"/>
  <c r="H60"/>
  <c r="K39"/>
  <c r="L36"/>
  <c r="N10"/>
  <c r="N32"/>
  <c r="Q15"/>
  <c r="Q45"/>
  <c r="I21" i="261"/>
  <c r="J32"/>
  <c r="M22"/>
  <c r="O39"/>
  <c r="P34"/>
  <c r="P57"/>
  <c r="H22"/>
  <c r="H46"/>
  <c r="K19"/>
  <c r="K42"/>
  <c r="L39"/>
  <c r="N13"/>
  <c r="N43"/>
  <c r="Q10"/>
  <c r="Q40"/>
  <c r="I32" i="260"/>
  <c r="J18"/>
  <c r="J43"/>
  <c r="M22"/>
  <c r="O38"/>
  <c r="O65"/>
  <c r="P41"/>
  <c r="G32"/>
  <c r="H16"/>
  <c r="H36"/>
  <c r="H60"/>
  <c r="K32"/>
  <c r="K40"/>
  <c r="L11"/>
  <c r="L41"/>
  <c r="N11"/>
  <c r="N18"/>
  <c r="N45"/>
  <c r="Q22"/>
  <c r="Q38"/>
  <c r="Q46"/>
  <c r="Q65"/>
  <c r="I19" i="259"/>
  <c r="I34"/>
  <c r="I42"/>
  <c r="I57"/>
  <c r="J13"/>
  <c r="J41"/>
  <c r="M35"/>
  <c r="P35"/>
  <c r="G22"/>
  <c r="H35"/>
  <c r="K18"/>
  <c r="L10"/>
  <c r="Q11"/>
  <c r="M45" i="258"/>
  <c r="G32"/>
  <c r="K41"/>
  <c r="L46"/>
  <c r="J11" i="248"/>
  <c r="M18"/>
  <c r="O15"/>
  <c r="P15"/>
  <c r="G38"/>
  <c r="H13"/>
  <c r="H45"/>
  <c r="K39"/>
  <c r="L36"/>
  <c r="N10"/>
  <c r="N41"/>
  <c r="Q22"/>
  <c r="Q46"/>
  <c r="I11" i="256"/>
  <c r="I38"/>
  <c r="I65"/>
  <c r="J41"/>
  <c r="M21"/>
  <c r="O11"/>
  <c r="O38"/>
  <c r="O65"/>
  <c r="P41"/>
  <c r="G34"/>
  <c r="G57"/>
  <c r="H36"/>
  <c r="H60"/>
  <c r="K32"/>
  <c r="K40"/>
  <c r="L11"/>
  <c r="L41"/>
  <c r="N11"/>
  <c r="N18"/>
  <c r="N34"/>
  <c r="N42"/>
  <c r="N57"/>
  <c r="Q13"/>
  <c r="Q35"/>
  <c r="Q43"/>
  <c r="Q59"/>
  <c r="I41" i="255"/>
  <c r="J19"/>
  <c r="J34"/>
  <c r="J42"/>
  <c r="J57"/>
  <c r="M19"/>
  <c r="M34"/>
  <c r="M42"/>
  <c r="O19"/>
  <c r="O39"/>
  <c r="O47"/>
  <c r="P10"/>
  <c r="P22"/>
  <c r="P38"/>
  <c r="P46"/>
  <c r="P65"/>
  <c r="G21"/>
  <c r="G45"/>
  <c r="H22"/>
  <c r="H38"/>
  <c r="H46"/>
  <c r="H65"/>
  <c r="K22"/>
  <c r="K38"/>
  <c r="K46"/>
  <c r="K65"/>
  <c r="L18"/>
  <c r="L39"/>
  <c r="L47"/>
  <c r="N13"/>
  <c r="N39"/>
  <c r="N47"/>
  <c r="Q10"/>
  <c r="Q36"/>
  <c r="Q60"/>
  <c r="I18" i="257"/>
  <c r="I39"/>
  <c r="I47"/>
  <c r="J10"/>
  <c r="J36"/>
  <c r="J60"/>
  <c r="M21"/>
  <c r="M45"/>
  <c r="O21"/>
  <c r="O38"/>
  <c r="O46"/>
  <c r="O65"/>
  <c r="P21"/>
  <c r="P45"/>
  <c r="G32"/>
  <c r="G40"/>
  <c r="H13"/>
  <c r="H41"/>
  <c r="K11"/>
  <c r="K41"/>
  <c r="L19"/>
  <c r="L34"/>
  <c r="L42"/>
  <c r="L57"/>
  <c r="N16"/>
  <c r="N34"/>
  <c r="N42"/>
  <c r="N57"/>
  <c r="Q13"/>
  <c r="Q35"/>
  <c r="Q43"/>
  <c r="Q59"/>
  <c r="BJ21"/>
  <c r="BJ38"/>
  <c r="T35"/>
  <c r="T43"/>
  <c r="T28"/>
  <c r="U16"/>
  <c r="U29"/>
  <c r="X35"/>
  <c r="X43"/>
  <c r="X30"/>
  <c r="AW13"/>
  <c r="AW34"/>
  <c r="AW42"/>
  <c r="AW28"/>
  <c r="AW59"/>
  <c r="AX19"/>
  <c r="AX41"/>
  <c r="AX50"/>
  <c r="AY16"/>
  <c r="AY47"/>
  <c r="AY30"/>
  <c r="AZ10"/>
  <c r="AZ35"/>
  <c r="AZ43"/>
  <c r="AZ28"/>
  <c r="AZ59"/>
  <c r="BA19"/>
  <c r="BA39"/>
  <c r="BA47"/>
  <c r="BA30"/>
  <c r="BB10"/>
  <c r="BB35"/>
  <c r="BB43"/>
  <c r="BB28"/>
  <c r="BB59"/>
  <c r="BC19"/>
  <c r="BC42"/>
  <c r="BC50"/>
  <c r="AR16"/>
  <c r="AR45"/>
  <c r="AR26"/>
  <c r="BE16"/>
  <c r="BE45"/>
  <c r="BE26"/>
  <c r="AQ11"/>
  <c r="AQ18"/>
  <c r="AQ36"/>
  <c r="AQ48"/>
  <c r="AQ60"/>
  <c r="AT19"/>
  <c r="AT39"/>
  <c r="AT47"/>
  <c r="AT30"/>
  <c r="Y10"/>
  <c r="Y22"/>
  <c r="Y41"/>
  <c r="Y50"/>
  <c r="V15"/>
  <c r="V45"/>
  <c r="AO16"/>
  <c r="AO48"/>
  <c r="AO60"/>
  <c r="AV21"/>
  <c r="AV38"/>
  <c r="AV46"/>
  <c r="AV57"/>
  <c r="AA13"/>
  <c r="AA36"/>
  <c r="AA48"/>
  <c r="AA60"/>
  <c r="BI36"/>
  <c r="BI28"/>
  <c r="BI57"/>
  <c r="BJ16" i="255"/>
  <c r="BJ45"/>
  <c r="T41"/>
  <c r="T26"/>
  <c r="T60"/>
  <c r="U19"/>
  <c r="U28"/>
  <c r="M39" i="259"/>
  <c r="P11"/>
  <c r="G34"/>
  <c r="H15"/>
  <c r="K47"/>
  <c r="L60"/>
  <c r="N32"/>
  <c r="J32" i="258"/>
  <c r="O46"/>
  <c r="P41"/>
  <c r="G60"/>
  <c r="K21"/>
  <c r="L34"/>
  <c r="N16"/>
  <c r="Q10"/>
  <c r="I32" i="248"/>
  <c r="J43"/>
  <c r="O36"/>
  <c r="P47"/>
  <c r="G42"/>
  <c r="H39"/>
  <c r="K13"/>
  <c r="L22"/>
  <c r="L46"/>
  <c r="N35"/>
  <c r="N59"/>
  <c r="Q32"/>
  <c r="I16" i="256"/>
  <c r="I40"/>
  <c r="J35"/>
  <c r="J59"/>
  <c r="M39"/>
  <c r="O21"/>
  <c r="O40"/>
  <c r="P35"/>
  <c r="P59"/>
  <c r="G60"/>
  <c r="H41"/>
  <c r="K11"/>
  <c r="K41"/>
  <c r="L19"/>
  <c r="L34"/>
  <c r="L42"/>
  <c r="L57"/>
  <c r="N16"/>
  <c r="N39"/>
  <c r="N47"/>
  <c r="Q10"/>
  <c r="Q36"/>
  <c r="Q60"/>
  <c r="I22" i="255"/>
  <c r="I38"/>
  <c r="I46"/>
  <c r="I65"/>
  <c r="J18"/>
  <c r="J39"/>
  <c r="J47"/>
  <c r="M15"/>
  <c r="M35"/>
  <c r="M43"/>
  <c r="O15"/>
  <c r="O32"/>
  <c r="O40"/>
  <c r="P11"/>
  <c r="P35"/>
  <c r="P43"/>
  <c r="P59"/>
  <c r="G22"/>
  <c r="G38"/>
  <c r="G46"/>
  <c r="G65"/>
  <c r="H18"/>
  <c r="H39"/>
  <c r="H47"/>
  <c r="K13"/>
  <c r="K35"/>
  <c r="K43"/>
  <c r="K59"/>
  <c r="L32"/>
  <c r="L40"/>
  <c r="N10"/>
  <c r="N32"/>
  <c r="N40"/>
  <c r="Q11"/>
  <c r="Q21"/>
  <c r="Q45"/>
  <c r="I16" i="257"/>
  <c r="I36"/>
  <c r="I60"/>
  <c r="J21"/>
  <c r="J45"/>
  <c r="M22"/>
  <c r="M38"/>
  <c r="O10"/>
  <c r="O35"/>
  <c r="O43"/>
  <c r="O59"/>
  <c r="P19"/>
  <c r="P34"/>
  <c r="P42"/>
  <c r="P57"/>
  <c r="G13"/>
  <c r="G41"/>
  <c r="H19"/>
  <c r="H34"/>
  <c r="H42"/>
  <c r="H57"/>
  <c r="K19"/>
  <c r="K34"/>
  <c r="K42"/>
  <c r="K57"/>
  <c r="L13"/>
  <c r="L35"/>
  <c r="L43"/>
  <c r="L59"/>
  <c r="N35"/>
  <c r="N43"/>
  <c r="N59"/>
  <c r="Q32"/>
  <c r="Q40"/>
  <c r="BJ10"/>
  <c r="BJ35"/>
  <c r="BJ43"/>
  <c r="T32"/>
  <c r="T40"/>
  <c r="T29"/>
  <c r="U13"/>
  <c r="U36"/>
  <c r="U60"/>
  <c r="X10"/>
  <c r="X36"/>
  <c r="X27"/>
  <c r="AW10"/>
  <c r="AW35"/>
  <c r="AW43"/>
  <c r="AW27"/>
  <c r="AX11"/>
  <c r="AX18"/>
  <c r="AX36"/>
  <c r="AX46"/>
  <c r="AX57"/>
  <c r="AY13"/>
  <c r="AY34"/>
  <c r="AY48"/>
  <c r="AY60"/>
  <c r="AZ15"/>
  <c r="AZ32"/>
  <c r="AZ40"/>
  <c r="AZ27"/>
  <c r="BA11"/>
  <c r="BA18"/>
  <c r="BA36"/>
  <c r="BA48"/>
  <c r="BA60"/>
  <c r="BB15"/>
  <c r="BB32"/>
  <c r="BB40"/>
  <c r="BB27"/>
  <c r="BC11"/>
  <c r="BC18"/>
  <c r="BC36"/>
  <c r="BC46"/>
  <c r="BC57"/>
  <c r="AR13"/>
  <c r="AR34"/>
  <c r="AR42"/>
  <c r="AR29"/>
  <c r="BE21"/>
  <c r="BE38"/>
  <c r="BE46"/>
  <c r="AQ41"/>
  <c r="AQ50"/>
  <c r="AT11"/>
  <c r="AT18"/>
  <c r="AT36"/>
  <c r="AT48"/>
  <c r="AT60"/>
  <c r="Y15"/>
  <c r="Y38"/>
  <c r="Y46"/>
  <c r="Y57"/>
  <c r="V16"/>
  <c r="V38"/>
  <c r="V28"/>
  <c r="M43" i="259"/>
  <c r="O32"/>
  <c r="P43"/>
  <c r="G65"/>
  <c r="H43"/>
  <c r="K59"/>
  <c r="N36"/>
  <c r="Q41"/>
  <c r="J36" i="258"/>
  <c r="M13"/>
  <c r="O57"/>
  <c r="P45"/>
  <c r="G40"/>
  <c r="H45"/>
  <c r="L38"/>
  <c r="N47"/>
  <c r="Q60"/>
  <c r="I60" i="248"/>
  <c r="M35"/>
  <c r="P35"/>
  <c r="G22"/>
  <c r="H41"/>
  <c r="K35"/>
  <c r="K59"/>
  <c r="L32"/>
  <c r="N45"/>
  <c r="Q42"/>
  <c r="I19" i="256"/>
  <c r="I42"/>
  <c r="J21"/>
  <c r="M41"/>
  <c r="O34"/>
  <c r="O57"/>
  <c r="P45"/>
  <c r="G38"/>
  <c r="G65"/>
  <c r="H38"/>
  <c r="H46"/>
  <c r="H65"/>
  <c r="K22"/>
  <c r="K38"/>
  <c r="K46"/>
  <c r="K65"/>
  <c r="L18"/>
  <c r="L39"/>
  <c r="L47"/>
  <c r="N13"/>
  <c r="N36"/>
  <c r="N60"/>
  <c r="Q15"/>
  <c r="Q41"/>
  <c r="I10" i="255"/>
  <c r="I18"/>
  <c r="I39"/>
  <c r="I47"/>
  <c r="J10"/>
  <c r="J36"/>
  <c r="J60"/>
  <c r="M32"/>
  <c r="M40"/>
  <c r="O41"/>
  <c r="P16"/>
  <c r="P36"/>
  <c r="P60"/>
  <c r="G15"/>
  <c r="G35"/>
  <c r="G43"/>
  <c r="G59"/>
  <c r="H16"/>
  <c r="H36"/>
  <c r="H60"/>
  <c r="K32"/>
  <c r="K40"/>
  <c r="L11"/>
  <c r="L41"/>
  <c r="N11"/>
  <c r="N18"/>
  <c r="N45"/>
  <c r="Q22"/>
  <c r="Q38"/>
  <c r="Q46"/>
  <c r="Q65"/>
  <c r="I21" i="257"/>
  <c r="I45"/>
  <c r="J22"/>
  <c r="J38"/>
  <c r="J46"/>
  <c r="J65"/>
  <c r="M18"/>
  <c r="M39"/>
  <c r="O11"/>
  <c r="O18"/>
  <c r="O36"/>
  <c r="O60"/>
  <c r="P15"/>
  <c r="P39"/>
  <c r="P47"/>
  <c r="G19"/>
  <c r="G34"/>
  <c r="G42"/>
  <c r="G57"/>
  <c r="H15"/>
  <c r="H35"/>
  <c r="H43"/>
  <c r="H59"/>
  <c r="K18"/>
  <c r="K39"/>
  <c r="K47"/>
  <c r="L10"/>
  <c r="L36"/>
  <c r="L60"/>
  <c r="N19"/>
  <c r="N36"/>
  <c r="N60"/>
  <c r="Q15"/>
  <c r="Q41"/>
  <c r="BJ11"/>
  <c r="BJ18"/>
  <c r="BJ36"/>
  <c r="T19"/>
  <c r="T45"/>
  <c r="T30"/>
  <c r="U10"/>
  <c r="U22"/>
  <c r="BJ29"/>
  <c r="X11"/>
  <c r="X41"/>
  <c r="X28"/>
  <c r="AW15"/>
  <c r="AW32"/>
  <c r="AW40"/>
  <c r="AW26"/>
  <c r="AX43"/>
  <c r="AX28"/>
  <c r="AX59"/>
  <c r="AY19"/>
  <c r="AY39"/>
  <c r="AY50"/>
  <c r="AZ16"/>
  <c r="AZ45"/>
  <c r="AZ26"/>
  <c r="BA41"/>
  <c r="BA50"/>
  <c r="BB16"/>
  <c r="BB45"/>
  <c r="BB26"/>
  <c r="BC40"/>
  <c r="BC28"/>
  <c r="BC59"/>
  <c r="AR19"/>
  <c r="AR39"/>
  <c r="AR47"/>
  <c r="AR30"/>
  <c r="BE10"/>
  <c r="BE35"/>
  <c r="BE43"/>
  <c r="BE28"/>
  <c r="BE65"/>
  <c r="AQ21"/>
  <c r="AQ38"/>
  <c r="AQ46"/>
  <c r="AQ57"/>
  <c r="AT16"/>
  <c r="AT45"/>
  <c r="AT26"/>
  <c r="Y32"/>
  <c r="Y43"/>
  <c r="Y26"/>
  <c r="Y59"/>
  <c r="V22"/>
  <c r="V43"/>
  <c r="V29"/>
  <c r="AO10"/>
  <c r="AO35"/>
  <c r="AO42"/>
  <c r="AO29"/>
  <c r="AO65"/>
  <c r="AV15"/>
  <c r="AV32"/>
  <c r="AV40"/>
  <c r="AV27"/>
  <c r="AA11"/>
  <c r="AA18"/>
  <c r="AA42"/>
  <c r="AA29"/>
  <c r="BI10"/>
  <c r="BI34"/>
  <c r="BI42"/>
  <c r="BJ10" i="255"/>
  <c r="BJ35"/>
  <c r="BJ43"/>
  <c r="T35"/>
  <c r="T43"/>
  <c r="T28"/>
  <c r="U16"/>
  <c r="O18" i="259"/>
  <c r="O60"/>
  <c r="G19"/>
  <c r="H47"/>
  <c r="K39"/>
  <c r="N40"/>
  <c r="Q45"/>
  <c r="I21" i="258"/>
  <c r="J40"/>
  <c r="O13"/>
  <c r="O65"/>
  <c r="L42"/>
  <c r="N59"/>
  <c r="I16" i="248"/>
  <c r="J35"/>
  <c r="M15"/>
  <c r="O11"/>
  <c r="P39"/>
  <c r="G57"/>
  <c r="H35"/>
  <c r="H59"/>
  <c r="K45"/>
  <c r="L34"/>
  <c r="L57"/>
  <c r="N39"/>
  <c r="Q36"/>
  <c r="I36" i="256"/>
  <c r="J11"/>
  <c r="J47"/>
  <c r="M35"/>
  <c r="O36"/>
  <c r="P11"/>
  <c r="P47"/>
  <c r="G32"/>
  <c r="H13"/>
  <c r="H35"/>
  <c r="H43"/>
  <c r="H59"/>
  <c r="K18"/>
  <c r="K39"/>
  <c r="K47"/>
  <c r="L10"/>
  <c r="L36"/>
  <c r="L60"/>
  <c r="N19"/>
  <c r="N45"/>
  <c r="Q22"/>
  <c r="Q38"/>
  <c r="Q46"/>
  <c r="Q65"/>
  <c r="I16" i="255"/>
  <c r="I36"/>
  <c r="I60"/>
  <c r="J21"/>
  <c r="J45"/>
  <c r="M21"/>
  <c r="M45"/>
  <c r="O21"/>
  <c r="O38"/>
  <c r="O46"/>
  <c r="O65"/>
  <c r="P21"/>
  <c r="P45"/>
  <c r="G32"/>
  <c r="G40"/>
  <c r="H13"/>
  <c r="H41"/>
  <c r="K11"/>
  <c r="K41"/>
  <c r="L19"/>
  <c r="L34"/>
  <c r="L42"/>
  <c r="L57"/>
  <c r="N16"/>
  <c r="N34"/>
  <c r="N42"/>
  <c r="N57"/>
  <c r="Q13"/>
  <c r="Q35"/>
  <c r="Q43"/>
  <c r="Q59"/>
  <c r="I38" i="257"/>
  <c r="J35"/>
  <c r="M32"/>
  <c r="G18"/>
  <c r="H10"/>
  <c r="L11"/>
  <c r="Q16"/>
  <c r="Q65"/>
  <c r="U11"/>
  <c r="U28"/>
  <c r="X46"/>
  <c r="AW46"/>
  <c r="AX21"/>
  <c r="AY40"/>
  <c r="AZ13"/>
  <c r="AZ29"/>
  <c r="BA38"/>
  <c r="BB13"/>
  <c r="BB29"/>
  <c r="BC27"/>
  <c r="AR36"/>
  <c r="BE15"/>
  <c r="AQ10"/>
  <c r="AQ28"/>
  <c r="Y13"/>
  <c r="Y27"/>
  <c r="AO15"/>
  <c r="AO39"/>
  <c r="AO30"/>
  <c r="AV26"/>
  <c r="AA32"/>
  <c r="AA47"/>
  <c r="BI15"/>
  <c r="BJ15" i="255"/>
  <c r="BJ40"/>
  <c r="T46"/>
  <c r="U18"/>
  <c r="BJ29"/>
  <c r="X11"/>
  <c r="X39"/>
  <c r="X28"/>
  <c r="AW15"/>
  <c r="AW32"/>
  <c r="AW40"/>
  <c r="AW26"/>
  <c r="AX43"/>
  <c r="AX28"/>
  <c r="AX59"/>
  <c r="AY19"/>
  <c r="AY39"/>
  <c r="AY50"/>
  <c r="AZ16"/>
  <c r="AZ45"/>
  <c r="AZ26"/>
  <c r="BA41"/>
  <c r="BA50"/>
  <c r="BB16"/>
  <c r="BB45"/>
  <c r="BB26"/>
  <c r="BC40"/>
  <c r="BC28"/>
  <c r="BC59"/>
  <c r="AR19"/>
  <c r="AR39"/>
  <c r="AR47"/>
  <c r="AR30"/>
  <c r="BE10"/>
  <c r="BE35"/>
  <c r="BE43"/>
  <c r="BE28"/>
  <c r="BE65"/>
  <c r="AQ21"/>
  <c r="AQ38"/>
  <c r="AQ46"/>
  <c r="AQ57"/>
  <c r="AT16"/>
  <c r="AT45"/>
  <c r="AT26"/>
  <c r="Y32"/>
  <c r="Y43"/>
  <c r="Y26"/>
  <c r="Y59"/>
  <c r="V19"/>
  <c r="V36"/>
  <c r="V60"/>
  <c r="AO15"/>
  <c r="AO32"/>
  <c r="AO43"/>
  <c r="AO28"/>
  <c r="AO59"/>
  <c r="AV41"/>
  <c r="AV50"/>
  <c r="AA16"/>
  <c r="AA35"/>
  <c r="AA43"/>
  <c r="AA26"/>
  <c r="AA59"/>
  <c r="BI15"/>
  <c r="BI35"/>
  <c r="BI43"/>
  <c r="BJ15" i="256"/>
  <c r="BJ32"/>
  <c r="BJ40"/>
  <c r="T36"/>
  <c r="T48"/>
  <c r="T59"/>
  <c r="U21"/>
  <c r="U27"/>
  <c r="BJ57"/>
  <c r="X35"/>
  <c r="X43"/>
  <c r="AW11"/>
  <c r="AW18"/>
  <c r="AW36"/>
  <c r="AW50"/>
  <c r="AX16"/>
  <c r="AX47"/>
  <c r="AX30"/>
  <c r="AY10"/>
  <c r="AY35"/>
  <c r="AY45"/>
  <c r="AY26"/>
  <c r="AZ41"/>
  <c r="AZ50"/>
  <c r="BA16"/>
  <c r="BA45"/>
  <c r="BA26"/>
  <c r="BB41"/>
  <c r="BB50"/>
  <c r="BC16"/>
  <c r="BC47"/>
  <c r="BC30"/>
  <c r="AR10"/>
  <c r="AR35"/>
  <c r="H43" i="261"/>
  <c r="K39"/>
  <c r="L36"/>
  <c r="N10"/>
  <c r="N32"/>
  <c r="Q15"/>
  <c r="Q45"/>
  <c r="I21" i="260"/>
  <c r="J32"/>
  <c r="M13"/>
  <c r="M45"/>
  <c r="O21"/>
  <c r="O43"/>
  <c r="P10"/>
  <c r="P22"/>
  <c r="P46"/>
  <c r="G13"/>
  <c r="G45"/>
  <c r="H15"/>
  <c r="H35"/>
  <c r="H43"/>
  <c r="H59"/>
  <c r="K18"/>
  <c r="K39"/>
  <c r="K47"/>
  <c r="L10"/>
  <c r="L36"/>
  <c r="L60"/>
  <c r="N19"/>
  <c r="N36"/>
  <c r="N60"/>
  <c r="Q15"/>
  <c r="Q41"/>
  <c r="I10" i="259"/>
  <c r="I41"/>
  <c r="J32"/>
  <c r="J40"/>
  <c r="M19"/>
  <c r="M34"/>
  <c r="M42"/>
  <c r="O19"/>
  <c r="O39"/>
  <c r="O47"/>
  <c r="P10"/>
  <c r="P22"/>
  <c r="P38"/>
  <c r="P46"/>
  <c r="P65"/>
  <c r="G21"/>
  <c r="G45"/>
  <c r="H22"/>
  <c r="H38"/>
  <c r="H46"/>
  <c r="H65"/>
  <c r="K22"/>
  <c r="K38"/>
  <c r="K46"/>
  <c r="K65"/>
  <c r="L18"/>
  <c r="L39"/>
  <c r="L47"/>
  <c r="N13"/>
  <c r="N39"/>
  <c r="N47"/>
  <c r="Q10"/>
  <c r="Q36"/>
  <c r="Q60"/>
  <c r="I32" i="258"/>
  <c r="I40"/>
  <c r="J11"/>
  <c r="J35"/>
  <c r="J43"/>
  <c r="J59"/>
  <c r="M32"/>
  <c r="M40"/>
  <c r="O41"/>
  <c r="P16"/>
  <c r="P36"/>
  <c r="P60"/>
  <c r="G15"/>
  <c r="G35"/>
  <c r="G43"/>
  <c r="G59"/>
  <c r="H16"/>
  <c r="H36"/>
  <c r="H60"/>
  <c r="K32"/>
  <c r="K40"/>
  <c r="L11"/>
  <c r="L41"/>
  <c r="N11"/>
  <c r="N18"/>
  <c r="N34"/>
  <c r="N42"/>
  <c r="N57"/>
  <c r="Q13"/>
  <c r="Q35"/>
  <c r="Q43"/>
  <c r="Q59"/>
  <c r="I18" i="248"/>
  <c r="I39"/>
  <c r="I47"/>
  <c r="J10"/>
  <c r="J22"/>
  <c r="J38"/>
  <c r="J46"/>
  <c r="J65"/>
  <c r="M22"/>
  <c r="M38"/>
  <c r="O10"/>
  <c r="O35"/>
  <c r="O43"/>
  <c r="O59"/>
  <c r="P19"/>
  <c r="P34"/>
  <c r="P42"/>
  <c r="P57"/>
  <c r="G13"/>
  <c r="G41"/>
  <c r="H19"/>
  <c r="H34"/>
  <c r="H42"/>
  <c r="H57"/>
  <c r="K19"/>
  <c r="K34"/>
  <c r="K42"/>
  <c r="K57"/>
  <c r="L13"/>
  <c r="L35"/>
  <c r="L43"/>
  <c r="L59"/>
  <c r="N32"/>
  <c r="N40"/>
  <c r="Q11"/>
  <c r="Q21"/>
  <c r="Q45"/>
  <c r="I21" i="256"/>
  <c r="I45"/>
  <c r="J36"/>
  <c r="J60"/>
  <c r="M32"/>
  <c r="M40"/>
  <c r="O41"/>
  <c r="P16"/>
  <c r="P36"/>
  <c r="P60"/>
  <c r="G15"/>
  <c r="G35"/>
  <c r="G43"/>
  <c r="G59"/>
  <c r="H16"/>
  <c r="AN15" i="255"/>
  <c r="AU36"/>
  <c r="Z48"/>
  <c r="AP39"/>
  <c r="BF48" i="257"/>
  <c r="AU34"/>
  <c r="Z46"/>
  <c r="W29"/>
  <c r="AP48"/>
  <c r="I45" i="263"/>
  <c r="J57"/>
  <c r="O45"/>
  <c r="G16"/>
  <c r="G40"/>
  <c r="H39"/>
  <c r="K13"/>
  <c r="K35"/>
  <c r="K59"/>
  <c r="L32"/>
  <c r="N45"/>
  <c r="Q35"/>
  <c r="Q59"/>
  <c r="I35" i="262"/>
  <c r="I59"/>
  <c r="J22"/>
  <c r="J46"/>
  <c r="M16"/>
  <c r="M40"/>
  <c r="O36"/>
  <c r="P11"/>
  <c r="P47"/>
  <c r="G39"/>
  <c r="H36"/>
  <c r="K10"/>
  <c r="K47"/>
  <c r="L60"/>
  <c r="N19"/>
  <c r="N40"/>
  <c r="Q21"/>
  <c r="I10" i="261"/>
  <c r="I45"/>
  <c r="J40"/>
  <c r="M38"/>
  <c r="O47"/>
  <c r="P42"/>
  <c r="G41"/>
  <c r="H38"/>
  <c r="H65"/>
  <c r="K34"/>
  <c r="K57"/>
  <c r="L47"/>
  <c r="N35"/>
  <c r="N59"/>
  <c r="Q32"/>
  <c r="I16" i="260"/>
  <c r="I40"/>
  <c r="J35"/>
  <c r="J59"/>
  <c r="M38"/>
  <c r="O46"/>
  <c r="P13"/>
  <c r="G16"/>
  <c r="G40"/>
  <c r="H32"/>
  <c r="H40"/>
  <c r="K10"/>
  <c r="K36"/>
  <c r="K60"/>
  <c r="L21"/>
  <c r="L45"/>
  <c r="N15"/>
  <c r="N41"/>
  <c r="Q16"/>
  <c r="Q34"/>
  <c r="Q42"/>
  <c r="Q57"/>
  <c r="I11" i="259"/>
  <c r="I22"/>
  <c r="I38"/>
  <c r="I46"/>
  <c r="I65"/>
  <c r="J21"/>
  <c r="J45"/>
  <c r="O40"/>
  <c r="P59"/>
  <c r="G46"/>
  <c r="H59"/>
  <c r="K43"/>
  <c r="L32"/>
  <c r="M21" i="258"/>
  <c r="O42"/>
  <c r="H13"/>
  <c r="L22"/>
  <c r="N39"/>
  <c r="J39" i="248"/>
  <c r="M43"/>
  <c r="O32"/>
  <c r="P43"/>
  <c r="G65"/>
  <c r="H21"/>
  <c r="K11"/>
  <c r="K47"/>
  <c r="L60"/>
  <c r="N19"/>
  <c r="Q16"/>
  <c r="Q38"/>
  <c r="Q65"/>
  <c r="I22" i="256"/>
  <c r="I46"/>
  <c r="J13"/>
  <c r="M13"/>
  <c r="M45"/>
  <c r="O18"/>
  <c r="O46"/>
  <c r="P13"/>
  <c r="G19"/>
  <c r="G42"/>
  <c r="H15"/>
  <c r="H40"/>
  <c r="K10"/>
  <c r="K36"/>
  <c r="K60"/>
  <c r="L21"/>
  <c r="L45"/>
  <c r="N15"/>
  <c r="N22"/>
  <c r="N38"/>
  <c r="N46"/>
  <c r="N65"/>
  <c r="Q18"/>
  <c r="Q39"/>
  <c r="Q47"/>
  <c r="I21" i="255"/>
  <c r="I45"/>
  <c r="J22"/>
  <c r="J38"/>
  <c r="J46"/>
  <c r="J65"/>
  <c r="M22"/>
  <c r="M38"/>
  <c r="O10"/>
  <c r="O35"/>
  <c r="O43"/>
  <c r="O59"/>
  <c r="P19"/>
  <c r="P34"/>
  <c r="P42"/>
  <c r="P57"/>
  <c r="G13"/>
  <c r="G41"/>
  <c r="H19"/>
  <c r="H34"/>
  <c r="H42"/>
  <c r="H57"/>
  <c r="K19"/>
  <c r="K34"/>
  <c r="K42"/>
  <c r="K57"/>
  <c r="L13"/>
  <c r="L35"/>
  <c r="L43"/>
  <c r="L59"/>
  <c r="N35"/>
  <c r="N43"/>
  <c r="N59"/>
  <c r="Q32"/>
  <c r="Q40"/>
  <c r="I15" i="257"/>
  <c r="I35"/>
  <c r="I43"/>
  <c r="I59"/>
  <c r="J32"/>
  <c r="J40"/>
  <c r="M13"/>
  <c r="M41"/>
  <c r="O13"/>
  <c r="O34"/>
  <c r="O42"/>
  <c r="O57"/>
  <c r="P13"/>
  <c r="P41"/>
  <c r="G16"/>
  <c r="G36"/>
  <c r="G60"/>
  <c r="H21"/>
  <c r="H45"/>
  <c r="K21"/>
  <c r="K45"/>
  <c r="L22"/>
  <c r="L38"/>
  <c r="L46"/>
  <c r="L65"/>
  <c r="N22"/>
  <c r="N38"/>
  <c r="N46"/>
  <c r="N65"/>
  <c r="Q18"/>
  <c r="Q39"/>
  <c r="Q47"/>
  <c r="BJ13"/>
  <c r="BJ34"/>
  <c r="BJ42"/>
  <c r="T39"/>
  <c r="T47"/>
  <c r="T57"/>
  <c r="U35"/>
  <c r="BJ27"/>
  <c r="X39"/>
  <c r="X50"/>
  <c r="X59"/>
  <c r="AW21"/>
  <c r="AW38"/>
  <c r="AW47"/>
  <c r="AW30"/>
  <c r="AX10"/>
  <c r="AX35"/>
  <c r="AX45"/>
  <c r="AX26"/>
  <c r="AY43"/>
  <c r="AY28"/>
  <c r="AY59"/>
  <c r="AZ19"/>
  <c r="AZ39"/>
  <c r="AZ47"/>
  <c r="AZ30"/>
  <c r="BA10"/>
  <c r="BA35"/>
  <c r="BA43"/>
  <c r="BA28"/>
  <c r="BA59"/>
  <c r="BB19"/>
  <c r="BB39"/>
  <c r="BB47"/>
  <c r="BB30"/>
  <c r="BC10"/>
  <c r="BC35"/>
  <c r="BC45"/>
  <c r="BC26"/>
  <c r="AR41"/>
  <c r="AR50"/>
  <c r="AR60"/>
  <c r="BE41"/>
  <c r="BE50"/>
  <c r="BE60"/>
  <c r="AQ15"/>
  <c r="AQ32"/>
  <c r="AQ40"/>
  <c r="AQ27"/>
  <c r="AT10"/>
  <c r="AT35"/>
  <c r="AT43"/>
  <c r="AT28"/>
  <c r="AT59"/>
  <c r="Y19"/>
  <c r="Y34"/>
  <c r="Y45"/>
  <c r="Y28"/>
  <c r="V41"/>
  <c r="V27"/>
  <c r="AO40"/>
  <c r="AO27"/>
  <c r="AV13"/>
  <c r="AV34"/>
  <c r="AV42"/>
  <c r="AV29"/>
  <c r="AV65"/>
  <c r="AA21"/>
  <c r="AA40"/>
  <c r="AA27"/>
  <c r="BI16"/>
  <c r="BI40"/>
  <c r="BI29"/>
  <c r="BI65"/>
  <c r="BJ41" i="255"/>
  <c r="T19"/>
  <c r="T45"/>
  <c r="T30"/>
  <c r="U10"/>
  <c r="U22"/>
  <c r="M15" i="259"/>
  <c r="O11"/>
  <c r="P39"/>
  <c r="G57"/>
  <c r="H39"/>
  <c r="L36"/>
  <c r="N19"/>
  <c r="Q15"/>
  <c r="O21" i="258"/>
  <c r="P13"/>
  <c r="G36"/>
  <c r="H41"/>
  <c r="K45"/>
  <c r="L57"/>
  <c r="N43"/>
  <c r="Q32"/>
  <c r="J18" i="248"/>
  <c r="O18"/>
  <c r="O60"/>
  <c r="G19"/>
  <c r="H15"/>
  <c r="H47"/>
  <c r="K41"/>
  <c r="L38"/>
  <c r="L65"/>
  <c r="N43"/>
  <c r="Q10"/>
  <c r="Q40"/>
  <c r="I32" i="256"/>
  <c r="J18"/>
  <c r="J43"/>
  <c r="M15"/>
  <c r="O13"/>
  <c r="O32"/>
  <c r="P15"/>
  <c r="P43"/>
  <c r="G36"/>
  <c r="H32"/>
  <c r="H45"/>
  <c r="K21"/>
  <c r="K45"/>
  <c r="L22"/>
  <c r="L38"/>
  <c r="L46"/>
  <c r="L65"/>
  <c r="N35"/>
  <c r="N43"/>
  <c r="N59"/>
  <c r="Q32"/>
  <c r="Q40"/>
  <c r="I19" i="255"/>
  <c r="I34"/>
  <c r="I42"/>
  <c r="I57"/>
  <c r="J13"/>
  <c r="J35"/>
  <c r="J43"/>
  <c r="J59"/>
  <c r="M18"/>
  <c r="M39"/>
  <c r="O11"/>
  <c r="O18"/>
  <c r="O36"/>
  <c r="O60"/>
  <c r="P15"/>
  <c r="P39"/>
  <c r="P47"/>
  <c r="G19"/>
  <c r="G34"/>
  <c r="G42"/>
  <c r="G57"/>
  <c r="H15"/>
  <c r="H35"/>
  <c r="H43"/>
  <c r="H59"/>
  <c r="K18"/>
  <c r="K39"/>
  <c r="K47"/>
  <c r="L10"/>
  <c r="L36"/>
  <c r="L60"/>
  <c r="N19"/>
  <c r="N36"/>
  <c r="N60"/>
  <c r="Q15"/>
  <c r="Q41"/>
  <c r="I10" i="257"/>
  <c r="I32"/>
  <c r="I40"/>
  <c r="J11"/>
  <c r="J41"/>
  <c r="M19"/>
  <c r="M34"/>
  <c r="M42"/>
  <c r="O19"/>
  <c r="O39"/>
  <c r="O47"/>
  <c r="P10"/>
  <c r="P22"/>
  <c r="P38"/>
  <c r="P46"/>
  <c r="P65"/>
  <c r="G21"/>
  <c r="G45"/>
  <c r="H22"/>
  <c r="H38"/>
  <c r="H46"/>
  <c r="H65"/>
  <c r="K22"/>
  <c r="K38"/>
  <c r="K46"/>
  <c r="K65"/>
  <c r="L18"/>
  <c r="L39"/>
  <c r="L47"/>
  <c r="N13"/>
  <c r="N39"/>
  <c r="N47"/>
  <c r="Q10"/>
  <c r="Q36"/>
  <c r="Q60"/>
  <c r="BJ19"/>
  <c r="BJ39"/>
  <c r="BJ47"/>
  <c r="T36"/>
  <c r="T48"/>
  <c r="T59"/>
  <c r="U21"/>
  <c r="U30"/>
  <c r="BJ26"/>
  <c r="X21"/>
  <c r="X40"/>
  <c r="X60"/>
  <c r="AW19"/>
  <c r="AW39"/>
  <c r="AW48"/>
  <c r="AW60"/>
  <c r="AX15"/>
  <c r="AX32"/>
  <c r="AX42"/>
  <c r="AX29"/>
  <c r="AX65"/>
  <c r="AY21"/>
  <c r="AY38"/>
  <c r="AY27"/>
  <c r="AZ11"/>
  <c r="AZ18"/>
  <c r="AZ36"/>
  <c r="AZ48"/>
  <c r="AZ60"/>
  <c r="BA15"/>
  <c r="BA32"/>
  <c r="BA40"/>
  <c r="BA27"/>
  <c r="BB11"/>
  <c r="BB18"/>
  <c r="BB36"/>
  <c r="BB48"/>
  <c r="BB60"/>
  <c r="BC15"/>
  <c r="BC32"/>
  <c r="BC39"/>
  <c r="BC29"/>
  <c r="BC65"/>
  <c r="AR21"/>
  <c r="AR38"/>
  <c r="AR46"/>
  <c r="BE13"/>
  <c r="BE34"/>
  <c r="BE42"/>
  <c r="AQ16"/>
  <c r="AQ45"/>
  <c r="AQ26"/>
  <c r="AT15"/>
  <c r="AT32"/>
  <c r="AT40"/>
  <c r="AT27"/>
  <c r="Y11"/>
  <c r="Y18"/>
  <c r="Y42"/>
  <c r="Y29"/>
  <c r="V10"/>
  <c r="V21"/>
  <c r="V42"/>
  <c r="M18" i="259"/>
  <c r="O15"/>
  <c r="P15"/>
  <c r="G38"/>
  <c r="H18"/>
  <c r="K35"/>
  <c r="L40"/>
  <c r="N60"/>
  <c r="I41" i="258"/>
  <c r="J60"/>
  <c r="O34"/>
  <c r="P21"/>
  <c r="G16"/>
  <c r="H21"/>
  <c r="K11"/>
  <c r="L65"/>
  <c r="Q36"/>
  <c r="I36" i="248"/>
  <c r="J47"/>
  <c r="O40"/>
  <c r="P59"/>
  <c r="G46"/>
  <c r="K18"/>
  <c r="K43"/>
  <c r="L10"/>
  <c r="L40"/>
  <c r="Q34"/>
  <c r="Q57"/>
  <c r="I34" i="256"/>
  <c r="I57"/>
  <c r="J45"/>
  <c r="O15"/>
  <c r="O42"/>
  <c r="P21"/>
  <c r="G22"/>
  <c r="G46"/>
  <c r="H18"/>
  <c r="H42"/>
  <c r="H57"/>
  <c r="K19"/>
  <c r="K34"/>
  <c r="K42"/>
  <c r="K57"/>
  <c r="L13"/>
  <c r="L35"/>
  <c r="L43"/>
  <c r="L59"/>
  <c r="N32"/>
  <c r="N40"/>
  <c r="Q11"/>
  <c r="Q21"/>
  <c r="Q45"/>
  <c r="I15" i="255"/>
  <c r="I35"/>
  <c r="I43"/>
  <c r="I59"/>
  <c r="J32"/>
  <c r="J40"/>
  <c r="M16"/>
  <c r="M36"/>
  <c r="O16"/>
  <c r="O45"/>
  <c r="P32"/>
  <c r="P40"/>
  <c r="G11"/>
  <c r="G18"/>
  <c r="G39"/>
  <c r="G47"/>
  <c r="H10"/>
  <c r="H32"/>
  <c r="H40"/>
  <c r="K10"/>
  <c r="K36"/>
  <c r="K60"/>
  <c r="L21"/>
  <c r="L45"/>
  <c r="N15"/>
  <c r="N41"/>
  <c r="Q16"/>
  <c r="Q34"/>
  <c r="Q42"/>
  <c r="Q57"/>
  <c r="I11" i="257"/>
  <c r="I41"/>
  <c r="J19"/>
  <c r="J34"/>
  <c r="J42"/>
  <c r="J57"/>
  <c r="M15"/>
  <c r="M35"/>
  <c r="M43"/>
  <c r="O15"/>
  <c r="O32"/>
  <c r="O40"/>
  <c r="P11"/>
  <c r="P35"/>
  <c r="P43"/>
  <c r="P59"/>
  <c r="G22"/>
  <c r="G38"/>
  <c r="G46"/>
  <c r="G65"/>
  <c r="H18"/>
  <c r="H39"/>
  <c r="H47"/>
  <c r="K13"/>
  <c r="K35"/>
  <c r="K43"/>
  <c r="K59"/>
  <c r="L32"/>
  <c r="L40"/>
  <c r="N10"/>
  <c r="N32"/>
  <c r="N40"/>
  <c r="Q11"/>
  <c r="Q21"/>
  <c r="Q45"/>
  <c r="BJ15"/>
  <c r="BJ32"/>
  <c r="BJ40"/>
  <c r="T41"/>
  <c r="T26"/>
  <c r="T60"/>
  <c r="U19"/>
  <c r="U27"/>
  <c r="BJ57"/>
  <c r="X22"/>
  <c r="X45"/>
  <c r="AW11"/>
  <c r="AW18"/>
  <c r="AW36"/>
  <c r="AW50"/>
  <c r="AX16"/>
  <c r="AX47"/>
  <c r="AX30"/>
  <c r="AY10"/>
  <c r="AY35"/>
  <c r="AY45"/>
  <c r="AY26"/>
  <c r="AZ41"/>
  <c r="AZ50"/>
  <c r="BA16"/>
  <c r="BA45"/>
  <c r="BA26"/>
  <c r="BB41"/>
  <c r="BB50"/>
  <c r="BC16"/>
  <c r="BC47"/>
  <c r="BC30"/>
  <c r="AR10"/>
  <c r="AR35"/>
  <c r="AR43"/>
  <c r="AR28"/>
  <c r="AR65"/>
  <c r="BE19"/>
  <c r="BE39"/>
  <c r="BE47"/>
  <c r="BE57"/>
  <c r="AQ13"/>
  <c r="AQ34"/>
  <c r="AQ42"/>
  <c r="AQ29"/>
  <c r="AQ65"/>
  <c r="AT41"/>
  <c r="AT50"/>
  <c r="Y16"/>
  <c r="Y39"/>
  <c r="Y47"/>
  <c r="Y30"/>
  <c r="V11"/>
  <c r="V39"/>
  <c r="V47"/>
  <c r="V59"/>
  <c r="AO19"/>
  <c r="AO38"/>
  <c r="AO46"/>
  <c r="AO57"/>
  <c r="AV11"/>
  <c r="AV18"/>
  <c r="AV36"/>
  <c r="AV48"/>
  <c r="AV60"/>
  <c r="AA15"/>
  <c r="AA38"/>
  <c r="AA46"/>
  <c r="AA57"/>
  <c r="BI19"/>
  <c r="BI38"/>
  <c r="BI60"/>
  <c r="BJ19" i="255"/>
  <c r="BJ39"/>
  <c r="BJ47"/>
  <c r="T39"/>
  <c r="T47"/>
  <c r="T57"/>
  <c r="U35"/>
  <c r="O36" i="259"/>
  <c r="P47"/>
  <c r="G42"/>
  <c r="K13"/>
  <c r="N10"/>
  <c r="Q21"/>
  <c r="I10" i="258"/>
  <c r="I45"/>
  <c r="M41"/>
  <c r="O38"/>
  <c r="L19"/>
  <c r="N35"/>
  <c r="Q40"/>
  <c r="I40" i="248"/>
  <c r="J59"/>
  <c r="M39"/>
  <c r="P11"/>
  <c r="G34"/>
  <c r="H18"/>
  <c r="H43"/>
  <c r="K21"/>
  <c r="L19"/>
  <c r="L42"/>
  <c r="N16"/>
  <c r="N47"/>
  <c r="Q60"/>
  <c r="I60" i="256"/>
  <c r="J39"/>
  <c r="M18"/>
  <c r="M43"/>
  <c r="O60"/>
  <c r="P39"/>
  <c r="G16"/>
  <c r="G40"/>
  <c r="H21"/>
  <c r="H39"/>
  <c r="H47"/>
  <c r="K13"/>
  <c r="K35"/>
  <c r="K43"/>
  <c r="K59"/>
  <c r="L32"/>
  <c r="L40"/>
  <c r="N10"/>
  <c r="N41"/>
  <c r="Q16"/>
  <c r="Q34"/>
  <c r="Q42"/>
  <c r="Q57"/>
  <c r="I11" i="255"/>
  <c r="I32"/>
  <c r="I40"/>
  <c r="J11"/>
  <c r="J41"/>
  <c r="M13"/>
  <c r="M41"/>
  <c r="O13"/>
  <c r="O34"/>
  <c r="O42"/>
  <c r="O57"/>
  <c r="P13"/>
  <c r="P41"/>
  <c r="G16"/>
  <c r="G36"/>
  <c r="G60"/>
  <c r="H21"/>
  <c r="H45"/>
  <c r="K21"/>
  <c r="K45"/>
  <c r="L22"/>
  <c r="L38"/>
  <c r="L46"/>
  <c r="L65"/>
  <c r="N22"/>
  <c r="N38"/>
  <c r="N46"/>
  <c r="N65"/>
  <c r="Q18"/>
  <c r="Q39"/>
  <c r="Q47"/>
  <c r="I19" i="257"/>
  <c r="I65"/>
  <c r="J59"/>
  <c r="P32"/>
  <c r="G43"/>
  <c r="H32"/>
  <c r="N15"/>
  <c r="Q38"/>
  <c r="T46"/>
  <c r="U34"/>
  <c r="BJ60"/>
  <c r="X29"/>
  <c r="AW65"/>
  <c r="AY15"/>
  <c r="AY29"/>
  <c r="AZ38"/>
  <c r="BA13"/>
  <c r="BA29"/>
  <c r="BB38"/>
  <c r="BC13"/>
  <c r="AR11"/>
  <c r="AR27"/>
  <c r="BE40"/>
  <c r="AQ35"/>
  <c r="AT34"/>
  <c r="Y36"/>
  <c r="V40"/>
  <c r="AO32"/>
  <c r="AO47"/>
  <c r="AV45"/>
  <c r="AA16"/>
  <c r="AA39"/>
  <c r="AA30"/>
  <c r="BI39"/>
  <c r="BJ32" i="255"/>
  <c r="T38"/>
  <c r="U11"/>
  <c r="U34"/>
  <c r="BJ57"/>
  <c r="X35"/>
  <c r="X43"/>
  <c r="AW11"/>
  <c r="AW18"/>
  <c r="AW36"/>
  <c r="AW50"/>
  <c r="AX16"/>
  <c r="AX47"/>
  <c r="AX30"/>
  <c r="AY10"/>
  <c r="AY35"/>
  <c r="AY45"/>
  <c r="AY26"/>
  <c r="AZ41"/>
  <c r="AZ50"/>
  <c r="BA16"/>
  <c r="BA45"/>
  <c r="BA26"/>
  <c r="BB41"/>
  <c r="BB50"/>
  <c r="BC16"/>
  <c r="BC47"/>
  <c r="BC30"/>
  <c r="AR10"/>
  <c r="AR35"/>
  <c r="AR43"/>
  <c r="AR28"/>
  <c r="AR65"/>
  <c r="BE19"/>
  <c r="BE39"/>
  <c r="BE47"/>
  <c r="BE57"/>
  <c r="AQ13"/>
  <c r="AQ34"/>
  <c r="AQ42"/>
  <c r="AQ29"/>
  <c r="AQ65"/>
  <c r="AT41"/>
  <c r="AT50"/>
  <c r="Y16"/>
  <c r="Y39"/>
  <c r="Y47"/>
  <c r="Y30"/>
  <c r="V11"/>
  <c r="V34"/>
  <c r="V40"/>
  <c r="AO11"/>
  <c r="AO18"/>
  <c r="AO39"/>
  <c r="AO47"/>
  <c r="AO30"/>
  <c r="AV16"/>
  <c r="AV45"/>
  <c r="AV26"/>
  <c r="AA32"/>
  <c r="AA39"/>
  <c r="AA47"/>
  <c r="AA30"/>
  <c r="BI11"/>
  <c r="BI18"/>
  <c r="BI39"/>
  <c r="BJ11" i="256"/>
  <c r="BJ18"/>
  <c r="BJ36"/>
  <c r="T32"/>
  <c r="T40"/>
  <c r="T29"/>
  <c r="U13"/>
  <c r="U36"/>
  <c r="BJ29"/>
  <c r="X11"/>
  <c r="X39"/>
  <c r="X28"/>
  <c r="AW15"/>
  <c r="AW32"/>
  <c r="AW40"/>
  <c r="AW26"/>
  <c r="AX43"/>
  <c r="AX28"/>
  <c r="AX59"/>
  <c r="AY19"/>
  <c r="AY39"/>
  <c r="AY50"/>
  <c r="AZ16"/>
  <c r="AZ45"/>
  <c r="AZ26"/>
  <c r="BA41"/>
  <c r="BA50"/>
  <c r="BB16"/>
  <c r="BB45"/>
  <c r="BB26"/>
  <c r="BC40"/>
  <c r="BC28"/>
  <c r="BC59"/>
  <c r="AR19"/>
  <c r="AR39"/>
  <c r="AR47"/>
  <c r="AR30"/>
  <c r="BE10"/>
  <c r="BE35"/>
  <c r="BE43"/>
  <c r="BE28"/>
  <c r="BE65"/>
  <c r="AQ21"/>
  <c r="AR28"/>
  <c r="BE19"/>
  <c r="BE47"/>
  <c r="AQ13"/>
  <c r="AQ38"/>
  <c r="AQ46"/>
  <c r="AQ57"/>
  <c r="AT16"/>
  <c r="AT45"/>
  <c r="AT26"/>
  <c r="Y32"/>
  <c r="Y43"/>
  <c r="Y26"/>
  <c r="Y59"/>
  <c r="V19"/>
  <c r="V36"/>
  <c r="V60"/>
  <c r="AO15"/>
  <c r="AO32"/>
  <c r="AO43"/>
  <c r="AO28"/>
  <c r="AO59"/>
  <c r="AV41"/>
  <c r="AV50"/>
  <c r="AA16"/>
  <c r="AA35"/>
  <c r="AA43"/>
  <c r="AA26"/>
  <c r="AA59"/>
  <c r="BI15"/>
  <c r="BI35"/>
  <c r="BI43"/>
  <c r="BJ15" i="248"/>
  <c r="BJ32"/>
  <c r="BJ40"/>
  <c r="T36"/>
  <c r="T48"/>
  <c r="T59"/>
  <c r="U21"/>
  <c r="U27"/>
  <c r="BJ57"/>
  <c r="X35"/>
  <c r="X43"/>
  <c r="AW11"/>
  <c r="AW18"/>
  <c r="AW36"/>
  <c r="AW50"/>
  <c r="AX16"/>
  <c r="AX47"/>
  <c r="AX30"/>
  <c r="AY10"/>
  <c r="AY35"/>
  <c r="AY45"/>
  <c r="AY26"/>
  <c r="AZ41"/>
  <c r="AZ50"/>
  <c r="BA16"/>
  <c r="BA45"/>
  <c r="BA26"/>
  <c r="BB41"/>
  <c r="BB50"/>
  <c r="BC16"/>
  <c r="BC47"/>
  <c r="BC30"/>
  <c r="AR10"/>
  <c r="AR35"/>
  <c r="AR43"/>
  <c r="AR28"/>
  <c r="AR65"/>
  <c r="BE19"/>
  <c r="BE39"/>
  <c r="BE47"/>
  <c r="BE57"/>
  <c r="AQ13"/>
  <c r="AQ34"/>
  <c r="AQ42"/>
  <c r="AQ29"/>
  <c r="AQ65"/>
  <c r="AT41"/>
  <c r="AT50"/>
  <c r="Y16"/>
  <c r="Y39"/>
  <c r="Y47"/>
  <c r="Y30"/>
  <c r="V11"/>
  <c r="V34"/>
  <c r="V40"/>
  <c r="AO11"/>
  <c r="AO18"/>
  <c r="AO39"/>
  <c r="AO47"/>
  <c r="AO30"/>
  <c r="AV16"/>
  <c r="AV45"/>
  <c r="AV26"/>
  <c r="AA32"/>
  <c r="AA39"/>
  <c r="AA47"/>
  <c r="AA30"/>
  <c r="BI11"/>
  <c r="BI18"/>
  <c r="BI39"/>
  <c r="BJ11" i="258"/>
  <c r="BJ18"/>
  <c r="BJ36"/>
  <c r="T32"/>
  <c r="T40"/>
  <c r="T29"/>
  <c r="U13"/>
  <c r="U36"/>
  <c r="BJ29"/>
  <c r="X11"/>
  <c r="X39"/>
  <c r="X28"/>
  <c r="AW15"/>
  <c r="AW32"/>
  <c r="AW40"/>
  <c r="AW26"/>
  <c r="AX43"/>
  <c r="AX28"/>
  <c r="AX59"/>
  <c r="AY19"/>
  <c r="AY39"/>
  <c r="AY50"/>
  <c r="AZ16"/>
  <c r="AZ45"/>
  <c r="AZ26"/>
  <c r="BA41"/>
  <c r="BA50"/>
  <c r="BB16"/>
  <c r="BB45"/>
  <c r="BB26"/>
  <c r="BC40"/>
  <c r="BC28"/>
  <c r="BC59"/>
  <c r="AR19"/>
  <c r="AR39"/>
  <c r="AR47"/>
  <c r="AR30"/>
  <c r="BE10"/>
  <c r="BE35"/>
  <c r="BE43"/>
  <c r="BE28"/>
  <c r="BE65"/>
  <c r="AQ21"/>
  <c r="AQ38"/>
  <c r="AQ46"/>
  <c r="AQ57"/>
  <c r="AT16"/>
  <c r="AT45"/>
  <c r="AT26"/>
  <c r="Y32"/>
  <c r="Y43"/>
  <c r="Y26"/>
  <c r="Y59"/>
  <c r="V19"/>
  <c r="V36"/>
  <c r="V60"/>
  <c r="AO15"/>
  <c r="AO32"/>
  <c r="AO43"/>
  <c r="AO28"/>
  <c r="AO59"/>
  <c r="AV41"/>
  <c r="AV50"/>
  <c r="AA16"/>
  <c r="AA35"/>
  <c r="AA43"/>
  <c r="AA26"/>
  <c r="AA59"/>
  <c r="BI15"/>
  <c r="BI35"/>
  <c r="BI43"/>
  <c r="BJ15" i="259"/>
  <c r="BJ32"/>
  <c r="BJ40"/>
  <c r="T36"/>
  <c r="T48"/>
  <c r="T59"/>
  <c r="U21"/>
  <c r="U27"/>
  <c r="BJ57"/>
  <c r="X35"/>
  <c r="X43"/>
  <c r="AW11"/>
  <c r="AW18"/>
  <c r="AW36"/>
  <c r="AW50"/>
  <c r="AX16"/>
  <c r="AX47"/>
  <c r="AX30"/>
  <c r="AY10"/>
  <c r="AY35"/>
  <c r="AY45"/>
  <c r="AY26"/>
  <c r="AZ41"/>
  <c r="AZ50"/>
  <c r="BA16"/>
  <c r="BA45"/>
  <c r="BA26"/>
  <c r="BB41"/>
  <c r="BB50"/>
  <c r="BC16"/>
  <c r="BC47"/>
  <c r="BC30"/>
  <c r="AR10"/>
  <c r="AR35"/>
  <c r="AR43"/>
  <c r="AR28"/>
  <c r="AR65"/>
  <c r="BE19"/>
  <c r="BE39"/>
  <c r="BE47"/>
  <c r="BE57"/>
  <c r="AQ13"/>
  <c r="AQ34"/>
  <c r="AQ42"/>
  <c r="AQ29"/>
  <c r="AQ65"/>
  <c r="AT41"/>
  <c r="AT50"/>
  <c r="Y16"/>
  <c r="Y39"/>
  <c r="Y47"/>
  <c r="Y30"/>
  <c r="V11"/>
  <c r="V34"/>
  <c r="V40"/>
  <c r="AO11"/>
  <c r="AO18"/>
  <c r="AO39"/>
  <c r="AO47"/>
  <c r="AO30"/>
  <c r="AV16"/>
  <c r="AV45"/>
  <c r="AV26"/>
  <c r="AA32"/>
  <c r="AA39"/>
  <c r="AA47"/>
  <c r="AA30"/>
  <c r="BI11"/>
  <c r="BI18"/>
  <c r="BI39"/>
  <c r="BJ11" i="260"/>
  <c r="BJ18"/>
  <c r="BJ36"/>
  <c r="I42" i="257"/>
  <c r="M36"/>
  <c r="P36"/>
  <c r="G47"/>
  <c r="H60"/>
  <c r="N18"/>
  <c r="T34"/>
  <c r="U15"/>
  <c r="X16"/>
  <c r="X57"/>
  <c r="AX60"/>
  <c r="AY57"/>
  <c r="AZ57"/>
  <c r="BA57"/>
  <c r="BB57"/>
  <c r="AR15"/>
  <c r="BE18"/>
  <c r="AQ39"/>
  <c r="AT13"/>
  <c r="AT29"/>
  <c r="V57"/>
  <c r="AO41"/>
  <c r="AV39"/>
  <c r="AV30"/>
  <c r="AA19"/>
  <c r="AA50"/>
  <c r="BI27"/>
  <c r="BJ34" i="255"/>
  <c r="T32"/>
  <c r="T48"/>
  <c r="U13"/>
  <c r="U36"/>
  <c r="BJ28"/>
  <c r="BJ60"/>
  <c r="X36"/>
  <c r="X29"/>
  <c r="AW16"/>
  <c r="AW46"/>
  <c r="AW57"/>
  <c r="AX13"/>
  <c r="AX34"/>
  <c r="AX48"/>
  <c r="AX60"/>
  <c r="AY15"/>
  <c r="AY32"/>
  <c r="AY40"/>
  <c r="AY29"/>
  <c r="AY65"/>
  <c r="AZ21"/>
  <c r="AZ38"/>
  <c r="AZ46"/>
  <c r="AZ57"/>
  <c r="BA13"/>
  <c r="BA34"/>
  <c r="BA42"/>
  <c r="BA29"/>
  <c r="BA65"/>
  <c r="BB21"/>
  <c r="BB38"/>
  <c r="BB46"/>
  <c r="BB57"/>
  <c r="BC13"/>
  <c r="BC34"/>
  <c r="BC48"/>
  <c r="BC60"/>
  <c r="AR15"/>
  <c r="AR32"/>
  <c r="AR40"/>
  <c r="AR27"/>
  <c r="BE11"/>
  <c r="BE18"/>
  <c r="BE36"/>
  <c r="BE48"/>
  <c r="BE30"/>
  <c r="AQ10"/>
  <c r="AQ35"/>
  <c r="AQ43"/>
  <c r="AQ28"/>
  <c r="AQ59"/>
  <c r="AT21"/>
  <c r="AT38"/>
  <c r="AT46"/>
  <c r="AT57"/>
  <c r="Y13"/>
  <c r="Y36"/>
  <c r="Y48"/>
  <c r="Y60"/>
  <c r="V41"/>
  <c r="V27"/>
  <c r="AO40"/>
  <c r="AO27"/>
  <c r="AV13"/>
  <c r="AV34"/>
  <c r="AV42"/>
  <c r="AV29"/>
  <c r="AV65"/>
  <c r="AA21"/>
  <c r="AA40"/>
  <c r="AA27"/>
  <c r="BI16"/>
  <c r="BI40"/>
  <c r="BI29"/>
  <c r="BI65"/>
  <c r="BJ41" i="256"/>
  <c r="T19"/>
  <c r="T45"/>
  <c r="T30"/>
  <c r="U10"/>
  <c r="U22"/>
  <c r="BJ28"/>
  <c r="BJ60"/>
  <c r="X36"/>
  <c r="X29"/>
  <c r="AW16"/>
  <c r="AW46"/>
  <c r="AW57"/>
  <c r="AX13"/>
  <c r="AX34"/>
  <c r="AX48"/>
  <c r="AX60"/>
  <c r="AY15"/>
  <c r="AY32"/>
  <c r="AY40"/>
  <c r="AY29"/>
  <c r="AY65"/>
  <c r="AZ21"/>
  <c r="AZ38"/>
  <c r="AZ46"/>
  <c r="AZ57"/>
  <c r="BA13"/>
  <c r="BA34"/>
  <c r="BA42"/>
  <c r="BA29"/>
  <c r="BA65"/>
  <c r="BB21"/>
  <c r="BB38"/>
  <c r="BB46"/>
  <c r="BB57"/>
  <c r="BC13"/>
  <c r="BC34"/>
  <c r="BC48"/>
  <c r="BC60"/>
  <c r="AR15"/>
  <c r="AR32"/>
  <c r="AR40"/>
  <c r="AR27"/>
  <c r="BE11"/>
  <c r="BE18"/>
  <c r="BE36"/>
  <c r="BE48"/>
  <c r="BE30"/>
  <c r="AQ10"/>
  <c r="AQ35"/>
  <c r="AQ43"/>
  <c r="AQ28"/>
  <c r="AQ59"/>
  <c r="AT21"/>
  <c r="AT38"/>
  <c r="AT46"/>
  <c r="AT57"/>
  <c r="Y13"/>
  <c r="Y36"/>
  <c r="Y48"/>
  <c r="Y60"/>
  <c r="V41"/>
  <c r="V27"/>
  <c r="AO40"/>
  <c r="AO27"/>
  <c r="AV13"/>
  <c r="AV34"/>
  <c r="AV42"/>
  <c r="AV29"/>
  <c r="AV65"/>
  <c r="AA21"/>
  <c r="AA40"/>
  <c r="AA27"/>
  <c r="BI16"/>
  <c r="BI40"/>
  <c r="BI29"/>
  <c r="BI65"/>
  <c r="BJ41" i="248"/>
  <c r="T19"/>
  <c r="T45"/>
  <c r="T30"/>
  <c r="U10"/>
  <c r="U22"/>
  <c r="BJ28"/>
  <c r="BJ60"/>
  <c r="X36"/>
  <c r="X29"/>
  <c r="AW16"/>
  <c r="AW46"/>
  <c r="AW57"/>
  <c r="AX13"/>
  <c r="AX34"/>
  <c r="AX48"/>
  <c r="AX60"/>
  <c r="AY15"/>
  <c r="AY32"/>
  <c r="AY40"/>
  <c r="AY29"/>
  <c r="AY65"/>
  <c r="AZ21"/>
  <c r="AZ38"/>
  <c r="AZ46"/>
  <c r="AZ57"/>
  <c r="BA13"/>
  <c r="BA34"/>
  <c r="BA42"/>
  <c r="BA29"/>
  <c r="BA65"/>
  <c r="BB21"/>
  <c r="BB38"/>
  <c r="BB46"/>
  <c r="BB57"/>
  <c r="BC13"/>
  <c r="BC34"/>
  <c r="BC48"/>
  <c r="BC60"/>
  <c r="AR15"/>
  <c r="AR32"/>
  <c r="AR40"/>
  <c r="AR27"/>
  <c r="BE11"/>
  <c r="BE18"/>
  <c r="BE36"/>
  <c r="BE48"/>
  <c r="BE30"/>
  <c r="AQ10"/>
  <c r="AQ35"/>
  <c r="AQ43"/>
  <c r="AQ28"/>
  <c r="AQ59"/>
  <c r="AT21"/>
  <c r="AT38"/>
  <c r="AT46"/>
  <c r="AT57"/>
  <c r="Y13"/>
  <c r="Y36"/>
  <c r="Y48"/>
  <c r="Y60"/>
  <c r="V41"/>
  <c r="V27"/>
  <c r="AO40"/>
  <c r="AO27"/>
  <c r="AV13"/>
  <c r="AV34"/>
  <c r="AV42"/>
  <c r="AV29"/>
  <c r="AV65"/>
  <c r="AA21"/>
  <c r="AA40"/>
  <c r="AA27"/>
  <c r="BI16"/>
  <c r="BI40"/>
  <c r="BI29"/>
  <c r="BI65"/>
  <c r="BJ41" i="258"/>
  <c r="T19"/>
  <c r="T45"/>
  <c r="T30"/>
  <c r="U10"/>
  <c r="U22"/>
  <c r="BJ28"/>
  <c r="BJ60"/>
  <c r="X36"/>
  <c r="X29"/>
  <c r="AW16"/>
  <c r="AW46"/>
  <c r="AW57"/>
  <c r="AX13"/>
  <c r="AX34"/>
  <c r="AX48"/>
  <c r="AX60"/>
  <c r="AY15"/>
  <c r="AY32"/>
  <c r="AY40"/>
  <c r="AY29"/>
  <c r="AY65"/>
  <c r="AZ21"/>
  <c r="AZ38"/>
  <c r="AZ46"/>
  <c r="AZ57"/>
  <c r="BA13"/>
  <c r="BA34"/>
  <c r="BA42"/>
  <c r="BA29"/>
  <c r="BA65"/>
  <c r="BB21"/>
  <c r="BB38"/>
  <c r="BB46"/>
  <c r="BB57"/>
  <c r="BC13"/>
  <c r="BC34"/>
  <c r="BC48"/>
  <c r="BC60"/>
  <c r="AR15"/>
  <c r="AR32"/>
  <c r="AR40"/>
  <c r="AR27"/>
  <c r="BE11"/>
  <c r="BE18"/>
  <c r="BE36"/>
  <c r="BE48"/>
  <c r="BE30"/>
  <c r="AQ10"/>
  <c r="AQ35"/>
  <c r="AQ43"/>
  <c r="AQ28"/>
  <c r="AQ59"/>
  <c r="AT21"/>
  <c r="AT38"/>
  <c r="AT46"/>
  <c r="AT57"/>
  <c r="Y13"/>
  <c r="Y36"/>
  <c r="Y48"/>
  <c r="Y60"/>
  <c r="V41"/>
  <c r="V27"/>
  <c r="AO40"/>
  <c r="AO27"/>
  <c r="AV13"/>
  <c r="AV34"/>
  <c r="AV42"/>
  <c r="AV29"/>
  <c r="AV65"/>
  <c r="AA21"/>
  <c r="AA40"/>
  <c r="AA27"/>
  <c r="BI16"/>
  <c r="BI40"/>
  <c r="BI29"/>
  <c r="BI65"/>
  <c r="BJ41" i="259"/>
  <c r="T19"/>
  <c r="T45"/>
  <c r="T30"/>
  <c r="U10"/>
  <c r="U22"/>
  <c r="BJ28"/>
  <c r="BJ60"/>
  <c r="X36"/>
  <c r="X29"/>
  <c r="AW16"/>
  <c r="AW46"/>
  <c r="AW57"/>
  <c r="AX13"/>
  <c r="AX34"/>
  <c r="AX48"/>
  <c r="AX60"/>
  <c r="AY15"/>
  <c r="AY32"/>
  <c r="AY40"/>
  <c r="AY29"/>
  <c r="AY65"/>
  <c r="AZ21"/>
  <c r="AZ38"/>
  <c r="AZ46"/>
  <c r="AZ57"/>
  <c r="BA13"/>
  <c r="BA34"/>
  <c r="BA42"/>
  <c r="BA29"/>
  <c r="BA65"/>
  <c r="BB21"/>
  <c r="BB38"/>
  <c r="BB46"/>
  <c r="BB57"/>
  <c r="I46" i="257"/>
  <c r="J18"/>
  <c r="M16"/>
  <c r="O45"/>
  <c r="G11"/>
  <c r="G59"/>
  <c r="H40"/>
  <c r="K60"/>
  <c r="N41"/>
  <c r="Q46"/>
  <c r="BJ41"/>
  <c r="U18"/>
  <c r="X38"/>
  <c r="AW41"/>
  <c r="AX13"/>
  <c r="AX48"/>
  <c r="AY46"/>
  <c r="AZ21"/>
  <c r="AZ65"/>
  <c r="BA46"/>
  <c r="BB21"/>
  <c r="BB65"/>
  <c r="BC60"/>
  <c r="AR59"/>
  <c r="BE48"/>
  <c r="AQ19"/>
  <c r="AQ59"/>
  <c r="AT57"/>
  <c r="Y60"/>
  <c r="V60"/>
  <c r="AO18"/>
  <c r="AO28"/>
  <c r="AV16"/>
  <c r="AV50"/>
  <c r="AA43"/>
  <c r="AA59"/>
  <c r="BI18"/>
  <c r="BI43"/>
  <c r="BJ18" i="255"/>
  <c r="T34"/>
  <c r="T27"/>
  <c r="U29"/>
  <c r="X22"/>
  <c r="X45"/>
  <c r="X30"/>
  <c r="AW13"/>
  <c r="AW34"/>
  <c r="AW42"/>
  <c r="AW28"/>
  <c r="AW59"/>
  <c r="AX19"/>
  <c r="AX41"/>
  <c r="AX50"/>
  <c r="AY16"/>
  <c r="AY47"/>
  <c r="AY30"/>
  <c r="AZ10"/>
  <c r="AZ35"/>
  <c r="AZ43"/>
  <c r="AZ28"/>
  <c r="AZ59"/>
  <c r="BA19"/>
  <c r="BA39"/>
  <c r="BA47"/>
  <c r="BA30"/>
  <c r="BB10"/>
  <c r="BB35"/>
  <c r="BB43"/>
  <c r="BB28"/>
  <c r="BB59"/>
  <c r="BC19"/>
  <c r="BC42"/>
  <c r="BC50"/>
  <c r="AR16"/>
  <c r="AR45"/>
  <c r="AR26"/>
  <c r="BE16"/>
  <c r="BE45"/>
  <c r="BE26"/>
  <c r="AQ11"/>
  <c r="AQ18"/>
  <c r="AQ36"/>
  <c r="AQ48"/>
  <c r="AQ60"/>
  <c r="AT19"/>
  <c r="AT39"/>
  <c r="AT47"/>
  <c r="AT30"/>
  <c r="Y10"/>
  <c r="Y22"/>
  <c r="Y41"/>
  <c r="Y50"/>
  <c r="V16"/>
  <c r="V38"/>
  <c r="V28"/>
  <c r="AO13"/>
  <c r="AO34"/>
  <c r="AO45"/>
  <c r="AO26"/>
  <c r="AV19"/>
  <c r="AV39"/>
  <c r="AV47"/>
  <c r="AV30"/>
  <c r="AA10"/>
  <c r="AA22"/>
  <c r="AA45"/>
  <c r="AA28"/>
  <c r="BI21"/>
  <c r="BI27"/>
  <c r="BI59"/>
  <c r="BJ21" i="256"/>
  <c r="BJ38"/>
  <c r="T34"/>
  <c r="T42"/>
  <c r="T27"/>
  <c r="U15"/>
  <c r="U34"/>
  <c r="BJ27"/>
  <c r="X41"/>
  <c r="X50"/>
  <c r="X59"/>
  <c r="AW21"/>
  <c r="AW38"/>
  <c r="AW47"/>
  <c r="AW30"/>
  <c r="AX10"/>
  <c r="AX35"/>
  <c r="AX45"/>
  <c r="AX26"/>
  <c r="AY43"/>
  <c r="AY28"/>
  <c r="AY59"/>
  <c r="AZ19"/>
  <c r="AZ39"/>
  <c r="AZ47"/>
  <c r="AZ30"/>
  <c r="BA10"/>
  <c r="BA35"/>
  <c r="BA43"/>
  <c r="BA28"/>
  <c r="BA59"/>
  <c r="BB19"/>
  <c r="BB39"/>
  <c r="BB47"/>
  <c r="BB30"/>
  <c r="BC10"/>
  <c r="BC35"/>
  <c r="BC45"/>
  <c r="BC26"/>
  <c r="AR41"/>
  <c r="AR50"/>
  <c r="AR60"/>
  <c r="BE41"/>
  <c r="BE50"/>
  <c r="BE60"/>
  <c r="AQ15"/>
  <c r="AQ32"/>
  <c r="AQ40"/>
  <c r="AQ27"/>
  <c r="AT10"/>
  <c r="AT35"/>
  <c r="AT43"/>
  <c r="AT28"/>
  <c r="AT59"/>
  <c r="Y19"/>
  <c r="Y34"/>
  <c r="Y45"/>
  <c r="Y28"/>
  <c r="V21"/>
  <c r="V42"/>
  <c r="V57"/>
  <c r="AO21"/>
  <c r="AO41"/>
  <c r="AO50"/>
  <c r="AV10"/>
  <c r="AV35"/>
  <c r="AV43"/>
  <c r="AV28"/>
  <c r="AV59"/>
  <c r="AA19"/>
  <c r="AA41"/>
  <c r="AA50"/>
  <c r="BI13"/>
  <c r="BI41"/>
  <c r="BI30"/>
  <c r="BJ13" i="248"/>
  <c r="BJ34"/>
  <c r="BJ42"/>
  <c r="T38"/>
  <c r="T46"/>
  <c r="U11"/>
  <c r="U18"/>
  <c r="U29"/>
  <c r="X22"/>
  <c r="X45"/>
  <c r="X30"/>
  <c r="AW13"/>
  <c r="AW34"/>
  <c r="AW42"/>
  <c r="AW28"/>
  <c r="AW59"/>
  <c r="AX19"/>
  <c r="AX41"/>
  <c r="AX50"/>
  <c r="AY16"/>
  <c r="AY47"/>
  <c r="AY30"/>
  <c r="AZ10"/>
  <c r="AZ35"/>
  <c r="AZ43"/>
  <c r="AZ28"/>
  <c r="AZ59"/>
  <c r="BA19"/>
  <c r="BA39"/>
  <c r="BA47"/>
  <c r="BA30"/>
  <c r="BB10"/>
  <c r="BB35"/>
  <c r="BB43"/>
  <c r="BB28"/>
  <c r="BB59"/>
  <c r="BC19"/>
  <c r="BC42"/>
  <c r="BC50"/>
  <c r="AR16"/>
  <c r="AR45"/>
  <c r="AR26"/>
  <c r="BE16"/>
  <c r="BE45"/>
  <c r="BE26"/>
  <c r="AQ11"/>
  <c r="AQ18"/>
  <c r="AQ36"/>
  <c r="AQ48"/>
  <c r="AQ60"/>
  <c r="AT19"/>
  <c r="AT39"/>
  <c r="AT47"/>
  <c r="AT30"/>
  <c r="Y10"/>
  <c r="Y22"/>
  <c r="Y41"/>
  <c r="Y50"/>
  <c r="V16"/>
  <c r="V38"/>
  <c r="V28"/>
  <c r="AO13"/>
  <c r="AO34"/>
  <c r="AO45"/>
  <c r="AO26"/>
  <c r="AV19"/>
  <c r="AV39"/>
  <c r="AV47"/>
  <c r="AV30"/>
  <c r="AA10"/>
  <c r="AA22"/>
  <c r="AA45"/>
  <c r="AA28"/>
  <c r="BI21"/>
  <c r="BI27"/>
  <c r="BI59"/>
  <c r="BJ21" i="258"/>
  <c r="BJ38"/>
  <c r="T34"/>
  <c r="T42"/>
  <c r="T27"/>
  <c r="U15"/>
  <c r="U34"/>
  <c r="BJ27"/>
  <c r="X41"/>
  <c r="X50"/>
  <c r="X59"/>
  <c r="AW21"/>
  <c r="AW38"/>
  <c r="AW47"/>
  <c r="AW30"/>
  <c r="AX10"/>
  <c r="AX35"/>
  <c r="AX45"/>
  <c r="AX26"/>
  <c r="AY43"/>
  <c r="AY28"/>
  <c r="AY59"/>
  <c r="AZ19"/>
  <c r="AZ39"/>
  <c r="AZ47"/>
  <c r="AZ30"/>
  <c r="BA10"/>
  <c r="BA35"/>
  <c r="BA43"/>
  <c r="BA28"/>
  <c r="BA59"/>
  <c r="BB19"/>
  <c r="BB39"/>
  <c r="BB47"/>
  <c r="BB30"/>
  <c r="BC10"/>
  <c r="BC35"/>
  <c r="BC45"/>
  <c r="BC26"/>
  <c r="AR41"/>
  <c r="AR50"/>
  <c r="AR60"/>
  <c r="BE41"/>
  <c r="BE50"/>
  <c r="BE60"/>
  <c r="AQ15"/>
  <c r="AQ32"/>
  <c r="AQ40"/>
  <c r="AQ27"/>
  <c r="AT10"/>
  <c r="AT35"/>
  <c r="AT43"/>
  <c r="AT28"/>
  <c r="AT59"/>
  <c r="Y19"/>
  <c r="Y34"/>
  <c r="Y45"/>
  <c r="Y28"/>
  <c r="V21"/>
  <c r="V42"/>
  <c r="V57"/>
  <c r="AO21"/>
  <c r="AO41"/>
  <c r="AO50"/>
  <c r="AV10"/>
  <c r="AV35"/>
  <c r="AV43"/>
  <c r="AV28"/>
  <c r="AV59"/>
  <c r="AA19"/>
  <c r="AA41"/>
  <c r="AA50"/>
  <c r="BI13"/>
  <c r="BI41"/>
  <c r="BI30"/>
  <c r="BJ13" i="259"/>
  <c r="BJ34"/>
  <c r="BJ42"/>
  <c r="T38"/>
  <c r="T46"/>
  <c r="U11"/>
  <c r="U18"/>
  <c r="U29"/>
  <c r="X22"/>
  <c r="X45"/>
  <c r="X30"/>
  <c r="AW13"/>
  <c r="AW34"/>
  <c r="AW42"/>
  <c r="AW28"/>
  <c r="AW59"/>
  <c r="AX19"/>
  <c r="AX41"/>
  <c r="AX50"/>
  <c r="AY16"/>
  <c r="AY47"/>
  <c r="AY30"/>
  <c r="AZ10"/>
  <c r="AZ35"/>
  <c r="AZ43"/>
  <c r="AZ28"/>
  <c r="AZ59"/>
  <c r="BA19"/>
  <c r="BA39"/>
  <c r="BA47"/>
  <c r="BA30"/>
  <c r="BB10"/>
  <c r="BB35"/>
  <c r="BB43"/>
  <c r="BB28"/>
  <c r="BB59"/>
  <c r="BC19"/>
  <c r="BC42"/>
  <c r="BC50"/>
  <c r="AR16"/>
  <c r="AR45"/>
  <c r="AR26"/>
  <c r="BE16"/>
  <c r="BE45"/>
  <c r="BE26"/>
  <c r="AQ11"/>
  <c r="AQ18"/>
  <c r="AQ36"/>
  <c r="AQ48"/>
  <c r="AQ60"/>
  <c r="AT19"/>
  <c r="AT39"/>
  <c r="AT47"/>
  <c r="AT30"/>
  <c r="Y10"/>
  <c r="Y22"/>
  <c r="Y41"/>
  <c r="Y50"/>
  <c r="V16"/>
  <c r="V38"/>
  <c r="V28"/>
  <c r="AO13"/>
  <c r="AO34"/>
  <c r="AO45"/>
  <c r="AO26"/>
  <c r="AV19"/>
  <c r="AV39"/>
  <c r="AV47"/>
  <c r="AV30"/>
  <c r="AA10"/>
  <c r="AA22"/>
  <c r="AA45"/>
  <c r="AA28"/>
  <c r="BI21"/>
  <c r="BI27"/>
  <c r="BI59"/>
  <c r="BJ21" i="260"/>
  <c r="BJ38"/>
  <c r="I34" i="257"/>
  <c r="J47"/>
  <c r="P16"/>
  <c r="G39"/>
  <c r="K40"/>
  <c r="L45"/>
  <c r="N45"/>
  <c r="Q57"/>
  <c r="T42"/>
  <c r="AW57"/>
  <c r="AY11"/>
  <c r="AZ34"/>
  <c r="BB34"/>
  <c r="BC48"/>
  <c r="AR48"/>
  <c r="BE36"/>
  <c r="AQ47"/>
  <c r="AT46"/>
  <c r="Y48"/>
  <c r="V36"/>
  <c r="AO21"/>
  <c r="AO26"/>
  <c r="AV19"/>
  <c r="AV43"/>
  <c r="AV59"/>
  <c r="AA45"/>
  <c r="BI13"/>
  <c r="BI30"/>
  <c r="BJ21" i="255"/>
  <c r="T36"/>
  <c r="U30"/>
  <c r="BJ26"/>
  <c r="X16"/>
  <c r="X38"/>
  <c r="X46"/>
  <c r="X60"/>
  <c r="AW19"/>
  <c r="AW39"/>
  <c r="AW48"/>
  <c r="AW60"/>
  <c r="AX15"/>
  <c r="AX32"/>
  <c r="AX42"/>
  <c r="AX29"/>
  <c r="AX65"/>
  <c r="AY21"/>
  <c r="AY38"/>
  <c r="AY27"/>
  <c r="AZ11"/>
  <c r="AZ18"/>
  <c r="AZ36"/>
  <c r="AZ48"/>
  <c r="AZ60"/>
  <c r="BA15"/>
  <c r="BA32"/>
  <c r="BA40"/>
  <c r="BA27"/>
  <c r="BB11"/>
  <c r="BB18"/>
  <c r="BB36"/>
  <c r="BB48"/>
  <c r="BB60"/>
  <c r="BC15"/>
  <c r="BC32"/>
  <c r="BC39"/>
  <c r="BC29"/>
  <c r="BC65"/>
  <c r="AR21"/>
  <c r="AR38"/>
  <c r="AR46"/>
  <c r="BE13"/>
  <c r="BE34"/>
  <c r="BE42"/>
  <c r="AQ16"/>
  <c r="AQ45"/>
  <c r="AQ26"/>
  <c r="AT15"/>
  <c r="AT32"/>
  <c r="AT40"/>
  <c r="AT27"/>
  <c r="Y11"/>
  <c r="Y18"/>
  <c r="Y42"/>
  <c r="Y29"/>
  <c r="V10"/>
  <c r="V39"/>
  <c r="V47"/>
  <c r="V59"/>
  <c r="AO19"/>
  <c r="AO38"/>
  <c r="AO46"/>
  <c r="AO57"/>
  <c r="AV11"/>
  <c r="AV18"/>
  <c r="AV36"/>
  <c r="AV48"/>
  <c r="AV60"/>
  <c r="AA15"/>
  <c r="AA38"/>
  <c r="AA46"/>
  <c r="AA57"/>
  <c r="BI19"/>
  <c r="BI38"/>
  <c r="BI60"/>
  <c r="BJ19" i="256"/>
  <c r="BJ39"/>
  <c r="BJ47"/>
  <c r="T39"/>
  <c r="T47"/>
  <c r="T57"/>
  <c r="U35"/>
  <c r="U60"/>
  <c r="X10"/>
  <c r="X34"/>
  <c r="X42"/>
  <c r="X27"/>
  <c r="AW10"/>
  <c r="AW35"/>
  <c r="AW43"/>
  <c r="AW27"/>
  <c r="AX11"/>
  <c r="AX18"/>
  <c r="AX36"/>
  <c r="AX46"/>
  <c r="AX57"/>
  <c r="AY13"/>
  <c r="AY34"/>
  <c r="AY48"/>
  <c r="AY60"/>
  <c r="AZ15"/>
  <c r="AZ32"/>
  <c r="AZ40"/>
  <c r="AZ27"/>
  <c r="BA11"/>
  <c r="BA18"/>
  <c r="BA36"/>
  <c r="BA48"/>
  <c r="BA60"/>
  <c r="BB15"/>
  <c r="BB32"/>
  <c r="BB40"/>
  <c r="BB27"/>
  <c r="BC11"/>
  <c r="BC18"/>
  <c r="BC36"/>
  <c r="BC46"/>
  <c r="BC57"/>
  <c r="AR13"/>
  <c r="AR34"/>
  <c r="AR42"/>
  <c r="AR29"/>
  <c r="BE21"/>
  <c r="BE38"/>
  <c r="BE46"/>
  <c r="AQ41"/>
  <c r="AQ50"/>
  <c r="AT11"/>
  <c r="AT18"/>
  <c r="AT36"/>
  <c r="AT48"/>
  <c r="AT60"/>
  <c r="Y15"/>
  <c r="Y38"/>
  <c r="Y46"/>
  <c r="Y57"/>
  <c r="V22"/>
  <c r="V43"/>
  <c r="V29"/>
  <c r="AO10"/>
  <c r="AO35"/>
  <c r="AO42"/>
  <c r="AO29"/>
  <c r="AO65"/>
  <c r="AV15"/>
  <c r="AV32"/>
  <c r="AV40"/>
  <c r="AV27"/>
  <c r="AA11"/>
  <c r="AA18"/>
  <c r="AA57"/>
  <c r="BI34"/>
  <c r="BJ19" i="248"/>
  <c r="T43"/>
  <c r="AW10"/>
  <c r="AW48"/>
  <c r="AX42"/>
  <c r="AZ15"/>
  <c r="BA15"/>
  <c r="BB15"/>
  <c r="BC15"/>
  <c r="BC29"/>
  <c r="AR38"/>
  <c r="BE42"/>
  <c r="AT11"/>
  <c r="AT27"/>
  <c r="Y38"/>
  <c r="V22"/>
  <c r="V59"/>
  <c r="AO35"/>
  <c r="AV48"/>
  <c r="BI19"/>
  <c r="BJ10" i="258"/>
  <c r="BJ47"/>
  <c r="T28"/>
  <c r="U60"/>
  <c r="AW19"/>
  <c r="AX15"/>
  <c r="AY48"/>
  <c r="AZ48"/>
  <c r="BA48"/>
  <c r="BB48"/>
  <c r="BC46"/>
  <c r="AR21"/>
  <c r="BE34"/>
  <c r="AT18"/>
  <c r="Y46"/>
  <c r="V47"/>
  <c r="AO19"/>
  <c r="AO57"/>
  <c r="AV40"/>
  <c r="AA42"/>
  <c r="BI10"/>
  <c r="BI60"/>
  <c r="BJ43" i="259"/>
  <c r="X46"/>
  <c r="AW35"/>
  <c r="AX32"/>
  <c r="AX57"/>
  <c r="AZ40"/>
  <c r="BA40"/>
  <c r="BB40"/>
  <c r="BC41"/>
  <c r="AR15"/>
  <c r="AR40"/>
  <c r="BE11"/>
  <c r="BE36"/>
  <c r="BE30"/>
  <c r="AQ47"/>
  <c r="AT13"/>
  <c r="AT38"/>
  <c r="AT29"/>
  <c r="Y40"/>
  <c r="V45"/>
  <c r="AO60"/>
  <c r="AV42"/>
  <c r="AA13"/>
  <c r="AA36"/>
  <c r="AA60"/>
  <c r="BI29"/>
  <c r="BJ45" i="260"/>
  <c r="T19"/>
  <c r="T45"/>
  <c r="T30"/>
  <c r="U10"/>
  <c r="U22"/>
  <c r="BJ28"/>
  <c r="BJ60"/>
  <c r="X36"/>
  <c r="X29"/>
  <c r="AW16"/>
  <c r="AW46"/>
  <c r="AW57"/>
  <c r="AX13"/>
  <c r="AX34"/>
  <c r="AX48"/>
  <c r="AX60"/>
  <c r="AY15"/>
  <c r="AY32"/>
  <c r="AY40"/>
  <c r="AY29"/>
  <c r="AY65"/>
  <c r="AZ21"/>
  <c r="AZ38"/>
  <c r="AZ46"/>
  <c r="AZ57"/>
  <c r="BA13"/>
  <c r="BA34"/>
  <c r="BA42"/>
  <c r="BA29"/>
  <c r="BA65"/>
  <c r="BB21"/>
  <c r="BB38"/>
  <c r="BB46"/>
  <c r="BB57"/>
  <c r="BC13"/>
  <c r="BC34"/>
  <c r="BC48"/>
  <c r="BC60"/>
  <c r="AR15"/>
  <c r="AR32"/>
  <c r="AR40"/>
  <c r="AR27"/>
  <c r="BE11"/>
  <c r="BE18"/>
  <c r="BE36"/>
  <c r="BE48"/>
  <c r="BE30"/>
  <c r="AQ10"/>
  <c r="AQ35"/>
  <c r="AQ43"/>
  <c r="AQ28"/>
  <c r="AQ59"/>
  <c r="AT21"/>
  <c r="AT38"/>
  <c r="AT46"/>
  <c r="AT57"/>
  <c r="Y13"/>
  <c r="Y36"/>
  <c r="Y48"/>
  <c r="Y60"/>
  <c r="V41"/>
  <c r="V27"/>
  <c r="AO40"/>
  <c r="AO27"/>
  <c r="AV13"/>
  <c r="AV34"/>
  <c r="AV42"/>
  <c r="AV29"/>
  <c r="AV65"/>
  <c r="AA21"/>
  <c r="AA40"/>
  <c r="AA27"/>
  <c r="BI16"/>
  <c r="BI40"/>
  <c r="BI29"/>
  <c r="BI65"/>
  <c r="BJ41" i="261"/>
  <c r="T19"/>
  <c r="T45"/>
  <c r="T30"/>
  <c r="U10"/>
  <c r="U22"/>
  <c r="BJ28"/>
  <c r="BJ60"/>
  <c r="X36"/>
  <c r="X29"/>
  <c r="AW16"/>
  <c r="AW46"/>
  <c r="AW57"/>
  <c r="AX13"/>
  <c r="AX34"/>
  <c r="AX48"/>
  <c r="AX60"/>
  <c r="AY15"/>
  <c r="AY32"/>
  <c r="AY40"/>
  <c r="AY29"/>
  <c r="AY65"/>
  <c r="AZ21"/>
  <c r="AZ38"/>
  <c r="AZ46"/>
  <c r="AZ57"/>
  <c r="BA13"/>
  <c r="BA34"/>
  <c r="BA42"/>
  <c r="BA29"/>
  <c r="BA65"/>
  <c r="BB21"/>
  <c r="BB38"/>
  <c r="BB46"/>
  <c r="BB57"/>
  <c r="BC13"/>
  <c r="BC34"/>
  <c r="BC48"/>
  <c r="BC60"/>
  <c r="AR15"/>
  <c r="AR32"/>
  <c r="AR40"/>
  <c r="AR27"/>
  <c r="BE11"/>
  <c r="BE18"/>
  <c r="BE36"/>
  <c r="BE48"/>
  <c r="BE30"/>
  <c r="AQ10"/>
  <c r="AQ35"/>
  <c r="AQ43"/>
  <c r="AQ28"/>
  <c r="AQ59"/>
  <c r="AT21"/>
  <c r="AT38"/>
  <c r="AT46"/>
  <c r="AT57"/>
  <c r="Y13"/>
  <c r="Y36"/>
  <c r="Y48"/>
  <c r="Y60"/>
  <c r="V41"/>
  <c r="V27"/>
  <c r="AO40"/>
  <c r="AO27"/>
  <c r="AV13"/>
  <c r="AV34"/>
  <c r="AV42"/>
  <c r="AV29"/>
  <c r="AV65"/>
  <c r="AA21"/>
  <c r="AA46" i="256"/>
  <c r="T47" i="248"/>
  <c r="U30"/>
  <c r="X10"/>
  <c r="X34"/>
  <c r="AW39"/>
  <c r="AX11"/>
  <c r="AX46"/>
  <c r="AY21"/>
  <c r="AZ18"/>
  <c r="BA18"/>
  <c r="BB18"/>
  <c r="BC18"/>
  <c r="AR42"/>
  <c r="BE46"/>
  <c r="AQ41"/>
  <c r="AT40"/>
  <c r="Y42"/>
  <c r="AO38"/>
  <c r="AV11"/>
  <c r="AV27"/>
  <c r="AA38"/>
  <c r="BJ39" i="258"/>
  <c r="T57"/>
  <c r="X27"/>
  <c r="AX18"/>
  <c r="AY13"/>
  <c r="AY27"/>
  <c r="AZ36"/>
  <c r="BA11"/>
  <c r="BA27"/>
  <c r="BB36"/>
  <c r="BC11"/>
  <c r="AR34"/>
  <c r="BE38"/>
  <c r="AT32"/>
  <c r="Y11"/>
  <c r="AO46"/>
  <c r="AV18"/>
  <c r="AA46"/>
  <c r="T47" i="259"/>
  <c r="U30"/>
  <c r="X10"/>
  <c r="X34"/>
  <c r="AW39"/>
  <c r="AX11"/>
  <c r="AX46"/>
  <c r="AY21"/>
  <c r="AZ18"/>
  <c r="BA18"/>
  <c r="BB18"/>
  <c r="BC11"/>
  <c r="BC36"/>
  <c r="AR34"/>
  <c r="BE13"/>
  <c r="BE38"/>
  <c r="AQ16"/>
  <c r="AQ50"/>
  <c r="AT32"/>
  <c r="AT48"/>
  <c r="Y18"/>
  <c r="Y57"/>
  <c r="AO38"/>
  <c r="AO29"/>
  <c r="AV11"/>
  <c r="AV36"/>
  <c r="AV60"/>
  <c r="AA38"/>
  <c r="AA29"/>
  <c r="BJ39" i="260"/>
  <c r="T38"/>
  <c r="T46"/>
  <c r="U11"/>
  <c r="U18"/>
  <c r="U29"/>
  <c r="X22"/>
  <c r="X45"/>
  <c r="X30"/>
  <c r="AW13"/>
  <c r="AW34"/>
  <c r="AW42"/>
  <c r="AW28"/>
  <c r="AW59"/>
  <c r="AX19"/>
  <c r="AX41"/>
  <c r="AX50"/>
  <c r="AY16"/>
  <c r="AY47"/>
  <c r="AY30"/>
  <c r="AZ10"/>
  <c r="AZ35"/>
  <c r="AZ43"/>
  <c r="AZ28"/>
  <c r="AZ59"/>
  <c r="BA19"/>
  <c r="BA39"/>
  <c r="BA47"/>
  <c r="BA30"/>
  <c r="BB10"/>
  <c r="BB35"/>
  <c r="BB43"/>
  <c r="BB28"/>
  <c r="BB59"/>
  <c r="BC19"/>
  <c r="BC42"/>
  <c r="BC50"/>
  <c r="AR16"/>
  <c r="AR45"/>
  <c r="AR26"/>
  <c r="BE16"/>
  <c r="BE45"/>
  <c r="BE26"/>
  <c r="AQ11"/>
  <c r="AQ18"/>
  <c r="AQ36"/>
  <c r="AQ48"/>
  <c r="AQ60"/>
  <c r="AT19"/>
  <c r="AT39"/>
  <c r="AT47"/>
  <c r="AT30"/>
  <c r="Y10"/>
  <c r="Y22"/>
  <c r="Y41"/>
  <c r="Y50"/>
  <c r="V16"/>
  <c r="V38"/>
  <c r="V28"/>
  <c r="AO13"/>
  <c r="AO34"/>
  <c r="AO45"/>
  <c r="AO26"/>
  <c r="AV19"/>
  <c r="AV39"/>
  <c r="AV47"/>
  <c r="AV30"/>
  <c r="AA10"/>
  <c r="AA22"/>
  <c r="AA45"/>
  <c r="AA28"/>
  <c r="BI21"/>
  <c r="BI27"/>
  <c r="BI59"/>
  <c r="BJ21" i="261"/>
  <c r="BJ38"/>
  <c r="T34"/>
  <c r="T42"/>
  <c r="T27"/>
  <c r="U15"/>
  <c r="U34"/>
  <c r="BJ27"/>
  <c r="X41"/>
  <c r="X50"/>
  <c r="X59"/>
  <c r="AW21"/>
  <c r="AW38"/>
  <c r="AW47"/>
  <c r="AW30"/>
  <c r="AX10"/>
  <c r="AX35"/>
  <c r="AX45"/>
  <c r="AX26"/>
  <c r="AY43"/>
  <c r="AY28"/>
  <c r="AY59"/>
  <c r="AZ19"/>
  <c r="AZ39"/>
  <c r="AZ47"/>
  <c r="AZ30"/>
  <c r="BA10"/>
  <c r="BA35"/>
  <c r="BA43"/>
  <c r="BA28"/>
  <c r="BA59"/>
  <c r="BB19"/>
  <c r="BB39"/>
  <c r="BB47"/>
  <c r="BB30"/>
  <c r="BC10"/>
  <c r="BC35"/>
  <c r="BC45"/>
  <c r="BC26"/>
  <c r="AR41"/>
  <c r="AR50"/>
  <c r="AR60"/>
  <c r="BE41"/>
  <c r="BE50"/>
  <c r="BE60"/>
  <c r="AQ15"/>
  <c r="AQ32"/>
  <c r="AQ40"/>
  <c r="AQ27"/>
  <c r="AT10"/>
  <c r="AT35"/>
  <c r="AT43"/>
  <c r="AT28"/>
  <c r="AT59"/>
  <c r="Y19"/>
  <c r="Y34"/>
  <c r="Y45"/>
  <c r="Y28"/>
  <c r="V21"/>
  <c r="V42"/>
  <c r="V57"/>
  <c r="AO21"/>
  <c r="AO41"/>
  <c r="AO50"/>
  <c r="AV10"/>
  <c r="AV35"/>
  <c r="AV43"/>
  <c r="AV28"/>
  <c r="AV59"/>
  <c r="AA19"/>
  <c r="AA41"/>
  <c r="AA50"/>
  <c r="BI13"/>
  <c r="BI41"/>
  <c r="BI30"/>
  <c r="BJ13" i="262"/>
  <c r="BJ34"/>
  <c r="BJ42"/>
  <c r="T38"/>
  <c r="T46"/>
  <c r="U11"/>
  <c r="U18"/>
  <c r="U29"/>
  <c r="X22"/>
  <c r="X45"/>
  <c r="X30"/>
  <c r="AW13"/>
  <c r="AW34"/>
  <c r="AW42"/>
  <c r="AW28"/>
  <c r="AW59"/>
  <c r="AX19"/>
  <c r="AX41"/>
  <c r="AX50"/>
  <c r="AY16"/>
  <c r="AY47"/>
  <c r="AY30"/>
  <c r="AZ10"/>
  <c r="AZ35"/>
  <c r="AZ43"/>
  <c r="AZ28"/>
  <c r="AZ59"/>
  <c r="BA19"/>
  <c r="BA39"/>
  <c r="BA47"/>
  <c r="BA30"/>
  <c r="BB10"/>
  <c r="BB35"/>
  <c r="BB43"/>
  <c r="BB28"/>
  <c r="BB59"/>
  <c r="BC19"/>
  <c r="BC42"/>
  <c r="BC50"/>
  <c r="AR16"/>
  <c r="AR45"/>
  <c r="AR26"/>
  <c r="BE16"/>
  <c r="BE45"/>
  <c r="BE26"/>
  <c r="AQ11"/>
  <c r="AQ18"/>
  <c r="AQ36"/>
  <c r="AQ48"/>
  <c r="AQ60"/>
  <c r="AT19"/>
  <c r="AT39"/>
  <c r="AT47"/>
  <c r="AT30"/>
  <c r="Y10"/>
  <c r="Y22"/>
  <c r="Y41"/>
  <c r="Y50"/>
  <c r="V16"/>
  <c r="V38"/>
  <c r="V28"/>
  <c r="AO13"/>
  <c r="AO34"/>
  <c r="AO45"/>
  <c r="AO26"/>
  <c r="AV19"/>
  <c r="AV39"/>
  <c r="AV47"/>
  <c r="AV30"/>
  <c r="AA10"/>
  <c r="AA22"/>
  <c r="AA45"/>
  <c r="AA28"/>
  <c r="BI21"/>
  <c r="BI27"/>
  <c r="BI59"/>
  <c r="BJ21" i="263"/>
  <c r="BJ38"/>
  <c r="BJ28"/>
  <c r="BJ60"/>
  <c r="BI15"/>
  <c r="BI35"/>
  <c r="BI43"/>
  <c r="BP30"/>
  <c r="BR28"/>
  <c r="BS26"/>
  <c r="BT30"/>
  <c r="BV28"/>
  <c r="BW26"/>
  <c r="BX30"/>
  <c r="BZ28"/>
  <c r="CA26"/>
  <c r="CB30"/>
  <c r="CD28"/>
  <c r="CE26"/>
  <c r="CF30"/>
  <c r="CH28"/>
  <c r="CI26"/>
  <c r="CJ30"/>
  <c r="CL28"/>
  <c r="CM26"/>
  <c r="CN30"/>
  <c r="BI42" i="256"/>
  <c r="BJ35" i="248"/>
  <c r="T35"/>
  <c r="U16"/>
  <c r="X38"/>
  <c r="AW43"/>
  <c r="AY34"/>
  <c r="AZ32"/>
  <c r="BA32"/>
  <c r="BB32"/>
  <c r="BC32"/>
  <c r="BC65"/>
  <c r="AR46"/>
  <c r="AQ45"/>
  <c r="AT60"/>
  <c r="V10"/>
  <c r="V29"/>
  <c r="AO42"/>
  <c r="AV15"/>
  <c r="AA18"/>
  <c r="AA57"/>
  <c r="BI34"/>
  <c r="BJ19" i="258"/>
  <c r="T43"/>
  <c r="AW10"/>
  <c r="AW48"/>
  <c r="AX42"/>
  <c r="AZ15"/>
  <c r="BA15"/>
  <c r="BB15"/>
  <c r="BC15"/>
  <c r="BC29"/>
  <c r="AR38"/>
  <c r="BE42"/>
  <c r="AT11"/>
  <c r="AT27"/>
  <c r="Y38"/>
  <c r="V22"/>
  <c r="V59"/>
  <c r="AO35"/>
  <c r="AV48"/>
  <c r="BI19"/>
  <c r="BJ10" i="259"/>
  <c r="BJ47"/>
  <c r="T28"/>
  <c r="U60"/>
  <c r="AW19"/>
  <c r="AX15"/>
  <c r="AY48"/>
  <c r="AZ48"/>
  <c r="BA48"/>
  <c r="BB48"/>
  <c r="BC13"/>
  <c r="BC27"/>
  <c r="AR11"/>
  <c r="AR36"/>
  <c r="AR59"/>
  <c r="BE32"/>
  <c r="BE48"/>
  <c r="AQ10"/>
  <c r="AQ35"/>
  <c r="AQ28"/>
  <c r="AT34"/>
  <c r="AT57"/>
  <c r="Y21"/>
  <c r="Y27"/>
  <c r="V15"/>
  <c r="V27"/>
  <c r="AO40"/>
  <c r="AV13"/>
  <c r="AV38"/>
  <c r="AV29"/>
  <c r="AA40"/>
  <c r="BI16"/>
  <c r="BI28"/>
  <c r="BJ16" i="260"/>
  <c r="T35"/>
  <c r="T43"/>
  <c r="T28"/>
  <c r="U16"/>
  <c r="U30"/>
  <c r="BJ26"/>
  <c r="X16"/>
  <c r="X38"/>
  <c r="X46"/>
  <c r="X60"/>
  <c r="AW19"/>
  <c r="AW39"/>
  <c r="AW48"/>
  <c r="AW60"/>
  <c r="AX15"/>
  <c r="AX32"/>
  <c r="AX42"/>
  <c r="AX29"/>
  <c r="AX65"/>
  <c r="AY21"/>
  <c r="AY38"/>
  <c r="AY27"/>
  <c r="AZ11"/>
  <c r="AZ18"/>
  <c r="AZ36"/>
  <c r="AZ48"/>
  <c r="AZ60"/>
  <c r="BA15"/>
  <c r="BA32"/>
  <c r="BA40"/>
  <c r="BA27"/>
  <c r="BB11"/>
  <c r="BB18"/>
  <c r="BB36"/>
  <c r="BB48"/>
  <c r="BB60"/>
  <c r="BC15"/>
  <c r="BC32"/>
  <c r="BC39"/>
  <c r="BC29"/>
  <c r="BC65"/>
  <c r="AR21"/>
  <c r="AR38"/>
  <c r="AR46"/>
  <c r="BE13"/>
  <c r="BE34"/>
  <c r="BE42"/>
  <c r="AQ16"/>
  <c r="AQ45"/>
  <c r="AQ26"/>
  <c r="AT15"/>
  <c r="AT32"/>
  <c r="AT40"/>
  <c r="AT27"/>
  <c r="Y11"/>
  <c r="Y18"/>
  <c r="Y42"/>
  <c r="Y29"/>
  <c r="V10"/>
  <c r="V39"/>
  <c r="V47"/>
  <c r="V59"/>
  <c r="AO19"/>
  <c r="AO38"/>
  <c r="AO46"/>
  <c r="AO57"/>
  <c r="AV11"/>
  <c r="AV18"/>
  <c r="AV36"/>
  <c r="AV48"/>
  <c r="AV60"/>
  <c r="AA15"/>
  <c r="AA38"/>
  <c r="AA46"/>
  <c r="AA57"/>
  <c r="BI19"/>
  <c r="BI38"/>
  <c r="BI60"/>
  <c r="BJ19" i="261"/>
  <c r="BJ39"/>
  <c r="BJ47"/>
  <c r="T39"/>
  <c r="T47"/>
  <c r="T57"/>
  <c r="U35"/>
  <c r="U60"/>
  <c r="X10"/>
  <c r="X34"/>
  <c r="X42"/>
  <c r="X27"/>
  <c r="AW10"/>
  <c r="AW35"/>
  <c r="AW43"/>
  <c r="AW27"/>
  <c r="AX11"/>
  <c r="AX18"/>
  <c r="AX36"/>
  <c r="AX46"/>
  <c r="AX57"/>
  <c r="AY13"/>
  <c r="AY34"/>
  <c r="AY48"/>
  <c r="AY60"/>
  <c r="AZ15"/>
  <c r="AZ32"/>
  <c r="AZ40"/>
  <c r="AZ27"/>
  <c r="BA11"/>
  <c r="BA18"/>
  <c r="BA36"/>
  <c r="BA48"/>
  <c r="BA60"/>
  <c r="BB15"/>
  <c r="BB32"/>
  <c r="BB40"/>
  <c r="BB27"/>
  <c r="BC11"/>
  <c r="BC18"/>
  <c r="BC36"/>
  <c r="BC46"/>
  <c r="BC57"/>
  <c r="AR13"/>
  <c r="AR34"/>
  <c r="AR42"/>
  <c r="AR29"/>
  <c r="BE21"/>
  <c r="BE38"/>
  <c r="BE46"/>
  <c r="AQ41"/>
  <c r="AQ50"/>
  <c r="AT11"/>
  <c r="AT18"/>
  <c r="AT36"/>
  <c r="AT48"/>
  <c r="AT60"/>
  <c r="Y15"/>
  <c r="Y38"/>
  <c r="Y46"/>
  <c r="Y57"/>
  <c r="V22"/>
  <c r="V43"/>
  <c r="V29"/>
  <c r="AO10"/>
  <c r="AO35"/>
  <c r="AO42"/>
  <c r="AO29"/>
  <c r="AO65"/>
  <c r="AV15"/>
  <c r="AV32"/>
  <c r="AV40"/>
  <c r="AV27"/>
  <c r="AA11"/>
  <c r="AA18"/>
  <c r="AA42"/>
  <c r="AA29"/>
  <c r="BI10"/>
  <c r="BI34"/>
  <c r="BI42"/>
  <c r="BJ10" i="262"/>
  <c r="BJ35"/>
  <c r="BJ43"/>
  <c r="T35"/>
  <c r="T43"/>
  <c r="T28"/>
  <c r="U16"/>
  <c r="U30"/>
  <c r="BJ26"/>
  <c r="X16"/>
  <c r="X38"/>
  <c r="X46"/>
  <c r="X60"/>
  <c r="AW19"/>
  <c r="AW39"/>
  <c r="AW48"/>
  <c r="AW60"/>
  <c r="AX15"/>
  <c r="AX32"/>
  <c r="AX42"/>
  <c r="AX29"/>
  <c r="AX65"/>
  <c r="AY21"/>
  <c r="AY38"/>
  <c r="AY27"/>
  <c r="AZ11"/>
  <c r="AZ18"/>
  <c r="AZ36"/>
  <c r="AZ48"/>
  <c r="AZ60"/>
  <c r="BA15"/>
  <c r="BA32"/>
  <c r="BA40"/>
  <c r="BA27"/>
  <c r="BB11"/>
  <c r="BB18"/>
  <c r="BB36"/>
  <c r="BB48"/>
  <c r="BB60"/>
  <c r="BC15"/>
  <c r="BC32"/>
  <c r="BC39"/>
  <c r="BC29"/>
  <c r="BC65"/>
  <c r="AR21"/>
  <c r="AR38"/>
  <c r="AR46"/>
  <c r="BE13"/>
  <c r="BE34"/>
  <c r="BE42"/>
  <c r="AQ16"/>
  <c r="AQ45"/>
  <c r="AQ26"/>
  <c r="AT15"/>
  <c r="AT32"/>
  <c r="AT40"/>
  <c r="AT27"/>
  <c r="Y11"/>
  <c r="Y18"/>
  <c r="Y42"/>
  <c r="Y29"/>
  <c r="V10"/>
  <c r="V39"/>
  <c r="V47"/>
  <c r="V59"/>
  <c r="AR43" i="256"/>
  <c r="AR65"/>
  <c r="BE39"/>
  <c r="BE57"/>
  <c r="AQ34"/>
  <c r="AQ42"/>
  <c r="AQ29"/>
  <c r="AQ65"/>
  <c r="AT41"/>
  <c r="AT50"/>
  <c r="Y16"/>
  <c r="Y39"/>
  <c r="Y47"/>
  <c r="Y30"/>
  <c r="V11"/>
  <c r="V34"/>
  <c r="V40"/>
  <c r="AO11"/>
  <c r="AO18"/>
  <c r="AO39"/>
  <c r="AO47"/>
  <c r="AO30"/>
  <c r="AV16"/>
  <c r="AV45"/>
  <c r="AV26"/>
  <c r="AA32"/>
  <c r="AA39"/>
  <c r="AA47"/>
  <c r="AA30"/>
  <c r="BI11"/>
  <c r="BI18"/>
  <c r="BI39"/>
  <c r="BJ11" i="248"/>
  <c r="BJ18"/>
  <c r="BJ36"/>
  <c r="T32"/>
  <c r="T40"/>
  <c r="T29"/>
  <c r="U13"/>
  <c r="U36"/>
  <c r="BJ29"/>
  <c r="X11"/>
  <c r="X39"/>
  <c r="X28"/>
  <c r="AW15"/>
  <c r="AW32"/>
  <c r="AW40"/>
  <c r="AW26"/>
  <c r="AX43"/>
  <c r="AX28"/>
  <c r="AX59"/>
  <c r="AY19"/>
  <c r="AY39"/>
  <c r="AY50"/>
  <c r="AZ16"/>
  <c r="AZ45"/>
  <c r="AZ26"/>
  <c r="BA41"/>
  <c r="BA50"/>
  <c r="BB16"/>
  <c r="BB45"/>
  <c r="BB26"/>
  <c r="BC40"/>
  <c r="BC28"/>
  <c r="BC59"/>
  <c r="AR19"/>
  <c r="AR39"/>
  <c r="AR47"/>
  <c r="AR30"/>
  <c r="BE10"/>
  <c r="BE35"/>
  <c r="BE43"/>
  <c r="BE28"/>
  <c r="BE65"/>
  <c r="AQ21"/>
  <c r="AQ38"/>
  <c r="AQ46"/>
  <c r="AQ57"/>
  <c r="AT16"/>
  <c r="AT45"/>
  <c r="AT26"/>
  <c r="Y32"/>
  <c r="Y43"/>
  <c r="Y26"/>
  <c r="Y59"/>
  <c r="V19"/>
  <c r="V36"/>
  <c r="V60"/>
  <c r="AO15"/>
  <c r="AO32"/>
  <c r="AO43"/>
  <c r="AO28"/>
  <c r="AO59"/>
  <c r="AV41"/>
  <c r="AV50"/>
  <c r="AA16"/>
  <c r="AA35"/>
  <c r="AA43"/>
  <c r="AA26"/>
  <c r="AA59"/>
  <c r="BI15"/>
  <c r="BI35"/>
  <c r="BI43"/>
  <c r="BJ15" i="258"/>
  <c r="BJ32"/>
  <c r="BJ40"/>
  <c r="T36"/>
  <c r="T48"/>
  <c r="T59"/>
  <c r="U21"/>
  <c r="U27"/>
  <c r="BJ57"/>
  <c r="X35"/>
  <c r="X43"/>
  <c r="AW11"/>
  <c r="AW18"/>
  <c r="AW36"/>
  <c r="AW50"/>
  <c r="AX16"/>
  <c r="AX47"/>
  <c r="AX30"/>
  <c r="AY10"/>
  <c r="AY35"/>
  <c r="AY45"/>
  <c r="AY26"/>
  <c r="AZ41"/>
  <c r="AZ50"/>
  <c r="BA16"/>
  <c r="BA45"/>
  <c r="BA26"/>
  <c r="BB41"/>
  <c r="BB50"/>
  <c r="BC16"/>
  <c r="BC47"/>
  <c r="BC30"/>
  <c r="AR10"/>
  <c r="AR35"/>
  <c r="AR43"/>
  <c r="AR28"/>
  <c r="AR65"/>
  <c r="BE19"/>
  <c r="BE39"/>
  <c r="BE47"/>
  <c r="BE57"/>
  <c r="AQ13"/>
  <c r="AQ34"/>
  <c r="AQ42"/>
  <c r="AQ29"/>
  <c r="AQ65"/>
  <c r="AT41"/>
  <c r="AT50"/>
  <c r="Y16"/>
  <c r="Y39"/>
  <c r="Y47"/>
  <c r="Y30"/>
  <c r="V11"/>
  <c r="V34"/>
  <c r="V40"/>
  <c r="AO11"/>
  <c r="AO18"/>
  <c r="AO39"/>
  <c r="AO47"/>
  <c r="AO30"/>
  <c r="AV16"/>
  <c r="AV45"/>
  <c r="AV26"/>
  <c r="AA32"/>
  <c r="AA39"/>
  <c r="AA47"/>
  <c r="AA30"/>
  <c r="BI11"/>
  <c r="BI18"/>
  <c r="BI39"/>
  <c r="BJ11" i="259"/>
  <c r="BJ18"/>
  <c r="BJ36"/>
  <c r="T32"/>
  <c r="T40"/>
  <c r="T29"/>
  <c r="U13"/>
  <c r="U36"/>
  <c r="BJ29"/>
  <c r="X11"/>
  <c r="X39"/>
  <c r="X28"/>
  <c r="AW15"/>
  <c r="AW32"/>
  <c r="AW40"/>
  <c r="AW26"/>
  <c r="AX43"/>
  <c r="AX28"/>
  <c r="AX59"/>
  <c r="AY19"/>
  <c r="AY39"/>
  <c r="AY50"/>
  <c r="AZ16"/>
  <c r="AZ45"/>
  <c r="AZ26"/>
  <c r="BA41"/>
  <c r="BA50"/>
  <c r="BB16"/>
  <c r="BB45"/>
  <c r="BB26"/>
  <c r="BC40"/>
  <c r="BC28"/>
  <c r="BC59"/>
  <c r="AR19"/>
  <c r="AR39"/>
  <c r="AR47"/>
  <c r="AR30"/>
  <c r="BE10"/>
  <c r="BE35"/>
  <c r="BE43"/>
  <c r="BE28"/>
  <c r="BE65"/>
  <c r="AQ21"/>
  <c r="AQ38"/>
  <c r="AQ46"/>
  <c r="AQ57"/>
  <c r="AT16"/>
  <c r="AT45"/>
  <c r="AT26"/>
  <c r="Y32"/>
  <c r="Y43"/>
  <c r="Y26"/>
  <c r="Y59"/>
  <c r="V19"/>
  <c r="V36"/>
  <c r="V60"/>
  <c r="AO15"/>
  <c r="AO32"/>
  <c r="AO43"/>
  <c r="AO28"/>
  <c r="AO59"/>
  <c r="AV41"/>
  <c r="AV50"/>
  <c r="AA16"/>
  <c r="AA35"/>
  <c r="AA43"/>
  <c r="AA26"/>
  <c r="AA59"/>
  <c r="BI15"/>
  <c r="BI35"/>
  <c r="BI43"/>
  <c r="BJ15" i="260"/>
  <c r="BJ32"/>
  <c r="BJ40"/>
  <c r="J39" i="257"/>
  <c r="O41"/>
  <c r="P60"/>
  <c r="H36"/>
  <c r="K32"/>
  <c r="Q42"/>
  <c r="T27"/>
  <c r="BJ28"/>
  <c r="X34"/>
  <c r="AX34"/>
  <c r="AY18"/>
  <c r="AZ42"/>
  <c r="BA42"/>
  <c r="BB42"/>
  <c r="BC41"/>
  <c r="AR40"/>
  <c r="BE30"/>
  <c r="AQ30"/>
  <c r="AT38"/>
  <c r="Y40"/>
  <c r="AO34"/>
  <c r="AO50"/>
  <c r="AV47"/>
  <c r="AA10"/>
  <c r="AA41"/>
  <c r="BI41"/>
  <c r="BI59"/>
  <c r="BJ42" i="255"/>
  <c r="T40"/>
  <c r="T59"/>
  <c r="U21"/>
  <c r="U27"/>
  <c r="BJ30"/>
  <c r="X21"/>
  <c r="X40"/>
  <c r="X57"/>
  <c r="AW41"/>
  <c r="AW29"/>
  <c r="AW65"/>
  <c r="AX21"/>
  <c r="AX38"/>
  <c r="AX27"/>
  <c r="AY11"/>
  <c r="AY18"/>
  <c r="AY36"/>
  <c r="AY46"/>
  <c r="AY57"/>
  <c r="AZ13"/>
  <c r="AZ34"/>
  <c r="AZ42"/>
  <c r="AZ29"/>
  <c r="AZ65"/>
  <c r="BA21"/>
  <c r="BA38"/>
  <c r="BA46"/>
  <c r="BA57"/>
  <c r="BB13"/>
  <c r="BB34"/>
  <c r="BB42"/>
  <c r="BB29"/>
  <c r="BB65"/>
  <c r="BC21"/>
  <c r="BC41"/>
  <c r="BC27"/>
  <c r="AR11"/>
  <c r="AR18"/>
  <c r="AR36"/>
  <c r="AR48"/>
  <c r="AR59"/>
  <c r="BE15"/>
  <c r="BE32"/>
  <c r="BE40"/>
  <c r="BE27"/>
  <c r="BE59"/>
  <c r="AQ19"/>
  <c r="AQ39"/>
  <c r="AQ47"/>
  <c r="AQ30"/>
  <c r="AT13"/>
  <c r="AT34"/>
  <c r="AT42"/>
  <c r="AT29"/>
  <c r="AT65"/>
  <c r="Y21"/>
  <c r="Y40"/>
  <c r="Y27"/>
  <c r="V15"/>
  <c r="V45"/>
  <c r="AO16"/>
  <c r="AO48"/>
  <c r="AO60"/>
  <c r="AV21"/>
  <c r="AV38"/>
  <c r="AV46"/>
  <c r="AV57"/>
  <c r="AA13"/>
  <c r="AA36"/>
  <c r="AA48"/>
  <c r="AA60"/>
  <c r="BI36"/>
  <c r="BI28"/>
  <c r="BI57"/>
  <c r="BJ16" i="256"/>
  <c r="BJ45"/>
  <c r="T41"/>
  <c r="T26"/>
  <c r="T60"/>
  <c r="U19"/>
  <c r="U28"/>
  <c r="BJ30"/>
  <c r="X21"/>
  <c r="X40"/>
  <c r="X57"/>
  <c r="AW41"/>
  <c r="AW29"/>
  <c r="AW65"/>
  <c r="AX21"/>
  <c r="AX38"/>
  <c r="AX27"/>
  <c r="AY11"/>
  <c r="AY18"/>
  <c r="AY36"/>
  <c r="AY46"/>
  <c r="AY57"/>
  <c r="AZ13"/>
  <c r="AZ34"/>
  <c r="AZ42"/>
  <c r="AZ29"/>
  <c r="AZ65"/>
  <c r="BA21"/>
  <c r="BA38"/>
  <c r="BA46"/>
  <c r="BA57"/>
  <c r="BB13"/>
  <c r="BB34"/>
  <c r="BB42"/>
  <c r="BB29"/>
  <c r="BB65"/>
  <c r="BC21"/>
  <c r="BC41"/>
  <c r="BC27"/>
  <c r="AR11"/>
  <c r="AR18"/>
  <c r="AR36"/>
  <c r="AR48"/>
  <c r="AR59"/>
  <c r="BE15"/>
  <c r="BE32"/>
  <c r="BE40"/>
  <c r="BE27"/>
  <c r="BE59"/>
  <c r="AQ19"/>
  <c r="AQ39"/>
  <c r="AQ47"/>
  <c r="AQ30"/>
  <c r="AT13"/>
  <c r="AT34"/>
  <c r="AT42"/>
  <c r="AT29"/>
  <c r="AT65"/>
  <c r="Y21"/>
  <c r="Y40"/>
  <c r="Y27"/>
  <c r="V15"/>
  <c r="V45"/>
  <c r="AO16"/>
  <c r="AO48"/>
  <c r="AO60"/>
  <c r="AV21"/>
  <c r="AV38"/>
  <c r="AV46"/>
  <c r="AV57"/>
  <c r="AA13"/>
  <c r="AA36"/>
  <c r="AA48"/>
  <c r="AA60"/>
  <c r="BI36"/>
  <c r="BI28"/>
  <c r="BI57"/>
  <c r="BJ16" i="248"/>
  <c r="BJ45"/>
  <c r="T41"/>
  <c r="T26"/>
  <c r="T60"/>
  <c r="U19"/>
  <c r="U28"/>
  <c r="BJ30"/>
  <c r="X21"/>
  <c r="X40"/>
  <c r="X57"/>
  <c r="AW41"/>
  <c r="AW29"/>
  <c r="AW65"/>
  <c r="AX21"/>
  <c r="AX38"/>
  <c r="AX27"/>
  <c r="AY11"/>
  <c r="AY18"/>
  <c r="AY36"/>
  <c r="AY46"/>
  <c r="AY57"/>
  <c r="AZ13"/>
  <c r="AZ34"/>
  <c r="AZ42"/>
  <c r="AZ29"/>
  <c r="AZ65"/>
  <c r="BA21"/>
  <c r="BA38"/>
  <c r="BA46"/>
  <c r="BA57"/>
  <c r="BB13"/>
  <c r="BB34"/>
  <c r="BB42"/>
  <c r="BB29"/>
  <c r="BB65"/>
  <c r="BC21"/>
  <c r="BC41"/>
  <c r="BC27"/>
  <c r="AR11"/>
  <c r="AR18"/>
  <c r="AR36"/>
  <c r="AR48"/>
  <c r="AR59"/>
  <c r="BE15"/>
  <c r="BE32"/>
  <c r="BE40"/>
  <c r="BE27"/>
  <c r="BE59"/>
  <c r="AQ19"/>
  <c r="AQ39"/>
  <c r="AQ47"/>
  <c r="AQ30"/>
  <c r="AT13"/>
  <c r="AT34"/>
  <c r="AT42"/>
  <c r="AT29"/>
  <c r="AT65"/>
  <c r="Y21"/>
  <c r="Y40"/>
  <c r="Y27"/>
  <c r="V15"/>
  <c r="V45"/>
  <c r="AO16"/>
  <c r="AO48"/>
  <c r="AO60"/>
  <c r="AV21"/>
  <c r="AV38"/>
  <c r="AV46"/>
  <c r="AV57"/>
  <c r="AA13"/>
  <c r="AA36"/>
  <c r="AA48"/>
  <c r="AA60"/>
  <c r="BI36"/>
  <c r="BI28"/>
  <c r="BI57"/>
  <c r="BJ16" i="258"/>
  <c r="BJ45"/>
  <c r="T41"/>
  <c r="T26"/>
  <c r="T60"/>
  <c r="U19"/>
  <c r="U28"/>
  <c r="BJ30"/>
  <c r="X21"/>
  <c r="X40"/>
  <c r="X57"/>
  <c r="AW41"/>
  <c r="AW29"/>
  <c r="AW65"/>
  <c r="AX21"/>
  <c r="AX38"/>
  <c r="AX27"/>
  <c r="AY11"/>
  <c r="AY18"/>
  <c r="AY36"/>
  <c r="AY46"/>
  <c r="AY57"/>
  <c r="AZ13"/>
  <c r="AZ34"/>
  <c r="AZ42"/>
  <c r="AZ29"/>
  <c r="AZ65"/>
  <c r="BA21"/>
  <c r="BA38"/>
  <c r="BA46"/>
  <c r="BA57"/>
  <c r="BB13"/>
  <c r="BB34"/>
  <c r="BB42"/>
  <c r="BB29"/>
  <c r="BB65"/>
  <c r="BC21"/>
  <c r="BC41"/>
  <c r="BC27"/>
  <c r="AR11"/>
  <c r="AR18"/>
  <c r="AR36"/>
  <c r="AR48"/>
  <c r="AR59"/>
  <c r="BE15"/>
  <c r="BE32"/>
  <c r="BE40"/>
  <c r="BE27"/>
  <c r="BE59"/>
  <c r="AQ19"/>
  <c r="AQ39"/>
  <c r="AQ47"/>
  <c r="AQ30"/>
  <c r="AT13"/>
  <c r="AT34"/>
  <c r="AT42"/>
  <c r="AT29"/>
  <c r="AT65"/>
  <c r="Y21"/>
  <c r="Y40"/>
  <c r="Y27"/>
  <c r="V15"/>
  <c r="V45"/>
  <c r="AO16"/>
  <c r="AO48"/>
  <c r="AO60"/>
  <c r="AV21"/>
  <c r="AV38"/>
  <c r="AV46"/>
  <c r="AV57"/>
  <c r="AA13"/>
  <c r="AA36"/>
  <c r="AA48"/>
  <c r="AA60"/>
  <c r="BI36"/>
  <c r="BI28"/>
  <c r="BI57"/>
  <c r="BJ16" i="259"/>
  <c r="BJ45"/>
  <c r="T41"/>
  <c r="T26"/>
  <c r="T60"/>
  <c r="U19"/>
  <c r="U28"/>
  <c r="BJ30"/>
  <c r="X21"/>
  <c r="X40"/>
  <c r="X57"/>
  <c r="AW41"/>
  <c r="AW29"/>
  <c r="AW65"/>
  <c r="AX21"/>
  <c r="AX38"/>
  <c r="AX27"/>
  <c r="AY11"/>
  <c r="AY18"/>
  <c r="AY36"/>
  <c r="AY46"/>
  <c r="AY57"/>
  <c r="AZ13"/>
  <c r="AZ34"/>
  <c r="AZ42"/>
  <c r="AZ29"/>
  <c r="AZ65"/>
  <c r="BA21"/>
  <c r="BA38"/>
  <c r="BA46"/>
  <c r="BA57"/>
  <c r="BB13"/>
  <c r="BB34"/>
  <c r="BB42"/>
  <c r="BB29"/>
  <c r="I22" i="257"/>
  <c r="J13"/>
  <c r="J43"/>
  <c r="M40"/>
  <c r="P40"/>
  <c r="G35"/>
  <c r="H16"/>
  <c r="K36"/>
  <c r="L41"/>
  <c r="Q22"/>
  <c r="BJ16"/>
  <c r="T38"/>
  <c r="BJ30"/>
  <c r="AW16"/>
  <c r="AW29"/>
  <c r="AX38"/>
  <c r="AY32"/>
  <c r="AY65"/>
  <c r="AZ46"/>
  <c r="BA21"/>
  <c r="BA65"/>
  <c r="BB46"/>
  <c r="BC21"/>
  <c r="AR18"/>
  <c r="BE32"/>
  <c r="BE59"/>
  <c r="AQ43"/>
  <c r="AT42"/>
  <c r="Y21"/>
  <c r="V34"/>
  <c r="AO11"/>
  <c r="AO43"/>
  <c r="AO59"/>
  <c r="AV41"/>
  <c r="AA35"/>
  <c r="AA26"/>
  <c r="BI11"/>
  <c r="BI35"/>
  <c r="BJ11" i="255"/>
  <c r="BJ36"/>
  <c r="T42"/>
  <c r="U15"/>
  <c r="BJ27"/>
  <c r="X41"/>
  <c r="X50"/>
  <c r="X59"/>
  <c r="AW21"/>
  <c r="AW38"/>
  <c r="AW47"/>
  <c r="AW30"/>
  <c r="AX10"/>
  <c r="AX35"/>
  <c r="AX45"/>
  <c r="AX26"/>
  <c r="AY43"/>
  <c r="AY28"/>
  <c r="AY59"/>
  <c r="AZ19"/>
  <c r="AZ39"/>
  <c r="AZ47"/>
  <c r="AZ30"/>
  <c r="BA10"/>
  <c r="BA35"/>
  <c r="BA43"/>
  <c r="BA28"/>
  <c r="BA59"/>
  <c r="BB19"/>
  <c r="BB39"/>
  <c r="BB47"/>
  <c r="BB30"/>
  <c r="BC10"/>
  <c r="BC35"/>
  <c r="BC45"/>
  <c r="BC26"/>
  <c r="AR41"/>
  <c r="AR50"/>
  <c r="AR60"/>
  <c r="BE41"/>
  <c r="BE50"/>
  <c r="BE60"/>
  <c r="AQ15"/>
  <c r="AQ32"/>
  <c r="AQ40"/>
  <c r="AQ27"/>
  <c r="AT10"/>
  <c r="AT35"/>
  <c r="AT43"/>
  <c r="AT28"/>
  <c r="AT59"/>
  <c r="Y19"/>
  <c r="Y34"/>
  <c r="Y45"/>
  <c r="Y28"/>
  <c r="V21"/>
  <c r="V42"/>
  <c r="V57"/>
  <c r="AO21"/>
  <c r="AO41"/>
  <c r="AO50"/>
  <c r="AV10"/>
  <c r="AV35"/>
  <c r="AV43"/>
  <c r="AV28"/>
  <c r="AV59"/>
  <c r="AA19"/>
  <c r="AA41"/>
  <c r="AA50"/>
  <c r="BI13"/>
  <c r="BI41"/>
  <c r="BI30"/>
  <c r="BJ13" i="256"/>
  <c r="BJ34"/>
  <c r="BJ42"/>
  <c r="T38"/>
  <c r="T46"/>
  <c r="U11"/>
  <c r="U18"/>
  <c r="U29"/>
  <c r="X22"/>
  <c r="X45"/>
  <c r="X30"/>
  <c r="AW13"/>
  <c r="AW34"/>
  <c r="AW42"/>
  <c r="AW28"/>
  <c r="AW59"/>
  <c r="AX19"/>
  <c r="AX41"/>
  <c r="AX50"/>
  <c r="AY16"/>
  <c r="AY47"/>
  <c r="AY30"/>
  <c r="AZ10"/>
  <c r="AZ35"/>
  <c r="AZ43"/>
  <c r="AZ28"/>
  <c r="AZ59"/>
  <c r="BA19"/>
  <c r="BA39"/>
  <c r="BA47"/>
  <c r="BA30"/>
  <c r="BB10"/>
  <c r="BB35"/>
  <c r="BB43"/>
  <c r="BB28"/>
  <c r="BB59"/>
  <c r="BC19"/>
  <c r="BC42"/>
  <c r="BC50"/>
  <c r="AR16"/>
  <c r="AR45"/>
  <c r="AR26"/>
  <c r="BE16"/>
  <c r="BE45"/>
  <c r="BE26"/>
  <c r="AQ11"/>
  <c r="AQ18"/>
  <c r="AQ36"/>
  <c r="AQ48"/>
  <c r="AQ60"/>
  <c r="AT19"/>
  <c r="AT39"/>
  <c r="AT47"/>
  <c r="AT30"/>
  <c r="Y10"/>
  <c r="Y22"/>
  <c r="Y41"/>
  <c r="Y50"/>
  <c r="V16"/>
  <c r="V38"/>
  <c r="V28"/>
  <c r="AO13"/>
  <c r="AO34"/>
  <c r="AO45"/>
  <c r="AO26"/>
  <c r="AV19"/>
  <c r="AV39"/>
  <c r="AV47"/>
  <c r="AV30"/>
  <c r="AA10"/>
  <c r="AA22"/>
  <c r="AA45"/>
  <c r="AA28"/>
  <c r="BI21"/>
  <c r="BI27"/>
  <c r="BI59"/>
  <c r="BJ21" i="248"/>
  <c r="BJ38"/>
  <c r="T34"/>
  <c r="T42"/>
  <c r="T27"/>
  <c r="U15"/>
  <c r="U34"/>
  <c r="BJ27"/>
  <c r="X41"/>
  <c r="X50"/>
  <c r="X59"/>
  <c r="AW21"/>
  <c r="AW38"/>
  <c r="AW47"/>
  <c r="AW30"/>
  <c r="AX10"/>
  <c r="AX35"/>
  <c r="AX45"/>
  <c r="AX26"/>
  <c r="AY43"/>
  <c r="AY28"/>
  <c r="AY59"/>
  <c r="AZ19"/>
  <c r="AZ39"/>
  <c r="AZ47"/>
  <c r="AZ30"/>
  <c r="BA10"/>
  <c r="BA35"/>
  <c r="BA43"/>
  <c r="BA28"/>
  <c r="BA59"/>
  <c r="BB19"/>
  <c r="BB39"/>
  <c r="BB47"/>
  <c r="BB30"/>
  <c r="BC10"/>
  <c r="BC35"/>
  <c r="BC45"/>
  <c r="BC26"/>
  <c r="AR41"/>
  <c r="AR50"/>
  <c r="AR60"/>
  <c r="BE41"/>
  <c r="BE50"/>
  <c r="BE60"/>
  <c r="AQ15"/>
  <c r="AQ32"/>
  <c r="AQ40"/>
  <c r="AQ27"/>
  <c r="AT10"/>
  <c r="AT35"/>
  <c r="AT43"/>
  <c r="AT28"/>
  <c r="AT59"/>
  <c r="Y19"/>
  <c r="Y34"/>
  <c r="Y45"/>
  <c r="Y28"/>
  <c r="V21"/>
  <c r="V42"/>
  <c r="V57"/>
  <c r="AO21"/>
  <c r="AO41"/>
  <c r="AO50"/>
  <c r="AV10"/>
  <c r="AV35"/>
  <c r="AV43"/>
  <c r="AV28"/>
  <c r="AV59"/>
  <c r="AA19"/>
  <c r="AA41"/>
  <c r="AA50"/>
  <c r="BI13"/>
  <c r="BI41"/>
  <c r="BI30"/>
  <c r="BJ13" i="258"/>
  <c r="BJ34"/>
  <c r="BJ42"/>
  <c r="T38"/>
  <c r="T46"/>
  <c r="U11"/>
  <c r="U18"/>
  <c r="U29"/>
  <c r="X22"/>
  <c r="X45"/>
  <c r="X30"/>
  <c r="AW13"/>
  <c r="AW34"/>
  <c r="AW42"/>
  <c r="AW28"/>
  <c r="AW59"/>
  <c r="AX19"/>
  <c r="AX41"/>
  <c r="AX50"/>
  <c r="AY16"/>
  <c r="AY47"/>
  <c r="AY30"/>
  <c r="AZ10"/>
  <c r="AZ35"/>
  <c r="AZ43"/>
  <c r="AZ28"/>
  <c r="AZ59"/>
  <c r="BA19"/>
  <c r="BA39"/>
  <c r="BA47"/>
  <c r="BA30"/>
  <c r="BB10"/>
  <c r="BB35"/>
  <c r="BB43"/>
  <c r="BB28"/>
  <c r="BB59"/>
  <c r="BC19"/>
  <c r="BC42"/>
  <c r="BC50"/>
  <c r="AR16"/>
  <c r="AR45"/>
  <c r="AR26"/>
  <c r="BE16"/>
  <c r="BE45"/>
  <c r="BE26"/>
  <c r="AQ11"/>
  <c r="AQ18"/>
  <c r="AQ36"/>
  <c r="AQ48"/>
  <c r="AQ60"/>
  <c r="AT19"/>
  <c r="AT39"/>
  <c r="AT47"/>
  <c r="AT30"/>
  <c r="Y10"/>
  <c r="Y22"/>
  <c r="Y41"/>
  <c r="Y50"/>
  <c r="V16"/>
  <c r="V38"/>
  <c r="V28"/>
  <c r="AO13"/>
  <c r="AO34"/>
  <c r="AO45"/>
  <c r="AO26"/>
  <c r="AV19"/>
  <c r="AV39"/>
  <c r="AV47"/>
  <c r="AV30"/>
  <c r="AA10"/>
  <c r="AA22"/>
  <c r="AA45"/>
  <c r="AA28"/>
  <c r="BI21"/>
  <c r="BI27"/>
  <c r="BI59"/>
  <c r="BJ21" i="259"/>
  <c r="BJ38"/>
  <c r="T34"/>
  <c r="T42"/>
  <c r="T27"/>
  <c r="U15"/>
  <c r="U34"/>
  <c r="BJ27"/>
  <c r="X41"/>
  <c r="X50"/>
  <c r="X59"/>
  <c r="AW21"/>
  <c r="AW38"/>
  <c r="AW47"/>
  <c r="AW30"/>
  <c r="AX10"/>
  <c r="AX35"/>
  <c r="AX45"/>
  <c r="AX26"/>
  <c r="AY43"/>
  <c r="AY28"/>
  <c r="AY59"/>
  <c r="AZ19"/>
  <c r="AZ39"/>
  <c r="AZ47"/>
  <c r="AZ30"/>
  <c r="BA10"/>
  <c r="BA35"/>
  <c r="BA43"/>
  <c r="BA28"/>
  <c r="BA59"/>
  <c r="BB19"/>
  <c r="BB39"/>
  <c r="BB47"/>
  <c r="BB30"/>
  <c r="BC10"/>
  <c r="BC35"/>
  <c r="BC45"/>
  <c r="BC26"/>
  <c r="AR41"/>
  <c r="AR50"/>
  <c r="AR60"/>
  <c r="BE41"/>
  <c r="BE50"/>
  <c r="BE60"/>
  <c r="AQ15"/>
  <c r="AQ32"/>
  <c r="AQ40"/>
  <c r="AQ27"/>
  <c r="AT10"/>
  <c r="AT35"/>
  <c r="AT43"/>
  <c r="AT28"/>
  <c r="AT59"/>
  <c r="Y19"/>
  <c r="Y34"/>
  <c r="Y45"/>
  <c r="Y28"/>
  <c r="V21"/>
  <c r="V42"/>
  <c r="V57"/>
  <c r="AO21"/>
  <c r="AO41"/>
  <c r="AO50"/>
  <c r="AV10"/>
  <c r="AV35"/>
  <c r="AV43"/>
  <c r="AV28"/>
  <c r="AV59"/>
  <c r="AA19"/>
  <c r="AA41"/>
  <c r="AA50"/>
  <c r="BI13"/>
  <c r="BI41"/>
  <c r="BI30"/>
  <c r="BJ13" i="260"/>
  <c r="BJ34"/>
  <c r="BJ42"/>
  <c r="I57" i="257"/>
  <c r="O16"/>
  <c r="G15"/>
  <c r="K10"/>
  <c r="L21"/>
  <c r="N11"/>
  <c r="Q34"/>
  <c r="BJ45"/>
  <c r="X42"/>
  <c r="AX27"/>
  <c r="AY36"/>
  <c r="BA34"/>
  <c r="BC34"/>
  <c r="AR32"/>
  <c r="BE11"/>
  <c r="BE27"/>
  <c r="AT21"/>
  <c r="AT65"/>
  <c r="V19"/>
  <c r="AO13"/>
  <c r="AO45"/>
  <c r="AV10"/>
  <c r="AV35"/>
  <c r="AV28"/>
  <c r="AA22"/>
  <c r="AA28"/>
  <c r="BI21"/>
  <c r="BJ13" i="255"/>
  <c r="BJ38"/>
  <c r="T29"/>
  <c r="U60"/>
  <c r="X10"/>
  <c r="X34"/>
  <c r="X42"/>
  <c r="X27"/>
  <c r="AW10"/>
  <c r="AW35"/>
  <c r="AW43"/>
  <c r="AW27"/>
  <c r="AX11"/>
  <c r="AX18"/>
  <c r="AX36"/>
  <c r="AX46"/>
  <c r="AX57"/>
  <c r="AY13"/>
  <c r="AY34"/>
  <c r="AY48"/>
  <c r="AY60"/>
  <c r="AZ15"/>
  <c r="AZ32"/>
  <c r="AZ40"/>
  <c r="AZ27"/>
  <c r="BA11"/>
  <c r="BA18"/>
  <c r="BA36"/>
  <c r="BA48"/>
  <c r="BA60"/>
  <c r="BB15"/>
  <c r="BB32"/>
  <c r="BB40"/>
  <c r="BB27"/>
  <c r="BC11"/>
  <c r="BC18"/>
  <c r="BC36"/>
  <c r="BC46"/>
  <c r="BC57"/>
  <c r="AR13"/>
  <c r="AR34"/>
  <c r="AR42"/>
  <c r="AR29"/>
  <c r="BE21"/>
  <c r="BE38"/>
  <c r="BE46"/>
  <c r="AQ41"/>
  <c r="AQ50"/>
  <c r="AT11"/>
  <c r="AT18"/>
  <c r="AT36"/>
  <c r="AT48"/>
  <c r="AT60"/>
  <c r="Y15"/>
  <c r="Y38"/>
  <c r="Y46"/>
  <c r="Y57"/>
  <c r="V22"/>
  <c r="V43"/>
  <c r="V29"/>
  <c r="AO10"/>
  <c r="AO35"/>
  <c r="AO42"/>
  <c r="AO29"/>
  <c r="AO65"/>
  <c r="AV15"/>
  <c r="AV32"/>
  <c r="AV40"/>
  <c r="AV27"/>
  <c r="AA11"/>
  <c r="AA18"/>
  <c r="AA42"/>
  <c r="AA29"/>
  <c r="BI10"/>
  <c r="BI34"/>
  <c r="BI42"/>
  <c r="BJ10" i="256"/>
  <c r="BJ35"/>
  <c r="BJ43"/>
  <c r="T35"/>
  <c r="T43"/>
  <c r="T28"/>
  <c r="U16"/>
  <c r="U30"/>
  <c r="BJ26"/>
  <c r="X16"/>
  <c r="X38"/>
  <c r="X46"/>
  <c r="X60"/>
  <c r="AW19"/>
  <c r="AW39"/>
  <c r="AW48"/>
  <c r="AW60"/>
  <c r="AX15"/>
  <c r="AX32"/>
  <c r="AX42"/>
  <c r="AX29"/>
  <c r="AX65"/>
  <c r="AY21"/>
  <c r="AY38"/>
  <c r="AY27"/>
  <c r="AZ11"/>
  <c r="AZ18"/>
  <c r="AZ36"/>
  <c r="AZ48"/>
  <c r="AZ60"/>
  <c r="BA15"/>
  <c r="BA32"/>
  <c r="BA40"/>
  <c r="BA27"/>
  <c r="BB11"/>
  <c r="BB18"/>
  <c r="BB36"/>
  <c r="BB48"/>
  <c r="BB60"/>
  <c r="BC15"/>
  <c r="BC32"/>
  <c r="BC39"/>
  <c r="BC29"/>
  <c r="BC65"/>
  <c r="AR21"/>
  <c r="AR38"/>
  <c r="AR46"/>
  <c r="BE13"/>
  <c r="BE34"/>
  <c r="BE42"/>
  <c r="AQ16"/>
  <c r="AQ45"/>
  <c r="AQ26"/>
  <c r="AT15"/>
  <c r="AT32"/>
  <c r="AT40"/>
  <c r="AT27"/>
  <c r="Y11"/>
  <c r="Y18"/>
  <c r="Y42"/>
  <c r="Y29"/>
  <c r="V10"/>
  <c r="V39"/>
  <c r="V47"/>
  <c r="V59"/>
  <c r="AO19"/>
  <c r="AO38"/>
  <c r="AO46"/>
  <c r="AO57"/>
  <c r="AV11"/>
  <c r="AV18"/>
  <c r="AV36"/>
  <c r="AV48"/>
  <c r="AV60"/>
  <c r="AA15"/>
  <c r="AA42"/>
  <c r="BI10"/>
  <c r="BI60"/>
  <c r="BJ43" i="248"/>
  <c r="X46"/>
  <c r="AW35"/>
  <c r="AX32"/>
  <c r="AX57"/>
  <c r="AZ40"/>
  <c r="BA40"/>
  <c r="BB40"/>
  <c r="BC39"/>
  <c r="AR13"/>
  <c r="AR29"/>
  <c r="AQ26"/>
  <c r="AT36"/>
  <c r="Y15"/>
  <c r="Y29"/>
  <c r="V43"/>
  <c r="AO10"/>
  <c r="AV32"/>
  <c r="AA11"/>
  <c r="BI42"/>
  <c r="BJ35" i="258"/>
  <c r="T35"/>
  <c r="U16"/>
  <c r="X38"/>
  <c r="AW43"/>
  <c r="AY34"/>
  <c r="AZ32"/>
  <c r="BA32"/>
  <c r="BB32"/>
  <c r="BC32"/>
  <c r="BC65"/>
  <c r="AR46"/>
  <c r="AQ45"/>
  <c r="AT60"/>
  <c r="V10"/>
  <c r="V29"/>
  <c r="AO42"/>
  <c r="AV15"/>
  <c r="AA18"/>
  <c r="AA57"/>
  <c r="BI34"/>
  <c r="BJ19" i="259"/>
  <c r="T43"/>
  <c r="AW10"/>
  <c r="AW48"/>
  <c r="AX42"/>
  <c r="AZ15"/>
  <c r="BA15"/>
  <c r="BB15"/>
  <c r="BC34"/>
  <c r="BC48"/>
  <c r="AR32"/>
  <c r="AR48"/>
  <c r="BE18"/>
  <c r="BE27"/>
  <c r="AQ39"/>
  <c r="AQ30"/>
  <c r="AT21"/>
  <c r="AT46"/>
  <c r="AT65"/>
  <c r="Y48"/>
  <c r="AO27"/>
  <c r="AV34"/>
  <c r="AV57"/>
  <c r="AA21"/>
  <c r="AA27"/>
  <c r="BI36"/>
  <c r="BI65"/>
  <c r="BJ47" i="260"/>
  <c r="T41"/>
  <c r="T26"/>
  <c r="T60"/>
  <c r="U19"/>
  <c r="U28"/>
  <c r="BJ30"/>
  <c r="X21"/>
  <c r="X40"/>
  <c r="X57"/>
  <c r="AW41"/>
  <c r="AW29"/>
  <c r="AW65"/>
  <c r="AX21"/>
  <c r="AX38"/>
  <c r="AX27"/>
  <c r="AY11"/>
  <c r="AY18"/>
  <c r="AY36"/>
  <c r="AY46"/>
  <c r="AY57"/>
  <c r="AZ13"/>
  <c r="AZ34"/>
  <c r="AZ42"/>
  <c r="AZ29"/>
  <c r="AZ65"/>
  <c r="BA21"/>
  <c r="BA38"/>
  <c r="BA46"/>
  <c r="BA57"/>
  <c r="BB13"/>
  <c r="BB34"/>
  <c r="BB42"/>
  <c r="BB29"/>
  <c r="BB65"/>
  <c r="BC21"/>
  <c r="BC41"/>
  <c r="BC27"/>
  <c r="AR11"/>
  <c r="AR18"/>
  <c r="AR36"/>
  <c r="AR48"/>
  <c r="AR59"/>
  <c r="BE15"/>
  <c r="BE32"/>
  <c r="BE40"/>
  <c r="BE27"/>
  <c r="BE59"/>
  <c r="AQ19"/>
  <c r="AQ39"/>
  <c r="AQ47"/>
  <c r="AQ30"/>
  <c r="AT13"/>
  <c r="AT34"/>
  <c r="AT42"/>
  <c r="AT29"/>
  <c r="AT65"/>
  <c r="Y21"/>
  <c r="Y40"/>
  <c r="Y27"/>
  <c r="V15"/>
  <c r="V45"/>
  <c r="AO16"/>
  <c r="AO48"/>
  <c r="AO60"/>
  <c r="AV21"/>
  <c r="AV38"/>
  <c r="AV46"/>
  <c r="AV57"/>
  <c r="AA13"/>
  <c r="AA36"/>
  <c r="AA48"/>
  <c r="AA60"/>
  <c r="BI36"/>
  <c r="BI28"/>
  <c r="BI57"/>
  <c r="BJ16" i="261"/>
  <c r="BJ45"/>
  <c r="T41"/>
  <c r="T26"/>
  <c r="T60"/>
  <c r="U19"/>
  <c r="U28"/>
  <c r="BJ30"/>
  <c r="X21"/>
  <c r="X40"/>
  <c r="X57"/>
  <c r="AW41"/>
  <c r="AW29"/>
  <c r="AW65"/>
  <c r="AX21"/>
  <c r="AX38"/>
  <c r="AX27"/>
  <c r="AY11"/>
  <c r="AY18"/>
  <c r="AY36"/>
  <c r="AY46"/>
  <c r="AY57"/>
  <c r="AZ13"/>
  <c r="AZ34"/>
  <c r="AZ42"/>
  <c r="AZ29"/>
  <c r="AZ65"/>
  <c r="BA21"/>
  <c r="BA38"/>
  <c r="BA46"/>
  <c r="BA57"/>
  <c r="BB13"/>
  <c r="BB34"/>
  <c r="BB42"/>
  <c r="BB29"/>
  <c r="BB65"/>
  <c r="BC21"/>
  <c r="BC41"/>
  <c r="BC27"/>
  <c r="AR11"/>
  <c r="AR18"/>
  <c r="AR36"/>
  <c r="AR48"/>
  <c r="AR59"/>
  <c r="BE15"/>
  <c r="BE32"/>
  <c r="BE40"/>
  <c r="BE27"/>
  <c r="BE59"/>
  <c r="AQ19"/>
  <c r="AQ39"/>
  <c r="AQ47"/>
  <c r="AQ30"/>
  <c r="AT13"/>
  <c r="AT34"/>
  <c r="AT42"/>
  <c r="AT29"/>
  <c r="AT65"/>
  <c r="Y21"/>
  <c r="Y40"/>
  <c r="Y27"/>
  <c r="V15"/>
  <c r="V45"/>
  <c r="AO16"/>
  <c r="AO48"/>
  <c r="AO60"/>
  <c r="AV21"/>
  <c r="AV38"/>
  <c r="AV46"/>
  <c r="AV57"/>
  <c r="AA13"/>
  <c r="AA36"/>
  <c r="BI38" i="256"/>
  <c r="U35" i="248"/>
  <c r="BJ26"/>
  <c r="X16"/>
  <c r="X60"/>
  <c r="AW27"/>
  <c r="AX36"/>
  <c r="AX65"/>
  <c r="AY60"/>
  <c r="AZ60"/>
  <c r="BA60"/>
  <c r="BB60"/>
  <c r="BC57"/>
  <c r="BE21"/>
  <c r="AQ16"/>
  <c r="AT15"/>
  <c r="Y18"/>
  <c r="Y57"/>
  <c r="AO29"/>
  <c r="AV36"/>
  <c r="AA15"/>
  <c r="AA29"/>
  <c r="T39" i="258"/>
  <c r="X42"/>
  <c r="AW60"/>
  <c r="AX29"/>
  <c r="AY38"/>
  <c r="AZ11"/>
  <c r="AZ27"/>
  <c r="BA36"/>
  <c r="BB11"/>
  <c r="BB27"/>
  <c r="BC36"/>
  <c r="BE13"/>
  <c r="AQ50"/>
  <c r="AT48"/>
  <c r="V39"/>
  <c r="AO65"/>
  <c r="AV60"/>
  <c r="BI38"/>
  <c r="U35" i="259"/>
  <c r="BJ26"/>
  <c r="X16"/>
  <c r="X60"/>
  <c r="AW27"/>
  <c r="AX36"/>
  <c r="AX65"/>
  <c r="AY60"/>
  <c r="AZ60"/>
  <c r="BA60"/>
  <c r="BB60"/>
  <c r="BC18"/>
  <c r="BC57"/>
  <c r="AR42"/>
  <c r="BE21"/>
  <c r="BE46"/>
  <c r="AQ41"/>
  <c r="AT15"/>
  <c r="AT40"/>
  <c r="Y11"/>
  <c r="Y42"/>
  <c r="V39"/>
  <c r="AO46"/>
  <c r="AO65"/>
  <c r="AV18"/>
  <c r="AV27"/>
  <c r="AA15"/>
  <c r="AA46"/>
  <c r="BI38"/>
  <c r="T34" i="260"/>
  <c r="T42"/>
  <c r="T27"/>
  <c r="U15"/>
  <c r="U34"/>
  <c r="BJ27"/>
  <c r="X41"/>
  <c r="X50"/>
  <c r="X59"/>
  <c r="AW21"/>
  <c r="AW38"/>
  <c r="AW47"/>
  <c r="AW30"/>
  <c r="AX10"/>
  <c r="AX35"/>
  <c r="AX45"/>
  <c r="AX26"/>
  <c r="AY43"/>
  <c r="AY28"/>
  <c r="AY59"/>
  <c r="AZ19"/>
  <c r="AZ39"/>
  <c r="AZ47"/>
  <c r="AZ30"/>
  <c r="BA10"/>
  <c r="BA35"/>
  <c r="BA43"/>
  <c r="BA28"/>
  <c r="BA59"/>
  <c r="BB19"/>
  <c r="BB39"/>
  <c r="BB47"/>
  <c r="BB30"/>
  <c r="BC10"/>
  <c r="BC35"/>
  <c r="BC45"/>
  <c r="BC26"/>
  <c r="AR41"/>
  <c r="AR50"/>
  <c r="AR60"/>
  <c r="BE41"/>
  <c r="BE50"/>
  <c r="BE60"/>
  <c r="AQ15"/>
  <c r="AQ32"/>
  <c r="AQ40"/>
  <c r="AQ27"/>
  <c r="AT10"/>
  <c r="AT35"/>
  <c r="AT43"/>
  <c r="AT28"/>
  <c r="AT59"/>
  <c r="Y19"/>
  <c r="Y34"/>
  <c r="Y45"/>
  <c r="Y28"/>
  <c r="V21"/>
  <c r="V42"/>
  <c r="V57"/>
  <c r="AO21"/>
  <c r="AO41"/>
  <c r="AO50"/>
  <c r="AV10"/>
  <c r="AV35"/>
  <c r="AV43"/>
  <c r="AV28"/>
  <c r="AV59"/>
  <c r="AA19"/>
  <c r="AA41"/>
  <c r="AA50"/>
  <c r="BI13"/>
  <c r="BI41"/>
  <c r="BI30"/>
  <c r="BJ13" i="261"/>
  <c r="BJ34"/>
  <c r="BJ42"/>
  <c r="T38"/>
  <c r="T46"/>
  <c r="U11"/>
  <c r="U18"/>
  <c r="U29"/>
  <c r="X22"/>
  <c r="X45"/>
  <c r="X30"/>
  <c r="AW13"/>
  <c r="AW34"/>
  <c r="AW42"/>
  <c r="AW28"/>
  <c r="AW59"/>
  <c r="AX19"/>
  <c r="AX41"/>
  <c r="AX50"/>
  <c r="AY16"/>
  <c r="AY47"/>
  <c r="AY30"/>
  <c r="AZ10"/>
  <c r="AZ35"/>
  <c r="AZ43"/>
  <c r="AZ28"/>
  <c r="AZ59"/>
  <c r="BA19"/>
  <c r="BA39"/>
  <c r="BA47"/>
  <c r="BA30"/>
  <c r="BB10"/>
  <c r="BB35"/>
  <c r="BB43"/>
  <c r="BB28"/>
  <c r="BB59"/>
  <c r="BC19"/>
  <c r="BC42"/>
  <c r="BC50"/>
  <c r="AR16"/>
  <c r="AR45"/>
  <c r="AR26"/>
  <c r="BE16"/>
  <c r="BE45"/>
  <c r="BE26"/>
  <c r="AQ11"/>
  <c r="AQ18"/>
  <c r="AQ36"/>
  <c r="AQ48"/>
  <c r="AQ60"/>
  <c r="AT19"/>
  <c r="AT39"/>
  <c r="AT47"/>
  <c r="AT30"/>
  <c r="Y10"/>
  <c r="Y22"/>
  <c r="Y41"/>
  <c r="Y50"/>
  <c r="V16"/>
  <c r="V38"/>
  <c r="V28"/>
  <c r="AO13"/>
  <c r="AO34"/>
  <c r="AO45"/>
  <c r="AO26"/>
  <c r="AV19"/>
  <c r="AV39"/>
  <c r="AV47"/>
  <c r="AV30"/>
  <c r="AA10"/>
  <c r="AA22"/>
  <c r="AA45"/>
  <c r="AA28"/>
  <c r="BI21"/>
  <c r="BI27"/>
  <c r="BI59"/>
  <c r="BJ21" i="262"/>
  <c r="BJ38"/>
  <c r="T34"/>
  <c r="T42"/>
  <c r="T27"/>
  <c r="U15"/>
  <c r="U34"/>
  <c r="BJ27"/>
  <c r="X41"/>
  <c r="X50"/>
  <c r="X59"/>
  <c r="AW21"/>
  <c r="AW38"/>
  <c r="AW47"/>
  <c r="AW30"/>
  <c r="AX10"/>
  <c r="AX35"/>
  <c r="AX45"/>
  <c r="AX26"/>
  <c r="AY43"/>
  <c r="AY28"/>
  <c r="AY59"/>
  <c r="AZ19"/>
  <c r="AZ39"/>
  <c r="AZ47"/>
  <c r="AZ30"/>
  <c r="BA10"/>
  <c r="BA35"/>
  <c r="BA43"/>
  <c r="BA28"/>
  <c r="BA59"/>
  <c r="BB19"/>
  <c r="BB39"/>
  <c r="BB47"/>
  <c r="BB30"/>
  <c r="BC10"/>
  <c r="BC35"/>
  <c r="BC45"/>
  <c r="BC26"/>
  <c r="AR41"/>
  <c r="AR50"/>
  <c r="AR60"/>
  <c r="BE41"/>
  <c r="BE50"/>
  <c r="BE60"/>
  <c r="AQ15"/>
  <c r="AQ32"/>
  <c r="AQ40"/>
  <c r="AQ27"/>
  <c r="AT10"/>
  <c r="AT35"/>
  <c r="AT43"/>
  <c r="AT28"/>
  <c r="AT59"/>
  <c r="Y19"/>
  <c r="Y34"/>
  <c r="Y45"/>
  <c r="Y28"/>
  <c r="V21"/>
  <c r="V42"/>
  <c r="V57"/>
  <c r="AO21"/>
  <c r="AO41"/>
  <c r="AO50"/>
  <c r="AV10"/>
  <c r="AV35"/>
  <c r="AV43"/>
  <c r="AV28"/>
  <c r="AV59"/>
  <c r="AA19"/>
  <c r="AA41"/>
  <c r="AA50"/>
  <c r="BI13"/>
  <c r="BI41"/>
  <c r="BI30"/>
  <c r="BJ13" i="263"/>
  <c r="BJ34"/>
  <c r="BJ42"/>
  <c r="BJ30"/>
  <c r="BI11"/>
  <c r="BI18"/>
  <c r="BI39"/>
  <c r="G352" i="154"/>
  <c r="BQ26" i="263"/>
  <c r="BR30"/>
  <c r="BT28"/>
  <c r="BU26"/>
  <c r="BV30"/>
  <c r="BX28"/>
  <c r="BY26"/>
  <c r="BZ30"/>
  <c r="CB28"/>
  <c r="CC26"/>
  <c r="CD30"/>
  <c r="CF28"/>
  <c r="CG26"/>
  <c r="CH30"/>
  <c r="CJ28"/>
  <c r="CK26"/>
  <c r="CL30"/>
  <c r="CN28"/>
  <c r="BI19" i="256"/>
  <c r="BJ10" i="248"/>
  <c r="BJ47"/>
  <c r="T28"/>
  <c r="U60"/>
  <c r="AW19"/>
  <c r="AX15"/>
  <c r="AY48"/>
  <c r="AZ48"/>
  <c r="BA48"/>
  <c r="BB48"/>
  <c r="BC46"/>
  <c r="AR21"/>
  <c r="BE34"/>
  <c r="AT18"/>
  <c r="Y46"/>
  <c r="V47"/>
  <c r="AO19"/>
  <c r="AO57"/>
  <c r="AV40"/>
  <c r="AA42"/>
  <c r="BI10"/>
  <c r="BI60"/>
  <c r="BJ43" i="258"/>
  <c r="X46"/>
  <c r="AW35"/>
  <c r="AX32"/>
  <c r="AX57"/>
  <c r="AZ40"/>
  <c r="BA40"/>
  <c r="BB40"/>
  <c r="BC39"/>
  <c r="AR13"/>
  <c r="AR29"/>
  <c r="AQ26"/>
  <c r="AT36"/>
  <c r="Y15"/>
  <c r="Y29"/>
  <c r="V43"/>
  <c r="AO10"/>
  <c r="AV32"/>
  <c r="AA11"/>
  <c r="BI42"/>
  <c r="BJ35" i="259"/>
  <c r="T35"/>
  <c r="U16"/>
  <c r="X38"/>
  <c r="AW43"/>
  <c r="AY34"/>
  <c r="AZ32"/>
  <c r="BA32"/>
  <c r="BB32"/>
  <c r="BB65"/>
  <c r="BC21"/>
  <c r="BC60"/>
  <c r="AR18"/>
  <c r="AR27"/>
  <c r="BE15"/>
  <c r="BE40"/>
  <c r="BE59"/>
  <c r="AQ19"/>
  <c r="AQ43"/>
  <c r="AQ59"/>
  <c r="AT42"/>
  <c r="Y13"/>
  <c r="Y36"/>
  <c r="Y60"/>
  <c r="V41"/>
  <c r="AO16"/>
  <c r="AO48"/>
  <c r="AV21"/>
  <c r="AV46"/>
  <c r="AV65"/>
  <c r="AA48"/>
  <c r="BI40"/>
  <c r="BI57"/>
  <c r="BJ41" i="260"/>
  <c r="T39"/>
  <c r="T47"/>
  <c r="T57"/>
  <c r="U35"/>
  <c r="U60"/>
  <c r="X10"/>
  <c r="X34"/>
  <c r="X42"/>
  <c r="X27"/>
  <c r="AW10"/>
  <c r="AW35"/>
  <c r="AW43"/>
  <c r="AW27"/>
  <c r="AX11"/>
  <c r="AX18"/>
  <c r="AX36"/>
  <c r="AX46"/>
  <c r="AX57"/>
  <c r="AY13"/>
  <c r="AY34"/>
  <c r="AY48"/>
  <c r="AY60"/>
  <c r="AZ15"/>
  <c r="AZ32"/>
  <c r="AZ40"/>
  <c r="AZ27"/>
  <c r="BA11"/>
  <c r="BA18"/>
  <c r="BA36"/>
  <c r="BA48"/>
  <c r="BA60"/>
  <c r="BB15"/>
  <c r="BB32"/>
  <c r="BB40"/>
  <c r="BB27"/>
  <c r="BC11"/>
  <c r="BC18"/>
  <c r="BC36"/>
  <c r="BC46"/>
  <c r="BC57"/>
  <c r="AR13"/>
  <c r="AR34"/>
  <c r="AR42"/>
  <c r="AR29"/>
  <c r="BE21"/>
  <c r="BE38"/>
  <c r="BE46"/>
  <c r="AQ41"/>
  <c r="AQ50"/>
  <c r="AT11"/>
  <c r="AT18"/>
  <c r="AT36"/>
  <c r="AT48"/>
  <c r="AT60"/>
  <c r="Y15"/>
  <c r="Y38"/>
  <c r="Y46"/>
  <c r="Y57"/>
  <c r="V22"/>
  <c r="V43"/>
  <c r="V29"/>
  <c r="AO10"/>
  <c r="AO35"/>
  <c r="AO42"/>
  <c r="AO29"/>
  <c r="AO65"/>
  <c r="AV15"/>
  <c r="AV32"/>
  <c r="AV40"/>
  <c r="AV27"/>
  <c r="AA11"/>
  <c r="AA18"/>
  <c r="AA42"/>
  <c r="AA29"/>
  <c r="BI10"/>
  <c r="BI34"/>
  <c r="BI42"/>
  <c r="BJ10" i="261"/>
  <c r="BJ35"/>
  <c r="BJ43"/>
  <c r="T35"/>
  <c r="T43"/>
  <c r="T28"/>
  <c r="U16"/>
  <c r="U30"/>
  <c r="BJ26"/>
  <c r="X16"/>
  <c r="X38"/>
  <c r="X46"/>
  <c r="X60"/>
  <c r="AW19"/>
  <c r="AW39"/>
  <c r="AW48"/>
  <c r="AW60"/>
  <c r="AX15"/>
  <c r="AX32"/>
  <c r="AX42"/>
  <c r="AX29"/>
  <c r="AX65"/>
  <c r="AY21"/>
  <c r="AY38"/>
  <c r="AY27"/>
  <c r="AZ11"/>
  <c r="AZ18"/>
  <c r="AZ36"/>
  <c r="AZ48"/>
  <c r="AZ60"/>
  <c r="BA15"/>
  <c r="BA32"/>
  <c r="BA40"/>
  <c r="BA27"/>
  <c r="BB11"/>
  <c r="BB18"/>
  <c r="BB36"/>
  <c r="BB48"/>
  <c r="BB60"/>
  <c r="BC15"/>
  <c r="BC32"/>
  <c r="BC39"/>
  <c r="BC29"/>
  <c r="BC65"/>
  <c r="AR21"/>
  <c r="AR38"/>
  <c r="AR46"/>
  <c r="BE13"/>
  <c r="BE34"/>
  <c r="BE42"/>
  <c r="AQ16"/>
  <c r="AQ45"/>
  <c r="AQ26"/>
  <c r="AT15"/>
  <c r="AT32"/>
  <c r="AT40"/>
  <c r="AT27"/>
  <c r="Y11"/>
  <c r="Y18"/>
  <c r="Y42"/>
  <c r="Y29"/>
  <c r="V10"/>
  <c r="V39"/>
  <c r="V47"/>
  <c r="V59"/>
  <c r="AO19"/>
  <c r="AO38"/>
  <c r="AO46"/>
  <c r="AO57"/>
  <c r="AV11"/>
  <c r="AV18"/>
  <c r="AV36"/>
  <c r="AV48"/>
  <c r="AV60"/>
  <c r="AA15"/>
  <c r="AA38"/>
  <c r="AA46"/>
  <c r="AA57"/>
  <c r="BI19"/>
  <c r="BI38"/>
  <c r="BI60"/>
  <c r="BJ19" i="262"/>
  <c r="BJ39"/>
  <c r="BJ47"/>
  <c r="T39"/>
  <c r="T47"/>
  <c r="T57"/>
  <c r="U35"/>
  <c r="U60"/>
  <c r="X10"/>
  <c r="X34"/>
  <c r="X42"/>
  <c r="X27"/>
  <c r="AW10"/>
  <c r="AW35"/>
  <c r="AW43"/>
  <c r="AW27"/>
  <c r="AX11"/>
  <c r="AX18"/>
  <c r="AX36"/>
  <c r="AX46"/>
  <c r="AX57"/>
  <c r="AY13"/>
  <c r="AY34"/>
  <c r="AY48"/>
  <c r="AY60"/>
  <c r="AZ15"/>
  <c r="AZ32"/>
  <c r="AZ40"/>
  <c r="AZ27"/>
  <c r="BA11"/>
  <c r="BA18"/>
  <c r="BA36"/>
  <c r="BA48"/>
  <c r="BA60"/>
  <c r="BB15"/>
  <c r="BB32"/>
  <c r="BB40"/>
  <c r="BB27"/>
  <c r="BC11"/>
  <c r="BC18"/>
  <c r="BC36"/>
  <c r="BC46"/>
  <c r="BC57"/>
  <c r="AR13"/>
  <c r="AR34"/>
  <c r="AR42"/>
  <c r="AR29"/>
  <c r="BE21"/>
  <c r="BE38"/>
  <c r="BE46"/>
  <c r="AQ41"/>
  <c r="AQ50"/>
  <c r="AT11"/>
  <c r="AT18"/>
  <c r="AT36"/>
  <c r="AT48"/>
  <c r="AT60"/>
  <c r="Y15"/>
  <c r="Y38"/>
  <c r="Y46"/>
  <c r="Y57"/>
  <c r="V22"/>
  <c r="V43"/>
  <c r="V29"/>
  <c r="AO10"/>
  <c r="AO35"/>
  <c r="AO42"/>
  <c r="AO38"/>
  <c r="AO29"/>
  <c r="AO65"/>
  <c r="AV15"/>
  <c r="AV32"/>
  <c r="AV40"/>
  <c r="AV27"/>
  <c r="AA11"/>
  <c r="AA18"/>
  <c r="AA42"/>
  <c r="AA29"/>
  <c r="BI10"/>
  <c r="BI34"/>
  <c r="BI42"/>
  <c r="BJ10" i="263"/>
  <c r="BJ35"/>
  <c r="BJ43"/>
  <c r="BI16"/>
  <c r="BI40"/>
  <c r="BI29"/>
  <c r="BI65"/>
  <c r="I352" i="154"/>
  <c r="BQ29" i="263"/>
  <c r="BS29"/>
  <c r="BU29"/>
  <c r="BW29"/>
  <c r="BY29"/>
  <c r="CA29"/>
  <c r="CC29"/>
  <c r="CE29"/>
  <c r="CG29"/>
  <c r="CI29"/>
  <c r="CK29"/>
  <c r="CM29"/>
  <c r="CO29"/>
  <c r="CQ29"/>
  <c r="AA38" i="256"/>
  <c r="AW60" i="248"/>
  <c r="AZ36"/>
  <c r="BC11"/>
  <c r="BE38"/>
  <c r="Y11"/>
  <c r="AA46"/>
  <c r="X34" i="258"/>
  <c r="AX46"/>
  <c r="BA18"/>
  <c r="AQ16"/>
  <c r="Y57"/>
  <c r="AA15"/>
  <c r="T57" i="259"/>
  <c r="AX29"/>
  <c r="BA36"/>
  <c r="BC39"/>
  <c r="AR29"/>
  <c r="AT27"/>
  <c r="V43"/>
  <c r="AO35"/>
  <c r="BI42"/>
  <c r="T40" i="260"/>
  <c r="U21"/>
  <c r="X28"/>
  <c r="AX30"/>
  <c r="AY26"/>
  <c r="BA26"/>
  <c r="BC28"/>
  <c r="AR35"/>
  <c r="BE39"/>
  <c r="AT50"/>
  <c r="V40"/>
  <c r="AO47"/>
  <c r="AA32"/>
  <c r="BI15"/>
  <c r="BJ32" i="261"/>
  <c r="T29"/>
  <c r="X39"/>
  <c r="AX16"/>
  <c r="AY10"/>
  <c r="AY50"/>
  <c r="BA50"/>
  <c r="BC47"/>
  <c r="AR65"/>
  <c r="BE35"/>
  <c r="BE65"/>
  <c r="AQ46"/>
  <c r="AT45"/>
  <c r="Y47"/>
  <c r="V19"/>
  <c r="AO18"/>
  <c r="AO59"/>
  <c r="AV41"/>
  <c r="AA48"/>
  <c r="BI40"/>
  <c r="BI57"/>
  <c r="BJ41" i="262"/>
  <c r="T40"/>
  <c r="T59"/>
  <c r="U21"/>
  <c r="BJ57"/>
  <c r="X35"/>
  <c r="X28"/>
  <c r="AW32"/>
  <c r="AW26"/>
  <c r="AX30"/>
  <c r="AY45"/>
  <c r="AZ45"/>
  <c r="BA45"/>
  <c r="BB45"/>
  <c r="BC28"/>
  <c r="AR10"/>
  <c r="AR35"/>
  <c r="AR28"/>
  <c r="BE47"/>
  <c r="AQ34"/>
  <c r="AQ57"/>
  <c r="AT41"/>
  <c r="Y43"/>
  <c r="Y59"/>
  <c r="V40"/>
  <c r="AO32"/>
  <c r="AO47"/>
  <c r="AV45"/>
  <c r="AA16"/>
  <c r="AA39"/>
  <c r="AA30"/>
  <c r="BI39"/>
  <c r="BJ32" i="263"/>
  <c r="BJ47"/>
  <c r="BI38"/>
  <c r="BQ30"/>
  <c r="BT26"/>
  <c r="BW28"/>
  <c r="BY30"/>
  <c r="CB26"/>
  <c r="CE28"/>
  <c r="CG30"/>
  <c r="CJ26"/>
  <c r="CM28"/>
  <c r="CO26"/>
  <c r="CQ27"/>
  <c r="CS28"/>
  <c r="CT26"/>
  <c r="CU30"/>
  <c r="CW28"/>
  <c r="CX26"/>
  <c r="CY30"/>
  <c r="DA30"/>
  <c r="DC28"/>
  <c r="DD26"/>
  <c r="DE30"/>
  <c r="DG28"/>
  <c r="BQ29" i="262"/>
  <c r="BS29"/>
  <c r="BU29"/>
  <c r="BW29"/>
  <c r="BY29"/>
  <c r="CA29"/>
  <c r="CC29"/>
  <c r="CE29"/>
  <c r="CG29"/>
  <c r="CI29"/>
  <c r="CK29"/>
  <c r="CM29"/>
  <c r="CO29"/>
  <c r="CQ29"/>
  <c r="CS29"/>
  <c r="CU29"/>
  <c r="CW29"/>
  <c r="CY29"/>
  <c r="DB27"/>
  <c r="DD27"/>
  <c r="DF27"/>
  <c r="BP30" i="261"/>
  <c r="BR28"/>
  <c r="BS26"/>
  <c r="BT30"/>
  <c r="BV28"/>
  <c r="BW26"/>
  <c r="BX30"/>
  <c r="BZ28"/>
  <c r="CA26"/>
  <c r="CB30"/>
  <c r="CD28"/>
  <c r="CE26"/>
  <c r="CF30"/>
  <c r="CH28"/>
  <c r="CI26"/>
  <c r="CJ30"/>
  <c r="CL28"/>
  <c r="CM26"/>
  <c r="CN30"/>
  <c r="CP28"/>
  <c r="CQ26"/>
  <c r="CR30"/>
  <c r="CT28"/>
  <c r="CU26"/>
  <c r="CV30"/>
  <c r="CX28"/>
  <c r="CY26"/>
  <c r="DA26"/>
  <c r="DB30"/>
  <c r="DD28"/>
  <c r="DE26"/>
  <c r="DF30"/>
  <c r="BP27" i="260"/>
  <c r="BQ27"/>
  <c r="BS27"/>
  <c r="BU27"/>
  <c r="BW27"/>
  <c r="BY27"/>
  <c r="CA27"/>
  <c r="CC27"/>
  <c r="CE27"/>
  <c r="CG27"/>
  <c r="CI27"/>
  <c r="CK27"/>
  <c r="CM27"/>
  <c r="CO27"/>
  <c r="CQ27"/>
  <c r="CS27"/>
  <c r="CU27"/>
  <c r="CW27"/>
  <c r="CY27"/>
  <c r="DB29"/>
  <c r="DD29"/>
  <c r="DF29"/>
  <c r="BP28" i="259"/>
  <c r="BQ30"/>
  <c r="BS28"/>
  <c r="BT26"/>
  <c r="BU30"/>
  <c r="BW28"/>
  <c r="BX26"/>
  <c r="BY30"/>
  <c r="CA28"/>
  <c r="CB26"/>
  <c r="CC30"/>
  <c r="CE28"/>
  <c r="CF26"/>
  <c r="CG30"/>
  <c r="CI28"/>
  <c r="CJ26"/>
  <c r="CK30"/>
  <c r="CM28"/>
  <c r="CN26"/>
  <c r="CO30"/>
  <c r="CQ28"/>
  <c r="CR26"/>
  <c r="CS30"/>
  <c r="CU28"/>
  <c r="CV26"/>
  <c r="CW30"/>
  <c r="CY28"/>
  <c r="DA28"/>
  <c r="DB26"/>
  <c r="DC30"/>
  <c r="DE28"/>
  <c r="DF26"/>
  <c r="DG30"/>
  <c r="BQ26" i="258"/>
  <c r="BR30"/>
  <c r="BT28"/>
  <c r="BU26"/>
  <c r="BV30"/>
  <c r="BX28"/>
  <c r="BY26"/>
  <c r="BZ30"/>
  <c r="CB28"/>
  <c r="CC26"/>
  <c r="CD30"/>
  <c r="CF28"/>
  <c r="CG26"/>
  <c r="CH30"/>
  <c r="CJ28"/>
  <c r="CK26"/>
  <c r="CL30"/>
  <c r="CN28"/>
  <c r="CO26"/>
  <c r="CP30"/>
  <c r="CR28"/>
  <c r="CS26"/>
  <c r="CT30"/>
  <c r="CV28"/>
  <c r="CW26"/>
  <c r="CX30"/>
  <c r="CZ28"/>
  <c r="DB28"/>
  <c r="DC26"/>
  <c r="DD30"/>
  <c r="DF28"/>
  <c r="DG26"/>
  <c r="BP29" i="248"/>
  <c r="BR29"/>
  <c r="BT29"/>
  <c r="BV29"/>
  <c r="BX29"/>
  <c r="BZ29"/>
  <c r="CB29"/>
  <c r="CD29"/>
  <c r="CF29"/>
  <c r="CH29"/>
  <c r="CJ29"/>
  <c r="CL29"/>
  <c r="CN29"/>
  <c r="CP29"/>
  <c r="CR29"/>
  <c r="CT29"/>
  <c r="CV29"/>
  <c r="CX29"/>
  <c r="DA27"/>
  <c r="DC27"/>
  <c r="DE27"/>
  <c r="DG27"/>
  <c r="BQ28" i="256"/>
  <c r="BR26"/>
  <c r="BS30"/>
  <c r="BU28"/>
  <c r="BV26"/>
  <c r="BW30"/>
  <c r="BY28"/>
  <c r="BZ26"/>
  <c r="CA30"/>
  <c r="CC28"/>
  <c r="CD26"/>
  <c r="CE30"/>
  <c r="CG28"/>
  <c r="CH26"/>
  <c r="CI30"/>
  <c r="CK28"/>
  <c r="CL26"/>
  <c r="CM30"/>
  <c r="CO28"/>
  <c r="CP26"/>
  <c r="CQ30"/>
  <c r="CS28"/>
  <c r="CT26"/>
  <c r="CU30"/>
  <c r="CW28"/>
  <c r="CX26"/>
  <c r="CY30"/>
  <c r="DA30"/>
  <c r="DC28"/>
  <c r="DD26"/>
  <c r="DE30"/>
  <c r="DG28"/>
  <c r="BQ29" i="255"/>
  <c r="BS29"/>
  <c r="BU29"/>
  <c r="BW29"/>
  <c r="BY29"/>
  <c r="CA29"/>
  <c r="CC29"/>
  <c r="CE29"/>
  <c r="CG29"/>
  <c r="CI29"/>
  <c r="CK29"/>
  <c r="CM29"/>
  <c r="CO29"/>
  <c r="CQ29"/>
  <c r="CS29"/>
  <c r="CU29"/>
  <c r="CW29"/>
  <c r="CY29"/>
  <c r="DB27"/>
  <c r="DD27"/>
  <c r="DF27"/>
  <c r="BP30" i="257"/>
  <c r="BR28"/>
  <c r="BS26"/>
  <c r="BT30"/>
  <c r="BV28"/>
  <c r="BW26"/>
  <c r="BX30"/>
  <c r="BZ28"/>
  <c r="CA26"/>
  <c r="CB30"/>
  <c r="CD28"/>
  <c r="CE26"/>
  <c r="CF30"/>
  <c r="CH28"/>
  <c r="CI26"/>
  <c r="CJ30"/>
  <c r="CL28"/>
  <c r="CM26"/>
  <c r="CN30"/>
  <c r="CP28"/>
  <c r="CQ26"/>
  <c r="CR30"/>
  <c r="CT28"/>
  <c r="CU26"/>
  <c r="CV30"/>
  <c r="CX28"/>
  <c r="CY26"/>
  <c r="DA26"/>
  <c r="DB30"/>
  <c r="DD28"/>
  <c r="DE26"/>
  <c r="DF30"/>
  <c r="BQ22" i="263"/>
  <c r="BW22"/>
  <c r="CE22"/>
  <c r="CM22"/>
  <c r="CU22"/>
  <c r="DC22"/>
  <c r="BV22" i="262"/>
  <c r="CD22"/>
  <c r="CL22"/>
  <c r="CT22"/>
  <c r="DB22"/>
  <c r="BU22" i="261"/>
  <c r="CC22"/>
  <c r="CK22"/>
  <c r="CS22"/>
  <c r="DA22"/>
  <c r="BT22" i="260"/>
  <c r="CB22"/>
  <c r="CJ22"/>
  <c r="CR22"/>
  <c r="CZ22"/>
  <c r="BQ22" i="259"/>
  <c r="BW22"/>
  <c r="CE22"/>
  <c r="CM22"/>
  <c r="CU22"/>
  <c r="DC22"/>
  <c r="BV22" i="258"/>
  <c r="CD22"/>
  <c r="CL22"/>
  <c r="CT22"/>
  <c r="DB22"/>
  <c r="BU22" i="248"/>
  <c r="CC22"/>
  <c r="CK22"/>
  <c r="CS22"/>
  <c r="DA22"/>
  <c r="BT22" i="256"/>
  <c r="CB22"/>
  <c r="CJ22"/>
  <c r="CR22"/>
  <c r="CZ22"/>
  <c r="BQ22" i="255"/>
  <c r="BW22"/>
  <c r="CE22"/>
  <c r="CM22"/>
  <c r="CU22"/>
  <c r="DC22"/>
  <c r="BV22" i="257"/>
  <c r="CD22"/>
  <c r="CL22"/>
  <c r="CT22"/>
  <c r="DB22"/>
  <c r="BT21" i="263"/>
  <c r="CB21"/>
  <c r="CJ21"/>
  <c r="CR21"/>
  <c r="CZ21"/>
  <c r="BV21" i="262"/>
  <c r="CD21"/>
  <c r="CL21"/>
  <c r="CT21"/>
  <c r="DB21"/>
  <c r="BT21" i="261"/>
  <c r="CB21"/>
  <c r="CJ21"/>
  <c r="CR21"/>
  <c r="CZ21"/>
  <c r="BV21" i="260"/>
  <c r="CD21"/>
  <c r="CL21"/>
  <c r="CT21"/>
  <c r="DB21"/>
  <c r="BT21" i="259"/>
  <c r="CB21"/>
  <c r="CJ21"/>
  <c r="CR21"/>
  <c r="CZ21"/>
  <c r="BV21" i="258"/>
  <c r="CD21"/>
  <c r="CL21"/>
  <c r="CT21"/>
  <c r="DB21"/>
  <c r="BT21" i="248"/>
  <c r="CB21"/>
  <c r="CJ21"/>
  <c r="CR21"/>
  <c r="CZ21"/>
  <c r="BV21" i="256"/>
  <c r="CD21"/>
  <c r="CL21"/>
  <c r="CT21"/>
  <c r="DB21"/>
  <c r="BT21" i="255"/>
  <c r="CB21"/>
  <c r="CJ21"/>
  <c r="CR21"/>
  <c r="CZ21"/>
  <c r="BV21" i="257"/>
  <c r="CD21"/>
  <c r="CL21"/>
  <c r="CT21"/>
  <c r="DB21"/>
  <c r="BT19" i="262"/>
  <c r="BX19"/>
  <c r="CB19"/>
  <c r="CF19"/>
  <c r="CJ19"/>
  <c r="CN19"/>
  <c r="CR19"/>
  <c r="CV19"/>
  <c r="CZ19"/>
  <c r="DD19"/>
  <c r="BS19" i="260"/>
  <c r="BW19"/>
  <c r="CA19"/>
  <c r="CE19"/>
  <c r="CI19"/>
  <c r="CM19"/>
  <c r="CQ19"/>
  <c r="CU19"/>
  <c r="CY19"/>
  <c r="DC19"/>
  <c r="DG19"/>
  <c r="BU19" i="259"/>
  <c r="BY19"/>
  <c r="CC19"/>
  <c r="CG19"/>
  <c r="CK19"/>
  <c r="CO19"/>
  <c r="CS19"/>
  <c r="CW19"/>
  <c r="DA19"/>
  <c r="DE19"/>
  <c r="BS19" i="258"/>
  <c r="BW19"/>
  <c r="CA19"/>
  <c r="CE19"/>
  <c r="CI19"/>
  <c r="CM19"/>
  <c r="CQ19"/>
  <c r="CU19"/>
  <c r="CY19"/>
  <c r="DC19"/>
  <c r="DG19"/>
  <c r="BV19" i="256"/>
  <c r="BZ19"/>
  <c r="CD19"/>
  <c r="CH19"/>
  <c r="CL19"/>
  <c r="CP19"/>
  <c r="CT19"/>
  <c r="CX19"/>
  <c r="DB19"/>
  <c r="DF19"/>
  <c r="BU19" i="257"/>
  <c r="BY19"/>
  <c r="CC19"/>
  <c r="CG19"/>
  <c r="CK19"/>
  <c r="CO19"/>
  <c r="CS19"/>
  <c r="CW19"/>
  <c r="DA19"/>
  <c r="DE19"/>
  <c r="BT15" i="263"/>
  <c r="BX15"/>
  <c r="CB15"/>
  <c r="CF15"/>
  <c r="CJ15"/>
  <c r="CN15"/>
  <c r="CR15"/>
  <c r="CV15"/>
  <c r="CZ15"/>
  <c r="DD15"/>
  <c r="BS16" i="262"/>
  <c r="BW16"/>
  <c r="CA16"/>
  <c r="CE16"/>
  <c r="CI16"/>
  <c r="CM16"/>
  <c r="CQ16"/>
  <c r="CU16"/>
  <c r="CY16"/>
  <c r="DC16"/>
  <c r="DG16"/>
  <c r="BU16" i="261"/>
  <c r="BY16"/>
  <c r="CC16"/>
  <c r="CG16"/>
  <c r="CK16"/>
  <c r="CO16"/>
  <c r="CS16"/>
  <c r="CW16"/>
  <c r="DA16"/>
  <c r="DE16"/>
  <c r="BV15" i="260"/>
  <c r="BZ15"/>
  <c r="CD15"/>
  <c r="CH15"/>
  <c r="CL15"/>
  <c r="CP15"/>
  <c r="CT15"/>
  <c r="CX15"/>
  <c r="DB15"/>
  <c r="DF15"/>
  <c r="BT15" i="259"/>
  <c r="BX15"/>
  <c r="CB15"/>
  <c r="CF15"/>
  <c r="CJ15"/>
  <c r="CN15"/>
  <c r="CR15"/>
  <c r="CV15"/>
  <c r="CZ15"/>
  <c r="DD15"/>
  <c r="BS16" i="258"/>
  <c r="BW16"/>
  <c r="CA16"/>
  <c r="CE16"/>
  <c r="CI16"/>
  <c r="CM16"/>
  <c r="CQ16"/>
  <c r="CU16"/>
  <c r="CY16"/>
  <c r="DC16"/>
  <c r="DG16"/>
  <c r="BU16" i="248"/>
  <c r="BY16"/>
  <c r="CC16"/>
  <c r="CG16"/>
  <c r="CK16"/>
  <c r="CO16"/>
  <c r="CS16"/>
  <c r="CW16"/>
  <c r="DA16"/>
  <c r="DE16"/>
  <c r="BV15" i="256"/>
  <c r="BZ15"/>
  <c r="CD15"/>
  <c r="CH15"/>
  <c r="CL15"/>
  <c r="CP15"/>
  <c r="CT15"/>
  <c r="CX15"/>
  <c r="DB15"/>
  <c r="DF15"/>
  <c r="BT15" i="255"/>
  <c r="BX15"/>
  <c r="CB15"/>
  <c r="CF15"/>
  <c r="CJ15"/>
  <c r="CN15"/>
  <c r="CR15"/>
  <c r="CV15"/>
  <c r="CZ15"/>
  <c r="DD15"/>
  <c r="BS16" i="257"/>
  <c r="BW16"/>
  <c r="CA16"/>
  <c r="CE16"/>
  <c r="CI16"/>
  <c r="CM16"/>
  <c r="CQ16"/>
  <c r="CU16"/>
  <c r="CY16"/>
  <c r="DC16"/>
  <c r="DG16"/>
  <c r="BZ13" i="263"/>
  <c r="CH13"/>
  <c r="CP13"/>
  <c r="CX13"/>
  <c r="DF13"/>
  <c r="BW13" i="262"/>
  <c r="CE13"/>
  <c r="CM13"/>
  <c r="CU13"/>
  <c r="DC13"/>
  <c r="BT13" i="261"/>
  <c r="CB13"/>
  <c r="CJ13"/>
  <c r="CR13"/>
  <c r="CZ13"/>
  <c r="BU13" i="260"/>
  <c r="CC13"/>
  <c r="CK13"/>
  <c r="CS13"/>
  <c r="DA13"/>
  <c r="BV13" i="259"/>
  <c r="CD13"/>
  <c r="CL13"/>
  <c r="CT13"/>
  <c r="DB13"/>
  <c r="BS13" i="258"/>
  <c r="CA13"/>
  <c r="CI13"/>
  <c r="CQ13"/>
  <c r="CY13"/>
  <c r="DG13"/>
  <c r="BX13" i="248"/>
  <c r="CF13"/>
  <c r="CN13"/>
  <c r="CV13"/>
  <c r="DD13"/>
  <c r="BY13" i="256"/>
  <c r="CG13"/>
  <c r="CO13"/>
  <c r="CW13"/>
  <c r="DE13"/>
  <c r="BZ13" i="255"/>
  <c r="CH13"/>
  <c r="CP13"/>
  <c r="CX13"/>
  <c r="DF13"/>
  <c r="BW13" i="257"/>
  <c r="CE13"/>
  <c r="CM13"/>
  <c r="CU13"/>
  <c r="DC13"/>
  <c r="BQ11" i="263"/>
  <c r="BU10"/>
  <c r="BY10"/>
  <c r="CC10"/>
  <c r="CG10"/>
  <c r="CK10"/>
  <c r="CO10"/>
  <c r="CS10"/>
  <c r="AA29" i="256"/>
  <c r="AY38" i="248"/>
  <c r="BB11"/>
  <c r="V39"/>
  <c r="U30" i="258"/>
  <c r="AX65"/>
  <c r="BB60"/>
  <c r="AQ41"/>
  <c r="AA38"/>
  <c r="AW60" i="259"/>
  <c r="AZ36"/>
  <c r="BC46"/>
  <c r="BE34"/>
  <c r="AT18"/>
  <c r="Y46"/>
  <c r="AO42"/>
  <c r="AA42"/>
  <c r="BJ19" i="260"/>
  <c r="AW11"/>
  <c r="AW50"/>
  <c r="AX59"/>
  <c r="AZ16"/>
  <c r="BA16"/>
  <c r="BB16"/>
  <c r="BC16"/>
  <c r="BC30"/>
  <c r="AR30"/>
  <c r="BE43"/>
  <c r="AQ38"/>
  <c r="AT26"/>
  <c r="Y39"/>
  <c r="V60"/>
  <c r="AO28"/>
  <c r="AA35"/>
  <c r="BI18"/>
  <c r="BJ11" i="261"/>
  <c r="T40"/>
  <c r="U21"/>
  <c r="X28"/>
  <c r="AX30"/>
  <c r="AY26"/>
  <c r="BA26"/>
  <c r="BC28"/>
  <c r="AR35"/>
  <c r="BE39"/>
  <c r="AT50"/>
  <c r="V40"/>
  <c r="AO47"/>
  <c r="AA32"/>
  <c r="AA26"/>
  <c r="BI11"/>
  <c r="BI35"/>
  <c r="BJ11" i="262"/>
  <c r="BJ36"/>
  <c r="T26"/>
  <c r="U22"/>
  <c r="BJ28"/>
  <c r="X36"/>
  <c r="AW16"/>
  <c r="AW46"/>
  <c r="AW65"/>
  <c r="AX21"/>
  <c r="AX48"/>
  <c r="AY32"/>
  <c r="AY46"/>
  <c r="AY65"/>
  <c r="AZ21"/>
  <c r="AZ46"/>
  <c r="AZ65"/>
  <c r="BA21"/>
  <c r="BA46"/>
  <c r="BA65"/>
  <c r="BB21"/>
  <c r="BB46"/>
  <c r="BB65"/>
  <c r="BC21"/>
  <c r="BC60"/>
  <c r="AR18"/>
  <c r="AR27"/>
  <c r="BE15"/>
  <c r="BE40"/>
  <c r="BE59"/>
  <c r="AQ19"/>
  <c r="AQ43"/>
  <c r="AQ59"/>
  <c r="AT42"/>
  <c r="Y13"/>
  <c r="Y36"/>
  <c r="Y60"/>
  <c r="V41"/>
  <c r="AO16"/>
  <c r="AO48"/>
  <c r="AV21"/>
  <c r="AV46"/>
  <c r="AV65"/>
  <c r="AA48"/>
  <c r="BI40"/>
  <c r="BI57"/>
  <c r="BJ41" i="263"/>
  <c r="BI41"/>
  <c r="BI59"/>
  <c r="BS27"/>
  <c r="BW27"/>
  <c r="CA27"/>
  <c r="CE27"/>
  <c r="CI27"/>
  <c r="CM27"/>
  <c r="CO30"/>
  <c r="CQ26"/>
  <c r="CS27"/>
  <c r="CU27"/>
  <c r="CW27"/>
  <c r="CY27"/>
  <c r="DB29"/>
  <c r="DD29"/>
  <c r="DF29"/>
  <c r="BP28" i="262"/>
  <c r="BQ30"/>
  <c r="BS28"/>
  <c r="BT26"/>
  <c r="BU30"/>
  <c r="BW28"/>
  <c r="BX26"/>
  <c r="BY30"/>
  <c r="CA28"/>
  <c r="CB26"/>
  <c r="CC30"/>
  <c r="CE28"/>
  <c r="CF26"/>
  <c r="CG30"/>
  <c r="CI28"/>
  <c r="CJ26"/>
  <c r="CK30"/>
  <c r="CM28"/>
  <c r="CN26"/>
  <c r="CO30"/>
  <c r="CQ28"/>
  <c r="CR26"/>
  <c r="CS30"/>
  <c r="CU28"/>
  <c r="CV26"/>
  <c r="CW30"/>
  <c r="CY28"/>
  <c r="DA28"/>
  <c r="DB26"/>
  <c r="DC30"/>
  <c r="DE28"/>
  <c r="DF26"/>
  <c r="DG30"/>
  <c r="BR27" i="261"/>
  <c r="BT27"/>
  <c r="BV27"/>
  <c r="BX27"/>
  <c r="BZ27"/>
  <c r="CB27"/>
  <c r="CD27"/>
  <c r="CF27"/>
  <c r="CH27"/>
  <c r="CJ27"/>
  <c r="CL27"/>
  <c r="CN27"/>
  <c r="CP27"/>
  <c r="CR27"/>
  <c r="CT27"/>
  <c r="CV27"/>
  <c r="CX27"/>
  <c r="DA29"/>
  <c r="DC29"/>
  <c r="DE29"/>
  <c r="DG29"/>
  <c r="BQ26" i="260"/>
  <c r="BR30"/>
  <c r="BT28"/>
  <c r="BU26"/>
  <c r="BV30"/>
  <c r="BX28"/>
  <c r="BY26"/>
  <c r="BZ30"/>
  <c r="CB28"/>
  <c r="CC26"/>
  <c r="CD30"/>
  <c r="CF28"/>
  <c r="CG26"/>
  <c r="CH30"/>
  <c r="CJ28"/>
  <c r="CK26"/>
  <c r="CL30"/>
  <c r="CN28"/>
  <c r="CO26"/>
  <c r="CP30"/>
  <c r="CR28"/>
  <c r="CS26"/>
  <c r="CT30"/>
  <c r="CV28"/>
  <c r="CW26"/>
  <c r="CX30"/>
  <c r="CZ28"/>
  <c r="DB28"/>
  <c r="DC26"/>
  <c r="DD30"/>
  <c r="DF28"/>
  <c r="DG26"/>
  <c r="BP29" i="259"/>
  <c r="BR29"/>
  <c r="BT29"/>
  <c r="BV29"/>
  <c r="BX29"/>
  <c r="BZ29"/>
  <c r="CB29"/>
  <c r="CD29"/>
  <c r="CF29"/>
  <c r="CH29"/>
  <c r="CJ29"/>
  <c r="CL29"/>
  <c r="CN29"/>
  <c r="CP29"/>
  <c r="CR29"/>
  <c r="CT29"/>
  <c r="CV29"/>
  <c r="CX29"/>
  <c r="DA27"/>
  <c r="DC27"/>
  <c r="DE27"/>
  <c r="DG27"/>
  <c r="BR27" i="258"/>
  <c r="BT27"/>
  <c r="BV27"/>
  <c r="BX27"/>
  <c r="BZ27"/>
  <c r="CB27"/>
  <c r="CD27"/>
  <c r="CF27"/>
  <c r="CH27"/>
  <c r="CJ27"/>
  <c r="CL27"/>
  <c r="CN27"/>
  <c r="CP27"/>
  <c r="CR27"/>
  <c r="CT27"/>
  <c r="CV27"/>
  <c r="CX27"/>
  <c r="DA29"/>
  <c r="DC29"/>
  <c r="DE29"/>
  <c r="DG29"/>
  <c r="BQ26" i="248"/>
  <c r="BR30"/>
  <c r="BT28"/>
  <c r="BU26"/>
  <c r="BV30"/>
  <c r="BX28"/>
  <c r="BY26"/>
  <c r="BZ30"/>
  <c r="CB28"/>
  <c r="CC26"/>
  <c r="CD30"/>
  <c r="CF28"/>
  <c r="CG26"/>
  <c r="CH30"/>
  <c r="CJ28"/>
  <c r="CK26"/>
  <c r="CL30"/>
  <c r="CN28"/>
  <c r="CO26"/>
  <c r="CP30"/>
  <c r="CR28"/>
  <c r="CS26"/>
  <c r="CT30"/>
  <c r="CV28"/>
  <c r="CW26"/>
  <c r="CX30"/>
  <c r="CZ28"/>
  <c r="DB28"/>
  <c r="DC26"/>
  <c r="DD30"/>
  <c r="DF28"/>
  <c r="DG26"/>
  <c r="BP29" i="256"/>
  <c r="BR29"/>
  <c r="BT29"/>
  <c r="BV29"/>
  <c r="BX29"/>
  <c r="BZ29"/>
  <c r="CB29"/>
  <c r="CD29"/>
  <c r="CF29"/>
  <c r="CH29"/>
  <c r="CJ29"/>
  <c r="CL29"/>
  <c r="CN29"/>
  <c r="CP29"/>
  <c r="CR29"/>
  <c r="CT29"/>
  <c r="CV29"/>
  <c r="CX29"/>
  <c r="DA27"/>
  <c r="DC27"/>
  <c r="DE27"/>
  <c r="DG27"/>
  <c r="BQ28" i="255"/>
  <c r="BR26"/>
  <c r="BS30"/>
  <c r="BU28"/>
  <c r="BV26"/>
  <c r="BW30"/>
  <c r="BY28"/>
  <c r="BZ26"/>
  <c r="CA30"/>
  <c r="CC28"/>
  <c r="CD26"/>
  <c r="CE30"/>
  <c r="CG28"/>
  <c r="CH26"/>
  <c r="CI30"/>
  <c r="CK28"/>
  <c r="CL26"/>
  <c r="CM30"/>
  <c r="CO28"/>
  <c r="CP26"/>
  <c r="CQ30"/>
  <c r="CS28"/>
  <c r="CT26"/>
  <c r="CU30"/>
  <c r="CW28"/>
  <c r="CX26"/>
  <c r="CY30"/>
  <c r="DA30"/>
  <c r="DC28"/>
  <c r="DD26"/>
  <c r="DE30"/>
  <c r="DG28"/>
  <c r="BQ29" i="257"/>
  <c r="BS29"/>
  <c r="BU29"/>
  <c r="BW29"/>
  <c r="BY29"/>
  <c r="CA29"/>
  <c r="CC29"/>
  <c r="CE29"/>
  <c r="CG29"/>
  <c r="CI29"/>
  <c r="CK29"/>
  <c r="CM29"/>
  <c r="CO29"/>
  <c r="CQ29"/>
  <c r="CS29"/>
  <c r="CU29"/>
  <c r="CW29"/>
  <c r="CY29"/>
  <c r="DB27"/>
  <c r="DD27"/>
  <c r="DF27"/>
  <c r="BT22" i="263"/>
  <c r="CB22"/>
  <c r="CJ22"/>
  <c r="CR22"/>
  <c r="CZ22"/>
  <c r="BQ22" i="262"/>
  <c r="BW22"/>
  <c r="CE22"/>
  <c r="CM22"/>
  <c r="CU22"/>
  <c r="DC22"/>
  <c r="BV22" i="261"/>
  <c r="CD22"/>
  <c r="CL22"/>
  <c r="CT22"/>
  <c r="DB22"/>
  <c r="BU22" i="260"/>
  <c r="CC22"/>
  <c r="CK22"/>
  <c r="CS22"/>
  <c r="DA22"/>
  <c r="BT22" i="259"/>
  <c r="CB22"/>
  <c r="CJ22"/>
  <c r="CR22"/>
  <c r="CZ22"/>
  <c r="BQ22" i="258"/>
  <c r="BW22"/>
  <c r="CE22"/>
  <c r="CM22"/>
  <c r="CU22"/>
  <c r="DC22"/>
  <c r="BV22" i="248"/>
  <c r="CD22"/>
  <c r="CL22"/>
  <c r="CT22"/>
  <c r="DB22"/>
  <c r="BU22" i="256"/>
  <c r="AY27" i="248"/>
  <c r="BB36"/>
  <c r="AO46"/>
  <c r="X10" i="258"/>
  <c r="AX11"/>
  <c r="BA60"/>
  <c r="AR42"/>
  <c r="Y18"/>
  <c r="AA29"/>
  <c r="AY38" i="259"/>
  <c r="BB11"/>
  <c r="BC29"/>
  <c r="BE42"/>
  <c r="AT36"/>
  <c r="Y29"/>
  <c r="AO10"/>
  <c r="AA11"/>
  <c r="BJ35" i="260"/>
  <c r="T48"/>
  <c r="U36"/>
  <c r="X11"/>
  <c r="AW15"/>
  <c r="AW26"/>
  <c r="AY45"/>
  <c r="BA45"/>
  <c r="BC59"/>
  <c r="AR43"/>
  <c r="BE57"/>
  <c r="AQ57"/>
  <c r="AT41"/>
  <c r="Y59"/>
  <c r="AO15"/>
  <c r="AO30"/>
  <c r="AA16"/>
  <c r="AA30"/>
  <c r="BJ40" i="261"/>
  <c r="AW11"/>
  <c r="AW50"/>
  <c r="AX59"/>
  <c r="AZ16"/>
  <c r="BA16"/>
  <c r="BB16"/>
  <c r="BC16"/>
  <c r="BC30"/>
  <c r="AR30"/>
  <c r="BE43"/>
  <c r="AQ38"/>
  <c r="AT26"/>
  <c r="Y39"/>
  <c r="V60"/>
  <c r="AO28"/>
  <c r="AA35"/>
  <c r="AA60"/>
  <c r="BI29"/>
  <c r="BJ45" i="262"/>
  <c r="T29"/>
  <c r="BJ29"/>
  <c r="AW11"/>
  <c r="AW36"/>
  <c r="AX16"/>
  <c r="AX28"/>
  <c r="AY10"/>
  <c r="AY35"/>
  <c r="AZ16"/>
  <c r="AZ50"/>
  <c r="BA41"/>
  <c r="BB16"/>
  <c r="BB50"/>
  <c r="BC40"/>
  <c r="BC30"/>
  <c r="AR47"/>
  <c r="AR65"/>
  <c r="BE19"/>
  <c r="BE43"/>
  <c r="BE65"/>
  <c r="AQ21"/>
  <c r="AQ46"/>
  <c r="AQ65"/>
  <c r="AT26"/>
  <c r="Y32"/>
  <c r="Y47"/>
  <c r="V11"/>
  <c r="V36"/>
  <c r="AO11"/>
  <c r="AO43"/>
  <c r="AO59"/>
  <c r="AV41"/>
  <c r="AA35"/>
  <c r="AA26"/>
  <c r="BI11"/>
  <c r="BI35"/>
  <c r="BJ11" i="263"/>
  <c r="BJ36"/>
  <c r="BI19"/>
  <c r="BI42"/>
  <c r="BP27"/>
  <c r="BR26"/>
  <c r="BU28"/>
  <c r="BW30"/>
  <c r="BZ26"/>
  <c r="CC28"/>
  <c r="CE30"/>
  <c r="CH26"/>
  <c r="CK28"/>
  <c r="CM30"/>
  <c r="CP30"/>
  <c r="CR29"/>
  <c r="CT28"/>
  <c r="CU26"/>
  <c r="CV30"/>
  <c r="CX28"/>
  <c r="CY26"/>
  <c r="DA26"/>
  <c r="DB30"/>
  <c r="DD28"/>
  <c r="DE26"/>
  <c r="DF30"/>
  <c r="BP27" i="262"/>
  <c r="BQ27"/>
  <c r="BS27"/>
  <c r="BU27"/>
  <c r="BW27"/>
  <c r="BY27"/>
  <c r="CA27"/>
  <c r="CC27"/>
  <c r="CE27"/>
  <c r="CG27"/>
  <c r="CI27"/>
  <c r="CK27"/>
  <c r="CM27"/>
  <c r="CO27"/>
  <c r="CQ27"/>
  <c r="CS27"/>
  <c r="CU27"/>
  <c r="CW27"/>
  <c r="CY27"/>
  <c r="DB29"/>
  <c r="DD29"/>
  <c r="DF29"/>
  <c r="BP28" i="261"/>
  <c r="BQ30"/>
  <c r="BS28"/>
  <c r="BT26"/>
  <c r="BU30"/>
  <c r="BW28"/>
  <c r="BX26"/>
  <c r="BY30"/>
  <c r="CA28"/>
  <c r="CB26"/>
  <c r="CC30"/>
  <c r="CE28"/>
  <c r="CF26"/>
  <c r="CG30"/>
  <c r="CI28"/>
  <c r="CJ26"/>
  <c r="CK30"/>
  <c r="CM28"/>
  <c r="CN26"/>
  <c r="CO30"/>
  <c r="CQ28"/>
  <c r="CR26"/>
  <c r="CS30"/>
  <c r="CU28"/>
  <c r="CV26"/>
  <c r="CW30"/>
  <c r="CY28"/>
  <c r="DA28"/>
  <c r="DB26"/>
  <c r="DC30"/>
  <c r="DE28"/>
  <c r="DF26"/>
  <c r="DG30"/>
  <c r="BR27" i="260"/>
  <c r="BT27"/>
  <c r="BV27"/>
  <c r="BX27"/>
  <c r="BZ27"/>
  <c r="CB27"/>
  <c r="CD27"/>
  <c r="CF27"/>
  <c r="CH27"/>
  <c r="CJ27"/>
  <c r="CL27"/>
  <c r="CN27"/>
  <c r="CP27"/>
  <c r="CR27"/>
  <c r="CT27"/>
  <c r="CV27"/>
  <c r="CX27"/>
  <c r="DA29"/>
  <c r="DC29"/>
  <c r="DE29"/>
  <c r="DG29"/>
  <c r="BQ26" i="259"/>
  <c r="BR30"/>
  <c r="BT28"/>
  <c r="BU26"/>
  <c r="BV30"/>
  <c r="BX28"/>
  <c r="BY26"/>
  <c r="BZ30"/>
  <c r="CB28"/>
  <c r="CC26"/>
  <c r="CD30"/>
  <c r="CF28"/>
  <c r="CG26"/>
  <c r="CH30"/>
  <c r="CJ28"/>
  <c r="CK26"/>
  <c r="CL30"/>
  <c r="CN28"/>
  <c r="CO26"/>
  <c r="CP30"/>
  <c r="CR28"/>
  <c r="CS26"/>
  <c r="CT30"/>
  <c r="CV28"/>
  <c r="CW26"/>
  <c r="CX30"/>
  <c r="CZ28"/>
  <c r="DB28"/>
  <c r="DC26"/>
  <c r="DD30"/>
  <c r="DF28"/>
  <c r="DG26"/>
  <c r="BQ28" i="258"/>
  <c r="BR26"/>
  <c r="BS30"/>
  <c r="BU28"/>
  <c r="BV26"/>
  <c r="BW30"/>
  <c r="BY28"/>
  <c r="BZ26"/>
  <c r="CA30"/>
  <c r="CC28"/>
  <c r="CD26"/>
  <c r="CE30"/>
  <c r="CG28"/>
  <c r="CH26"/>
  <c r="CI30"/>
  <c r="CK28"/>
  <c r="CL26"/>
  <c r="CM30"/>
  <c r="CO28"/>
  <c r="CP26"/>
  <c r="CQ30"/>
  <c r="CS28"/>
  <c r="CT26"/>
  <c r="CU30"/>
  <c r="CW28"/>
  <c r="CX26"/>
  <c r="CY30"/>
  <c r="DA30"/>
  <c r="DC28"/>
  <c r="DD26"/>
  <c r="DE30"/>
  <c r="DG28"/>
  <c r="BQ29" i="248"/>
  <c r="BS29"/>
  <c r="BU29"/>
  <c r="BW29"/>
  <c r="BY29"/>
  <c r="CA29"/>
  <c r="CC29"/>
  <c r="CE29"/>
  <c r="CG29"/>
  <c r="CI29"/>
  <c r="CK29"/>
  <c r="CM29"/>
  <c r="CO29"/>
  <c r="CQ29"/>
  <c r="CS29"/>
  <c r="CU29"/>
  <c r="CW29"/>
  <c r="CY29"/>
  <c r="DB27"/>
  <c r="DD27"/>
  <c r="DF27"/>
  <c r="BP30" i="256"/>
  <c r="BR28"/>
  <c r="BS26"/>
  <c r="BT30"/>
  <c r="BV28"/>
  <c r="BW26"/>
  <c r="BX30"/>
  <c r="BZ28"/>
  <c r="CA26"/>
  <c r="CB30"/>
  <c r="CD28"/>
  <c r="CE26"/>
  <c r="CF30"/>
  <c r="CH28"/>
  <c r="CI26"/>
  <c r="CJ30"/>
  <c r="CL28"/>
  <c r="CM26"/>
  <c r="CN30"/>
  <c r="CP28"/>
  <c r="CQ26"/>
  <c r="CR30"/>
  <c r="CT28"/>
  <c r="CU26"/>
  <c r="CV30"/>
  <c r="CX28"/>
  <c r="CY26"/>
  <c r="DA26"/>
  <c r="DB30"/>
  <c r="DD28"/>
  <c r="DE26"/>
  <c r="DF30"/>
  <c r="BP27" i="255"/>
  <c r="BQ27"/>
  <c r="BS27"/>
  <c r="BU27"/>
  <c r="BW27"/>
  <c r="BY27"/>
  <c r="CA27"/>
  <c r="CC27"/>
  <c r="CE27"/>
  <c r="CG27"/>
  <c r="CI27"/>
  <c r="CK27"/>
  <c r="CM27"/>
  <c r="CO27"/>
  <c r="CQ27"/>
  <c r="CS27"/>
  <c r="CU27"/>
  <c r="CW27"/>
  <c r="CY27"/>
  <c r="DB29"/>
  <c r="DD29"/>
  <c r="DF29"/>
  <c r="BP28" i="257"/>
  <c r="BQ30"/>
  <c r="BS28"/>
  <c r="BT26"/>
  <c r="BU30"/>
  <c r="BW28"/>
  <c r="BX26"/>
  <c r="BY30"/>
  <c r="CA28"/>
  <c r="CB26"/>
  <c r="CC30"/>
  <c r="CE28"/>
  <c r="CF26"/>
  <c r="CG30"/>
  <c r="CI28"/>
  <c r="CJ26"/>
  <c r="CK30"/>
  <c r="CM28"/>
  <c r="CN26"/>
  <c r="CO30"/>
  <c r="CQ28"/>
  <c r="CR26"/>
  <c r="CS30"/>
  <c r="CU28"/>
  <c r="CV26"/>
  <c r="CW30"/>
  <c r="CY28"/>
  <c r="DA28"/>
  <c r="DB26"/>
  <c r="DC30"/>
  <c r="DE28"/>
  <c r="DF26"/>
  <c r="DG30"/>
  <c r="BY22" i="263"/>
  <c r="CG22"/>
  <c r="CO22"/>
  <c r="CW22"/>
  <c r="DE22"/>
  <c r="BX22" i="262"/>
  <c r="CF22"/>
  <c r="CN22"/>
  <c r="CV22"/>
  <c r="DD22"/>
  <c r="BS22" i="261"/>
  <c r="CA22"/>
  <c r="CI22"/>
  <c r="CQ22"/>
  <c r="CY22"/>
  <c r="DG22"/>
  <c r="BZ22" i="260"/>
  <c r="CH22"/>
  <c r="CP22"/>
  <c r="CX22"/>
  <c r="DF22"/>
  <c r="BY22" i="259"/>
  <c r="CG22"/>
  <c r="CO22"/>
  <c r="CW22"/>
  <c r="DE22"/>
  <c r="BX22" i="258"/>
  <c r="CF22"/>
  <c r="CN22"/>
  <c r="CV22"/>
  <c r="DD22"/>
  <c r="BS22" i="248"/>
  <c r="CA22"/>
  <c r="CI22"/>
  <c r="CQ22"/>
  <c r="CY22"/>
  <c r="DG22"/>
  <c r="BZ22" i="256"/>
  <c r="CH22"/>
  <c r="CP22"/>
  <c r="CX22"/>
  <c r="DF22"/>
  <c r="BY22" i="255"/>
  <c r="CG22"/>
  <c r="CO22"/>
  <c r="CW22"/>
  <c r="DE22"/>
  <c r="BX22" i="257"/>
  <c r="CF22"/>
  <c r="CN22"/>
  <c r="CV22"/>
  <c r="DD22"/>
  <c r="BZ21" i="263"/>
  <c r="CH21"/>
  <c r="CP21"/>
  <c r="CX21"/>
  <c r="DF21"/>
  <c r="BX21" i="262"/>
  <c r="CF21"/>
  <c r="CN21"/>
  <c r="CV21"/>
  <c r="DD21"/>
  <c r="BZ21" i="261"/>
  <c r="CH21"/>
  <c r="CP21"/>
  <c r="CX21"/>
  <c r="DF21"/>
  <c r="BX21" i="260"/>
  <c r="CF21"/>
  <c r="CN21"/>
  <c r="CV21"/>
  <c r="DD21"/>
  <c r="BZ21" i="259"/>
  <c r="CH21"/>
  <c r="CP21"/>
  <c r="CX21"/>
  <c r="DF21"/>
  <c r="BX21" i="258"/>
  <c r="CF21"/>
  <c r="CN21"/>
  <c r="CV21"/>
  <c r="DD21"/>
  <c r="BZ21" i="248"/>
  <c r="CH21"/>
  <c r="CP21"/>
  <c r="CX21"/>
  <c r="DF21"/>
  <c r="BX21" i="256"/>
  <c r="CF21"/>
  <c r="CN21"/>
  <c r="CV21"/>
  <c r="DD21"/>
  <c r="BZ21" i="255"/>
  <c r="CH21"/>
  <c r="CP21"/>
  <c r="CX21"/>
  <c r="DF21"/>
  <c r="BX21" i="257"/>
  <c r="CF21"/>
  <c r="CN21"/>
  <c r="CV21"/>
  <c r="DD21"/>
  <c r="BU19" i="262"/>
  <c r="BY19"/>
  <c r="CC19"/>
  <c r="CG19"/>
  <c r="CK19"/>
  <c r="CO19"/>
  <c r="CS19"/>
  <c r="CW19"/>
  <c r="DA19"/>
  <c r="DE19"/>
  <c r="BT19" i="260"/>
  <c r="BX19"/>
  <c r="CB19"/>
  <c r="CF19"/>
  <c r="CJ19"/>
  <c r="CN19"/>
  <c r="CR19"/>
  <c r="CV19"/>
  <c r="CZ19"/>
  <c r="DD19"/>
  <c r="BS19" i="259"/>
  <c r="BW19"/>
  <c r="CA19"/>
  <c r="CE19"/>
  <c r="CI19"/>
  <c r="CM19"/>
  <c r="CQ19"/>
  <c r="CU19"/>
  <c r="CY19"/>
  <c r="DC19"/>
  <c r="DG19"/>
  <c r="BV19" i="258"/>
  <c r="BZ19"/>
  <c r="CD19"/>
  <c r="CH19"/>
  <c r="CL19"/>
  <c r="CP19"/>
  <c r="CT19"/>
  <c r="CX19"/>
  <c r="DB19"/>
  <c r="DF19"/>
  <c r="BU19" i="256"/>
  <c r="BY19"/>
  <c r="CC19"/>
  <c r="CG19"/>
  <c r="CK19"/>
  <c r="CO19"/>
  <c r="CS19"/>
  <c r="CW19"/>
  <c r="DA19"/>
  <c r="DE19"/>
  <c r="BT19" i="257"/>
  <c r="BX19"/>
  <c r="CB19"/>
  <c r="CF19"/>
  <c r="CJ19"/>
  <c r="CN19"/>
  <c r="CR19"/>
  <c r="CV19"/>
  <c r="CZ19"/>
  <c r="DD19"/>
  <c r="BS16" i="263"/>
  <c r="BW16"/>
  <c r="CA16"/>
  <c r="CE16"/>
  <c r="CI16"/>
  <c r="CM16"/>
  <c r="CQ16"/>
  <c r="CU16"/>
  <c r="CY16"/>
  <c r="DC16"/>
  <c r="DG16"/>
  <c r="BU16" i="262"/>
  <c r="BY16"/>
  <c r="CC16"/>
  <c r="CG16"/>
  <c r="CK16"/>
  <c r="CO16"/>
  <c r="CS16"/>
  <c r="CW16"/>
  <c r="DA16"/>
  <c r="DE16"/>
  <c r="BV15" i="261"/>
  <c r="BZ15"/>
  <c r="CD15"/>
  <c r="CH15"/>
  <c r="CL15"/>
  <c r="CP15"/>
  <c r="CT15"/>
  <c r="CX15"/>
  <c r="DB15"/>
  <c r="DF15"/>
  <c r="BT15" i="260"/>
  <c r="BX15"/>
  <c r="CB15"/>
  <c r="CF15"/>
  <c r="CJ15"/>
  <c r="CN15"/>
  <c r="CR15"/>
  <c r="CV15"/>
  <c r="CZ15"/>
  <c r="DD15"/>
  <c r="BS16" i="259"/>
  <c r="BW16"/>
  <c r="CA16"/>
  <c r="CE16"/>
  <c r="CI16"/>
  <c r="CM16"/>
  <c r="CQ16"/>
  <c r="CU16"/>
  <c r="CY16"/>
  <c r="DC16"/>
  <c r="DG16"/>
  <c r="BU16" i="258"/>
  <c r="BY16"/>
  <c r="CC16"/>
  <c r="CG16"/>
  <c r="CK16"/>
  <c r="CO16"/>
  <c r="CS16"/>
  <c r="CW16"/>
  <c r="DA16"/>
  <c r="DE16"/>
  <c r="BV15" i="248"/>
  <c r="BZ15"/>
  <c r="CD15"/>
  <c r="CH15"/>
  <c r="CL15"/>
  <c r="CP15"/>
  <c r="CT15"/>
  <c r="CX15"/>
  <c r="DB15"/>
  <c r="DF15"/>
  <c r="BT15" i="256"/>
  <c r="BX15"/>
  <c r="CB15"/>
  <c r="CF15"/>
  <c r="CJ15"/>
  <c r="CN15"/>
  <c r="CR15"/>
  <c r="CV15"/>
  <c r="CZ15"/>
  <c r="DD15"/>
  <c r="BS16" i="255"/>
  <c r="BW16"/>
  <c r="CA16"/>
  <c r="CE16"/>
  <c r="CI16"/>
  <c r="CM16"/>
  <c r="CQ16"/>
  <c r="CU16"/>
  <c r="CY16"/>
  <c r="DC16"/>
  <c r="DG16"/>
  <c r="BU16" i="257"/>
  <c r="BY16"/>
  <c r="CC16"/>
  <c r="CG16"/>
  <c r="CK16"/>
  <c r="CO16"/>
  <c r="CS16"/>
  <c r="CW16"/>
  <c r="DA16"/>
  <c r="DE16"/>
  <c r="BX13" i="263"/>
  <c r="CF13"/>
  <c r="CN13"/>
  <c r="CV13"/>
  <c r="DD13"/>
  <c r="BY13" i="262"/>
  <c r="CG13"/>
  <c r="CO13"/>
  <c r="CW13"/>
  <c r="DE13"/>
  <c r="BZ13" i="261"/>
  <c r="CH13"/>
  <c r="CP13"/>
  <c r="CX13"/>
  <c r="DF13"/>
  <c r="BW13" i="260"/>
  <c r="CE13"/>
  <c r="CM13"/>
  <c r="CU13"/>
  <c r="DC13"/>
  <c r="BT13" i="259"/>
  <c r="CB13"/>
  <c r="CJ13"/>
  <c r="CR13"/>
  <c r="CZ13"/>
  <c r="BU13" i="258"/>
  <c r="CC13"/>
  <c r="CK13"/>
  <c r="CS13"/>
  <c r="DA13"/>
  <c r="BV13" i="248"/>
  <c r="CD13"/>
  <c r="CL13"/>
  <c r="CT13"/>
  <c r="DB13"/>
  <c r="BS13" i="256"/>
  <c r="CA13"/>
  <c r="CI13"/>
  <c r="CQ13"/>
  <c r="CY13"/>
  <c r="DG13"/>
  <c r="BX13" i="255"/>
  <c r="CF13"/>
  <c r="CN13"/>
  <c r="CV13"/>
  <c r="DD13"/>
  <c r="BY13" i="257"/>
  <c r="CG13"/>
  <c r="CO13"/>
  <c r="CW13"/>
  <c r="DE13"/>
  <c r="BS10" i="263"/>
  <c r="BW10"/>
  <c r="CA10"/>
  <c r="CE10"/>
  <c r="CI10"/>
  <c r="CM10"/>
  <c r="CQ10"/>
  <c r="CU10"/>
  <c r="CY10"/>
  <c r="DC10"/>
  <c r="DG10"/>
  <c r="T57" i="248"/>
  <c r="AX29"/>
  <c r="BA36"/>
  <c r="BE13"/>
  <c r="AO65"/>
  <c r="T47" i="258"/>
  <c r="AX36"/>
  <c r="BB18"/>
  <c r="Y42"/>
  <c r="AV27"/>
  <c r="AY27" i="259"/>
  <c r="BB36"/>
  <c r="BC65"/>
  <c r="V10"/>
  <c r="AO19"/>
  <c r="AV40"/>
  <c r="AA57"/>
  <c r="BI60"/>
  <c r="T36" i="260"/>
  <c r="BJ57"/>
  <c r="AW18"/>
  <c r="AX28"/>
  <c r="AY35"/>
  <c r="AZ50"/>
  <c r="BB50"/>
  <c r="AR47"/>
  <c r="BE10"/>
  <c r="BE28"/>
  <c r="AQ21"/>
  <c r="AQ65"/>
  <c r="Y32"/>
  <c r="V11"/>
  <c r="V36"/>
  <c r="AO43"/>
  <c r="AV16"/>
  <c r="AA43"/>
  <c r="BI11"/>
  <c r="BJ18" i="261"/>
  <c r="T48"/>
  <c r="U36"/>
  <c r="X11"/>
  <c r="AW15"/>
  <c r="AW26"/>
  <c r="AY45"/>
  <c r="BA45"/>
  <c r="BC59"/>
  <c r="AR43"/>
  <c r="BE57"/>
  <c r="AQ57"/>
  <c r="AT41"/>
  <c r="Y59"/>
  <c r="AO15"/>
  <c r="AO30"/>
  <c r="AA16"/>
  <c r="AA47"/>
  <c r="BI15"/>
  <c r="BJ15" i="262"/>
  <c r="BJ40"/>
  <c r="T45"/>
  <c r="U10"/>
  <c r="BJ30"/>
  <c r="X40"/>
  <c r="AW57"/>
  <c r="AX27"/>
  <c r="AY11"/>
  <c r="AY36"/>
  <c r="AZ34"/>
  <c r="AZ57"/>
  <c r="BA42"/>
  <c r="BB34"/>
  <c r="BB57"/>
  <c r="BC41"/>
  <c r="AR15"/>
  <c r="AR40"/>
  <c r="BE11"/>
  <c r="BE36"/>
  <c r="BE30"/>
  <c r="AQ47"/>
  <c r="AT13"/>
  <c r="AT38"/>
  <c r="AT29"/>
  <c r="Y40"/>
  <c r="V45"/>
  <c r="AO60"/>
  <c r="AV42"/>
  <c r="AA13"/>
  <c r="AA36"/>
  <c r="AA60"/>
  <c r="BI29"/>
  <c r="BJ45" i="263"/>
  <c r="BI13"/>
  <c r="BI30"/>
  <c r="BR29"/>
  <c r="BV29"/>
  <c r="BZ29"/>
  <c r="CD29"/>
  <c r="CH29"/>
  <c r="CL29"/>
  <c r="CP28"/>
  <c r="CR30"/>
  <c r="CT27"/>
  <c r="CV27"/>
  <c r="CX27"/>
  <c r="DA29"/>
  <c r="DC29"/>
  <c r="DE29"/>
  <c r="DG29"/>
  <c r="BQ26" i="262"/>
  <c r="BR30"/>
  <c r="BT28"/>
  <c r="BU26"/>
  <c r="BV30"/>
  <c r="BX28"/>
  <c r="BY26"/>
  <c r="BZ30"/>
  <c r="CB28"/>
  <c r="CC26"/>
  <c r="CD30"/>
  <c r="CF28"/>
  <c r="CG26"/>
  <c r="CH30"/>
  <c r="CJ28"/>
  <c r="CK26"/>
  <c r="CL30"/>
  <c r="CN28"/>
  <c r="CO26"/>
  <c r="CP30"/>
  <c r="CR28"/>
  <c r="CS26"/>
  <c r="CT30"/>
  <c r="CV28"/>
  <c r="CW26"/>
  <c r="CX30"/>
  <c r="CZ28"/>
  <c r="DB28"/>
  <c r="DC26"/>
  <c r="DD30"/>
  <c r="DF28"/>
  <c r="DG26"/>
  <c r="BP29" i="261"/>
  <c r="BR29"/>
  <c r="BT29"/>
  <c r="BV29"/>
  <c r="BX29"/>
  <c r="BZ29"/>
  <c r="CB29"/>
  <c r="CD29"/>
  <c r="CF29"/>
  <c r="CH29"/>
  <c r="CJ29"/>
  <c r="CL29"/>
  <c r="CN29"/>
  <c r="CP29"/>
  <c r="CR29"/>
  <c r="CT29"/>
  <c r="CV29"/>
  <c r="CX29"/>
  <c r="DA27"/>
  <c r="DC27"/>
  <c r="DE27"/>
  <c r="DG27"/>
  <c r="BQ28" i="260"/>
  <c r="BR26"/>
  <c r="BS30"/>
  <c r="BU28"/>
  <c r="BV26"/>
  <c r="BW30"/>
  <c r="BY28"/>
  <c r="BZ26"/>
  <c r="CA30"/>
  <c r="CC28"/>
  <c r="CD26"/>
  <c r="CE30"/>
  <c r="CG28"/>
  <c r="CH26"/>
  <c r="CI30"/>
  <c r="CK28"/>
  <c r="CL26"/>
  <c r="CM30"/>
  <c r="CO28"/>
  <c r="CP26"/>
  <c r="CQ30"/>
  <c r="CS28"/>
  <c r="CT26"/>
  <c r="CU30"/>
  <c r="CW28"/>
  <c r="CX26"/>
  <c r="CY30"/>
  <c r="DA30"/>
  <c r="DC28"/>
  <c r="DD26"/>
  <c r="DE30"/>
  <c r="DG28"/>
  <c r="BQ29" i="259"/>
  <c r="BS29"/>
  <c r="BU29"/>
  <c r="BW29"/>
  <c r="BY29"/>
  <c r="CA29"/>
  <c r="CC29"/>
  <c r="CE29"/>
  <c r="CG29"/>
  <c r="CJ27"/>
  <c r="CR27"/>
  <c r="DA29"/>
  <c r="BP27" i="258"/>
  <c r="BU27"/>
  <c r="CC27"/>
  <c r="CK27"/>
  <c r="CS27"/>
  <c r="DB29"/>
  <c r="BQ30" i="248"/>
  <c r="BW28"/>
  <c r="CB26"/>
  <c r="CG30"/>
  <c r="CM28"/>
  <c r="CR26"/>
  <c r="CW30"/>
  <c r="DD26"/>
  <c r="BS29" i="256"/>
  <c r="CA29"/>
  <c r="CI29"/>
  <c r="CQ29"/>
  <c r="CY29"/>
  <c r="DF27"/>
  <c r="BU26" i="255"/>
  <c r="BZ30"/>
  <c r="CF28"/>
  <c r="CK26"/>
  <c r="CP30"/>
  <c r="CV28"/>
  <c r="DB30"/>
  <c r="BT29" i="257"/>
  <c r="CB29"/>
  <c r="CJ29"/>
  <c r="CR29"/>
  <c r="DD29"/>
  <c r="CD22" i="263"/>
  <c r="BY22" i="262"/>
  <c r="DE22"/>
  <c r="CV22" i="261"/>
  <c r="AO19" i="262"/>
  <c r="AO46"/>
  <c r="AO57"/>
  <c r="AV11"/>
  <c r="AV18"/>
  <c r="AV36"/>
  <c r="AV48"/>
  <c r="AV60"/>
  <c r="AA15"/>
  <c r="AA38"/>
  <c r="AA46"/>
  <c r="AA57"/>
  <c r="BI19"/>
  <c r="BI38"/>
  <c r="BI60"/>
  <c r="BJ19" i="263"/>
  <c r="BJ39"/>
  <c r="BJ27"/>
  <c r="BI36"/>
  <c r="BI28"/>
  <c r="BI57"/>
  <c r="H352" i="154"/>
  <c r="BP28" i="263"/>
  <c r="BR27"/>
  <c r="BT27"/>
  <c r="BV27"/>
  <c r="BX27"/>
  <c r="BZ27"/>
  <c r="CB27"/>
  <c r="CD27"/>
  <c r="CF27"/>
  <c r="CH27"/>
  <c r="CJ27"/>
  <c r="CL27"/>
  <c r="CN27"/>
  <c r="CP27"/>
  <c r="CR27"/>
  <c r="X27" i="248"/>
  <c r="AY13"/>
  <c r="BA27"/>
  <c r="AR34"/>
  <c r="AQ50"/>
  <c r="AV18"/>
  <c r="BJ26" i="258"/>
  <c r="AW39"/>
  <c r="AY60"/>
  <c r="BC57"/>
  <c r="AT40"/>
  <c r="AO29"/>
  <c r="BJ39" i="259"/>
  <c r="X42"/>
  <c r="AZ11"/>
  <c r="BB27"/>
  <c r="AR13"/>
  <c r="AT11"/>
  <c r="Y38"/>
  <c r="V59"/>
  <c r="AV48"/>
  <c r="BJ10" i="260"/>
  <c r="T59"/>
  <c r="X43"/>
  <c r="AW32"/>
  <c r="AY39"/>
  <c r="AZ26"/>
  <c r="BB26"/>
  <c r="AR10"/>
  <c r="AR28"/>
  <c r="AQ34"/>
  <c r="Y26"/>
  <c r="AO32"/>
  <c r="AV45"/>
  <c r="AA47"/>
  <c r="BI39"/>
  <c r="T36" i="261"/>
  <c r="BJ57"/>
  <c r="AW18"/>
  <c r="AX28"/>
  <c r="AY35"/>
  <c r="AZ50"/>
  <c r="BB50"/>
  <c r="AR47"/>
  <c r="BE10"/>
  <c r="BE28"/>
  <c r="AQ21"/>
  <c r="AQ65"/>
  <c r="Y32"/>
  <c r="V11"/>
  <c r="V36"/>
  <c r="AO43"/>
  <c r="AV16"/>
  <c r="AA40"/>
  <c r="BI16"/>
  <c r="BI28"/>
  <c r="BJ16" i="262"/>
  <c r="T32"/>
  <c r="T48"/>
  <c r="U13"/>
  <c r="U36"/>
  <c r="X11"/>
  <c r="X43"/>
  <c r="AW15"/>
  <c r="AW40"/>
  <c r="AX47"/>
  <c r="AY39"/>
  <c r="AY26"/>
  <c r="AZ26"/>
  <c r="BA26"/>
  <c r="BB26"/>
  <c r="BC59"/>
  <c r="AR19"/>
  <c r="AR43"/>
  <c r="BE39"/>
  <c r="BE57"/>
  <c r="AQ42"/>
  <c r="AT16"/>
  <c r="AT50"/>
  <c r="Y26"/>
  <c r="V34"/>
  <c r="AO15"/>
  <c r="AO39"/>
  <c r="AO30"/>
  <c r="AV26"/>
  <c r="AA32"/>
  <c r="AA47"/>
  <c r="BI15"/>
  <c r="BJ15" i="263"/>
  <c r="BJ40"/>
  <c r="BJ26"/>
  <c r="BH276" i="279"/>
  <c r="BS28" i="263"/>
  <c r="BU30"/>
  <c r="BX26"/>
  <c r="CA28"/>
  <c r="CC30"/>
  <c r="CF26"/>
  <c r="CI28"/>
  <c r="CK30"/>
  <c r="CN26"/>
  <c r="CP26"/>
  <c r="CR28"/>
  <c r="CS30"/>
  <c r="CU28"/>
  <c r="CV26"/>
  <c r="CW30"/>
  <c r="CY28"/>
  <c r="DA28"/>
  <c r="DB26"/>
  <c r="DC30"/>
  <c r="DE28"/>
  <c r="DF26"/>
  <c r="DG30"/>
  <c r="BR27" i="262"/>
  <c r="BT27"/>
  <c r="BV27"/>
  <c r="BX27"/>
  <c r="BZ27"/>
  <c r="CB27"/>
  <c r="CD27"/>
  <c r="CF27"/>
  <c r="CH27"/>
  <c r="CJ27"/>
  <c r="CL27"/>
  <c r="CN27"/>
  <c r="CP27"/>
  <c r="CR27"/>
  <c r="CT27"/>
  <c r="CV27"/>
  <c r="CX27"/>
  <c r="DA29"/>
  <c r="DC29"/>
  <c r="DE29"/>
  <c r="DG29"/>
  <c r="BQ26" i="261"/>
  <c r="BR30"/>
  <c r="BT28"/>
  <c r="BU26"/>
  <c r="BV30"/>
  <c r="BX28"/>
  <c r="BY26"/>
  <c r="BZ30"/>
  <c r="CB28"/>
  <c r="CC26"/>
  <c r="CD30"/>
  <c r="CF28"/>
  <c r="CG26"/>
  <c r="CH30"/>
  <c r="CJ28"/>
  <c r="CK26"/>
  <c r="CL30"/>
  <c r="CN28"/>
  <c r="CO26"/>
  <c r="CP30"/>
  <c r="CR28"/>
  <c r="CS26"/>
  <c r="CT30"/>
  <c r="CV28"/>
  <c r="CW26"/>
  <c r="CX30"/>
  <c r="CZ28"/>
  <c r="DB28"/>
  <c r="DC26"/>
  <c r="DD30"/>
  <c r="DF28"/>
  <c r="DG26"/>
  <c r="BP29" i="260"/>
  <c r="BR29"/>
  <c r="BT29"/>
  <c r="BV29"/>
  <c r="BX29"/>
  <c r="BZ29"/>
  <c r="CB29"/>
  <c r="CD29"/>
  <c r="CF29"/>
  <c r="CH29"/>
  <c r="CJ29"/>
  <c r="CL29"/>
  <c r="CN29"/>
  <c r="CP29"/>
  <c r="CR29"/>
  <c r="CT29"/>
  <c r="CV29"/>
  <c r="CX29"/>
  <c r="DA27"/>
  <c r="DC27"/>
  <c r="DE27"/>
  <c r="DG27"/>
  <c r="BQ28" i="259"/>
  <c r="BR26"/>
  <c r="BS30"/>
  <c r="BU28"/>
  <c r="BV26"/>
  <c r="BW30"/>
  <c r="BY28"/>
  <c r="BZ26"/>
  <c r="CA30"/>
  <c r="CC28"/>
  <c r="CD26"/>
  <c r="CE30"/>
  <c r="CG28"/>
  <c r="CH26"/>
  <c r="CI30"/>
  <c r="CK28"/>
  <c r="CL26"/>
  <c r="CM30"/>
  <c r="CO28"/>
  <c r="CP26"/>
  <c r="CQ30"/>
  <c r="CS28"/>
  <c r="CT26"/>
  <c r="CU30"/>
  <c r="CW28"/>
  <c r="CX26"/>
  <c r="CY30"/>
  <c r="DA30"/>
  <c r="DC28"/>
  <c r="DD26"/>
  <c r="DE30"/>
  <c r="DG28"/>
  <c r="BP30" i="258"/>
  <c r="BR28"/>
  <c r="BS26"/>
  <c r="BT30"/>
  <c r="BV28"/>
  <c r="BW26"/>
  <c r="BX30"/>
  <c r="BZ28"/>
  <c r="CA26"/>
  <c r="CB30"/>
  <c r="CD28"/>
  <c r="CE26"/>
  <c r="CF30"/>
  <c r="CH28"/>
  <c r="CI26"/>
  <c r="CJ30"/>
  <c r="CL28"/>
  <c r="CM26"/>
  <c r="CN30"/>
  <c r="CP28"/>
  <c r="CQ26"/>
  <c r="CR30"/>
  <c r="CT28"/>
  <c r="CU26"/>
  <c r="CV30"/>
  <c r="CX28"/>
  <c r="CY26"/>
  <c r="DA26"/>
  <c r="DB30"/>
  <c r="DD28"/>
  <c r="DE26"/>
  <c r="DF30"/>
  <c r="BP27" i="248"/>
  <c r="BQ27"/>
  <c r="BS27"/>
  <c r="BU27"/>
  <c r="BW27"/>
  <c r="BY27"/>
  <c r="CA27"/>
  <c r="CC27"/>
  <c r="CE27"/>
  <c r="CG27"/>
  <c r="CI27"/>
  <c r="CK27"/>
  <c r="CM27"/>
  <c r="CO27"/>
  <c r="CQ27"/>
  <c r="CS27"/>
  <c r="CU27"/>
  <c r="CW27"/>
  <c r="CY27"/>
  <c r="DB29"/>
  <c r="DD29"/>
  <c r="DF29"/>
  <c r="BP28" i="256"/>
  <c r="BQ30"/>
  <c r="BS28"/>
  <c r="BT26"/>
  <c r="BU30"/>
  <c r="BW28"/>
  <c r="BX26"/>
  <c r="BY30"/>
  <c r="CA28"/>
  <c r="CB26"/>
  <c r="CC30"/>
  <c r="CE28"/>
  <c r="CF26"/>
  <c r="CG30"/>
  <c r="CI28"/>
  <c r="CJ26"/>
  <c r="CK30"/>
  <c r="CM28"/>
  <c r="CN26"/>
  <c r="CO30"/>
  <c r="CQ28"/>
  <c r="CR26"/>
  <c r="CS30"/>
  <c r="CU28"/>
  <c r="CV26"/>
  <c r="CW30"/>
  <c r="CY28"/>
  <c r="DA28"/>
  <c r="DB26"/>
  <c r="DC30"/>
  <c r="DE28"/>
  <c r="DF26"/>
  <c r="DG30"/>
  <c r="BR27" i="255"/>
  <c r="BT27"/>
  <c r="BV27"/>
  <c r="BX27"/>
  <c r="BZ27"/>
  <c r="CB27"/>
  <c r="CD27"/>
  <c r="CF27"/>
  <c r="CH27"/>
  <c r="CJ27"/>
  <c r="CL27"/>
  <c r="CN27"/>
  <c r="CP27"/>
  <c r="CR27"/>
  <c r="CT27"/>
  <c r="CV27"/>
  <c r="CX27"/>
  <c r="DA29"/>
  <c r="DC29"/>
  <c r="DE29"/>
  <c r="DG29"/>
  <c r="BQ26" i="257"/>
  <c r="BR30"/>
  <c r="BT28"/>
  <c r="BU26"/>
  <c r="BV30"/>
  <c r="BX28"/>
  <c r="BY26"/>
  <c r="BZ30"/>
  <c r="CB28"/>
  <c r="CC26"/>
  <c r="CD30"/>
  <c r="CF28"/>
  <c r="CG26"/>
  <c r="CH30"/>
  <c r="CJ28"/>
  <c r="CK26"/>
  <c r="CL30"/>
  <c r="CN28"/>
  <c r="CO26"/>
  <c r="CP30"/>
  <c r="CR28"/>
  <c r="CS26"/>
  <c r="CT30"/>
  <c r="CV28"/>
  <c r="CW26"/>
  <c r="CX30"/>
  <c r="CZ28"/>
  <c r="DB28"/>
  <c r="DC26"/>
  <c r="DD30"/>
  <c r="DF28"/>
  <c r="DG26"/>
  <c r="BS22" i="263"/>
  <c r="CA22"/>
  <c r="CI22"/>
  <c r="CQ22"/>
  <c r="CY22"/>
  <c r="DG22"/>
  <c r="BZ22" i="262"/>
  <c r="CH22"/>
  <c r="CP22"/>
  <c r="CX22"/>
  <c r="DF22"/>
  <c r="BY22" i="261"/>
  <c r="CG22"/>
  <c r="CO22"/>
  <c r="CW22"/>
  <c r="DE22"/>
  <c r="BX22" i="260"/>
  <c r="CF22"/>
  <c r="CN22"/>
  <c r="CV22"/>
  <c r="DD22"/>
  <c r="BS22" i="259"/>
  <c r="CA22"/>
  <c r="CI22"/>
  <c r="CQ22"/>
  <c r="CY22"/>
  <c r="DG22"/>
  <c r="BZ22" i="258"/>
  <c r="CH22"/>
  <c r="CP22"/>
  <c r="CX22"/>
  <c r="DF22"/>
  <c r="BY22" i="248"/>
  <c r="CG22"/>
  <c r="CO22"/>
  <c r="CW22"/>
  <c r="DE22"/>
  <c r="BX22" i="256"/>
  <c r="CF22"/>
  <c r="CN22"/>
  <c r="CV22"/>
  <c r="DD22"/>
  <c r="BS22" i="255"/>
  <c r="CA22"/>
  <c r="CI22"/>
  <c r="CQ22"/>
  <c r="CY22"/>
  <c r="DG22"/>
  <c r="BZ22" i="257"/>
  <c r="CH22"/>
  <c r="CP22"/>
  <c r="CX22"/>
  <c r="DF22"/>
  <c r="BX21" i="263"/>
  <c r="CF21"/>
  <c r="CN21"/>
  <c r="CV21"/>
  <c r="DD21"/>
  <c r="BZ21" i="262"/>
  <c r="CH21"/>
  <c r="CP21"/>
  <c r="CX21"/>
  <c r="DF21"/>
  <c r="BX21" i="261"/>
  <c r="CF21"/>
  <c r="CN21"/>
  <c r="CV21"/>
  <c r="DD21"/>
  <c r="BZ21" i="260"/>
  <c r="CH21"/>
  <c r="CP21"/>
  <c r="CX21"/>
  <c r="DF21"/>
  <c r="BX21" i="259"/>
  <c r="CF21"/>
  <c r="CN21"/>
  <c r="CV21"/>
  <c r="DD21"/>
  <c r="BZ21" i="258"/>
  <c r="CH21"/>
  <c r="CP21"/>
  <c r="CX21"/>
  <c r="DF21"/>
  <c r="BX21" i="248"/>
  <c r="CF21"/>
  <c r="CN21"/>
  <c r="CV21"/>
  <c r="DD21"/>
  <c r="BZ21" i="256"/>
  <c r="CH21"/>
  <c r="CP21"/>
  <c r="CX21"/>
  <c r="DF21"/>
  <c r="BX21" i="255"/>
  <c r="CF21"/>
  <c r="CN21"/>
  <c r="CV21"/>
  <c r="DD21"/>
  <c r="BZ21" i="257"/>
  <c r="CH21"/>
  <c r="CP21"/>
  <c r="CX21"/>
  <c r="DF21"/>
  <c r="BV19" i="262"/>
  <c r="BZ19"/>
  <c r="CD19"/>
  <c r="CH19"/>
  <c r="CL19"/>
  <c r="CP19"/>
  <c r="CT19"/>
  <c r="CX19"/>
  <c r="DB19"/>
  <c r="DF19"/>
  <c r="BU19" i="260"/>
  <c r="BY19"/>
  <c r="CC19"/>
  <c r="CG19"/>
  <c r="CK19"/>
  <c r="CO19"/>
  <c r="CS19"/>
  <c r="CW19"/>
  <c r="DA19"/>
  <c r="DE19"/>
  <c r="BR18" i="259"/>
  <c r="BV18"/>
  <c r="BZ18"/>
  <c r="CD18"/>
  <c r="CH18"/>
  <c r="CL18"/>
  <c r="CP18"/>
  <c r="CT18"/>
  <c r="CX18"/>
  <c r="DB18"/>
  <c r="DF18"/>
  <c r="BU19" i="258"/>
  <c r="BY19"/>
  <c r="CC19"/>
  <c r="CG19"/>
  <c r="CK19"/>
  <c r="CO19"/>
  <c r="CS19"/>
  <c r="CW19"/>
  <c r="DA19"/>
  <c r="DE19"/>
  <c r="BT19" i="256"/>
  <c r="BX19"/>
  <c r="CB19"/>
  <c r="CF19"/>
  <c r="CJ19"/>
  <c r="CN19"/>
  <c r="CR19"/>
  <c r="CV19"/>
  <c r="CZ19"/>
  <c r="DD19"/>
  <c r="BS19" i="257"/>
  <c r="BW19"/>
  <c r="CA19"/>
  <c r="CE19"/>
  <c r="CI19"/>
  <c r="CM19"/>
  <c r="CQ19"/>
  <c r="CU19"/>
  <c r="CY19"/>
  <c r="DC19"/>
  <c r="DG19"/>
  <c r="BU16" i="263"/>
  <c r="BY16"/>
  <c r="CC16"/>
  <c r="CG16"/>
  <c r="CK16"/>
  <c r="CO16"/>
  <c r="CS16"/>
  <c r="CW16"/>
  <c r="DA16"/>
  <c r="DE16"/>
  <c r="BV15" i="262"/>
  <c r="BZ15"/>
  <c r="CD15"/>
  <c r="CH15"/>
  <c r="CL15"/>
  <c r="CP15"/>
  <c r="CT15"/>
  <c r="CX15"/>
  <c r="DB15"/>
  <c r="DF15"/>
  <c r="BT15" i="261"/>
  <c r="BX15"/>
  <c r="CB15"/>
  <c r="CF15"/>
  <c r="CJ15"/>
  <c r="CN15"/>
  <c r="CR15"/>
  <c r="CV15"/>
  <c r="CZ15"/>
  <c r="DD15"/>
  <c r="BS16" i="260"/>
  <c r="BW16"/>
  <c r="CA16"/>
  <c r="CE16"/>
  <c r="CI16"/>
  <c r="CM16"/>
  <c r="CQ16"/>
  <c r="CU16"/>
  <c r="CY16"/>
  <c r="DC16"/>
  <c r="DG16"/>
  <c r="BU16" i="259"/>
  <c r="BY16"/>
  <c r="CC16"/>
  <c r="CG16"/>
  <c r="CK16"/>
  <c r="CO16"/>
  <c r="CS16"/>
  <c r="CW16"/>
  <c r="DA16"/>
  <c r="DE16"/>
  <c r="BV15" i="258"/>
  <c r="BZ15"/>
  <c r="CD15"/>
  <c r="CH15"/>
  <c r="CL15"/>
  <c r="CP15"/>
  <c r="CT15"/>
  <c r="CX15"/>
  <c r="DB15"/>
  <c r="DF15"/>
  <c r="BT15" i="248"/>
  <c r="BX15"/>
  <c r="CB15"/>
  <c r="CF15"/>
  <c r="CJ15"/>
  <c r="CN15"/>
  <c r="CR15"/>
  <c r="CV15"/>
  <c r="CZ15"/>
  <c r="DD15"/>
  <c r="BS16" i="256"/>
  <c r="BW16"/>
  <c r="CA16"/>
  <c r="CE16"/>
  <c r="CI16"/>
  <c r="CM16"/>
  <c r="CQ16"/>
  <c r="CU16"/>
  <c r="CY16"/>
  <c r="DC16"/>
  <c r="DG16"/>
  <c r="BU16" i="255"/>
  <c r="BY16"/>
  <c r="CC16"/>
  <c r="CG16"/>
  <c r="CK16"/>
  <c r="CO16"/>
  <c r="CS16"/>
  <c r="CW16"/>
  <c r="DA16"/>
  <c r="DE16"/>
  <c r="BV15" i="257"/>
  <c r="BZ15"/>
  <c r="CD15"/>
  <c r="CH15"/>
  <c r="CL15"/>
  <c r="CP15"/>
  <c r="CT15"/>
  <c r="CX15"/>
  <c r="DB15"/>
  <c r="DF15"/>
  <c r="BV13" i="263"/>
  <c r="CD13"/>
  <c r="CL13"/>
  <c r="CT13"/>
  <c r="DB13"/>
  <c r="BS13" i="262"/>
  <c r="CA13"/>
  <c r="CI13"/>
  <c r="CQ13"/>
  <c r="CY13"/>
  <c r="DG13"/>
  <c r="BX13" i="261"/>
  <c r="CF13"/>
  <c r="CN13"/>
  <c r="CV13"/>
  <c r="DD13"/>
  <c r="BY13" i="260"/>
  <c r="CG13"/>
  <c r="CO13"/>
  <c r="CW13"/>
  <c r="DE13"/>
  <c r="BZ13" i="259"/>
  <c r="CH13"/>
  <c r="CP13"/>
  <c r="CX13"/>
  <c r="DF13"/>
  <c r="BW13" i="258"/>
  <c r="CE13"/>
  <c r="CM13"/>
  <c r="CU13"/>
  <c r="DC13"/>
  <c r="BT13" i="248"/>
  <c r="CB13"/>
  <c r="CJ13"/>
  <c r="CR13"/>
  <c r="CZ13"/>
  <c r="BU13" i="256"/>
  <c r="CC13"/>
  <c r="CK13"/>
  <c r="CS13"/>
  <c r="DA13"/>
  <c r="BV13" i="255"/>
  <c r="CD13"/>
  <c r="CL13"/>
  <c r="CT13"/>
  <c r="DB13"/>
  <c r="BS13" i="257"/>
  <c r="CA13"/>
  <c r="CI13"/>
  <c r="CQ13"/>
  <c r="CY13"/>
  <c r="DG13"/>
  <c r="BR11" i="263"/>
  <c r="BV11"/>
  <c r="BZ11"/>
  <c r="CD11"/>
  <c r="CH11"/>
  <c r="CL11"/>
  <c r="CP11"/>
  <c r="CT11"/>
  <c r="AX18" i="248"/>
  <c r="AZ27"/>
  <c r="BC36"/>
  <c r="U35" i="258"/>
  <c r="AW27"/>
  <c r="AZ18"/>
  <c r="BE21"/>
  <c r="AV11"/>
  <c r="X27" i="259"/>
  <c r="AY13"/>
  <c r="BA27"/>
  <c r="AR21"/>
  <c r="AQ45"/>
  <c r="AT60"/>
  <c r="V47"/>
  <c r="AV15"/>
  <c r="BI10"/>
  <c r="U27" i="260"/>
  <c r="AW36"/>
  <c r="AX43"/>
  <c r="AY19"/>
  <c r="AZ41"/>
  <c r="BA41"/>
  <c r="BB41"/>
  <c r="BC40"/>
  <c r="AR39"/>
  <c r="BE19"/>
  <c r="AQ13"/>
  <c r="AQ29"/>
  <c r="Y16"/>
  <c r="Y30"/>
  <c r="AO11"/>
  <c r="AV50"/>
  <c r="AA26"/>
  <c r="BI43"/>
  <c r="BJ36" i="261"/>
  <c r="T59"/>
  <c r="X43"/>
  <c r="AW32"/>
  <c r="AY39"/>
  <c r="AZ26"/>
  <c r="BB26"/>
  <c r="AR10"/>
  <c r="AR28"/>
  <c r="AQ34"/>
  <c r="Y26"/>
  <c r="AO32"/>
  <c r="AV45"/>
  <c r="AA43"/>
  <c r="AA59"/>
  <c r="BI18"/>
  <c r="BI43"/>
  <c r="BJ18" i="262"/>
  <c r="T41"/>
  <c r="T60"/>
  <c r="U27"/>
  <c r="X21"/>
  <c r="X29"/>
  <c r="AW41"/>
  <c r="AW29"/>
  <c r="AX13"/>
  <c r="AX38"/>
  <c r="AY15"/>
  <c r="AY40"/>
  <c r="AY29"/>
  <c r="AZ13"/>
  <c r="AZ38"/>
  <c r="AZ29"/>
  <c r="BA13"/>
  <c r="BA38"/>
  <c r="BA29"/>
  <c r="BB13"/>
  <c r="BB38"/>
  <c r="BB29"/>
  <c r="BC13"/>
  <c r="BC27"/>
  <c r="AR11"/>
  <c r="AR36"/>
  <c r="AR59"/>
  <c r="BE32"/>
  <c r="BE48"/>
  <c r="AQ10"/>
  <c r="AQ35"/>
  <c r="AQ28"/>
  <c r="AT34"/>
  <c r="AT57"/>
  <c r="Y21"/>
  <c r="Y27"/>
  <c r="V15"/>
  <c r="V27"/>
  <c r="AO40"/>
  <c r="AV13"/>
  <c r="AV38"/>
  <c r="AV29"/>
  <c r="AA40"/>
  <c r="BI16"/>
  <c r="BI28"/>
  <c r="BJ16" i="263"/>
  <c r="BJ29"/>
  <c r="BI27"/>
  <c r="BP29"/>
  <c r="BT29"/>
  <c r="BX29"/>
  <c r="CB29"/>
  <c r="CF29"/>
  <c r="CJ29"/>
  <c r="CN29"/>
  <c r="CP29"/>
  <c r="CR26"/>
  <c r="CT29"/>
  <c r="CV29"/>
  <c r="CX29"/>
  <c r="DA27"/>
  <c r="DC27"/>
  <c r="DE27"/>
  <c r="DG27"/>
  <c r="BQ28" i="262"/>
  <c r="BR26"/>
  <c r="BS30"/>
  <c r="BU28"/>
  <c r="BV26"/>
  <c r="BW30"/>
  <c r="BY28"/>
  <c r="BZ26"/>
  <c r="CA30"/>
  <c r="CC28"/>
  <c r="CD26"/>
  <c r="CE30"/>
  <c r="CG28"/>
  <c r="CH26"/>
  <c r="CI30"/>
  <c r="CK28"/>
  <c r="CL26"/>
  <c r="CM30"/>
  <c r="CO28"/>
  <c r="CP26"/>
  <c r="CQ30"/>
  <c r="CS28"/>
  <c r="CT26"/>
  <c r="CU30"/>
  <c r="CW28"/>
  <c r="CX26"/>
  <c r="CY30"/>
  <c r="DA30"/>
  <c r="DC28"/>
  <c r="DD26"/>
  <c r="DE30"/>
  <c r="DG28"/>
  <c r="BQ29" i="261"/>
  <c r="BS29"/>
  <c r="BU29"/>
  <c r="BW29"/>
  <c r="BY29"/>
  <c r="CA29"/>
  <c r="CC29"/>
  <c r="CE29"/>
  <c r="CG29"/>
  <c r="CI29"/>
  <c r="CK29"/>
  <c r="CM29"/>
  <c r="CO29"/>
  <c r="CQ29"/>
  <c r="CS29"/>
  <c r="CU29"/>
  <c r="CW29"/>
  <c r="CY29"/>
  <c r="DB27"/>
  <c r="DD27"/>
  <c r="DF27"/>
  <c r="BP30" i="260"/>
  <c r="BR28"/>
  <c r="BS26"/>
  <c r="BT30"/>
  <c r="BV28"/>
  <c r="BW26"/>
  <c r="BX30"/>
  <c r="BZ28"/>
  <c r="CA26"/>
  <c r="CB30"/>
  <c r="CD28"/>
  <c r="CE26"/>
  <c r="CF30"/>
  <c r="CH28"/>
  <c r="CI26"/>
  <c r="CJ30"/>
  <c r="CL28"/>
  <c r="CM26"/>
  <c r="CN30"/>
  <c r="CP28"/>
  <c r="CQ26"/>
  <c r="CR30"/>
  <c r="CT28"/>
  <c r="CU26"/>
  <c r="CV30"/>
  <c r="CX28"/>
  <c r="CY26"/>
  <c r="DA26"/>
  <c r="DB30"/>
  <c r="DD28"/>
  <c r="DE26"/>
  <c r="DF30"/>
  <c r="BP27" i="259"/>
  <c r="BQ27"/>
  <c r="BS27"/>
  <c r="BU27"/>
  <c r="BW27"/>
  <c r="BY27"/>
  <c r="CA27"/>
  <c r="CC27"/>
  <c r="CE27"/>
  <c r="CG27"/>
  <c r="CI27"/>
  <c r="CK27"/>
  <c r="CM27"/>
  <c r="CO27"/>
  <c r="CQ27"/>
  <c r="CS27"/>
  <c r="CU27"/>
  <c r="CW27"/>
  <c r="CY27"/>
  <c r="DB29"/>
  <c r="DD29"/>
  <c r="DF29"/>
  <c r="BQ29" i="258"/>
  <c r="BS29"/>
  <c r="BU29"/>
  <c r="BW29"/>
  <c r="BY29"/>
  <c r="CA29"/>
  <c r="CC29"/>
  <c r="CE29"/>
  <c r="CG29"/>
  <c r="CI29"/>
  <c r="CK29"/>
  <c r="CM29"/>
  <c r="CO29"/>
  <c r="CQ29"/>
  <c r="CS29"/>
  <c r="CU29"/>
  <c r="CW29"/>
  <c r="CY29"/>
  <c r="DB27"/>
  <c r="DD27"/>
  <c r="DF27"/>
  <c r="BP30" i="248"/>
  <c r="BR28"/>
  <c r="BS26"/>
  <c r="BT30"/>
  <c r="BV28"/>
  <c r="BW26"/>
  <c r="BX30"/>
  <c r="BZ28"/>
  <c r="CA26"/>
  <c r="CB30"/>
  <c r="CD28"/>
  <c r="CE26"/>
  <c r="CF30"/>
  <c r="CH28"/>
  <c r="CI26"/>
  <c r="CJ30"/>
  <c r="CL28"/>
  <c r="CM26"/>
  <c r="CN30"/>
  <c r="CP28"/>
  <c r="CQ26"/>
  <c r="CR30"/>
  <c r="CT28"/>
  <c r="CU26"/>
  <c r="CV30"/>
  <c r="CX28"/>
  <c r="CY26"/>
  <c r="DA26"/>
  <c r="DB30"/>
  <c r="DD28"/>
  <c r="DE26"/>
  <c r="DF30"/>
  <c r="BP27" i="256"/>
  <c r="BQ27"/>
  <c r="BS27"/>
  <c r="BU27"/>
  <c r="BW27"/>
  <c r="BY27"/>
  <c r="CA27"/>
  <c r="CC27"/>
  <c r="CE27"/>
  <c r="CG27"/>
  <c r="CI27"/>
  <c r="CK27"/>
  <c r="CM27"/>
  <c r="CO27"/>
  <c r="CQ27"/>
  <c r="CS27"/>
  <c r="CU27"/>
  <c r="CW27"/>
  <c r="CY27"/>
  <c r="DB29"/>
  <c r="DD29"/>
  <c r="DF29"/>
  <c r="BP28" i="255"/>
  <c r="BQ30"/>
  <c r="BS28"/>
  <c r="BT26"/>
  <c r="BU30"/>
  <c r="BW28"/>
  <c r="BX26"/>
  <c r="BY30"/>
  <c r="CA28"/>
  <c r="CB26"/>
  <c r="CC30"/>
  <c r="CE28"/>
  <c r="CF26"/>
  <c r="CG30"/>
  <c r="CI28"/>
  <c r="CJ26"/>
  <c r="CK30"/>
  <c r="CM28"/>
  <c r="CN26"/>
  <c r="CO30"/>
  <c r="CQ28"/>
  <c r="CR26"/>
  <c r="CS30"/>
  <c r="CU28"/>
  <c r="CV26"/>
  <c r="CW30"/>
  <c r="CY28"/>
  <c r="DA28"/>
  <c r="DB26"/>
  <c r="DC30"/>
  <c r="DE28"/>
  <c r="DF26"/>
  <c r="DG30"/>
  <c r="BR27" i="257"/>
  <c r="BT27"/>
  <c r="BV27"/>
  <c r="BX27"/>
  <c r="BZ27"/>
  <c r="CB27"/>
  <c r="CD27"/>
  <c r="CF27"/>
  <c r="CH27"/>
  <c r="CJ27"/>
  <c r="CL27"/>
  <c r="CN27"/>
  <c r="CP27"/>
  <c r="CR27"/>
  <c r="CT27"/>
  <c r="CV27"/>
  <c r="CX27"/>
  <c r="DA29"/>
  <c r="DC29"/>
  <c r="DE29"/>
  <c r="DG29"/>
  <c r="BX22" i="263"/>
  <c r="CF22"/>
  <c r="CN22"/>
  <c r="CV22"/>
  <c r="DD22"/>
  <c r="BS22" i="262"/>
  <c r="CA22"/>
  <c r="CI22"/>
  <c r="CQ22"/>
  <c r="CY22"/>
  <c r="DG22"/>
  <c r="BZ22" i="261"/>
  <c r="CH22"/>
  <c r="CP22"/>
  <c r="CX22"/>
  <c r="DF22"/>
  <c r="BY22" i="260"/>
  <c r="CG22"/>
  <c r="CO22"/>
  <c r="CW22"/>
  <c r="DE22"/>
  <c r="BX22" i="259"/>
  <c r="CF22"/>
  <c r="CN22"/>
  <c r="CV22"/>
  <c r="DD22"/>
  <c r="BS22" i="258"/>
  <c r="CA22"/>
  <c r="CI22"/>
  <c r="CQ22"/>
  <c r="CY22"/>
  <c r="DG22"/>
  <c r="BZ22" i="248"/>
  <c r="CH22"/>
  <c r="CP22"/>
  <c r="CX22"/>
  <c r="DF22"/>
  <c r="T39"/>
  <c r="BA11"/>
  <c r="AT32"/>
  <c r="AV60"/>
  <c r="X60" i="258"/>
  <c r="AY21"/>
  <c r="BC18"/>
  <c r="BE46"/>
  <c r="AV36"/>
  <c r="AX18" i="259"/>
  <c r="AZ27"/>
  <c r="BC15"/>
  <c r="AR38"/>
  <c r="AQ26"/>
  <c r="Y15"/>
  <c r="V22"/>
  <c r="AV32"/>
  <c r="BI19"/>
  <c r="T32" i="260"/>
  <c r="U13"/>
  <c r="BJ29"/>
  <c r="X35"/>
  <c r="AW40"/>
  <c r="AX47"/>
  <c r="AZ45"/>
  <c r="BB45"/>
  <c r="AR19"/>
  <c r="BE47"/>
  <c r="AQ42"/>
  <c r="AT16"/>
  <c r="Y43"/>
  <c r="V34"/>
  <c r="AO39"/>
  <c r="AV26"/>
  <c r="AA39"/>
  <c r="BJ15" i="261"/>
  <c r="U27"/>
  <c r="AW36"/>
  <c r="AX43"/>
  <c r="AY19"/>
  <c r="AZ41"/>
  <c r="BA41"/>
  <c r="BB41"/>
  <c r="BC40"/>
  <c r="AR39"/>
  <c r="BE19"/>
  <c r="AQ13"/>
  <c r="AQ29"/>
  <c r="Y16"/>
  <c r="Y30"/>
  <c r="AO11"/>
  <c r="AV50"/>
  <c r="AA27"/>
  <c r="BI36"/>
  <c r="BI65"/>
  <c r="T36" i="262"/>
  <c r="U28"/>
  <c r="X39"/>
  <c r="AW18"/>
  <c r="AW50"/>
  <c r="AX43"/>
  <c r="AX59"/>
  <c r="AY19"/>
  <c r="AY50"/>
  <c r="AZ41"/>
  <c r="BA16"/>
  <c r="BA50"/>
  <c r="BB41"/>
  <c r="BC16"/>
  <c r="BC47"/>
  <c r="AR39"/>
  <c r="AR30"/>
  <c r="BE10"/>
  <c r="BE35"/>
  <c r="BE28"/>
  <c r="AQ13"/>
  <c r="AQ38"/>
  <c r="AQ29"/>
  <c r="AT45"/>
  <c r="Y16"/>
  <c r="Y39"/>
  <c r="Y30"/>
  <c r="V19"/>
  <c r="V60"/>
  <c r="AO18"/>
  <c r="AO28"/>
  <c r="AV16"/>
  <c r="AV50"/>
  <c r="AA43"/>
  <c r="AA59"/>
  <c r="BI18"/>
  <c r="BI43"/>
  <c r="BJ18" i="263"/>
  <c r="BI10"/>
  <c r="BI34"/>
  <c r="BI60"/>
  <c r="BQ28"/>
  <c r="BS30"/>
  <c r="BV26"/>
  <c r="BY28"/>
  <c r="CA30"/>
  <c r="CD26"/>
  <c r="CG28"/>
  <c r="CI30"/>
  <c r="CL26"/>
  <c r="CO28"/>
  <c r="CQ30"/>
  <c r="CS26"/>
  <c r="CT30"/>
  <c r="CV28"/>
  <c r="CW26"/>
  <c r="CX30"/>
  <c r="CZ28"/>
  <c r="DB28"/>
  <c r="DC26"/>
  <c r="DD30"/>
  <c r="DF28"/>
  <c r="DG26"/>
  <c r="BP29" i="262"/>
  <c r="BR29"/>
  <c r="BT29"/>
  <c r="BV29"/>
  <c r="BX29"/>
  <c r="BZ29"/>
  <c r="CB29"/>
  <c r="CD29"/>
  <c r="CF29"/>
  <c r="CH29"/>
  <c r="CJ29"/>
  <c r="CL29"/>
  <c r="CN29"/>
  <c r="CP29"/>
  <c r="CR29"/>
  <c r="CT29"/>
  <c r="CV29"/>
  <c r="CX29"/>
  <c r="DA27"/>
  <c r="DC27"/>
  <c r="DE27"/>
  <c r="DG27"/>
  <c r="BQ28" i="261"/>
  <c r="BR26"/>
  <c r="BS30"/>
  <c r="BU28"/>
  <c r="BV26"/>
  <c r="BW30"/>
  <c r="BY28"/>
  <c r="BZ26"/>
  <c r="CA30"/>
  <c r="CC28"/>
  <c r="CD26"/>
  <c r="CE30"/>
  <c r="CG28"/>
  <c r="CH26"/>
  <c r="CI30"/>
  <c r="CK28"/>
  <c r="CL26"/>
  <c r="CM30"/>
  <c r="CO28"/>
  <c r="CP26"/>
  <c r="CQ30"/>
  <c r="CS28"/>
  <c r="CT26"/>
  <c r="CU30"/>
  <c r="CW28"/>
  <c r="CX26"/>
  <c r="CY30"/>
  <c r="DA30"/>
  <c r="DC28"/>
  <c r="DD26"/>
  <c r="DE30"/>
  <c r="DG28"/>
  <c r="BQ29" i="260"/>
  <c r="BS29"/>
  <c r="BU29"/>
  <c r="BW29"/>
  <c r="BY29"/>
  <c r="CA29"/>
  <c r="CC29"/>
  <c r="CE29"/>
  <c r="CG29"/>
  <c r="CI29"/>
  <c r="CK29"/>
  <c r="CM29"/>
  <c r="CO29"/>
  <c r="CQ29"/>
  <c r="CS29"/>
  <c r="CU29"/>
  <c r="CW29"/>
  <c r="CY29"/>
  <c r="DB27"/>
  <c r="DD27"/>
  <c r="DF27"/>
  <c r="BP30" i="259"/>
  <c r="BR28"/>
  <c r="BS26"/>
  <c r="BT30"/>
  <c r="BV28"/>
  <c r="BW26"/>
  <c r="BX30"/>
  <c r="BZ28"/>
  <c r="CA26"/>
  <c r="CB30"/>
  <c r="CD28"/>
  <c r="CE26"/>
  <c r="CF30"/>
  <c r="CH28"/>
  <c r="CI26"/>
  <c r="CJ30"/>
  <c r="CL28"/>
  <c r="CM26"/>
  <c r="CN30"/>
  <c r="CP28"/>
  <c r="CQ26"/>
  <c r="CR30"/>
  <c r="CT28"/>
  <c r="CU26"/>
  <c r="CV30"/>
  <c r="CX28"/>
  <c r="CY26"/>
  <c r="DA26"/>
  <c r="DB30"/>
  <c r="DD28"/>
  <c r="DE26"/>
  <c r="DF30"/>
  <c r="BP28" i="258"/>
  <c r="BQ30"/>
  <c r="BS28"/>
  <c r="BT26"/>
  <c r="BU30"/>
  <c r="BW28"/>
  <c r="BX26"/>
  <c r="BY30"/>
  <c r="CA28"/>
  <c r="CB26"/>
  <c r="CC30"/>
  <c r="CE28"/>
  <c r="CF26"/>
  <c r="CG30"/>
  <c r="CI28"/>
  <c r="CJ26"/>
  <c r="CK30"/>
  <c r="CM28"/>
  <c r="CN26"/>
  <c r="CO30"/>
  <c r="CQ28"/>
  <c r="CR26"/>
  <c r="CS30"/>
  <c r="CU28"/>
  <c r="CV26"/>
  <c r="CW30"/>
  <c r="CY28"/>
  <c r="DA28"/>
  <c r="DB26"/>
  <c r="DC30"/>
  <c r="DE28"/>
  <c r="DF26"/>
  <c r="DG30"/>
  <c r="BR27" i="248"/>
  <c r="BT27"/>
  <c r="BV27"/>
  <c r="BX27"/>
  <c r="BZ27"/>
  <c r="CB27"/>
  <c r="CD27"/>
  <c r="CF27"/>
  <c r="CH27"/>
  <c r="CJ27"/>
  <c r="CL27"/>
  <c r="CN27"/>
  <c r="CP27"/>
  <c r="CR27"/>
  <c r="CT27"/>
  <c r="CV27"/>
  <c r="CX27"/>
  <c r="DA29"/>
  <c r="DC29"/>
  <c r="DE29"/>
  <c r="DG29"/>
  <c r="BQ26" i="256"/>
  <c r="BR30"/>
  <c r="BT28"/>
  <c r="BU26"/>
  <c r="BV30"/>
  <c r="BX28"/>
  <c r="BY26"/>
  <c r="BZ30"/>
  <c r="CB28"/>
  <c r="CC26"/>
  <c r="CD30"/>
  <c r="CF28"/>
  <c r="CG26"/>
  <c r="CH30"/>
  <c r="CJ28"/>
  <c r="CK26"/>
  <c r="CL30"/>
  <c r="CN28"/>
  <c r="CO26"/>
  <c r="CP30"/>
  <c r="CR28"/>
  <c r="CS26"/>
  <c r="CT30"/>
  <c r="CV28"/>
  <c r="CW26"/>
  <c r="CX30"/>
  <c r="CZ28"/>
  <c r="DB28"/>
  <c r="DC26"/>
  <c r="DD30"/>
  <c r="DF28"/>
  <c r="DG26"/>
  <c r="BP29" i="255"/>
  <c r="BR29"/>
  <c r="BT29"/>
  <c r="BV29"/>
  <c r="BX29"/>
  <c r="BZ29"/>
  <c r="CB29"/>
  <c r="CD29"/>
  <c r="CF29"/>
  <c r="CH29"/>
  <c r="CJ29"/>
  <c r="CL29"/>
  <c r="CN29"/>
  <c r="CP29"/>
  <c r="CR29"/>
  <c r="CT29"/>
  <c r="CV29"/>
  <c r="CX29"/>
  <c r="DA27"/>
  <c r="DC27"/>
  <c r="DE27"/>
  <c r="DG27"/>
  <c r="BQ28" i="257"/>
  <c r="BR26"/>
  <c r="BS30"/>
  <c r="BU28"/>
  <c r="BV26"/>
  <c r="BW30"/>
  <c r="BY28"/>
  <c r="BZ26"/>
  <c r="CA30"/>
  <c r="CC28"/>
  <c r="CD26"/>
  <c r="CE30"/>
  <c r="CG28"/>
  <c r="CH26"/>
  <c r="CI30"/>
  <c r="CK28"/>
  <c r="CL26"/>
  <c r="CM30"/>
  <c r="CO28"/>
  <c r="CP26"/>
  <c r="CQ30"/>
  <c r="CS28"/>
  <c r="CT26"/>
  <c r="CU30"/>
  <c r="CW28"/>
  <c r="CX26"/>
  <c r="CY30"/>
  <c r="DA30"/>
  <c r="DC28"/>
  <c r="DD26"/>
  <c r="DE30"/>
  <c r="DG28"/>
  <c r="BU22" i="263"/>
  <c r="CC22"/>
  <c r="CK22"/>
  <c r="CS22"/>
  <c r="DA22"/>
  <c r="BT22" i="262"/>
  <c r="CB22"/>
  <c r="CJ22"/>
  <c r="CR22"/>
  <c r="CZ22"/>
  <c r="BQ22" i="261"/>
  <c r="BW22"/>
  <c r="CE22"/>
  <c r="CM22"/>
  <c r="CU22"/>
  <c r="DC22"/>
  <c r="BV22" i="260"/>
  <c r="CD22"/>
  <c r="CL22"/>
  <c r="CT22"/>
  <c r="DB22"/>
  <c r="BU22" i="259"/>
  <c r="CC22"/>
  <c r="CK22"/>
  <c r="CS22"/>
  <c r="DA22"/>
  <c r="BT22" i="258"/>
  <c r="CB22"/>
  <c r="CJ22"/>
  <c r="CR22"/>
  <c r="CZ22"/>
  <c r="BQ22" i="248"/>
  <c r="BW22"/>
  <c r="CE22"/>
  <c r="CM22"/>
  <c r="CU22"/>
  <c r="DC22"/>
  <c r="BV22" i="256"/>
  <c r="CD22"/>
  <c r="CL22"/>
  <c r="CT22"/>
  <c r="DB22"/>
  <c r="BU22" i="255"/>
  <c r="CC22"/>
  <c r="CK22"/>
  <c r="CS22"/>
  <c r="DA22"/>
  <c r="BT22" i="257"/>
  <c r="CB22"/>
  <c r="CJ22"/>
  <c r="CR22"/>
  <c r="CZ22"/>
  <c r="BV21" i="263"/>
  <c r="CD21"/>
  <c r="CL21"/>
  <c r="CT21"/>
  <c r="DB21"/>
  <c r="BT21" i="262"/>
  <c r="CB21"/>
  <c r="CJ21"/>
  <c r="CR21"/>
  <c r="CZ21"/>
  <c r="BV21" i="261"/>
  <c r="CD21"/>
  <c r="CL21"/>
  <c r="CT21"/>
  <c r="DB21"/>
  <c r="BT21" i="260"/>
  <c r="CB21"/>
  <c r="CJ21"/>
  <c r="CR21"/>
  <c r="CZ21"/>
  <c r="BV21" i="259"/>
  <c r="CD21"/>
  <c r="CL21"/>
  <c r="CT21"/>
  <c r="DB21"/>
  <c r="BT21" i="258"/>
  <c r="CB21"/>
  <c r="CJ21"/>
  <c r="CR21"/>
  <c r="CZ21"/>
  <c r="BV21" i="248"/>
  <c r="CD21"/>
  <c r="CL21"/>
  <c r="CT21"/>
  <c r="DB21"/>
  <c r="BT21" i="256"/>
  <c r="CB21"/>
  <c r="CJ21"/>
  <c r="CR21"/>
  <c r="CZ21"/>
  <c r="BV21" i="255"/>
  <c r="CD21"/>
  <c r="CL21"/>
  <c r="CT21"/>
  <c r="DB21"/>
  <c r="BT21" i="257"/>
  <c r="CB21"/>
  <c r="CJ21"/>
  <c r="CR21"/>
  <c r="CZ21"/>
  <c r="BS19" i="262"/>
  <c r="BW19"/>
  <c r="CA19"/>
  <c r="CE19"/>
  <c r="CI19"/>
  <c r="CM19"/>
  <c r="CQ19"/>
  <c r="CU19"/>
  <c r="CY19"/>
  <c r="DC19"/>
  <c r="DG19"/>
  <c r="BV19" i="260"/>
  <c r="BZ19"/>
  <c r="CD19"/>
  <c r="CH19"/>
  <c r="CL19"/>
  <c r="CP19"/>
  <c r="CT19"/>
  <c r="CX19"/>
  <c r="DB19"/>
  <c r="DF19"/>
  <c r="BT18" i="259"/>
  <c r="BX18"/>
  <c r="CB18"/>
  <c r="CF18"/>
  <c r="CJ18"/>
  <c r="CN18"/>
  <c r="CR18"/>
  <c r="CV18"/>
  <c r="CZ18"/>
  <c r="DD18"/>
  <c r="BT19" i="258"/>
  <c r="BX19"/>
  <c r="CB19"/>
  <c r="CF19"/>
  <c r="CJ19"/>
  <c r="CN19"/>
  <c r="CR19"/>
  <c r="CV19"/>
  <c r="CZ19"/>
  <c r="DD19"/>
  <c r="BS19" i="256"/>
  <c r="BW19"/>
  <c r="CA19"/>
  <c r="CE19"/>
  <c r="CI19"/>
  <c r="CM19"/>
  <c r="CQ19"/>
  <c r="CU19"/>
  <c r="CY19"/>
  <c r="DC19"/>
  <c r="DG19"/>
  <c r="BV19" i="257"/>
  <c r="BZ19"/>
  <c r="CD19"/>
  <c r="CH19"/>
  <c r="CL19"/>
  <c r="CP19"/>
  <c r="CT19"/>
  <c r="CX19"/>
  <c r="DB19"/>
  <c r="DF19"/>
  <c r="BV15" i="263"/>
  <c r="BZ15"/>
  <c r="CD15"/>
  <c r="CH15"/>
  <c r="CL15"/>
  <c r="CP15"/>
  <c r="CT15"/>
  <c r="CX15"/>
  <c r="DB15"/>
  <c r="DF15"/>
  <c r="BT15" i="262"/>
  <c r="BX15"/>
  <c r="CB15"/>
  <c r="CF15"/>
  <c r="CJ15"/>
  <c r="CN15"/>
  <c r="CR15"/>
  <c r="CV15"/>
  <c r="CZ15"/>
  <c r="DD15"/>
  <c r="BS16" i="261"/>
  <c r="BW16"/>
  <c r="CA16"/>
  <c r="CE16"/>
  <c r="CI16"/>
  <c r="CM16"/>
  <c r="CQ16"/>
  <c r="CU16"/>
  <c r="CY16"/>
  <c r="DC16"/>
  <c r="DG16"/>
  <c r="BU16" i="260"/>
  <c r="BY16"/>
  <c r="CC16"/>
  <c r="CG16"/>
  <c r="CK16"/>
  <c r="CO16"/>
  <c r="CS16"/>
  <c r="CW16"/>
  <c r="DA16"/>
  <c r="DE16"/>
  <c r="BV15" i="259"/>
  <c r="BZ15"/>
  <c r="CD15"/>
  <c r="CH15"/>
  <c r="CL15"/>
  <c r="CP15"/>
  <c r="CT15"/>
  <c r="CX15"/>
  <c r="DB15"/>
  <c r="DF15"/>
  <c r="BT15" i="258"/>
  <c r="BX15"/>
  <c r="CB15"/>
  <c r="CF15"/>
  <c r="CJ15"/>
  <c r="CN15"/>
  <c r="CR15"/>
  <c r="CV15"/>
  <c r="CZ15"/>
  <c r="DD15"/>
  <c r="BS16" i="248"/>
  <c r="BW16"/>
  <c r="CA16"/>
  <c r="CE16"/>
  <c r="CI16"/>
  <c r="CM16"/>
  <c r="CQ16"/>
  <c r="CU16"/>
  <c r="CY16"/>
  <c r="DC16"/>
  <c r="DG16"/>
  <c r="BU16" i="256"/>
  <c r="BY16"/>
  <c r="CC16"/>
  <c r="CG16"/>
  <c r="CK16"/>
  <c r="CO16"/>
  <c r="CS16"/>
  <c r="CW16"/>
  <c r="DA16"/>
  <c r="DE16"/>
  <c r="BV15" i="255"/>
  <c r="BZ15"/>
  <c r="CD15"/>
  <c r="CH15"/>
  <c r="CL15"/>
  <c r="CP15"/>
  <c r="CT15"/>
  <c r="CX15"/>
  <c r="DB15"/>
  <c r="DF15"/>
  <c r="BT15" i="257"/>
  <c r="BX15"/>
  <c r="CB15"/>
  <c r="CF15"/>
  <c r="CJ15"/>
  <c r="CN15"/>
  <c r="CR15"/>
  <c r="CV15"/>
  <c r="CZ15"/>
  <c r="DD15"/>
  <c r="BT13" i="263"/>
  <c r="CB13"/>
  <c r="CJ13"/>
  <c r="CR13"/>
  <c r="CZ13"/>
  <c r="BU13" i="262"/>
  <c r="CC13"/>
  <c r="CK13"/>
  <c r="CS13"/>
  <c r="DA13"/>
  <c r="BV13" i="261"/>
  <c r="CD13"/>
  <c r="CL13"/>
  <c r="CT13"/>
  <c r="DB13"/>
  <c r="BS13" i="260"/>
  <c r="CA13"/>
  <c r="CI13"/>
  <c r="CQ13"/>
  <c r="CY13"/>
  <c r="DG13"/>
  <c r="BX13" i="259"/>
  <c r="CF13"/>
  <c r="CN13"/>
  <c r="CV13"/>
  <c r="DD13"/>
  <c r="BY13" i="258"/>
  <c r="CG13"/>
  <c r="CO13"/>
  <c r="CW13"/>
  <c r="DE13"/>
  <c r="BZ13" i="248"/>
  <c r="CH13"/>
  <c r="CP13"/>
  <c r="CX13"/>
  <c r="DF13"/>
  <c r="BW13" i="256"/>
  <c r="CE13"/>
  <c r="CM13"/>
  <c r="CU13"/>
  <c r="DC13"/>
  <c r="BT13" i="255"/>
  <c r="CB13"/>
  <c r="CJ13"/>
  <c r="CR13"/>
  <c r="CZ13"/>
  <c r="BU13" i="257"/>
  <c r="CC13"/>
  <c r="CK13"/>
  <c r="CS13"/>
  <c r="DA13"/>
  <c r="BR10" i="263"/>
  <c r="BT11"/>
  <c r="BX11"/>
  <c r="CB11"/>
  <c r="CF11"/>
  <c r="CJ11"/>
  <c r="CN11"/>
  <c r="CR11"/>
  <c r="CV11"/>
  <c r="CZ11"/>
  <c r="DD11"/>
  <c r="BJ39" i="248"/>
  <c r="X42"/>
  <c r="AZ11"/>
  <c r="BB27"/>
  <c r="AT48"/>
  <c r="BI38"/>
  <c r="X16" i="258"/>
  <c r="AZ60"/>
  <c r="AT15"/>
  <c r="AO38"/>
  <c r="T39" i="259"/>
  <c r="BA11"/>
  <c r="BC32"/>
  <c r="AR46"/>
  <c r="V29"/>
  <c r="AO57"/>
  <c r="AA18"/>
  <c r="BI34"/>
  <c r="BJ43" i="260"/>
  <c r="T29"/>
  <c r="X39"/>
  <c r="AX16"/>
  <c r="AY10"/>
  <c r="AY50"/>
  <c r="BA50"/>
  <c r="BC47"/>
  <c r="AR65"/>
  <c r="BE35"/>
  <c r="BE65"/>
  <c r="AQ46"/>
  <c r="AT45"/>
  <c r="Y47"/>
  <c r="V19"/>
  <c r="AO18"/>
  <c r="AO59"/>
  <c r="AV41"/>
  <c r="AA59"/>
  <c r="BI35"/>
  <c r="T32" i="261"/>
  <c r="U13"/>
  <c r="BJ29"/>
  <c r="X35"/>
  <c r="AW40"/>
  <c r="AX47"/>
  <c r="AZ45"/>
  <c r="BB45"/>
  <c r="AR19"/>
  <c r="BE47"/>
  <c r="AQ42"/>
  <c r="AT16"/>
  <c r="Y43"/>
  <c r="V34"/>
  <c r="AO39"/>
  <c r="AV26"/>
  <c r="AA39"/>
  <c r="AA30"/>
  <c r="BI39"/>
  <c r="BJ32" i="262"/>
  <c r="T19"/>
  <c r="T30"/>
  <c r="U19"/>
  <c r="BJ60"/>
  <c r="X57"/>
  <c r="AX34"/>
  <c r="AX60"/>
  <c r="AY18"/>
  <c r="AY57"/>
  <c r="AZ42"/>
  <c r="BA34"/>
  <c r="BA57"/>
  <c r="BB42"/>
  <c r="BC34"/>
  <c r="BC48"/>
  <c r="AR32"/>
  <c r="AR48"/>
  <c r="BE18"/>
  <c r="BE27"/>
  <c r="AQ39"/>
  <c r="AQ30"/>
  <c r="AT21"/>
  <c r="AT46"/>
  <c r="AT65"/>
  <c r="Y48"/>
  <c r="AO27"/>
  <c r="AV34"/>
  <c r="AV57"/>
  <c r="AA21"/>
  <c r="AA27"/>
  <c r="BI36"/>
  <c r="BI65"/>
  <c r="BJ57" i="263"/>
  <c r="BI21"/>
  <c r="BQ27"/>
  <c r="BU27"/>
  <c r="BY27"/>
  <c r="CC27"/>
  <c r="CG27"/>
  <c r="CK27"/>
  <c r="CO27"/>
  <c r="CQ28"/>
  <c r="CS29"/>
  <c r="CU29"/>
  <c r="CW29"/>
  <c r="CY29"/>
  <c r="DB27"/>
  <c r="DD27"/>
  <c r="DF27"/>
  <c r="BP30" i="262"/>
  <c r="BR28"/>
  <c r="BS26"/>
  <c r="BT30"/>
  <c r="BV28"/>
  <c r="BW26"/>
  <c r="BX30"/>
  <c r="BZ28"/>
  <c r="CA26"/>
  <c r="CB30"/>
  <c r="CD28"/>
  <c r="CE26"/>
  <c r="CF30"/>
  <c r="CH28"/>
  <c r="CI26"/>
  <c r="CJ30"/>
  <c r="CL28"/>
  <c r="CM26"/>
  <c r="CN30"/>
  <c r="CP28"/>
  <c r="CQ26"/>
  <c r="CR30"/>
  <c r="CT28"/>
  <c r="CU26"/>
  <c r="CV30"/>
  <c r="CX28"/>
  <c r="CY26"/>
  <c r="DA26"/>
  <c r="DB30"/>
  <c r="DD28"/>
  <c r="DE26"/>
  <c r="DF30"/>
  <c r="BP27" i="261"/>
  <c r="BQ27"/>
  <c r="BS27"/>
  <c r="BU27"/>
  <c r="BW27"/>
  <c r="BY27"/>
  <c r="CA27"/>
  <c r="CC27"/>
  <c r="CE27"/>
  <c r="CG27"/>
  <c r="CI27"/>
  <c r="CK27"/>
  <c r="CM27"/>
  <c r="CO27"/>
  <c r="CQ27"/>
  <c r="CS27"/>
  <c r="CU27"/>
  <c r="CW27"/>
  <c r="CY27"/>
  <c r="DB29"/>
  <c r="DD29"/>
  <c r="DF29"/>
  <c r="BP28" i="260"/>
  <c r="BQ30"/>
  <c r="BS28"/>
  <c r="BT26"/>
  <c r="BU30"/>
  <c r="BW28"/>
  <c r="BX26"/>
  <c r="BY30"/>
  <c r="CA28"/>
  <c r="CB26"/>
  <c r="CC30"/>
  <c r="CE28"/>
  <c r="CF26"/>
  <c r="CG30"/>
  <c r="CI28"/>
  <c r="CJ26"/>
  <c r="CK30"/>
  <c r="CM28"/>
  <c r="CN26"/>
  <c r="CO30"/>
  <c r="CQ28"/>
  <c r="CR26"/>
  <c r="CS30"/>
  <c r="CU28"/>
  <c r="CV26"/>
  <c r="CW30"/>
  <c r="CY28"/>
  <c r="DA28"/>
  <c r="DB26"/>
  <c r="DC30"/>
  <c r="DE28"/>
  <c r="DF26"/>
  <c r="DG30"/>
  <c r="BR27" i="259"/>
  <c r="BT27"/>
  <c r="BV27"/>
  <c r="BX27"/>
  <c r="BZ27"/>
  <c r="CB27"/>
  <c r="CD27"/>
  <c r="CF27"/>
  <c r="CH27"/>
  <c r="CO29"/>
  <c r="CW29"/>
  <c r="DD27"/>
  <c r="BR29" i="258"/>
  <c r="BZ29"/>
  <c r="CH29"/>
  <c r="CP29"/>
  <c r="CX29"/>
  <c r="DE27"/>
  <c r="BT26" i="248"/>
  <c r="BY30"/>
  <c r="CE28"/>
  <c r="CJ26"/>
  <c r="CO30"/>
  <c r="CU28"/>
  <c r="DA30"/>
  <c r="DG28"/>
  <c r="BV27" i="256"/>
  <c r="CD27"/>
  <c r="CT27"/>
  <c r="BR30" i="255"/>
  <c r="CC26"/>
  <c r="CN28"/>
  <c r="CX30"/>
  <c r="BW27" i="257"/>
  <c r="CM27"/>
  <c r="DG27"/>
  <c r="CO22" i="262"/>
  <c r="BS22" i="260"/>
  <c r="CY22"/>
  <c r="CP22" i="259"/>
  <c r="BU22" i="258"/>
  <c r="DA22"/>
  <c r="CR22" i="248"/>
  <c r="CC22" i="256"/>
  <c r="CS22"/>
  <c r="BV22" i="255"/>
  <c r="CL22"/>
  <c r="DB22"/>
  <c r="CG22" i="257"/>
  <c r="CW22"/>
  <c r="BS21" i="263"/>
  <c r="CI21"/>
  <c r="CY21"/>
  <c r="BU21" i="262"/>
  <c r="CK21"/>
  <c r="DA21"/>
  <c r="CE21" i="261"/>
  <c r="CU21"/>
  <c r="BY21" i="260"/>
  <c r="CO21"/>
  <c r="DE21"/>
  <c r="CA21" i="259"/>
  <c r="CQ21"/>
  <c r="DG21"/>
  <c r="CC21" i="258"/>
  <c r="CS21"/>
  <c r="BW21" i="248"/>
  <c r="CM21"/>
  <c r="DC21"/>
  <c r="CG21" i="256"/>
  <c r="CW21"/>
  <c r="BS21" i="255"/>
  <c r="CI21"/>
  <c r="CY21"/>
  <c r="BU21" i="257"/>
  <c r="CK21"/>
  <c r="DA21"/>
  <c r="BX19" i="263"/>
  <c r="CF19"/>
  <c r="CN19"/>
  <c r="CV19"/>
  <c r="DD19"/>
  <c r="BW19" i="261"/>
  <c r="CE19"/>
  <c r="CM19"/>
  <c r="CU19"/>
  <c r="DC19"/>
  <c r="BW18" i="259"/>
  <c r="CE18"/>
  <c r="CM18"/>
  <c r="CU18"/>
  <c r="DC18"/>
  <c r="BT19" i="248"/>
  <c r="CB19"/>
  <c r="CJ19"/>
  <c r="CR19"/>
  <c r="CZ19"/>
  <c r="BS19" i="255"/>
  <c r="CA19"/>
  <c r="CI19"/>
  <c r="CQ19"/>
  <c r="CY19"/>
  <c r="DG19"/>
  <c r="BY15" i="263"/>
  <c r="CG15"/>
  <c r="CO15"/>
  <c r="CW15"/>
  <c r="DE15"/>
  <c r="BW15" i="262"/>
  <c r="CE15"/>
  <c r="CM15"/>
  <c r="CU15"/>
  <c r="DC15"/>
  <c r="BZ16" i="261"/>
  <c r="CH16"/>
  <c r="CP16"/>
  <c r="CX16"/>
  <c r="DF16"/>
  <c r="BX16" i="260"/>
  <c r="CF16"/>
  <c r="CN16"/>
  <c r="CV16"/>
  <c r="DD16"/>
  <c r="BV16" i="259"/>
  <c r="CD16"/>
  <c r="CL16"/>
  <c r="CT16"/>
  <c r="DB16"/>
  <c r="BT16" i="258"/>
  <c r="CB16"/>
  <c r="CJ16"/>
  <c r="CR16"/>
  <c r="CZ16"/>
  <c r="BU15" i="248"/>
  <c r="CC15"/>
  <c r="CK15"/>
  <c r="CS15"/>
  <c r="DA15"/>
  <c r="BS15" i="256"/>
  <c r="CA15"/>
  <c r="CI15"/>
  <c r="CQ15"/>
  <c r="CY15"/>
  <c r="DG15"/>
  <c r="BY15" i="255"/>
  <c r="CG15"/>
  <c r="CO15"/>
  <c r="CW15"/>
  <c r="DE15"/>
  <c r="BW15" i="257"/>
  <c r="CE15"/>
  <c r="CM15"/>
  <c r="CU15"/>
  <c r="DC15"/>
  <c r="CC13" i="263"/>
  <c r="CS13"/>
  <c r="BV13" i="262"/>
  <c r="CL13"/>
  <c r="DB13"/>
  <c r="CE13" i="261"/>
  <c r="CU13"/>
  <c r="BX13" i="260"/>
  <c r="CN13"/>
  <c r="DD13"/>
  <c r="CG13" i="259"/>
  <c r="CW13"/>
  <c r="BZ13" i="258"/>
  <c r="CP13"/>
  <c r="DF13"/>
  <c r="CA13" i="248"/>
  <c r="CQ13"/>
  <c r="DG13"/>
  <c r="CB13" i="256"/>
  <c r="CR13"/>
  <c r="BU13" i="255"/>
  <c r="CK13"/>
  <c r="DA13"/>
  <c r="CD13" i="257"/>
  <c r="CT13"/>
  <c r="BT10" i="263"/>
  <c r="CB10"/>
  <c r="CJ10"/>
  <c r="CR10"/>
  <c r="CZ10"/>
  <c r="DE11"/>
  <c r="BR10" i="262"/>
  <c r="BT11"/>
  <c r="BX11"/>
  <c r="CB11"/>
  <c r="CF11"/>
  <c r="CJ11"/>
  <c r="CN11"/>
  <c r="CR11"/>
  <c r="CV11"/>
  <c r="CZ11"/>
  <c r="DD11"/>
  <c r="BQ10" i="261"/>
  <c r="BV10"/>
  <c r="BZ10"/>
  <c r="CD10"/>
  <c r="CH10"/>
  <c r="CL10"/>
  <c r="CP10"/>
  <c r="CT10"/>
  <c r="CX10"/>
  <c r="DB10"/>
  <c r="DF10"/>
  <c r="BQ11" i="260"/>
  <c r="BU10"/>
  <c r="BY10"/>
  <c r="CC10"/>
  <c r="CG10"/>
  <c r="CK10"/>
  <c r="CO10"/>
  <c r="CS10"/>
  <c r="CW10"/>
  <c r="DA10"/>
  <c r="DE10"/>
  <c r="BP11" i="259"/>
  <c r="BU11"/>
  <c r="BY11"/>
  <c r="CC11"/>
  <c r="CG11"/>
  <c r="CK11"/>
  <c r="CO11"/>
  <c r="CS11"/>
  <c r="CW11"/>
  <c r="DA11"/>
  <c r="DE11"/>
  <c r="BS10" i="258"/>
  <c r="BW10"/>
  <c r="CA10"/>
  <c r="CE10"/>
  <c r="CP27" i="259"/>
  <c r="CX27"/>
  <c r="DG29"/>
  <c r="BS27" i="258"/>
  <c r="CA27"/>
  <c r="CI27"/>
  <c r="CQ27"/>
  <c r="CY27"/>
  <c r="BP28" i="248"/>
  <c r="BU28"/>
  <c r="BZ26"/>
  <c r="CE30"/>
  <c r="CK28"/>
  <c r="CP26"/>
  <c r="CU30"/>
  <c r="DB26"/>
  <c r="DG30"/>
  <c r="BT27" i="256"/>
  <c r="CB27"/>
  <c r="CJ27"/>
  <c r="CR27"/>
  <c r="DA29"/>
  <c r="BP30" i="255"/>
  <c r="BV28"/>
  <c r="CA26"/>
  <c r="CF30"/>
  <c r="CL28"/>
  <c r="CQ26"/>
  <c r="CV30"/>
  <c r="DC26"/>
  <c r="BP27" i="257"/>
  <c r="BU27"/>
  <c r="CC27"/>
  <c r="CK27"/>
  <c r="CS27"/>
  <c r="DB29"/>
  <c r="CH22" i="263"/>
  <c r="CC22" i="262"/>
  <c r="BT22" i="261"/>
  <c r="CZ22"/>
  <c r="CM22" i="260"/>
  <c r="CD22" i="259"/>
  <c r="BY22" i="258"/>
  <c r="DE22"/>
  <c r="CV22" i="248"/>
  <c r="CE22" i="256"/>
  <c r="CU22"/>
  <c r="BX22" i="255"/>
  <c r="CN22"/>
  <c r="DD22"/>
  <c r="CA22" i="257"/>
  <c r="CQ22"/>
  <c r="DG22"/>
  <c r="CC21" i="263"/>
  <c r="CS21"/>
  <c r="BW21" i="262"/>
  <c r="CM21"/>
  <c r="DC21"/>
  <c r="CG21" i="261"/>
  <c r="CW21"/>
  <c r="BS21" i="260"/>
  <c r="CI21"/>
  <c r="CY21"/>
  <c r="BU21" i="259"/>
  <c r="CK21"/>
  <c r="DA21"/>
  <c r="CE21" i="258"/>
  <c r="CU21"/>
  <c r="BY21" i="248"/>
  <c r="CO21"/>
  <c r="DE21"/>
  <c r="CA21" i="256"/>
  <c r="CQ21"/>
  <c r="DG21"/>
  <c r="CC21" i="255"/>
  <c r="CS21"/>
  <c r="BW21" i="257"/>
  <c r="CM21"/>
  <c r="DC21"/>
  <c r="BY19" i="263"/>
  <c r="CG19"/>
  <c r="CO19"/>
  <c r="CW19"/>
  <c r="DE19"/>
  <c r="BX19" i="261"/>
  <c r="CF19"/>
  <c r="CN19"/>
  <c r="CV19"/>
  <c r="DD19"/>
  <c r="BX19" i="259"/>
  <c r="CF19"/>
  <c r="CN19"/>
  <c r="CV19"/>
  <c r="DD19"/>
  <c r="BY19" i="248"/>
  <c r="CG19"/>
  <c r="CO19"/>
  <c r="CW19"/>
  <c r="DE19"/>
  <c r="BX19" i="255"/>
  <c r="CF19"/>
  <c r="CN19"/>
  <c r="CV19"/>
  <c r="DD19"/>
  <c r="BW15" i="263"/>
  <c r="CE15"/>
  <c r="CM15"/>
  <c r="CU15"/>
  <c r="DC15"/>
  <c r="BZ16" i="262"/>
  <c r="CH16"/>
  <c r="CP16"/>
  <c r="CX16"/>
  <c r="DF16"/>
  <c r="BX16" i="261"/>
  <c r="CF16"/>
  <c r="CN16"/>
  <c r="CV16"/>
  <c r="DD16"/>
  <c r="BV16" i="260"/>
  <c r="CD16"/>
  <c r="CL16"/>
  <c r="CT16"/>
  <c r="DB16"/>
  <c r="BT16" i="259"/>
  <c r="CB16"/>
  <c r="CJ16"/>
  <c r="CR16"/>
  <c r="CZ16"/>
  <c r="BU15" i="258"/>
  <c r="CC15"/>
  <c r="CK15"/>
  <c r="CS15"/>
  <c r="DA15"/>
  <c r="BS15" i="248"/>
  <c r="CA15"/>
  <c r="CI15"/>
  <c r="CQ15"/>
  <c r="CY15"/>
  <c r="DG15"/>
  <c r="BY15" i="256"/>
  <c r="CG15"/>
  <c r="CO15"/>
  <c r="CW15"/>
  <c r="DE15"/>
  <c r="BW15" i="255"/>
  <c r="CE15"/>
  <c r="CM15"/>
  <c r="CU15"/>
  <c r="DC15"/>
  <c r="BZ16" i="257"/>
  <c r="CH16"/>
  <c r="CP16"/>
  <c r="CX16"/>
  <c r="DF16"/>
  <c r="CE13" i="263"/>
  <c r="CU13"/>
  <c r="BX13" i="262"/>
  <c r="CN13"/>
  <c r="DD13"/>
  <c r="CG13" i="261"/>
  <c r="CW13"/>
  <c r="BZ13" i="260"/>
  <c r="CP13"/>
  <c r="DF13"/>
  <c r="CA13" i="259"/>
  <c r="CQ13"/>
  <c r="DG13"/>
  <c r="CB13" i="258"/>
  <c r="CR13"/>
  <c r="BU13" i="248"/>
  <c r="CK13"/>
  <c r="DA13"/>
  <c r="CD13" i="256"/>
  <c r="CT13"/>
  <c r="BW13" i="255"/>
  <c r="CM13"/>
  <c r="DC13"/>
  <c r="CF13" i="257"/>
  <c r="CV13"/>
  <c r="BW11" i="263"/>
  <c r="CE11"/>
  <c r="CM11"/>
  <c r="CU11"/>
  <c r="DB11"/>
  <c r="DF10"/>
  <c r="BS11" i="262"/>
  <c r="BW11"/>
  <c r="CA11"/>
  <c r="CE11"/>
  <c r="CI11"/>
  <c r="CM11"/>
  <c r="CQ11"/>
  <c r="CU11"/>
  <c r="CY11"/>
  <c r="DC11"/>
  <c r="DG11"/>
  <c r="BR11" i="261"/>
  <c r="BV11"/>
  <c r="BZ11"/>
  <c r="CD11"/>
  <c r="CH11"/>
  <c r="CL11"/>
  <c r="CP11"/>
  <c r="CT11"/>
  <c r="CX11"/>
  <c r="DB11"/>
  <c r="DF11"/>
  <c r="BT10" i="260"/>
  <c r="BX10"/>
  <c r="CB10"/>
  <c r="CF10"/>
  <c r="CJ10"/>
  <c r="CN10"/>
  <c r="CR10"/>
  <c r="CV10"/>
  <c r="CZ10"/>
  <c r="DD10"/>
  <c r="BR10" i="259"/>
  <c r="BT11"/>
  <c r="BX11"/>
  <c r="CB11"/>
  <c r="CF11"/>
  <c r="CJ11"/>
  <c r="CN11"/>
  <c r="CR11"/>
  <c r="CV11"/>
  <c r="CZ11"/>
  <c r="DD11"/>
  <c r="BQ10" i="258"/>
  <c r="BV10"/>
  <c r="BZ10"/>
  <c r="CD10"/>
  <c r="CH10"/>
  <c r="CL10"/>
  <c r="CP10"/>
  <c r="CT10"/>
  <c r="CX10"/>
  <c r="DB10"/>
  <c r="DF10"/>
  <c r="BQ11" i="248"/>
  <c r="BU10"/>
  <c r="BY10"/>
  <c r="CC10"/>
  <c r="CG10"/>
  <c r="CK10"/>
  <c r="CO10"/>
  <c r="CS10"/>
  <c r="CW10"/>
  <c r="DA10"/>
  <c r="DE10"/>
  <c r="BP11" i="256"/>
  <c r="BU11"/>
  <c r="BY11"/>
  <c r="CC11"/>
  <c r="CG11"/>
  <c r="CK11"/>
  <c r="CO11"/>
  <c r="CS11"/>
  <c r="CW11"/>
  <c r="DA11"/>
  <c r="DE11"/>
  <c r="BS10" i="255"/>
  <c r="BW10"/>
  <c r="CA10"/>
  <c r="CE10"/>
  <c r="CI10"/>
  <c r="CM10"/>
  <c r="CQ10"/>
  <c r="CU10"/>
  <c r="CY10"/>
  <c r="DC10"/>
  <c r="DG10"/>
  <c r="BS11" i="257"/>
  <c r="BW11"/>
  <c r="CA11"/>
  <c r="CE11"/>
  <c r="CI11"/>
  <c r="CM11"/>
  <c r="CQ11"/>
  <c r="CU11"/>
  <c r="CY11"/>
  <c r="DC11"/>
  <c r="DG11"/>
  <c r="BT46" i="263"/>
  <c r="BV48"/>
  <c r="BX46"/>
  <c r="BZ48"/>
  <c r="CB46"/>
  <c r="CD48"/>
  <c r="CF46"/>
  <c r="CH48"/>
  <c r="CJ46"/>
  <c r="CL48"/>
  <c r="CN46"/>
  <c r="CP48"/>
  <c r="CR46"/>
  <c r="CT48"/>
  <c r="CV46"/>
  <c r="CX48"/>
  <c r="CZ46"/>
  <c r="DB48"/>
  <c r="DD46"/>
  <c r="DF48"/>
  <c r="BQ48" i="262"/>
  <c r="BT50"/>
  <c r="BV47"/>
  <c r="BX50"/>
  <c r="BZ47"/>
  <c r="CB50"/>
  <c r="CD47"/>
  <c r="CF50"/>
  <c r="CH47"/>
  <c r="CJ50"/>
  <c r="CL47"/>
  <c r="CN50"/>
  <c r="CP47"/>
  <c r="CR50"/>
  <c r="CT47"/>
  <c r="CV50"/>
  <c r="CX47"/>
  <c r="CZ50"/>
  <c r="DB47"/>
  <c r="DD50"/>
  <c r="DF47"/>
  <c r="BR48" i="261"/>
  <c r="BT48"/>
  <c r="BV46"/>
  <c r="BX48"/>
  <c r="BZ46"/>
  <c r="CB48"/>
  <c r="CD46"/>
  <c r="CF48"/>
  <c r="CH46"/>
  <c r="CJ48"/>
  <c r="CL46"/>
  <c r="CN48"/>
  <c r="CP46"/>
  <c r="CR48"/>
  <c r="CT46"/>
  <c r="CV48"/>
  <c r="CX46"/>
  <c r="CZ48"/>
  <c r="DB46"/>
  <c r="DE47"/>
  <c r="DG50"/>
  <c r="BT47" i="260"/>
  <c r="BV50"/>
  <c r="BX47"/>
  <c r="BZ50"/>
  <c r="CB47"/>
  <c r="CD50"/>
  <c r="CF47"/>
  <c r="CH50"/>
  <c r="CJ47"/>
  <c r="CL50"/>
  <c r="CN47"/>
  <c r="CP50"/>
  <c r="CR47"/>
  <c r="CT50"/>
  <c r="CV47"/>
  <c r="CX50"/>
  <c r="CZ47"/>
  <c r="DB50"/>
  <c r="DD47"/>
  <c r="DF50"/>
  <c r="BS47" i="259"/>
  <c r="BU50"/>
  <c r="BW47"/>
  <c r="BY50"/>
  <c r="CA47"/>
  <c r="CC50"/>
  <c r="CE47"/>
  <c r="CG50"/>
  <c r="CI47"/>
  <c r="CK50"/>
  <c r="CM47"/>
  <c r="CO50"/>
  <c r="CQ47"/>
  <c r="CS50"/>
  <c r="CU47"/>
  <c r="CW50"/>
  <c r="CY47"/>
  <c r="DA50"/>
  <c r="DC47"/>
  <c r="DE50"/>
  <c r="DG47"/>
  <c r="BS46" i="258"/>
  <c r="BU48"/>
  <c r="BW46"/>
  <c r="BY48"/>
  <c r="CA46"/>
  <c r="CC48"/>
  <c r="CE46"/>
  <c r="CG48"/>
  <c r="CI46"/>
  <c r="CK48"/>
  <c r="CM46"/>
  <c r="CO48"/>
  <c r="CQ46"/>
  <c r="CS48"/>
  <c r="CU46"/>
  <c r="CW48"/>
  <c r="CY46"/>
  <c r="DA48"/>
  <c r="DC46"/>
  <c r="DE48"/>
  <c r="DG46"/>
  <c r="BS50" i="248"/>
  <c r="BU47"/>
  <c r="BW50"/>
  <c r="BY47"/>
  <c r="CA50"/>
  <c r="CC47"/>
  <c r="CE50"/>
  <c r="CG47"/>
  <c r="CI50"/>
  <c r="CK47"/>
  <c r="CM50"/>
  <c r="CO47"/>
  <c r="CQ50"/>
  <c r="CS47"/>
  <c r="CU50"/>
  <c r="CW47"/>
  <c r="CY50"/>
  <c r="DA47"/>
  <c r="DC50"/>
  <c r="DF46"/>
  <c r="BS48" i="256"/>
  <c r="BU46"/>
  <c r="BW48"/>
  <c r="BY46"/>
  <c r="CA48"/>
  <c r="CC46"/>
  <c r="CE48"/>
  <c r="CG46"/>
  <c r="CI48"/>
  <c r="CK46"/>
  <c r="CM48"/>
  <c r="CO46"/>
  <c r="CQ48"/>
  <c r="CS46"/>
  <c r="CU48"/>
  <c r="CW46"/>
  <c r="CY48"/>
  <c r="DA46"/>
  <c r="DC48"/>
  <c r="DE46"/>
  <c r="DG48"/>
  <c r="BT46" i="255"/>
  <c r="BV48"/>
  <c r="BX46"/>
  <c r="BZ48"/>
  <c r="CB46"/>
  <c r="CD48"/>
  <c r="CF46"/>
  <c r="CH48"/>
  <c r="CJ46"/>
  <c r="CL48"/>
  <c r="CN46"/>
  <c r="CP48"/>
  <c r="CR46"/>
  <c r="CT48"/>
  <c r="CV46"/>
  <c r="CX48"/>
  <c r="CZ46"/>
  <c r="DB48"/>
  <c r="DD46"/>
  <c r="DF48"/>
  <c r="BQ48" i="257"/>
  <c r="BT50"/>
  <c r="BV47"/>
  <c r="BX50"/>
  <c r="BZ47"/>
  <c r="CB50"/>
  <c r="CD47"/>
  <c r="CF50"/>
  <c r="CH47"/>
  <c r="CJ50"/>
  <c r="CL47"/>
  <c r="CN50"/>
  <c r="CP47"/>
  <c r="CR50"/>
  <c r="CT47"/>
  <c r="CV50"/>
  <c r="CX47"/>
  <c r="CZ50"/>
  <c r="DB47"/>
  <c r="DD50"/>
  <c r="DF47"/>
  <c r="BS45" i="262"/>
  <c r="CA45"/>
  <c r="CI45"/>
  <c r="CQ45"/>
  <c r="CY45"/>
  <c r="DG45"/>
  <c r="BU38"/>
  <c r="CC38"/>
  <c r="CK38"/>
  <c r="CS38"/>
  <c r="DA38"/>
  <c r="BP42"/>
  <c r="BR42"/>
  <c r="BT42"/>
  <c r="BV42"/>
  <c r="BX42"/>
  <c r="BZ42"/>
  <c r="CB42"/>
  <c r="CD42"/>
  <c r="CF42"/>
  <c r="CH42"/>
  <c r="CJ42"/>
  <c r="CL42"/>
  <c r="CN42"/>
  <c r="CP42"/>
  <c r="CR42"/>
  <c r="CT42"/>
  <c r="CV42"/>
  <c r="CX42"/>
  <c r="CZ42"/>
  <c r="DB42"/>
  <c r="DD42"/>
  <c r="DF42"/>
  <c r="BQ32"/>
  <c r="CN27" i="259"/>
  <c r="CV27"/>
  <c r="BQ27" i="258"/>
  <c r="BY27"/>
  <c r="CG27"/>
  <c r="CO27"/>
  <c r="CW27"/>
  <c r="DF29"/>
  <c r="BU30" i="248"/>
  <c r="CA28"/>
  <c r="CF26"/>
  <c r="CK30"/>
  <c r="CQ28"/>
  <c r="CV26"/>
  <c r="DC28"/>
  <c r="BR27" i="256"/>
  <c r="BZ27"/>
  <c r="CH27"/>
  <c r="CP27"/>
  <c r="CX27"/>
  <c r="DG29"/>
  <c r="BT28" i="255"/>
  <c r="BY26"/>
  <c r="CD30"/>
  <c r="CJ28"/>
  <c r="CO26"/>
  <c r="CT30"/>
  <c r="CZ28"/>
  <c r="DD28"/>
  <c r="BP29" i="257"/>
  <c r="BX29"/>
  <c r="CF29"/>
  <c r="CN29"/>
  <c r="CV29"/>
  <c r="DC27"/>
  <c r="CL22" i="263"/>
  <c r="CG22" i="262"/>
  <c r="BX22" i="261"/>
  <c r="DD22"/>
  <c r="CQ22" i="260"/>
  <c r="CH22" i="259"/>
  <c r="CC22" i="258"/>
  <c r="BT22" i="248"/>
  <c r="CZ22"/>
  <c r="CG22" i="256"/>
  <c r="CW22"/>
  <c r="BZ22" i="255"/>
  <c r="CP22"/>
  <c r="DF22"/>
  <c r="CC22" i="257"/>
  <c r="CS22"/>
  <c r="BW21" i="263"/>
  <c r="CM21"/>
  <c r="DC21"/>
  <c r="CG21" i="262"/>
  <c r="CW21"/>
  <c r="BS21" i="261"/>
  <c r="CI21"/>
  <c r="CY21"/>
  <c r="BU21" i="260"/>
  <c r="CK21"/>
  <c r="DA21"/>
  <c r="CE21" i="259"/>
  <c r="CU21"/>
  <c r="BY21" i="258"/>
  <c r="CO21"/>
  <c r="DE21"/>
  <c r="CA21" i="248"/>
  <c r="CQ21"/>
  <c r="DG21"/>
  <c r="CC21" i="256"/>
  <c r="CS21"/>
  <c r="BW21" i="255"/>
  <c r="CM21"/>
  <c r="DC21"/>
  <c r="CG21" i="257"/>
  <c r="CW21"/>
  <c r="BV19" i="263"/>
  <c r="CD19"/>
  <c r="CL19"/>
  <c r="CT19"/>
  <c r="DB19"/>
  <c r="BU19" i="261"/>
  <c r="CC19"/>
  <c r="CK19"/>
  <c r="CS19"/>
  <c r="DA19"/>
  <c r="BQ18" i="259"/>
  <c r="BV19"/>
  <c r="CD19"/>
  <c r="CL19"/>
  <c r="CT19"/>
  <c r="DB19"/>
  <c r="BV19" i="248"/>
  <c r="CD19"/>
  <c r="CL19"/>
  <c r="CT19"/>
  <c r="DB19"/>
  <c r="BU19" i="255"/>
  <c r="CC19"/>
  <c r="CK19"/>
  <c r="CS19"/>
  <c r="DA19"/>
  <c r="BU15" i="263"/>
  <c r="CC15"/>
  <c r="CK15"/>
  <c r="CS15"/>
  <c r="DA15"/>
  <c r="BS15" i="262"/>
  <c r="CA15"/>
  <c r="CI15"/>
  <c r="CQ15"/>
  <c r="CY15"/>
  <c r="DG15"/>
  <c r="BY15" i="261"/>
  <c r="CG15"/>
  <c r="CO15"/>
  <c r="CW15"/>
  <c r="DE15"/>
  <c r="BW15" i="260"/>
  <c r="CE15"/>
  <c r="CM15"/>
  <c r="CU15"/>
  <c r="DC15"/>
  <c r="BZ16" i="259"/>
  <c r="CH16"/>
  <c r="CP16"/>
  <c r="CX16"/>
  <c r="DF16"/>
  <c r="BX16" i="258"/>
  <c r="CF16"/>
  <c r="CN16"/>
  <c r="CV16"/>
  <c r="DD16"/>
  <c r="BV16" i="248"/>
  <c r="CD16"/>
  <c r="CL16"/>
  <c r="CT16"/>
  <c r="DB16"/>
  <c r="BT16" i="256"/>
  <c r="CB16"/>
  <c r="CJ16"/>
  <c r="CR16"/>
  <c r="CZ16"/>
  <c r="BU15" i="255"/>
  <c r="CC15"/>
  <c r="CK15"/>
  <c r="CS15"/>
  <c r="DA15"/>
  <c r="BS15" i="257"/>
  <c r="CA15"/>
  <c r="CI15"/>
  <c r="CQ15"/>
  <c r="CY15"/>
  <c r="DG15"/>
  <c r="CG13" i="263"/>
  <c r="CW13"/>
  <c r="BZ13" i="262"/>
  <c r="CP13"/>
  <c r="DF13"/>
  <c r="CA13" i="261"/>
  <c r="CQ13"/>
  <c r="DG13"/>
  <c r="CB13" i="260"/>
  <c r="CR13"/>
  <c r="BU13" i="259"/>
  <c r="CK13"/>
  <c r="DA13"/>
  <c r="CD13" i="258"/>
  <c r="CT13"/>
  <c r="BW13" i="248"/>
  <c r="CM13"/>
  <c r="DC13"/>
  <c r="CF13" i="256"/>
  <c r="CV13"/>
  <c r="BY13" i="255"/>
  <c r="CO13"/>
  <c r="DE13"/>
  <c r="CH13" i="257"/>
  <c r="CX13"/>
  <c r="BP11" i="263"/>
  <c r="BX10"/>
  <c r="CF10"/>
  <c r="CN10"/>
  <c r="CW11"/>
  <c r="DA10"/>
  <c r="BQ11" i="262"/>
  <c r="BU10"/>
  <c r="BY10"/>
  <c r="CC10"/>
  <c r="CG10"/>
  <c r="CK10"/>
  <c r="CO10"/>
  <c r="CS10"/>
  <c r="CW10"/>
  <c r="DA10"/>
  <c r="DE10"/>
  <c r="BP11" i="261"/>
  <c r="BU11"/>
  <c r="BY11"/>
  <c r="CC11"/>
  <c r="CG11"/>
  <c r="CK11"/>
  <c r="CO11"/>
  <c r="CS11"/>
  <c r="CW11"/>
  <c r="DA11"/>
  <c r="DE11"/>
  <c r="BS10" i="260"/>
  <c r="BW10"/>
  <c r="CA10"/>
  <c r="CE10"/>
  <c r="CI10"/>
  <c r="CM10"/>
  <c r="CQ10"/>
  <c r="CU10"/>
  <c r="CY10"/>
  <c r="DC10"/>
  <c r="DG10"/>
  <c r="BS11" i="259"/>
  <c r="BW11"/>
  <c r="CA11"/>
  <c r="CE11"/>
  <c r="CI11"/>
  <c r="CM11"/>
  <c r="CQ11"/>
  <c r="CU11"/>
  <c r="CY11"/>
  <c r="DC11"/>
  <c r="DG11"/>
  <c r="BR11" i="258"/>
  <c r="BV11"/>
  <c r="BZ11"/>
  <c r="CD11"/>
  <c r="CH11"/>
  <c r="CL11"/>
  <c r="CP11"/>
  <c r="CT11"/>
  <c r="CX11"/>
  <c r="DB11"/>
  <c r="DF11"/>
  <c r="BT10" i="248"/>
  <c r="BX10"/>
  <c r="CB10"/>
  <c r="CF10"/>
  <c r="CJ10"/>
  <c r="CN10"/>
  <c r="CR10"/>
  <c r="CV10"/>
  <c r="CZ10"/>
  <c r="DD10"/>
  <c r="BR10" i="256"/>
  <c r="BT11"/>
  <c r="BX11"/>
  <c r="CB11"/>
  <c r="CF11"/>
  <c r="CJ11"/>
  <c r="CN11"/>
  <c r="CR11"/>
  <c r="CV11"/>
  <c r="CZ11"/>
  <c r="DD11"/>
  <c r="BQ10" i="255"/>
  <c r="BV10"/>
  <c r="BZ10"/>
  <c r="CD10"/>
  <c r="CH10"/>
  <c r="CL10"/>
  <c r="CP10"/>
  <c r="CT10"/>
  <c r="CX10"/>
  <c r="DB10"/>
  <c r="DF10"/>
  <c r="BQ11" i="257"/>
  <c r="BU10"/>
  <c r="BY10"/>
  <c r="CC10"/>
  <c r="CG10"/>
  <c r="CK10"/>
  <c r="CO10"/>
  <c r="CS10"/>
  <c r="CW10"/>
  <c r="DA10"/>
  <c r="DE10"/>
  <c r="BG301" i="279"/>
  <c r="BS48" i="263"/>
  <c r="BU46"/>
  <c r="BW48"/>
  <c r="BY46"/>
  <c r="CA48"/>
  <c r="CC46"/>
  <c r="CE48"/>
  <c r="CG46"/>
  <c r="CI48"/>
  <c r="CK46"/>
  <c r="CM48"/>
  <c r="CO46"/>
  <c r="CQ48"/>
  <c r="CS46"/>
  <c r="CU48"/>
  <c r="CW46"/>
  <c r="CY48"/>
  <c r="DA46"/>
  <c r="DC48"/>
  <c r="DE46"/>
  <c r="DG48"/>
  <c r="BT46" i="262"/>
  <c r="BV48"/>
  <c r="BX46"/>
  <c r="BZ48"/>
  <c r="CB46"/>
  <c r="CD48"/>
  <c r="CF46"/>
  <c r="CH48"/>
  <c r="CJ46"/>
  <c r="CL48"/>
  <c r="CN46"/>
  <c r="CP48"/>
  <c r="CR46"/>
  <c r="CT48"/>
  <c r="CV46"/>
  <c r="CX48"/>
  <c r="CZ46"/>
  <c r="DB48"/>
  <c r="DD46"/>
  <c r="DF48"/>
  <c r="BQ48" i="261"/>
  <c r="BT50"/>
  <c r="BV47"/>
  <c r="BX50"/>
  <c r="BZ47"/>
  <c r="CB50"/>
  <c r="CD47"/>
  <c r="CF50"/>
  <c r="CH47"/>
  <c r="CJ50"/>
  <c r="CL47"/>
  <c r="CN50"/>
  <c r="CP47"/>
  <c r="CR50"/>
  <c r="CT47"/>
  <c r="CV50"/>
  <c r="CX47"/>
  <c r="CZ50"/>
  <c r="DB47"/>
  <c r="DD50"/>
  <c r="DF47"/>
  <c r="BR48" i="260"/>
  <c r="BT48"/>
  <c r="BV46"/>
  <c r="BX48"/>
  <c r="BZ46"/>
  <c r="CB48"/>
  <c r="CD46"/>
  <c r="CF48"/>
  <c r="CH46"/>
  <c r="CJ48"/>
  <c r="CL46"/>
  <c r="CN48"/>
  <c r="CP46"/>
  <c r="CR48"/>
  <c r="CT46"/>
  <c r="CV48"/>
  <c r="CX46"/>
  <c r="CZ48"/>
  <c r="DB46"/>
  <c r="DE47"/>
  <c r="DG50"/>
  <c r="BT47" i="259"/>
  <c r="BV50"/>
  <c r="BX47"/>
  <c r="BZ50"/>
  <c r="CB47"/>
  <c r="CD50"/>
  <c r="CF47"/>
  <c r="CH50"/>
  <c r="CJ47"/>
  <c r="CL50"/>
  <c r="CN47"/>
  <c r="CP50"/>
  <c r="CR47"/>
  <c r="CT50"/>
  <c r="CV47"/>
  <c r="CX50"/>
  <c r="CZ47"/>
  <c r="DB50"/>
  <c r="DD47"/>
  <c r="DF50"/>
  <c r="BS47" i="258"/>
  <c r="BU50"/>
  <c r="BW47"/>
  <c r="BY50"/>
  <c r="CA47"/>
  <c r="CC50"/>
  <c r="CE47"/>
  <c r="CG50"/>
  <c r="CI47"/>
  <c r="CK50"/>
  <c r="CM47"/>
  <c r="CO50"/>
  <c r="CQ47"/>
  <c r="CS50"/>
  <c r="CU47"/>
  <c r="CW50"/>
  <c r="CY47"/>
  <c r="DA50"/>
  <c r="DC47"/>
  <c r="DE50"/>
  <c r="DG47"/>
  <c r="BS46" i="248"/>
  <c r="BU48"/>
  <c r="BW46"/>
  <c r="BY48"/>
  <c r="CA46"/>
  <c r="CC48"/>
  <c r="CE46"/>
  <c r="CG48"/>
  <c r="CI46"/>
  <c r="CK48"/>
  <c r="CM46"/>
  <c r="CO48"/>
  <c r="CQ46"/>
  <c r="CS48"/>
  <c r="CU46"/>
  <c r="CW48"/>
  <c r="CY46"/>
  <c r="DA48"/>
  <c r="DC46"/>
  <c r="DE48"/>
  <c r="DG46"/>
  <c r="BS50" i="256"/>
  <c r="BU47"/>
  <c r="BW50"/>
  <c r="BY47"/>
  <c r="CA50"/>
  <c r="CC47"/>
  <c r="CE50"/>
  <c r="CG47"/>
  <c r="CI50"/>
  <c r="CK47"/>
  <c r="CM50"/>
  <c r="CO47"/>
  <c r="CQ50"/>
  <c r="CS47"/>
  <c r="CU50"/>
  <c r="CW47"/>
  <c r="CY50"/>
  <c r="DA47"/>
  <c r="DC50"/>
  <c r="DF46"/>
  <c r="BS48" i="255"/>
  <c r="BU46"/>
  <c r="BW48"/>
  <c r="BY46"/>
  <c r="CA48"/>
  <c r="CC46"/>
  <c r="CE48"/>
  <c r="CG46"/>
  <c r="CI48"/>
  <c r="CK46"/>
  <c r="CM48"/>
  <c r="CO46"/>
  <c r="CQ48"/>
  <c r="CS46"/>
  <c r="CU48"/>
  <c r="CW46"/>
  <c r="CY48"/>
  <c r="DA46"/>
  <c r="DC48"/>
  <c r="DE46"/>
  <c r="DG48"/>
  <c r="BT46" i="257"/>
  <c r="BV48"/>
  <c r="BX46"/>
  <c r="BZ48"/>
  <c r="CB46"/>
  <c r="CD48"/>
  <c r="CF46"/>
  <c r="CH48"/>
  <c r="CJ46"/>
  <c r="CL48"/>
  <c r="CN46"/>
  <c r="CP48"/>
  <c r="CR46"/>
  <c r="CT48"/>
  <c r="CV46"/>
  <c r="CX48"/>
  <c r="CZ46"/>
  <c r="DB48"/>
  <c r="DD46"/>
  <c r="DF48"/>
  <c r="BP45" i="262"/>
  <c r="BX45"/>
  <c r="CF45"/>
  <c r="CN45"/>
  <c r="CV45"/>
  <c r="DD45"/>
  <c r="BV38"/>
  <c r="CD38"/>
  <c r="CL38"/>
  <c r="CT38"/>
  <c r="DB38"/>
  <c r="BP39"/>
  <c r="BQ41"/>
  <c r="BR43"/>
  <c r="BT39"/>
  <c r="BU41"/>
  <c r="BV43"/>
  <c r="BX39"/>
  <c r="BY41"/>
  <c r="BZ43"/>
  <c r="CB39"/>
  <c r="CC41"/>
  <c r="CD43"/>
  <c r="CF39"/>
  <c r="CG41"/>
  <c r="CH43"/>
  <c r="CJ39"/>
  <c r="CK41"/>
  <c r="CL43"/>
  <c r="CN39"/>
  <c r="CO41"/>
  <c r="CP43"/>
  <c r="CY29" i="259"/>
  <c r="CR29" i="258"/>
  <c r="CD26" i="248"/>
  <c r="CY30"/>
  <c r="CV27" i="256"/>
  <c r="BW26" i="255"/>
  <c r="CR30"/>
  <c r="CD29" i="257"/>
  <c r="DF22" i="263"/>
  <c r="CE22" i="260"/>
  <c r="CI22" i="256"/>
  <c r="CU22" i="257"/>
  <c r="BS21" i="262"/>
  <c r="BU21" i="261"/>
  <c r="BW21" i="260"/>
  <c r="BY21" i="259"/>
  <c r="CA21" i="258"/>
  <c r="CC21" i="248"/>
  <c r="CG21" i="255"/>
  <c r="CE19" i="263"/>
  <c r="CD19" i="261"/>
  <c r="CG18" i="259"/>
  <c r="BS19" i="248"/>
  <c r="CY19"/>
  <c r="CX19" i="255"/>
  <c r="CI15" i="263"/>
  <c r="CL16" i="262"/>
  <c r="BT16" i="261"/>
  <c r="CZ16"/>
  <c r="CS15" i="260"/>
  <c r="CV16" i="259"/>
  <c r="CD16" i="258"/>
  <c r="BW15" i="248"/>
  <c r="DC15"/>
  <c r="CK15" i="256"/>
  <c r="BS15" i="255"/>
  <c r="CY15"/>
  <c r="CG15" i="257"/>
  <c r="CI13" i="263"/>
  <c r="BU13" i="261"/>
  <c r="CD13" i="260"/>
  <c r="CV13" i="258"/>
  <c r="DE13" i="248"/>
  <c r="CQ13" i="255"/>
  <c r="CZ13" i="257"/>
  <c r="CQ11" i="263"/>
  <c r="CF10" i="262"/>
  <c r="CV10"/>
  <c r="BT11" i="261"/>
  <c r="CJ11"/>
  <c r="CZ11"/>
  <c r="CE11" i="260"/>
  <c r="CU11"/>
  <c r="BQ11" i="259"/>
  <c r="BZ11"/>
  <c r="CP11"/>
  <c r="DF11"/>
  <c r="BT10" i="258"/>
  <c r="CJ11"/>
  <c r="CR11"/>
  <c r="CZ11"/>
  <c r="BS10" i="248"/>
  <c r="CA10"/>
  <c r="CI10"/>
  <c r="CQ10"/>
  <c r="CY10"/>
  <c r="DG10"/>
  <c r="BZ10" i="256"/>
  <c r="CH10"/>
  <c r="CP10"/>
  <c r="CX10"/>
  <c r="DF10"/>
  <c r="BU11" i="255"/>
  <c r="CC11"/>
  <c r="CK11"/>
  <c r="CS11"/>
  <c r="DA11"/>
  <c r="BS10" i="257"/>
  <c r="CA10"/>
  <c r="CI10"/>
  <c r="CQ10"/>
  <c r="CY10"/>
  <c r="DG10"/>
  <c r="AY301" i="279"/>
  <c r="BW46" i="263"/>
  <c r="BZ47"/>
  <c r="CE46"/>
  <c r="CH47"/>
  <c r="CM46"/>
  <c r="CP47"/>
  <c r="CU46"/>
  <c r="CX47"/>
  <c r="DC46"/>
  <c r="DG46"/>
  <c r="BS50" i="262"/>
  <c r="BX48"/>
  <c r="CA50"/>
  <c r="CF48"/>
  <c r="CI50"/>
  <c r="CN48"/>
  <c r="CQ50"/>
  <c r="CV48"/>
  <c r="CY50"/>
  <c r="DE47"/>
  <c r="BU46" i="261"/>
  <c r="BX47"/>
  <c r="CC46"/>
  <c r="CF47"/>
  <c r="CK46"/>
  <c r="CN47"/>
  <c r="CS46"/>
  <c r="CV47"/>
  <c r="DA46"/>
  <c r="DD47"/>
  <c r="DF50"/>
  <c r="BV48" i="260"/>
  <c r="BY50"/>
  <c r="CD48"/>
  <c r="CG50"/>
  <c r="CL48"/>
  <c r="CO50"/>
  <c r="CT48"/>
  <c r="CW50"/>
  <c r="DB48"/>
  <c r="DF48"/>
  <c r="BS46" i="259"/>
  <c r="BV47"/>
  <c r="CA46"/>
  <c r="CD47"/>
  <c r="CI46"/>
  <c r="CL47"/>
  <c r="CQ46"/>
  <c r="CT47"/>
  <c r="CY46"/>
  <c r="DB47"/>
  <c r="DF47"/>
  <c r="BV46" i="258"/>
  <c r="BY47"/>
  <c r="CD46"/>
  <c r="CG47"/>
  <c r="CL46"/>
  <c r="CO47"/>
  <c r="CT46"/>
  <c r="CW47"/>
  <c r="DB46"/>
  <c r="DF46"/>
  <c r="BT47" i="248"/>
  <c r="BY46"/>
  <c r="CB47"/>
  <c r="CG46"/>
  <c r="CJ47"/>
  <c r="CO46"/>
  <c r="CR47"/>
  <c r="CW46"/>
  <c r="CZ47"/>
  <c r="DG48"/>
  <c r="BU50" i="256"/>
  <c r="BZ48"/>
  <c r="CC50"/>
  <c r="CH48"/>
  <c r="CK50"/>
  <c r="CP48"/>
  <c r="CS50"/>
  <c r="CX48"/>
  <c r="DA50"/>
  <c r="DE50"/>
  <c r="BU48" i="255"/>
  <c r="BX50"/>
  <c r="CC48"/>
  <c r="CF50"/>
  <c r="CK48"/>
  <c r="CN50"/>
  <c r="CS48"/>
  <c r="CV50"/>
  <c r="DA48"/>
  <c r="DE48"/>
  <c r="BR48" i="257"/>
  <c r="BU47"/>
  <c r="BZ46"/>
  <c r="CC47"/>
  <c r="CH46"/>
  <c r="CK47"/>
  <c r="CP46"/>
  <c r="CS47"/>
  <c r="CX46"/>
  <c r="DA47"/>
  <c r="BV45" i="262"/>
  <c r="CL45"/>
  <c r="DB45"/>
  <c r="BX38"/>
  <c r="CN38"/>
  <c r="DD38"/>
  <c r="BQ43"/>
  <c r="BT41"/>
  <c r="BW39"/>
  <c r="BY43"/>
  <c r="CB41"/>
  <c r="CE39"/>
  <c r="CG43"/>
  <c r="CJ41"/>
  <c r="CM39"/>
  <c r="CO43"/>
  <c r="CR40"/>
  <c r="CT39"/>
  <c r="CV43"/>
  <c r="CX41"/>
  <c r="CZ40"/>
  <c r="DB39"/>
  <c r="DD43"/>
  <c r="DF41"/>
  <c r="BR32"/>
  <c r="BP59"/>
  <c r="BR59"/>
  <c r="BT59"/>
  <c r="BV59"/>
  <c r="BX59"/>
  <c r="BZ59"/>
  <c r="CB59"/>
  <c r="CD59"/>
  <c r="CF59"/>
  <c r="CH59"/>
  <c r="CJ59"/>
  <c r="CL59"/>
  <c r="CN59"/>
  <c r="CP59"/>
  <c r="CR59"/>
  <c r="CT59"/>
  <c r="CV59"/>
  <c r="CX59"/>
  <c r="CZ59"/>
  <c r="DB59"/>
  <c r="DD59"/>
  <c r="DF59"/>
  <c r="BP34"/>
  <c r="BS36"/>
  <c r="BU34"/>
  <c r="BW34"/>
  <c r="BY34"/>
  <c r="CA34"/>
  <c r="CC34"/>
  <c r="CE34"/>
  <c r="CG34"/>
  <c r="CI34"/>
  <c r="CK34"/>
  <c r="CM34"/>
  <c r="CO34"/>
  <c r="CQ34"/>
  <c r="CS34"/>
  <c r="CU34"/>
  <c r="CW34"/>
  <c r="CY34"/>
  <c r="DA34"/>
  <c r="DC34"/>
  <c r="DE34"/>
  <c r="DG34"/>
  <c r="BS65"/>
  <c r="BU66"/>
  <c r="BY66"/>
  <c r="CC66"/>
  <c r="CG66"/>
  <c r="CK66"/>
  <c r="CO66"/>
  <c r="CS66"/>
  <c r="CW66"/>
  <c r="DA66"/>
  <c r="DE66"/>
  <c r="BT45" i="263"/>
  <c r="CB45"/>
  <c r="CJ45"/>
  <c r="CR45"/>
  <c r="CZ45"/>
  <c r="BR38"/>
  <c r="BZ38"/>
  <c r="CH38"/>
  <c r="CP38"/>
  <c r="CX38"/>
  <c r="DF38"/>
  <c r="BP43"/>
  <c r="BR39"/>
  <c r="BS41"/>
  <c r="BT43"/>
  <c r="BV39"/>
  <c r="BW41"/>
  <c r="BX43"/>
  <c r="BZ39"/>
  <c r="CA41"/>
  <c r="CB43"/>
  <c r="CD39"/>
  <c r="CE41"/>
  <c r="CF43"/>
  <c r="CH39"/>
  <c r="CI41"/>
  <c r="CJ43"/>
  <c r="CL39"/>
  <c r="CM41"/>
  <c r="CN43"/>
  <c r="CP39"/>
  <c r="CQ41"/>
  <c r="CR43"/>
  <c r="CT39"/>
  <c r="CU41"/>
  <c r="CV43"/>
  <c r="CX39"/>
  <c r="CY41"/>
  <c r="CZ43"/>
  <c r="DB39"/>
  <c r="DC41"/>
  <c r="DD43"/>
  <c r="DF39"/>
  <c r="DG41"/>
  <c r="BS32"/>
  <c r="BW32"/>
  <c r="CA32"/>
  <c r="CE32"/>
  <c r="CI32"/>
  <c r="CM32"/>
  <c r="CQ32"/>
  <c r="CU32"/>
  <c r="CY32"/>
  <c r="DC32"/>
  <c r="DG32"/>
  <c r="BQ57"/>
  <c r="BS57"/>
  <c r="BU57"/>
  <c r="BW57"/>
  <c r="BY57"/>
  <c r="CA57"/>
  <c r="CC57"/>
  <c r="CE57"/>
  <c r="CG57"/>
  <c r="CI57"/>
  <c r="CK57"/>
  <c r="CM57"/>
  <c r="CO57"/>
  <c r="CQ57"/>
  <c r="CS57"/>
  <c r="CU57"/>
  <c r="CW57"/>
  <c r="CY57"/>
  <c r="DA57"/>
  <c r="DC57"/>
  <c r="DE57"/>
  <c r="DG57"/>
  <c r="BR35"/>
  <c r="BT34"/>
  <c r="BQ66"/>
  <c r="BU65"/>
  <c r="BY65"/>
  <c r="CC65"/>
  <c r="CG65"/>
  <c r="CK65"/>
  <c r="CO65"/>
  <c r="CS65"/>
  <c r="CW65"/>
  <c r="DA65"/>
  <c r="DE65"/>
  <c r="BR45" i="261"/>
  <c r="BZ45"/>
  <c r="CH45"/>
  <c r="CP45"/>
  <c r="CX45"/>
  <c r="DF45"/>
  <c r="BT38"/>
  <c r="CB38"/>
  <c r="CJ38"/>
  <c r="CR38"/>
  <c r="CZ38"/>
  <c r="BP41"/>
  <c r="BQ43"/>
  <c r="BS39"/>
  <c r="BT41"/>
  <c r="BU43"/>
  <c r="BW39"/>
  <c r="BX41"/>
  <c r="BY43"/>
  <c r="CA39"/>
  <c r="CB41"/>
  <c r="CC43"/>
  <c r="CE39"/>
  <c r="CF41"/>
  <c r="CG43"/>
  <c r="CI39"/>
  <c r="CJ41"/>
  <c r="CK43"/>
  <c r="CM39"/>
  <c r="CN41"/>
  <c r="CO43"/>
  <c r="CQ39"/>
  <c r="CR41"/>
  <c r="CS43"/>
  <c r="CU39"/>
  <c r="CV41"/>
  <c r="CW43"/>
  <c r="CY39"/>
  <c r="CZ41"/>
  <c r="DA43"/>
  <c r="DC39"/>
  <c r="DD41"/>
  <c r="DE43"/>
  <c r="DG39"/>
  <c r="BR32"/>
  <c r="BV32"/>
  <c r="BZ32"/>
  <c r="CD32"/>
  <c r="CH32"/>
  <c r="CL32"/>
  <c r="CP32"/>
  <c r="CT32"/>
  <c r="CX32"/>
  <c r="DB32"/>
  <c r="DF32"/>
  <c r="BQ60"/>
  <c r="BS60"/>
  <c r="BU60"/>
  <c r="BW60"/>
  <c r="BY60"/>
  <c r="CA60"/>
  <c r="CC60"/>
  <c r="CE60"/>
  <c r="CG60"/>
  <c r="CI60"/>
  <c r="CK60"/>
  <c r="CM60"/>
  <c r="CO60"/>
  <c r="CQ60"/>
  <c r="CS60"/>
  <c r="CU60"/>
  <c r="CW60"/>
  <c r="CY60"/>
  <c r="DA60"/>
  <c r="DC60"/>
  <c r="DE60"/>
  <c r="DG60"/>
  <c r="BP35"/>
  <c r="BT36"/>
  <c r="BV35"/>
  <c r="BX35"/>
  <c r="BZ35"/>
  <c r="CB35"/>
  <c r="CD35"/>
  <c r="CF35"/>
  <c r="CH35"/>
  <c r="CJ35"/>
  <c r="CL35"/>
  <c r="CN35"/>
  <c r="CP35"/>
  <c r="CR35"/>
  <c r="CT35"/>
  <c r="CV35"/>
  <c r="CX35"/>
  <c r="CZ35"/>
  <c r="DB35"/>
  <c r="DD35"/>
  <c r="DF35"/>
  <c r="BR65"/>
  <c r="BW65"/>
  <c r="CA65"/>
  <c r="CE65"/>
  <c r="CI65"/>
  <c r="CM65"/>
  <c r="CQ65"/>
  <c r="CU65"/>
  <c r="CY65"/>
  <c r="DC65"/>
  <c r="DG65"/>
  <c r="BT45" i="260"/>
  <c r="CB45"/>
  <c r="CJ45"/>
  <c r="CR45"/>
  <c r="CZ45"/>
  <c r="BR38"/>
  <c r="BZ38"/>
  <c r="CH38"/>
  <c r="CP38"/>
  <c r="CX38"/>
  <c r="DF38"/>
  <c r="BP43"/>
  <c r="BR39"/>
  <c r="BS41"/>
  <c r="BT43"/>
  <c r="BV39"/>
  <c r="BW41"/>
  <c r="BX43"/>
  <c r="BZ39"/>
  <c r="CA41"/>
  <c r="CB43"/>
  <c r="CD39"/>
  <c r="CE41"/>
  <c r="CF43"/>
  <c r="CH39"/>
  <c r="CI41"/>
  <c r="CJ43"/>
  <c r="CL39"/>
  <c r="CM41"/>
  <c r="CN43"/>
  <c r="CP39"/>
  <c r="CQ41"/>
  <c r="CR43"/>
  <c r="CT39"/>
  <c r="CU41"/>
  <c r="CV43"/>
  <c r="CX39"/>
  <c r="CY41"/>
  <c r="CZ43"/>
  <c r="DB39"/>
  <c r="DC41"/>
  <c r="DD43"/>
  <c r="DF39"/>
  <c r="DG41"/>
  <c r="BS32"/>
  <c r="BW32"/>
  <c r="CA32"/>
  <c r="CE32"/>
  <c r="CI32"/>
  <c r="CM32"/>
  <c r="CQ32"/>
  <c r="CU32"/>
  <c r="CY32"/>
  <c r="DC32"/>
  <c r="DG32"/>
  <c r="BQ57"/>
  <c r="BS57"/>
  <c r="BU57"/>
  <c r="BW57"/>
  <c r="BY57"/>
  <c r="CA57"/>
  <c r="CC57"/>
  <c r="CE57"/>
  <c r="CG57"/>
  <c r="CI57"/>
  <c r="CK57"/>
  <c r="CM57"/>
  <c r="CO57"/>
  <c r="CQ57"/>
  <c r="CS57"/>
  <c r="CU57"/>
  <c r="CW57"/>
  <c r="CY57"/>
  <c r="DA57"/>
  <c r="DC57"/>
  <c r="DE57"/>
  <c r="DG57"/>
  <c r="BR35"/>
  <c r="BT34"/>
  <c r="BQ66"/>
  <c r="BU65"/>
  <c r="BY65"/>
  <c r="CC65"/>
  <c r="CG65"/>
  <c r="CK65"/>
  <c r="CO65"/>
  <c r="CS65"/>
  <c r="CW65"/>
  <c r="DA65"/>
  <c r="DE65"/>
  <c r="BR45" i="259"/>
  <c r="BZ45"/>
  <c r="CH45"/>
  <c r="CP45"/>
  <c r="CX45"/>
  <c r="DF45"/>
  <c r="BT38"/>
  <c r="CB38"/>
  <c r="CJ38"/>
  <c r="CR38"/>
  <c r="CZ38"/>
  <c r="BP41"/>
  <c r="BQ43"/>
  <c r="BS39"/>
  <c r="BT41"/>
  <c r="BU43"/>
  <c r="BW39"/>
  <c r="BX41"/>
  <c r="BY43"/>
  <c r="CA39"/>
  <c r="CB41"/>
  <c r="CC43"/>
  <c r="CE39"/>
  <c r="CF41"/>
  <c r="CG43"/>
  <c r="CI39"/>
  <c r="CJ41"/>
  <c r="CK43"/>
  <c r="CM39"/>
  <c r="CN41"/>
  <c r="CO43"/>
  <c r="CQ39"/>
  <c r="CR41"/>
  <c r="CS43"/>
  <c r="CU39"/>
  <c r="CV41"/>
  <c r="CW43"/>
  <c r="CY39"/>
  <c r="CZ41"/>
  <c r="DA43"/>
  <c r="DC39"/>
  <c r="DD41"/>
  <c r="DE43"/>
  <c r="DG39"/>
  <c r="BR32"/>
  <c r="BV32"/>
  <c r="BZ32"/>
  <c r="CD32"/>
  <c r="CH32"/>
  <c r="CL32"/>
  <c r="CP32"/>
  <c r="CT32"/>
  <c r="CX32"/>
  <c r="DB32"/>
  <c r="DF32"/>
  <c r="BQ60"/>
  <c r="BS60"/>
  <c r="BU60"/>
  <c r="BW60"/>
  <c r="BY60"/>
  <c r="CA60"/>
  <c r="CC60"/>
  <c r="CE60"/>
  <c r="CG60"/>
  <c r="CI60"/>
  <c r="CK60"/>
  <c r="CM60"/>
  <c r="CO60"/>
  <c r="CQ60"/>
  <c r="CS60"/>
  <c r="CU60"/>
  <c r="CW60"/>
  <c r="CY60"/>
  <c r="DA60"/>
  <c r="DC60"/>
  <c r="DE60"/>
  <c r="DG60"/>
  <c r="BQ34"/>
  <c r="BU35"/>
  <c r="BW35"/>
  <c r="BY35"/>
  <c r="CA35"/>
  <c r="CC35"/>
  <c r="CE35"/>
  <c r="CG35"/>
  <c r="CI35"/>
  <c r="CK35"/>
  <c r="CM35"/>
  <c r="CO35"/>
  <c r="CQ35"/>
  <c r="CS35"/>
  <c r="CU35"/>
  <c r="CW35"/>
  <c r="CY35"/>
  <c r="DA35"/>
  <c r="DC35"/>
  <c r="DE35"/>
  <c r="DG35"/>
  <c r="BS66"/>
  <c r="BX66"/>
  <c r="CB66"/>
  <c r="CF66"/>
  <c r="CJ66"/>
  <c r="CN66"/>
  <c r="CR66"/>
  <c r="CV66"/>
  <c r="CZ66"/>
  <c r="DD66"/>
  <c r="BP45" i="258"/>
  <c r="BX45"/>
  <c r="CF45"/>
  <c r="CN45"/>
  <c r="CV45"/>
  <c r="DD45"/>
  <c r="BV38"/>
  <c r="CD38"/>
  <c r="CL38"/>
  <c r="CT38"/>
  <c r="DB38"/>
  <c r="BP39"/>
  <c r="BQ41"/>
  <c r="BR43"/>
  <c r="BT39"/>
  <c r="BU41"/>
  <c r="BV43"/>
  <c r="BX39"/>
  <c r="BY41"/>
  <c r="BZ43"/>
  <c r="CB39"/>
  <c r="CC41"/>
  <c r="CD43"/>
  <c r="CF39"/>
  <c r="CG41"/>
  <c r="CH43"/>
  <c r="CJ39"/>
  <c r="CK41"/>
  <c r="CL43"/>
  <c r="CN39"/>
  <c r="CO41"/>
  <c r="CP43"/>
  <c r="CR39"/>
  <c r="CS41"/>
  <c r="CT43"/>
  <c r="CV39"/>
  <c r="CW41"/>
  <c r="CX43"/>
  <c r="CZ39"/>
  <c r="DA41"/>
  <c r="DB43"/>
  <c r="DD39"/>
  <c r="DE41"/>
  <c r="DF43"/>
  <c r="BP32"/>
  <c r="BU32"/>
  <c r="BY32"/>
  <c r="CC32"/>
  <c r="CG32"/>
  <c r="CK32"/>
  <c r="CO32"/>
  <c r="CS32"/>
  <c r="CW32"/>
  <c r="DA32"/>
  <c r="DE32"/>
  <c r="BP57"/>
  <c r="BR57"/>
  <c r="BT57"/>
  <c r="BV57"/>
  <c r="BX57"/>
  <c r="BZ57"/>
  <c r="CB57"/>
  <c r="CD57"/>
  <c r="CF57"/>
  <c r="CH57"/>
  <c r="CJ57"/>
  <c r="CL57"/>
  <c r="CN57"/>
  <c r="CP57"/>
  <c r="CR57"/>
  <c r="CT57"/>
  <c r="CV57"/>
  <c r="CX57"/>
  <c r="CZ57"/>
  <c r="DB57"/>
  <c r="DD57"/>
  <c r="DF57"/>
  <c r="BQ36"/>
  <c r="BS35"/>
  <c r="BP65"/>
  <c r="BT65"/>
  <c r="BV66"/>
  <c r="BZ66"/>
  <c r="CD66"/>
  <c r="CH66"/>
  <c r="CL66"/>
  <c r="CP66"/>
  <c r="CT66"/>
  <c r="CX66"/>
  <c r="DB66"/>
  <c r="DF66"/>
  <c r="BV45" i="248"/>
  <c r="CD45"/>
  <c r="CL45"/>
  <c r="CT45"/>
  <c r="DB45"/>
  <c r="BP38"/>
  <c r="BX38"/>
  <c r="CF38"/>
  <c r="CN38"/>
  <c r="CV38"/>
  <c r="DD38"/>
  <c r="BQ39"/>
  <c r="BR41"/>
  <c r="BS43"/>
  <c r="BU39"/>
  <c r="BV41"/>
  <c r="BW43"/>
  <c r="BY39"/>
  <c r="BZ41"/>
  <c r="CA43"/>
  <c r="CC39"/>
  <c r="CD41"/>
  <c r="CE43"/>
  <c r="CG39"/>
  <c r="CH41"/>
  <c r="CI43"/>
  <c r="CK39"/>
  <c r="CL41"/>
  <c r="CM43"/>
  <c r="CO39"/>
  <c r="CP41"/>
  <c r="CQ43"/>
  <c r="CS39"/>
  <c r="CT41"/>
  <c r="CU43"/>
  <c r="CW39"/>
  <c r="CX41"/>
  <c r="CY43"/>
  <c r="DA39"/>
  <c r="DB41"/>
  <c r="DC43"/>
  <c r="DE39"/>
  <c r="DF41"/>
  <c r="DG43"/>
  <c r="BT32"/>
  <c r="BX32"/>
  <c r="CB32"/>
  <c r="CF32"/>
  <c r="CJ32"/>
  <c r="CN32"/>
  <c r="CR32"/>
  <c r="CV32"/>
  <c r="CZ32"/>
  <c r="DD32"/>
  <c r="BP60"/>
  <c r="BR60"/>
  <c r="BT60"/>
  <c r="BV60"/>
  <c r="BX60"/>
  <c r="BZ60"/>
  <c r="CB60"/>
  <c r="CD60"/>
  <c r="CF60"/>
  <c r="CH60"/>
  <c r="CJ60"/>
  <c r="CL60"/>
  <c r="CN60"/>
  <c r="CP60"/>
  <c r="CR60"/>
  <c r="CT60"/>
  <c r="CV60"/>
  <c r="CX60"/>
  <c r="CZ60"/>
  <c r="DB60"/>
  <c r="DD60"/>
  <c r="DF60"/>
  <c r="BP35"/>
  <c r="BT36"/>
  <c r="BV35"/>
  <c r="BX35"/>
  <c r="BZ35"/>
  <c r="CB35"/>
  <c r="CD35"/>
  <c r="CF35"/>
  <c r="CH35"/>
  <c r="CJ35"/>
  <c r="CL35"/>
  <c r="CN35"/>
  <c r="CP35"/>
  <c r="CR35"/>
  <c r="CT35"/>
  <c r="CV35"/>
  <c r="CX35"/>
  <c r="CZ35"/>
  <c r="DB35"/>
  <c r="DD35"/>
  <c r="DF35"/>
  <c r="BR65"/>
  <c r="BW65"/>
  <c r="CA65"/>
  <c r="CE65"/>
  <c r="CI65"/>
  <c r="CM65"/>
  <c r="CQ65"/>
  <c r="CU65"/>
  <c r="CY65"/>
  <c r="DC65"/>
  <c r="DG65"/>
  <c r="BT45" i="256"/>
  <c r="CB45"/>
  <c r="CJ45"/>
  <c r="CR45"/>
  <c r="CZ45"/>
  <c r="BR38"/>
  <c r="BZ38"/>
  <c r="CH38"/>
  <c r="CP38"/>
  <c r="CX38"/>
  <c r="DF38"/>
  <c r="BP43"/>
  <c r="BR39"/>
  <c r="BS41"/>
  <c r="BT43"/>
  <c r="BV39"/>
  <c r="BW41"/>
  <c r="BX43"/>
  <c r="BZ39"/>
  <c r="CA41"/>
  <c r="CB43"/>
  <c r="CD39"/>
  <c r="CE41"/>
  <c r="CF43"/>
  <c r="CH39"/>
  <c r="CI41"/>
  <c r="CJ43"/>
  <c r="CL39"/>
  <c r="CM41"/>
  <c r="CN43"/>
  <c r="CP39"/>
  <c r="CQ41"/>
  <c r="CR43"/>
  <c r="CT39"/>
  <c r="CU41"/>
  <c r="CV43"/>
  <c r="CX39"/>
  <c r="CY41"/>
  <c r="CZ43"/>
  <c r="DB39"/>
  <c r="DC41"/>
  <c r="DD43"/>
  <c r="DF39"/>
  <c r="DG41"/>
  <c r="BS32"/>
  <c r="BW32"/>
  <c r="CA32"/>
  <c r="CE32"/>
  <c r="CI32"/>
  <c r="CM32"/>
  <c r="CQ32"/>
  <c r="CU32"/>
  <c r="CY32"/>
  <c r="DC32"/>
  <c r="DG32"/>
  <c r="BQ57"/>
  <c r="BS57"/>
  <c r="BU57"/>
  <c r="BW57"/>
  <c r="BY57"/>
  <c r="CA57"/>
  <c r="CC57"/>
  <c r="CE57"/>
  <c r="CG57"/>
  <c r="CI57"/>
  <c r="CK57"/>
  <c r="CM57"/>
  <c r="CO57"/>
  <c r="CQ57"/>
  <c r="CS57"/>
  <c r="CU57"/>
  <c r="CW57"/>
  <c r="CY57"/>
  <c r="DA57"/>
  <c r="DC57"/>
  <c r="DE57"/>
  <c r="DG57"/>
  <c r="BR35"/>
  <c r="BT34"/>
  <c r="BQ66"/>
  <c r="BU65"/>
  <c r="BY65"/>
  <c r="CC65"/>
  <c r="CG65"/>
  <c r="CK65"/>
  <c r="CO65"/>
  <c r="CS65"/>
  <c r="CW65"/>
  <c r="DA65"/>
  <c r="DE65"/>
  <c r="BR45" i="255"/>
  <c r="BZ45"/>
  <c r="CH45"/>
  <c r="CP45"/>
  <c r="CX45"/>
  <c r="DF45"/>
  <c r="BT38"/>
  <c r="CB38"/>
  <c r="CJ38"/>
  <c r="CR38"/>
  <c r="CZ38"/>
  <c r="BP41"/>
  <c r="BQ43"/>
  <c r="BS39"/>
  <c r="BT41"/>
  <c r="BU43"/>
  <c r="BW39"/>
  <c r="BX41"/>
  <c r="BY43"/>
  <c r="CA39"/>
  <c r="CB41"/>
  <c r="CC43"/>
  <c r="CE39"/>
  <c r="CF41"/>
  <c r="CG43"/>
  <c r="CI39"/>
  <c r="CJ41"/>
  <c r="CK43"/>
  <c r="CM39"/>
  <c r="CN41"/>
  <c r="CO43"/>
  <c r="CQ39"/>
  <c r="CR41"/>
  <c r="CS43"/>
  <c r="CU39"/>
  <c r="CV41"/>
  <c r="CW43"/>
  <c r="CY39"/>
  <c r="CZ41"/>
  <c r="DA43"/>
  <c r="DC39"/>
  <c r="DD41"/>
  <c r="DE43"/>
  <c r="DG39"/>
  <c r="BR32"/>
  <c r="BV32"/>
  <c r="BZ32"/>
  <c r="CD32"/>
  <c r="CH32"/>
  <c r="CL32"/>
  <c r="CP32"/>
  <c r="CT32"/>
  <c r="CX32"/>
  <c r="DB32"/>
  <c r="DF32"/>
  <c r="BQ60"/>
  <c r="BS60"/>
  <c r="BU60"/>
  <c r="BW60"/>
  <c r="BY60"/>
  <c r="CA60"/>
  <c r="CC60"/>
  <c r="CE60"/>
  <c r="CG60"/>
  <c r="CI60"/>
  <c r="CK60"/>
  <c r="CM60"/>
  <c r="CO60"/>
  <c r="CQ60"/>
  <c r="CS60"/>
  <c r="CU60"/>
  <c r="CW60"/>
  <c r="CY60"/>
  <c r="DA60"/>
  <c r="DC60"/>
  <c r="DE60"/>
  <c r="DG60"/>
  <c r="BP35"/>
  <c r="BT36"/>
  <c r="BV35"/>
  <c r="BX35"/>
  <c r="BZ35"/>
  <c r="CB35"/>
  <c r="CD35"/>
  <c r="CF35"/>
  <c r="CH35"/>
  <c r="CJ35"/>
  <c r="CL35"/>
  <c r="CN35"/>
  <c r="CP35"/>
  <c r="CR35"/>
  <c r="CT35"/>
  <c r="CV35"/>
  <c r="CX35"/>
  <c r="CZ35"/>
  <c r="DB35"/>
  <c r="DD35"/>
  <c r="DF35"/>
  <c r="BR65"/>
  <c r="BW65"/>
  <c r="CA65"/>
  <c r="CE65"/>
  <c r="CI65"/>
  <c r="CM65"/>
  <c r="CQ65"/>
  <c r="CU65"/>
  <c r="CY65"/>
  <c r="DC65"/>
  <c r="DG65"/>
  <c r="BT45" i="257"/>
  <c r="CB45"/>
  <c r="CJ45"/>
  <c r="CR45"/>
  <c r="CZ45"/>
  <c r="BR38"/>
  <c r="BZ38"/>
  <c r="CH38"/>
  <c r="CP38"/>
  <c r="CX38"/>
  <c r="DF38"/>
  <c r="BP43"/>
  <c r="BR39"/>
  <c r="BS41"/>
  <c r="BT43"/>
  <c r="BV39"/>
  <c r="BW41"/>
  <c r="BX43"/>
  <c r="BZ39"/>
  <c r="CA41"/>
  <c r="CB43"/>
  <c r="CD39"/>
  <c r="CE41"/>
  <c r="CF43"/>
  <c r="CH39"/>
  <c r="CI41"/>
  <c r="CJ43"/>
  <c r="CL39"/>
  <c r="CM41"/>
  <c r="CN43"/>
  <c r="CP39"/>
  <c r="CQ41"/>
  <c r="CR43"/>
  <c r="CT39"/>
  <c r="CU41"/>
  <c r="CV43"/>
  <c r="CX39"/>
  <c r="CY41"/>
  <c r="CZ43"/>
  <c r="DB39"/>
  <c r="DC41"/>
  <c r="DD43"/>
  <c r="DF39"/>
  <c r="DG41"/>
  <c r="BS32"/>
  <c r="BW32"/>
  <c r="CA32"/>
  <c r="CE32"/>
  <c r="CI32"/>
  <c r="CM32"/>
  <c r="CQ32"/>
  <c r="CU32"/>
  <c r="CY32"/>
  <c r="DC32"/>
  <c r="DG32"/>
  <c r="BQ57"/>
  <c r="BS57"/>
  <c r="BU57"/>
  <c r="BW57"/>
  <c r="BY57"/>
  <c r="CA57"/>
  <c r="CC57"/>
  <c r="CE57"/>
  <c r="CG57"/>
  <c r="CI57"/>
  <c r="CK57"/>
  <c r="CM57"/>
  <c r="CO57"/>
  <c r="CQ57"/>
  <c r="CS57"/>
  <c r="CU57"/>
  <c r="CW57"/>
  <c r="CY57"/>
  <c r="DA57"/>
  <c r="DC57"/>
  <c r="DE57"/>
  <c r="DG57"/>
  <c r="BR35"/>
  <c r="BT34"/>
  <c r="BQ66"/>
  <c r="BU65"/>
  <c r="BY65"/>
  <c r="CC65"/>
  <c r="CG65"/>
  <c r="CK65"/>
  <c r="CO65"/>
  <c r="CS65"/>
  <c r="CW65"/>
  <c r="DA65"/>
  <c r="DE65"/>
  <c r="AY136" i="279"/>
  <c r="AY140"/>
  <c r="AY144"/>
  <c r="AB11" i="263"/>
  <c r="AB18"/>
  <c r="AB39"/>
  <c r="AB47"/>
  <c r="AB30"/>
  <c r="AD10"/>
  <c r="AD22"/>
  <c r="AD38"/>
  <c r="AD46"/>
  <c r="AD57"/>
  <c r="AC13"/>
  <c r="AC41"/>
  <c r="AC50"/>
  <c r="AG16"/>
  <c r="AG36"/>
  <c r="AG48"/>
  <c r="AG65"/>
  <c r="AH21"/>
  <c r="AH45"/>
  <c r="AH57"/>
  <c r="AJ13"/>
  <c r="AJ48"/>
  <c r="AJ60"/>
  <c r="AK15"/>
  <c r="AK35"/>
  <c r="AK43"/>
  <c r="AK26"/>
  <c r="AK59"/>
  <c r="AE19"/>
  <c r="AE34"/>
  <c r="AE42"/>
  <c r="T65"/>
  <c r="AF19"/>
  <c r="AF34"/>
  <c r="AF42"/>
  <c r="AI13"/>
  <c r="AI41"/>
  <c r="AI50"/>
  <c r="AS16"/>
  <c r="AS45"/>
  <c r="AS26"/>
  <c r="BD41"/>
  <c r="BD50"/>
  <c r="AB11" i="262"/>
  <c r="AB18"/>
  <c r="AB39"/>
  <c r="AB47"/>
  <c r="AB30"/>
  <c r="AD10"/>
  <c r="AD22"/>
  <c r="AD38"/>
  <c r="AD46"/>
  <c r="AD57"/>
  <c r="AC13"/>
  <c r="AC41"/>
  <c r="AC50"/>
  <c r="AG16"/>
  <c r="AG36"/>
  <c r="AG48"/>
  <c r="AG65"/>
  <c r="AH21"/>
  <c r="AH45"/>
  <c r="AH57"/>
  <c r="AJ13"/>
  <c r="AJ48"/>
  <c r="AJ60"/>
  <c r="AK15"/>
  <c r="AK35"/>
  <c r="AK43"/>
  <c r="AK26"/>
  <c r="AK59"/>
  <c r="AE19"/>
  <c r="AE34"/>
  <c r="AE42"/>
  <c r="T65"/>
  <c r="AF19"/>
  <c r="AF34"/>
  <c r="AF42"/>
  <c r="AI13"/>
  <c r="AI41"/>
  <c r="AI50"/>
  <c r="AS16"/>
  <c r="CJ29" i="258"/>
  <c r="DD29"/>
  <c r="CG28" i="248"/>
  <c r="DA28"/>
  <c r="CN27" i="256"/>
  <c r="CJ30" i="255"/>
  <c r="DD30"/>
  <c r="CG27" i="257"/>
  <c r="CU22" i="260"/>
  <c r="CQ22" i="256"/>
  <c r="BW22" i="257"/>
  <c r="BY21" i="263"/>
  <c r="CA21" i="262"/>
  <c r="CC21" i="261"/>
  <c r="CG21" i="259"/>
  <c r="CK21" i="248"/>
  <c r="CO21" i="255"/>
  <c r="BS19" i="263"/>
  <c r="CY19"/>
  <c r="CX19" i="261"/>
  <c r="CJ19" i="259"/>
  <c r="BW19" i="248"/>
  <c r="DC19"/>
  <c r="CL19" i="255"/>
  <c r="CA15" i="263"/>
  <c r="DG15"/>
  <c r="CO15" i="262"/>
  <c r="CR16" i="261"/>
  <c r="BZ16" i="260"/>
  <c r="DF16"/>
  <c r="CN16" i="259"/>
  <c r="BV16" i="258"/>
  <c r="DB16"/>
  <c r="CU15" i="248"/>
  <c r="CX16" i="256"/>
  <c r="CQ15" i="255"/>
  <c r="CT16" i="257"/>
  <c r="CQ13" i="263"/>
  <c r="CZ13" i="262"/>
  <c r="CL13" i="260"/>
  <c r="BX13" i="258"/>
  <c r="CG13" i="248"/>
  <c r="BS13" i="255"/>
  <c r="CB13" i="257"/>
  <c r="CI11" i="263"/>
  <c r="DA11"/>
  <c r="CG11" i="262"/>
  <c r="CW11"/>
  <c r="CA10" i="261"/>
  <c r="CQ10"/>
  <c r="DG10"/>
  <c r="BV10" i="260"/>
  <c r="CL10"/>
  <c r="DB10"/>
  <c r="BV11" i="259"/>
  <c r="CL11"/>
  <c r="DB11"/>
  <c r="CF10" i="258"/>
  <c r="CN10"/>
  <c r="CV10"/>
  <c r="DD10"/>
  <c r="BS11" i="248"/>
  <c r="CA11"/>
  <c r="CI11"/>
  <c r="CQ11"/>
  <c r="CY11"/>
  <c r="DG11"/>
  <c r="BU10" i="256"/>
  <c r="CC10"/>
  <c r="CK10"/>
  <c r="CS10"/>
  <c r="DA10"/>
  <c r="BV11" i="255"/>
  <c r="CD11"/>
  <c r="CL11"/>
  <c r="CT11"/>
  <c r="DB11"/>
  <c r="BR10" i="257"/>
  <c r="BY11"/>
  <c r="CG11"/>
  <c r="CO11"/>
  <c r="CW11"/>
  <c r="DE11"/>
  <c r="BV46" i="263"/>
  <c r="BY47"/>
  <c r="CD46"/>
  <c r="CG47"/>
  <c r="CL46"/>
  <c r="CO47"/>
  <c r="CT46"/>
  <c r="CW47"/>
  <c r="DB46"/>
  <c r="DF46"/>
  <c r="BT47" i="262"/>
  <c r="BY46"/>
  <c r="CB47"/>
  <c r="CG46"/>
  <c r="CJ47"/>
  <c r="CO46"/>
  <c r="CR47"/>
  <c r="CW46"/>
  <c r="CZ47"/>
  <c r="DG48"/>
  <c r="BU50" i="261"/>
  <c r="BZ48"/>
  <c r="CC50"/>
  <c r="CH48"/>
  <c r="CK50"/>
  <c r="CP48"/>
  <c r="CS50"/>
  <c r="CX48"/>
  <c r="DA50"/>
  <c r="DE50"/>
  <c r="BU48" i="260"/>
  <c r="BX50"/>
  <c r="CC48"/>
  <c r="CF50"/>
  <c r="CK48"/>
  <c r="CN50"/>
  <c r="CS48"/>
  <c r="CV50"/>
  <c r="DA48"/>
  <c r="DE48"/>
  <c r="BR48" i="259"/>
  <c r="BU47"/>
  <c r="BZ46"/>
  <c r="CC47"/>
  <c r="CH46"/>
  <c r="CK47"/>
  <c r="CP46"/>
  <c r="CS47"/>
  <c r="CX46"/>
  <c r="DA47"/>
  <c r="BS48" i="258"/>
  <c r="BV50"/>
  <c r="CA48"/>
  <c r="CD50"/>
  <c r="CI48"/>
  <c r="CL50"/>
  <c r="CQ48"/>
  <c r="CT50"/>
  <c r="CY48"/>
  <c r="DB50"/>
  <c r="DE46"/>
  <c r="BS47" i="248"/>
  <c r="BX46"/>
  <c r="CA47"/>
  <c r="CF46"/>
  <c r="CI47"/>
  <c r="CN46"/>
  <c r="CQ47"/>
  <c r="CV46"/>
  <c r="CY47"/>
  <c r="DD46"/>
  <c r="BQ48" i="256"/>
  <c r="BT50"/>
  <c r="BY48"/>
  <c r="CB50"/>
  <c r="CG48"/>
  <c r="CJ50"/>
  <c r="CO48"/>
  <c r="CR50"/>
  <c r="CW48"/>
  <c r="CZ50"/>
  <c r="DD50"/>
  <c r="BT48" i="255"/>
  <c r="BW50"/>
  <c r="CB48"/>
  <c r="CE50"/>
  <c r="CJ48"/>
  <c r="CM50"/>
  <c r="CR48"/>
  <c r="CU50"/>
  <c r="CZ48"/>
  <c r="DC50"/>
  <c r="DG50"/>
  <c r="BW48" i="257"/>
  <c r="BZ50"/>
  <c r="CE48"/>
  <c r="CH50"/>
  <c r="CM48"/>
  <c r="CP50"/>
  <c r="CU48"/>
  <c r="CX50"/>
  <c r="DC48"/>
  <c r="BQ45" i="262"/>
  <c r="CG45"/>
  <c r="CW45"/>
  <c r="BS38"/>
  <c r="CI38"/>
  <c r="CY38"/>
  <c r="BR40"/>
  <c r="BV40"/>
  <c r="BZ40"/>
  <c r="CD40"/>
  <c r="CH40"/>
  <c r="CL40"/>
  <c r="CP40"/>
  <c r="CR41"/>
  <c r="CT40"/>
  <c r="CV39"/>
  <c r="CX43"/>
  <c r="CZ41"/>
  <c r="DB40"/>
  <c r="DD39"/>
  <c r="DF43"/>
  <c r="BS32"/>
  <c r="BZ32"/>
  <c r="CD32"/>
  <c r="CH32"/>
  <c r="CL32"/>
  <c r="CP32"/>
  <c r="CT32"/>
  <c r="CX32"/>
  <c r="DB32"/>
  <c r="DF32"/>
  <c r="BQ60"/>
  <c r="BS60"/>
  <c r="BU60"/>
  <c r="BW60"/>
  <c r="BY60"/>
  <c r="CA60"/>
  <c r="CC60"/>
  <c r="CE60"/>
  <c r="CG60"/>
  <c r="CI60"/>
  <c r="CK60"/>
  <c r="CM60"/>
  <c r="CO60"/>
  <c r="CQ60"/>
  <c r="CS60"/>
  <c r="CU60"/>
  <c r="CW60"/>
  <c r="CY60"/>
  <c r="DA60"/>
  <c r="DC60"/>
  <c r="DE60"/>
  <c r="DG60"/>
  <c r="BP35"/>
  <c r="BT36"/>
  <c r="BV35"/>
  <c r="BX35"/>
  <c r="BZ35"/>
  <c r="CB35"/>
  <c r="CD35"/>
  <c r="CF35"/>
  <c r="CH35"/>
  <c r="CJ35"/>
  <c r="CL35"/>
  <c r="CN35"/>
  <c r="CP35"/>
  <c r="CR35"/>
  <c r="CT35"/>
  <c r="CV35"/>
  <c r="CX35"/>
  <c r="CZ35"/>
  <c r="DB35"/>
  <c r="DD35"/>
  <c r="DF35"/>
  <c r="BR65"/>
  <c r="BW65"/>
  <c r="CA65"/>
  <c r="CE65"/>
  <c r="CI65"/>
  <c r="CM65"/>
  <c r="CQ65"/>
  <c r="CU65"/>
  <c r="CY65"/>
  <c r="DC65"/>
  <c r="DG65"/>
  <c r="BU45" i="263"/>
  <c r="CC45"/>
  <c r="CK45"/>
  <c r="CS45"/>
  <c r="DA45"/>
  <c r="BS38"/>
  <c r="CA38"/>
  <c r="CI38"/>
  <c r="CQ38"/>
  <c r="CY38"/>
  <c r="DG38"/>
  <c r="BQ42"/>
  <c r="BS42"/>
  <c r="BU42"/>
  <c r="BW42"/>
  <c r="BY42"/>
  <c r="CA42"/>
  <c r="CC42"/>
  <c r="CE42"/>
  <c r="CG42"/>
  <c r="CI42"/>
  <c r="CK42"/>
  <c r="CM42"/>
  <c r="CO42"/>
  <c r="CQ42"/>
  <c r="CS42"/>
  <c r="CU42"/>
  <c r="CW42"/>
  <c r="CY42"/>
  <c r="DA42"/>
  <c r="DC42"/>
  <c r="DE42"/>
  <c r="DG42"/>
  <c r="BQ59"/>
  <c r="BS59"/>
  <c r="BU59"/>
  <c r="BW59"/>
  <c r="BY59"/>
  <c r="CA59"/>
  <c r="CC59"/>
  <c r="CE59"/>
  <c r="CG59"/>
  <c r="CI59"/>
  <c r="CK59"/>
  <c r="CM59"/>
  <c r="CO59"/>
  <c r="CQ59"/>
  <c r="CS59"/>
  <c r="CU59"/>
  <c r="CW59"/>
  <c r="CY59"/>
  <c r="DA59"/>
  <c r="DC59"/>
  <c r="DE59"/>
  <c r="DG59"/>
  <c r="BR36"/>
  <c r="BT35"/>
  <c r="BV34"/>
  <c r="BX34"/>
  <c r="BZ34"/>
  <c r="CB34"/>
  <c r="CD34"/>
  <c r="CF34"/>
  <c r="CH34"/>
  <c r="CJ34"/>
  <c r="CL34"/>
  <c r="CN34"/>
  <c r="CP34"/>
  <c r="CR34"/>
  <c r="CT34"/>
  <c r="CV34"/>
  <c r="CX34"/>
  <c r="CZ34"/>
  <c r="DB34"/>
  <c r="DD34"/>
  <c r="DF34"/>
  <c r="BP66"/>
  <c r="BT66"/>
  <c r="BX65"/>
  <c r="CB65"/>
  <c r="CF65"/>
  <c r="CJ65"/>
  <c r="CN65"/>
  <c r="CR65"/>
  <c r="CV65"/>
  <c r="CZ65"/>
  <c r="DD65"/>
  <c r="BS45" i="261"/>
  <c r="CA45"/>
  <c r="CI45"/>
  <c r="CQ45"/>
  <c r="CY45"/>
  <c r="DG45"/>
  <c r="BU38"/>
  <c r="CC38"/>
  <c r="CK38"/>
  <c r="CS38"/>
  <c r="DA38"/>
  <c r="BP42"/>
  <c r="BR42"/>
  <c r="BT42"/>
  <c r="BV42"/>
  <c r="BX42"/>
  <c r="BZ42"/>
  <c r="CB42"/>
  <c r="CD42"/>
  <c r="CF42"/>
  <c r="CH42"/>
  <c r="CJ42"/>
  <c r="CL42"/>
  <c r="CN42"/>
  <c r="CP42"/>
  <c r="CR42"/>
  <c r="CT42"/>
  <c r="CV42"/>
  <c r="CX42"/>
  <c r="CZ42"/>
  <c r="DB42"/>
  <c r="DD42"/>
  <c r="DF42"/>
  <c r="BQ32"/>
  <c r="BQ35"/>
  <c r="BS34"/>
  <c r="BV36"/>
  <c r="BX36"/>
  <c r="BZ36"/>
  <c r="CB36"/>
  <c r="CD36"/>
  <c r="CF36"/>
  <c r="CH36"/>
  <c r="CJ36"/>
  <c r="CL36"/>
  <c r="CN36"/>
  <c r="CP36"/>
  <c r="CR36"/>
  <c r="CT36"/>
  <c r="CV36"/>
  <c r="CX36"/>
  <c r="CZ36"/>
  <c r="DB36"/>
  <c r="DD36"/>
  <c r="DF36"/>
  <c r="BQ65"/>
  <c r="BV65"/>
  <c r="BZ65"/>
  <c r="CD65"/>
  <c r="CH65"/>
  <c r="CL65"/>
  <c r="CP65"/>
  <c r="CT65"/>
  <c r="CX65"/>
  <c r="DB65"/>
  <c r="DF65"/>
  <c r="BQ45" i="260"/>
  <c r="BY45"/>
  <c r="CG45"/>
  <c r="CO45"/>
  <c r="CW45"/>
  <c r="DE45"/>
  <c r="BW38"/>
  <c r="CE38"/>
  <c r="CM38"/>
  <c r="CU38"/>
  <c r="DC38"/>
  <c r="BP40"/>
  <c r="BR40"/>
  <c r="BT40"/>
  <c r="BV40"/>
  <c r="BX40"/>
  <c r="BZ40"/>
  <c r="CB40"/>
  <c r="CD40"/>
  <c r="CF40"/>
  <c r="CH40"/>
  <c r="CJ40"/>
  <c r="CL40"/>
  <c r="CN40"/>
  <c r="CP40"/>
  <c r="CR40"/>
  <c r="CT40"/>
  <c r="CV40"/>
  <c r="CX40"/>
  <c r="CZ40"/>
  <c r="DB40"/>
  <c r="DD40"/>
  <c r="DF40"/>
  <c r="BP59"/>
  <c r="BR59"/>
  <c r="BT59"/>
  <c r="BV59"/>
  <c r="BX59"/>
  <c r="BZ59"/>
  <c r="CB59"/>
  <c r="CD59"/>
  <c r="CF59"/>
  <c r="CH59"/>
  <c r="CJ59"/>
  <c r="CL59"/>
  <c r="CN59"/>
  <c r="CP59"/>
  <c r="CR59"/>
  <c r="CT59"/>
  <c r="CV59"/>
  <c r="CX59"/>
  <c r="CZ59"/>
  <c r="DB59"/>
  <c r="DD59"/>
  <c r="DF59"/>
  <c r="BP34"/>
  <c r="BS36"/>
  <c r="BU34"/>
  <c r="BW34"/>
  <c r="BY34"/>
  <c r="CA34"/>
  <c r="CC34"/>
  <c r="CE34"/>
  <c r="CG34"/>
  <c r="CI34"/>
  <c r="CK34"/>
  <c r="CM34"/>
  <c r="CO34"/>
  <c r="CQ34"/>
  <c r="CS34"/>
  <c r="CU34"/>
  <c r="CW34"/>
  <c r="CY34"/>
  <c r="DA34"/>
  <c r="DC34"/>
  <c r="DE34"/>
  <c r="DG34"/>
  <c r="BS65"/>
  <c r="BU66"/>
  <c r="BY66"/>
  <c r="CC66"/>
  <c r="CG66"/>
  <c r="CK66"/>
  <c r="CO66"/>
  <c r="CS66"/>
  <c r="CW66"/>
  <c r="DA66"/>
  <c r="DE66"/>
  <c r="BW45" i="259"/>
  <c r="CE45"/>
  <c r="CM45"/>
  <c r="CU45"/>
  <c r="DC45"/>
  <c r="BQ38"/>
  <c r="BY38"/>
  <c r="CG38"/>
  <c r="CO38"/>
  <c r="CW38"/>
  <c r="DE38"/>
  <c r="BQ40"/>
  <c r="BS40"/>
  <c r="BU40"/>
  <c r="BW40"/>
  <c r="BY40"/>
  <c r="CA40"/>
  <c r="CC40"/>
  <c r="CE40"/>
  <c r="CG40"/>
  <c r="CI40"/>
  <c r="CK40"/>
  <c r="CM40"/>
  <c r="CO40"/>
  <c r="CQ40"/>
  <c r="CS40"/>
  <c r="CU40"/>
  <c r="CW40"/>
  <c r="CY40"/>
  <c r="DA40"/>
  <c r="DC40"/>
  <c r="DE40"/>
  <c r="DG40"/>
  <c r="BP36"/>
  <c r="BR34"/>
  <c r="BU36"/>
  <c r="BW36"/>
  <c r="BY36"/>
  <c r="CA36"/>
  <c r="CC36"/>
  <c r="CE36"/>
  <c r="CG36"/>
  <c r="CI36"/>
  <c r="CK36"/>
  <c r="CM36"/>
  <c r="CO36"/>
  <c r="CQ36"/>
  <c r="CS36"/>
  <c r="CU36"/>
  <c r="CW36"/>
  <c r="CY36"/>
  <c r="DA36"/>
  <c r="DC36"/>
  <c r="DE36"/>
  <c r="DG36"/>
  <c r="BR66"/>
  <c r="BW66"/>
  <c r="CA66"/>
  <c r="CE66"/>
  <c r="CI66"/>
  <c r="CM66"/>
  <c r="CQ66"/>
  <c r="CU66"/>
  <c r="CY66"/>
  <c r="DC66"/>
  <c r="DG66"/>
  <c r="BU45" i="258"/>
  <c r="CC45"/>
  <c r="CK45"/>
  <c r="CS45"/>
  <c r="DA45"/>
  <c r="BS38"/>
  <c r="CA38"/>
  <c r="CI38"/>
  <c r="CQ38"/>
  <c r="CY38"/>
  <c r="DG38"/>
  <c r="BQ42"/>
  <c r="BS42"/>
  <c r="BU42"/>
  <c r="BW42"/>
  <c r="BY42"/>
  <c r="CA42"/>
  <c r="CC42"/>
  <c r="CE42"/>
  <c r="CG42"/>
  <c r="CI42"/>
  <c r="CK42"/>
  <c r="CM42"/>
  <c r="CO42"/>
  <c r="CQ42"/>
  <c r="CS42"/>
  <c r="CU42"/>
  <c r="CW42"/>
  <c r="CY42"/>
  <c r="DA42"/>
  <c r="DC42"/>
  <c r="DE42"/>
  <c r="DG42"/>
  <c r="BQ59"/>
  <c r="BS59"/>
  <c r="BU59"/>
  <c r="BW59"/>
  <c r="BY59"/>
  <c r="CA59"/>
  <c r="CC59"/>
  <c r="CE59"/>
  <c r="CG59"/>
  <c r="CI59"/>
  <c r="CK59"/>
  <c r="CM59"/>
  <c r="CO59"/>
  <c r="CQ59"/>
  <c r="CS59"/>
  <c r="CU59"/>
  <c r="CW59"/>
  <c r="CY59"/>
  <c r="DA59"/>
  <c r="DC59"/>
  <c r="DE59"/>
  <c r="DG59"/>
  <c r="BR36"/>
  <c r="BT35"/>
  <c r="BV34"/>
  <c r="BX34"/>
  <c r="BZ34"/>
  <c r="CB34"/>
  <c r="CD34"/>
  <c r="CF34"/>
  <c r="CH34"/>
  <c r="CJ34"/>
  <c r="CL34"/>
  <c r="CN34"/>
  <c r="CP34"/>
  <c r="CR34"/>
  <c r="CT34"/>
  <c r="CV34"/>
  <c r="CX34"/>
  <c r="CZ34"/>
  <c r="DB34"/>
  <c r="DD34"/>
  <c r="DF34"/>
  <c r="BP66"/>
  <c r="BT66"/>
  <c r="BX65"/>
  <c r="CB65"/>
  <c r="CF65"/>
  <c r="CJ65"/>
  <c r="CN65"/>
  <c r="CR65"/>
  <c r="CV65"/>
  <c r="CZ65"/>
  <c r="DD65"/>
  <c r="BS45" i="248"/>
  <c r="CA45"/>
  <c r="CI45"/>
  <c r="CQ45"/>
  <c r="CY45"/>
  <c r="DG45"/>
  <c r="BU38"/>
  <c r="CC38"/>
  <c r="CK38"/>
  <c r="CS38"/>
  <c r="DA38"/>
  <c r="BP42"/>
  <c r="BR42"/>
  <c r="BT42"/>
  <c r="BV42"/>
  <c r="BX42"/>
  <c r="BZ42"/>
  <c r="CB42"/>
  <c r="CD42"/>
  <c r="CF42"/>
  <c r="CH42"/>
  <c r="CJ42"/>
  <c r="CL42"/>
  <c r="CN42"/>
  <c r="CP42"/>
  <c r="CR42"/>
  <c r="CT42"/>
  <c r="CV42"/>
  <c r="CX42"/>
  <c r="CZ42"/>
  <c r="DB42"/>
  <c r="DD42"/>
  <c r="DF42"/>
  <c r="BQ32"/>
  <c r="BQ35"/>
  <c r="BS34"/>
  <c r="BV36"/>
  <c r="BX36"/>
  <c r="BZ36"/>
  <c r="CB36"/>
  <c r="CD36"/>
  <c r="CF36"/>
  <c r="CH36"/>
  <c r="CJ36"/>
  <c r="CL36"/>
  <c r="CN36"/>
  <c r="CP36"/>
  <c r="CR36"/>
  <c r="CT36"/>
  <c r="CV36"/>
  <c r="CX36"/>
  <c r="CZ36"/>
  <c r="DB36"/>
  <c r="DD36"/>
  <c r="DF36"/>
  <c r="BQ65"/>
  <c r="BV65"/>
  <c r="BZ65"/>
  <c r="CD65"/>
  <c r="CH65"/>
  <c r="CL65"/>
  <c r="CP65"/>
  <c r="CT65"/>
  <c r="CX65"/>
  <c r="DB65"/>
  <c r="DF65"/>
  <c r="BQ45" i="256"/>
  <c r="BY45"/>
  <c r="CG45"/>
  <c r="CO45"/>
  <c r="CW45"/>
  <c r="DE45"/>
  <c r="BW38"/>
  <c r="CE38"/>
  <c r="CM38"/>
  <c r="CU38"/>
  <c r="DC38"/>
  <c r="BP40"/>
  <c r="BR40"/>
  <c r="BT40"/>
  <c r="BV40"/>
  <c r="BX40"/>
  <c r="BZ40"/>
  <c r="CB40"/>
  <c r="CD40"/>
  <c r="CF40"/>
  <c r="CH40"/>
  <c r="CJ40"/>
  <c r="CL40"/>
  <c r="CN40"/>
  <c r="CP40"/>
  <c r="CR40"/>
  <c r="CT40"/>
  <c r="CV40"/>
  <c r="CX40"/>
  <c r="CZ40"/>
  <c r="DB40"/>
  <c r="DD40"/>
  <c r="DF40"/>
  <c r="BP59"/>
  <c r="BR59"/>
  <c r="BT59"/>
  <c r="BV59"/>
  <c r="BX59"/>
  <c r="BZ59"/>
  <c r="CB59"/>
  <c r="CD59"/>
  <c r="CF59"/>
  <c r="CH59"/>
  <c r="CJ59"/>
  <c r="CL59"/>
  <c r="CN59"/>
  <c r="CP59"/>
  <c r="CR59"/>
  <c r="CT59"/>
  <c r="CV59"/>
  <c r="CX59"/>
  <c r="CZ59"/>
  <c r="DB59"/>
  <c r="DD59"/>
  <c r="DF59"/>
  <c r="BP34"/>
  <c r="BS36"/>
  <c r="BU34"/>
  <c r="BW34"/>
  <c r="BY34"/>
  <c r="CA34"/>
  <c r="CC34"/>
  <c r="CE34"/>
  <c r="CG34"/>
  <c r="CI34"/>
  <c r="CK34"/>
  <c r="CM34"/>
  <c r="CO34"/>
  <c r="CQ34"/>
  <c r="CS34"/>
  <c r="CU34"/>
  <c r="CW34"/>
  <c r="CY34"/>
  <c r="DA34"/>
  <c r="DC34"/>
  <c r="DE34"/>
  <c r="DG34"/>
  <c r="BS65"/>
  <c r="BU66"/>
  <c r="BY66"/>
  <c r="CC66"/>
  <c r="CG66"/>
  <c r="CK66"/>
  <c r="CO66"/>
  <c r="CS66"/>
  <c r="CW66"/>
  <c r="DA66"/>
  <c r="DE66"/>
  <c r="BW45" i="255"/>
  <c r="CE45"/>
  <c r="CM45"/>
  <c r="CU45"/>
  <c r="DC45"/>
  <c r="BQ38"/>
  <c r="BY38"/>
  <c r="CG38"/>
  <c r="CO38"/>
  <c r="CW38"/>
  <c r="DE38"/>
  <c r="BQ40"/>
  <c r="BS40"/>
  <c r="BU40"/>
  <c r="BW40"/>
  <c r="BY40"/>
  <c r="CA40"/>
  <c r="CC40"/>
  <c r="CE40"/>
  <c r="CG40"/>
  <c r="CI40"/>
  <c r="CK40"/>
  <c r="CM40"/>
  <c r="CO40"/>
  <c r="CQ40"/>
  <c r="CS40"/>
  <c r="CU40"/>
  <c r="CW40"/>
  <c r="CY40"/>
  <c r="DA40"/>
  <c r="DC40"/>
  <c r="DE40"/>
  <c r="DG40"/>
  <c r="BP36"/>
  <c r="BR34"/>
  <c r="BU36"/>
  <c r="BW36"/>
  <c r="BY36"/>
  <c r="CA36"/>
  <c r="CC36"/>
  <c r="CE36"/>
  <c r="CG36"/>
  <c r="CI36"/>
  <c r="CK36"/>
  <c r="CM36"/>
  <c r="CO36"/>
  <c r="CQ36"/>
  <c r="CS36"/>
  <c r="CU36"/>
  <c r="CW36"/>
  <c r="CY36"/>
  <c r="DA36"/>
  <c r="DC36"/>
  <c r="DE36"/>
  <c r="DG36"/>
  <c r="BR66"/>
  <c r="BW66"/>
  <c r="CA66"/>
  <c r="CE66"/>
  <c r="CI66"/>
  <c r="CM66"/>
  <c r="CQ66"/>
  <c r="CU66"/>
  <c r="CY66"/>
  <c r="DC66"/>
  <c r="DG66"/>
  <c r="BU45" i="257"/>
  <c r="CC45"/>
  <c r="CK45"/>
  <c r="CS45"/>
  <c r="DA45"/>
  <c r="BS38"/>
  <c r="CA38"/>
  <c r="CI38"/>
  <c r="CQ38"/>
  <c r="CY38"/>
  <c r="DG38"/>
  <c r="BQ42"/>
  <c r="BS42"/>
  <c r="BU42"/>
  <c r="BW42"/>
  <c r="BY42"/>
  <c r="CA42"/>
  <c r="CC42"/>
  <c r="CE42"/>
  <c r="CG42"/>
  <c r="CI42"/>
  <c r="CK42"/>
  <c r="CM42"/>
  <c r="CO42"/>
  <c r="CQ42"/>
  <c r="CS42"/>
  <c r="CU42"/>
  <c r="CW42"/>
  <c r="CY42"/>
  <c r="DA42"/>
  <c r="DC42"/>
  <c r="DE42"/>
  <c r="DG42"/>
  <c r="BQ59"/>
  <c r="BS59"/>
  <c r="BU59"/>
  <c r="BW59"/>
  <c r="BY59"/>
  <c r="CA59"/>
  <c r="CC59"/>
  <c r="CE59"/>
  <c r="CG59"/>
  <c r="CI59"/>
  <c r="CK59"/>
  <c r="CM59"/>
  <c r="CO59"/>
  <c r="CQ59"/>
  <c r="CS59"/>
  <c r="CU59"/>
  <c r="CW59"/>
  <c r="CY59"/>
  <c r="DA59"/>
  <c r="DC59"/>
  <c r="DE59"/>
  <c r="DG59"/>
  <c r="BR36"/>
  <c r="BT35"/>
  <c r="BV34"/>
  <c r="BX34"/>
  <c r="BZ34"/>
  <c r="CB34"/>
  <c r="CD34"/>
  <c r="CF34"/>
  <c r="CH34"/>
  <c r="CJ34"/>
  <c r="CL34"/>
  <c r="CN34"/>
  <c r="CP34"/>
  <c r="CR34"/>
  <c r="CT34"/>
  <c r="CV34"/>
  <c r="CX34"/>
  <c r="CZ34"/>
  <c r="DB34"/>
  <c r="DD34"/>
  <c r="DF34"/>
  <c r="BP66"/>
  <c r="BT66"/>
  <c r="BX65"/>
  <c r="CB65"/>
  <c r="CF65"/>
  <c r="CJ65"/>
  <c r="CN65"/>
  <c r="CR65"/>
  <c r="CV65"/>
  <c r="CZ65"/>
  <c r="DD65"/>
  <c r="AY148" i="279"/>
  <c r="AB32" i="263"/>
  <c r="AB40"/>
  <c r="AB27"/>
  <c r="AD11"/>
  <c r="AD18"/>
  <c r="AD39"/>
  <c r="AD47"/>
  <c r="AD30"/>
  <c r="AC10"/>
  <c r="AC22"/>
  <c r="AC38"/>
  <c r="AC46"/>
  <c r="AC57"/>
  <c r="AG13"/>
  <c r="AG41"/>
  <c r="AG50"/>
  <c r="AG59"/>
  <c r="AH19"/>
  <c r="AH34"/>
  <c r="AH42"/>
  <c r="AH30"/>
  <c r="AJ10"/>
  <c r="AJ34"/>
  <c r="AJ41"/>
  <c r="AJ50"/>
  <c r="AK16"/>
  <c r="AK36"/>
  <c r="AK48"/>
  <c r="AK60"/>
  <c r="AE15"/>
  <c r="AE35"/>
  <c r="AE43"/>
  <c r="AE26"/>
  <c r="AE65"/>
  <c r="AF11"/>
  <c r="AF18"/>
  <c r="AF39"/>
  <c r="AF47"/>
  <c r="AF57"/>
  <c r="AI10"/>
  <c r="AI22"/>
  <c r="AI38"/>
  <c r="AI46"/>
  <c r="AI57"/>
  <c r="AS13"/>
  <c r="AS34"/>
  <c r="AS42"/>
  <c r="AS29"/>
  <c r="AS65"/>
  <c r="BD21"/>
  <c r="BD38"/>
  <c r="BD46"/>
  <c r="BD57"/>
  <c r="AB16" i="262"/>
  <c r="AB36"/>
  <c r="AB48"/>
  <c r="AB60"/>
  <c r="AD15"/>
  <c r="AD35"/>
  <c r="AD43"/>
  <c r="AD26"/>
  <c r="AD59"/>
  <c r="AC19"/>
  <c r="AC34"/>
  <c r="AC42"/>
  <c r="AC29"/>
  <c r="AC65"/>
  <c r="AG21"/>
  <c r="AG45"/>
  <c r="AG28"/>
  <c r="AH10"/>
  <c r="AH22"/>
  <c r="AH38"/>
  <c r="AH46"/>
  <c r="AH59"/>
  <c r="AJ19"/>
  <c r="AJ38"/>
  <c r="AJ45"/>
  <c r="AJ28"/>
  <c r="AK32"/>
  <c r="AK40"/>
  <c r="AK27"/>
  <c r="CI29" i="259"/>
  <c r="DC29"/>
  <c r="CM27" i="258"/>
  <c r="BY28" i="248"/>
  <c r="CT26"/>
  <c r="BU29" i="256"/>
  <c r="BR28" i="255"/>
  <c r="CM26"/>
  <c r="DG26"/>
  <c r="CT29" i="257"/>
  <c r="BU22" i="262"/>
  <c r="CL22" i="259"/>
  <c r="BX22" i="248"/>
  <c r="CY22" i="256"/>
  <c r="CZ22" i="255"/>
  <c r="CG21" i="263"/>
  <c r="CK21" i="261"/>
  <c r="CO21" i="259"/>
  <c r="CS21" i="248"/>
  <c r="CW21" i="255"/>
  <c r="CY21" i="257"/>
  <c r="CM19" i="263"/>
  <c r="BV19" i="261"/>
  <c r="DB19"/>
  <c r="CW18" i="259"/>
  <c r="CQ19" i="248"/>
  <c r="BZ19" i="255"/>
  <c r="DF19"/>
  <c r="CN16" i="263"/>
  <c r="BV16" i="262"/>
  <c r="DB16"/>
  <c r="CU15" i="261"/>
  <c r="CX16" i="260"/>
  <c r="CQ15" i="259"/>
  <c r="CT16" i="258"/>
  <c r="CB16" i="248"/>
  <c r="BU15" i="256"/>
  <c r="DA15"/>
  <c r="CI15" i="255"/>
  <c r="CL16" i="257"/>
  <c r="BS13" i="263"/>
  <c r="CB13" i="262"/>
  <c r="CT13" i="260"/>
  <c r="DC13" i="259"/>
  <c r="CO13" i="248"/>
  <c r="CA13" i="255"/>
  <c r="CJ13" i="257"/>
  <c r="CL10" i="263"/>
  <c r="DC11"/>
  <c r="CC11" i="262"/>
  <c r="CS11"/>
  <c r="BW10" i="261"/>
  <c r="CM10"/>
  <c r="DC10"/>
  <c r="CH10" i="260"/>
  <c r="CX10"/>
  <c r="BR11" i="259"/>
  <c r="CH11"/>
  <c r="CX11"/>
  <c r="CF11" i="258"/>
  <c r="CN11"/>
  <c r="CV11"/>
  <c r="DD11"/>
  <c r="BR10" i="248"/>
  <c r="BW10"/>
  <c r="CE10"/>
  <c r="CM10"/>
  <c r="CU10"/>
  <c r="DC10"/>
  <c r="BS11" i="256"/>
  <c r="CA11"/>
  <c r="CI11"/>
  <c r="CQ11"/>
  <c r="CY11"/>
  <c r="DG11"/>
  <c r="BY11" i="255"/>
  <c r="CG11"/>
  <c r="CO11"/>
  <c r="CW11"/>
  <c r="DE11"/>
  <c r="BT11" i="257"/>
  <c r="CB11"/>
  <c r="CJ11"/>
  <c r="CR11"/>
  <c r="CZ11"/>
  <c r="BF301" i="279"/>
  <c r="BS46" i="263"/>
  <c r="BV47"/>
  <c r="CA46"/>
  <c r="CD47"/>
  <c r="CI46"/>
  <c r="CL47"/>
  <c r="CQ46"/>
  <c r="CT47"/>
  <c r="CY46"/>
  <c r="DB47"/>
  <c r="DF47"/>
  <c r="BV46" i="262"/>
  <c r="BY47"/>
  <c r="CD46"/>
  <c r="CG47"/>
  <c r="CL46"/>
  <c r="CO47"/>
  <c r="CT46"/>
  <c r="CW47"/>
  <c r="DB46"/>
  <c r="DF46"/>
  <c r="BT47" i="261"/>
  <c r="BY46"/>
  <c r="CB47"/>
  <c r="CG46"/>
  <c r="CJ47"/>
  <c r="CO46"/>
  <c r="CR47"/>
  <c r="CW46"/>
  <c r="CZ47"/>
  <c r="DG48"/>
  <c r="BU50" i="260"/>
  <c r="BZ48"/>
  <c r="CC50"/>
  <c r="CH48"/>
  <c r="CK50"/>
  <c r="CP48"/>
  <c r="CS50"/>
  <c r="CX48"/>
  <c r="DA50"/>
  <c r="DE50"/>
  <c r="BU48" i="259"/>
  <c r="BX50"/>
  <c r="CC48"/>
  <c r="CF50"/>
  <c r="CK48"/>
  <c r="CN50"/>
  <c r="CS48"/>
  <c r="CV50"/>
  <c r="DA48"/>
  <c r="DE48"/>
  <c r="BR48" i="258"/>
  <c r="BU47"/>
  <c r="BZ46"/>
  <c r="CC47"/>
  <c r="CH46"/>
  <c r="CK47"/>
  <c r="CP46"/>
  <c r="CS47"/>
  <c r="CX46"/>
  <c r="DA47"/>
  <c r="BS48" i="248"/>
  <c r="BV50"/>
  <c r="CA48"/>
  <c r="CD50"/>
  <c r="CI48"/>
  <c r="CL50"/>
  <c r="CQ48"/>
  <c r="CT50"/>
  <c r="CY48"/>
  <c r="DB50"/>
  <c r="DE46"/>
  <c r="BS47" i="256"/>
  <c r="BX46"/>
  <c r="CA47"/>
  <c r="CF46"/>
  <c r="CI47"/>
  <c r="CN46"/>
  <c r="CQ47"/>
  <c r="CV46"/>
  <c r="CY47"/>
  <c r="DD46"/>
  <c r="BQ48" i="255"/>
  <c r="BT50"/>
  <c r="BY48"/>
  <c r="CB50"/>
  <c r="CG48"/>
  <c r="CJ50"/>
  <c r="CO48"/>
  <c r="CR50"/>
  <c r="CW48"/>
  <c r="CZ50"/>
  <c r="DD50"/>
  <c r="BT48" i="257"/>
  <c r="BW50"/>
  <c r="CB48"/>
  <c r="CE50"/>
  <c r="CJ48"/>
  <c r="CM50"/>
  <c r="CR48"/>
  <c r="CU50"/>
  <c r="CZ48"/>
  <c r="DC50"/>
  <c r="DG50"/>
  <c r="BZ45" i="262"/>
  <c r="CP45"/>
  <c r="DF45"/>
  <c r="CB38"/>
  <c r="CR38"/>
  <c r="BQ39"/>
  <c r="BS43"/>
  <c r="BV41"/>
  <c r="BY39"/>
  <c r="CA43"/>
  <c r="CD41"/>
  <c r="CG39"/>
  <c r="CI43"/>
  <c r="CL41"/>
  <c r="CO39"/>
  <c r="CQ43"/>
  <c r="CS42"/>
  <c r="CU41"/>
  <c r="CW39"/>
  <c r="CY43"/>
  <c r="DA42"/>
  <c r="DC41"/>
  <c r="DE39"/>
  <c r="DG43"/>
  <c r="BP36"/>
  <c r="BR34"/>
  <c r="BU36"/>
  <c r="BW36"/>
  <c r="BY36"/>
  <c r="CA36"/>
  <c r="CC36"/>
  <c r="CE36"/>
  <c r="CG36"/>
  <c r="CI36"/>
  <c r="CK36"/>
  <c r="CM36"/>
  <c r="CO36"/>
  <c r="CQ36"/>
  <c r="CS36"/>
  <c r="CU36"/>
  <c r="CW36"/>
  <c r="CY36"/>
  <c r="DA36"/>
  <c r="DC36"/>
  <c r="DE36"/>
  <c r="DG36"/>
  <c r="BR66"/>
  <c r="BW66"/>
  <c r="CA66"/>
  <c r="CE66"/>
  <c r="CI66"/>
  <c r="CM66"/>
  <c r="CQ66"/>
  <c r="CU66"/>
  <c r="CY66"/>
  <c r="DC66"/>
  <c r="DG66"/>
  <c r="BV45" i="263"/>
  <c r="CD45"/>
  <c r="CL45"/>
  <c r="CT45"/>
  <c r="DB45"/>
  <c r="BP38"/>
  <c r="BX38"/>
  <c r="CF38"/>
  <c r="CN38"/>
  <c r="CV38"/>
  <c r="DD38"/>
  <c r="BQ39"/>
  <c r="BR41"/>
  <c r="BS43"/>
  <c r="BU39"/>
  <c r="BV41"/>
  <c r="BW43"/>
  <c r="BY39"/>
  <c r="BZ41"/>
  <c r="CA43"/>
  <c r="CC39"/>
  <c r="CD41"/>
  <c r="CE43"/>
  <c r="CG39"/>
  <c r="CH41"/>
  <c r="CI43"/>
  <c r="CK39"/>
  <c r="CL41"/>
  <c r="CM43"/>
  <c r="CO39"/>
  <c r="CP41"/>
  <c r="CQ43"/>
  <c r="CS39"/>
  <c r="CT41"/>
  <c r="CU43"/>
  <c r="CW39"/>
  <c r="CX41"/>
  <c r="CY43"/>
  <c r="DA39"/>
  <c r="DB41"/>
  <c r="DC43"/>
  <c r="DE39"/>
  <c r="DF41"/>
  <c r="DG43"/>
  <c r="BT32"/>
  <c r="BX32"/>
  <c r="CB32"/>
  <c r="CF32"/>
  <c r="CJ32"/>
  <c r="CN32"/>
  <c r="CR32"/>
  <c r="CV32"/>
  <c r="CZ32"/>
  <c r="DD32"/>
  <c r="BP60"/>
  <c r="BR60"/>
  <c r="BT60"/>
  <c r="BV60"/>
  <c r="BX60"/>
  <c r="BZ60"/>
  <c r="CB60"/>
  <c r="CD60"/>
  <c r="CF60"/>
  <c r="CH60"/>
  <c r="CJ60"/>
  <c r="CL60"/>
  <c r="CN60"/>
  <c r="CP60"/>
  <c r="CR60"/>
  <c r="CT60"/>
  <c r="CV60"/>
  <c r="CX60"/>
  <c r="CZ60"/>
  <c r="DB60"/>
  <c r="DD60"/>
  <c r="DF60"/>
  <c r="BP35"/>
  <c r="BT36"/>
  <c r="BV35"/>
  <c r="BX35"/>
  <c r="BZ35"/>
  <c r="CB35"/>
  <c r="CD35"/>
  <c r="CF35"/>
  <c r="CH35"/>
  <c r="CJ35"/>
  <c r="CL35"/>
  <c r="CN35"/>
  <c r="CP35"/>
  <c r="CR35"/>
  <c r="CT35"/>
  <c r="CV35"/>
  <c r="CX35"/>
  <c r="CZ35"/>
  <c r="DB35"/>
  <c r="DD35"/>
  <c r="DF35"/>
  <c r="BR65"/>
  <c r="BW65"/>
  <c r="CA65"/>
  <c r="CE65"/>
  <c r="CI65"/>
  <c r="CM65"/>
  <c r="CQ65"/>
  <c r="CU65"/>
  <c r="CY65"/>
  <c r="DC65"/>
  <c r="DG65"/>
  <c r="BT45" i="261"/>
  <c r="CB45"/>
  <c r="CJ45"/>
  <c r="CR45"/>
  <c r="CZ45"/>
  <c r="BR38"/>
  <c r="BZ38"/>
  <c r="CH38"/>
  <c r="CP38"/>
  <c r="CX38"/>
  <c r="DF38"/>
  <c r="BP43"/>
  <c r="BR39"/>
  <c r="BS41"/>
  <c r="BT43"/>
  <c r="BV39"/>
  <c r="BW41"/>
  <c r="BX43"/>
  <c r="BZ39"/>
  <c r="CA41"/>
  <c r="CB43"/>
  <c r="CD39"/>
  <c r="CE41"/>
  <c r="CF43"/>
  <c r="CH39"/>
  <c r="CI41"/>
  <c r="CJ43"/>
  <c r="CL39"/>
  <c r="CM41"/>
  <c r="CN43"/>
  <c r="CP39"/>
  <c r="CQ41"/>
  <c r="CR43"/>
  <c r="CT39"/>
  <c r="CU41"/>
  <c r="CV43"/>
  <c r="CX39"/>
  <c r="CY41"/>
  <c r="CZ43"/>
  <c r="DB39"/>
  <c r="DC41"/>
  <c r="DD43"/>
  <c r="DF39"/>
  <c r="DG41"/>
  <c r="BS32"/>
  <c r="BW32"/>
  <c r="CA32"/>
  <c r="CE32"/>
  <c r="CI32"/>
  <c r="CM32"/>
  <c r="CQ32"/>
  <c r="CU32"/>
  <c r="CY32"/>
  <c r="DC32"/>
  <c r="DG32"/>
  <c r="BQ57"/>
  <c r="BS57"/>
  <c r="BU57"/>
  <c r="BW57"/>
  <c r="BY57"/>
  <c r="CA57"/>
  <c r="CC57"/>
  <c r="CE57"/>
  <c r="CG57"/>
  <c r="CI57"/>
  <c r="CK57"/>
  <c r="CM57"/>
  <c r="CO57"/>
  <c r="CQ57"/>
  <c r="CS57"/>
  <c r="CU57"/>
  <c r="CW57"/>
  <c r="CY57"/>
  <c r="DA57"/>
  <c r="DC57"/>
  <c r="DE57"/>
  <c r="DG57"/>
  <c r="BR35"/>
  <c r="BT34"/>
  <c r="BQ66"/>
  <c r="BU65"/>
  <c r="BY65"/>
  <c r="CC65"/>
  <c r="CG65"/>
  <c r="CK65"/>
  <c r="CO65"/>
  <c r="CS65"/>
  <c r="CW65"/>
  <c r="DA65"/>
  <c r="DE65"/>
  <c r="BR45" i="260"/>
  <c r="BZ45"/>
  <c r="CH45"/>
  <c r="CP45"/>
  <c r="CX45"/>
  <c r="DF45"/>
  <c r="BT38"/>
  <c r="CB38"/>
  <c r="CJ38"/>
  <c r="CR38"/>
  <c r="CZ38"/>
  <c r="BP41"/>
  <c r="BQ43"/>
  <c r="BS39"/>
  <c r="BT41"/>
  <c r="BU43"/>
  <c r="BW39"/>
  <c r="BX41"/>
  <c r="BY43"/>
  <c r="CA39"/>
  <c r="CB41"/>
  <c r="CC43"/>
  <c r="CE39"/>
  <c r="CF41"/>
  <c r="CG43"/>
  <c r="CI39"/>
  <c r="CJ41"/>
  <c r="CK43"/>
  <c r="CM39"/>
  <c r="CN41"/>
  <c r="CO43"/>
  <c r="CQ39"/>
  <c r="CR41"/>
  <c r="CS43"/>
  <c r="CU39"/>
  <c r="CV41"/>
  <c r="CW43"/>
  <c r="CY39"/>
  <c r="CZ41"/>
  <c r="DA43"/>
  <c r="DC39"/>
  <c r="DD41"/>
  <c r="DE43"/>
  <c r="DG39"/>
  <c r="BR32"/>
  <c r="BV32"/>
  <c r="BZ32"/>
  <c r="CD32"/>
  <c r="CH32"/>
  <c r="CL32"/>
  <c r="CP32"/>
  <c r="CT32"/>
  <c r="CX32"/>
  <c r="DB32"/>
  <c r="DF32"/>
  <c r="BQ60"/>
  <c r="BS60"/>
  <c r="BU60"/>
  <c r="BW60"/>
  <c r="BY60"/>
  <c r="CA60"/>
  <c r="CC60"/>
  <c r="CE60"/>
  <c r="CG60"/>
  <c r="CI60"/>
  <c r="CK60"/>
  <c r="CM60"/>
  <c r="CO60"/>
  <c r="CQ60"/>
  <c r="CS60"/>
  <c r="CU60"/>
  <c r="CW60"/>
  <c r="CY60"/>
  <c r="DA60"/>
  <c r="DC60"/>
  <c r="DE60"/>
  <c r="DG60"/>
  <c r="BP35"/>
  <c r="BT36"/>
  <c r="BV35"/>
  <c r="BX35"/>
  <c r="BZ35"/>
  <c r="CB35"/>
  <c r="CL27" i="256"/>
  <c r="DC29"/>
  <c r="BX28" i="255"/>
  <c r="CH30"/>
  <c r="CS26"/>
  <c r="DE26"/>
  <c r="CE27" i="257"/>
  <c r="CU27"/>
  <c r="CT22" i="263"/>
  <c r="CF22" i="261"/>
  <c r="CI22" i="260"/>
  <c r="BZ22" i="259"/>
  <c r="DF22"/>
  <c r="CK22" i="258"/>
  <c r="CB22" i="248"/>
  <c r="BS22" i="256"/>
  <c r="CK22"/>
  <c r="DA22"/>
  <c r="CD22" i="255"/>
  <c r="CT22"/>
  <c r="BY22" i="257"/>
  <c r="CO22"/>
  <c r="DE22"/>
  <c r="CA21" i="263"/>
  <c r="CQ21"/>
  <c r="DG21"/>
  <c r="CC21" i="262"/>
  <c r="CS21"/>
  <c r="BW21" i="261"/>
  <c r="CM21"/>
  <c r="DC21"/>
  <c r="CG21" i="260"/>
  <c r="CW21"/>
  <c r="BS21" i="259"/>
  <c r="CI21"/>
  <c r="CY21"/>
  <c r="BU21" i="258"/>
  <c r="CK21"/>
  <c r="DA21"/>
  <c r="CE21" i="248"/>
  <c r="CU21"/>
  <c r="BY21" i="256"/>
  <c r="CO21"/>
  <c r="DE21"/>
  <c r="CA21" i="255"/>
  <c r="CQ21"/>
  <c r="DG21"/>
  <c r="CC21" i="257"/>
  <c r="CS21"/>
  <c r="BT19" i="263"/>
  <c r="CB19"/>
  <c r="CJ19"/>
  <c r="CR19"/>
  <c r="CZ19"/>
  <c r="BS19" i="261"/>
  <c r="CA19"/>
  <c r="CI19"/>
  <c r="CQ19"/>
  <c r="CY19"/>
  <c r="DG19"/>
  <c r="BZ19" i="259"/>
  <c r="CH19"/>
  <c r="CP19"/>
  <c r="CX19"/>
  <c r="DF19"/>
  <c r="BX19" i="248"/>
  <c r="CF19"/>
  <c r="CN19"/>
  <c r="CV19"/>
  <c r="DD19"/>
  <c r="BW19" i="255"/>
  <c r="CE19"/>
  <c r="CM19"/>
  <c r="CU19"/>
  <c r="DC19"/>
  <c r="BV16" i="263"/>
  <c r="CD16"/>
  <c r="CL16"/>
  <c r="CT16"/>
  <c r="DB16"/>
  <c r="BT16" i="262"/>
  <c r="CB16"/>
  <c r="CJ16"/>
  <c r="CR16"/>
  <c r="CZ16"/>
  <c r="BU15" i="261"/>
  <c r="CC15"/>
  <c r="CK15"/>
  <c r="CS15"/>
  <c r="DA15"/>
  <c r="BS15" i="260"/>
  <c r="CA15"/>
  <c r="CI15"/>
  <c r="CQ15"/>
  <c r="CY15"/>
  <c r="DG15"/>
  <c r="BY15" i="259"/>
  <c r="CG15"/>
  <c r="CO15"/>
  <c r="CW15"/>
  <c r="DE15"/>
  <c r="BW15" i="258"/>
  <c r="CE15"/>
  <c r="CM15"/>
  <c r="CU15"/>
  <c r="DC15"/>
  <c r="BZ16" i="248"/>
  <c r="CH16"/>
  <c r="CP16"/>
  <c r="CX16"/>
  <c r="DF16"/>
  <c r="BX16" i="256"/>
  <c r="CF16"/>
  <c r="CN16"/>
  <c r="CV16"/>
  <c r="DD16"/>
  <c r="BV16" i="255"/>
  <c r="CD16"/>
  <c r="CL16"/>
  <c r="CT16"/>
  <c r="DB16"/>
  <c r="BT16" i="257"/>
  <c r="CB16"/>
  <c r="CJ16"/>
  <c r="CR16"/>
  <c r="CZ16"/>
  <c r="BU13" i="263"/>
  <c r="CK13"/>
  <c r="DA13"/>
  <c r="CD13" i="262"/>
  <c r="CT13"/>
  <c r="BW13" i="261"/>
  <c r="CM13"/>
  <c r="DC13"/>
  <c r="CF13" i="260"/>
  <c r="CV13"/>
  <c r="BY13" i="259"/>
  <c r="CO13"/>
  <c r="DE13"/>
  <c r="CH13" i="258"/>
  <c r="CX13"/>
  <c r="BS13" i="248"/>
  <c r="CI13"/>
  <c r="CY13"/>
  <c r="BT13" i="256"/>
  <c r="CJ13"/>
  <c r="CZ13"/>
  <c r="CC13" i="255"/>
  <c r="CS13"/>
  <c r="BV13" i="257"/>
  <c r="CL13"/>
  <c r="DB13"/>
  <c r="BY11" i="263"/>
  <c r="CG11"/>
  <c r="CO11"/>
  <c r="CX11"/>
  <c r="DB10"/>
  <c r="DG11"/>
  <c r="BS10" i="262"/>
  <c r="BW10"/>
  <c r="CA10"/>
  <c r="CE10"/>
  <c r="CI10"/>
  <c r="CM10"/>
  <c r="CQ10"/>
  <c r="CU10"/>
  <c r="CY10"/>
  <c r="DC10"/>
  <c r="DG10"/>
  <c r="BS11" i="261"/>
  <c r="BW11"/>
  <c r="CA11"/>
  <c r="CE11"/>
  <c r="CI11"/>
  <c r="CM11"/>
  <c r="CQ11"/>
  <c r="CU11"/>
  <c r="CY11"/>
  <c r="DC11"/>
  <c r="DG11"/>
  <c r="BR11" i="260"/>
  <c r="BV11"/>
  <c r="BZ11"/>
  <c r="CD11"/>
  <c r="CH11"/>
  <c r="CL11"/>
  <c r="CP11"/>
  <c r="CT11"/>
  <c r="CX11"/>
  <c r="DB11"/>
  <c r="DF11"/>
  <c r="BT10" i="259"/>
  <c r="BX10"/>
  <c r="CB10"/>
  <c r="CF10"/>
  <c r="CJ10"/>
  <c r="CN10"/>
  <c r="CR10"/>
  <c r="CV10"/>
  <c r="CZ10"/>
  <c r="DD10"/>
  <c r="BR10" i="258"/>
  <c r="BT11"/>
  <c r="BX11"/>
  <c r="CB11"/>
  <c r="CM29" i="259"/>
  <c r="CU29"/>
  <c r="DB27"/>
  <c r="BP29" i="258"/>
  <c r="BX29"/>
  <c r="CF29"/>
  <c r="CN29"/>
  <c r="CV29"/>
  <c r="DC27"/>
  <c r="BR26" i="248"/>
  <c r="BW30"/>
  <c r="CC28"/>
  <c r="CH26"/>
  <c r="CM30"/>
  <c r="CS28"/>
  <c r="CX26"/>
  <c r="DE28"/>
  <c r="BQ29" i="256"/>
  <c r="BY29"/>
  <c r="CG29"/>
  <c r="CO29"/>
  <c r="CW29"/>
  <c r="DD27"/>
  <c r="BS26" i="255"/>
  <c r="BX30"/>
  <c r="CD28"/>
  <c r="CI26"/>
  <c r="CN30"/>
  <c r="CT28"/>
  <c r="CY26"/>
  <c r="DF28"/>
  <c r="BR29" i="257"/>
  <c r="BZ29"/>
  <c r="CH29"/>
  <c r="CP29"/>
  <c r="CX29"/>
  <c r="DE27"/>
  <c r="CX22" i="263"/>
  <c r="CS22" i="262"/>
  <c r="CJ22" i="261"/>
  <c r="BW22" i="260"/>
  <c r="DC22"/>
  <c r="CT22" i="259"/>
  <c r="CO22" i="258"/>
  <c r="CF22" i="248"/>
  <c r="BW22" i="256"/>
  <c r="CM22"/>
  <c r="DC22"/>
  <c r="CF22" i="255"/>
  <c r="CV22"/>
  <c r="BS22" i="257"/>
  <c r="CI22"/>
  <c r="CY22"/>
  <c r="BU21" i="263"/>
  <c r="CK21"/>
  <c r="DA21"/>
  <c r="CE21" i="262"/>
  <c r="CU21"/>
  <c r="BY21" i="261"/>
  <c r="CO21"/>
  <c r="DE21"/>
  <c r="CA21" i="260"/>
  <c r="CQ21"/>
  <c r="DG21"/>
  <c r="CC21" i="259"/>
  <c r="CS21"/>
  <c r="BW21" i="258"/>
  <c r="CM21"/>
  <c r="DC21"/>
  <c r="CG21" i="248"/>
  <c r="CW21"/>
  <c r="BS21" i="256"/>
  <c r="CI21"/>
  <c r="CY21"/>
  <c r="BU21" i="255"/>
  <c r="CK21"/>
  <c r="DA21"/>
  <c r="CE21" i="257"/>
  <c r="CU21"/>
  <c r="BU19" i="263"/>
  <c r="CC19"/>
  <c r="CK19"/>
  <c r="CS19"/>
  <c r="DA19"/>
  <c r="BT19" i="261"/>
  <c r="CB19"/>
  <c r="CJ19"/>
  <c r="CR19"/>
  <c r="CZ19"/>
  <c r="BU18" i="259"/>
  <c r="CC18"/>
  <c r="CK18"/>
  <c r="CS18"/>
  <c r="DA18"/>
  <c r="BU19" i="248"/>
  <c r="CC19"/>
  <c r="CK19"/>
  <c r="CS19"/>
  <c r="DA19"/>
  <c r="BT19" i="255"/>
  <c r="CB19"/>
  <c r="CJ19"/>
  <c r="CR19"/>
  <c r="CZ19"/>
  <c r="BT16" i="263"/>
  <c r="CB16"/>
  <c r="CJ16"/>
  <c r="CR16"/>
  <c r="CZ16"/>
  <c r="BU15" i="262"/>
  <c r="CC15"/>
  <c r="CK15"/>
  <c r="CS15"/>
  <c r="DA15"/>
  <c r="BS15" i="261"/>
  <c r="CA15"/>
  <c r="CI15"/>
  <c r="CQ15"/>
  <c r="CY15"/>
  <c r="DG15"/>
  <c r="BY15" i="260"/>
  <c r="CG15"/>
  <c r="CO15"/>
  <c r="CW15"/>
  <c r="DE15"/>
  <c r="BW15" i="259"/>
  <c r="CE15"/>
  <c r="CM15"/>
  <c r="CU15"/>
  <c r="DC15"/>
  <c r="BZ16" i="258"/>
  <c r="CH16"/>
  <c r="CP16"/>
  <c r="CX16"/>
  <c r="DF16"/>
  <c r="BX16" i="248"/>
  <c r="CF16"/>
  <c r="CN16"/>
  <c r="CV16"/>
  <c r="DD16"/>
  <c r="BV16" i="256"/>
  <c r="CD16"/>
  <c r="CL16"/>
  <c r="CT16"/>
  <c r="DB16"/>
  <c r="BT16" i="255"/>
  <c r="CB16"/>
  <c r="CJ16"/>
  <c r="CR16"/>
  <c r="CZ16"/>
  <c r="BU15" i="257"/>
  <c r="CC15"/>
  <c r="CK15"/>
  <c r="CS15"/>
  <c r="DA15"/>
  <c r="BW13" i="263"/>
  <c r="CM13"/>
  <c r="DC13"/>
  <c r="CF13" i="262"/>
  <c r="CV13"/>
  <c r="BY13" i="261"/>
  <c r="CO13"/>
  <c r="DE13"/>
  <c r="CH13" i="260"/>
  <c r="CX13"/>
  <c r="BS13" i="259"/>
  <c r="CI13"/>
  <c r="CY13"/>
  <c r="BT13" i="258"/>
  <c r="CJ13"/>
  <c r="CZ13"/>
  <c r="CC13" i="248"/>
  <c r="CS13"/>
  <c r="BV13" i="256"/>
  <c r="CL13"/>
  <c r="DB13"/>
  <c r="CE13" i="255"/>
  <c r="CU13"/>
  <c r="BX13" i="257"/>
  <c r="CN13"/>
  <c r="DD13"/>
  <c r="BZ10" i="263"/>
  <c r="CH10"/>
  <c r="CP10"/>
  <c r="CW10"/>
  <c r="DD10"/>
  <c r="BQ10" i="262"/>
  <c r="BV10"/>
  <c r="BZ10"/>
  <c r="CD10"/>
  <c r="CH10"/>
  <c r="CL10"/>
  <c r="CP10"/>
  <c r="CT10"/>
  <c r="CX10"/>
  <c r="DB10"/>
  <c r="DF10"/>
  <c r="BQ11" i="261"/>
  <c r="BU10"/>
  <c r="BY10"/>
  <c r="CC10"/>
  <c r="CG10"/>
  <c r="CK10"/>
  <c r="CO10"/>
  <c r="CS10"/>
  <c r="CW10"/>
  <c r="DA10"/>
  <c r="DE10"/>
  <c r="BP11" i="260"/>
  <c r="BU11"/>
  <c r="BY11"/>
  <c r="CC11"/>
  <c r="CG11"/>
  <c r="CK11"/>
  <c r="CO11"/>
  <c r="CS11"/>
  <c r="CW11"/>
  <c r="DA11"/>
  <c r="DE11"/>
  <c r="BS10" i="259"/>
  <c r="BW10"/>
  <c r="CA10"/>
  <c r="CE10"/>
  <c r="CI10"/>
  <c r="CM10"/>
  <c r="CQ10"/>
  <c r="CU10"/>
  <c r="CY10"/>
  <c r="DC10"/>
  <c r="DG10"/>
  <c r="BS11" i="258"/>
  <c r="BW11"/>
  <c r="CA11"/>
  <c r="CE11"/>
  <c r="CI11"/>
  <c r="CM11"/>
  <c r="CQ11"/>
  <c r="CU11"/>
  <c r="CY11"/>
  <c r="DC11"/>
  <c r="DG11"/>
  <c r="BR11" i="248"/>
  <c r="BV11"/>
  <c r="BZ11"/>
  <c r="CD11"/>
  <c r="CH11"/>
  <c r="CL11"/>
  <c r="CP11"/>
  <c r="CT11"/>
  <c r="CX11"/>
  <c r="DB11"/>
  <c r="DF11"/>
  <c r="BT10" i="256"/>
  <c r="BX10"/>
  <c r="CB10"/>
  <c r="CF10"/>
  <c r="CJ10"/>
  <c r="CN10"/>
  <c r="CR10"/>
  <c r="CV10"/>
  <c r="CZ10"/>
  <c r="DD10"/>
  <c r="BR10" i="255"/>
  <c r="BT11"/>
  <c r="BX11"/>
  <c r="CB11"/>
  <c r="CF11"/>
  <c r="CJ11"/>
  <c r="CN11"/>
  <c r="CR11"/>
  <c r="CV11"/>
  <c r="CZ11"/>
  <c r="DD11"/>
  <c r="BQ10" i="257"/>
  <c r="BV10"/>
  <c r="BZ10"/>
  <c r="CD10"/>
  <c r="CH10"/>
  <c r="CL10"/>
  <c r="CP10"/>
  <c r="CT10"/>
  <c r="CX10"/>
  <c r="DB10"/>
  <c r="DF10"/>
  <c r="BS47" i="263"/>
  <c r="BU50"/>
  <c r="BW47"/>
  <c r="BY50"/>
  <c r="CA47"/>
  <c r="CC50"/>
  <c r="CE47"/>
  <c r="CG50"/>
  <c r="CI47"/>
  <c r="CK50"/>
  <c r="CM47"/>
  <c r="CO50"/>
  <c r="CQ47"/>
  <c r="CS50"/>
  <c r="CU47"/>
  <c r="CW50"/>
  <c r="CY47"/>
  <c r="DA50"/>
  <c r="DC47"/>
  <c r="DE50"/>
  <c r="DG47"/>
  <c r="BS46" i="262"/>
  <c r="BU48"/>
  <c r="BW46"/>
  <c r="BY48"/>
  <c r="CA46"/>
  <c r="CC48"/>
  <c r="CE46"/>
  <c r="CG48"/>
  <c r="CI46"/>
  <c r="CK48"/>
  <c r="CM46"/>
  <c r="CO48"/>
  <c r="CQ46"/>
  <c r="CS48"/>
  <c r="CU46"/>
  <c r="CW48"/>
  <c r="CY46"/>
  <c r="DA48"/>
  <c r="DC46"/>
  <c r="DE48"/>
  <c r="DG46"/>
  <c r="BS50" i="261"/>
  <c r="BU47"/>
  <c r="BW50"/>
  <c r="BY47"/>
  <c r="CA50"/>
  <c r="CC47"/>
  <c r="CE50"/>
  <c r="CG47"/>
  <c r="CI50"/>
  <c r="CK47"/>
  <c r="CM50"/>
  <c r="CO47"/>
  <c r="CQ50"/>
  <c r="CS47"/>
  <c r="CU50"/>
  <c r="CW47"/>
  <c r="CY50"/>
  <c r="DA47"/>
  <c r="DC50"/>
  <c r="DF46"/>
  <c r="BS48" i="260"/>
  <c r="BU46"/>
  <c r="BW48"/>
  <c r="BY46"/>
  <c r="CA48"/>
  <c r="CC46"/>
  <c r="CE48"/>
  <c r="CG46"/>
  <c r="CI48"/>
  <c r="CK46"/>
  <c r="CM48"/>
  <c r="CO46"/>
  <c r="CQ48"/>
  <c r="CS46"/>
  <c r="CU48"/>
  <c r="CW46"/>
  <c r="CY48"/>
  <c r="DA46"/>
  <c r="DC48"/>
  <c r="DE46"/>
  <c r="DG48"/>
  <c r="BT46" i="259"/>
  <c r="BV48"/>
  <c r="BX46"/>
  <c r="BZ48"/>
  <c r="CB46"/>
  <c r="CD48"/>
  <c r="CF46"/>
  <c r="CH48"/>
  <c r="CJ46"/>
  <c r="CL48"/>
  <c r="CN46"/>
  <c r="CP48"/>
  <c r="CR46"/>
  <c r="CT48"/>
  <c r="CV46"/>
  <c r="CX48"/>
  <c r="CZ46"/>
  <c r="DB48"/>
  <c r="DD46"/>
  <c r="DF48"/>
  <c r="BQ48" i="258"/>
  <c r="BT50"/>
  <c r="BV47"/>
  <c r="BX50"/>
  <c r="BZ47"/>
  <c r="CB50"/>
  <c r="CD47"/>
  <c r="CF50"/>
  <c r="CH47"/>
  <c r="CJ50"/>
  <c r="CL47"/>
  <c r="CN50"/>
  <c r="CP47"/>
  <c r="CR50"/>
  <c r="CT47"/>
  <c r="CV50"/>
  <c r="CX47"/>
  <c r="CZ50"/>
  <c r="DB47"/>
  <c r="DD50"/>
  <c r="DF47"/>
  <c r="BR48" i="248"/>
  <c r="BT48"/>
  <c r="BV46"/>
  <c r="BX48"/>
  <c r="BZ46"/>
  <c r="CB48"/>
  <c r="CD46"/>
  <c r="CF48"/>
  <c r="CH46"/>
  <c r="CJ48"/>
  <c r="CL46"/>
  <c r="CN48"/>
  <c r="CP46"/>
  <c r="CR48"/>
  <c r="CT46"/>
  <c r="CV48"/>
  <c r="CX46"/>
  <c r="CZ48"/>
  <c r="DB46"/>
  <c r="DE47"/>
  <c r="DG50"/>
  <c r="BT47" i="256"/>
  <c r="BV50"/>
  <c r="BX47"/>
  <c r="BZ50"/>
  <c r="CB47"/>
  <c r="CD50"/>
  <c r="CF47"/>
  <c r="CH50"/>
  <c r="CJ47"/>
  <c r="CL50"/>
  <c r="CN47"/>
  <c r="CP50"/>
  <c r="CR47"/>
  <c r="CT50"/>
  <c r="CV47"/>
  <c r="CX50"/>
  <c r="CZ47"/>
  <c r="DB50"/>
  <c r="DD47"/>
  <c r="DF50"/>
  <c r="BS47" i="255"/>
  <c r="BU50"/>
  <c r="BW47"/>
  <c r="BY50"/>
  <c r="CA47"/>
  <c r="CC50"/>
  <c r="CE47"/>
  <c r="CG50"/>
  <c r="CI47"/>
  <c r="CK50"/>
  <c r="CM47"/>
  <c r="CO50"/>
  <c r="CQ47"/>
  <c r="CS50"/>
  <c r="CU47"/>
  <c r="CW50"/>
  <c r="CY47"/>
  <c r="DA50"/>
  <c r="DC47"/>
  <c r="DE50"/>
  <c r="DG47"/>
  <c r="BS46" i="257"/>
  <c r="BU48"/>
  <c r="BW46"/>
  <c r="BY48"/>
  <c r="CA46"/>
  <c r="CC48"/>
  <c r="CE46"/>
  <c r="CG48"/>
  <c r="CI46"/>
  <c r="CK48"/>
  <c r="CM46"/>
  <c r="CO48"/>
  <c r="CQ46"/>
  <c r="CS48"/>
  <c r="CU46"/>
  <c r="CW48"/>
  <c r="CY46"/>
  <c r="DA48"/>
  <c r="DC46"/>
  <c r="DE48"/>
  <c r="DG46"/>
  <c r="BW45" i="262"/>
  <c r="CE45"/>
  <c r="CM45"/>
  <c r="CU45"/>
  <c r="DC45"/>
  <c r="BQ38"/>
  <c r="BY38"/>
  <c r="CG38"/>
  <c r="CO38"/>
  <c r="CW38"/>
  <c r="DE38"/>
  <c r="BQ40"/>
  <c r="BS40"/>
  <c r="BU40"/>
  <c r="BW40"/>
  <c r="BY40"/>
  <c r="CA40"/>
  <c r="CC40"/>
  <c r="CE40"/>
  <c r="CG40"/>
  <c r="CI40"/>
  <c r="CK40"/>
  <c r="CM40"/>
  <c r="CO40"/>
  <c r="CQ40"/>
  <c r="CS40"/>
  <c r="CU40"/>
  <c r="CW40"/>
  <c r="CY40"/>
  <c r="DA40"/>
  <c r="DC40"/>
  <c r="DE40"/>
  <c r="DG40"/>
  <c r="CK29" i="259"/>
  <c r="CS29"/>
  <c r="DE29"/>
  <c r="BV29" i="258"/>
  <c r="CD29"/>
  <c r="CL29"/>
  <c r="CT29"/>
  <c r="DA27"/>
  <c r="BS28" i="248"/>
  <c r="BX26"/>
  <c r="CC30"/>
  <c r="CI28"/>
  <c r="CN26"/>
  <c r="CS30"/>
  <c r="CY28"/>
  <c r="DE30"/>
  <c r="BW29" i="256"/>
  <c r="CE29"/>
  <c r="CM29"/>
  <c r="CU29"/>
  <c r="DB27"/>
  <c r="BQ26" i="255"/>
  <c r="BV30"/>
  <c r="CB28"/>
  <c r="CG26"/>
  <c r="CL30"/>
  <c r="CR28"/>
  <c r="CW26"/>
  <c r="DA26"/>
  <c r="DF30"/>
  <c r="BS27" i="257"/>
  <c r="CA27"/>
  <c r="CI27"/>
  <c r="CQ27"/>
  <c r="CY27"/>
  <c r="BV22" i="263"/>
  <c r="DB22"/>
  <c r="CW22" i="262"/>
  <c r="CN22" i="261"/>
  <c r="CA22" i="260"/>
  <c r="DG22"/>
  <c r="CX22" i="259"/>
  <c r="CS22" i="258"/>
  <c r="CJ22" i="248"/>
  <c r="BY22" i="256"/>
  <c r="CO22"/>
  <c r="DE22"/>
  <c r="CH22" i="255"/>
  <c r="CX22"/>
  <c r="BU22" i="257"/>
  <c r="CK22"/>
  <c r="DA22"/>
  <c r="CE21" i="263"/>
  <c r="CU21"/>
  <c r="BY21" i="262"/>
  <c r="CO21"/>
  <c r="DE21"/>
  <c r="CA21" i="261"/>
  <c r="CQ21"/>
  <c r="DG21"/>
  <c r="CC21" i="260"/>
  <c r="CS21"/>
  <c r="BW21" i="259"/>
  <c r="CM21"/>
  <c r="DC21"/>
  <c r="CG21" i="258"/>
  <c r="CW21"/>
  <c r="BS21" i="248"/>
  <c r="CI21"/>
  <c r="CY21"/>
  <c r="BU21" i="256"/>
  <c r="CK21"/>
  <c r="DA21"/>
  <c r="CE21" i="255"/>
  <c r="CU21"/>
  <c r="BY21" i="257"/>
  <c r="CO21"/>
  <c r="DE21"/>
  <c r="BZ19" i="263"/>
  <c r="CH19"/>
  <c r="CP19"/>
  <c r="CX19"/>
  <c r="DF19"/>
  <c r="BY19" i="261"/>
  <c r="CG19"/>
  <c r="CO19"/>
  <c r="CW19"/>
  <c r="DE19"/>
  <c r="BS18" i="259"/>
  <c r="CA18"/>
  <c r="CI18"/>
  <c r="CQ18"/>
  <c r="CY18"/>
  <c r="DG18"/>
  <c r="BZ19" i="248"/>
  <c r="CH19"/>
  <c r="CP19"/>
  <c r="CX19"/>
  <c r="DF19"/>
  <c r="BY19" i="255"/>
  <c r="CG19"/>
  <c r="CO19"/>
  <c r="CW19"/>
  <c r="DE19"/>
  <c r="BZ16" i="263"/>
  <c r="CH16"/>
  <c r="CP16"/>
  <c r="CX16"/>
  <c r="DF16"/>
  <c r="BX16" i="262"/>
  <c r="CF16"/>
  <c r="CN16"/>
  <c r="CV16"/>
  <c r="DD16"/>
  <c r="BV16" i="261"/>
  <c r="CD16"/>
  <c r="CL16"/>
  <c r="CT16"/>
  <c r="DB16"/>
  <c r="BT16" i="260"/>
  <c r="CB16"/>
  <c r="CJ16"/>
  <c r="CR16"/>
  <c r="CZ16"/>
  <c r="BU15" i="259"/>
  <c r="CC15"/>
  <c r="CK15"/>
  <c r="CS15"/>
  <c r="DA15"/>
  <c r="BS15" i="258"/>
  <c r="CA15"/>
  <c r="CI15"/>
  <c r="CQ15"/>
  <c r="CY15"/>
  <c r="DG15"/>
  <c r="BY15" i="248"/>
  <c r="CG15"/>
  <c r="CO15"/>
  <c r="CW15"/>
  <c r="DE15"/>
  <c r="BW15" i="256"/>
  <c r="CE15"/>
  <c r="CM15"/>
  <c r="CU15"/>
  <c r="DC15"/>
  <c r="BZ16" i="255"/>
  <c r="CH16"/>
  <c r="CP16"/>
  <c r="CX16"/>
  <c r="DF16"/>
  <c r="BX16" i="257"/>
  <c r="CF16"/>
  <c r="CN16"/>
  <c r="CV16"/>
  <c r="DD16"/>
  <c r="BY13" i="263"/>
  <c r="CO13"/>
  <c r="DE13"/>
  <c r="CH13" i="262"/>
  <c r="CX13"/>
  <c r="BS13" i="261"/>
  <c r="CI13"/>
  <c r="CY13"/>
  <c r="BT13" i="260"/>
  <c r="CJ13"/>
  <c r="CZ13"/>
  <c r="CC13" i="259"/>
  <c r="CS13"/>
  <c r="BV13" i="258"/>
  <c r="CL13"/>
  <c r="DB13"/>
  <c r="CE13" i="248"/>
  <c r="CU13"/>
  <c r="BX13" i="256"/>
  <c r="CN13"/>
  <c r="DD13"/>
  <c r="CG13" i="255"/>
  <c r="CW13"/>
  <c r="BZ13" i="257"/>
  <c r="CP13"/>
  <c r="DF13"/>
  <c r="BU11" i="263"/>
  <c r="CC11"/>
  <c r="CK11"/>
  <c r="CS11"/>
  <c r="CY11"/>
  <c r="DF11"/>
  <c r="BR11" i="262"/>
  <c r="BV11"/>
  <c r="BZ11"/>
  <c r="CD11"/>
  <c r="CH11"/>
  <c r="CL11"/>
  <c r="CP11"/>
  <c r="CT11"/>
  <c r="CX11"/>
  <c r="DB11"/>
  <c r="DF11"/>
  <c r="BT10" i="261"/>
  <c r="BX10"/>
  <c r="CB10"/>
  <c r="CF10"/>
  <c r="CJ10"/>
  <c r="CN10"/>
  <c r="CR10"/>
  <c r="CV10"/>
  <c r="CZ10"/>
  <c r="DD10"/>
  <c r="BR10" i="260"/>
  <c r="BT11"/>
  <c r="BX11"/>
  <c r="CB11"/>
  <c r="CF11"/>
  <c r="CJ11"/>
  <c r="CN11"/>
  <c r="CR11"/>
  <c r="CV11"/>
  <c r="CZ11"/>
  <c r="DD11"/>
  <c r="BQ10" i="259"/>
  <c r="BV10"/>
  <c r="BZ10"/>
  <c r="CD10"/>
  <c r="CH10"/>
  <c r="CL10"/>
  <c r="CP10"/>
  <c r="CT10"/>
  <c r="CX10"/>
  <c r="DB10"/>
  <c r="DF10"/>
  <c r="BQ11" i="258"/>
  <c r="BU10"/>
  <c r="BY10"/>
  <c r="CC10"/>
  <c r="CG10"/>
  <c r="CK10"/>
  <c r="CO10"/>
  <c r="CS10"/>
  <c r="CW10"/>
  <c r="DA10"/>
  <c r="DE10"/>
  <c r="BP11" i="248"/>
  <c r="BU11"/>
  <c r="BY11"/>
  <c r="CC11"/>
  <c r="CG11"/>
  <c r="CK11"/>
  <c r="CO11"/>
  <c r="CS11"/>
  <c r="CW11"/>
  <c r="DA11"/>
  <c r="DE11"/>
  <c r="BS10" i="256"/>
  <c r="BW10"/>
  <c r="CA10"/>
  <c r="CE10"/>
  <c r="CI10"/>
  <c r="CM10"/>
  <c r="CQ10"/>
  <c r="CU10"/>
  <c r="CY10"/>
  <c r="DC10"/>
  <c r="DG10"/>
  <c r="BS11" i="255"/>
  <c r="BW11"/>
  <c r="CA11"/>
  <c r="CE11"/>
  <c r="CI11"/>
  <c r="CM11"/>
  <c r="CQ11"/>
  <c r="CU11"/>
  <c r="CY11"/>
  <c r="DC11"/>
  <c r="DG11"/>
  <c r="BR11" i="257"/>
  <c r="BV11"/>
  <c r="BZ11"/>
  <c r="CD11"/>
  <c r="CH11"/>
  <c r="CL11"/>
  <c r="CP11"/>
  <c r="CT11"/>
  <c r="CX11"/>
  <c r="DB11"/>
  <c r="DF11"/>
  <c r="BA301" i="279"/>
  <c r="BT47" i="263"/>
  <c r="BV50"/>
  <c r="BX47"/>
  <c r="BZ50"/>
  <c r="CB47"/>
  <c r="CD50"/>
  <c r="CF47"/>
  <c r="CH50"/>
  <c r="CJ47"/>
  <c r="CL50"/>
  <c r="CN47"/>
  <c r="CP50"/>
  <c r="CR47"/>
  <c r="CT50"/>
  <c r="CV47"/>
  <c r="CX50"/>
  <c r="CZ47"/>
  <c r="DB50"/>
  <c r="DD47"/>
  <c r="DF50"/>
  <c r="BS47" i="262"/>
  <c r="BU50"/>
  <c r="BW47"/>
  <c r="BY50"/>
  <c r="CA47"/>
  <c r="CC50"/>
  <c r="CE47"/>
  <c r="CG50"/>
  <c r="CI47"/>
  <c r="CK50"/>
  <c r="CM47"/>
  <c r="CO50"/>
  <c r="CQ47"/>
  <c r="CS50"/>
  <c r="CU47"/>
  <c r="CW50"/>
  <c r="CY47"/>
  <c r="DA50"/>
  <c r="DC47"/>
  <c r="DE50"/>
  <c r="DG47"/>
  <c r="BS46" i="261"/>
  <c r="BU48"/>
  <c r="BW46"/>
  <c r="BY48"/>
  <c r="CA46"/>
  <c r="CC48"/>
  <c r="CE46"/>
  <c r="CG48"/>
  <c r="CI46"/>
  <c r="CK48"/>
  <c r="CM46"/>
  <c r="CO48"/>
  <c r="CQ46"/>
  <c r="CS48"/>
  <c r="CU46"/>
  <c r="CW48"/>
  <c r="CY46"/>
  <c r="DA48"/>
  <c r="DC46"/>
  <c r="DE48"/>
  <c r="DG46"/>
  <c r="BS50" i="260"/>
  <c r="BU47"/>
  <c r="BW50"/>
  <c r="BY47"/>
  <c r="CA50"/>
  <c r="CC47"/>
  <c r="CE50"/>
  <c r="CG47"/>
  <c r="CI50"/>
  <c r="CK47"/>
  <c r="CM50"/>
  <c r="CO47"/>
  <c r="CQ50"/>
  <c r="CS47"/>
  <c r="CU50"/>
  <c r="CW47"/>
  <c r="CY50"/>
  <c r="DA47"/>
  <c r="DC50"/>
  <c r="DF46"/>
  <c r="BS48" i="259"/>
  <c r="BU46"/>
  <c r="BW48"/>
  <c r="BY46"/>
  <c r="CA48"/>
  <c r="CC46"/>
  <c r="CE48"/>
  <c r="CG46"/>
  <c r="CI48"/>
  <c r="CK46"/>
  <c r="CM48"/>
  <c r="CO46"/>
  <c r="CQ48"/>
  <c r="CS46"/>
  <c r="CU48"/>
  <c r="CW46"/>
  <c r="CY48"/>
  <c r="DA46"/>
  <c r="DC48"/>
  <c r="DE46"/>
  <c r="DG48"/>
  <c r="BT46" i="258"/>
  <c r="BV48"/>
  <c r="BX46"/>
  <c r="BZ48"/>
  <c r="CB46"/>
  <c r="CD48"/>
  <c r="CF46"/>
  <c r="CH48"/>
  <c r="CJ46"/>
  <c r="CL48"/>
  <c r="CN46"/>
  <c r="CP48"/>
  <c r="CR46"/>
  <c r="CT48"/>
  <c r="CV46"/>
  <c r="CX48"/>
  <c r="CZ46"/>
  <c r="DB48"/>
  <c r="DD46"/>
  <c r="DF48"/>
  <c r="BQ48" i="248"/>
  <c r="BT50"/>
  <c r="BV47"/>
  <c r="BX50"/>
  <c r="BZ47"/>
  <c r="CB50"/>
  <c r="CD47"/>
  <c r="CF50"/>
  <c r="CH47"/>
  <c r="CJ50"/>
  <c r="CL47"/>
  <c r="CN50"/>
  <c r="CP47"/>
  <c r="CR50"/>
  <c r="CT47"/>
  <c r="CV50"/>
  <c r="CX47"/>
  <c r="CZ50"/>
  <c r="DB47"/>
  <c r="DD50"/>
  <c r="DF47"/>
  <c r="BR48" i="256"/>
  <c r="BT48"/>
  <c r="BV46"/>
  <c r="BX48"/>
  <c r="BZ46"/>
  <c r="CB48"/>
  <c r="CD46"/>
  <c r="CF48"/>
  <c r="CH46"/>
  <c r="CJ48"/>
  <c r="CL46"/>
  <c r="CN48"/>
  <c r="CP46"/>
  <c r="CR48"/>
  <c r="CT46"/>
  <c r="CV48"/>
  <c r="CX46"/>
  <c r="CZ48"/>
  <c r="DB46"/>
  <c r="DE47"/>
  <c r="DG50"/>
  <c r="BT47" i="255"/>
  <c r="BV50"/>
  <c r="BX47"/>
  <c r="BZ50"/>
  <c r="CB47"/>
  <c r="CD50"/>
  <c r="CF47"/>
  <c r="CH50"/>
  <c r="CJ47"/>
  <c r="CL50"/>
  <c r="CN47"/>
  <c r="CP50"/>
  <c r="CR47"/>
  <c r="CT50"/>
  <c r="CV47"/>
  <c r="CX50"/>
  <c r="CZ47"/>
  <c r="DB50"/>
  <c r="DD47"/>
  <c r="DF50"/>
  <c r="BS47" i="257"/>
  <c r="BU50"/>
  <c r="BW47"/>
  <c r="BY50"/>
  <c r="CA47"/>
  <c r="CC50"/>
  <c r="CE47"/>
  <c r="CG50"/>
  <c r="CI47"/>
  <c r="CK50"/>
  <c r="CM47"/>
  <c r="CO50"/>
  <c r="CQ47"/>
  <c r="CS50"/>
  <c r="CU47"/>
  <c r="CW50"/>
  <c r="CY47"/>
  <c r="DA50"/>
  <c r="DC47"/>
  <c r="DE50"/>
  <c r="DG47"/>
  <c r="BT45" i="262"/>
  <c r="CB45"/>
  <c r="CJ45"/>
  <c r="CR45"/>
  <c r="CZ45"/>
  <c r="BR38"/>
  <c r="BZ38"/>
  <c r="CH38"/>
  <c r="CP38"/>
  <c r="CX38"/>
  <c r="DF38"/>
  <c r="BP43"/>
  <c r="BR39"/>
  <c r="BS41"/>
  <c r="BT43"/>
  <c r="BV39"/>
  <c r="BW41"/>
  <c r="BX43"/>
  <c r="BZ39"/>
  <c r="CA41"/>
  <c r="CB43"/>
  <c r="CD39"/>
  <c r="CE41"/>
  <c r="CF43"/>
  <c r="CH39"/>
  <c r="CI41"/>
  <c r="CJ43"/>
  <c r="CL39"/>
  <c r="CM41"/>
  <c r="CN43"/>
  <c r="CP39"/>
  <c r="CQ41"/>
  <c r="BW27" i="258"/>
  <c r="BS30" i="248"/>
  <c r="CO28"/>
  <c r="CK29" i="256"/>
  <c r="DE29"/>
  <c r="CH28" i="255"/>
  <c r="DB28"/>
  <c r="CO27" i="257"/>
  <c r="DA22" i="262"/>
  <c r="DD22" i="248"/>
  <c r="CJ22" i="255"/>
  <c r="CW21" i="263"/>
  <c r="CY21" i="262"/>
  <c r="DA21" i="261"/>
  <c r="DC21" i="260"/>
  <c r="DE21" i="259"/>
  <c r="DG21" i="258"/>
  <c r="CE21" i="256"/>
  <c r="CI21" i="257"/>
  <c r="CU19" i="263"/>
  <c r="CT19" i="261"/>
  <c r="CR19" i="259"/>
  <c r="CI19" i="248"/>
  <c r="CH19" i="255"/>
  <c r="BX16" i="263"/>
  <c r="DD16"/>
  <c r="CW15" i="262"/>
  <c r="CE15" i="261"/>
  <c r="CH16" i="260"/>
  <c r="CA15" i="259"/>
  <c r="DG15"/>
  <c r="CO15" i="258"/>
  <c r="CR16" i="248"/>
  <c r="BZ16" i="256"/>
  <c r="DF16"/>
  <c r="CN16" i="255"/>
  <c r="BV16" i="257"/>
  <c r="DB16"/>
  <c r="CR13" i="262"/>
  <c r="DA13" i="261"/>
  <c r="CM13" i="259"/>
  <c r="BY13" i="248"/>
  <c r="CH13" i="256"/>
  <c r="BT13" i="257"/>
  <c r="BV10" i="263"/>
  <c r="BU11" i="262"/>
  <c r="CK11"/>
  <c r="DA11"/>
  <c r="CE10" i="261"/>
  <c r="CU10"/>
  <c r="BZ10" i="260"/>
  <c r="CP10"/>
  <c r="DF10"/>
  <c r="BU10" i="259"/>
  <c r="CK10"/>
  <c r="DA10"/>
  <c r="BP11" i="258"/>
  <c r="BY11"/>
  <c r="CM10"/>
  <c r="CU10"/>
  <c r="DC10"/>
  <c r="BX11" i="248"/>
  <c r="CF11"/>
  <c r="CN11"/>
  <c r="CV11"/>
  <c r="DD11"/>
  <c r="BW11" i="256"/>
  <c r="CE11"/>
  <c r="CM11"/>
  <c r="CU11"/>
  <c r="DC11"/>
  <c r="BQ11" i="255"/>
  <c r="BX10"/>
  <c r="CF10"/>
  <c r="CN10"/>
  <c r="CV10"/>
  <c r="DD10"/>
  <c r="BX11" i="257"/>
  <c r="CF11"/>
  <c r="CN11"/>
  <c r="CV11"/>
  <c r="DD11"/>
  <c r="BH301" i="279"/>
  <c r="BU48" i="263"/>
  <c r="BX50"/>
  <c r="CC48"/>
  <c r="CF50"/>
  <c r="CK48"/>
  <c r="CN50"/>
  <c r="CS48"/>
  <c r="CV50"/>
  <c r="DA48"/>
  <c r="DE48"/>
  <c r="BR48" i="262"/>
  <c r="BU47"/>
  <c r="BZ46"/>
  <c r="CC47"/>
  <c r="CH46"/>
  <c r="CK47"/>
  <c r="CP46"/>
  <c r="CS47"/>
  <c r="CX46"/>
  <c r="DA47"/>
  <c r="BS48" i="261"/>
  <c r="BV50"/>
  <c r="CA48"/>
  <c r="CD50"/>
  <c r="CI48"/>
  <c r="CL50"/>
  <c r="CQ48"/>
  <c r="CT50"/>
  <c r="CY48"/>
  <c r="DB50"/>
  <c r="DE46"/>
  <c r="BS47" i="260"/>
  <c r="BX46"/>
  <c r="CA47"/>
  <c r="CF46"/>
  <c r="CI47"/>
  <c r="CN46"/>
  <c r="CQ47"/>
  <c r="CV46"/>
  <c r="CY47"/>
  <c r="DD46"/>
  <c r="BQ48" i="259"/>
  <c r="BT50"/>
  <c r="BY48"/>
  <c r="CB50"/>
  <c r="CG48"/>
  <c r="CJ50"/>
  <c r="CO48"/>
  <c r="CR50"/>
  <c r="CW48"/>
  <c r="CZ50"/>
  <c r="DD50"/>
  <c r="BT48" i="258"/>
  <c r="BW50"/>
  <c r="CB48"/>
  <c r="CE50"/>
  <c r="CJ48"/>
  <c r="CM50"/>
  <c r="CR48"/>
  <c r="CU50"/>
  <c r="CZ48"/>
  <c r="DC50"/>
  <c r="DG50"/>
  <c r="BW48" i="248"/>
  <c r="BZ50"/>
  <c r="CE48"/>
  <c r="CH50"/>
  <c r="CM48"/>
  <c r="CP50"/>
  <c r="CU48"/>
  <c r="CX50"/>
  <c r="DC48"/>
  <c r="BT46" i="256"/>
  <c r="BW47"/>
  <c r="CB46"/>
  <c r="CE47"/>
  <c r="CJ46"/>
  <c r="CM47"/>
  <c r="CR46"/>
  <c r="CU47"/>
  <c r="CZ46"/>
  <c r="DC47"/>
  <c r="DG47"/>
  <c r="BW46" i="255"/>
  <c r="BZ47"/>
  <c r="CE46"/>
  <c r="CH47"/>
  <c r="CM46"/>
  <c r="CP47"/>
  <c r="CU46"/>
  <c r="CX47"/>
  <c r="DC46"/>
  <c r="DG46"/>
  <c r="BS50" i="257"/>
  <c r="BX48"/>
  <c r="CA50"/>
  <c r="CF48"/>
  <c r="CI50"/>
  <c r="CN48"/>
  <c r="CQ50"/>
  <c r="CV48"/>
  <c r="CY50"/>
  <c r="DE47"/>
  <c r="CD45" i="262"/>
  <c r="CT45"/>
  <c r="BP38"/>
  <c r="CF38"/>
  <c r="CV38"/>
  <c r="BP41"/>
  <c r="BS39"/>
  <c r="BU43"/>
  <c r="BX41"/>
  <c r="CA39"/>
  <c r="CC43"/>
  <c r="CF41"/>
  <c r="CI39"/>
  <c r="CK43"/>
  <c r="CN41"/>
  <c r="CQ39"/>
  <c r="CS39"/>
  <c r="CU43"/>
  <c r="CW42"/>
  <c r="CY41"/>
  <c r="DA39"/>
  <c r="DC43"/>
  <c r="DE42"/>
  <c r="DG41"/>
  <c r="BU32"/>
  <c r="BQ59"/>
  <c r="BS59"/>
  <c r="BU59"/>
  <c r="BW59"/>
  <c r="BY59"/>
  <c r="CA59"/>
  <c r="CC59"/>
  <c r="CE59"/>
  <c r="CG59"/>
  <c r="CI59"/>
  <c r="CK59"/>
  <c r="CM59"/>
  <c r="CO59"/>
  <c r="CQ59"/>
  <c r="CS59"/>
  <c r="CU59"/>
  <c r="CW59"/>
  <c r="CY59"/>
  <c r="DA59"/>
  <c r="DC59"/>
  <c r="DE59"/>
  <c r="DG59"/>
  <c r="BR36"/>
  <c r="BT35"/>
  <c r="BV34"/>
  <c r="BX34"/>
  <c r="BZ34"/>
  <c r="CB34"/>
  <c r="CD34"/>
  <c r="CF34"/>
  <c r="CH34"/>
  <c r="CJ34"/>
  <c r="CL34"/>
  <c r="CN34"/>
  <c r="CP34"/>
  <c r="CR34"/>
  <c r="CT34"/>
  <c r="CV34"/>
  <c r="CX34"/>
  <c r="CZ34"/>
  <c r="DB34"/>
  <c r="DD34"/>
  <c r="DF34"/>
  <c r="BP66"/>
  <c r="BT66"/>
  <c r="BX65"/>
  <c r="CB65"/>
  <c r="CF65"/>
  <c r="CJ65"/>
  <c r="CN65"/>
  <c r="CR65"/>
  <c r="CV65"/>
  <c r="CZ65"/>
  <c r="DD65"/>
  <c r="BP45" i="263"/>
  <c r="BX45"/>
  <c r="CF45"/>
  <c r="CN45"/>
  <c r="CV45"/>
  <c r="DD45"/>
  <c r="BV38"/>
  <c r="CD38"/>
  <c r="CL38"/>
  <c r="CT38"/>
  <c r="DB38"/>
  <c r="BP39"/>
  <c r="BQ41"/>
  <c r="BR43"/>
  <c r="BT39"/>
  <c r="BU41"/>
  <c r="BV43"/>
  <c r="BX39"/>
  <c r="BY41"/>
  <c r="BZ43"/>
  <c r="CB39"/>
  <c r="CC41"/>
  <c r="CD43"/>
  <c r="CF39"/>
  <c r="CG41"/>
  <c r="CH43"/>
  <c r="CJ39"/>
  <c r="CK41"/>
  <c r="CL43"/>
  <c r="CN39"/>
  <c r="CO41"/>
  <c r="CP43"/>
  <c r="CR39"/>
  <c r="CS41"/>
  <c r="CT43"/>
  <c r="CV39"/>
  <c r="CW41"/>
  <c r="CX43"/>
  <c r="CZ39"/>
  <c r="DA41"/>
  <c r="DB43"/>
  <c r="DD39"/>
  <c r="DE41"/>
  <c r="DF43"/>
  <c r="BP32"/>
  <c r="BU32"/>
  <c r="BY32"/>
  <c r="CC32"/>
  <c r="CG32"/>
  <c r="CK32"/>
  <c r="CO32"/>
  <c r="CS32"/>
  <c r="CW32"/>
  <c r="DA32"/>
  <c r="DE32"/>
  <c r="BP57"/>
  <c r="BR57"/>
  <c r="BT57"/>
  <c r="BV57"/>
  <c r="BX57"/>
  <c r="BZ57"/>
  <c r="CB57"/>
  <c r="CD57"/>
  <c r="CF57"/>
  <c r="CH57"/>
  <c r="CJ57"/>
  <c r="CL57"/>
  <c r="CN57"/>
  <c r="CP57"/>
  <c r="CR57"/>
  <c r="CT57"/>
  <c r="CV57"/>
  <c r="CX57"/>
  <c r="CZ57"/>
  <c r="DB57"/>
  <c r="DD57"/>
  <c r="DF57"/>
  <c r="BQ36"/>
  <c r="BS35"/>
  <c r="BP65"/>
  <c r="BT65"/>
  <c r="BV66"/>
  <c r="BZ66"/>
  <c r="CD66"/>
  <c r="CH66"/>
  <c r="CL66"/>
  <c r="CP66"/>
  <c r="CT66"/>
  <c r="CX66"/>
  <c r="DB66"/>
  <c r="DF66"/>
  <c r="BV45" i="261"/>
  <c r="CD45"/>
  <c r="CL45"/>
  <c r="CT45"/>
  <c r="DB45"/>
  <c r="BP38"/>
  <c r="BX38"/>
  <c r="CF38"/>
  <c r="CN38"/>
  <c r="CV38"/>
  <c r="DD38"/>
  <c r="BQ39"/>
  <c r="BR41"/>
  <c r="BS43"/>
  <c r="BU39"/>
  <c r="BV41"/>
  <c r="BW43"/>
  <c r="BY39"/>
  <c r="BZ41"/>
  <c r="CA43"/>
  <c r="CC39"/>
  <c r="CD41"/>
  <c r="CE43"/>
  <c r="CG39"/>
  <c r="CH41"/>
  <c r="CI43"/>
  <c r="CK39"/>
  <c r="CL41"/>
  <c r="CM43"/>
  <c r="CO39"/>
  <c r="CP41"/>
  <c r="CQ43"/>
  <c r="CS39"/>
  <c r="CT41"/>
  <c r="CU43"/>
  <c r="CW39"/>
  <c r="CX41"/>
  <c r="CY43"/>
  <c r="DA39"/>
  <c r="DB41"/>
  <c r="DC43"/>
  <c r="DE39"/>
  <c r="DF41"/>
  <c r="DG43"/>
  <c r="BT32"/>
  <c r="BX32"/>
  <c r="CB32"/>
  <c r="CF32"/>
  <c r="CJ32"/>
  <c r="CN32"/>
  <c r="CR32"/>
  <c r="CV32"/>
  <c r="CZ32"/>
  <c r="DD32"/>
  <c r="BP60"/>
  <c r="BR60"/>
  <c r="BT60"/>
  <c r="BV60"/>
  <c r="BX60"/>
  <c r="BZ60"/>
  <c r="CB60"/>
  <c r="CD60"/>
  <c r="CF60"/>
  <c r="CH60"/>
  <c r="CJ60"/>
  <c r="CL60"/>
  <c r="CN60"/>
  <c r="CP60"/>
  <c r="CR60"/>
  <c r="CT60"/>
  <c r="CV60"/>
  <c r="CX60"/>
  <c r="CZ60"/>
  <c r="DB60"/>
  <c r="DD60"/>
  <c r="DF60"/>
  <c r="BG184" i="279"/>
  <c r="BQ34" i="261"/>
  <c r="BU35"/>
  <c r="BW35"/>
  <c r="BY35"/>
  <c r="CA35"/>
  <c r="CC35"/>
  <c r="CE35"/>
  <c r="CG35"/>
  <c r="CI35"/>
  <c r="CK35"/>
  <c r="CM35"/>
  <c r="CO35"/>
  <c r="CQ35"/>
  <c r="CS35"/>
  <c r="CU35"/>
  <c r="CW35"/>
  <c r="CY35"/>
  <c r="DA35"/>
  <c r="DC35"/>
  <c r="DE35"/>
  <c r="DG35"/>
  <c r="BS66"/>
  <c r="BX66"/>
  <c r="CB66"/>
  <c r="CF66"/>
  <c r="CJ66"/>
  <c r="CN66"/>
  <c r="CR66"/>
  <c r="CV66"/>
  <c r="CZ66"/>
  <c r="DD66"/>
  <c r="BP45" i="260"/>
  <c r="BX45"/>
  <c r="CF45"/>
  <c r="CN45"/>
  <c r="CV45"/>
  <c r="DD45"/>
  <c r="BV38"/>
  <c r="CD38"/>
  <c r="CL38"/>
  <c r="CT38"/>
  <c r="DB38"/>
  <c r="BP39"/>
  <c r="BQ41"/>
  <c r="BR43"/>
  <c r="BT39"/>
  <c r="BU41"/>
  <c r="BV43"/>
  <c r="BX39"/>
  <c r="BY41"/>
  <c r="BZ43"/>
  <c r="CB39"/>
  <c r="CC41"/>
  <c r="CD43"/>
  <c r="CF39"/>
  <c r="CG41"/>
  <c r="CH43"/>
  <c r="CJ39"/>
  <c r="CK41"/>
  <c r="CL43"/>
  <c r="CN39"/>
  <c r="CO41"/>
  <c r="CP43"/>
  <c r="CR39"/>
  <c r="CS41"/>
  <c r="CT43"/>
  <c r="CV39"/>
  <c r="CW41"/>
  <c r="CX43"/>
  <c r="CZ39"/>
  <c r="DA41"/>
  <c r="DB43"/>
  <c r="DD39"/>
  <c r="DE41"/>
  <c r="DF43"/>
  <c r="BP32"/>
  <c r="BU32"/>
  <c r="BY32"/>
  <c r="CC32"/>
  <c r="CG32"/>
  <c r="CK32"/>
  <c r="CO32"/>
  <c r="CS32"/>
  <c r="CW32"/>
  <c r="DA32"/>
  <c r="DE32"/>
  <c r="BP57"/>
  <c r="BR57"/>
  <c r="BT57"/>
  <c r="BV57"/>
  <c r="BX57"/>
  <c r="BZ57"/>
  <c r="CB57"/>
  <c r="CD57"/>
  <c r="CF57"/>
  <c r="CH57"/>
  <c r="CJ57"/>
  <c r="CL57"/>
  <c r="CN57"/>
  <c r="CP57"/>
  <c r="CR57"/>
  <c r="CT57"/>
  <c r="CV57"/>
  <c r="CX57"/>
  <c r="CZ57"/>
  <c r="DB57"/>
  <c r="DD57"/>
  <c r="DF57"/>
  <c r="BQ36"/>
  <c r="BS35"/>
  <c r="BP65"/>
  <c r="BT65"/>
  <c r="BV66"/>
  <c r="BZ66"/>
  <c r="CD66"/>
  <c r="CH66"/>
  <c r="CL66"/>
  <c r="CP66"/>
  <c r="CT66"/>
  <c r="CX66"/>
  <c r="DB66"/>
  <c r="DF66"/>
  <c r="BV45" i="259"/>
  <c r="CD45"/>
  <c r="CL45"/>
  <c r="CT45"/>
  <c r="DB45"/>
  <c r="BP38"/>
  <c r="BX38"/>
  <c r="CF38"/>
  <c r="CN38"/>
  <c r="CV38"/>
  <c r="DD38"/>
  <c r="BQ39"/>
  <c r="BR41"/>
  <c r="BS43"/>
  <c r="BU39"/>
  <c r="BV41"/>
  <c r="BW43"/>
  <c r="BY39"/>
  <c r="BZ41"/>
  <c r="CA43"/>
  <c r="CC39"/>
  <c r="CD41"/>
  <c r="CE43"/>
  <c r="CG39"/>
  <c r="CH41"/>
  <c r="CI43"/>
  <c r="CK39"/>
  <c r="CL41"/>
  <c r="CM43"/>
  <c r="CO39"/>
  <c r="CP41"/>
  <c r="CQ43"/>
  <c r="CS39"/>
  <c r="CT41"/>
  <c r="CU43"/>
  <c r="CW39"/>
  <c r="CX41"/>
  <c r="CY43"/>
  <c r="DA39"/>
  <c r="DB41"/>
  <c r="DC43"/>
  <c r="DE39"/>
  <c r="DF41"/>
  <c r="DG43"/>
  <c r="BT32"/>
  <c r="BX32"/>
  <c r="CB32"/>
  <c r="CF32"/>
  <c r="CJ32"/>
  <c r="CN32"/>
  <c r="CR32"/>
  <c r="CV32"/>
  <c r="CZ32"/>
  <c r="DD32"/>
  <c r="BP60"/>
  <c r="BR60"/>
  <c r="BT60"/>
  <c r="BV60"/>
  <c r="BX60"/>
  <c r="BZ60"/>
  <c r="CB60"/>
  <c r="CD60"/>
  <c r="CF60"/>
  <c r="CH60"/>
  <c r="CJ60"/>
  <c r="CL60"/>
  <c r="CN60"/>
  <c r="CP60"/>
  <c r="CR60"/>
  <c r="CT60"/>
  <c r="CV60"/>
  <c r="CX60"/>
  <c r="CZ60"/>
  <c r="DB60"/>
  <c r="DD60"/>
  <c r="DF60"/>
  <c r="BP35"/>
  <c r="BT36"/>
  <c r="BV35"/>
  <c r="BX35"/>
  <c r="BZ35"/>
  <c r="CB35"/>
  <c r="CD35"/>
  <c r="CF35"/>
  <c r="CH35"/>
  <c r="CJ35"/>
  <c r="CL35"/>
  <c r="CN35"/>
  <c r="CP35"/>
  <c r="CR35"/>
  <c r="CT35"/>
  <c r="CV35"/>
  <c r="CX35"/>
  <c r="CZ35"/>
  <c r="DB35"/>
  <c r="DD35"/>
  <c r="DF35"/>
  <c r="BR65"/>
  <c r="BW65"/>
  <c r="CA65"/>
  <c r="CE65"/>
  <c r="CI65"/>
  <c r="CM65"/>
  <c r="CQ65"/>
  <c r="CU65"/>
  <c r="CY65"/>
  <c r="DC65"/>
  <c r="DG65"/>
  <c r="BT45" i="258"/>
  <c r="CB45"/>
  <c r="CJ45"/>
  <c r="CR45"/>
  <c r="CZ45"/>
  <c r="BR38"/>
  <c r="BZ38"/>
  <c r="CH38"/>
  <c r="CP38"/>
  <c r="CX38"/>
  <c r="DF38"/>
  <c r="BP43"/>
  <c r="BR39"/>
  <c r="BS41"/>
  <c r="BT43"/>
  <c r="BV39"/>
  <c r="BW41"/>
  <c r="BX43"/>
  <c r="BZ39"/>
  <c r="CA41"/>
  <c r="CB43"/>
  <c r="CD39"/>
  <c r="CE41"/>
  <c r="CF43"/>
  <c r="CH39"/>
  <c r="CI41"/>
  <c r="CJ43"/>
  <c r="CL39"/>
  <c r="CM41"/>
  <c r="CN43"/>
  <c r="CP39"/>
  <c r="CQ41"/>
  <c r="CR43"/>
  <c r="CT39"/>
  <c r="CU41"/>
  <c r="CV43"/>
  <c r="CX39"/>
  <c r="CY41"/>
  <c r="CZ43"/>
  <c r="DB39"/>
  <c r="DC41"/>
  <c r="DD43"/>
  <c r="DF39"/>
  <c r="DG41"/>
  <c r="BS32"/>
  <c r="BW32"/>
  <c r="CA32"/>
  <c r="CE32"/>
  <c r="CI32"/>
  <c r="CM32"/>
  <c r="CQ32"/>
  <c r="CU32"/>
  <c r="CY32"/>
  <c r="DC32"/>
  <c r="DG32"/>
  <c r="BQ57"/>
  <c r="BS57"/>
  <c r="BU57"/>
  <c r="BW57"/>
  <c r="BY57"/>
  <c r="CA57"/>
  <c r="CC57"/>
  <c r="CE57"/>
  <c r="CG57"/>
  <c r="CI57"/>
  <c r="CK57"/>
  <c r="CM57"/>
  <c r="CO57"/>
  <c r="CQ57"/>
  <c r="CS57"/>
  <c r="CU57"/>
  <c r="CW57"/>
  <c r="CY57"/>
  <c r="DA57"/>
  <c r="DC57"/>
  <c r="DE57"/>
  <c r="DG57"/>
  <c r="BR35"/>
  <c r="BT34"/>
  <c r="BQ66"/>
  <c r="BU65"/>
  <c r="BY65"/>
  <c r="CC65"/>
  <c r="CG65"/>
  <c r="CK65"/>
  <c r="CO65"/>
  <c r="CS65"/>
  <c r="CW65"/>
  <c r="DA65"/>
  <c r="DE65"/>
  <c r="BR45" i="248"/>
  <c r="BZ45"/>
  <c r="CH45"/>
  <c r="CP45"/>
  <c r="CX45"/>
  <c r="DF45"/>
  <c r="BT38"/>
  <c r="CB38"/>
  <c r="CJ38"/>
  <c r="CR38"/>
  <c r="CZ38"/>
  <c r="BP41"/>
  <c r="BQ43"/>
  <c r="BS39"/>
  <c r="BT41"/>
  <c r="BU43"/>
  <c r="BW39"/>
  <c r="BX41"/>
  <c r="BY43"/>
  <c r="CA39"/>
  <c r="CB41"/>
  <c r="CC43"/>
  <c r="CE39"/>
  <c r="CF41"/>
  <c r="CG43"/>
  <c r="CI39"/>
  <c r="CJ41"/>
  <c r="CK43"/>
  <c r="CM39"/>
  <c r="CN41"/>
  <c r="CO43"/>
  <c r="CQ39"/>
  <c r="CR41"/>
  <c r="CS43"/>
  <c r="CU39"/>
  <c r="CV41"/>
  <c r="CW43"/>
  <c r="CY39"/>
  <c r="CZ41"/>
  <c r="DA43"/>
  <c r="DC39"/>
  <c r="DD41"/>
  <c r="DE43"/>
  <c r="DG39"/>
  <c r="BR32"/>
  <c r="BV32"/>
  <c r="BZ32"/>
  <c r="CD32"/>
  <c r="CH32"/>
  <c r="CL32"/>
  <c r="CP32"/>
  <c r="CT32"/>
  <c r="CX32"/>
  <c r="DB32"/>
  <c r="DF32"/>
  <c r="BQ60"/>
  <c r="BS60"/>
  <c r="BU60"/>
  <c r="BW60"/>
  <c r="BY60"/>
  <c r="CA60"/>
  <c r="CC60"/>
  <c r="CE60"/>
  <c r="CG60"/>
  <c r="CI60"/>
  <c r="CK60"/>
  <c r="CM60"/>
  <c r="CO60"/>
  <c r="CQ60"/>
  <c r="CS60"/>
  <c r="CU60"/>
  <c r="CW60"/>
  <c r="CY60"/>
  <c r="DA60"/>
  <c r="DC60"/>
  <c r="DE60"/>
  <c r="DG60"/>
  <c r="BQ34"/>
  <c r="BU35"/>
  <c r="BW35"/>
  <c r="BY35"/>
  <c r="CA35"/>
  <c r="CC35"/>
  <c r="CE35"/>
  <c r="CG35"/>
  <c r="CI35"/>
  <c r="CK35"/>
  <c r="CM35"/>
  <c r="CO35"/>
  <c r="CQ35"/>
  <c r="CS35"/>
  <c r="CU35"/>
  <c r="CW35"/>
  <c r="CY35"/>
  <c r="DA35"/>
  <c r="DC35"/>
  <c r="DE35"/>
  <c r="DG35"/>
  <c r="BS66"/>
  <c r="BX66"/>
  <c r="CB66"/>
  <c r="CF66"/>
  <c r="CJ66"/>
  <c r="CN66"/>
  <c r="CR66"/>
  <c r="CV66"/>
  <c r="CZ66"/>
  <c r="DD66"/>
  <c r="BP45" i="256"/>
  <c r="BX45"/>
  <c r="CF45"/>
  <c r="CN45"/>
  <c r="CV45"/>
  <c r="DD45"/>
  <c r="BV38"/>
  <c r="CD38"/>
  <c r="CL38"/>
  <c r="CT38"/>
  <c r="DB38"/>
  <c r="BP39"/>
  <c r="BQ41"/>
  <c r="BR43"/>
  <c r="BT39"/>
  <c r="BU41"/>
  <c r="BV43"/>
  <c r="BX39"/>
  <c r="BY41"/>
  <c r="BZ43"/>
  <c r="CB39"/>
  <c r="CC41"/>
  <c r="CD43"/>
  <c r="CF39"/>
  <c r="CG41"/>
  <c r="CH43"/>
  <c r="CJ39"/>
  <c r="CK41"/>
  <c r="CL43"/>
  <c r="CN39"/>
  <c r="CO41"/>
  <c r="CP43"/>
  <c r="CR39"/>
  <c r="CS41"/>
  <c r="CT43"/>
  <c r="CV39"/>
  <c r="CW41"/>
  <c r="CX43"/>
  <c r="CZ39"/>
  <c r="DA41"/>
  <c r="DB43"/>
  <c r="DD39"/>
  <c r="DE41"/>
  <c r="DF43"/>
  <c r="BP32"/>
  <c r="BU32"/>
  <c r="BY32"/>
  <c r="CC32"/>
  <c r="CG32"/>
  <c r="CK32"/>
  <c r="CO32"/>
  <c r="CS32"/>
  <c r="CW32"/>
  <c r="DA32"/>
  <c r="DE32"/>
  <c r="BP57"/>
  <c r="BR57"/>
  <c r="BT57"/>
  <c r="BV57"/>
  <c r="BX57"/>
  <c r="BZ57"/>
  <c r="CB57"/>
  <c r="CD57"/>
  <c r="CF57"/>
  <c r="CH57"/>
  <c r="CJ57"/>
  <c r="CL57"/>
  <c r="CN57"/>
  <c r="CP57"/>
  <c r="CR57"/>
  <c r="CT57"/>
  <c r="CV57"/>
  <c r="CX57"/>
  <c r="CZ57"/>
  <c r="DB57"/>
  <c r="DD57"/>
  <c r="DF57"/>
  <c r="BQ36"/>
  <c r="BS35"/>
  <c r="BP65"/>
  <c r="BT65"/>
  <c r="BV66"/>
  <c r="BZ66"/>
  <c r="CD66"/>
  <c r="CH66"/>
  <c r="CL66"/>
  <c r="CP66"/>
  <c r="CT66"/>
  <c r="CX66"/>
  <c r="DB66"/>
  <c r="DF66"/>
  <c r="BV45" i="255"/>
  <c r="CD45"/>
  <c r="CL45"/>
  <c r="CT45"/>
  <c r="DB45"/>
  <c r="BP38"/>
  <c r="BX38"/>
  <c r="CF38"/>
  <c r="CN38"/>
  <c r="CV38"/>
  <c r="DD38"/>
  <c r="BQ39"/>
  <c r="BR41"/>
  <c r="BS43"/>
  <c r="BU39"/>
  <c r="BV41"/>
  <c r="BW43"/>
  <c r="BY39"/>
  <c r="BZ41"/>
  <c r="CA43"/>
  <c r="CC39"/>
  <c r="CD41"/>
  <c r="CE43"/>
  <c r="CG39"/>
  <c r="CH41"/>
  <c r="CI43"/>
  <c r="CK39"/>
  <c r="CL41"/>
  <c r="CM43"/>
  <c r="CO39"/>
  <c r="CP41"/>
  <c r="CQ43"/>
  <c r="CS39"/>
  <c r="CT41"/>
  <c r="CU43"/>
  <c r="CW39"/>
  <c r="CX41"/>
  <c r="CY43"/>
  <c r="DA39"/>
  <c r="DB41"/>
  <c r="DC43"/>
  <c r="DE39"/>
  <c r="DF41"/>
  <c r="DG43"/>
  <c r="BT32"/>
  <c r="BX32"/>
  <c r="CB32"/>
  <c r="CF32"/>
  <c r="CJ32"/>
  <c r="CN32"/>
  <c r="CR32"/>
  <c r="CV32"/>
  <c r="CZ32"/>
  <c r="DD32"/>
  <c r="BP60"/>
  <c r="BR60"/>
  <c r="BT60"/>
  <c r="BV60"/>
  <c r="BX60"/>
  <c r="BZ60"/>
  <c r="CB60"/>
  <c r="CD60"/>
  <c r="CF60"/>
  <c r="CH60"/>
  <c r="CJ60"/>
  <c r="CL60"/>
  <c r="CN60"/>
  <c r="CP60"/>
  <c r="CR60"/>
  <c r="CT60"/>
  <c r="CV60"/>
  <c r="CX60"/>
  <c r="CZ60"/>
  <c r="DB60"/>
  <c r="DD60"/>
  <c r="DF60"/>
  <c r="BA184" i="279"/>
  <c r="BQ34" i="255"/>
  <c r="BU35"/>
  <c r="BW35"/>
  <c r="BY35"/>
  <c r="CA35"/>
  <c r="CC35"/>
  <c r="CE35"/>
  <c r="CG35"/>
  <c r="CI35"/>
  <c r="CK35"/>
  <c r="CM35"/>
  <c r="CO35"/>
  <c r="CQ35"/>
  <c r="CS35"/>
  <c r="CU35"/>
  <c r="CW35"/>
  <c r="CY35"/>
  <c r="DA35"/>
  <c r="DC35"/>
  <c r="DE35"/>
  <c r="DG35"/>
  <c r="BS66"/>
  <c r="BX66"/>
  <c r="CB66"/>
  <c r="CF66"/>
  <c r="CJ66"/>
  <c r="CN66"/>
  <c r="CR66"/>
  <c r="CV66"/>
  <c r="CZ66"/>
  <c r="DD66"/>
  <c r="BP45" i="257"/>
  <c r="BX45"/>
  <c r="CF45"/>
  <c r="CN45"/>
  <c r="CV45"/>
  <c r="DD45"/>
  <c r="BV38"/>
  <c r="CD38"/>
  <c r="CL38"/>
  <c r="CT38"/>
  <c r="DB38"/>
  <c r="BP39"/>
  <c r="BQ41"/>
  <c r="BR43"/>
  <c r="BT39"/>
  <c r="BU41"/>
  <c r="BV43"/>
  <c r="BX39"/>
  <c r="BY41"/>
  <c r="BZ43"/>
  <c r="CB39"/>
  <c r="CC41"/>
  <c r="CD43"/>
  <c r="CF39"/>
  <c r="CG41"/>
  <c r="CH43"/>
  <c r="CJ39"/>
  <c r="CK41"/>
  <c r="CL43"/>
  <c r="CN39"/>
  <c r="CO41"/>
  <c r="CP43"/>
  <c r="CR39"/>
  <c r="CS41"/>
  <c r="CT43"/>
  <c r="CV39"/>
  <c r="CW41"/>
  <c r="CX43"/>
  <c r="CZ39"/>
  <c r="DA41"/>
  <c r="DB43"/>
  <c r="DD39"/>
  <c r="DE41"/>
  <c r="DF43"/>
  <c r="BP32"/>
  <c r="BU32"/>
  <c r="BY32"/>
  <c r="CC32"/>
  <c r="CG32"/>
  <c r="CK32"/>
  <c r="CO32"/>
  <c r="CS32"/>
  <c r="CW32"/>
  <c r="DA32"/>
  <c r="DE32"/>
  <c r="BP57"/>
  <c r="BR57"/>
  <c r="BT57"/>
  <c r="BV57"/>
  <c r="BX57"/>
  <c r="BZ57"/>
  <c r="CB57"/>
  <c r="CD57"/>
  <c r="CF57"/>
  <c r="CH57"/>
  <c r="CJ57"/>
  <c r="CL57"/>
  <c r="CN57"/>
  <c r="CP57"/>
  <c r="CR57"/>
  <c r="CT57"/>
  <c r="CV57"/>
  <c r="CX57"/>
  <c r="CZ57"/>
  <c r="DB57"/>
  <c r="DD57"/>
  <c r="DF57"/>
  <c r="BQ36"/>
  <c r="BS35"/>
  <c r="BP65"/>
  <c r="BT65"/>
  <c r="BV66"/>
  <c r="BZ66"/>
  <c r="CD66"/>
  <c r="CH66"/>
  <c r="CL66"/>
  <c r="CP66"/>
  <c r="CT66"/>
  <c r="CX66"/>
  <c r="DB66"/>
  <c r="DF66"/>
  <c r="AY137" i="279"/>
  <c r="AY142"/>
  <c r="AY135"/>
  <c r="AB15" i="263"/>
  <c r="AB35"/>
  <c r="AB43"/>
  <c r="AB26"/>
  <c r="AB59"/>
  <c r="AD19"/>
  <c r="AD34"/>
  <c r="AD42"/>
  <c r="AD29"/>
  <c r="AD65"/>
  <c r="AC21"/>
  <c r="AC45"/>
  <c r="AC28"/>
  <c r="AG32"/>
  <c r="AG40"/>
  <c r="AG57"/>
  <c r="AH13"/>
  <c r="AH41"/>
  <c r="AH50"/>
  <c r="AH65"/>
  <c r="AJ40"/>
  <c r="AJ27"/>
  <c r="AK11"/>
  <c r="AK18"/>
  <c r="AK39"/>
  <c r="AK47"/>
  <c r="AK30"/>
  <c r="AE10"/>
  <c r="AE22"/>
  <c r="AE38"/>
  <c r="AE46"/>
  <c r="AF10"/>
  <c r="AF22"/>
  <c r="AF38"/>
  <c r="AF46"/>
  <c r="AI21"/>
  <c r="AI45"/>
  <c r="AI28"/>
  <c r="AS41"/>
  <c r="AS50"/>
  <c r="BD16"/>
  <c r="BD45"/>
  <c r="BD26"/>
  <c r="AB15" i="262"/>
  <c r="AB35"/>
  <c r="AB43"/>
  <c r="AB26"/>
  <c r="AB59"/>
  <c r="AD19"/>
  <c r="AD34"/>
  <c r="AD42"/>
  <c r="AD29"/>
  <c r="AD65"/>
  <c r="AC21"/>
  <c r="AC45"/>
  <c r="AC28"/>
  <c r="AG32"/>
  <c r="AG40"/>
  <c r="AG57"/>
  <c r="AH13"/>
  <c r="AH41"/>
  <c r="AH50"/>
  <c r="AH65"/>
  <c r="AJ40"/>
  <c r="AJ27"/>
  <c r="AK11"/>
  <c r="AK18"/>
  <c r="AK39"/>
  <c r="AK47"/>
  <c r="AK30"/>
  <c r="AE10"/>
  <c r="AE22"/>
  <c r="AE38"/>
  <c r="AE46"/>
  <c r="AF10"/>
  <c r="AF22"/>
  <c r="AF38"/>
  <c r="AF46"/>
  <c r="AI21"/>
  <c r="AI45"/>
  <c r="AI28"/>
  <c r="CQ29" i="259"/>
  <c r="CU27" i="258"/>
  <c r="BV26" i="248"/>
  <c r="CQ30"/>
  <c r="CC29" i="256"/>
  <c r="BZ28" i="255"/>
  <c r="CU26"/>
  <c r="BV29" i="257"/>
  <c r="DA27"/>
  <c r="BV22" i="259"/>
  <c r="CR22" i="255"/>
  <c r="DC22" i="257"/>
  <c r="DE21" i="263"/>
  <c r="DG21" i="262"/>
  <c r="CE21" i="260"/>
  <c r="CI21" i="258"/>
  <c r="CM21" i="256"/>
  <c r="CQ21" i="257"/>
  <c r="CI19" i="263"/>
  <c r="CH19" i="261"/>
  <c r="BY18" i="259"/>
  <c r="DE18"/>
  <c r="CM19" i="248"/>
  <c r="BV19" i="255"/>
  <c r="DB19"/>
  <c r="CV16" i="263"/>
  <c r="CD16" i="262"/>
  <c r="BW15" i="261"/>
  <c r="DC15"/>
  <c r="CK15" i="260"/>
  <c r="BS15" i="259"/>
  <c r="CY15"/>
  <c r="CG15" i="258"/>
  <c r="CJ16" i="248"/>
  <c r="CC15" i="256"/>
  <c r="CF16" i="255"/>
  <c r="BY15" i="257"/>
  <c r="DE15"/>
  <c r="BT13" i="262"/>
  <c r="CC13" i="261"/>
  <c r="CU13" i="259"/>
  <c r="DD13" i="258"/>
  <c r="CP13" i="256"/>
  <c r="CY13" i="255"/>
  <c r="BQ10" i="263"/>
  <c r="CT10"/>
  <c r="CB10" i="262"/>
  <c r="CR10"/>
  <c r="BR10" i="261"/>
  <c r="CF11"/>
  <c r="CV11"/>
  <c r="BQ10" i="260"/>
  <c r="CA11"/>
  <c r="CQ11"/>
  <c r="DG11"/>
  <c r="CG10" i="259"/>
  <c r="CW10"/>
  <c r="BU11" i="258"/>
  <c r="CK11"/>
  <c r="CS11"/>
  <c r="DA11"/>
  <c r="BQ10" i="248"/>
  <c r="BV10"/>
  <c r="CD10"/>
  <c r="CL10"/>
  <c r="CT10"/>
  <c r="DB10"/>
  <c r="BR11" i="256"/>
  <c r="BZ11"/>
  <c r="CH11"/>
  <c r="CP11"/>
  <c r="CX11"/>
  <c r="DF11"/>
  <c r="BY10" i="255"/>
  <c r="CG10"/>
  <c r="CO10"/>
  <c r="CW10"/>
  <c r="DE10"/>
  <c r="BT10" i="257"/>
  <c r="CB10"/>
  <c r="CJ10"/>
  <c r="CR10"/>
  <c r="CZ10"/>
  <c r="BT48" i="263"/>
  <c r="BW50"/>
  <c r="CB48"/>
  <c r="CE50"/>
  <c r="CJ48"/>
  <c r="CM50"/>
  <c r="CR48"/>
  <c r="CU50"/>
  <c r="CZ48"/>
  <c r="DC50"/>
  <c r="DG50"/>
  <c r="BW48" i="262"/>
  <c r="BZ50"/>
  <c r="CE48"/>
  <c r="CH50"/>
  <c r="CM48"/>
  <c r="CP50"/>
  <c r="CU48"/>
  <c r="CX50"/>
  <c r="DC48"/>
  <c r="BT46" i="261"/>
  <c r="BW47"/>
  <c r="CB46"/>
  <c r="CE47"/>
  <c r="CJ46"/>
  <c r="CM47"/>
  <c r="CR46"/>
  <c r="CU47"/>
  <c r="CZ46"/>
  <c r="DC47"/>
  <c r="DG47"/>
  <c r="BW46" i="260"/>
  <c r="BZ47"/>
  <c r="CE46"/>
  <c r="CH47"/>
  <c r="CM46"/>
  <c r="CP47"/>
  <c r="CU46"/>
  <c r="CX47"/>
  <c r="DC46"/>
  <c r="DG46"/>
  <c r="BS50" i="259"/>
  <c r="BX48"/>
  <c r="CA50"/>
  <c r="CF48"/>
  <c r="CI50"/>
  <c r="CN48"/>
  <c r="CQ50"/>
  <c r="CV48"/>
  <c r="CY50"/>
  <c r="DE47"/>
  <c r="BU46" i="258"/>
  <c r="BX47"/>
  <c r="CC46"/>
  <c r="CF47"/>
  <c r="CK46"/>
  <c r="CN47"/>
  <c r="CS46"/>
  <c r="CV47"/>
  <c r="DA46"/>
  <c r="DD47"/>
  <c r="DF50"/>
  <c r="BV48" i="248"/>
  <c r="BY50"/>
  <c r="CD48"/>
  <c r="CG50"/>
  <c r="CL48"/>
  <c r="CO50"/>
  <c r="CT48"/>
  <c r="CW50"/>
  <c r="DB48"/>
  <c r="DF48"/>
  <c r="BS46" i="256"/>
  <c r="BV47"/>
  <c r="CA46"/>
  <c r="CD47"/>
  <c r="CI46"/>
  <c r="CL47"/>
  <c r="CQ46"/>
  <c r="CT47"/>
  <c r="CY46"/>
  <c r="DB47"/>
  <c r="DF47"/>
  <c r="BV46" i="255"/>
  <c r="BY47"/>
  <c r="CD46"/>
  <c r="CG47"/>
  <c r="CL46"/>
  <c r="CO47"/>
  <c r="CT46"/>
  <c r="CW47"/>
  <c r="DB46"/>
  <c r="DF46"/>
  <c r="BT47" i="257"/>
  <c r="BY46"/>
  <c r="CB47"/>
  <c r="CG46"/>
  <c r="CJ47"/>
  <c r="CO46"/>
  <c r="CR47"/>
  <c r="CW46"/>
  <c r="CZ47"/>
  <c r="DG48"/>
  <c r="BY45" i="262"/>
  <c r="CO45"/>
  <c r="DE45"/>
  <c r="CA38"/>
  <c r="CQ38"/>
  <c r="DG38"/>
  <c r="BS42"/>
  <c r="BW42"/>
  <c r="CA42"/>
  <c r="CE42"/>
  <c r="CI42"/>
  <c r="CM42"/>
  <c r="CQ42"/>
  <c r="CS41"/>
  <c r="CU39"/>
  <c r="CW43"/>
  <c r="CY42"/>
  <c r="DA41"/>
  <c r="DC39"/>
  <c r="DE43"/>
  <c r="DG42"/>
  <c r="BX32"/>
  <c r="CB32"/>
  <c r="CF32"/>
  <c r="CJ32"/>
  <c r="CN32"/>
  <c r="CR32"/>
  <c r="CV32"/>
  <c r="CZ32"/>
  <c r="DD32"/>
  <c r="BP60"/>
  <c r="BR60"/>
  <c r="BT60"/>
  <c r="BV60"/>
  <c r="BX60"/>
  <c r="BZ60"/>
  <c r="CB60"/>
  <c r="CD60"/>
  <c r="CF60"/>
  <c r="CH60"/>
  <c r="CJ60"/>
  <c r="CL60"/>
  <c r="CN60"/>
  <c r="CP60"/>
  <c r="CR60"/>
  <c r="CT60"/>
  <c r="CV60"/>
  <c r="CX60"/>
  <c r="CZ60"/>
  <c r="DB60"/>
  <c r="DD60"/>
  <c r="DF60"/>
  <c r="BH184" i="279"/>
  <c r="BQ34" i="262"/>
  <c r="BU35"/>
  <c r="BW35"/>
  <c r="BY35"/>
  <c r="CA35"/>
  <c r="CC35"/>
  <c r="CE35"/>
  <c r="CG35"/>
  <c r="CI35"/>
  <c r="CK35"/>
  <c r="CM35"/>
  <c r="CO35"/>
  <c r="CQ35"/>
  <c r="CS35"/>
  <c r="CU35"/>
  <c r="CW35"/>
  <c r="CY35"/>
  <c r="DA35"/>
  <c r="DC35"/>
  <c r="DE35"/>
  <c r="DG35"/>
  <c r="BS66"/>
  <c r="BX66"/>
  <c r="CB66"/>
  <c r="CF66"/>
  <c r="CJ66"/>
  <c r="CN66"/>
  <c r="CR66"/>
  <c r="CV66"/>
  <c r="CZ66"/>
  <c r="DD66"/>
  <c r="BQ45" i="263"/>
  <c r="BY45"/>
  <c r="CG45"/>
  <c r="CO45"/>
  <c r="CW45"/>
  <c r="DE45"/>
  <c r="BW38"/>
  <c r="CE38"/>
  <c r="CM38"/>
  <c r="CU38"/>
  <c r="DC38"/>
  <c r="BP40"/>
  <c r="BR40"/>
  <c r="BT40"/>
  <c r="BV40"/>
  <c r="BX40"/>
  <c r="BZ40"/>
  <c r="CB40"/>
  <c r="CD40"/>
  <c r="CF40"/>
  <c r="CH40"/>
  <c r="CJ40"/>
  <c r="CL40"/>
  <c r="CN40"/>
  <c r="CP40"/>
  <c r="CR40"/>
  <c r="CT40"/>
  <c r="CV40"/>
  <c r="CX40"/>
  <c r="CZ40"/>
  <c r="DB40"/>
  <c r="DD40"/>
  <c r="DF40"/>
  <c r="BP59"/>
  <c r="BR59"/>
  <c r="BT59"/>
  <c r="BV59"/>
  <c r="BX59"/>
  <c r="BZ59"/>
  <c r="CB59"/>
  <c r="CD59"/>
  <c r="CF59"/>
  <c r="CH59"/>
  <c r="CJ59"/>
  <c r="CL59"/>
  <c r="CN59"/>
  <c r="CP59"/>
  <c r="CR59"/>
  <c r="CT59"/>
  <c r="CV59"/>
  <c r="CX59"/>
  <c r="CZ59"/>
  <c r="DB59"/>
  <c r="DD59"/>
  <c r="DF59"/>
  <c r="BP34"/>
  <c r="BS36"/>
  <c r="BU34"/>
  <c r="BW34"/>
  <c r="BY34"/>
  <c r="CA34"/>
  <c r="CC34"/>
  <c r="CE34"/>
  <c r="CG34"/>
  <c r="CI34"/>
  <c r="CK34"/>
  <c r="CM34"/>
  <c r="CO34"/>
  <c r="CQ34"/>
  <c r="CS34"/>
  <c r="CU34"/>
  <c r="CW34"/>
  <c r="CY34"/>
  <c r="DA34"/>
  <c r="DC34"/>
  <c r="DE34"/>
  <c r="DG34"/>
  <c r="BS65"/>
  <c r="BU66"/>
  <c r="BY66"/>
  <c r="CC66"/>
  <c r="CG66"/>
  <c r="CK66"/>
  <c r="CO66"/>
  <c r="CS66"/>
  <c r="CW66"/>
  <c r="DA66"/>
  <c r="DE66"/>
  <c r="BW45" i="261"/>
  <c r="CE45"/>
  <c r="CM45"/>
  <c r="CU45"/>
  <c r="DC45"/>
  <c r="BQ38"/>
  <c r="BY38"/>
  <c r="CG38"/>
  <c r="CO38"/>
  <c r="CW38"/>
  <c r="DE38"/>
  <c r="BQ40"/>
  <c r="BS40"/>
  <c r="BU40"/>
  <c r="BW40"/>
  <c r="BY40"/>
  <c r="CA40"/>
  <c r="CC40"/>
  <c r="CE40"/>
  <c r="CG40"/>
  <c r="CI40"/>
  <c r="CK40"/>
  <c r="CM40"/>
  <c r="CO40"/>
  <c r="CQ40"/>
  <c r="CS40"/>
  <c r="CU40"/>
  <c r="CW40"/>
  <c r="CY40"/>
  <c r="DA40"/>
  <c r="DC40"/>
  <c r="DE40"/>
  <c r="DG40"/>
  <c r="BP36"/>
  <c r="BR34"/>
  <c r="BU36"/>
  <c r="BW36"/>
  <c r="BY36"/>
  <c r="CA36"/>
  <c r="CC36"/>
  <c r="CE36"/>
  <c r="CG36"/>
  <c r="CI36"/>
  <c r="CK36"/>
  <c r="CM36"/>
  <c r="CO36"/>
  <c r="CQ36"/>
  <c r="CS36"/>
  <c r="CU36"/>
  <c r="CW36"/>
  <c r="CY36"/>
  <c r="DA36"/>
  <c r="DC36"/>
  <c r="DE36"/>
  <c r="DG36"/>
  <c r="BR66"/>
  <c r="BW66"/>
  <c r="CA66"/>
  <c r="CE66"/>
  <c r="CI66"/>
  <c r="CM66"/>
  <c r="CQ66"/>
  <c r="CU66"/>
  <c r="CY66"/>
  <c r="DC66"/>
  <c r="DG66"/>
  <c r="BU45" i="260"/>
  <c r="CC45"/>
  <c r="CK45"/>
  <c r="CS45"/>
  <c r="DA45"/>
  <c r="BS38"/>
  <c r="CA38"/>
  <c r="CI38"/>
  <c r="CQ38"/>
  <c r="CY38"/>
  <c r="DG38"/>
  <c r="BQ42"/>
  <c r="BS42"/>
  <c r="BU42"/>
  <c r="BW42"/>
  <c r="BY42"/>
  <c r="CA42"/>
  <c r="CC42"/>
  <c r="CE42"/>
  <c r="CG42"/>
  <c r="CI42"/>
  <c r="CK42"/>
  <c r="CM42"/>
  <c r="CO42"/>
  <c r="CQ42"/>
  <c r="CS42"/>
  <c r="CU42"/>
  <c r="CW42"/>
  <c r="CY42"/>
  <c r="DA42"/>
  <c r="DC42"/>
  <c r="DE42"/>
  <c r="DG42"/>
  <c r="BQ59"/>
  <c r="BS59"/>
  <c r="BU59"/>
  <c r="BW59"/>
  <c r="BY59"/>
  <c r="CA59"/>
  <c r="CC59"/>
  <c r="CE59"/>
  <c r="CG59"/>
  <c r="CI59"/>
  <c r="CK59"/>
  <c r="CM59"/>
  <c r="CO59"/>
  <c r="CQ59"/>
  <c r="CS59"/>
  <c r="CU59"/>
  <c r="CW59"/>
  <c r="CY59"/>
  <c r="DA59"/>
  <c r="DC59"/>
  <c r="DE59"/>
  <c r="DG59"/>
  <c r="BR36"/>
  <c r="BT35"/>
  <c r="BV34"/>
  <c r="BX34"/>
  <c r="BZ34"/>
  <c r="CB34"/>
  <c r="CD34"/>
  <c r="CF34"/>
  <c r="CH34"/>
  <c r="CJ34"/>
  <c r="CL34"/>
  <c r="CN34"/>
  <c r="CP34"/>
  <c r="CR34"/>
  <c r="CT34"/>
  <c r="CV34"/>
  <c r="CX34"/>
  <c r="CZ34"/>
  <c r="DB34"/>
  <c r="DD34"/>
  <c r="DF34"/>
  <c r="BP66"/>
  <c r="BT66"/>
  <c r="BX65"/>
  <c r="CB65"/>
  <c r="CF65"/>
  <c r="CJ65"/>
  <c r="CN65"/>
  <c r="CR65"/>
  <c r="CV65"/>
  <c r="CZ65"/>
  <c r="DD65"/>
  <c r="BS45" i="259"/>
  <c r="CA45"/>
  <c r="CI45"/>
  <c r="CQ45"/>
  <c r="CY45"/>
  <c r="DG45"/>
  <c r="BU38"/>
  <c r="CC38"/>
  <c r="CK38"/>
  <c r="CS38"/>
  <c r="DA38"/>
  <c r="BP42"/>
  <c r="BR42"/>
  <c r="BT42"/>
  <c r="BV42"/>
  <c r="BX42"/>
  <c r="BZ42"/>
  <c r="CB42"/>
  <c r="CD42"/>
  <c r="CF42"/>
  <c r="CH42"/>
  <c r="CJ42"/>
  <c r="CL42"/>
  <c r="CN42"/>
  <c r="CP42"/>
  <c r="CR42"/>
  <c r="CT42"/>
  <c r="CV42"/>
  <c r="CX42"/>
  <c r="CZ42"/>
  <c r="DB42"/>
  <c r="DD42"/>
  <c r="DF42"/>
  <c r="BQ32"/>
  <c r="BQ35"/>
  <c r="BS34"/>
  <c r="BV36"/>
  <c r="BX36"/>
  <c r="BZ36"/>
  <c r="CB36"/>
  <c r="CD36"/>
  <c r="CF36"/>
  <c r="CH36"/>
  <c r="CJ36"/>
  <c r="CL36"/>
  <c r="CN36"/>
  <c r="CP36"/>
  <c r="CR36"/>
  <c r="CT36"/>
  <c r="CV36"/>
  <c r="CX36"/>
  <c r="CZ36"/>
  <c r="DB36"/>
  <c r="DD36"/>
  <c r="DF36"/>
  <c r="BQ65"/>
  <c r="BV65"/>
  <c r="BZ65"/>
  <c r="CD65"/>
  <c r="CH65"/>
  <c r="CL65"/>
  <c r="CP65"/>
  <c r="CT65"/>
  <c r="CX65"/>
  <c r="DB65"/>
  <c r="DF65"/>
  <c r="BQ45" i="258"/>
  <c r="BY45"/>
  <c r="CG45"/>
  <c r="CO45"/>
  <c r="CW45"/>
  <c r="DE45"/>
  <c r="BW38"/>
  <c r="CE38"/>
  <c r="CM38"/>
  <c r="CU38"/>
  <c r="DC38"/>
  <c r="BP40"/>
  <c r="BR40"/>
  <c r="BT40"/>
  <c r="BV40"/>
  <c r="BX40"/>
  <c r="BZ40"/>
  <c r="CB40"/>
  <c r="CD40"/>
  <c r="CF40"/>
  <c r="CH40"/>
  <c r="CJ40"/>
  <c r="CL40"/>
  <c r="CN40"/>
  <c r="CP40"/>
  <c r="CR40"/>
  <c r="CT40"/>
  <c r="CV40"/>
  <c r="CX40"/>
  <c r="CZ40"/>
  <c r="DB40"/>
  <c r="DD40"/>
  <c r="DF40"/>
  <c r="BP59"/>
  <c r="BR59"/>
  <c r="BT59"/>
  <c r="BV59"/>
  <c r="BX59"/>
  <c r="BZ59"/>
  <c r="CB59"/>
  <c r="CD59"/>
  <c r="CF59"/>
  <c r="CH59"/>
  <c r="CJ59"/>
  <c r="CL59"/>
  <c r="CN59"/>
  <c r="CP59"/>
  <c r="CR59"/>
  <c r="CT59"/>
  <c r="CV59"/>
  <c r="CX59"/>
  <c r="CZ59"/>
  <c r="DB59"/>
  <c r="DD59"/>
  <c r="DF59"/>
  <c r="BP34"/>
  <c r="BS36"/>
  <c r="BU34"/>
  <c r="BW34"/>
  <c r="BY34"/>
  <c r="CA34"/>
  <c r="CC34"/>
  <c r="CE34"/>
  <c r="CG34"/>
  <c r="CI34"/>
  <c r="CK34"/>
  <c r="CM34"/>
  <c r="CO34"/>
  <c r="CQ34"/>
  <c r="CS34"/>
  <c r="CU34"/>
  <c r="CW34"/>
  <c r="CY34"/>
  <c r="DA34"/>
  <c r="DC34"/>
  <c r="DE34"/>
  <c r="DG34"/>
  <c r="BS65"/>
  <c r="BU66"/>
  <c r="BY66"/>
  <c r="CC66"/>
  <c r="CG66"/>
  <c r="CK66"/>
  <c r="CO66"/>
  <c r="CS66"/>
  <c r="CW66"/>
  <c r="DA66"/>
  <c r="DE66"/>
  <c r="BW45" i="248"/>
  <c r="CE45"/>
  <c r="CM45"/>
  <c r="CU45"/>
  <c r="DC45"/>
  <c r="BQ38"/>
  <c r="BY38"/>
  <c r="CG38"/>
  <c r="CO38"/>
  <c r="CW38"/>
  <c r="DE38"/>
  <c r="BQ40"/>
  <c r="BS40"/>
  <c r="BU40"/>
  <c r="BW40"/>
  <c r="BY40"/>
  <c r="CA40"/>
  <c r="CC40"/>
  <c r="CE40"/>
  <c r="CG40"/>
  <c r="CI40"/>
  <c r="CK40"/>
  <c r="CM40"/>
  <c r="CO40"/>
  <c r="CQ40"/>
  <c r="CS40"/>
  <c r="CU40"/>
  <c r="CW40"/>
  <c r="CY40"/>
  <c r="DA40"/>
  <c r="DC40"/>
  <c r="DE40"/>
  <c r="DG40"/>
  <c r="BP36"/>
  <c r="BR34"/>
  <c r="BU36"/>
  <c r="BW36"/>
  <c r="BY36"/>
  <c r="CA36"/>
  <c r="CC36"/>
  <c r="CE36"/>
  <c r="CG36"/>
  <c r="CI36"/>
  <c r="CK36"/>
  <c r="CM36"/>
  <c r="CO36"/>
  <c r="CQ36"/>
  <c r="CS36"/>
  <c r="CU36"/>
  <c r="CW36"/>
  <c r="CY36"/>
  <c r="DA36"/>
  <c r="DC36"/>
  <c r="DE36"/>
  <c r="DG36"/>
  <c r="BR66"/>
  <c r="BW66"/>
  <c r="CA66"/>
  <c r="CE66"/>
  <c r="CI66"/>
  <c r="CM66"/>
  <c r="CQ66"/>
  <c r="CU66"/>
  <c r="CY66"/>
  <c r="DC66"/>
  <c r="DG66"/>
  <c r="BU45" i="256"/>
  <c r="CC45"/>
  <c r="CK45"/>
  <c r="CS45"/>
  <c r="DA45"/>
  <c r="BS38"/>
  <c r="CA38"/>
  <c r="CI38"/>
  <c r="CQ38"/>
  <c r="CY38"/>
  <c r="DG38"/>
  <c r="BQ42"/>
  <c r="BS42"/>
  <c r="BU42"/>
  <c r="BW42"/>
  <c r="BY42"/>
  <c r="CA42"/>
  <c r="CC42"/>
  <c r="CE42"/>
  <c r="CG42"/>
  <c r="CI42"/>
  <c r="CK42"/>
  <c r="CM42"/>
  <c r="CO42"/>
  <c r="CQ42"/>
  <c r="CS42"/>
  <c r="CU42"/>
  <c r="CW42"/>
  <c r="CY42"/>
  <c r="DA42"/>
  <c r="DC42"/>
  <c r="DE42"/>
  <c r="DG42"/>
  <c r="BQ59"/>
  <c r="BS59"/>
  <c r="BU59"/>
  <c r="BW59"/>
  <c r="BY59"/>
  <c r="CA59"/>
  <c r="CC59"/>
  <c r="CE59"/>
  <c r="CG59"/>
  <c r="CI59"/>
  <c r="CK59"/>
  <c r="CM59"/>
  <c r="CO59"/>
  <c r="CQ59"/>
  <c r="CS59"/>
  <c r="CU59"/>
  <c r="CW59"/>
  <c r="CY59"/>
  <c r="DA59"/>
  <c r="DC59"/>
  <c r="DE59"/>
  <c r="DG59"/>
  <c r="BR36"/>
  <c r="BT35"/>
  <c r="BV34"/>
  <c r="BX34"/>
  <c r="BZ34"/>
  <c r="CB34"/>
  <c r="CD34"/>
  <c r="CF34"/>
  <c r="CH34"/>
  <c r="CJ34"/>
  <c r="CL34"/>
  <c r="CN34"/>
  <c r="CP34"/>
  <c r="CR34"/>
  <c r="CT34"/>
  <c r="CV34"/>
  <c r="CX34"/>
  <c r="CZ34"/>
  <c r="DB34"/>
  <c r="DD34"/>
  <c r="DF34"/>
  <c r="BP66"/>
  <c r="BT66"/>
  <c r="BX65"/>
  <c r="CB65"/>
  <c r="CF65"/>
  <c r="CJ65"/>
  <c r="CN65"/>
  <c r="CR65"/>
  <c r="CV65"/>
  <c r="CZ65"/>
  <c r="DD65"/>
  <c r="BS45" i="255"/>
  <c r="CA45"/>
  <c r="CI45"/>
  <c r="CQ45"/>
  <c r="CY45"/>
  <c r="DG45"/>
  <c r="BU38"/>
  <c r="CC38"/>
  <c r="CK38"/>
  <c r="CS38"/>
  <c r="DA38"/>
  <c r="BP42"/>
  <c r="BR42"/>
  <c r="BT42"/>
  <c r="BV42"/>
  <c r="BX42"/>
  <c r="BZ42"/>
  <c r="CB42"/>
  <c r="CD42"/>
  <c r="CF42"/>
  <c r="CH42"/>
  <c r="CJ42"/>
  <c r="CL42"/>
  <c r="CN42"/>
  <c r="CP42"/>
  <c r="CR42"/>
  <c r="CT42"/>
  <c r="CV42"/>
  <c r="CX42"/>
  <c r="CZ42"/>
  <c r="DB42"/>
  <c r="DD42"/>
  <c r="DF42"/>
  <c r="BQ32"/>
  <c r="BQ35"/>
  <c r="BS34"/>
  <c r="BV36"/>
  <c r="BX36"/>
  <c r="BZ36"/>
  <c r="CB36"/>
  <c r="CD36"/>
  <c r="CF36"/>
  <c r="CH36"/>
  <c r="CJ36"/>
  <c r="CL36"/>
  <c r="CN36"/>
  <c r="CP36"/>
  <c r="CR36"/>
  <c r="CT36"/>
  <c r="CV36"/>
  <c r="CX36"/>
  <c r="CZ36"/>
  <c r="DB36"/>
  <c r="DD36"/>
  <c r="DF36"/>
  <c r="BQ65"/>
  <c r="BV65"/>
  <c r="BZ65"/>
  <c r="CD65"/>
  <c r="CH65"/>
  <c r="CL65"/>
  <c r="CP65"/>
  <c r="CT65"/>
  <c r="CX65"/>
  <c r="DB65"/>
  <c r="DF65"/>
  <c r="BQ45" i="257"/>
  <c r="BY45"/>
  <c r="CG45"/>
  <c r="CO45"/>
  <c r="CW45"/>
  <c r="DE45"/>
  <c r="BW38"/>
  <c r="CE38"/>
  <c r="CM38"/>
  <c r="CU38"/>
  <c r="DC38"/>
  <c r="BP40"/>
  <c r="BR40"/>
  <c r="BT40"/>
  <c r="BV40"/>
  <c r="BX40"/>
  <c r="BZ40"/>
  <c r="CB40"/>
  <c r="CD40"/>
  <c r="CF40"/>
  <c r="CH40"/>
  <c r="CJ40"/>
  <c r="CL40"/>
  <c r="CN40"/>
  <c r="CP40"/>
  <c r="CR40"/>
  <c r="CT40"/>
  <c r="CV40"/>
  <c r="CX40"/>
  <c r="CZ40"/>
  <c r="DB40"/>
  <c r="DD40"/>
  <c r="DF40"/>
  <c r="BP59"/>
  <c r="BR59"/>
  <c r="BT59"/>
  <c r="BV59"/>
  <c r="BX59"/>
  <c r="BZ59"/>
  <c r="CB59"/>
  <c r="CD59"/>
  <c r="CF59"/>
  <c r="CH59"/>
  <c r="CJ59"/>
  <c r="CL59"/>
  <c r="CN59"/>
  <c r="CP59"/>
  <c r="CR59"/>
  <c r="CT59"/>
  <c r="CV59"/>
  <c r="CX59"/>
  <c r="CZ59"/>
  <c r="DB59"/>
  <c r="DD59"/>
  <c r="DF59"/>
  <c r="BP34"/>
  <c r="BS36"/>
  <c r="BU34"/>
  <c r="BW34"/>
  <c r="BY34"/>
  <c r="CA34"/>
  <c r="CC34"/>
  <c r="CE34"/>
  <c r="CG34"/>
  <c r="CI34"/>
  <c r="CK34"/>
  <c r="CM34"/>
  <c r="CO34"/>
  <c r="CQ34"/>
  <c r="CS34"/>
  <c r="CU34"/>
  <c r="CW34"/>
  <c r="CY34"/>
  <c r="DA34"/>
  <c r="DC34"/>
  <c r="DE34"/>
  <c r="DG34"/>
  <c r="BS65"/>
  <c r="BU66"/>
  <c r="BY66"/>
  <c r="CC66"/>
  <c r="CG66"/>
  <c r="CK66"/>
  <c r="CO66"/>
  <c r="CS66"/>
  <c r="CW66"/>
  <c r="DA66"/>
  <c r="DE66"/>
  <c r="AB16" i="263"/>
  <c r="AB36"/>
  <c r="AB48"/>
  <c r="AB60"/>
  <c r="AD15"/>
  <c r="AD35"/>
  <c r="AD43"/>
  <c r="AD26"/>
  <c r="AD59"/>
  <c r="AC19"/>
  <c r="AC34"/>
  <c r="AC42"/>
  <c r="AC29"/>
  <c r="AC65"/>
  <c r="AG21"/>
  <c r="AG45"/>
  <c r="AG28"/>
  <c r="AH10"/>
  <c r="AH22"/>
  <c r="AH38"/>
  <c r="AH46"/>
  <c r="AH59"/>
  <c r="AJ19"/>
  <c r="AJ38"/>
  <c r="AJ45"/>
  <c r="AJ28"/>
  <c r="AK32"/>
  <c r="AK40"/>
  <c r="AK27"/>
  <c r="AE11"/>
  <c r="AE18"/>
  <c r="AE39"/>
  <c r="AE47"/>
  <c r="AE57"/>
  <c r="U65"/>
  <c r="AF15"/>
  <c r="AF35"/>
  <c r="AF43"/>
  <c r="AF26"/>
  <c r="AF65"/>
  <c r="AI19"/>
  <c r="AI34"/>
  <c r="AI42"/>
  <c r="AI29"/>
  <c r="AI65"/>
  <c r="AS21"/>
  <c r="AS38"/>
  <c r="AS46"/>
  <c r="AS57"/>
  <c r="BD13"/>
  <c r="BD34"/>
  <c r="BD42"/>
  <c r="BD29"/>
  <c r="BD65"/>
  <c r="AB32" i="262"/>
  <c r="AB40"/>
  <c r="AB27"/>
  <c r="AD11"/>
  <c r="AD18"/>
  <c r="AD39"/>
  <c r="AD47"/>
  <c r="AD30"/>
  <c r="AC10"/>
  <c r="AC22"/>
  <c r="AC38"/>
  <c r="AC46"/>
  <c r="AC57"/>
  <c r="AG13"/>
  <c r="AG41"/>
  <c r="AG50"/>
  <c r="AG59"/>
  <c r="AH19"/>
  <c r="AH34"/>
  <c r="AH42"/>
  <c r="AH30"/>
  <c r="AJ10"/>
  <c r="AJ34"/>
  <c r="AJ41"/>
  <c r="AJ50"/>
  <c r="AK16"/>
  <c r="AK36"/>
  <c r="AK48"/>
  <c r="AK60"/>
  <c r="CT27" i="259"/>
  <c r="CB29" i="258"/>
  <c r="DG27"/>
  <c r="CI30" i="248"/>
  <c r="DC30"/>
  <c r="CF27" i="256"/>
  <c r="CB30" i="255"/>
  <c r="CX28"/>
  <c r="BY27" i="257"/>
  <c r="BZ22" i="263"/>
  <c r="CB22" i="261"/>
  <c r="CG22" i="258"/>
  <c r="BQ22" i="256"/>
  <c r="BT22" i="255"/>
  <c r="CE22" i="257"/>
  <c r="CI21" i="262"/>
  <c r="CM21" i="260"/>
  <c r="CQ21" i="258"/>
  <c r="CU21" i="256"/>
  <c r="BS21" i="257"/>
  <c r="BW19" i="263"/>
  <c r="DC19"/>
  <c r="CL19" i="261"/>
  <c r="CB19" i="259"/>
  <c r="CA19" i="248"/>
  <c r="DG19"/>
  <c r="CP19" i="255"/>
  <c r="BS15" i="263"/>
  <c r="CY15"/>
  <c r="CG15" i="262"/>
  <c r="CJ16" i="261"/>
  <c r="CC15" i="260"/>
  <c r="CF16" i="259"/>
  <c r="BY15" i="258"/>
  <c r="DE15"/>
  <c r="CM15" i="248"/>
  <c r="CP16" i="256"/>
  <c r="BX16" i="255"/>
  <c r="DD16"/>
  <c r="CW15" i="257"/>
  <c r="CY13" i="263"/>
  <c r="CK13" i="261"/>
  <c r="BW13" i="259"/>
  <c r="CF13" i="258"/>
  <c r="CX13" i="256"/>
  <c r="DG13" i="255"/>
  <c r="CA11" i="263"/>
  <c r="CV10"/>
  <c r="BX10" i="262"/>
  <c r="CN10"/>
  <c r="DD10"/>
  <c r="CB11" i="261"/>
  <c r="CR11"/>
  <c r="BW11" i="260"/>
  <c r="CM11"/>
  <c r="DC11"/>
  <c r="CC10" i="259"/>
  <c r="CS10"/>
  <c r="CB10" i="258"/>
  <c r="CI10"/>
  <c r="CQ10"/>
  <c r="CY10"/>
  <c r="DG10"/>
  <c r="BT11" i="248"/>
  <c r="CB11"/>
  <c r="CJ11"/>
  <c r="CR11"/>
  <c r="CZ11"/>
  <c r="BQ10" i="256"/>
  <c r="BV10"/>
  <c r="CD10"/>
  <c r="CL10"/>
  <c r="CT10"/>
  <c r="DB10"/>
  <c r="BT10" i="255"/>
  <c r="CB10"/>
  <c r="CJ10"/>
  <c r="CR10"/>
  <c r="CZ10"/>
  <c r="BP11" i="257"/>
  <c r="BW10"/>
  <c r="CE10"/>
  <c r="CM10"/>
  <c r="CU10"/>
  <c r="DC10"/>
  <c r="BQ48" i="263"/>
  <c r="BT50"/>
  <c r="BY48"/>
  <c r="CB50"/>
  <c r="CG48"/>
  <c r="CJ50"/>
  <c r="CO48"/>
  <c r="CR50"/>
  <c r="CW48"/>
  <c r="CZ50"/>
  <c r="DD50"/>
  <c r="BT48" i="262"/>
  <c r="BW50"/>
  <c r="CB48"/>
  <c r="CE50"/>
  <c r="CJ48"/>
  <c r="CM50"/>
  <c r="CR48"/>
  <c r="CU50"/>
  <c r="CZ48"/>
  <c r="DC50"/>
  <c r="DG50"/>
  <c r="BW48" i="261"/>
  <c r="BZ50"/>
  <c r="CE48"/>
  <c r="CH50"/>
  <c r="CM48"/>
  <c r="CP50"/>
  <c r="CU48"/>
  <c r="CX50"/>
  <c r="DC48"/>
  <c r="BT46" i="260"/>
  <c r="BW47"/>
  <c r="CB46"/>
  <c r="CE47"/>
  <c r="CJ46"/>
  <c r="CM47"/>
  <c r="CR46"/>
  <c r="CU47"/>
  <c r="CZ46"/>
  <c r="DC47"/>
  <c r="DG47"/>
  <c r="BW46" i="259"/>
  <c r="BZ47"/>
  <c r="CE46"/>
  <c r="CH47"/>
  <c r="CM46"/>
  <c r="CP47"/>
  <c r="CU46"/>
  <c r="CX47"/>
  <c r="DC46"/>
  <c r="DG46"/>
  <c r="BS50" i="258"/>
  <c r="BX48"/>
  <c r="CA50"/>
  <c r="CF48"/>
  <c r="CI50"/>
  <c r="CN48"/>
  <c r="CQ50"/>
  <c r="CV48"/>
  <c r="CY50"/>
  <c r="DE47"/>
  <c r="BU46" i="248"/>
  <c r="BX47"/>
  <c r="CC46"/>
  <c r="CF47"/>
  <c r="CK46"/>
  <c r="CN47"/>
  <c r="CS46"/>
  <c r="CV47"/>
  <c r="DA46"/>
  <c r="DD47"/>
  <c r="DF50"/>
  <c r="BV48" i="256"/>
  <c r="BY50"/>
  <c r="CD48"/>
  <c r="CG50"/>
  <c r="CL48"/>
  <c r="CO50"/>
  <c r="CT48"/>
  <c r="CW50"/>
  <c r="DB48"/>
  <c r="DF48"/>
  <c r="BS46" i="255"/>
  <c r="BV47"/>
  <c r="CA46"/>
  <c r="CD47"/>
  <c r="CI46"/>
  <c r="CL47"/>
  <c r="CQ46"/>
  <c r="CT47"/>
  <c r="CY46"/>
  <c r="DB47"/>
  <c r="DF47"/>
  <c r="BV46" i="257"/>
  <c r="BY47"/>
  <c r="CD46"/>
  <c r="CG47"/>
  <c r="CL46"/>
  <c r="CO47"/>
  <c r="CT46"/>
  <c r="CW47"/>
  <c r="DB46"/>
  <c r="DF46"/>
  <c r="BR45" i="262"/>
  <c r="CH45"/>
  <c r="CX45"/>
  <c r="BT38"/>
  <c r="CJ38"/>
  <c r="CZ38"/>
  <c r="BR41"/>
  <c r="BU39"/>
  <c r="BW43"/>
  <c r="BZ41"/>
  <c r="CC39"/>
  <c r="CE43"/>
  <c r="CH41"/>
  <c r="CK39"/>
  <c r="CM43"/>
  <c r="CP41"/>
  <c r="CR43"/>
  <c r="CT41"/>
  <c r="CV40"/>
  <c r="CX39"/>
  <c r="CZ43"/>
  <c r="DB41"/>
  <c r="DD40"/>
  <c r="DF39"/>
  <c r="BV32"/>
  <c r="BQ35"/>
  <c r="BS34"/>
  <c r="BV36"/>
  <c r="BX36"/>
  <c r="BZ36"/>
  <c r="CB36"/>
  <c r="CD36"/>
  <c r="CF36"/>
  <c r="CH36"/>
  <c r="CJ36"/>
  <c r="CL36"/>
  <c r="CN36"/>
  <c r="CP36"/>
  <c r="CR36"/>
  <c r="CT36"/>
  <c r="CV36"/>
  <c r="CX36"/>
  <c r="CZ36"/>
  <c r="DB36"/>
  <c r="DD36"/>
  <c r="DF36"/>
  <c r="BQ65"/>
  <c r="BV65"/>
  <c r="BZ65"/>
  <c r="CD65"/>
  <c r="CH65"/>
  <c r="CL65"/>
  <c r="CP65"/>
  <c r="CT65"/>
  <c r="CX65"/>
  <c r="DB65"/>
  <c r="DF65"/>
  <c r="BR45" i="263"/>
  <c r="BZ45"/>
  <c r="CH45"/>
  <c r="CP45"/>
  <c r="CX45"/>
  <c r="DF45"/>
  <c r="BT38"/>
  <c r="CB38"/>
  <c r="CJ38"/>
  <c r="CR38"/>
  <c r="CZ38"/>
  <c r="BP41"/>
  <c r="BQ43"/>
  <c r="BS39"/>
  <c r="BT41"/>
  <c r="BU43"/>
  <c r="BW39"/>
  <c r="BX41"/>
  <c r="BY43"/>
  <c r="CA39"/>
  <c r="CB41"/>
  <c r="CC43"/>
  <c r="CE39"/>
  <c r="CF41"/>
  <c r="CG43"/>
  <c r="CI39"/>
  <c r="CJ41"/>
  <c r="CK43"/>
  <c r="CM39"/>
  <c r="CN41"/>
  <c r="CO43"/>
  <c r="CQ39"/>
  <c r="CR41"/>
  <c r="CS43"/>
  <c r="CU39"/>
  <c r="CV41"/>
  <c r="CW43"/>
  <c r="CY39"/>
  <c r="CZ41"/>
  <c r="DA43"/>
  <c r="DC39"/>
  <c r="DD41"/>
  <c r="DE43"/>
  <c r="DG39"/>
  <c r="BR32"/>
  <c r="BV32"/>
  <c r="BZ32"/>
  <c r="CD32"/>
  <c r="CH32"/>
  <c r="CL32"/>
  <c r="CP32"/>
  <c r="CT32"/>
  <c r="CX32"/>
  <c r="DB32"/>
  <c r="DF32"/>
  <c r="BQ60"/>
  <c r="BS60"/>
  <c r="BU60"/>
  <c r="BW60"/>
  <c r="BY60"/>
  <c r="CA60"/>
  <c r="CC60"/>
  <c r="CE60"/>
  <c r="CG60"/>
  <c r="CI60"/>
  <c r="CK60"/>
  <c r="CM60"/>
  <c r="CO60"/>
  <c r="CQ60"/>
  <c r="CS60"/>
  <c r="CU60"/>
  <c r="CW60"/>
  <c r="CY60"/>
  <c r="DA60"/>
  <c r="DC60"/>
  <c r="DE60"/>
  <c r="DG60"/>
  <c r="BQ34"/>
  <c r="BU35"/>
  <c r="BW35"/>
  <c r="BY35"/>
  <c r="CA35"/>
  <c r="CC35"/>
  <c r="CE35"/>
  <c r="CG35"/>
  <c r="CI35"/>
  <c r="CK35"/>
  <c r="CM35"/>
  <c r="CO35"/>
  <c r="CQ35"/>
  <c r="CS35"/>
  <c r="CU35"/>
  <c r="CW35"/>
  <c r="CY35"/>
  <c r="DA35"/>
  <c r="DC35"/>
  <c r="DE35"/>
  <c r="DG35"/>
  <c r="BS66"/>
  <c r="BX66"/>
  <c r="CB66"/>
  <c r="CF66"/>
  <c r="CJ66"/>
  <c r="CN66"/>
  <c r="CR66"/>
  <c r="CV66"/>
  <c r="CZ66"/>
  <c r="DD66"/>
  <c r="BP45" i="261"/>
  <c r="BX45"/>
  <c r="CF45"/>
  <c r="CN45"/>
  <c r="CV45"/>
  <c r="DD45"/>
  <c r="BV38"/>
  <c r="CD38"/>
  <c r="CL38"/>
  <c r="CT38"/>
  <c r="DB38"/>
  <c r="BP39"/>
  <c r="BQ41"/>
  <c r="BR43"/>
  <c r="BT39"/>
  <c r="BU41"/>
  <c r="BV43"/>
  <c r="BX39"/>
  <c r="BY41"/>
  <c r="BZ43"/>
  <c r="CB39"/>
  <c r="CC41"/>
  <c r="CD43"/>
  <c r="CF39"/>
  <c r="CG41"/>
  <c r="CH43"/>
  <c r="CJ39"/>
  <c r="CK41"/>
  <c r="CL43"/>
  <c r="CN39"/>
  <c r="CO41"/>
  <c r="CP43"/>
  <c r="CR39"/>
  <c r="CS41"/>
  <c r="CT43"/>
  <c r="CV39"/>
  <c r="CW41"/>
  <c r="CX43"/>
  <c r="CZ39"/>
  <c r="DA41"/>
  <c r="DB43"/>
  <c r="DD39"/>
  <c r="DE41"/>
  <c r="DF43"/>
  <c r="BP32"/>
  <c r="BU32"/>
  <c r="BY32"/>
  <c r="CC32"/>
  <c r="CG32"/>
  <c r="CK32"/>
  <c r="CO32"/>
  <c r="CS32"/>
  <c r="CW32"/>
  <c r="DA32"/>
  <c r="DE32"/>
  <c r="BP57"/>
  <c r="BR57"/>
  <c r="BT57"/>
  <c r="BV57"/>
  <c r="BX57"/>
  <c r="BZ57"/>
  <c r="CB57"/>
  <c r="CD57"/>
  <c r="CF57"/>
  <c r="CH57"/>
  <c r="CJ57"/>
  <c r="CL57"/>
  <c r="CN57"/>
  <c r="CP57"/>
  <c r="CR57"/>
  <c r="CT57"/>
  <c r="CV57"/>
  <c r="CX57"/>
  <c r="CZ57"/>
  <c r="DB57"/>
  <c r="DD57"/>
  <c r="DF57"/>
  <c r="BQ36"/>
  <c r="BS35"/>
  <c r="BP65"/>
  <c r="BT65"/>
  <c r="BV66"/>
  <c r="BZ66"/>
  <c r="CD66"/>
  <c r="CH66"/>
  <c r="CL66"/>
  <c r="CP66"/>
  <c r="CT66"/>
  <c r="CX66"/>
  <c r="DB66"/>
  <c r="DF66"/>
  <c r="BV45" i="260"/>
  <c r="CD45"/>
  <c r="CL45"/>
  <c r="CT45"/>
  <c r="DB45"/>
  <c r="BP38"/>
  <c r="BX38"/>
  <c r="CF38"/>
  <c r="CN38"/>
  <c r="CV38"/>
  <c r="DD38"/>
  <c r="BQ39"/>
  <c r="BR41"/>
  <c r="BS43"/>
  <c r="BU39"/>
  <c r="BV41"/>
  <c r="BW43"/>
  <c r="BY39"/>
  <c r="BZ41"/>
  <c r="CA43"/>
  <c r="CC39"/>
  <c r="CD41"/>
  <c r="CE43"/>
  <c r="CG39"/>
  <c r="CH41"/>
  <c r="CI43"/>
  <c r="CK39"/>
  <c r="CL41"/>
  <c r="CM43"/>
  <c r="CO39"/>
  <c r="CP41"/>
  <c r="CQ43"/>
  <c r="CS39"/>
  <c r="CT41"/>
  <c r="CU43"/>
  <c r="CW39"/>
  <c r="CX41"/>
  <c r="CY43"/>
  <c r="DA39"/>
  <c r="DB41"/>
  <c r="DC43"/>
  <c r="DE39"/>
  <c r="DF41"/>
  <c r="DG43"/>
  <c r="BT32"/>
  <c r="BX32"/>
  <c r="CB32"/>
  <c r="CF32"/>
  <c r="CJ32"/>
  <c r="CN32"/>
  <c r="CR32"/>
  <c r="CV32"/>
  <c r="CZ32"/>
  <c r="DD32"/>
  <c r="BP60"/>
  <c r="BR60"/>
  <c r="BT60"/>
  <c r="BV60"/>
  <c r="BX60"/>
  <c r="BZ60"/>
  <c r="CB60"/>
  <c r="CD60"/>
  <c r="CF60"/>
  <c r="CH60"/>
  <c r="CJ60"/>
  <c r="CL60"/>
  <c r="CN60"/>
  <c r="CP60"/>
  <c r="CR60"/>
  <c r="CT60"/>
  <c r="CV60"/>
  <c r="CX60"/>
  <c r="CZ60"/>
  <c r="DB60"/>
  <c r="DD60"/>
  <c r="DF60"/>
  <c r="BF184" i="279"/>
  <c r="BQ34" i="260"/>
  <c r="BU35"/>
  <c r="BW35"/>
  <c r="BY35"/>
  <c r="CA35"/>
  <c r="CC35"/>
  <c r="CE35"/>
  <c r="CG35"/>
  <c r="CI35"/>
  <c r="CK35"/>
  <c r="CM35"/>
  <c r="CO35"/>
  <c r="CQ35"/>
  <c r="CS35"/>
  <c r="CU35"/>
  <c r="CW35"/>
  <c r="CY35"/>
  <c r="DA35"/>
  <c r="DC35"/>
  <c r="DE35"/>
  <c r="DG35"/>
  <c r="BS66"/>
  <c r="BX66"/>
  <c r="CB66"/>
  <c r="CF66"/>
  <c r="CJ66"/>
  <c r="CN66"/>
  <c r="CR66"/>
  <c r="CV66"/>
  <c r="CZ66"/>
  <c r="DD66"/>
  <c r="CF35"/>
  <c r="CJ35"/>
  <c r="CN35"/>
  <c r="CR35"/>
  <c r="CV35"/>
  <c r="CZ35"/>
  <c r="DD35"/>
  <c r="BR65"/>
  <c r="CA65"/>
  <c r="CI65"/>
  <c r="CQ65"/>
  <c r="CY65"/>
  <c r="DG65"/>
  <c r="BT45" i="259"/>
  <c r="CB45"/>
  <c r="CJ45"/>
  <c r="CR45"/>
  <c r="CZ45"/>
  <c r="BR38"/>
  <c r="BZ38"/>
  <c r="CH38"/>
  <c r="CP38"/>
  <c r="CX38"/>
  <c r="DF38"/>
  <c r="BP43"/>
  <c r="BR39"/>
  <c r="BS41"/>
  <c r="BT43"/>
  <c r="BV39"/>
  <c r="BW41"/>
  <c r="BX43"/>
  <c r="BZ39"/>
  <c r="CA41"/>
  <c r="CB43"/>
  <c r="CD39"/>
  <c r="CE41"/>
  <c r="CF43"/>
  <c r="CH39"/>
  <c r="CI41"/>
  <c r="CJ43"/>
  <c r="CL39"/>
  <c r="CM41"/>
  <c r="CN43"/>
  <c r="CP39"/>
  <c r="CQ41"/>
  <c r="CR43"/>
  <c r="CT39"/>
  <c r="CU41"/>
  <c r="CV43"/>
  <c r="CX39"/>
  <c r="CY41"/>
  <c r="CZ43"/>
  <c r="DB39"/>
  <c r="DC41"/>
  <c r="DD43"/>
  <c r="DF39"/>
  <c r="DG41"/>
  <c r="BS32"/>
  <c r="BW32"/>
  <c r="CA32"/>
  <c r="CE32"/>
  <c r="CI32"/>
  <c r="CM32"/>
  <c r="CQ32"/>
  <c r="CU32"/>
  <c r="CY32"/>
  <c r="DC32"/>
  <c r="DG32"/>
  <c r="BQ57"/>
  <c r="BS57"/>
  <c r="BU57"/>
  <c r="BW57"/>
  <c r="BY57"/>
  <c r="CA57"/>
  <c r="CC57"/>
  <c r="CE57"/>
  <c r="CG57"/>
  <c r="CI57"/>
  <c r="CK57"/>
  <c r="CM57"/>
  <c r="CO57"/>
  <c r="CQ57"/>
  <c r="CS57"/>
  <c r="CU57"/>
  <c r="CW57"/>
  <c r="CY57"/>
  <c r="DA57"/>
  <c r="DC57"/>
  <c r="DE57"/>
  <c r="DG57"/>
  <c r="BR35"/>
  <c r="BT34"/>
  <c r="BQ66"/>
  <c r="BU65"/>
  <c r="BY65"/>
  <c r="CC65"/>
  <c r="CG65"/>
  <c r="CK65"/>
  <c r="CO65"/>
  <c r="CS65"/>
  <c r="CW65"/>
  <c r="DA65"/>
  <c r="DE65"/>
  <c r="BR45" i="258"/>
  <c r="BZ45"/>
  <c r="CH45"/>
  <c r="CP45"/>
  <c r="CX45"/>
  <c r="DF45"/>
  <c r="BT38"/>
  <c r="CB38"/>
  <c r="CJ38"/>
  <c r="CR38"/>
  <c r="CZ38"/>
  <c r="BP41"/>
  <c r="BQ43"/>
  <c r="BS39"/>
  <c r="BT41"/>
  <c r="BU43"/>
  <c r="BW39"/>
  <c r="BX41"/>
  <c r="BY43"/>
  <c r="CA39"/>
  <c r="CB41"/>
  <c r="CC43"/>
  <c r="CE39"/>
  <c r="CF41"/>
  <c r="CG43"/>
  <c r="CI39"/>
  <c r="CJ41"/>
  <c r="CK43"/>
  <c r="CM39"/>
  <c r="CN41"/>
  <c r="CO43"/>
  <c r="CQ39"/>
  <c r="CR41"/>
  <c r="CS43"/>
  <c r="CU39"/>
  <c r="CV41"/>
  <c r="CW43"/>
  <c r="CY39"/>
  <c r="CZ41"/>
  <c r="DA43"/>
  <c r="DC39"/>
  <c r="DD41"/>
  <c r="DE43"/>
  <c r="DG39"/>
  <c r="BR32"/>
  <c r="BV32"/>
  <c r="BZ32"/>
  <c r="CD32"/>
  <c r="CH32"/>
  <c r="CL32"/>
  <c r="CP32"/>
  <c r="CT32"/>
  <c r="CX32"/>
  <c r="DB32"/>
  <c r="DF32"/>
  <c r="BQ60"/>
  <c r="BS60"/>
  <c r="BU60"/>
  <c r="BW60"/>
  <c r="BY60"/>
  <c r="CA60"/>
  <c r="CC60"/>
  <c r="CE60"/>
  <c r="CG60"/>
  <c r="CI60"/>
  <c r="CK60"/>
  <c r="CM60"/>
  <c r="CO60"/>
  <c r="CQ60"/>
  <c r="CS60"/>
  <c r="CU60"/>
  <c r="CW60"/>
  <c r="CY60"/>
  <c r="DA60"/>
  <c r="DC60"/>
  <c r="DE60"/>
  <c r="DG60"/>
  <c r="BQ34"/>
  <c r="BU35"/>
  <c r="BW35"/>
  <c r="BY35"/>
  <c r="CA35"/>
  <c r="CC35"/>
  <c r="CE35"/>
  <c r="CG35"/>
  <c r="CI35"/>
  <c r="CK35"/>
  <c r="CM35"/>
  <c r="CO35"/>
  <c r="CQ35"/>
  <c r="CS35"/>
  <c r="CU35"/>
  <c r="CW35"/>
  <c r="CY35"/>
  <c r="DA35"/>
  <c r="DC35"/>
  <c r="DE35"/>
  <c r="DG35"/>
  <c r="BS66"/>
  <c r="BX66"/>
  <c r="CB66"/>
  <c r="CF66"/>
  <c r="CJ66"/>
  <c r="CN66"/>
  <c r="CR66"/>
  <c r="CV66"/>
  <c r="CZ66"/>
  <c r="DD66"/>
  <c r="BP45" i="248"/>
  <c r="BX45"/>
  <c r="CF45"/>
  <c r="CN45"/>
  <c r="CV45"/>
  <c r="DD45"/>
  <c r="BV38"/>
  <c r="CD38"/>
  <c r="CL38"/>
  <c r="CT38"/>
  <c r="DB38"/>
  <c r="BP39"/>
  <c r="BQ41"/>
  <c r="BR43"/>
  <c r="BT39"/>
  <c r="BU41"/>
  <c r="BV43"/>
  <c r="BX39"/>
  <c r="BY41"/>
  <c r="BZ43"/>
  <c r="CB39"/>
  <c r="CC41"/>
  <c r="CD43"/>
  <c r="CF39"/>
  <c r="CG41"/>
  <c r="CH43"/>
  <c r="CJ39"/>
  <c r="CK41"/>
  <c r="CL43"/>
  <c r="CN39"/>
  <c r="CO41"/>
  <c r="CP43"/>
  <c r="CR39"/>
  <c r="CS41"/>
  <c r="CT43"/>
  <c r="CV39"/>
  <c r="CW41"/>
  <c r="CX43"/>
  <c r="CZ39"/>
  <c r="DA41"/>
  <c r="DB43"/>
  <c r="DD39"/>
  <c r="DE41"/>
  <c r="DF43"/>
  <c r="BP32"/>
  <c r="BU32"/>
  <c r="BY32"/>
  <c r="CC32"/>
  <c r="CG32"/>
  <c r="CK32"/>
  <c r="CO32"/>
  <c r="CS32"/>
  <c r="CW32"/>
  <c r="DA32"/>
  <c r="DE32"/>
  <c r="BP57"/>
  <c r="BR57"/>
  <c r="BT57"/>
  <c r="BV57"/>
  <c r="BX57"/>
  <c r="BZ57"/>
  <c r="CB57"/>
  <c r="CD57"/>
  <c r="CF57"/>
  <c r="CH57"/>
  <c r="CJ57"/>
  <c r="CL57"/>
  <c r="CN57"/>
  <c r="CP57"/>
  <c r="CR57"/>
  <c r="CT57"/>
  <c r="CV57"/>
  <c r="CX57"/>
  <c r="CZ57"/>
  <c r="DB57"/>
  <c r="DD57"/>
  <c r="DF57"/>
  <c r="BQ36"/>
  <c r="BS35"/>
  <c r="BP65"/>
  <c r="BT65"/>
  <c r="BV66"/>
  <c r="BZ66"/>
  <c r="CD66"/>
  <c r="CH66"/>
  <c r="CL66"/>
  <c r="CP66"/>
  <c r="CT66"/>
  <c r="CX66"/>
  <c r="DB66"/>
  <c r="DF66"/>
  <c r="BV45" i="256"/>
  <c r="CD45"/>
  <c r="CL45"/>
  <c r="CT45"/>
  <c r="DB45"/>
  <c r="BP38"/>
  <c r="BX38"/>
  <c r="CF38"/>
  <c r="CN38"/>
  <c r="CV38"/>
  <c r="DD38"/>
  <c r="BQ39"/>
  <c r="BR41"/>
  <c r="BS43"/>
  <c r="BU39"/>
  <c r="BV41"/>
  <c r="BW43"/>
  <c r="BY39"/>
  <c r="BZ41"/>
  <c r="CA43"/>
  <c r="CC39"/>
  <c r="CD41"/>
  <c r="CE43"/>
  <c r="CG39"/>
  <c r="CH41"/>
  <c r="CI43"/>
  <c r="CK39"/>
  <c r="CL41"/>
  <c r="CM43"/>
  <c r="CO39"/>
  <c r="CP41"/>
  <c r="CQ43"/>
  <c r="CS39"/>
  <c r="CT41"/>
  <c r="CU43"/>
  <c r="CW39"/>
  <c r="CX41"/>
  <c r="CY43"/>
  <c r="DA39"/>
  <c r="DB41"/>
  <c r="DC43"/>
  <c r="DE39"/>
  <c r="DF41"/>
  <c r="DG43"/>
  <c r="BT32"/>
  <c r="BX32"/>
  <c r="CB32"/>
  <c r="CF32"/>
  <c r="CJ32"/>
  <c r="CN32"/>
  <c r="CR32"/>
  <c r="CV32"/>
  <c r="CZ32"/>
  <c r="DD32"/>
  <c r="BP60"/>
  <c r="BR60"/>
  <c r="BT60"/>
  <c r="BV60"/>
  <c r="BX60"/>
  <c r="BZ60"/>
  <c r="CB60"/>
  <c r="CD60"/>
  <c r="CF60"/>
  <c r="CH60"/>
  <c r="CJ60"/>
  <c r="CL60"/>
  <c r="CN60"/>
  <c r="CP60"/>
  <c r="CR60"/>
  <c r="CT60"/>
  <c r="CV60"/>
  <c r="CX60"/>
  <c r="CZ60"/>
  <c r="DB60"/>
  <c r="DD60"/>
  <c r="DF60"/>
  <c r="BP35"/>
  <c r="BT36"/>
  <c r="BV35"/>
  <c r="BX35"/>
  <c r="BZ35"/>
  <c r="CB35"/>
  <c r="CD35"/>
  <c r="CF35"/>
  <c r="CH35"/>
  <c r="CJ35"/>
  <c r="CL35"/>
  <c r="CN35"/>
  <c r="CP35"/>
  <c r="CR35"/>
  <c r="CT35"/>
  <c r="CV35"/>
  <c r="CX35"/>
  <c r="CZ35"/>
  <c r="DB35"/>
  <c r="DD35"/>
  <c r="DF35"/>
  <c r="BR65"/>
  <c r="BW65"/>
  <c r="CA65"/>
  <c r="CE65"/>
  <c r="CI65"/>
  <c r="CM65"/>
  <c r="CQ65"/>
  <c r="CU65"/>
  <c r="CY65"/>
  <c r="DC65"/>
  <c r="DG65"/>
  <c r="BT45" i="255"/>
  <c r="CB45"/>
  <c r="CJ45"/>
  <c r="CR45"/>
  <c r="CZ45"/>
  <c r="BR38"/>
  <c r="BZ38"/>
  <c r="CH38"/>
  <c r="CP38"/>
  <c r="CX38"/>
  <c r="DF38"/>
  <c r="BP43"/>
  <c r="BR39"/>
  <c r="BS41"/>
  <c r="BT43"/>
  <c r="BV39"/>
  <c r="BW41"/>
  <c r="BX43"/>
  <c r="BZ39"/>
  <c r="CA41"/>
  <c r="CB43"/>
  <c r="CD39"/>
  <c r="CE41"/>
  <c r="CF43"/>
  <c r="CH39"/>
  <c r="CI41"/>
  <c r="CJ43"/>
  <c r="CL39"/>
  <c r="CM41"/>
  <c r="CN43"/>
  <c r="CP39"/>
  <c r="CQ41"/>
  <c r="CR43"/>
  <c r="CT39"/>
  <c r="CU41"/>
  <c r="CV43"/>
  <c r="CX39"/>
  <c r="CY41"/>
  <c r="CZ43"/>
  <c r="DB39"/>
  <c r="DC41"/>
  <c r="DD43"/>
  <c r="DF39"/>
  <c r="DG41"/>
  <c r="BS32"/>
  <c r="BW32"/>
  <c r="CA32"/>
  <c r="CE32"/>
  <c r="CI32"/>
  <c r="CM32"/>
  <c r="CQ32"/>
  <c r="CU32"/>
  <c r="CY32"/>
  <c r="DC32"/>
  <c r="DG32"/>
  <c r="BQ57"/>
  <c r="BS57"/>
  <c r="BU57"/>
  <c r="BW57"/>
  <c r="BY57"/>
  <c r="CA57"/>
  <c r="CC57"/>
  <c r="CE57"/>
  <c r="CG57"/>
  <c r="CI57"/>
  <c r="CK57"/>
  <c r="CM57"/>
  <c r="CO57"/>
  <c r="CQ57"/>
  <c r="CS57"/>
  <c r="CU57"/>
  <c r="CW57"/>
  <c r="CY57"/>
  <c r="DA57"/>
  <c r="DC57"/>
  <c r="DE57"/>
  <c r="DG57"/>
  <c r="BR35"/>
  <c r="BT34"/>
  <c r="BQ66"/>
  <c r="BU65"/>
  <c r="BY65"/>
  <c r="CC65"/>
  <c r="CG65"/>
  <c r="CK65"/>
  <c r="CO65"/>
  <c r="CS65"/>
  <c r="CW65"/>
  <c r="DA65"/>
  <c r="DE65"/>
  <c r="BR45" i="257"/>
  <c r="BZ45"/>
  <c r="CH45"/>
  <c r="CP45"/>
  <c r="CX45"/>
  <c r="DF45"/>
  <c r="BT38"/>
  <c r="CB38"/>
  <c r="CJ38"/>
  <c r="CR38"/>
  <c r="CZ38"/>
  <c r="BP41"/>
  <c r="BQ43"/>
  <c r="BS39"/>
  <c r="BT41"/>
  <c r="BU43"/>
  <c r="BW39"/>
  <c r="BX41"/>
  <c r="BY43"/>
  <c r="CA39"/>
  <c r="CB41"/>
  <c r="CC43"/>
  <c r="CE39"/>
  <c r="CF41"/>
  <c r="CG43"/>
  <c r="CI39"/>
  <c r="CJ41"/>
  <c r="CK43"/>
  <c r="CM39"/>
  <c r="CN41"/>
  <c r="CO43"/>
  <c r="CQ39"/>
  <c r="CR41"/>
  <c r="CS43"/>
  <c r="CU39"/>
  <c r="CV41"/>
  <c r="CW43"/>
  <c r="CY39"/>
  <c r="CZ41"/>
  <c r="DA43"/>
  <c r="DC39"/>
  <c r="DD41"/>
  <c r="DE43"/>
  <c r="DG39"/>
  <c r="BR32"/>
  <c r="BV32"/>
  <c r="BZ32"/>
  <c r="CD32"/>
  <c r="CH32"/>
  <c r="CL32"/>
  <c r="CP32"/>
  <c r="CT32"/>
  <c r="CX32"/>
  <c r="DB32"/>
  <c r="DF32"/>
  <c r="BQ60"/>
  <c r="BS60"/>
  <c r="BU60"/>
  <c r="BW60"/>
  <c r="BY60"/>
  <c r="CA60"/>
  <c r="CC60"/>
  <c r="CE60"/>
  <c r="CG60"/>
  <c r="CI60"/>
  <c r="CK60"/>
  <c r="CM60"/>
  <c r="CO60"/>
  <c r="CQ60"/>
  <c r="CS60"/>
  <c r="CU60"/>
  <c r="CW60"/>
  <c r="CY60"/>
  <c r="DA60"/>
  <c r="DC60"/>
  <c r="DE60"/>
  <c r="DG60"/>
  <c r="BP35"/>
  <c r="BT36"/>
  <c r="BV35"/>
  <c r="BX35"/>
  <c r="BZ35"/>
  <c r="CB35"/>
  <c r="CD35"/>
  <c r="CF35"/>
  <c r="CH35"/>
  <c r="CJ35"/>
  <c r="CL35"/>
  <c r="CN35"/>
  <c r="CP35"/>
  <c r="CR35"/>
  <c r="CT35"/>
  <c r="CV35"/>
  <c r="CX35"/>
  <c r="CZ35"/>
  <c r="DB35"/>
  <c r="DD35"/>
  <c r="DF35"/>
  <c r="BR65"/>
  <c r="BW65"/>
  <c r="CA65"/>
  <c r="CE65"/>
  <c r="CI65"/>
  <c r="CM65"/>
  <c r="CQ65"/>
  <c r="CU65"/>
  <c r="CY65"/>
  <c r="DC65"/>
  <c r="DG65"/>
  <c r="AY141" i="279"/>
  <c r="AY145"/>
  <c r="AB13" i="263"/>
  <c r="AB41"/>
  <c r="AB50"/>
  <c r="AD16"/>
  <c r="AD36"/>
  <c r="AD48"/>
  <c r="AD60"/>
  <c r="AC15"/>
  <c r="AC35"/>
  <c r="AC43"/>
  <c r="AC26"/>
  <c r="AC59"/>
  <c r="AG19"/>
  <c r="AG34"/>
  <c r="AG42"/>
  <c r="AG60"/>
  <c r="AH15"/>
  <c r="AH35"/>
  <c r="AH43"/>
  <c r="AH60"/>
  <c r="AJ15"/>
  <c r="AJ35"/>
  <c r="AJ46"/>
  <c r="AJ57"/>
  <c r="AK13"/>
  <c r="AK41"/>
  <c r="AK50"/>
  <c r="AE16"/>
  <c r="AE36"/>
  <c r="AE48"/>
  <c r="AE59"/>
  <c r="AF32"/>
  <c r="AF40"/>
  <c r="AF30"/>
  <c r="AI11"/>
  <c r="AI18"/>
  <c r="AI39"/>
  <c r="AI47"/>
  <c r="AI30"/>
  <c r="AS10"/>
  <c r="AS35"/>
  <c r="AS43"/>
  <c r="AS28"/>
  <c r="AS59"/>
  <c r="BD19"/>
  <c r="BD39"/>
  <c r="BD47"/>
  <c r="BD30"/>
  <c r="AB13" i="262"/>
  <c r="AB41"/>
  <c r="AB50"/>
  <c r="AD16"/>
  <c r="AD36"/>
  <c r="AD48"/>
  <c r="AD60"/>
  <c r="AC15"/>
  <c r="AC35"/>
  <c r="AC43"/>
  <c r="AC26"/>
  <c r="AC59"/>
  <c r="AG19"/>
  <c r="AG34"/>
  <c r="AG42"/>
  <c r="AG60"/>
  <c r="AH15"/>
  <c r="AH35"/>
  <c r="AH43"/>
  <c r="AH60"/>
  <c r="AJ15"/>
  <c r="AJ35"/>
  <c r="AJ46"/>
  <c r="AJ57"/>
  <c r="AK13"/>
  <c r="AK41"/>
  <c r="AK50"/>
  <c r="AE16"/>
  <c r="AE36"/>
  <c r="AE48"/>
  <c r="AE59"/>
  <c r="AF32"/>
  <c r="AF40"/>
  <c r="AF30"/>
  <c r="AI11"/>
  <c r="AI18"/>
  <c r="AI39"/>
  <c r="AI47"/>
  <c r="AI30"/>
  <c r="AS10"/>
  <c r="DF27" i="259"/>
  <c r="CE27" i="258"/>
  <c r="CA30" i="248"/>
  <c r="CW28"/>
  <c r="BX27" i="256"/>
  <c r="BT30" i="255"/>
  <c r="CP28"/>
  <c r="CL29" i="257"/>
  <c r="DF29"/>
  <c r="CK22" i="262"/>
  <c r="BQ22" i="260"/>
  <c r="CW22" i="258"/>
  <c r="CA22" i="256"/>
  <c r="CB22" i="255"/>
  <c r="CO21" i="263"/>
  <c r="CS21" i="261"/>
  <c r="CW21" i="259"/>
  <c r="CY21" i="258"/>
  <c r="DA21" i="248"/>
  <c r="DC21" i="256"/>
  <c r="DE21" i="255"/>
  <c r="DG21" i="257"/>
  <c r="CQ19" i="263"/>
  <c r="BZ19" i="261"/>
  <c r="DF19"/>
  <c r="CO18" i="259"/>
  <c r="CE19" i="248"/>
  <c r="CD19" i="255"/>
  <c r="CF16" i="263"/>
  <c r="BY15" i="262"/>
  <c r="DE15"/>
  <c r="CM15" i="261"/>
  <c r="CP16" i="260"/>
  <c r="BX16" i="259"/>
  <c r="DD16"/>
  <c r="CW15" i="258"/>
  <c r="CE15" i="248"/>
  <c r="CH16" i="256"/>
  <c r="CA15" i="255"/>
  <c r="DG15"/>
  <c r="CO15" i="257"/>
  <c r="DG13" i="263"/>
  <c r="CS13" i="261"/>
  <c r="DB13" i="260"/>
  <c r="CN13" i="258"/>
  <c r="BZ13" i="256"/>
  <c r="CI13" i="255"/>
  <c r="BS11" i="263"/>
  <c r="CX10"/>
  <c r="BP11" i="262"/>
  <c r="BY11"/>
  <c r="CO11"/>
  <c r="DE11"/>
  <c r="BX11" i="261"/>
  <c r="CN11"/>
  <c r="DD11"/>
  <c r="CD10" i="260"/>
  <c r="CT10"/>
  <c r="BY10" i="259"/>
  <c r="CO10"/>
  <c r="DE10"/>
  <c r="CC11" i="258"/>
  <c r="CJ10"/>
  <c r="CR10"/>
  <c r="CZ10"/>
  <c r="BW11" i="248"/>
  <c r="CE11"/>
  <c r="CM11"/>
  <c r="CU11"/>
  <c r="DC11"/>
  <c r="BQ11" i="256"/>
  <c r="BY10"/>
  <c r="CG10"/>
  <c r="CO10"/>
  <c r="CW10"/>
  <c r="DE10"/>
  <c r="BR11" i="255"/>
  <c r="BZ11"/>
  <c r="CH11"/>
  <c r="CP11"/>
  <c r="CX11"/>
  <c r="DF11"/>
  <c r="BX10" i="257"/>
  <c r="CF10"/>
  <c r="CN10"/>
  <c r="CV10"/>
  <c r="DD10"/>
  <c r="BS50" i="263"/>
  <c r="BX48"/>
  <c r="CA50"/>
  <c r="CF48"/>
  <c r="CI50"/>
  <c r="CN48"/>
  <c r="CQ50"/>
  <c r="CV48"/>
  <c r="CY50"/>
  <c r="DE47"/>
  <c r="BU46" i="262"/>
  <c r="BX47"/>
  <c r="CC46"/>
  <c r="CF47"/>
  <c r="CK46"/>
  <c r="CN47"/>
  <c r="CS46"/>
  <c r="CV47"/>
  <c r="DA46"/>
  <c r="DD47"/>
  <c r="DF50"/>
  <c r="BV48" i="261"/>
  <c r="BY50"/>
  <c r="CD48"/>
  <c r="CG50"/>
  <c r="CL48"/>
  <c r="CO50"/>
  <c r="CT48"/>
  <c r="CW50"/>
  <c r="DB48"/>
  <c r="DF48"/>
  <c r="BS46" i="260"/>
  <c r="BV47"/>
  <c r="CA46"/>
  <c r="CD47"/>
  <c r="CI46"/>
  <c r="CL47"/>
  <c r="CQ46"/>
  <c r="CT47"/>
  <c r="CY46"/>
  <c r="DB47"/>
  <c r="DF47"/>
  <c r="BV46" i="259"/>
  <c r="BY47"/>
  <c r="CD46"/>
  <c r="CG47"/>
  <c r="CL46"/>
  <c r="CO47"/>
  <c r="CT46"/>
  <c r="CW47"/>
  <c r="DB46"/>
  <c r="DF46"/>
  <c r="BT47" i="258"/>
  <c r="BY46"/>
  <c r="CB47"/>
  <c r="CG46"/>
  <c r="CJ47"/>
  <c r="CO46"/>
  <c r="CR47"/>
  <c r="CW46"/>
  <c r="CZ47"/>
  <c r="DG48"/>
  <c r="BU50" i="248"/>
  <c r="BZ48"/>
  <c r="CC50"/>
  <c r="CH48"/>
  <c r="CK50"/>
  <c r="CP48"/>
  <c r="CS50"/>
  <c r="CX48"/>
  <c r="DA50"/>
  <c r="DE50"/>
  <c r="BU48" i="256"/>
  <c r="BX50"/>
  <c r="CC48"/>
  <c r="CF50"/>
  <c r="CK48"/>
  <c r="CN50"/>
  <c r="CS48"/>
  <c r="CV50"/>
  <c r="DA48"/>
  <c r="DE48"/>
  <c r="BR48" i="255"/>
  <c r="BU47"/>
  <c r="BZ46"/>
  <c r="CC47"/>
  <c r="CH46"/>
  <c r="CK47"/>
  <c r="CP46"/>
  <c r="CS47"/>
  <c r="CX46"/>
  <c r="DA47"/>
  <c r="BS48" i="257"/>
  <c r="BV50"/>
  <c r="CA48"/>
  <c r="CD50"/>
  <c r="CI48"/>
  <c r="CL50"/>
  <c r="CQ48"/>
  <c r="CT50"/>
  <c r="CY48"/>
  <c r="DB50"/>
  <c r="DE46"/>
  <c r="BU45" i="262"/>
  <c r="CK45"/>
  <c r="DA45"/>
  <c r="CE38"/>
  <c r="CU38"/>
  <c r="BP40"/>
  <c r="BT40"/>
  <c r="BX40"/>
  <c r="CB40"/>
  <c r="CF40"/>
  <c r="CJ40"/>
  <c r="CN40"/>
  <c r="CR39"/>
  <c r="CT43"/>
  <c r="CV41"/>
  <c r="CX40"/>
  <c r="CZ39"/>
  <c r="DB43"/>
  <c r="DD41"/>
  <c r="DF40"/>
  <c r="BP32"/>
  <c r="BW32"/>
  <c r="CA32"/>
  <c r="CE32"/>
  <c r="CI32"/>
  <c r="CM32"/>
  <c r="CQ32"/>
  <c r="CU32"/>
  <c r="CY32"/>
  <c r="DC32"/>
  <c r="DG32"/>
  <c r="BQ57"/>
  <c r="BS57"/>
  <c r="BU57"/>
  <c r="BW57"/>
  <c r="BY57"/>
  <c r="CA57"/>
  <c r="CC57"/>
  <c r="CE57"/>
  <c r="CG57"/>
  <c r="CI57"/>
  <c r="CK57"/>
  <c r="CM57"/>
  <c r="CO57"/>
  <c r="CQ57"/>
  <c r="CS57"/>
  <c r="CU57"/>
  <c r="CW57"/>
  <c r="CY57"/>
  <c r="DA57"/>
  <c r="DC57"/>
  <c r="DE57"/>
  <c r="DG57"/>
  <c r="BR35"/>
  <c r="BT34"/>
  <c r="BQ66"/>
  <c r="BU65"/>
  <c r="BY65"/>
  <c r="CC65"/>
  <c r="CG65"/>
  <c r="CK65"/>
  <c r="CO65"/>
  <c r="CS65"/>
  <c r="CW65"/>
  <c r="DA65"/>
  <c r="DE65"/>
  <c r="BS45" i="263"/>
  <c r="CA45"/>
  <c r="CI45"/>
  <c r="CQ45"/>
  <c r="CY45"/>
  <c r="DG45"/>
  <c r="BU38"/>
  <c r="CC38"/>
  <c r="CK38"/>
  <c r="CS38"/>
  <c r="DA38"/>
  <c r="BP42"/>
  <c r="BR42"/>
  <c r="BT42"/>
  <c r="BV42"/>
  <c r="BX42"/>
  <c r="BZ42"/>
  <c r="CB42"/>
  <c r="CD42"/>
  <c r="CF42"/>
  <c r="CH42"/>
  <c r="CJ42"/>
  <c r="CL42"/>
  <c r="CN42"/>
  <c r="CP42"/>
  <c r="CR42"/>
  <c r="CT42"/>
  <c r="CV42"/>
  <c r="CX42"/>
  <c r="CZ42"/>
  <c r="DB42"/>
  <c r="DD42"/>
  <c r="DF42"/>
  <c r="BQ32"/>
  <c r="BQ35"/>
  <c r="BS34"/>
  <c r="BV36"/>
  <c r="BX36"/>
  <c r="BZ36"/>
  <c r="CB36"/>
  <c r="CD36"/>
  <c r="CF36"/>
  <c r="CH36"/>
  <c r="CJ36"/>
  <c r="CL36"/>
  <c r="CN36"/>
  <c r="CP36"/>
  <c r="CR36"/>
  <c r="CT36"/>
  <c r="CV36"/>
  <c r="CX36"/>
  <c r="CZ36"/>
  <c r="DB36"/>
  <c r="DD36"/>
  <c r="DF36"/>
  <c r="BQ65"/>
  <c r="BV65"/>
  <c r="BZ65"/>
  <c r="CD65"/>
  <c r="CH65"/>
  <c r="CL65"/>
  <c r="CP65"/>
  <c r="CT65"/>
  <c r="CX65"/>
  <c r="DB65"/>
  <c r="DF65"/>
  <c r="BQ45" i="261"/>
  <c r="BY45"/>
  <c r="CG45"/>
  <c r="CO45"/>
  <c r="CW45"/>
  <c r="DE45"/>
  <c r="BW38"/>
  <c r="CE38"/>
  <c r="CM38"/>
  <c r="CU38"/>
  <c r="DC38"/>
  <c r="BP40"/>
  <c r="BR40"/>
  <c r="BT40"/>
  <c r="BV40"/>
  <c r="BX40"/>
  <c r="BZ40"/>
  <c r="CB40"/>
  <c r="CD40"/>
  <c r="CF40"/>
  <c r="CH40"/>
  <c r="CJ40"/>
  <c r="CL40"/>
  <c r="CN40"/>
  <c r="CP40"/>
  <c r="CR40"/>
  <c r="CT40"/>
  <c r="CV40"/>
  <c r="CX40"/>
  <c r="CZ40"/>
  <c r="DB40"/>
  <c r="DD40"/>
  <c r="DF40"/>
  <c r="BP59"/>
  <c r="BR59"/>
  <c r="BT59"/>
  <c r="BV59"/>
  <c r="BX59"/>
  <c r="BZ59"/>
  <c r="CB59"/>
  <c r="CD59"/>
  <c r="CF59"/>
  <c r="CH59"/>
  <c r="CJ59"/>
  <c r="CL59"/>
  <c r="CN59"/>
  <c r="CP59"/>
  <c r="CR59"/>
  <c r="CT59"/>
  <c r="CV59"/>
  <c r="CX59"/>
  <c r="CZ59"/>
  <c r="DB59"/>
  <c r="DD59"/>
  <c r="DF59"/>
  <c r="BP34"/>
  <c r="BS36"/>
  <c r="BU34"/>
  <c r="BW34"/>
  <c r="BY34"/>
  <c r="CA34"/>
  <c r="CC34"/>
  <c r="CE34"/>
  <c r="CG34"/>
  <c r="CI34"/>
  <c r="CK34"/>
  <c r="CM34"/>
  <c r="CO34"/>
  <c r="CQ34"/>
  <c r="CS34"/>
  <c r="CU34"/>
  <c r="CW34"/>
  <c r="CY34"/>
  <c r="DA34"/>
  <c r="DC34"/>
  <c r="DE34"/>
  <c r="DG34"/>
  <c r="BS65"/>
  <c r="BU66"/>
  <c r="BY66"/>
  <c r="CC66"/>
  <c r="CG66"/>
  <c r="CK66"/>
  <c r="CO66"/>
  <c r="CS66"/>
  <c r="CW66"/>
  <c r="DA66"/>
  <c r="DE66"/>
  <c r="BW45" i="260"/>
  <c r="CE45"/>
  <c r="CM45"/>
  <c r="CU45"/>
  <c r="DC45"/>
  <c r="BQ38"/>
  <c r="BY38"/>
  <c r="CG38"/>
  <c r="CO38"/>
  <c r="CW38"/>
  <c r="DE38"/>
  <c r="BQ40"/>
  <c r="BS40"/>
  <c r="BU40"/>
  <c r="BW40"/>
  <c r="BY40"/>
  <c r="CA40"/>
  <c r="CC40"/>
  <c r="CE40"/>
  <c r="CG40"/>
  <c r="CI40"/>
  <c r="CK40"/>
  <c r="CM40"/>
  <c r="CO40"/>
  <c r="CQ40"/>
  <c r="CS40"/>
  <c r="CU40"/>
  <c r="CW40"/>
  <c r="CY40"/>
  <c r="DA40"/>
  <c r="DC40"/>
  <c r="DE40"/>
  <c r="DG40"/>
  <c r="BP36"/>
  <c r="BR34"/>
  <c r="BU36"/>
  <c r="BW36"/>
  <c r="BY36"/>
  <c r="CA36"/>
  <c r="CC36"/>
  <c r="CE36"/>
  <c r="CG36"/>
  <c r="CI36"/>
  <c r="CK36"/>
  <c r="CM36"/>
  <c r="CO36"/>
  <c r="CQ36"/>
  <c r="CS36"/>
  <c r="CU36"/>
  <c r="CW36"/>
  <c r="CY36"/>
  <c r="DA36"/>
  <c r="DC36"/>
  <c r="DE36"/>
  <c r="DG36"/>
  <c r="BR66"/>
  <c r="BW66"/>
  <c r="CA66"/>
  <c r="CE66"/>
  <c r="CI66"/>
  <c r="CM66"/>
  <c r="CQ66"/>
  <c r="CU66"/>
  <c r="CY66"/>
  <c r="DC66"/>
  <c r="DG66"/>
  <c r="BU45" i="259"/>
  <c r="CC45"/>
  <c r="CK45"/>
  <c r="CS45"/>
  <c r="DA45"/>
  <c r="BS38"/>
  <c r="CA38"/>
  <c r="CI38"/>
  <c r="CQ38"/>
  <c r="CY38"/>
  <c r="DG38"/>
  <c r="BQ42"/>
  <c r="BS42"/>
  <c r="BU42"/>
  <c r="BW42"/>
  <c r="BY42"/>
  <c r="CA42"/>
  <c r="CC42"/>
  <c r="CE42"/>
  <c r="CG42"/>
  <c r="CI42"/>
  <c r="CK42"/>
  <c r="CM42"/>
  <c r="CO42"/>
  <c r="CQ42"/>
  <c r="CS42"/>
  <c r="CU42"/>
  <c r="CW42"/>
  <c r="DC42"/>
  <c r="BS59"/>
  <c r="CA59"/>
  <c r="CI59"/>
  <c r="CQ59"/>
  <c r="CY59"/>
  <c r="DG59"/>
  <c r="BR36"/>
  <c r="CB34"/>
  <c r="CJ34"/>
  <c r="CR34"/>
  <c r="CZ34"/>
  <c r="BT66"/>
  <c r="CC66"/>
  <c r="CS66"/>
  <c r="CE45" i="258"/>
  <c r="BQ38"/>
  <c r="CW38"/>
  <c r="BS40"/>
  <c r="CA40"/>
  <c r="CI40"/>
  <c r="CQ40"/>
  <c r="CY40"/>
  <c r="DG40"/>
  <c r="BS34"/>
  <c r="BY36"/>
  <c r="CG36"/>
  <c r="CO36"/>
  <c r="CW36"/>
  <c r="DE36"/>
  <c r="BV65"/>
  <c r="CL65"/>
  <c r="DB65"/>
  <c r="BY45" i="248"/>
  <c r="DE45"/>
  <c r="CQ38"/>
  <c r="BR40"/>
  <c r="BZ40"/>
  <c r="CH40"/>
  <c r="CP40"/>
  <c r="CX40"/>
  <c r="DF40"/>
  <c r="BW59"/>
  <c r="CE59"/>
  <c r="CM59"/>
  <c r="CU59"/>
  <c r="DC59"/>
  <c r="BP34"/>
  <c r="BX34"/>
  <c r="CF34"/>
  <c r="CN34"/>
  <c r="CV34"/>
  <c r="DD34"/>
  <c r="BX65"/>
  <c r="CN65"/>
  <c r="DD65"/>
  <c r="CU45" i="256"/>
  <c r="CG38"/>
  <c r="BP42"/>
  <c r="BX42"/>
  <c r="CF42"/>
  <c r="CN42"/>
  <c r="CV42"/>
  <c r="DD42"/>
  <c r="BQ32"/>
  <c r="BU36"/>
  <c r="CC36"/>
  <c r="CK36"/>
  <c r="CS36"/>
  <c r="DA36"/>
  <c r="BQ65"/>
  <c r="CA66"/>
  <c r="CQ66"/>
  <c r="DG66"/>
  <c r="CO45" i="255"/>
  <c r="CA38"/>
  <c r="DG38"/>
  <c r="BW42"/>
  <c r="CE42"/>
  <c r="CM42"/>
  <c r="CU42"/>
  <c r="DC42"/>
  <c r="BS59"/>
  <c r="CA59"/>
  <c r="CI59"/>
  <c r="CQ59"/>
  <c r="CY59"/>
  <c r="DG59"/>
  <c r="BR36"/>
  <c r="CB34"/>
  <c r="CJ34"/>
  <c r="CR34"/>
  <c r="CZ34"/>
  <c r="BT66"/>
  <c r="CC66"/>
  <c r="CS66"/>
  <c r="CE45" i="257"/>
  <c r="BQ38"/>
  <c r="CW38"/>
  <c r="BS40"/>
  <c r="CA40"/>
  <c r="CI40"/>
  <c r="CQ40"/>
  <c r="CY40"/>
  <c r="DG40"/>
  <c r="BS34"/>
  <c r="BY36"/>
  <c r="CG36"/>
  <c r="CO36"/>
  <c r="CW36"/>
  <c r="DE36"/>
  <c r="BV65"/>
  <c r="CL65"/>
  <c r="DB65"/>
  <c r="AB19" i="263"/>
  <c r="AB57"/>
  <c r="AC16"/>
  <c r="AG15"/>
  <c r="AH36"/>
  <c r="AJ47"/>
  <c r="AK46"/>
  <c r="AE21"/>
  <c r="AE60"/>
  <c r="AF45"/>
  <c r="AI60"/>
  <c r="AS60"/>
  <c r="BD40"/>
  <c r="AB46" i="262"/>
  <c r="AD21"/>
  <c r="AC60"/>
  <c r="AG43"/>
  <c r="AH40"/>
  <c r="AJ26"/>
  <c r="AK34"/>
  <c r="AE50"/>
  <c r="AF50"/>
  <c r="AI32"/>
  <c r="AI48"/>
  <c r="AS34"/>
  <c r="AS43"/>
  <c r="AS28"/>
  <c r="AS59"/>
  <c r="BD19"/>
  <c r="BD39"/>
  <c r="BD47"/>
  <c r="BD30"/>
  <c r="AB13" i="261"/>
  <c r="AB41"/>
  <c r="AB50"/>
  <c r="AD16"/>
  <c r="AD36"/>
  <c r="AD48"/>
  <c r="AD60"/>
  <c r="AC15"/>
  <c r="AC35"/>
  <c r="AC43"/>
  <c r="AC26"/>
  <c r="AC59"/>
  <c r="AG19"/>
  <c r="AG34"/>
  <c r="AG42"/>
  <c r="AG60"/>
  <c r="AH15"/>
  <c r="AH35"/>
  <c r="AH43"/>
  <c r="AH60"/>
  <c r="AJ15"/>
  <c r="AJ35"/>
  <c r="AJ46"/>
  <c r="AJ57"/>
  <c r="AK13"/>
  <c r="AK41"/>
  <c r="AK50"/>
  <c r="AE16"/>
  <c r="AE36"/>
  <c r="AE48"/>
  <c r="AE59"/>
  <c r="AF32"/>
  <c r="AF40"/>
  <c r="AF30"/>
  <c r="AI11"/>
  <c r="AI18"/>
  <c r="AI39"/>
  <c r="AI47"/>
  <c r="AI30"/>
  <c r="AS10"/>
  <c r="AS35"/>
  <c r="AS43"/>
  <c r="AS28"/>
  <c r="AS59"/>
  <c r="BD19"/>
  <c r="BD39"/>
  <c r="BD47"/>
  <c r="BD30"/>
  <c r="AB13" i="260"/>
  <c r="AB41"/>
  <c r="AB50"/>
  <c r="AD16"/>
  <c r="AD36"/>
  <c r="AD48"/>
  <c r="AD60"/>
  <c r="AC15"/>
  <c r="AC35"/>
  <c r="AC43"/>
  <c r="AC26"/>
  <c r="AC59"/>
  <c r="AG19"/>
  <c r="AG34"/>
  <c r="AG42"/>
  <c r="AG60"/>
  <c r="AH15"/>
  <c r="AH35"/>
  <c r="AH43"/>
  <c r="AH60"/>
  <c r="AJ15"/>
  <c r="AJ35"/>
  <c r="AJ46"/>
  <c r="AJ57"/>
  <c r="AK13"/>
  <c r="AK41"/>
  <c r="AK50"/>
  <c r="AE16"/>
  <c r="AE36"/>
  <c r="AE48"/>
  <c r="AE59"/>
  <c r="AF32"/>
  <c r="AF40"/>
  <c r="AF30"/>
  <c r="AI11"/>
  <c r="AI18"/>
  <c r="AI39"/>
  <c r="AI47"/>
  <c r="AI30"/>
  <c r="AS10"/>
  <c r="AS35"/>
  <c r="AS43"/>
  <c r="AS28"/>
  <c r="AS59"/>
  <c r="BD19"/>
  <c r="BD39"/>
  <c r="BD47"/>
  <c r="BD30"/>
  <c r="AB13" i="259"/>
  <c r="AB41"/>
  <c r="AB50"/>
  <c r="AD16"/>
  <c r="AD36"/>
  <c r="AD48"/>
  <c r="AD60"/>
  <c r="AC15"/>
  <c r="AC35"/>
  <c r="AC43"/>
  <c r="AC26"/>
  <c r="AC59"/>
  <c r="AG19"/>
  <c r="AG34"/>
  <c r="AG42"/>
  <c r="AG60"/>
  <c r="AH15"/>
  <c r="AH35"/>
  <c r="AH43"/>
  <c r="AH60"/>
  <c r="AJ15"/>
  <c r="AJ35"/>
  <c r="AJ46"/>
  <c r="AJ57"/>
  <c r="AK13"/>
  <c r="AK41"/>
  <c r="AK50"/>
  <c r="AE16"/>
  <c r="AE36"/>
  <c r="AE48"/>
  <c r="AE59"/>
  <c r="AF32"/>
  <c r="AF40"/>
  <c r="AF30"/>
  <c r="AI11"/>
  <c r="AI18"/>
  <c r="AI39"/>
  <c r="AI47"/>
  <c r="AI30"/>
  <c r="AS10"/>
  <c r="AS35"/>
  <c r="AS43"/>
  <c r="AS28"/>
  <c r="AS59"/>
  <c r="BD19"/>
  <c r="BD39"/>
  <c r="BD47"/>
  <c r="BD30"/>
  <c r="AB13" i="258"/>
  <c r="AB41"/>
  <c r="AB50"/>
  <c r="AD16"/>
  <c r="AD36"/>
  <c r="AD48"/>
  <c r="AD60"/>
  <c r="AC15"/>
  <c r="AC35"/>
  <c r="AC43"/>
  <c r="AC26"/>
  <c r="AC59"/>
  <c r="AG19"/>
  <c r="AG34"/>
  <c r="AG42"/>
  <c r="AG60"/>
  <c r="AH15"/>
  <c r="DA42" i="259"/>
  <c r="BP59"/>
  <c r="BX59"/>
  <c r="CF59"/>
  <c r="CN59"/>
  <c r="CV59"/>
  <c r="DD59"/>
  <c r="BU34"/>
  <c r="CC34"/>
  <c r="CK34"/>
  <c r="CS34"/>
  <c r="DA34"/>
  <c r="BP66"/>
  <c r="CJ65"/>
  <c r="CZ65"/>
  <c r="BS45" i="258"/>
  <c r="CY45"/>
  <c r="CK38"/>
  <c r="BQ40"/>
  <c r="BY40"/>
  <c r="CG40"/>
  <c r="CO40"/>
  <c r="CW40"/>
  <c r="DE40"/>
  <c r="BV36"/>
  <c r="CD36"/>
  <c r="CL36"/>
  <c r="CT36"/>
  <c r="DB36"/>
  <c r="BR66"/>
  <c r="CH65"/>
  <c r="CX65"/>
  <c r="CC45" i="248"/>
  <c r="CE38"/>
  <c r="BP40"/>
  <c r="BX40"/>
  <c r="CF40"/>
  <c r="CN40"/>
  <c r="CV40"/>
  <c r="DD40"/>
  <c r="BT59"/>
  <c r="CB59"/>
  <c r="CJ59"/>
  <c r="CR59"/>
  <c r="CZ59"/>
  <c r="BS36"/>
  <c r="BY34"/>
  <c r="CG34"/>
  <c r="CO34"/>
  <c r="CW34"/>
  <c r="DE34"/>
  <c r="BY66"/>
  <c r="CO66"/>
  <c r="DE66"/>
  <c r="CI45" i="256"/>
  <c r="BU38"/>
  <c r="DA38"/>
  <c r="BV42"/>
  <c r="CD42"/>
  <c r="CL42"/>
  <c r="CT42"/>
  <c r="DB42"/>
  <c r="BQ35"/>
  <c r="BZ36"/>
  <c r="CH36"/>
  <c r="CP36"/>
  <c r="CX36"/>
  <c r="DF36"/>
  <c r="BW66"/>
  <c r="CM66"/>
  <c r="DC66"/>
  <c r="CS45" i="255"/>
  <c r="CU38"/>
  <c r="BU42"/>
  <c r="CC42"/>
  <c r="CK42"/>
  <c r="CS42"/>
  <c r="DA42"/>
  <c r="BP59"/>
  <c r="BX59"/>
  <c r="CF59"/>
  <c r="CN59"/>
  <c r="CV59"/>
  <c r="DD59"/>
  <c r="BU34"/>
  <c r="CC34"/>
  <c r="CK34"/>
  <c r="CS34"/>
  <c r="DA34"/>
  <c r="BP66"/>
  <c r="CJ65"/>
  <c r="CZ65"/>
  <c r="BS45" i="257"/>
  <c r="CY45"/>
  <c r="CK38"/>
  <c r="BQ40"/>
  <c r="BY40"/>
  <c r="CG40"/>
  <c r="CO40"/>
  <c r="CW40"/>
  <c r="DE40"/>
  <c r="BV36"/>
  <c r="CD36"/>
  <c r="CL36"/>
  <c r="CT36"/>
  <c r="DB36"/>
  <c r="BR66"/>
  <c r="CH65"/>
  <c r="CX65"/>
  <c r="AB22" i="263"/>
  <c r="AB65"/>
  <c r="AD45"/>
  <c r="AG18"/>
  <c r="AH16"/>
  <c r="AJ36"/>
  <c r="AK10"/>
  <c r="AE50"/>
  <c r="AI32"/>
  <c r="AS32"/>
  <c r="BD18"/>
  <c r="AB10" i="262"/>
  <c r="AD50"/>
  <c r="AC48"/>
  <c r="AJ16"/>
  <c r="AK38"/>
  <c r="AE11"/>
  <c r="AE35"/>
  <c r="AE26"/>
  <c r="U65"/>
  <c r="AF18"/>
  <c r="AF43"/>
  <c r="AF57"/>
  <c r="AI19"/>
  <c r="AI42"/>
  <c r="AS15"/>
  <c r="AS35"/>
  <c r="AS48"/>
  <c r="AS60"/>
  <c r="BD15"/>
  <c r="BD32"/>
  <c r="BD40"/>
  <c r="BD27"/>
  <c r="AB10" i="261"/>
  <c r="AB22"/>
  <c r="AB38"/>
  <c r="AB46"/>
  <c r="AB57"/>
  <c r="AD13"/>
  <c r="AD41"/>
  <c r="AD50"/>
  <c r="AC16"/>
  <c r="AC36"/>
  <c r="AC48"/>
  <c r="AC60"/>
  <c r="AG15"/>
  <c r="AG35"/>
  <c r="AG43"/>
  <c r="AG26"/>
  <c r="AH32"/>
  <c r="AH40"/>
  <c r="AJ16"/>
  <c r="AJ36"/>
  <c r="AJ47"/>
  <c r="AJ30"/>
  <c r="AK10"/>
  <c r="AK22"/>
  <c r="AK38"/>
  <c r="AK46"/>
  <c r="AK57"/>
  <c r="AE13"/>
  <c r="AE41"/>
  <c r="AE50"/>
  <c r="AE60"/>
  <c r="AF21"/>
  <c r="AF45"/>
  <c r="AF28"/>
  <c r="AI16"/>
  <c r="AI36"/>
  <c r="AI48"/>
  <c r="AI60"/>
  <c r="AS15"/>
  <c r="AS32"/>
  <c r="AS40"/>
  <c r="AS27"/>
  <c r="BD11"/>
  <c r="BD18"/>
  <c r="BD36"/>
  <c r="BD48"/>
  <c r="BD60"/>
  <c r="AB19" i="260"/>
  <c r="AB34"/>
  <c r="AB42"/>
  <c r="AB29"/>
  <c r="AB65"/>
  <c r="AD21"/>
  <c r="AD45"/>
  <c r="AD28"/>
  <c r="AC32"/>
  <c r="AC40"/>
  <c r="AC27"/>
  <c r="AG11"/>
  <c r="AG18"/>
  <c r="AG39"/>
  <c r="AG47"/>
  <c r="AH16"/>
  <c r="AH36"/>
  <c r="AH48"/>
  <c r="AJ32"/>
  <c r="AJ43"/>
  <c r="AJ26"/>
  <c r="AJ59"/>
  <c r="AK19"/>
  <c r="AK34"/>
  <c r="AK42"/>
  <c r="AK29"/>
  <c r="AK65"/>
  <c r="AE21"/>
  <c r="AE45"/>
  <c r="AE28"/>
  <c r="AF13"/>
  <c r="AF41"/>
  <c r="AF50"/>
  <c r="AF60"/>
  <c r="AI32"/>
  <c r="AI40"/>
  <c r="AI27"/>
  <c r="AS11"/>
  <c r="AS18"/>
  <c r="AS36"/>
  <c r="AS48"/>
  <c r="AS60"/>
  <c r="BD15"/>
  <c r="BD32"/>
  <c r="BD40"/>
  <c r="BD27"/>
  <c r="AB10" i="259"/>
  <c r="AB22"/>
  <c r="AB38"/>
  <c r="AB46"/>
  <c r="AB57"/>
  <c r="AD13"/>
  <c r="AD41"/>
  <c r="AD50"/>
  <c r="AC16"/>
  <c r="AC36"/>
  <c r="AC48"/>
  <c r="AC60"/>
  <c r="AG15"/>
  <c r="AG35"/>
  <c r="AG43"/>
  <c r="AG26"/>
  <c r="AH32"/>
  <c r="AH40"/>
  <c r="AJ16"/>
  <c r="AJ36"/>
  <c r="AJ47"/>
  <c r="AJ30"/>
  <c r="AK10"/>
  <c r="AK22"/>
  <c r="AK38"/>
  <c r="AK46"/>
  <c r="AK57"/>
  <c r="AE13"/>
  <c r="AE41"/>
  <c r="AE50"/>
  <c r="AE60"/>
  <c r="AF21"/>
  <c r="AF45"/>
  <c r="AF28"/>
  <c r="AI16"/>
  <c r="AI36"/>
  <c r="AI48"/>
  <c r="AI60"/>
  <c r="AS15"/>
  <c r="AS32"/>
  <c r="AS40"/>
  <c r="AS27"/>
  <c r="BD11"/>
  <c r="BD18"/>
  <c r="BD36"/>
  <c r="BD48"/>
  <c r="BD60"/>
  <c r="AB19" i="258"/>
  <c r="AB34"/>
  <c r="AB42"/>
  <c r="AB29"/>
  <c r="AB65"/>
  <c r="AD21"/>
  <c r="AD45"/>
  <c r="AD28"/>
  <c r="AC32"/>
  <c r="AC40"/>
  <c r="AC27"/>
  <c r="AG11"/>
  <c r="AG18"/>
  <c r="AG39"/>
  <c r="AG47"/>
  <c r="AH16"/>
  <c r="AH36"/>
  <c r="AH48"/>
  <c r="AJ32"/>
  <c r="AJ43"/>
  <c r="AJ26"/>
  <c r="AJ59"/>
  <c r="AK19"/>
  <c r="AK34"/>
  <c r="AK42"/>
  <c r="AK29"/>
  <c r="AK65"/>
  <c r="AE21"/>
  <c r="AE45"/>
  <c r="AE28"/>
  <c r="AF13"/>
  <c r="AF41"/>
  <c r="AF50"/>
  <c r="AF60"/>
  <c r="AI32"/>
  <c r="AI40"/>
  <c r="AI27"/>
  <c r="AS11"/>
  <c r="AS18"/>
  <c r="AS36"/>
  <c r="AS48"/>
  <c r="AS60"/>
  <c r="BD15"/>
  <c r="BD32"/>
  <c r="BD40"/>
  <c r="BD27"/>
  <c r="AB10" i="248"/>
  <c r="AB22"/>
  <c r="AB38"/>
  <c r="AB46"/>
  <c r="AB57"/>
  <c r="AD13"/>
  <c r="AD41"/>
  <c r="AD50"/>
  <c r="AC16"/>
  <c r="AC36"/>
  <c r="AC48"/>
  <c r="AC60"/>
  <c r="AG15"/>
  <c r="AG35"/>
  <c r="AG43"/>
  <c r="AG26"/>
  <c r="AH32"/>
  <c r="AH40"/>
  <c r="AJ16"/>
  <c r="AJ36"/>
  <c r="AJ47"/>
  <c r="AJ30"/>
  <c r="AK10"/>
  <c r="AK22"/>
  <c r="AK38"/>
  <c r="AK46"/>
  <c r="AK57"/>
  <c r="AE13"/>
  <c r="AE41"/>
  <c r="AE50"/>
  <c r="AE60"/>
  <c r="AF21"/>
  <c r="AF45"/>
  <c r="AF28"/>
  <c r="AI16"/>
  <c r="AI36"/>
  <c r="AI48"/>
  <c r="AI60"/>
  <c r="AS15"/>
  <c r="AS32"/>
  <c r="AS40"/>
  <c r="AS27"/>
  <c r="BD11"/>
  <c r="BD18"/>
  <c r="BD36"/>
  <c r="BD48"/>
  <c r="BD60"/>
  <c r="AB19" i="256"/>
  <c r="AB34"/>
  <c r="AB42"/>
  <c r="AB29"/>
  <c r="AB65"/>
  <c r="AD21"/>
  <c r="AD45"/>
  <c r="AD28"/>
  <c r="AC32"/>
  <c r="AC40"/>
  <c r="AC27"/>
  <c r="AG11"/>
  <c r="AG18"/>
  <c r="AG39"/>
  <c r="AG47"/>
  <c r="AH16"/>
  <c r="AH36"/>
  <c r="AH48"/>
  <c r="AJ32"/>
  <c r="AJ43"/>
  <c r="AJ26"/>
  <c r="AJ59"/>
  <c r="AK19"/>
  <c r="AK34"/>
  <c r="AK42"/>
  <c r="AK29"/>
  <c r="AK65"/>
  <c r="AE21"/>
  <c r="AE45"/>
  <c r="AE28"/>
  <c r="AF13"/>
  <c r="AF41"/>
  <c r="AF50"/>
  <c r="AF60"/>
  <c r="AI32"/>
  <c r="AI40"/>
  <c r="AI27"/>
  <c r="AS11"/>
  <c r="AS18"/>
  <c r="AS36"/>
  <c r="AS48"/>
  <c r="AS60"/>
  <c r="BD15"/>
  <c r="BD32"/>
  <c r="BD40"/>
  <c r="BD27"/>
  <c r="AB10" i="255"/>
  <c r="AB22"/>
  <c r="AB38"/>
  <c r="AB46"/>
  <c r="AB57"/>
  <c r="AD13"/>
  <c r="AD41"/>
  <c r="AD50"/>
  <c r="AC16"/>
  <c r="AC36"/>
  <c r="AC48"/>
  <c r="AC60"/>
  <c r="AG15"/>
  <c r="AG35"/>
  <c r="AG43"/>
  <c r="AG26"/>
  <c r="AH32"/>
  <c r="AH40"/>
  <c r="AJ16"/>
  <c r="AJ36"/>
  <c r="AJ47"/>
  <c r="AJ30"/>
  <c r="AK10"/>
  <c r="AK22"/>
  <c r="AK38"/>
  <c r="AK46"/>
  <c r="AK57"/>
  <c r="AE13"/>
  <c r="AE41"/>
  <c r="AE50"/>
  <c r="AE60"/>
  <c r="AF21"/>
  <c r="AF45"/>
  <c r="AF28"/>
  <c r="AI16"/>
  <c r="AI36"/>
  <c r="AI48"/>
  <c r="AI60"/>
  <c r="AS15"/>
  <c r="AS32"/>
  <c r="AS40"/>
  <c r="AS27"/>
  <c r="BD11"/>
  <c r="BD18"/>
  <c r="BD36"/>
  <c r="BD48"/>
  <c r="BD60"/>
  <c r="AB21" i="257"/>
  <c r="AB45"/>
  <c r="AB28"/>
  <c r="AD32"/>
  <c r="AD40"/>
  <c r="AD27"/>
  <c r="AC11"/>
  <c r="AC18"/>
  <c r="AC39"/>
  <c r="AC47"/>
  <c r="AC30"/>
  <c r="AG10"/>
  <c r="AG22"/>
  <c r="AG38"/>
  <c r="AG46"/>
  <c r="AH11"/>
  <c r="AH18"/>
  <c r="AH39"/>
  <c r="AH47"/>
  <c r="AH60"/>
  <c r="AJ15"/>
  <c r="AJ35"/>
  <c r="AJ46"/>
  <c r="AJ57"/>
  <c r="AK13"/>
  <c r="AK41"/>
  <c r="AK50"/>
  <c r="AE16"/>
  <c r="AE36"/>
  <c r="AE48"/>
  <c r="AE59"/>
  <c r="AF32"/>
  <c r="AF40"/>
  <c r="AF30"/>
  <c r="AI11"/>
  <c r="AI18"/>
  <c r="AI39"/>
  <c r="AI47"/>
  <c r="AI30"/>
  <c r="AS10"/>
  <c r="AS35"/>
  <c r="AS43"/>
  <c r="AS28"/>
  <c r="AS59"/>
  <c r="BD19"/>
  <c r="BD39"/>
  <c r="BD47"/>
  <c r="BD30"/>
  <c r="BH351" i="280"/>
  <c r="BD351"/>
  <c r="AY351"/>
  <c r="BG280" i="279"/>
  <c r="BC280"/>
  <c r="CY42" i="259"/>
  <c r="DG42"/>
  <c r="BU59"/>
  <c r="CC59"/>
  <c r="CK59"/>
  <c r="CS59"/>
  <c r="DA59"/>
  <c r="BV34"/>
  <c r="CD34"/>
  <c r="CL34"/>
  <c r="CT34"/>
  <c r="DB34"/>
  <c r="BU66"/>
  <c r="CK66"/>
  <c r="DA66"/>
  <c r="CM45" i="258"/>
  <c r="BY38"/>
  <c r="DE38"/>
  <c r="BW40"/>
  <c r="CE40"/>
  <c r="CM40"/>
  <c r="CU40"/>
  <c r="DC40"/>
  <c r="CA36"/>
  <c r="CI36"/>
  <c r="CQ36"/>
  <c r="CY36"/>
  <c r="DG36"/>
  <c r="CI66"/>
  <c r="CY66"/>
  <c r="CG45" i="248"/>
  <c r="BS38"/>
  <c r="CY38"/>
  <c r="BV40"/>
  <c r="CD40"/>
  <c r="CL40"/>
  <c r="CT40"/>
  <c r="DB40"/>
  <c r="BQ59"/>
  <c r="BY59"/>
  <c r="CG59"/>
  <c r="CO59"/>
  <c r="CW59"/>
  <c r="DE59"/>
  <c r="BZ34"/>
  <c r="CH34"/>
  <c r="CP34"/>
  <c r="CX34"/>
  <c r="DF34"/>
  <c r="CF65"/>
  <c r="CV65"/>
  <c r="BW45" i="256"/>
  <c r="DC45"/>
  <c r="CO38"/>
  <c r="BT42"/>
  <c r="CB42"/>
  <c r="CJ42"/>
  <c r="CR42"/>
  <c r="CZ42"/>
  <c r="BW36"/>
  <c r="CE36"/>
  <c r="CM36"/>
  <c r="CU36"/>
  <c r="DC36"/>
  <c r="CD65"/>
  <c r="CT65"/>
  <c r="BQ45" i="255"/>
  <c r="CW45"/>
  <c r="CI38"/>
  <c r="BS42"/>
  <c r="CA42"/>
  <c r="CI42"/>
  <c r="CQ42"/>
  <c r="CY42"/>
  <c r="DG42"/>
  <c r="BU59"/>
  <c r="CC59"/>
  <c r="CK59"/>
  <c r="CS59"/>
  <c r="DA59"/>
  <c r="BV34"/>
  <c r="CD34"/>
  <c r="CL34"/>
  <c r="CT34"/>
  <c r="DB34"/>
  <c r="BU66"/>
  <c r="CK66"/>
  <c r="DA66"/>
  <c r="CM45" i="257"/>
  <c r="BY38"/>
  <c r="DE38"/>
  <c r="BW40"/>
  <c r="CE40"/>
  <c r="CM40"/>
  <c r="CU40"/>
  <c r="DC40"/>
  <c r="CA36"/>
  <c r="CI36"/>
  <c r="CQ36"/>
  <c r="CY36"/>
  <c r="DG36"/>
  <c r="CI66"/>
  <c r="CY66"/>
  <c r="AB34" i="263"/>
  <c r="AC32"/>
  <c r="AG47"/>
  <c r="AJ30"/>
  <c r="AK29"/>
  <c r="AE28"/>
  <c r="AF28"/>
  <c r="AI27"/>
  <c r="AS36"/>
  <c r="BD32"/>
  <c r="AB38" i="262"/>
  <c r="AD13"/>
  <c r="AC36"/>
  <c r="AG11"/>
  <c r="AG26"/>
  <c r="AH48"/>
  <c r="AJ59"/>
  <c r="AK42"/>
  <c r="AE13"/>
  <c r="AE45"/>
  <c r="AE60"/>
  <c r="AF21"/>
  <c r="AF28"/>
  <c r="AI36"/>
  <c r="AI60"/>
  <c r="AS36"/>
  <c r="AS45"/>
  <c r="AS26"/>
  <c r="BD41"/>
  <c r="BD50"/>
  <c r="AB11" i="261"/>
  <c r="AB18"/>
  <c r="AB39"/>
  <c r="AB47"/>
  <c r="AB30"/>
  <c r="AD10"/>
  <c r="AD22"/>
  <c r="AD38"/>
  <c r="AD46"/>
  <c r="AD57"/>
  <c r="AC13"/>
  <c r="AC41"/>
  <c r="AC50"/>
  <c r="AG16"/>
  <c r="AG36"/>
  <c r="AG48"/>
  <c r="AG65"/>
  <c r="AH21"/>
  <c r="AH45"/>
  <c r="AH57"/>
  <c r="AJ13"/>
  <c r="AJ48"/>
  <c r="AJ60"/>
  <c r="AK15"/>
  <c r="AK35"/>
  <c r="AK43"/>
  <c r="AK26"/>
  <c r="AK59"/>
  <c r="AE19"/>
  <c r="AE34"/>
  <c r="AE42"/>
  <c r="T65"/>
  <c r="AF19"/>
  <c r="AF34"/>
  <c r="AF42"/>
  <c r="AI13"/>
  <c r="AI41"/>
  <c r="AI50"/>
  <c r="AS16"/>
  <c r="AS45"/>
  <c r="AS26"/>
  <c r="BD41"/>
  <c r="BD50"/>
  <c r="AB11" i="260"/>
  <c r="AB18"/>
  <c r="AB39"/>
  <c r="AB47"/>
  <c r="AB30"/>
  <c r="AD10"/>
  <c r="AD22"/>
  <c r="AD38"/>
  <c r="AD46"/>
  <c r="AD57"/>
  <c r="AC13"/>
  <c r="AC41"/>
  <c r="AC50"/>
  <c r="AG16"/>
  <c r="AG36"/>
  <c r="AG48"/>
  <c r="AG65"/>
  <c r="AH21"/>
  <c r="AH45"/>
  <c r="AH57"/>
  <c r="AJ13"/>
  <c r="AJ48"/>
  <c r="AJ60"/>
  <c r="AK15"/>
  <c r="AK35"/>
  <c r="AK43"/>
  <c r="AK26"/>
  <c r="AK59"/>
  <c r="AE19"/>
  <c r="AE34"/>
  <c r="AE42"/>
  <c r="T65"/>
  <c r="AF19"/>
  <c r="AF34"/>
  <c r="AF42"/>
  <c r="AI13"/>
  <c r="AI41"/>
  <c r="AI50"/>
  <c r="AS16"/>
  <c r="AS45"/>
  <c r="AS26"/>
  <c r="BD41"/>
  <c r="BD50"/>
  <c r="AB11" i="259"/>
  <c r="AB18"/>
  <c r="AB39"/>
  <c r="AB47"/>
  <c r="AB30"/>
  <c r="AD10"/>
  <c r="AD22"/>
  <c r="AD38"/>
  <c r="AD46"/>
  <c r="AD57"/>
  <c r="AC13"/>
  <c r="AC41"/>
  <c r="AC50"/>
  <c r="AG16"/>
  <c r="AG36"/>
  <c r="AG48"/>
  <c r="AG65"/>
  <c r="AH21"/>
  <c r="AH45"/>
  <c r="AH57"/>
  <c r="AJ13"/>
  <c r="AJ48"/>
  <c r="AJ60"/>
  <c r="AK15"/>
  <c r="AK35"/>
  <c r="AK43"/>
  <c r="AK26"/>
  <c r="AK59"/>
  <c r="AE19"/>
  <c r="AE34"/>
  <c r="AE42"/>
  <c r="T65"/>
  <c r="AF19"/>
  <c r="AF34"/>
  <c r="AF42"/>
  <c r="AI13"/>
  <c r="AI41"/>
  <c r="AI50"/>
  <c r="AS16"/>
  <c r="AS45"/>
  <c r="AS26"/>
  <c r="BD41"/>
  <c r="BD50"/>
  <c r="AB11" i="258"/>
  <c r="AB18"/>
  <c r="AB39"/>
  <c r="AB47"/>
  <c r="AB30"/>
  <c r="AD10"/>
  <c r="AD22"/>
  <c r="AD38"/>
  <c r="AD46"/>
  <c r="AD57"/>
  <c r="AC13"/>
  <c r="AC41"/>
  <c r="AC50"/>
  <c r="AG16"/>
  <c r="AG36"/>
  <c r="AG48"/>
  <c r="AG65"/>
  <c r="AH21"/>
  <c r="AH45"/>
  <c r="AH57"/>
  <c r="AJ13"/>
  <c r="AJ48"/>
  <c r="AJ60"/>
  <c r="AK15"/>
  <c r="AK35"/>
  <c r="AK43"/>
  <c r="AK26"/>
  <c r="AK59"/>
  <c r="AE19"/>
  <c r="AE34"/>
  <c r="AE42"/>
  <c r="T65"/>
  <c r="AF19"/>
  <c r="AF34"/>
  <c r="AF42"/>
  <c r="AI13"/>
  <c r="AI41"/>
  <c r="AI50"/>
  <c r="AS16"/>
  <c r="AS45"/>
  <c r="AS26"/>
  <c r="BD41"/>
  <c r="BD50"/>
  <c r="AB11" i="248"/>
  <c r="AB18"/>
  <c r="AB39"/>
  <c r="AB47"/>
  <c r="AB30"/>
  <c r="AD10"/>
  <c r="AD22"/>
  <c r="AD38"/>
  <c r="AD46"/>
  <c r="AD57"/>
  <c r="AC13"/>
  <c r="AC41"/>
  <c r="AC50"/>
  <c r="AG16"/>
  <c r="AG36"/>
  <c r="AG48"/>
  <c r="AG65"/>
  <c r="AH21"/>
  <c r="AH45"/>
  <c r="AH57"/>
  <c r="AJ13"/>
  <c r="AJ48"/>
  <c r="AJ60"/>
  <c r="AK15"/>
  <c r="AK35"/>
  <c r="AK43"/>
  <c r="AK26"/>
  <c r="AK59"/>
  <c r="AE19"/>
  <c r="AE34"/>
  <c r="AE42"/>
  <c r="T65"/>
  <c r="AF19"/>
  <c r="AF34"/>
  <c r="AF42"/>
  <c r="AI13"/>
  <c r="AI41"/>
  <c r="AI50"/>
  <c r="AS16"/>
  <c r="AS45"/>
  <c r="AS26"/>
  <c r="BD41"/>
  <c r="BD50"/>
  <c r="AB11" i="256"/>
  <c r="AB18"/>
  <c r="AB39"/>
  <c r="AB47"/>
  <c r="AB30"/>
  <c r="AD10"/>
  <c r="AD22"/>
  <c r="AD38"/>
  <c r="AD46"/>
  <c r="AD57"/>
  <c r="AC13"/>
  <c r="AC41"/>
  <c r="AC50"/>
  <c r="AG16"/>
  <c r="AG36"/>
  <c r="AG48"/>
  <c r="AG65"/>
  <c r="AH21"/>
  <c r="AH45"/>
  <c r="AH57"/>
  <c r="AJ13"/>
  <c r="AJ48"/>
  <c r="AJ60"/>
  <c r="AK15"/>
  <c r="AK35"/>
  <c r="AK43"/>
  <c r="AK26"/>
  <c r="AK59"/>
  <c r="AE19"/>
  <c r="AE34"/>
  <c r="AE42"/>
  <c r="T65"/>
  <c r="AF19"/>
  <c r="AF34"/>
  <c r="AF42"/>
  <c r="AI13"/>
  <c r="AI41"/>
  <c r="AI50"/>
  <c r="AS16"/>
  <c r="AS45"/>
  <c r="AS26"/>
  <c r="BD41"/>
  <c r="BD50"/>
  <c r="AB11" i="255"/>
  <c r="AB18"/>
  <c r="AB39"/>
  <c r="AB47"/>
  <c r="AB30"/>
  <c r="AD10"/>
  <c r="AD22"/>
  <c r="AD38"/>
  <c r="AD46"/>
  <c r="AD57"/>
  <c r="AC13"/>
  <c r="AC41"/>
  <c r="AC50"/>
  <c r="AG16"/>
  <c r="AG36"/>
  <c r="AG48"/>
  <c r="AG65"/>
  <c r="AH21"/>
  <c r="AH45"/>
  <c r="AH57"/>
  <c r="AJ13"/>
  <c r="AJ48"/>
  <c r="AJ60"/>
  <c r="AK15"/>
  <c r="AK35"/>
  <c r="AK43"/>
  <c r="AK26"/>
  <c r="AK59"/>
  <c r="AE19"/>
  <c r="AE34"/>
  <c r="AE42"/>
  <c r="T65"/>
  <c r="AF19"/>
  <c r="AF34"/>
  <c r="AF42"/>
  <c r="AI13"/>
  <c r="AI41"/>
  <c r="AI50"/>
  <c r="AS16"/>
  <c r="AS45"/>
  <c r="AS26"/>
  <c r="BD41"/>
  <c r="BD50"/>
  <c r="AB10" i="257"/>
  <c r="AB22"/>
  <c r="AB38"/>
  <c r="AB46"/>
  <c r="AB57"/>
  <c r="AD13"/>
  <c r="AD41"/>
  <c r="AD50"/>
  <c r="AC16"/>
  <c r="AC36"/>
  <c r="AC48"/>
  <c r="AC60"/>
  <c r="AG15"/>
  <c r="AG35"/>
  <c r="AG43"/>
  <c r="AG26"/>
  <c r="AH32"/>
  <c r="AH40"/>
  <c r="AJ16"/>
  <c r="AJ36"/>
  <c r="AJ47"/>
  <c r="AJ30"/>
  <c r="AK10"/>
  <c r="AK22"/>
  <c r="AK38"/>
  <c r="AK46"/>
  <c r="AK57"/>
  <c r="AE13"/>
  <c r="AE41"/>
  <c r="AE50"/>
  <c r="AE60"/>
  <c r="AF21"/>
  <c r="AF45"/>
  <c r="AF28"/>
  <c r="AI16"/>
  <c r="AI36"/>
  <c r="AI48"/>
  <c r="AI60"/>
  <c r="AS15"/>
  <c r="AS32"/>
  <c r="AS40"/>
  <c r="AS27"/>
  <c r="BD11"/>
  <c r="BD18"/>
  <c r="BD36"/>
  <c r="BD48"/>
  <c r="BD60"/>
  <c r="BH352" i="280"/>
  <c r="BD352"/>
  <c r="AY352"/>
  <c r="BH280" i="279"/>
  <c r="BD280"/>
  <c r="AY280"/>
  <c r="CT59" i="259"/>
  <c r="CE34"/>
  <c r="BS65"/>
  <c r="DG45" i="258"/>
  <c r="CC40"/>
  <c r="BR34"/>
  <c r="CR36"/>
  <c r="BW38" i="248"/>
  <c r="CO42"/>
  <c r="BR59"/>
  <c r="CX59"/>
  <c r="CY34"/>
  <c r="BU40" i="256"/>
  <c r="DA40"/>
  <c r="CF36"/>
  <c r="CP65"/>
  <c r="CM38" i="255"/>
  <c r="CR40"/>
  <c r="CL59"/>
  <c r="BW34"/>
  <c r="DC34"/>
  <c r="CA45" i="257"/>
  <c r="CH42"/>
  <c r="CJ36"/>
  <c r="BZ65"/>
  <c r="AC27" i="263"/>
  <c r="AS15"/>
  <c r="AB19" i="262"/>
  <c r="AJ32"/>
  <c r="AE39"/>
  <c r="AI29"/>
  <c r="BD21"/>
  <c r="BD65"/>
  <c r="AB48" i="261"/>
  <c r="AC22"/>
  <c r="AC65"/>
  <c r="AG45"/>
  <c r="AH19"/>
  <c r="AH30"/>
  <c r="AJ28"/>
  <c r="AK27"/>
  <c r="AE35"/>
  <c r="AF11"/>
  <c r="AF26"/>
  <c r="AI34"/>
  <c r="BD21"/>
  <c r="BD65"/>
  <c r="AB48" i="260"/>
  <c r="AC22"/>
  <c r="AC65"/>
  <c r="AG45"/>
  <c r="AH19"/>
  <c r="AH30"/>
  <c r="AJ28"/>
  <c r="AK27"/>
  <c r="AE35"/>
  <c r="AF11"/>
  <c r="AF26"/>
  <c r="AI34"/>
  <c r="BD21"/>
  <c r="BD65"/>
  <c r="AB48" i="259"/>
  <c r="AC22"/>
  <c r="AC65"/>
  <c r="AG45"/>
  <c r="AH19"/>
  <c r="AH30"/>
  <c r="AJ28"/>
  <c r="AK27"/>
  <c r="AE35"/>
  <c r="AF11"/>
  <c r="AF26"/>
  <c r="AI34"/>
  <c r="BD21"/>
  <c r="BD65"/>
  <c r="AB48" i="258"/>
  <c r="AC22"/>
  <c r="AC65"/>
  <c r="AG45"/>
  <c r="AH19"/>
  <c r="AH43"/>
  <c r="AJ46"/>
  <c r="AJ65"/>
  <c r="AK21"/>
  <c r="AK28"/>
  <c r="AE59"/>
  <c r="AF59"/>
  <c r="AI18"/>
  <c r="AI43"/>
  <c r="AI59"/>
  <c r="AS19"/>
  <c r="AS43"/>
  <c r="AS59"/>
  <c r="BD19"/>
  <c r="BD43"/>
  <c r="BD59"/>
  <c r="AB50" i="248"/>
  <c r="AD32"/>
  <c r="AD48"/>
  <c r="AC39"/>
  <c r="AC30"/>
  <c r="AG38"/>
  <c r="AG60"/>
  <c r="AH18"/>
  <c r="AH43"/>
  <c r="AJ46"/>
  <c r="AJ65"/>
  <c r="AK21"/>
  <c r="AK28"/>
  <c r="AE59"/>
  <c r="AF59"/>
  <c r="AI18"/>
  <c r="AI43"/>
  <c r="AI59"/>
  <c r="AS19"/>
  <c r="AS43"/>
  <c r="AS59"/>
  <c r="BD19"/>
  <c r="BD43"/>
  <c r="BD59"/>
  <c r="AB50" i="256"/>
  <c r="AD32"/>
  <c r="AD48"/>
  <c r="AC39"/>
  <c r="AC30"/>
  <c r="AG38"/>
  <c r="AG60"/>
  <c r="AH18"/>
  <c r="AH43"/>
  <c r="AJ46"/>
  <c r="AJ65"/>
  <c r="AK21"/>
  <c r="AK28"/>
  <c r="AE59"/>
  <c r="AF59"/>
  <c r="AI18"/>
  <c r="AI43"/>
  <c r="AI59"/>
  <c r="AS19"/>
  <c r="AS43"/>
  <c r="AS59"/>
  <c r="BD19"/>
  <c r="BD43"/>
  <c r="BD59"/>
  <c r="AB50" i="255"/>
  <c r="AD32"/>
  <c r="AD48"/>
  <c r="AC39"/>
  <c r="AC30"/>
  <c r="AG38"/>
  <c r="AG60"/>
  <c r="AH18"/>
  <c r="AH43"/>
  <c r="AJ46"/>
  <c r="AJ65"/>
  <c r="AK21"/>
  <c r="AK28"/>
  <c r="AE59"/>
  <c r="AF59"/>
  <c r="AI18"/>
  <c r="AI43"/>
  <c r="AI59"/>
  <c r="AS19"/>
  <c r="AS43"/>
  <c r="AS59"/>
  <c r="BD19"/>
  <c r="BD43"/>
  <c r="BD59"/>
  <c r="AB32" i="257"/>
  <c r="AB48"/>
  <c r="AD39"/>
  <c r="AD30"/>
  <c r="AC38"/>
  <c r="AC29"/>
  <c r="AG13"/>
  <c r="AG45"/>
  <c r="AG59"/>
  <c r="AH19"/>
  <c r="AH42"/>
  <c r="AJ38"/>
  <c r="AJ28"/>
  <c r="AK27"/>
  <c r="AE11"/>
  <c r="AE35"/>
  <c r="AE26"/>
  <c r="U65"/>
  <c r="AF18"/>
  <c r="AF43"/>
  <c r="AF57"/>
  <c r="AI19"/>
  <c r="AI42"/>
  <c r="AS34"/>
  <c r="AS57"/>
  <c r="BD41"/>
  <c r="BF352" i="280"/>
  <c r="BI276" i="279"/>
  <c r="BF276"/>
  <c r="BD276"/>
  <c r="BB276"/>
  <c r="AY276"/>
  <c r="BB280"/>
  <c r="BR59" i="259"/>
  <c r="CX59"/>
  <c r="CY34"/>
  <c r="BU40" i="258"/>
  <c r="DA40"/>
  <c r="CF36"/>
  <c r="CP65"/>
  <c r="CM38" i="248"/>
  <c r="CR40"/>
  <c r="CL59"/>
  <c r="BW34"/>
  <c r="DC34"/>
  <c r="CA45" i="256"/>
  <c r="CH42"/>
  <c r="CJ36"/>
  <c r="BZ65"/>
  <c r="CK45" i="255"/>
  <c r="BY42"/>
  <c r="DE42"/>
  <c r="CP59"/>
  <c r="CA34"/>
  <c r="DG34"/>
  <c r="CW66"/>
  <c r="BZ42" i="257"/>
  <c r="DF42"/>
  <c r="CN36"/>
  <c r="CE66"/>
  <c r="AD28" i="263"/>
  <c r="AH32"/>
  <c r="AK57"/>
  <c r="AS40"/>
  <c r="AB42" i="262"/>
  <c r="AH36"/>
  <c r="AK65"/>
  <c r="AF47"/>
  <c r="AI65"/>
  <c r="AS29"/>
  <c r="AB36" i="261"/>
  <c r="AD11"/>
  <c r="AD26"/>
  <c r="AC34"/>
  <c r="AH22"/>
  <c r="AH59"/>
  <c r="AJ41"/>
  <c r="AK40"/>
  <c r="AE39"/>
  <c r="AF39"/>
  <c r="AI29"/>
  <c r="AS38"/>
  <c r="BD34"/>
  <c r="AB27" i="260"/>
  <c r="AD35"/>
  <c r="AC10"/>
  <c r="AG50"/>
  <c r="AH46"/>
  <c r="AJ19"/>
  <c r="AK16"/>
  <c r="AE15"/>
  <c r="AF15"/>
  <c r="AI38"/>
  <c r="AS13"/>
  <c r="AS29"/>
  <c r="AB36" i="259"/>
  <c r="AD11"/>
  <c r="AD26"/>
  <c r="AC34"/>
  <c r="AH22"/>
  <c r="AH59"/>
  <c r="AJ41"/>
  <c r="AK40"/>
  <c r="AE39"/>
  <c r="AF39"/>
  <c r="AI29"/>
  <c r="AS38"/>
  <c r="BD34"/>
  <c r="AB27" i="258"/>
  <c r="AD35"/>
  <c r="AC10"/>
  <c r="AG50"/>
  <c r="AH38"/>
  <c r="AH59"/>
  <c r="AJ19"/>
  <c r="AJ41"/>
  <c r="AK16"/>
  <c r="AK40"/>
  <c r="AE15"/>
  <c r="AE47"/>
  <c r="AF15"/>
  <c r="AF47"/>
  <c r="AI22"/>
  <c r="AI46"/>
  <c r="AI65"/>
  <c r="AS21"/>
  <c r="AS46"/>
  <c r="AS65"/>
  <c r="BD21"/>
  <c r="BD46"/>
  <c r="BD65"/>
  <c r="AB27" i="248"/>
  <c r="AD11"/>
  <c r="AD35"/>
  <c r="AD26"/>
  <c r="AC10"/>
  <c r="AC34"/>
  <c r="AC57"/>
  <c r="AG50"/>
  <c r="AH38"/>
  <c r="AH59"/>
  <c r="AJ19"/>
  <c r="AJ41"/>
  <c r="AK16"/>
  <c r="AK40"/>
  <c r="AE15"/>
  <c r="AE47"/>
  <c r="AF15"/>
  <c r="AF47"/>
  <c r="AI22"/>
  <c r="AI46"/>
  <c r="AI65"/>
  <c r="AS21"/>
  <c r="AS46"/>
  <c r="AS65"/>
  <c r="BD21"/>
  <c r="BD46"/>
  <c r="BD65"/>
  <c r="AB27" i="256"/>
  <c r="AD11"/>
  <c r="AD35"/>
  <c r="AD26"/>
  <c r="AC10"/>
  <c r="AC34"/>
  <c r="AC57"/>
  <c r="AG50"/>
  <c r="AH38"/>
  <c r="AH59"/>
  <c r="AJ19"/>
  <c r="AJ41"/>
  <c r="AK16"/>
  <c r="AK40"/>
  <c r="AE15"/>
  <c r="AE47"/>
  <c r="AF15"/>
  <c r="AF47"/>
  <c r="AI22"/>
  <c r="AI46"/>
  <c r="AI65"/>
  <c r="AS21"/>
  <c r="AS46"/>
  <c r="AS65"/>
  <c r="BD21"/>
  <c r="BD46"/>
  <c r="BD65"/>
  <c r="AB27" i="255"/>
  <c r="AD11"/>
  <c r="AD35"/>
  <c r="AD26"/>
  <c r="AC10"/>
  <c r="AC34"/>
  <c r="AC57"/>
  <c r="AG50"/>
  <c r="AH38"/>
  <c r="AH59"/>
  <c r="AJ19"/>
  <c r="AJ41"/>
  <c r="AK16"/>
  <c r="AK40"/>
  <c r="AE15"/>
  <c r="AE47"/>
  <c r="AF15"/>
  <c r="AF47"/>
  <c r="AI22"/>
  <c r="AI46"/>
  <c r="AI65"/>
  <c r="AS21"/>
  <c r="AS46"/>
  <c r="AS65"/>
  <c r="BD21"/>
  <c r="BD46"/>
  <c r="BD65"/>
  <c r="AB18" i="257"/>
  <c r="AB43"/>
  <c r="AB59"/>
  <c r="AD19"/>
  <c r="AD42"/>
  <c r="AC41"/>
  <c r="AG16"/>
  <c r="AG40"/>
  <c r="AG65"/>
  <c r="AH21"/>
  <c r="AH57"/>
  <c r="AJ48"/>
  <c r="AK39"/>
  <c r="AK30"/>
  <c r="AE38"/>
  <c r="T65"/>
  <c r="AF38"/>
  <c r="AI13"/>
  <c r="AI45"/>
  <c r="AS45"/>
  <c r="BD34"/>
  <c r="BD57"/>
  <c r="BB351" i="280"/>
  <c r="BF279" i="279"/>
  <c r="BV59" i="259"/>
  <c r="DB59"/>
  <c r="CM34"/>
  <c r="CR65"/>
  <c r="CS38" i="258"/>
  <c r="CS40"/>
  <c r="CZ36"/>
  <c r="CU66"/>
  <c r="DC38" i="248"/>
  <c r="CJ40"/>
  <c r="BZ59"/>
  <c r="DF59"/>
  <c r="CQ34"/>
  <c r="CB65"/>
  <c r="CQ45" i="256"/>
  <c r="CK40"/>
  <c r="BX36"/>
  <c r="DD36"/>
  <c r="DA45" i="255"/>
  <c r="CB40"/>
  <c r="CD59"/>
  <c r="BT35"/>
  <c r="CU34"/>
  <c r="CG66"/>
  <c r="BR42" i="257"/>
  <c r="CX42"/>
  <c r="CB36"/>
  <c r="DF65"/>
  <c r="AG35" i="263"/>
  <c r="AJ59"/>
  <c r="BD27"/>
  <c r="AC16" i="262"/>
  <c r="AE15"/>
  <c r="AI38"/>
  <c r="AS42"/>
  <c r="BD13"/>
  <c r="BD29"/>
  <c r="AB40" i="261"/>
  <c r="AD39"/>
  <c r="AC38"/>
  <c r="AG13"/>
  <c r="AH10"/>
  <c r="AJ45"/>
  <c r="AE18"/>
  <c r="AE57"/>
  <c r="AF18"/>
  <c r="AF57"/>
  <c r="AI42"/>
  <c r="AS42"/>
  <c r="BD13"/>
  <c r="BD29"/>
  <c r="AB40" i="260"/>
  <c r="AD39"/>
  <c r="AC38"/>
  <c r="AG13"/>
  <c r="AH10"/>
  <c r="AJ45"/>
  <c r="AE18"/>
  <c r="AE57"/>
  <c r="AF18"/>
  <c r="AF57"/>
  <c r="AI42"/>
  <c r="AS42"/>
  <c r="BD13"/>
  <c r="BD29"/>
  <c r="AB40" i="259"/>
  <c r="AD39"/>
  <c r="AC38"/>
  <c r="AG13"/>
  <c r="AH10"/>
  <c r="AJ45"/>
  <c r="AE18"/>
  <c r="AE57"/>
  <c r="AF18"/>
  <c r="AF57"/>
  <c r="AI42"/>
  <c r="AS42"/>
  <c r="BD13"/>
  <c r="BD29"/>
  <c r="AB40" i="258"/>
  <c r="AD39"/>
  <c r="AC38"/>
  <c r="AG13"/>
  <c r="AH10"/>
  <c r="AH47"/>
  <c r="AJ11"/>
  <c r="AJ35"/>
  <c r="AJ57"/>
  <c r="AK50"/>
  <c r="AE32"/>
  <c r="AE48"/>
  <c r="AF16"/>
  <c r="AF40"/>
  <c r="AF30"/>
  <c r="AI39"/>
  <c r="AI30"/>
  <c r="AS47"/>
  <c r="BD39"/>
  <c r="BD30"/>
  <c r="AB21" i="248"/>
  <c r="AB28"/>
  <c r="AD27"/>
  <c r="AC11"/>
  <c r="AC35"/>
  <c r="AC26"/>
  <c r="AG10"/>
  <c r="AG34"/>
  <c r="AH15"/>
  <c r="AH47"/>
  <c r="AH60"/>
  <c r="AJ18"/>
  <c r="AJ42"/>
  <c r="AK41"/>
  <c r="AE16"/>
  <c r="AE40"/>
  <c r="AE30"/>
  <c r="AF32"/>
  <c r="AF48"/>
  <c r="AI15"/>
  <c r="AI47"/>
  <c r="AS39"/>
  <c r="AS30"/>
  <c r="BD47"/>
  <c r="AB13" i="256"/>
  <c r="AB45"/>
  <c r="AD36"/>
  <c r="AD60"/>
  <c r="AC18"/>
  <c r="AC43"/>
  <c r="AC59"/>
  <c r="AG19"/>
  <c r="AG42"/>
  <c r="AH39"/>
  <c r="AH28"/>
  <c r="AJ11"/>
  <c r="AJ35"/>
  <c r="AJ57"/>
  <c r="AK50"/>
  <c r="AE32"/>
  <c r="AE48"/>
  <c r="AF16"/>
  <c r="AF40"/>
  <c r="AF30"/>
  <c r="AI39"/>
  <c r="AI30"/>
  <c r="AS47"/>
  <c r="BD39"/>
  <c r="BD30"/>
  <c r="AB21" i="255"/>
  <c r="AB28"/>
  <c r="AD27"/>
  <c r="AC11"/>
  <c r="AC35"/>
  <c r="AC26"/>
  <c r="AG10"/>
  <c r="AG34"/>
  <c r="AH15"/>
  <c r="AH47"/>
  <c r="AH60"/>
  <c r="AJ18"/>
  <c r="AJ42"/>
  <c r="AK41"/>
  <c r="AE16"/>
  <c r="AE40"/>
  <c r="AE30"/>
  <c r="AF32"/>
  <c r="AF48"/>
  <c r="AI15"/>
  <c r="AI47"/>
  <c r="AS39"/>
  <c r="AS30"/>
  <c r="BD47"/>
  <c r="AB36" i="257"/>
  <c r="AB60"/>
  <c r="AD18"/>
  <c r="AD43"/>
  <c r="AD59"/>
  <c r="AC19"/>
  <c r="AC42"/>
  <c r="AG41"/>
  <c r="AH22"/>
  <c r="AH46"/>
  <c r="AJ10"/>
  <c r="AJ34"/>
  <c r="AJ50"/>
  <c r="AK32"/>
  <c r="AK48"/>
  <c r="AE39"/>
  <c r="AE65"/>
  <c r="AF39"/>
  <c r="AF65"/>
  <c r="AI38"/>
  <c r="AI29"/>
  <c r="AS13"/>
  <c r="AS38"/>
  <c r="AS29"/>
  <c r="BD45"/>
  <c r="BI348" i="280"/>
  <c r="BG348"/>
  <c r="BE348"/>
  <c r="BC348"/>
  <c r="BA348"/>
  <c r="BG351"/>
  <c r="BF280" i="279"/>
  <c r="DE42" i="259"/>
  <c r="CP59"/>
  <c r="CA34"/>
  <c r="DG34"/>
  <c r="CW66"/>
  <c r="BZ42" i="258"/>
  <c r="DF42"/>
  <c r="CN36"/>
  <c r="CE66"/>
  <c r="BQ42" i="248"/>
  <c r="CW42"/>
  <c r="CT59"/>
  <c r="CE34"/>
  <c r="BS65"/>
  <c r="DG45" i="256"/>
  <c r="CC40"/>
  <c r="BR34"/>
  <c r="CR36"/>
  <c r="BW38" i="255"/>
  <c r="CO42"/>
  <c r="BR59"/>
  <c r="CX59"/>
  <c r="CY34"/>
  <c r="BU40" i="257"/>
  <c r="DA40"/>
  <c r="CF36"/>
  <c r="CP65"/>
  <c r="AD13" i="263"/>
  <c r="AG26"/>
  <c r="AE41"/>
  <c r="AC40" i="262"/>
  <c r="AE65"/>
  <c r="AI46"/>
  <c r="AS46"/>
  <c r="BD42"/>
  <c r="AB60" i="261"/>
  <c r="AD43"/>
  <c r="AC19"/>
  <c r="AC57"/>
  <c r="AH38"/>
  <c r="AJ34"/>
  <c r="AK32"/>
  <c r="AE47"/>
  <c r="AF47"/>
  <c r="AI22"/>
  <c r="AI65"/>
  <c r="AS46"/>
  <c r="BD42"/>
  <c r="AB60" i="260"/>
  <c r="AD43"/>
  <c r="AC19"/>
  <c r="AC57"/>
  <c r="AH38"/>
  <c r="AJ34"/>
  <c r="AK32"/>
  <c r="AE47"/>
  <c r="AF47"/>
  <c r="AI22"/>
  <c r="AI65"/>
  <c r="AS46"/>
  <c r="BD42"/>
  <c r="AB60" i="259"/>
  <c r="AD43"/>
  <c r="AC19"/>
  <c r="AC57"/>
  <c r="AH38"/>
  <c r="AJ34"/>
  <c r="AK32"/>
  <c r="AE47"/>
  <c r="AF47"/>
  <c r="AI22"/>
  <c r="AI65"/>
  <c r="AS46"/>
  <c r="BD42"/>
  <c r="AB60" i="258"/>
  <c r="AD43"/>
  <c r="AC19"/>
  <c r="AC57"/>
  <c r="AH34"/>
  <c r="AH30"/>
  <c r="AJ45"/>
  <c r="AK36"/>
  <c r="AK60"/>
  <c r="AE18"/>
  <c r="AE43"/>
  <c r="AE57"/>
  <c r="AF11"/>
  <c r="AF35"/>
  <c r="AF26"/>
  <c r="AI10"/>
  <c r="AI34"/>
  <c r="AI57"/>
  <c r="AS42"/>
  <c r="BD34"/>
  <c r="BD57"/>
  <c r="AB32" i="248"/>
  <c r="AB48"/>
  <c r="AD39"/>
  <c r="AD30"/>
  <c r="AC38"/>
  <c r="AC29"/>
  <c r="AG13"/>
  <c r="AG45"/>
  <c r="AG59"/>
  <c r="AH19"/>
  <c r="AH42"/>
  <c r="AJ38"/>
  <c r="AJ28"/>
  <c r="AK27"/>
  <c r="AE11"/>
  <c r="AE35"/>
  <c r="AE26"/>
  <c r="U65"/>
  <c r="AF18"/>
  <c r="AF43"/>
  <c r="AF57"/>
  <c r="AI19"/>
  <c r="AI42"/>
  <c r="AS34"/>
  <c r="AS57"/>
  <c r="BD42"/>
  <c r="AB16" i="256"/>
  <c r="AB40"/>
  <c r="AD15"/>
  <c r="AD47"/>
  <c r="AC22"/>
  <c r="AC46"/>
  <c r="AC65"/>
  <c r="AG21"/>
  <c r="AG28"/>
  <c r="AH10"/>
  <c r="AH34"/>
  <c r="AH30"/>
  <c r="AJ45"/>
  <c r="AK36"/>
  <c r="AK60"/>
  <c r="AE18"/>
  <c r="AE43"/>
  <c r="AE57"/>
  <c r="AF11"/>
  <c r="AF35"/>
  <c r="AF26"/>
  <c r="AI10"/>
  <c r="AI34"/>
  <c r="AI57"/>
  <c r="AS42"/>
  <c r="BD34"/>
  <c r="BD57"/>
  <c r="AB32" i="255"/>
  <c r="AB48"/>
  <c r="AD39"/>
  <c r="AD30"/>
  <c r="AC38"/>
  <c r="AC29"/>
  <c r="AG13"/>
  <c r="AG45"/>
  <c r="AG59"/>
  <c r="AH19"/>
  <c r="AH42"/>
  <c r="AJ38"/>
  <c r="AJ28"/>
  <c r="AK27"/>
  <c r="AE11"/>
  <c r="AE35"/>
  <c r="AE26"/>
  <c r="U65"/>
  <c r="AF18"/>
  <c r="AF43"/>
  <c r="AF57"/>
  <c r="AI19"/>
  <c r="AI42"/>
  <c r="AS34"/>
  <c r="AS57"/>
  <c r="BD42"/>
  <c r="AB15" i="257"/>
  <c r="AB47"/>
  <c r="AD22"/>
  <c r="AD46"/>
  <c r="AD65"/>
  <c r="AC21"/>
  <c r="AC28"/>
  <c r="AG57"/>
  <c r="AH50"/>
  <c r="AJ13"/>
  <c r="AJ60"/>
  <c r="AK18"/>
  <c r="AK43"/>
  <c r="AK59"/>
  <c r="AE19"/>
  <c r="AE42"/>
  <c r="AF19"/>
  <c r="AF42"/>
  <c r="AI50"/>
  <c r="AS41"/>
  <c r="BD13"/>
  <c r="BD38"/>
  <c r="BD29"/>
  <c r="BI352" i="280"/>
  <c r="BA352"/>
  <c r="BB279" i="279"/>
  <c r="L29" i="263"/>
  <c r="M26" i="262"/>
  <c r="AZ22" i="263"/>
  <c r="H50" i="259"/>
  <c r="BH41" i="255"/>
  <c r="N30" i="262"/>
  <c r="K28" i="255"/>
  <c r="BK22" i="257"/>
  <c r="J27" i="248"/>
  <c r="P28" i="255"/>
  <c r="AO22" i="258"/>
  <c r="S41"/>
  <c r="G26" i="260"/>
  <c r="N28" i="261"/>
  <c r="AW22" i="248"/>
  <c r="J28" i="257"/>
  <c r="H29" i="260"/>
  <c r="AZ22" i="261"/>
  <c r="L48" i="262"/>
  <c r="L50" i="248"/>
  <c r="M26" i="261"/>
  <c r="N48" i="260"/>
  <c r="L21" i="228"/>
  <c r="O30" i="261"/>
  <c r="AO22" i="257"/>
  <c r="I27" i="261"/>
  <c r="N28" i="248"/>
  <c r="BD335" i="277"/>
  <c r="AY148" i="276"/>
  <c r="BL41" i="255"/>
  <c r="G48" i="262"/>
  <c r="S41"/>
  <c r="P28" i="260"/>
  <c r="G29" i="261"/>
  <c r="J26" i="259"/>
  <c r="N29" i="248"/>
  <c r="L50" i="258"/>
  <c r="L48" i="261"/>
  <c r="J27" i="260"/>
  <c r="L30" i="248"/>
  <c r="BB208" i="277"/>
  <c r="BC335"/>
  <c r="BJ22" i="257"/>
  <c r="K50" i="255"/>
  <c r="I30" i="248"/>
  <c r="K48"/>
  <c r="N28" i="259"/>
  <c r="K50" i="262"/>
  <c r="N28" i="260"/>
  <c r="BB22" i="259"/>
  <c r="K28" i="258"/>
  <c r="Q26" i="248"/>
  <c r="BC22" i="260"/>
  <c r="H29" i="259"/>
  <c r="AT22" i="260"/>
  <c r="BF22" i="258"/>
  <c r="BI22" i="260"/>
  <c r="J27" i="263"/>
  <c r="J50"/>
  <c r="Q30" i="248"/>
  <c r="BH42" i="257"/>
  <c r="AS22" i="263"/>
  <c r="BA184" i="276"/>
  <c r="BE137"/>
  <c r="G30" i="262"/>
  <c r="H26" i="260"/>
  <c r="I50" i="257"/>
  <c r="BG279" i="276"/>
  <c r="Q50" i="248"/>
  <c r="J26"/>
  <c r="BH41" i="260"/>
  <c r="G30" i="257"/>
  <c r="BB200" i="277"/>
  <c r="BE199"/>
  <c r="I30" i="256"/>
  <c r="J50" i="262"/>
  <c r="Q30" i="257"/>
  <c r="K27" i="256"/>
  <c r="AM42" i="257"/>
  <c r="P30" i="248"/>
  <c r="M27" i="260"/>
  <c r="AN22" i="259"/>
  <c r="T50" i="258"/>
  <c r="BC184" i="276"/>
  <c r="BE22" i="260"/>
  <c r="S42" i="248"/>
  <c r="BC279" i="276"/>
  <c r="BB22" i="261"/>
  <c r="O50" i="257"/>
  <c r="BK41" i="258"/>
  <c r="K50" i="257"/>
  <c r="BL41" i="256"/>
  <c r="AY22" i="262"/>
  <c r="M29" i="259"/>
  <c r="BL41" i="258"/>
  <c r="N27" i="259"/>
  <c r="J48" i="260"/>
  <c r="BI22" i="263"/>
  <c r="BG21" i="260"/>
  <c r="Q28" i="259"/>
  <c r="P48" i="263"/>
  <c r="I29" i="258"/>
  <c r="H50" i="248"/>
  <c r="BD139" i="276"/>
  <c r="BK40" i="258"/>
  <c r="I48" i="259"/>
  <c r="K48" i="261"/>
  <c r="BG184" i="276"/>
  <c r="G29" i="248"/>
  <c r="BE139" i="276"/>
  <c r="BF184"/>
  <c r="J11" i="228"/>
  <c r="O27" i="263"/>
  <c r="H26" i="257"/>
  <c r="H48" i="259"/>
  <c r="Q29" i="248"/>
  <c r="BC207" i="277"/>
  <c r="G28" i="257"/>
  <c r="K26"/>
  <c r="H28" i="260"/>
  <c r="N50" i="256"/>
  <c r="H28" i="257"/>
  <c r="S41" i="248"/>
  <c r="P28" i="261"/>
  <c r="AN22" i="257"/>
  <c r="BI199" i="277"/>
  <c r="H30" i="256"/>
  <c r="AY200" i="277"/>
  <c r="G50" i="259"/>
  <c r="N26"/>
  <c r="BG207" i="277"/>
  <c r="J28" i="259"/>
  <c r="K30" i="262"/>
  <c r="BH184" i="276"/>
  <c r="Q29" i="258"/>
  <c r="G26" i="257"/>
  <c r="S42" i="258"/>
  <c r="AW22" i="256"/>
  <c r="AS22" i="255"/>
  <c r="S42" i="256"/>
  <c r="BE280" i="276"/>
  <c r="BK22" i="248"/>
  <c r="AV22" i="261"/>
  <c r="J29" i="260"/>
  <c r="K26" i="248"/>
  <c r="BE149" i="276"/>
  <c r="O48" i="263"/>
  <c r="H30" i="262"/>
  <c r="I27" i="259"/>
  <c r="T50" i="260"/>
  <c r="K26" i="263"/>
  <c r="H27" i="259"/>
  <c r="Q28" i="248"/>
  <c r="I48" i="258"/>
  <c r="P30" i="261"/>
  <c r="Q30"/>
  <c r="H8" i="228"/>
  <c r="BE207" i="277"/>
  <c r="BB339"/>
  <c r="S42" i="257"/>
  <c r="BA141" i="276"/>
  <c r="BF148"/>
  <c r="BB360" i="277"/>
  <c r="BK39" i="259"/>
  <c r="BI22" i="256"/>
  <c r="AS22"/>
  <c r="BH137" i="276"/>
  <c r="O48" i="261"/>
  <c r="L29" i="248"/>
  <c r="AN22" i="260"/>
  <c r="H48" i="261"/>
  <c r="P29" i="259"/>
  <c r="BF338" i="277"/>
  <c r="G50" i="258"/>
  <c r="L48" i="263"/>
  <c r="S41"/>
  <c r="I14" i="228"/>
  <c r="O27" i="257"/>
  <c r="L50" i="256"/>
  <c r="L30" i="259"/>
  <c r="K28" i="228"/>
  <c r="BK42" i="259"/>
  <c r="AT22" i="261"/>
  <c r="BB22" i="260"/>
  <c r="G48" i="259"/>
  <c r="I50" i="260"/>
  <c r="H26" i="263"/>
  <c r="BJ22" i="260"/>
  <c r="BJ22" i="259"/>
  <c r="I21" i="228"/>
  <c r="BF207" i="277"/>
  <c r="BF279" i="276"/>
  <c r="L26" i="257"/>
  <c r="I28" i="259"/>
  <c r="BH41" i="261"/>
  <c r="M50" i="260"/>
  <c r="BC360" i="277"/>
  <c r="BF22" i="257"/>
  <c r="J29" i="262"/>
  <c r="G50"/>
  <c r="BF22" i="261"/>
  <c r="BA22" i="256"/>
  <c r="J50" i="259"/>
  <c r="AU22" i="258"/>
  <c r="G28" i="248"/>
  <c r="N26"/>
  <c r="I26" i="262"/>
  <c r="L30" i="263"/>
  <c r="O29" i="256"/>
  <c r="I26" i="248"/>
  <c r="K29" i="261"/>
  <c r="M26" i="248"/>
  <c r="BD339" i="277"/>
  <c r="BL42" i="260"/>
  <c r="P28" i="262"/>
  <c r="AP22" i="260"/>
  <c r="BI243" i="277"/>
  <c r="Q50" i="259"/>
  <c r="L28" i="262"/>
  <c r="P30" i="260"/>
  <c r="P28" i="259"/>
  <c r="BH42" i="248"/>
  <c r="Q28" i="262"/>
  <c r="BK39" i="263"/>
  <c r="J27" i="256"/>
  <c r="P27" i="258"/>
  <c r="T50" i="259"/>
  <c r="BG22"/>
  <c r="AQ22" i="258"/>
  <c r="N48" i="263"/>
  <c r="G48" i="257"/>
  <c r="H27" i="258"/>
  <c r="M50" i="261"/>
  <c r="BJ22" i="258"/>
  <c r="M29" i="256"/>
  <c r="BA196" i="277"/>
  <c r="O28" i="258"/>
  <c r="AR22" i="257"/>
  <c r="BC338" i="277"/>
  <c r="BF22" i="262"/>
  <c r="L29" i="256"/>
  <c r="T50" i="255"/>
  <c r="BB136" i="276"/>
  <c r="G48" i="256"/>
  <c r="M50"/>
  <c r="BE198" i="277"/>
  <c r="H20" i="228"/>
  <c r="H48" i="260"/>
  <c r="AW22" i="261"/>
  <c r="I10" i="228"/>
  <c r="N48" i="259"/>
  <c r="J29" i="248"/>
  <c r="O48" i="258"/>
  <c r="H48" i="248"/>
  <c r="J27" i="261"/>
  <c r="BA280" i="276"/>
  <c r="L28" i="258"/>
  <c r="AW22" i="260"/>
  <c r="AQ22" i="262"/>
  <c r="K50" i="261"/>
  <c r="J28" i="260"/>
  <c r="N27" i="248"/>
  <c r="BF301" i="276"/>
  <c r="K29" i="248"/>
  <c r="O26" i="259"/>
  <c r="BK22"/>
  <c r="BH243" i="277"/>
  <c r="G28" i="255"/>
  <c r="N26" i="258"/>
  <c r="BK40" i="259"/>
  <c r="J28" i="248"/>
  <c r="BG21"/>
  <c r="BD22" i="260"/>
  <c r="BK39" i="262"/>
  <c r="AT22" i="256"/>
  <c r="Q30" i="255"/>
  <c r="AM41" i="262"/>
  <c r="BG22" i="255"/>
  <c r="J50" i="260"/>
  <c r="BJ22" i="255"/>
  <c r="H11" i="228"/>
  <c r="BK41" i="257"/>
  <c r="Q48" i="261"/>
  <c r="O26" i="256"/>
  <c r="AR22" i="262"/>
  <c r="BH198" i="277"/>
  <c r="BD22" i="255"/>
  <c r="BF140" i="276"/>
  <c r="BF335" i="277"/>
  <c r="AV22" i="260"/>
  <c r="AN22" i="258"/>
  <c r="L48" i="260"/>
  <c r="L26" i="261"/>
  <c r="L29" i="258"/>
  <c r="S42" i="262"/>
  <c r="H50" i="256"/>
  <c r="BD243" i="277"/>
  <c r="J48" i="258"/>
  <c r="P26" i="262"/>
  <c r="BK22" i="258"/>
  <c r="BG198" i="277"/>
  <c r="AZ22" i="258"/>
  <c r="BH41" i="263"/>
  <c r="H28" i="262"/>
  <c r="H15" i="228"/>
  <c r="J28"/>
  <c r="H50" i="262"/>
  <c r="Q26" i="258"/>
  <c r="BK41" i="259"/>
  <c r="I29" i="263"/>
  <c r="BK22" i="255"/>
  <c r="J48" i="248"/>
  <c r="G29" i="260"/>
  <c r="AQ22" i="257"/>
  <c r="N48"/>
  <c r="AX22" i="260"/>
  <c r="AR22" i="261"/>
  <c r="G50" i="257"/>
  <c r="O30" i="259"/>
  <c r="Q26" i="257"/>
  <c r="BA136" i="276"/>
  <c r="AP22" i="255"/>
  <c r="BC301" i="276"/>
  <c r="BA335" i="277"/>
  <c r="I27" i="258"/>
  <c r="H48" i="263"/>
  <c r="BA22" i="261"/>
  <c r="Q27"/>
  <c r="Q28" i="256"/>
  <c r="J30" i="257"/>
  <c r="G27" i="248"/>
  <c r="P50" i="263"/>
  <c r="H30" i="257"/>
  <c r="BE276" i="276"/>
  <c r="AY199" i="277"/>
  <c r="J27" i="255"/>
  <c r="BH199" i="277"/>
  <c r="Q50" i="256"/>
  <c r="AS22" i="248"/>
  <c r="L26" i="255"/>
  <c r="AM42" i="258"/>
  <c r="J26" i="256"/>
  <c r="I50" i="259"/>
  <c r="BA22" i="263"/>
  <c r="Q28"/>
  <c r="P29" i="257"/>
  <c r="BA198" i="277"/>
  <c r="Q48" i="262"/>
  <c r="N50" i="261"/>
  <c r="M28"/>
  <c r="BC140" i="276"/>
  <c r="O28" i="261"/>
  <c r="G30" i="263"/>
  <c r="K10" i="228"/>
  <c r="AY145" i="276"/>
  <c r="BG339" i="277"/>
  <c r="L27" i="262"/>
  <c r="O48" i="259"/>
  <c r="K28" i="261"/>
  <c r="L48" i="256"/>
  <c r="BG22" i="263"/>
  <c r="AT22" i="262"/>
  <c r="BK21" i="255"/>
  <c r="K27" i="263"/>
  <c r="AP22" i="248"/>
  <c r="P26" i="260"/>
  <c r="BD207" i="277"/>
  <c r="Q48" i="258"/>
  <c r="BK41" i="263"/>
  <c r="O30" i="257"/>
  <c r="K27"/>
  <c r="J8" i="228"/>
  <c r="J29" i="256"/>
  <c r="P29" i="261"/>
  <c r="BK43"/>
  <c r="BC208" i="277"/>
  <c r="AT22" i="248"/>
  <c r="P26" i="259"/>
  <c r="G30" i="258"/>
  <c r="O50" i="248"/>
  <c r="H27" i="263"/>
  <c r="BG360" i="277"/>
  <c r="BK21" i="262"/>
  <c r="BA339" i="277"/>
  <c r="H28" i="255"/>
  <c r="BI184" i="276"/>
  <c r="M27" i="255"/>
  <c r="L27" i="258"/>
  <c r="AP22" i="257"/>
  <c r="N26" i="262"/>
  <c r="BD22"/>
  <c r="I29" i="255"/>
  <c r="BA22" i="258"/>
  <c r="H28" i="261"/>
  <c r="L28" i="260"/>
  <c r="BG21" i="258"/>
  <c r="I30" i="260"/>
  <c r="BH42" i="263"/>
  <c r="J50" i="258"/>
  <c r="BK40" i="263"/>
  <c r="O48" i="260"/>
  <c r="Q27" i="259"/>
  <c r="AY22" i="248"/>
  <c r="P50" i="258"/>
  <c r="K29" i="259"/>
  <c r="AM42" i="260"/>
  <c r="BB149" i="276"/>
  <c r="L27" i="255"/>
  <c r="O26"/>
  <c r="BK39" i="256"/>
  <c r="N27" i="262"/>
  <c r="G48" i="260"/>
  <c r="G26" i="261"/>
  <c r="J48" i="256"/>
  <c r="BG280" i="276"/>
  <c r="P28" i="263"/>
  <c r="AX22" i="259"/>
  <c r="AQ22" i="248"/>
  <c r="BJ22" i="263"/>
  <c r="G50" i="260"/>
  <c r="AU22" i="256"/>
  <c r="H7" i="228"/>
  <c r="G50" i="263"/>
  <c r="Q50" i="260"/>
  <c r="BA139" i="276"/>
  <c r="H30" i="258"/>
  <c r="BE184" i="276"/>
  <c r="BH41" i="257"/>
  <c r="AM41" i="248"/>
  <c r="BJ22"/>
  <c r="BD140" i="276"/>
  <c r="BB338" i="277"/>
  <c r="I28" i="262"/>
  <c r="K48" i="260"/>
  <c r="BJ22" i="256"/>
  <c r="AN22" i="261"/>
  <c r="Q27" i="263"/>
  <c r="G29"/>
  <c r="O50" i="255"/>
  <c r="M28" i="258"/>
  <c r="AY194" i="277"/>
  <c r="BA22" i="262"/>
  <c r="I28" i="257"/>
  <c r="AV22" i="255"/>
  <c r="I28" i="256"/>
  <c r="BI22" i="248"/>
  <c r="AV22"/>
  <c r="L27"/>
  <c r="N50" i="260"/>
  <c r="K28" i="259"/>
  <c r="N30" i="257"/>
  <c r="O29" i="258"/>
  <c r="I30"/>
  <c r="O27" i="255"/>
  <c r="BE22" i="257"/>
  <c r="Q48" i="255"/>
  <c r="N29"/>
  <c r="P26"/>
  <c r="O28" i="248"/>
  <c r="AN22"/>
  <c r="BH360" i="277"/>
  <c r="Q29" i="256"/>
  <c r="BK43" i="258"/>
  <c r="BD148" i="276"/>
  <c r="BK22" i="262"/>
  <c r="M28" i="256"/>
  <c r="J48" i="257"/>
  <c r="BB201" i="277"/>
  <c r="BE208"/>
  <c r="O26" i="258"/>
  <c r="BK21" i="261"/>
  <c r="K26"/>
  <c r="AQ22" i="263"/>
  <c r="Q27" i="262"/>
  <c r="BK42" i="256"/>
  <c r="BH42"/>
  <c r="AX22" i="261"/>
  <c r="AO22" i="256"/>
  <c r="K26" i="259"/>
  <c r="BK40" i="255"/>
  <c r="M29"/>
  <c r="BK43" i="257"/>
  <c r="BA135" i="276"/>
  <c r="N48" i="258"/>
  <c r="I27" i="248"/>
  <c r="BB194" i="277"/>
  <c r="I26" i="256"/>
  <c r="Q26" i="261"/>
  <c r="P27" i="262"/>
  <c r="AQ22" i="261"/>
  <c r="BK43" i="260"/>
  <c r="J27" i="259"/>
  <c r="O27" i="262"/>
  <c r="M28" i="260"/>
  <c r="BC198" i="277"/>
  <c r="BC22" i="256"/>
  <c r="O50"/>
  <c r="K50" i="259"/>
  <c r="AN22" i="262"/>
  <c r="O27" i="261"/>
  <c r="M30" i="257"/>
  <c r="I26" i="261"/>
  <c r="J26"/>
  <c r="L48" i="255"/>
  <c r="K30" i="260"/>
  <c r="AO22"/>
  <c r="BK40" i="261"/>
  <c r="J30" i="258"/>
  <c r="AU22" i="262"/>
  <c r="O28" i="257"/>
  <c r="I48" i="248"/>
  <c r="M29" i="262"/>
  <c r="BG139" i="276"/>
  <c r="T50" i="262"/>
  <c r="Q27" i="248"/>
  <c r="BA22" i="259"/>
  <c r="J28" i="256"/>
  <c r="BK42" i="248"/>
  <c r="K28" i="257"/>
  <c r="AN22" i="255"/>
  <c r="N27" i="256"/>
  <c r="BD279" i="276"/>
  <c r="BL41" i="257"/>
  <c r="BH140" i="276"/>
  <c r="K48" i="258"/>
  <c r="J50" i="248"/>
  <c r="L26" i="256"/>
  <c r="J27" i="258"/>
  <c r="AO22" i="261"/>
  <c r="L26" i="260"/>
  <c r="AY22" i="258"/>
  <c r="H14" i="228"/>
  <c r="I13"/>
  <c r="BD135" i="276"/>
  <c r="BH339" i="277"/>
  <c r="BB22" i="258"/>
  <c r="BH301" i="276"/>
  <c r="M30" i="261"/>
  <c r="N28" i="255"/>
  <c r="BK39" i="248"/>
  <c r="BH335" i="277"/>
  <c r="AO22" i="262"/>
  <c r="BH207" i="277"/>
  <c r="BK41" i="255"/>
  <c r="I48" i="257"/>
  <c r="O30" i="258"/>
  <c r="I29" i="256"/>
  <c r="G27" i="262"/>
  <c r="I30"/>
  <c r="Q50" i="258"/>
  <c r="I48" i="255"/>
  <c r="BF139" i="276"/>
  <c r="BE22" i="255"/>
  <c r="AS22" i="259"/>
  <c r="I30"/>
  <c r="BK21" i="257"/>
  <c r="BK39"/>
  <c r="I27" i="260"/>
  <c r="G30" i="261"/>
  <c r="O48" i="262"/>
  <c r="P30" i="256"/>
  <c r="I50" i="258"/>
  <c r="BH41"/>
  <c r="K50" i="260"/>
  <c r="BH42" i="259"/>
  <c r="G26" i="262"/>
  <c r="N50" i="258"/>
  <c r="L27" i="257"/>
  <c r="M28"/>
  <c r="BG21" i="256"/>
  <c r="AR22" i="260"/>
  <c r="Q29" i="263"/>
  <c r="O48" i="257"/>
  <c r="G28" i="263"/>
  <c r="N29" i="261"/>
  <c r="P29" i="263"/>
  <c r="Q50" i="255"/>
  <c r="BE135" i="276"/>
  <c r="BK21" i="248"/>
  <c r="BH148" i="276"/>
  <c r="Q26" i="260"/>
  <c r="Q29" i="261"/>
  <c r="BD196" i="277"/>
  <c r="M27" i="261"/>
  <c r="J48" i="263"/>
  <c r="N26"/>
  <c r="G30" i="255"/>
  <c r="L48" i="258"/>
  <c r="J27" i="262"/>
  <c r="BK21" i="256"/>
  <c r="M28" i="259"/>
  <c r="J30" i="263"/>
  <c r="Q50" i="261"/>
  <c r="BA22" i="255"/>
  <c r="BG199" i="277"/>
  <c r="BI22" i="259"/>
  <c r="BF22" i="255"/>
  <c r="O26" i="262"/>
  <c r="I30" i="255"/>
  <c r="N30" i="258"/>
  <c r="K30" i="257"/>
  <c r="K48" i="255"/>
  <c r="K29" i="263"/>
  <c r="K27" i="248"/>
  <c r="H48" i="257"/>
  <c r="BJ22" i="261"/>
  <c r="H26"/>
  <c r="K30" i="256"/>
  <c r="N28"/>
  <c r="P29" i="248"/>
  <c r="BD198" i="277"/>
  <c r="AW22" i="259"/>
  <c r="J30" i="248"/>
  <c r="N50" i="257"/>
  <c r="AT22" i="263"/>
  <c r="I26" i="257"/>
  <c r="BI339" i="277"/>
  <c r="AY139" i="276"/>
  <c r="H28" i="248"/>
  <c r="H30" i="263"/>
  <c r="K26" i="255"/>
  <c r="L26" i="248"/>
  <c r="BF194" i="277"/>
  <c r="BH135" i="276"/>
  <c r="AV22" i="256"/>
  <c r="K27" i="259"/>
  <c r="AT22" i="257"/>
  <c r="Q48" i="260"/>
  <c r="BI301" i="276"/>
  <c r="AR22" i="248"/>
  <c r="BB22" i="255"/>
  <c r="Q26" i="263"/>
  <c r="BF22" i="248"/>
  <c r="M27" i="259"/>
  <c r="BG208" i="277"/>
  <c r="BF276" i="276"/>
  <c r="BE22" i="261"/>
  <c r="AY22" i="256"/>
  <c r="BK42" i="258"/>
  <c r="BB196" i="277"/>
  <c r="L30" i="258"/>
  <c r="BL42" i="259"/>
  <c r="BB140" i="276"/>
  <c r="G50" i="255"/>
  <c r="P48" i="258"/>
  <c r="AY195" i="277"/>
  <c r="O29" i="261"/>
  <c r="BK42" i="255"/>
  <c r="M29" i="258"/>
  <c r="P27" i="260"/>
  <c r="BI335" i="277"/>
  <c r="G28" i="261"/>
  <c r="BE140" i="276"/>
  <c r="AX22" i="258"/>
  <c r="G48" i="263"/>
  <c r="P48" i="261"/>
  <c r="BD199" i="277"/>
  <c r="AY335"/>
  <c r="O29" i="263"/>
  <c r="J50" i="261"/>
  <c r="N29" i="263"/>
  <c r="H29" i="261"/>
  <c r="L48" i="259"/>
  <c r="L28" i="248"/>
  <c r="BK39" i="261"/>
  <c r="O50" i="258"/>
  <c r="BB141" i="276"/>
  <c r="BK43" i="248"/>
  <c r="P30" i="259"/>
  <c r="BA143" i="276"/>
  <c r="BE194" i="277"/>
  <c r="BH194"/>
  <c r="BG194"/>
  <c r="AM41" i="260"/>
  <c r="H26" i="259"/>
  <c r="O26" i="260"/>
  <c r="BD360" i="277"/>
  <c r="J26" i="260"/>
  <c r="BH280" i="276"/>
  <c r="G48" i="258"/>
  <c r="L8" i="228"/>
  <c r="I20"/>
  <c r="P27" i="248"/>
  <c r="BC22" i="261"/>
  <c r="Q30" i="256"/>
  <c r="AS22" i="260"/>
  <c r="BH41" i="256"/>
  <c r="M30" i="262"/>
  <c r="L27" i="259"/>
  <c r="N30" i="256"/>
  <c r="J26" i="255"/>
  <c r="N48" i="262"/>
  <c r="H27"/>
  <c r="H29" i="257"/>
  <c r="G48" i="248"/>
  <c r="BA22"/>
  <c r="BD22" i="261"/>
  <c r="P27"/>
  <c r="J29"/>
  <c r="AS22" i="257"/>
  <c r="Q27" i="255"/>
  <c r="I28" i="248"/>
  <c r="L50" i="260"/>
  <c r="AM41" i="258"/>
  <c r="BA148" i="276"/>
  <c r="BJ22" i="262"/>
  <c r="M27" i="257"/>
  <c r="AY202" i="277"/>
  <c r="O30" i="248"/>
  <c r="K30" i="263"/>
  <c r="N26" i="256"/>
  <c r="J7" i="228"/>
  <c r="BL41" i="262"/>
  <c r="BB243" i="277"/>
  <c r="CD35" i="260"/>
  <c r="CH35"/>
  <c r="CL35"/>
  <c r="CP35"/>
  <c r="CT35"/>
  <c r="CX35"/>
  <c r="DB35"/>
  <c r="DF35"/>
  <c r="BW65"/>
  <c r="CE65"/>
  <c r="CM65"/>
  <c r="CU65"/>
  <c r="DC65"/>
  <c r="BP45" i="259"/>
  <c r="BX45"/>
  <c r="CF45"/>
  <c r="CN45"/>
  <c r="CV45"/>
  <c r="DD45"/>
  <c r="BV38"/>
  <c r="CD38"/>
  <c r="CL38"/>
  <c r="CT38"/>
  <c r="DB38"/>
  <c r="BP39"/>
  <c r="BQ41"/>
  <c r="BR43"/>
  <c r="BT39"/>
  <c r="BU41"/>
  <c r="BV43"/>
  <c r="BX39"/>
  <c r="BY41"/>
  <c r="BZ43"/>
  <c r="CB39"/>
  <c r="CC41"/>
  <c r="CD43"/>
  <c r="CF39"/>
  <c r="CG41"/>
  <c r="CH43"/>
  <c r="CJ39"/>
  <c r="CK41"/>
  <c r="CL43"/>
  <c r="CN39"/>
  <c r="CO41"/>
  <c r="CP43"/>
  <c r="CR39"/>
  <c r="CS41"/>
  <c r="CT43"/>
  <c r="CV39"/>
  <c r="CW41"/>
  <c r="CX43"/>
  <c r="CZ39"/>
  <c r="DA41"/>
  <c r="DB43"/>
  <c r="DD39"/>
  <c r="DE41"/>
  <c r="DF43"/>
  <c r="BP32"/>
  <c r="BU32"/>
  <c r="BY32"/>
  <c r="CC32"/>
  <c r="CG32"/>
  <c r="CK32"/>
  <c r="CO32"/>
  <c r="CS32"/>
  <c r="CW32"/>
  <c r="DA32"/>
  <c r="DE32"/>
  <c r="BP57"/>
  <c r="BR57"/>
  <c r="BT57"/>
  <c r="BV57"/>
  <c r="BX57"/>
  <c r="BZ57"/>
  <c r="CB57"/>
  <c r="CD57"/>
  <c r="CF57"/>
  <c r="CH57"/>
  <c r="CJ57"/>
  <c r="CL57"/>
  <c r="CN57"/>
  <c r="CP57"/>
  <c r="CR57"/>
  <c r="CT57"/>
  <c r="CV57"/>
  <c r="CX57"/>
  <c r="CZ57"/>
  <c r="DB57"/>
  <c r="DD57"/>
  <c r="DF57"/>
  <c r="BQ36"/>
  <c r="BS35"/>
  <c r="BP65"/>
  <c r="BT65"/>
  <c r="BV66"/>
  <c r="BZ66"/>
  <c r="CD66"/>
  <c r="CH66"/>
  <c r="CL66"/>
  <c r="CP66"/>
  <c r="CT66"/>
  <c r="CX66"/>
  <c r="DB66"/>
  <c r="DF66"/>
  <c r="BV45" i="258"/>
  <c r="CD45"/>
  <c r="CL45"/>
  <c r="CT45"/>
  <c r="DB45"/>
  <c r="BP38"/>
  <c r="BX38"/>
  <c r="CF38"/>
  <c r="CN38"/>
  <c r="CV38"/>
  <c r="DD38"/>
  <c r="BQ39"/>
  <c r="BR41"/>
  <c r="BS43"/>
  <c r="BU39"/>
  <c r="BV41"/>
  <c r="BW43"/>
  <c r="BY39"/>
  <c r="BZ41"/>
  <c r="CA43"/>
  <c r="CC39"/>
  <c r="CD41"/>
  <c r="CE43"/>
  <c r="CG39"/>
  <c r="CH41"/>
  <c r="CI43"/>
  <c r="CK39"/>
  <c r="CL41"/>
  <c r="CM43"/>
  <c r="CO39"/>
  <c r="CP41"/>
  <c r="CQ43"/>
  <c r="CS39"/>
  <c r="CT41"/>
  <c r="CU43"/>
  <c r="CW39"/>
  <c r="CX41"/>
  <c r="CY43"/>
  <c r="DA39"/>
  <c r="DB41"/>
  <c r="DC43"/>
  <c r="DE39"/>
  <c r="DF41"/>
  <c r="DG43"/>
  <c r="BT32"/>
  <c r="BX32"/>
  <c r="CB32"/>
  <c r="CF32"/>
  <c r="CJ32"/>
  <c r="CN32"/>
  <c r="CR32"/>
  <c r="CV32"/>
  <c r="CZ32"/>
  <c r="DD32"/>
  <c r="BP60"/>
  <c r="BR60"/>
  <c r="BT60"/>
  <c r="BV60"/>
  <c r="BX60"/>
  <c r="BZ60"/>
  <c r="CB60"/>
  <c r="CD60"/>
  <c r="CF60"/>
  <c r="CH60"/>
  <c r="CJ60"/>
  <c r="CL60"/>
  <c r="CN60"/>
  <c r="CP60"/>
  <c r="CR60"/>
  <c r="CT60"/>
  <c r="CV60"/>
  <c r="CX60"/>
  <c r="CZ60"/>
  <c r="DB60"/>
  <c r="DD60"/>
  <c r="DF60"/>
  <c r="BP35"/>
  <c r="BT36"/>
  <c r="BV35"/>
  <c r="BX35"/>
  <c r="BZ35"/>
  <c r="CB35"/>
  <c r="CD35"/>
  <c r="CF35"/>
  <c r="CH35"/>
  <c r="CJ35"/>
  <c r="CL35"/>
  <c r="CN35"/>
  <c r="CP35"/>
  <c r="CR35"/>
  <c r="CT35"/>
  <c r="CV35"/>
  <c r="CX35"/>
  <c r="CZ35"/>
  <c r="DB35"/>
  <c r="DD35"/>
  <c r="DF35"/>
  <c r="BR65"/>
  <c r="BW65"/>
  <c r="CA65"/>
  <c r="CE65"/>
  <c r="CI65"/>
  <c r="CM65"/>
  <c r="CQ65"/>
  <c r="CU65"/>
  <c r="CY65"/>
  <c r="DC65"/>
  <c r="DG65"/>
  <c r="BT45" i="248"/>
  <c r="CB45"/>
  <c r="CJ45"/>
  <c r="CR45"/>
  <c r="CZ45"/>
  <c r="BR38"/>
  <c r="BZ38"/>
  <c r="CH38"/>
  <c r="CP38"/>
  <c r="CX38"/>
  <c r="DF38"/>
  <c r="BP43"/>
  <c r="BR39"/>
  <c r="BS41"/>
  <c r="BT43"/>
  <c r="BV39"/>
  <c r="BW41"/>
  <c r="BX43"/>
  <c r="BZ39"/>
  <c r="CA41"/>
  <c r="CB43"/>
  <c r="CD39"/>
  <c r="CE41"/>
  <c r="CF43"/>
  <c r="CH39"/>
  <c r="CI41"/>
  <c r="CJ43"/>
  <c r="CL39"/>
  <c r="CM41"/>
  <c r="CN43"/>
  <c r="CP39"/>
  <c r="CQ41"/>
  <c r="CR43"/>
  <c r="CT39"/>
  <c r="CU41"/>
  <c r="CV43"/>
  <c r="CX39"/>
  <c r="CY41"/>
  <c r="CZ43"/>
  <c r="DB39"/>
  <c r="DC41"/>
  <c r="DD43"/>
  <c r="DF39"/>
  <c r="DG41"/>
  <c r="BS32"/>
  <c r="BW32"/>
  <c r="CA32"/>
  <c r="CE32"/>
  <c r="CI32"/>
  <c r="CM32"/>
  <c r="CQ32"/>
  <c r="CU32"/>
  <c r="CY32"/>
  <c r="DC32"/>
  <c r="DG32"/>
  <c r="BQ57"/>
  <c r="BS57"/>
  <c r="BU57"/>
  <c r="BW57"/>
  <c r="BY57"/>
  <c r="CA57"/>
  <c r="CC57"/>
  <c r="CE57"/>
  <c r="CG57"/>
  <c r="CI57"/>
  <c r="CK57"/>
  <c r="CM57"/>
  <c r="CO57"/>
  <c r="CQ57"/>
  <c r="CS57"/>
  <c r="CU57"/>
  <c r="CW57"/>
  <c r="CY57"/>
  <c r="DA57"/>
  <c r="DC57"/>
  <c r="DE57"/>
  <c r="DG57"/>
  <c r="BR35"/>
  <c r="BT34"/>
  <c r="BQ66"/>
  <c r="BU65"/>
  <c r="BY65"/>
  <c r="CC65"/>
  <c r="CG65"/>
  <c r="CK65"/>
  <c r="CO65"/>
  <c r="CS65"/>
  <c r="CW65"/>
  <c r="DA65"/>
  <c r="DE65"/>
  <c r="BR45" i="256"/>
  <c r="BZ45"/>
  <c r="CH45"/>
  <c r="CP45"/>
  <c r="CX45"/>
  <c r="DF45"/>
  <c r="BT38"/>
  <c r="CB38"/>
  <c r="CJ38"/>
  <c r="CR38"/>
  <c r="CZ38"/>
  <c r="BP41"/>
  <c r="BQ43"/>
  <c r="BS39"/>
  <c r="BT41"/>
  <c r="BU43"/>
  <c r="BW39"/>
  <c r="BX41"/>
  <c r="BY43"/>
  <c r="CA39"/>
  <c r="CB41"/>
  <c r="CC43"/>
  <c r="CE39"/>
  <c r="CF41"/>
  <c r="CG43"/>
  <c r="CI39"/>
  <c r="CJ41"/>
  <c r="CK43"/>
  <c r="CM39"/>
  <c r="CN41"/>
  <c r="CO43"/>
  <c r="CQ39"/>
  <c r="CR41"/>
  <c r="CS43"/>
  <c r="CU39"/>
  <c r="CV41"/>
  <c r="CW43"/>
  <c r="CY39"/>
  <c r="CZ41"/>
  <c r="DA43"/>
  <c r="DC39"/>
  <c r="DD41"/>
  <c r="DE43"/>
  <c r="DG39"/>
  <c r="BR32"/>
  <c r="BV32"/>
  <c r="BZ32"/>
  <c r="CD32"/>
  <c r="CH32"/>
  <c r="CL32"/>
  <c r="CP32"/>
  <c r="CT32"/>
  <c r="CX32"/>
  <c r="DB32"/>
  <c r="DF32"/>
  <c r="BQ60"/>
  <c r="BS60"/>
  <c r="BU60"/>
  <c r="BW60"/>
  <c r="BY60"/>
  <c r="CA60"/>
  <c r="CC60"/>
  <c r="CE60"/>
  <c r="CG60"/>
  <c r="CI60"/>
  <c r="CK60"/>
  <c r="CM60"/>
  <c r="CO60"/>
  <c r="CQ60"/>
  <c r="CS60"/>
  <c r="CU60"/>
  <c r="CW60"/>
  <c r="CY60"/>
  <c r="DA60"/>
  <c r="DC60"/>
  <c r="DE60"/>
  <c r="DG60"/>
  <c r="BQ34"/>
  <c r="BU35"/>
  <c r="BW35"/>
  <c r="BY35"/>
  <c r="CA35"/>
  <c r="CC35"/>
  <c r="CE35"/>
  <c r="CG35"/>
  <c r="CI35"/>
  <c r="CK35"/>
  <c r="CM35"/>
  <c r="CO35"/>
  <c r="CQ35"/>
  <c r="CS35"/>
  <c r="CU35"/>
  <c r="CW35"/>
  <c r="CY35"/>
  <c r="DA35"/>
  <c r="DC35"/>
  <c r="DE35"/>
  <c r="DG35"/>
  <c r="BS66"/>
  <c r="BX66"/>
  <c r="CB66"/>
  <c r="CF66"/>
  <c r="CJ66"/>
  <c r="CN66"/>
  <c r="CR66"/>
  <c r="CV66"/>
  <c r="CZ66"/>
  <c r="DD66"/>
  <c r="BP45" i="255"/>
  <c r="BX45"/>
  <c r="CF45"/>
  <c r="CN45"/>
  <c r="CV45"/>
  <c r="DD45"/>
  <c r="BV38"/>
  <c r="CD38"/>
  <c r="CL38"/>
  <c r="CT38"/>
  <c r="DB38"/>
  <c r="BP39"/>
  <c r="BQ41"/>
  <c r="BR43"/>
  <c r="BT39"/>
  <c r="BU41"/>
  <c r="BV43"/>
  <c r="BX39"/>
  <c r="BY41"/>
  <c r="BZ43"/>
  <c r="CB39"/>
  <c r="CC41"/>
  <c r="CD43"/>
  <c r="CF39"/>
  <c r="CG41"/>
  <c r="CH43"/>
  <c r="CJ39"/>
  <c r="CK41"/>
  <c r="CL43"/>
  <c r="CN39"/>
  <c r="CO41"/>
  <c r="CP43"/>
  <c r="CR39"/>
  <c r="CS41"/>
  <c r="CT43"/>
  <c r="CV39"/>
  <c r="CW41"/>
  <c r="CX43"/>
  <c r="CZ39"/>
  <c r="DA41"/>
  <c r="DB43"/>
  <c r="DD39"/>
  <c r="DE41"/>
  <c r="DF43"/>
  <c r="BP32"/>
  <c r="BU32"/>
  <c r="BY32"/>
  <c r="CC32"/>
  <c r="CG32"/>
  <c r="CK32"/>
  <c r="CO32"/>
  <c r="CS32"/>
  <c r="CW32"/>
  <c r="DA32"/>
  <c r="DE32"/>
  <c r="BP57"/>
  <c r="BR57"/>
  <c r="BT57"/>
  <c r="BV57"/>
  <c r="BX57"/>
  <c r="BZ57"/>
  <c r="CB57"/>
  <c r="CD57"/>
  <c r="CF57"/>
  <c r="CH57"/>
  <c r="CJ57"/>
  <c r="CL57"/>
  <c r="CN57"/>
  <c r="CP57"/>
  <c r="CR57"/>
  <c r="CT57"/>
  <c r="CV57"/>
  <c r="CX57"/>
  <c r="CZ57"/>
  <c r="DB57"/>
  <c r="DD57"/>
  <c r="DF57"/>
  <c r="BQ36"/>
  <c r="BS35"/>
  <c r="BP65"/>
  <c r="BT65"/>
  <c r="BV66"/>
  <c r="BZ66"/>
  <c r="CD66"/>
  <c r="CH66"/>
  <c r="CL66"/>
  <c r="CP66"/>
  <c r="CT66"/>
  <c r="CX66"/>
  <c r="DB66"/>
  <c r="DF66"/>
  <c r="BV45" i="257"/>
  <c r="CD45"/>
  <c r="CL45"/>
  <c r="CT45"/>
  <c r="DB45"/>
  <c r="BP38"/>
  <c r="BX38"/>
  <c r="CF38"/>
  <c r="CN38"/>
  <c r="CV38"/>
  <c r="DD38"/>
  <c r="BQ39"/>
  <c r="BR41"/>
  <c r="BS43"/>
  <c r="BU39"/>
  <c r="BV41"/>
  <c r="BW43"/>
  <c r="BY39"/>
  <c r="BZ41"/>
  <c r="CA43"/>
  <c r="CC39"/>
  <c r="CD41"/>
  <c r="CE43"/>
  <c r="CG39"/>
  <c r="CH41"/>
  <c r="CI43"/>
  <c r="CK39"/>
  <c r="CL41"/>
  <c r="CM43"/>
  <c r="CO39"/>
  <c r="CP41"/>
  <c r="CQ43"/>
  <c r="CS39"/>
  <c r="CT41"/>
  <c r="CU43"/>
  <c r="CW39"/>
  <c r="CX41"/>
  <c r="CY43"/>
  <c r="DA39"/>
  <c r="DB41"/>
  <c r="DC43"/>
  <c r="DE39"/>
  <c r="DF41"/>
  <c r="DG43"/>
  <c r="BT32"/>
  <c r="BX32"/>
  <c r="CB32"/>
  <c r="CF32"/>
  <c r="CJ32"/>
  <c r="CN32"/>
  <c r="CR32"/>
  <c r="CV32"/>
  <c r="CZ32"/>
  <c r="DD32"/>
  <c r="BP60"/>
  <c r="BR60"/>
  <c r="BT60"/>
  <c r="BV60"/>
  <c r="BX60"/>
  <c r="BZ60"/>
  <c r="CB60"/>
  <c r="CD60"/>
  <c r="CF60"/>
  <c r="CH60"/>
  <c r="CJ60"/>
  <c r="CL60"/>
  <c r="CN60"/>
  <c r="CP60"/>
  <c r="CR60"/>
  <c r="CT60"/>
  <c r="CV60"/>
  <c r="CX60"/>
  <c r="CZ60"/>
  <c r="DB60"/>
  <c r="DD60"/>
  <c r="DF60"/>
  <c r="AY184" i="279"/>
  <c r="BQ34" i="257"/>
  <c r="BU35"/>
  <c r="BW35"/>
  <c r="BY35"/>
  <c r="CA35"/>
  <c r="CC35"/>
  <c r="CE35"/>
  <c r="CG35"/>
  <c r="CI35"/>
  <c r="CK35"/>
  <c r="CM35"/>
  <c r="CO35"/>
  <c r="CQ35"/>
  <c r="CS35"/>
  <c r="CU35"/>
  <c r="CW35"/>
  <c r="CY35"/>
  <c r="DA35"/>
  <c r="DC35"/>
  <c r="DE35"/>
  <c r="DG35"/>
  <c r="BS66"/>
  <c r="BX66"/>
  <c r="CB66"/>
  <c r="CF66"/>
  <c r="CJ66"/>
  <c r="CN66"/>
  <c r="CR66"/>
  <c r="CV66"/>
  <c r="CZ66"/>
  <c r="DD66"/>
  <c r="AY139" i="279"/>
  <c r="AY143"/>
  <c r="AY149"/>
  <c r="AB21" i="263"/>
  <c r="AB45"/>
  <c r="AB28"/>
  <c r="AD32"/>
  <c r="AD40"/>
  <c r="AD27"/>
  <c r="AC11"/>
  <c r="AC18"/>
  <c r="AC39"/>
  <c r="AC47"/>
  <c r="AC30"/>
  <c r="AG10"/>
  <c r="AG22"/>
  <c r="AG38"/>
  <c r="AG46"/>
  <c r="AH11"/>
  <c r="AH18"/>
  <c r="AH39"/>
  <c r="AH47"/>
  <c r="AJ11"/>
  <c r="AJ18"/>
  <c r="AJ42"/>
  <c r="AJ29"/>
  <c r="AJ65"/>
  <c r="AK21"/>
  <c r="AK45"/>
  <c r="AK28"/>
  <c r="AE32"/>
  <c r="AE40"/>
  <c r="AE30"/>
  <c r="AF16"/>
  <c r="AF36"/>
  <c r="AF48"/>
  <c r="AF59"/>
  <c r="AI15"/>
  <c r="AI35"/>
  <c r="AI43"/>
  <c r="AI26"/>
  <c r="AI59"/>
  <c r="AS19"/>
  <c r="AS39"/>
  <c r="AS47"/>
  <c r="AS30"/>
  <c r="BD10"/>
  <c r="BD35"/>
  <c r="BD43"/>
  <c r="BD28"/>
  <c r="BD59"/>
  <c r="AB21" i="262"/>
  <c r="AB45"/>
  <c r="AB28"/>
  <c r="AD32"/>
  <c r="AD40"/>
  <c r="AD27"/>
  <c r="AC11"/>
  <c r="AC18"/>
  <c r="AC39"/>
  <c r="AC47"/>
  <c r="AC30"/>
  <c r="AG10"/>
  <c r="AG22"/>
  <c r="AG38"/>
  <c r="AG46"/>
  <c r="AH11"/>
  <c r="AH18"/>
  <c r="AH39"/>
  <c r="AH47"/>
  <c r="AJ11"/>
  <c r="AJ18"/>
  <c r="AJ42"/>
  <c r="AJ29"/>
  <c r="AJ65"/>
  <c r="AK21"/>
  <c r="AK45"/>
  <c r="AK28"/>
  <c r="AE32"/>
  <c r="AE40"/>
  <c r="AE30"/>
  <c r="AF16"/>
  <c r="AF36"/>
  <c r="AF48"/>
  <c r="AF59"/>
  <c r="AI15"/>
  <c r="AI35"/>
  <c r="AI43"/>
  <c r="AI26"/>
  <c r="AI59"/>
  <c r="CL27" i="259"/>
  <c r="BT29" i="258"/>
  <c r="BQ28" i="248"/>
  <c r="CL26"/>
  <c r="DF26"/>
  <c r="CS29" i="256"/>
  <c r="CE26" i="255"/>
  <c r="BQ27" i="257"/>
  <c r="CW27"/>
  <c r="CP22" i="263"/>
  <c r="CR22" i="261"/>
  <c r="DB22" i="259"/>
  <c r="CN22" i="248"/>
  <c r="DG22" i="256"/>
  <c r="CM22" i="257"/>
  <c r="CQ21" i="262"/>
  <c r="CU21" i="260"/>
  <c r="BS21" i="258"/>
  <c r="BU21" i="248"/>
  <c r="BW21" i="256"/>
  <c r="BY21" i="255"/>
  <c r="CA21" i="257"/>
  <c r="CA19" i="263"/>
  <c r="DG19"/>
  <c r="CP19" i="261"/>
  <c r="BT19" i="259"/>
  <c r="CZ19"/>
  <c r="CU19" i="248"/>
  <c r="CT19" i="255"/>
  <c r="CQ15" i="263"/>
  <c r="CT16" i="262"/>
  <c r="CB16" i="261"/>
  <c r="BU15" i="260"/>
  <c r="DA15"/>
  <c r="CI15" i="259"/>
  <c r="CL16" i="258"/>
  <c r="BT16" i="248"/>
  <c r="CZ16"/>
  <c r="CS15" i="256"/>
  <c r="CV16" i="255"/>
  <c r="CD16" i="257"/>
  <c r="CA13" i="263"/>
  <c r="CJ13" i="262"/>
  <c r="BV13" i="260"/>
  <c r="CE13" i="259"/>
  <c r="CW13" i="248"/>
  <c r="DF13" i="256"/>
  <c r="CR13" i="257"/>
  <c r="CD10" i="263"/>
  <c r="DE10"/>
  <c r="BT10" i="262"/>
  <c r="CJ10"/>
  <c r="CZ10"/>
  <c r="BS10" i="261"/>
  <c r="CI10"/>
  <c r="CY10"/>
  <c r="BS11" i="260"/>
  <c r="CI11"/>
  <c r="CY11"/>
  <c r="CD11" i="259"/>
  <c r="CT11"/>
  <c r="BX10" i="258"/>
  <c r="CG11"/>
  <c r="CO11"/>
  <c r="CW11"/>
  <c r="DE11"/>
  <c r="BZ10" i="248"/>
  <c r="CH10"/>
  <c r="CP10"/>
  <c r="CX10"/>
  <c r="DF10"/>
  <c r="BV11" i="256"/>
  <c r="CD11"/>
  <c r="CL11"/>
  <c r="CT11"/>
  <c r="DB11"/>
  <c r="BP11" i="255"/>
  <c r="BU10"/>
  <c r="CC10"/>
  <c r="CK10"/>
  <c r="CS10"/>
  <c r="DA10"/>
  <c r="BU11" i="257"/>
  <c r="CC11"/>
  <c r="CK11"/>
  <c r="CS11"/>
  <c r="DA11"/>
  <c r="BR48" i="263"/>
  <c r="BU47"/>
  <c r="BZ46"/>
  <c r="CC47"/>
  <c r="CH46"/>
  <c r="CK47"/>
  <c r="CP46"/>
  <c r="CS47"/>
  <c r="CX46"/>
  <c r="DA47"/>
  <c r="BS48" i="262"/>
  <c r="BV50"/>
  <c r="CA48"/>
  <c r="CD50"/>
  <c r="CI48"/>
  <c r="CL50"/>
  <c r="CQ48"/>
  <c r="CT50"/>
  <c r="CY48"/>
  <c r="DB50"/>
  <c r="DE46"/>
  <c r="BS47" i="261"/>
  <c r="BX46"/>
  <c r="CA47"/>
  <c r="CF46"/>
  <c r="CI47"/>
  <c r="CN46"/>
  <c r="CQ47"/>
  <c r="CV46"/>
  <c r="CY47"/>
  <c r="DD46"/>
  <c r="BQ48" i="260"/>
  <c r="BT50"/>
  <c r="BY48"/>
  <c r="CB50"/>
  <c r="CG48"/>
  <c r="CJ50"/>
  <c r="CO48"/>
  <c r="CR50"/>
  <c r="CW48"/>
  <c r="CZ50"/>
  <c r="DD50"/>
  <c r="BT48" i="259"/>
  <c r="BW50"/>
  <c r="CB48"/>
  <c r="CE50"/>
  <c r="CJ48"/>
  <c r="CM50"/>
  <c r="CR48"/>
  <c r="CU50"/>
  <c r="CZ48"/>
  <c r="DC50"/>
  <c r="DG50"/>
  <c r="BW48" i="258"/>
  <c r="BZ50"/>
  <c r="CE48"/>
  <c r="CH50"/>
  <c r="CM48"/>
  <c r="CP50"/>
  <c r="CU48"/>
  <c r="CX50"/>
  <c r="DC48"/>
  <c r="BT46" i="248"/>
  <c r="BW47"/>
  <c r="CB46"/>
  <c r="CE47"/>
  <c r="CJ46"/>
  <c r="CM47"/>
  <c r="CR46"/>
  <c r="CU47"/>
  <c r="CZ46"/>
  <c r="DC47"/>
  <c r="DG47"/>
  <c r="BW46" i="256"/>
  <c r="BZ47"/>
  <c r="CE46"/>
  <c r="CH47"/>
  <c r="CM46"/>
  <c r="CP47"/>
  <c r="CU46"/>
  <c r="CX47"/>
  <c r="DC46"/>
  <c r="DG46"/>
  <c r="BS50" i="255"/>
  <c r="BX48"/>
  <c r="CA50"/>
  <c r="CF48"/>
  <c r="CI50"/>
  <c r="CN48"/>
  <c r="CQ50"/>
  <c r="CV48"/>
  <c r="CY50"/>
  <c r="DE47"/>
  <c r="BU46" i="257"/>
  <c r="BX47"/>
  <c r="CC46"/>
  <c r="CF47"/>
  <c r="CK46"/>
  <c r="CN47"/>
  <c r="CS46"/>
  <c r="CV47"/>
  <c r="DA46"/>
  <c r="DD47"/>
  <c r="DF50"/>
  <c r="CC45" i="262"/>
  <c r="CS45"/>
  <c r="BW38"/>
  <c r="CM38"/>
  <c r="DC38"/>
  <c r="BQ42"/>
  <c r="BU42"/>
  <c r="BY42"/>
  <c r="CC42"/>
  <c r="CG42"/>
  <c r="CK42"/>
  <c r="CO42"/>
  <c r="CS43"/>
  <c r="CU42"/>
  <c r="CW41"/>
  <c r="CY39"/>
  <c r="DA43"/>
  <c r="DC42"/>
  <c r="DE41"/>
  <c r="DG39"/>
  <c r="BT32"/>
  <c r="BY32"/>
  <c r="CC32"/>
  <c r="CG32"/>
  <c r="CK32"/>
  <c r="CO32"/>
  <c r="CS32"/>
  <c r="CW32"/>
  <c r="DA32"/>
  <c r="DE32"/>
  <c r="BP57"/>
  <c r="BR57"/>
  <c r="BT57"/>
  <c r="BV57"/>
  <c r="BX57"/>
  <c r="BZ57"/>
  <c r="CB57"/>
  <c r="CD57"/>
  <c r="CF57"/>
  <c r="CH57"/>
  <c r="CJ57"/>
  <c r="CL57"/>
  <c r="CN57"/>
  <c r="CP57"/>
  <c r="CR57"/>
  <c r="CT57"/>
  <c r="CV57"/>
  <c r="CX57"/>
  <c r="CZ57"/>
  <c r="DB57"/>
  <c r="DD57"/>
  <c r="DF57"/>
  <c r="BQ36"/>
  <c r="BS35"/>
  <c r="BP65"/>
  <c r="BT65"/>
  <c r="BV66"/>
  <c r="BZ66"/>
  <c r="CD66"/>
  <c r="CH66"/>
  <c r="CL66"/>
  <c r="CP66"/>
  <c r="CT66"/>
  <c r="CX66"/>
  <c r="DB66"/>
  <c r="DF66"/>
  <c r="BW45" i="263"/>
  <c r="CE45"/>
  <c r="CM45"/>
  <c r="CU45"/>
  <c r="DC45"/>
  <c r="BQ38"/>
  <c r="BY38"/>
  <c r="CG38"/>
  <c r="CO38"/>
  <c r="CW38"/>
  <c r="DE38"/>
  <c r="BQ40"/>
  <c r="BS40"/>
  <c r="BU40"/>
  <c r="BW40"/>
  <c r="BY40"/>
  <c r="CA40"/>
  <c r="CC40"/>
  <c r="CE40"/>
  <c r="CG40"/>
  <c r="CI40"/>
  <c r="CK40"/>
  <c r="CM40"/>
  <c r="CO40"/>
  <c r="CQ40"/>
  <c r="CS40"/>
  <c r="CU40"/>
  <c r="CW40"/>
  <c r="CY40"/>
  <c r="DA40"/>
  <c r="DC40"/>
  <c r="DE40"/>
  <c r="DG40"/>
  <c r="BP36"/>
  <c r="BR34"/>
  <c r="BU36"/>
  <c r="BW36"/>
  <c r="BY36"/>
  <c r="CA36"/>
  <c r="CC36"/>
  <c r="CE36"/>
  <c r="CG36"/>
  <c r="CI36"/>
  <c r="CK36"/>
  <c r="CM36"/>
  <c r="CO36"/>
  <c r="CQ36"/>
  <c r="CS36"/>
  <c r="CU36"/>
  <c r="CW36"/>
  <c r="CY36"/>
  <c r="DA36"/>
  <c r="DC36"/>
  <c r="DE36"/>
  <c r="DG36"/>
  <c r="BR66"/>
  <c r="BW66"/>
  <c r="CA66"/>
  <c r="CE66"/>
  <c r="CI66"/>
  <c r="CM66"/>
  <c r="CQ66"/>
  <c r="CU66"/>
  <c r="CY66"/>
  <c r="DC66"/>
  <c r="DG66"/>
  <c r="BU45" i="261"/>
  <c r="CC45"/>
  <c r="CK45"/>
  <c r="CS45"/>
  <c r="DA45"/>
  <c r="BS38"/>
  <c r="CA38"/>
  <c r="CI38"/>
  <c r="CQ38"/>
  <c r="CY38"/>
  <c r="DG38"/>
  <c r="BQ42"/>
  <c r="BS42"/>
  <c r="BU42"/>
  <c r="BW42"/>
  <c r="BY42"/>
  <c r="CA42"/>
  <c r="CC42"/>
  <c r="CE42"/>
  <c r="CG42"/>
  <c r="CI42"/>
  <c r="CK42"/>
  <c r="CM42"/>
  <c r="CO42"/>
  <c r="CQ42"/>
  <c r="CS42"/>
  <c r="CU42"/>
  <c r="CW42"/>
  <c r="CY42"/>
  <c r="DA42"/>
  <c r="DC42"/>
  <c r="DE42"/>
  <c r="DG42"/>
  <c r="BQ59"/>
  <c r="BS59"/>
  <c r="BU59"/>
  <c r="BW59"/>
  <c r="BY59"/>
  <c r="CA59"/>
  <c r="CC59"/>
  <c r="CE59"/>
  <c r="CG59"/>
  <c r="CI59"/>
  <c r="CK59"/>
  <c r="CM59"/>
  <c r="CO59"/>
  <c r="CQ59"/>
  <c r="CS59"/>
  <c r="CU59"/>
  <c r="CW59"/>
  <c r="CY59"/>
  <c r="DA59"/>
  <c r="DC59"/>
  <c r="DE59"/>
  <c r="DG59"/>
  <c r="BR36"/>
  <c r="BT35"/>
  <c r="BV34"/>
  <c r="BX34"/>
  <c r="BZ34"/>
  <c r="CB34"/>
  <c r="CD34"/>
  <c r="CF34"/>
  <c r="CH34"/>
  <c r="CJ34"/>
  <c r="CL34"/>
  <c r="CN34"/>
  <c r="CP34"/>
  <c r="CR34"/>
  <c r="CT34"/>
  <c r="CV34"/>
  <c r="CX34"/>
  <c r="CZ34"/>
  <c r="DB34"/>
  <c r="DD34"/>
  <c r="DF34"/>
  <c r="BP66"/>
  <c r="BT66"/>
  <c r="BX65"/>
  <c r="CB65"/>
  <c r="CF65"/>
  <c r="CJ65"/>
  <c r="CN65"/>
  <c r="CR65"/>
  <c r="CV65"/>
  <c r="CZ65"/>
  <c r="DD65"/>
  <c r="BS45" i="260"/>
  <c r="CA45"/>
  <c r="CI45"/>
  <c r="CQ45"/>
  <c r="CY45"/>
  <c r="DG45"/>
  <c r="BU38"/>
  <c r="CC38"/>
  <c r="CK38"/>
  <c r="CS38"/>
  <c r="DA38"/>
  <c r="BP42"/>
  <c r="BR42"/>
  <c r="BT42"/>
  <c r="BV42"/>
  <c r="BX42"/>
  <c r="BZ42"/>
  <c r="CB42"/>
  <c r="CD42"/>
  <c r="CF42"/>
  <c r="CH42"/>
  <c r="CJ42"/>
  <c r="CL42"/>
  <c r="CN42"/>
  <c r="CP42"/>
  <c r="CR42"/>
  <c r="CT42"/>
  <c r="CV42"/>
  <c r="CX42"/>
  <c r="CZ42"/>
  <c r="DB42"/>
  <c r="DD42"/>
  <c r="DF42"/>
  <c r="BQ32"/>
  <c r="BQ35"/>
  <c r="BS34"/>
  <c r="BV36"/>
  <c r="BX36"/>
  <c r="BZ36"/>
  <c r="CB36"/>
  <c r="CD36"/>
  <c r="CF36"/>
  <c r="CH36"/>
  <c r="CJ36"/>
  <c r="CL36"/>
  <c r="CN36"/>
  <c r="CP36"/>
  <c r="CR36"/>
  <c r="CT36"/>
  <c r="CV36"/>
  <c r="CX36"/>
  <c r="CZ36"/>
  <c r="DB36"/>
  <c r="DD36"/>
  <c r="DF36"/>
  <c r="BQ65"/>
  <c r="BV65"/>
  <c r="BZ65"/>
  <c r="CD65"/>
  <c r="CH65"/>
  <c r="CL65"/>
  <c r="CP65"/>
  <c r="CT65"/>
  <c r="CX65"/>
  <c r="DB65"/>
  <c r="DF65"/>
  <c r="BQ45" i="259"/>
  <c r="BY45"/>
  <c r="CG45"/>
  <c r="CO45"/>
  <c r="CW45"/>
  <c r="DE45"/>
  <c r="BW38"/>
  <c r="CE38"/>
  <c r="CM38"/>
  <c r="CU38"/>
  <c r="DC38"/>
  <c r="BP40"/>
  <c r="BR40"/>
  <c r="BT40"/>
  <c r="BV40"/>
  <c r="BX40"/>
  <c r="BZ40"/>
  <c r="CB40"/>
  <c r="CD40"/>
  <c r="CF40"/>
  <c r="CH40"/>
  <c r="CJ40"/>
  <c r="CL40"/>
  <c r="CN40"/>
  <c r="CP40"/>
  <c r="CR40"/>
  <c r="CT40"/>
  <c r="CV40"/>
  <c r="CX40"/>
  <c r="DF40"/>
  <c r="BW59"/>
  <c r="CE59"/>
  <c r="CM59"/>
  <c r="CU59"/>
  <c r="DC59"/>
  <c r="BP34"/>
  <c r="BX34"/>
  <c r="CF34"/>
  <c r="CN34"/>
  <c r="CV34"/>
  <c r="DD34"/>
  <c r="BX65"/>
  <c r="CN65"/>
  <c r="DD65"/>
  <c r="CU45" i="258"/>
  <c r="CG38"/>
  <c r="BP42"/>
  <c r="BX42"/>
  <c r="CF42"/>
  <c r="CN42"/>
  <c r="CV42"/>
  <c r="DD42"/>
  <c r="BQ32"/>
  <c r="BU36"/>
  <c r="CC36"/>
  <c r="CK36"/>
  <c r="CS36"/>
  <c r="DA36"/>
  <c r="BQ65"/>
  <c r="CA66"/>
  <c r="CQ66"/>
  <c r="DG66"/>
  <c r="CO45" i="248"/>
  <c r="CA38"/>
  <c r="DG38"/>
  <c r="BW42"/>
  <c r="CE42"/>
  <c r="CM42"/>
  <c r="CU42"/>
  <c r="DC42"/>
  <c r="BS59"/>
  <c r="CA59"/>
  <c r="CI59"/>
  <c r="CQ59"/>
  <c r="CY59"/>
  <c r="DG59"/>
  <c r="BR36"/>
  <c r="CB34"/>
  <c r="CJ34"/>
  <c r="CR34"/>
  <c r="CZ34"/>
  <c r="BT66"/>
  <c r="CC66"/>
  <c r="CS66"/>
  <c r="CE45" i="256"/>
  <c r="BQ38"/>
  <c r="CW38"/>
  <c r="BS40"/>
  <c r="CA40"/>
  <c r="CI40"/>
  <c r="CQ40"/>
  <c r="CY40"/>
  <c r="DG40"/>
  <c r="BS34"/>
  <c r="BY36"/>
  <c r="CG36"/>
  <c r="CO36"/>
  <c r="CW36"/>
  <c r="DE36"/>
  <c r="BV65"/>
  <c r="CL65"/>
  <c r="DB65"/>
  <c r="BY45" i="255"/>
  <c r="DE45"/>
  <c r="CQ38"/>
  <c r="BR40"/>
  <c r="BZ40"/>
  <c r="CH40"/>
  <c r="CP40"/>
  <c r="CX40"/>
  <c r="DF40"/>
  <c r="BW59"/>
  <c r="CE59"/>
  <c r="CM59"/>
  <c r="CU59"/>
  <c r="DC59"/>
  <c r="BP34"/>
  <c r="BX34"/>
  <c r="CF34"/>
  <c r="CN34"/>
  <c r="CV34"/>
  <c r="DD34"/>
  <c r="BX65"/>
  <c r="CN65"/>
  <c r="DD65"/>
  <c r="CU45" i="257"/>
  <c r="CG38"/>
  <c r="BP42"/>
  <c r="BX42"/>
  <c r="CF42"/>
  <c r="CN42"/>
  <c r="CV42"/>
  <c r="DD42"/>
  <c r="BQ32"/>
  <c r="BU36"/>
  <c r="CC36"/>
  <c r="CK36"/>
  <c r="CS36"/>
  <c r="DA36"/>
  <c r="BQ65"/>
  <c r="CA66"/>
  <c r="CQ66"/>
  <c r="DG66"/>
  <c r="AB42" i="263"/>
  <c r="AD41"/>
  <c r="AC40"/>
  <c r="AG39"/>
  <c r="AJ32"/>
  <c r="AK22"/>
  <c r="AK65"/>
  <c r="AE45"/>
  <c r="AF21"/>
  <c r="AF60"/>
  <c r="AS18"/>
  <c r="BD15"/>
  <c r="AB22" i="262"/>
  <c r="AB65"/>
  <c r="AD45"/>
  <c r="AG18"/>
  <c r="AH16"/>
  <c r="AJ36"/>
  <c r="AK10"/>
  <c r="AE41"/>
  <c r="AF41"/>
  <c r="AI16"/>
  <c r="AI40"/>
  <c r="AS18"/>
  <c r="AS39"/>
  <c r="AS47"/>
  <c r="AS30"/>
  <c r="BD10"/>
  <c r="BD35"/>
  <c r="BD43"/>
  <c r="BD28"/>
  <c r="BD59"/>
  <c r="AB21" i="261"/>
  <c r="AB45"/>
  <c r="AB28"/>
  <c r="AD32"/>
  <c r="AD40"/>
  <c r="AD27"/>
  <c r="AC11"/>
  <c r="AC18"/>
  <c r="AC39"/>
  <c r="AC47"/>
  <c r="AC30"/>
  <c r="AG10"/>
  <c r="AG22"/>
  <c r="AG38"/>
  <c r="AG46"/>
  <c r="AH11"/>
  <c r="AH18"/>
  <c r="AH39"/>
  <c r="AH47"/>
  <c r="AJ11"/>
  <c r="AJ18"/>
  <c r="AJ42"/>
  <c r="AJ29"/>
  <c r="AJ65"/>
  <c r="AK21"/>
  <c r="AK45"/>
  <c r="AK28"/>
  <c r="AE32"/>
  <c r="AE40"/>
  <c r="AE30"/>
  <c r="AF16"/>
  <c r="AF36"/>
  <c r="AF48"/>
  <c r="AF59"/>
  <c r="AI15"/>
  <c r="AI35"/>
  <c r="AI43"/>
  <c r="AI26"/>
  <c r="AI59"/>
  <c r="AS19"/>
  <c r="AS39"/>
  <c r="AS47"/>
  <c r="AS30"/>
  <c r="BD10"/>
  <c r="BD35"/>
  <c r="BD43"/>
  <c r="BD28"/>
  <c r="BD59"/>
  <c r="AB21" i="260"/>
  <c r="AB45"/>
  <c r="AB28"/>
  <c r="AD32"/>
  <c r="AD40"/>
  <c r="AD27"/>
  <c r="AC11"/>
  <c r="AC18"/>
  <c r="AC39"/>
  <c r="AC47"/>
  <c r="AC30"/>
  <c r="AG10"/>
  <c r="AG22"/>
  <c r="AG38"/>
  <c r="AG46"/>
  <c r="AH11"/>
  <c r="AH18"/>
  <c r="AH39"/>
  <c r="AH47"/>
  <c r="AJ11"/>
  <c r="AJ18"/>
  <c r="AJ42"/>
  <c r="AJ29"/>
  <c r="AJ65"/>
  <c r="AK21"/>
  <c r="AK45"/>
  <c r="AK28"/>
  <c r="AE32"/>
  <c r="AE40"/>
  <c r="AE30"/>
  <c r="AF16"/>
  <c r="AF36"/>
  <c r="AF48"/>
  <c r="AF59"/>
  <c r="AI15"/>
  <c r="AI35"/>
  <c r="AI43"/>
  <c r="AI26"/>
  <c r="AI59"/>
  <c r="AS19"/>
  <c r="AS39"/>
  <c r="AS47"/>
  <c r="AS30"/>
  <c r="BD10"/>
  <c r="BD35"/>
  <c r="BD43"/>
  <c r="BD28"/>
  <c r="BD59"/>
  <c r="AB21" i="259"/>
  <c r="AB45"/>
  <c r="AB28"/>
  <c r="AD32"/>
  <c r="AD40"/>
  <c r="AD27"/>
  <c r="AC11"/>
  <c r="AC18"/>
  <c r="AC39"/>
  <c r="AC47"/>
  <c r="AC30"/>
  <c r="AG10"/>
  <c r="AG22"/>
  <c r="AG38"/>
  <c r="AG46"/>
  <c r="AH11"/>
  <c r="AH18"/>
  <c r="AH39"/>
  <c r="AH47"/>
  <c r="AJ11"/>
  <c r="AJ18"/>
  <c r="AJ42"/>
  <c r="AJ29"/>
  <c r="AJ65"/>
  <c r="AK21"/>
  <c r="AK45"/>
  <c r="AK28"/>
  <c r="AE32"/>
  <c r="AE40"/>
  <c r="AE30"/>
  <c r="AF16"/>
  <c r="AF36"/>
  <c r="AF48"/>
  <c r="AF59"/>
  <c r="AI15"/>
  <c r="AI35"/>
  <c r="AI43"/>
  <c r="AI26"/>
  <c r="AI59"/>
  <c r="AS19"/>
  <c r="AS39"/>
  <c r="AS47"/>
  <c r="AS30"/>
  <c r="BD10"/>
  <c r="BD35"/>
  <c r="BD43"/>
  <c r="BD28"/>
  <c r="BD59"/>
  <c r="AB21" i="258"/>
  <c r="AB45"/>
  <c r="AB28"/>
  <c r="AD32"/>
  <c r="AD40"/>
  <c r="AD27"/>
  <c r="AC11"/>
  <c r="AC18"/>
  <c r="AC39"/>
  <c r="AC47"/>
  <c r="AC30"/>
  <c r="AG10"/>
  <c r="AG22"/>
  <c r="AG38"/>
  <c r="AG46"/>
  <c r="AH11"/>
  <c r="AH18"/>
  <c r="DD40" i="259"/>
  <c r="BT59"/>
  <c r="CB59"/>
  <c r="CJ59"/>
  <c r="CR59"/>
  <c r="CZ59"/>
  <c r="BS36"/>
  <c r="BY34"/>
  <c r="CG34"/>
  <c r="CO34"/>
  <c r="CW34"/>
  <c r="DE34"/>
  <c r="BY66"/>
  <c r="CO66"/>
  <c r="DE66"/>
  <c r="CI45" i="258"/>
  <c r="BU38"/>
  <c r="DA38"/>
  <c r="BV42"/>
  <c r="CD42"/>
  <c r="CL42"/>
  <c r="CT42"/>
  <c r="DB42"/>
  <c r="BQ35"/>
  <c r="BZ36"/>
  <c r="CH36"/>
  <c r="CP36"/>
  <c r="CX36"/>
  <c r="DF36"/>
  <c r="BW66"/>
  <c r="CM66"/>
  <c r="DC66"/>
  <c r="CS45" i="248"/>
  <c r="CU38"/>
  <c r="BU42"/>
  <c r="CC42"/>
  <c r="CK42"/>
  <c r="CS42"/>
  <c r="DA42"/>
  <c r="BP59"/>
  <c r="BX59"/>
  <c r="CF59"/>
  <c r="CN59"/>
  <c r="CV59"/>
  <c r="DD59"/>
  <c r="BU34"/>
  <c r="CC34"/>
  <c r="CK34"/>
  <c r="CS34"/>
  <c r="DA34"/>
  <c r="BP66"/>
  <c r="CJ65"/>
  <c r="CZ65"/>
  <c r="BS45" i="256"/>
  <c r="CY45"/>
  <c r="CK38"/>
  <c r="BQ40"/>
  <c r="BY40"/>
  <c r="CG40"/>
  <c r="CO40"/>
  <c r="CW40"/>
  <c r="DE40"/>
  <c r="BV36"/>
  <c r="CD36"/>
  <c r="CL36"/>
  <c r="CT36"/>
  <c r="DB36"/>
  <c r="BR66"/>
  <c r="CH65"/>
  <c r="CX65"/>
  <c r="CC45" i="255"/>
  <c r="CE38"/>
  <c r="BP40"/>
  <c r="BX40"/>
  <c r="CF40"/>
  <c r="CN40"/>
  <c r="CV40"/>
  <c r="DD40"/>
  <c r="BT59"/>
  <c r="CB59"/>
  <c r="CJ59"/>
  <c r="CR59"/>
  <c r="CZ59"/>
  <c r="BS36"/>
  <c r="BY34"/>
  <c r="CG34"/>
  <c r="CO34"/>
  <c r="CW34"/>
  <c r="DE34"/>
  <c r="BY66"/>
  <c r="CO66"/>
  <c r="DE66"/>
  <c r="CI45" i="257"/>
  <c r="BU38"/>
  <c r="DA38"/>
  <c r="BV42"/>
  <c r="CD42"/>
  <c r="CL42"/>
  <c r="CT42"/>
  <c r="DB42"/>
  <c r="BQ35"/>
  <c r="BZ36"/>
  <c r="CH36"/>
  <c r="CP36"/>
  <c r="CX36"/>
  <c r="DF36"/>
  <c r="BW66"/>
  <c r="CM66"/>
  <c r="DC66"/>
  <c r="AB46" i="263"/>
  <c r="AD21"/>
  <c r="AC60"/>
  <c r="AG43"/>
  <c r="AH40"/>
  <c r="AJ26"/>
  <c r="AK34"/>
  <c r="AF50"/>
  <c r="AI48"/>
  <c r="AS48"/>
  <c r="BD60"/>
  <c r="AB34" i="262"/>
  <c r="AC32"/>
  <c r="AG47"/>
  <c r="AJ30"/>
  <c r="AK29"/>
  <c r="AE18"/>
  <c r="AE43"/>
  <c r="AE57"/>
  <c r="AF11"/>
  <c r="AF35"/>
  <c r="AF26"/>
  <c r="AI10"/>
  <c r="AI34"/>
  <c r="AI57"/>
  <c r="AS21"/>
  <c r="AS40"/>
  <c r="AS27"/>
  <c r="BD11"/>
  <c r="BD18"/>
  <c r="BD36"/>
  <c r="BD48"/>
  <c r="BD60"/>
  <c r="AB19" i="261"/>
  <c r="AB34"/>
  <c r="AB42"/>
  <c r="AB29"/>
  <c r="AB65"/>
  <c r="AD21"/>
  <c r="AD45"/>
  <c r="AD28"/>
  <c r="AC32"/>
  <c r="AC40"/>
  <c r="AC27"/>
  <c r="AG11"/>
  <c r="AG18"/>
  <c r="AG39"/>
  <c r="AG47"/>
  <c r="AH16"/>
  <c r="AH36"/>
  <c r="AH48"/>
  <c r="AJ32"/>
  <c r="AJ43"/>
  <c r="AJ26"/>
  <c r="AJ59"/>
  <c r="AK19"/>
  <c r="AK34"/>
  <c r="AK42"/>
  <c r="AK29"/>
  <c r="AK65"/>
  <c r="AE21"/>
  <c r="AE45"/>
  <c r="AE28"/>
  <c r="AF13"/>
  <c r="AF41"/>
  <c r="AF50"/>
  <c r="AF60"/>
  <c r="AI32"/>
  <c r="AI40"/>
  <c r="AI27"/>
  <c r="AS11"/>
  <c r="AS18"/>
  <c r="AS36"/>
  <c r="AS48"/>
  <c r="AS60"/>
  <c r="BD15"/>
  <c r="BD32"/>
  <c r="BD40"/>
  <c r="BD27"/>
  <c r="AB10" i="260"/>
  <c r="AB22"/>
  <c r="AB38"/>
  <c r="AB46"/>
  <c r="AB57"/>
  <c r="AD13"/>
  <c r="AD41"/>
  <c r="AD50"/>
  <c r="AC16"/>
  <c r="AC36"/>
  <c r="AC48"/>
  <c r="AC60"/>
  <c r="AG15"/>
  <c r="AG35"/>
  <c r="AG43"/>
  <c r="AG26"/>
  <c r="AH32"/>
  <c r="AH40"/>
  <c r="AJ16"/>
  <c r="AJ36"/>
  <c r="AJ47"/>
  <c r="AJ30"/>
  <c r="AK10"/>
  <c r="AK22"/>
  <c r="AK38"/>
  <c r="AK46"/>
  <c r="AK57"/>
  <c r="AE13"/>
  <c r="AE41"/>
  <c r="AE50"/>
  <c r="AE60"/>
  <c r="AF21"/>
  <c r="AF45"/>
  <c r="AF28"/>
  <c r="AI16"/>
  <c r="AI36"/>
  <c r="AI48"/>
  <c r="AI60"/>
  <c r="AS15"/>
  <c r="AS32"/>
  <c r="AS40"/>
  <c r="AS27"/>
  <c r="BD11"/>
  <c r="BD18"/>
  <c r="BD36"/>
  <c r="BD48"/>
  <c r="BD60"/>
  <c r="AB19" i="259"/>
  <c r="AB34"/>
  <c r="AB42"/>
  <c r="AB29"/>
  <c r="AB65"/>
  <c r="AD21"/>
  <c r="AD45"/>
  <c r="AD28"/>
  <c r="AC32"/>
  <c r="AC40"/>
  <c r="AC27"/>
  <c r="AG11"/>
  <c r="AG18"/>
  <c r="AG39"/>
  <c r="AG47"/>
  <c r="AH16"/>
  <c r="AH36"/>
  <c r="AH48"/>
  <c r="AJ32"/>
  <c r="AJ43"/>
  <c r="AJ26"/>
  <c r="AJ59"/>
  <c r="AK19"/>
  <c r="AK34"/>
  <c r="AK42"/>
  <c r="AK29"/>
  <c r="AK65"/>
  <c r="AE21"/>
  <c r="AE45"/>
  <c r="AE28"/>
  <c r="AF13"/>
  <c r="AF41"/>
  <c r="AF50"/>
  <c r="AF60"/>
  <c r="AI32"/>
  <c r="AI40"/>
  <c r="AI27"/>
  <c r="AS11"/>
  <c r="AS18"/>
  <c r="AS36"/>
  <c r="AS48"/>
  <c r="AS60"/>
  <c r="BD15"/>
  <c r="BD32"/>
  <c r="BD40"/>
  <c r="BD27"/>
  <c r="AB10" i="258"/>
  <c r="AB22"/>
  <c r="AB38"/>
  <c r="AB46"/>
  <c r="AB57"/>
  <c r="AD13"/>
  <c r="AD41"/>
  <c r="AD50"/>
  <c r="AC16"/>
  <c r="AC36"/>
  <c r="AC48"/>
  <c r="AC60"/>
  <c r="AG15"/>
  <c r="AG35"/>
  <c r="AG43"/>
  <c r="AG26"/>
  <c r="AH32"/>
  <c r="AH40"/>
  <c r="AJ16"/>
  <c r="AJ36"/>
  <c r="AJ47"/>
  <c r="AJ30"/>
  <c r="AK10"/>
  <c r="AK22"/>
  <c r="AK38"/>
  <c r="AK46"/>
  <c r="AK57"/>
  <c r="AE13"/>
  <c r="AE41"/>
  <c r="AE50"/>
  <c r="AE60"/>
  <c r="AF21"/>
  <c r="AF45"/>
  <c r="AF28"/>
  <c r="AI16"/>
  <c r="AI36"/>
  <c r="AI48"/>
  <c r="AI60"/>
  <c r="AS15"/>
  <c r="AS32"/>
  <c r="AS40"/>
  <c r="AS27"/>
  <c r="BD11"/>
  <c r="BD18"/>
  <c r="BD36"/>
  <c r="BD48"/>
  <c r="BD60"/>
  <c r="AB19" i="248"/>
  <c r="AB34"/>
  <c r="AB42"/>
  <c r="AB29"/>
  <c r="AB65"/>
  <c r="AD21"/>
  <c r="AD45"/>
  <c r="AD28"/>
  <c r="AC32"/>
  <c r="AC40"/>
  <c r="AC27"/>
  <c r="AG11"/>
  <c r="AG18"/>
  <c r="AG39"/>
  <c r="AG47"/>
  <c r="AH16"/>
  <c r="AH36"/>
  <c r="AH48"/>
  <c r="AJ32"/>
  <c r="AJ43"/>
  <c r="AJ26"/>
  <c r="AJ59"/>
  <c r="AK19"/>
  <c r="AK34"/>
  <c r="AK42"/>
  <c r="AK29"/>
  <c r="AK65"/>
  <c r="AE21"/>
  <c r="AE45"/>
  <c r="AE28"/>
  <c r="AF13"/>
  <c r="AF41"/>
  <c r="AF50"/>
  <c r="AF60"/>
  <c r="AI32"/>
  <c r="AI40"/>
  <c r="AI27"/>
  <c r="AS11"/>
  <c r="AS18"/>
  <c r="AS36"/>
  <c r="AS48"/>
  <c r="AS60"/>
  <c r="BD15"/>
  <c r="BD32"/>
  <c r="BD40"/>
  <c r="BD27"/>
  <c r="AB10" i="256"/>
  <c r="AB22"/>
  <c r="AB38"/>
  <c r="AB46"/>
  <c r="AB57"/>
  <c r="AD13"/>
  <c r="AD41"/>
  <c r="AD50"/>
  <c r="AC16"/>
  <c r="AC36"/>
  <c r="AC48"/>
  <c r="AC60"/>
  <c r="AG15"/>
  <c r="AG35"/>
  <c r="AG43"/>
  <c r="AG26"/>
  <c r="AH32"/>
  <c r="AH40"/>
  <c r="AJ16"/>
  <c r="AJ36"/>
  <c r="AJ47"/>
  <c r="AJ30"/>
  <c r="AK10"/>
  <c r="AK22"/>
  <c r="AK38"/>
  <c r="AK46"/>
  <c r="AK57"/>
  <c r="AE13"/>
  <c r="AE41"/>
  <c r="AE50"/>
  <c r="AE60"/>
  <c r="AF21"/>
  <c r="AF45"/>
  <c r="AF28"/>
  <c r="AI16"/>
  <c r="AI36"/>
  <c r="AI48"/>
  <c r="AI60"/>
  <c r="AS15"/>
  <c r="AS32"/>
  <c r="AS40"/>
  <c r="AS27"/>
  <c r="BD11"/>
  <c r="BD18"/>
  <c r="BD36"/>
  <c r="BD48"/>
  <c r="BD60"/>
  <c r="AB19" i="255"/>
  <c r="AB34"/>
  <c r="AB42"/>
  <c r="AB29"/>
  <c r="AB65"/>
  <c r="AD21"/>
  <c r="AD45"/>
  <c r="AD28"/>
  <c r="AC32"/>
  <c r="AC40"/>
  <c r="AC27"/>
  <c r="AG11"/>
  <c r="AG18"/>
  <c r="AG39"/>
  <c r="AG47"/>
  <c r="AH16"/>
  <c r="AH36"/>
  <c r="AH48"/>
  <c r="AJ32"/>
  <c r="AJ43"/>
  <c r="AJ26"/>
  <c r="AJ59"/>
  <c r="AK19"/>
  <c r="AK34"/>
  <c r="AK42"/>
  <c r="AK29"/>
  <c r="AK65"/>
  <c r="AE21"/>
  <c r="AE45"/>
  <c r="AE28"/>
  <c r="AF13"/>
  <c r="AF41"/>
  <c r="AF50"/>
  <c r="AF60"/>
  <c r="AI32"/>
  <c r="AI40"/>
  <c r="AI27"/>
  <c r="AS11"/>
  <c r="AS18"/>
  <c r="AS36"/>
  <c r="AS48"/>
  <c r="AS60"/>
  <c r="BD15"/>
  <c r="BD32"/>
  <c r="BD40"/>
  <c r="BD27"/>
  <c r="AB13" i="257"/>
  <c r="AB41"/>
  <c r="AB50"/>
  <c r="AD16"/>
  <c r="AD36"/>
  <c r="AD48"/>
  <c r="AD60"/>
  <c r="AC15"/>
  <c r="AC35"/>
  <c r="AC43"/>
  <c r="AC26"/>
  <c r="AC59"/>
  <c r="AG19"/>
  <c r="AG34"/>
  <c r="AG42"/>
  <c r="AG60"/>
  <c r="AH15"/>
  <c r="AH35"/>
  <c r="AH43"/>
  <c r="AH28"/>
  <c r="AJ11"/>
  <c r="AJ18"/>
  <c r="AJ42"/>
  <c r="AJ29"/>
  <c r="AJ65"/>
  <c r="AK21"/>
  <c r="AK45"/>
  <c r="AK28"/>
  <c r="AE32"/>
  <c r="AE40"/>
  <c r="AE30"/>
  <c r="AF16"/>
  <c r="AF36"/>
  <c r="AF48"/>
  <c r="AF59"/>
  <c r="AI15"/>
  <c r="AI35"/>
  <c r="AI43"/>
  <c r="AI26"/>
  <c r="AI59"/>
  <c r="AS19"/>
  <c r="AS39"/>
  <c r="AS47"/>
  <c r="AS30"/>
  <c r="BD10"/>
  <c r="BD35"/>
  <c r="BD43"/>
  <c r="BD28"/>
  <c r="BD59"/>
  <c r="BG352" i="280"/>
  <c r="BC352"/>
  <c r="BH279" i="279"/>
  <c r="BD279"/>
  <c r="AY279"/>
  <c r="DB40" i="259"/>
  <c r="BQ59"/>
  <c r="BY59"/>
  <c r="CG59"/>
  <c r="CO59"/>
  <c r="CW59"/>
  <c r="DE59"/>
  <c r="BZ34"/>
  <c r="CH34"/>
  <c r="CP34"/>
  <c r="CX34"/>
  <c r="DF34"/>
  <c r="CF65"/>
  <c r="CV65"/>
  <c r="BW45" i="258"/>
  <c r="DC45"/>
  <c r="CO38"/>
  <c r="BT42"/>
  <c r="CB42"/>
  <c r="CJ42"/>
  <c r="CR42"/>
  <c r="CZ42"/>
  <c r="BW36"/>
  <c r="CE36"/>
  <c r="CM36"/>
  <c r="CU36"/>
  <c r="DC36"/>
  <c r="CD65"/>
  <c r="CT65"/>
  <c r="BQ45" i="248"/>
  <c r="CW45"/>
  <c r="CI38"/>
  <c r="BS42"/>
  <c r="CA42"/>
  <c r="CI42"/>
  <c r="CQ42"/>
  <c r="CY42"/>
  <c r="DG42"/>
  <c r="BU59"/>
  <c r="CC59"/>
  <c r="CK59"/>
  <c r="CS59"/>
  <c r="DA59"/>
  <c r="BV34"/>
  <c r="CD34"/>
  <c r="CL34"/>
  <c r="CT34"/>
  <c r="DB34"/>
  <c r="BU66"/>
  <c r="CK66"/>
  <c r="DA66"/>
  <c r="CM45" i="256"/>
  <c r="BY38"/>
  <c r="DE38"/>
  <c r="BW40"/>
  <c r="CE40"/>
  <c r="CM40"/>
  <c r="CU40"/>
  <c r="DC40"/>
  <c r="CA36"/>
  <c r="CI36"/>
  <c r="CQ36"/>
  <c r="CY36"/>
  <c r="DG36"/>
  <c r="CI66"/>
  <c r="CY66"/>
  <c r="CG45" i="255"/>
  <c r="BS38"/>
  <c r="CY38"/>
  <c r="BV40"/>
  <c r="CD40"/>
  <c r="CL40"/>
  <c r="CT40"/>
  <c r="DB40"/>
  <c r="BQ59"/>
  <c r="BY59"/>
  <c r="CG59"/>
  <c r="CO59"/>
  <c r="CW59"/>
  <c r="DE59"/>
  <c r="BZ34"/>
  <c r="CH34"/>
  <c r="CP34"/>
  <c r="CX34"/>
  <c r="DF34"/>
  <c r="CF65"/>
  <c r="CV65"/>
  <c r="BW45" i="257"/>
  <c r="DC45"/>
  <c r="CO38"/>
  <c r="BT42"/>
  <c r="CB42"/>
  <c r="CJ42"/>
  <c r="CR42"/>
  <c r="CZ42"/>
  <c r="BW36"/>
  <c r="CE36"/>
  <c r="CM36"/>
  <c r="CU36"/>
  <c r="DC36"/>
  <c r="CD65"/>
  <c r="CT65"/>
  <c r="AB10" i="263"/>
  <c r="AD50"/>
  <c r="AC48"/>
  <c r="AJ16"/>
  <c r="AK38"/>
  <c r="AE13"/>
  <c r="AF13"/>
  <c r="AI36"/>
  <c r="AS11"/>
  <c r="AS27"/>
  <c r="BD48"/>
  <c r="AB29" i="262"/>
  <c r="AD28"/>
  <c r="AC27"/>
  <c r="AG35"/>
  <c r="AH32"/>
  <c r="AJ43"/>
  <c r="AK19"/>
  <c r="AK57"/>
  <c r="AE21"/>
  <c r="AE28"/>
  <c r="AF13"/>
  <c r="AF45"/>
  <c r="AF60"/>
  <c r="AI27"/>
  <c r="AS11"/>
  <c r="AS41"/>
  <c r="AS50"/>
  <c r="BD16"/>
  <c r="BD45"/>
  <c r="BD26"/>
  <c r="AB15" i="261"/>
  <c r="AB35"/>
  <c r="AB43"/>
  <c r="AB26"/>
  <c r="AB59"/>
  <c r="AD19"/>
  <c r="AD34"/>
  <c r="AD42"/>
  <c r="AD29"/>
  <c r="AD65"/>
  <c r="AC21"/>
  <c r="AC45"/>
  <c r="AC28"/>
  <c r="AG32"/>
  <c r="AG40"/>
  <c r="AG57"/>
  <c r="AH13"/>
  <c r="AH41"/>
  <c r="AH50"/>
  <c r="AH65"/>
  <c r="AJ40"/>
  <c r="AJ27"/>
  <c r="AK11"/>
  <c r="AK18"/>
  <c r="AK39"/>
  <c r="AK47"/>
  <c r="AK30"/>
  <c r="AE10"/>
  <c r="AE22"/>
  <c r="AE38"/>
  <c r="AE46"/>
  <c r="AF10"/>
  <c r="AF22"/>
  <c r="AF38"/>
  <c r="AF46"/>
  <c r="AI21"/>
  <c r="AI45"/>
  <c r="AI28"/>
  <c r="AS41"/>
  <c r="AS50"/>
  <c r="BD16"/>
  <c r="BD45"/>
  <c r="BD26"/>
  <c r="AB15" i="260"/>
  <c r="AB35"/>
  <c r="AB43"/>
  <c r="AB26"/>
  <c r="AB59"/>
  <c r="AD19"/>
  <c r="AD34"/>
  <c r="AD42"/>
  <c r="AD29"/>
  <c r="AD65"/>
  <c r="AC21"/>
  <c r="AC45"/>
  <c r="AC28"/>
  <c r="AG32"/>
  <c r="AG40"/>
  <c r="AG57"/>
  <c r="AH13"/>
  <c r="AH41"/>
  <c r="AH50"/>
  <c r="AH65"/>
  <c r="AJ40"/>
  <c r="AJ27"/>
  <c r="AK11"/>
  <c r="AK18"/>
  <c r="AK39"/>
  <c r="AK47"/>
  <c r="AK30"/>
  <c r="AE10"/>
  <c r="AE22"/>
  <c r="AE38"/>
  <c r="AE46"/>
  <c r="AF10"/>
  <c r="AF22"/>
  <c r="AF38"/>
  <c r="AF46"/>
  <c r="AI21"/>
  <c r="AI45"/>
  <c r="AI28"/>
  <c r="AS41"/>
  <c r="AS50"/>
  <c r="BD16"/>
  <c r="BD45"/>
  <c r="BD26"/>
  <c r="AB15" i="259"/>
  <c r="AB35"/>
  <c r="AB43"/>
  <c r="AB26"/>
  <c r="AB59"/>
  <c r="AD19"/>
  <c r="AD34"/>
  <c r="AD42"/>
  <c r="AD29"/>
  <c r="AD65"/>
  <c r="AC21"/>
  <c r="AC45"/>
  <c r="AC28"/>
  <c r="AG32"/>
  <c r="AG40"/>
  <c r="AG57"/>
  <c r="AH13"/>
  <c r="AH41"/>
  <c r="AH50"/>
  <c r="AH65"/>
  <c r="AJ40"/>
  <c r="AJ27"/>
  <c r="AK11"/>
  <c r="AK18"/>
  <c r="AK39"/>
  <c r="AK47"/>
  <c r="AK30"/>
  <c r="AE10"/>
  <c r="AE22"/>
  <c r="AE38"/>
  <c r="AE46"/>
  <c r="AF10"/>
  <c r="AF22"/>
  <c r="AF38"/>
  <c r="AF46"/>
  <c r="AI21"/>
  <c r="AI45"/>
  <c r="AI28"/>
  <c r="AS41"/>
  <c r="AS50"/>
  <c r="BD16"/>
  <c r="BD45"/>
  <c r="BD26"/>
  <c r="AB15" i="258"/>
  <c r="AB35"/>
  <c r="AB43"/>
  <c r="AB26"/>
  <c r="AB59"/>
  <c r="AD19"/>
  <c r="AD34"/>
  <c r="AD42"/>
  <c r="AD29"/>
  <c r="AD65"/>
  <c r="AC21"/>
  <c r="AC45"/>
  <c r="AC28"/>
  <c r="AG32"/>
  <c r="AG40"/>
  <c r="AG57"/>
  <c r="AH13"/>
  <c r="AH41"/>
  <c r="AH50"/>
  <c r="AH65"/>
  <c r="AJ40"/>
  <c r="AJ27"/>
  <c r="AK11"/>
  <c r="AK18"/>
  <c r="AK39"/>
  <c r="AK47"/>
  <c r="AK30"/>
  <c r="AE10"/>
  <c r="AE22"/>
  <c r="AE38"/>
  <c r="AE46"/>
  <c r="AF10"/>
  <c r="AF22"/>
  <c r="AF38"/>
  <c r="AF46"/>
  <c r="AI21"/>
  <c r="AI45"/>
  <c r="AI28"/>
  <c r="AS41"/>
  <c r="AS50"/>
  <c r="BD16"/>
  <c r="BD45"/>
  <c r="BD26"/>
  <c r="AB15" i="248"/>
  <c r="AB35"/>
  <c r="AB43"/>
  <c r="AB26"/>
  <c r="AB59"/>
  <c r="AD19"/>
  <c r="AD34"/>
  <c r="AD42"/>
  <c r="AD29"/>
  <c r="AD65"/>
  <c r="AC21"/>
  <c r="AC45"/>
  <c r="AC28"/>
  <c r="AG32"/>
  <c r="AG40"/>
  <c r="AG57"/>
  <c r="AH13"/>
  <c r="AH41"/>
  <c r="AH50"/>
  <c r="AH65"/>
  <c r="AJ40"/>
  <c r="AJ27"/>
  <c r="AK11"/>
  <c r="AK18"/>
  <c r="AK39"/>
  <c r="AK47"/>
  <c r="AK30"/>
  <c r="AE10"/>
  <c r="AE22"/>
  <c r="AE38"/>
  <c r="AE46"/>
  <c r="AF10"/>
  <c r="AF22"/>
  <c r="AF38"/>
  <c r="AF46"/>
  <c r="AI21"/>
  <c r="AI45"/>
  <c r="AI28"/>
  <c r="AS41"/>
  <c r="AS50"/>
  <c r="BD16"/>
  <c r="BD45"/>
  <c r="BD26"/>
  <c r="AB15" i="256"/>
  <c r="AB35"/>
  <c r="AB43"/>
  <c r="AB26"/>
  <c r="AB59"/>
  <c r="AD19"/>
  <c r="AD34"/>
  <c r="AD42"/>
  <c r="AD29"/>
  <c r="AD65"/>
  <c r="AC21"/>
  <c r="AC45"/>
  <c r="AC28"/>
  <c r="AG32"/>
  <c r="AG40"/>
  <c r="AG57"/>
  <c r="AH13"/>
  <c r="AH41"/>
  <c r="AH50"/>
  <c r="AH65"/>
  <c r="AJ40"/>
  <c r="AJ27"/>
  <c r="AK11"/>
  <c r="AK18"/>
  <c r="AK39"/>
  <c r="AK47"/>
  <c r="AK30"/>
  <c r="AE10"/>
  <c r="AE22"/>
  <c r="AE38"/>
  <c r="AE46"/>
  <c r="AF10"/>
  <c r="AF22"/>
  <c r="AF38"/>
  <c r="AF46"/>
  <c r="AI21"/>
  <c r="AI45"/>
  <c r="AI28"/>
  <c r="AS41"/>
  <c r="AS50"/>
  <c r="BD16"/>
  <c r="BD45"/>
  <c r="BD26"/>
  <c r="AB15" i="255"/>
  <c r="AB35"/>
  <c r="AB43"/>
  <c r="AB26"/>
  <c r="AB59"/>
  <c r="AD19"/>
  <c r="AD34"/>
  <c r="AD42"/>
  <c r="AD29"/>
  <c r="AD65"/>
  <c r="AC21"/>
  <c r="AC45"/>
  <c r="AC28"/>
  <c r="AG32"/>
  <c r="AG40"/>
  <c r="AG57"/>
  <c r="AH13"/>
  <c r="AH41"/>
  <c r="AH50"/>
  <c r="AH65"/>
  <c r="AJ40"/>
  <c r="AJ27"/>
  <c r="AK11"/>
  <c r="AK18"/>
  <c r="AK39"/>
  <c r="AK47"/>
  <c r="AK30"/>
  <c r="AE10"/>
  <c r="AE22"/>
  <c r="AE38"/>
  <c r="AE46"/>
  <c r="AF10"/>
  <c r="AF22"/>
  <c r="AF38"/>
  <c r="AF46"/>
  <c r="AI21"/>
  <c r="AI45"/>
  <c r="AI28"/>
  <c r="AS41"/>
  <c r="AS50"/>
  <c r="BD16"/>
  <c r="BD45"/>
  <c r="BD26"/>
  <c r="AB19" i="257"/>
  <c r="AB34"/>
  <c r="AB42"/>
  <c r="AB29"/>
  <c r="AB65"/>
  <c r="AD21"/>
  <c r="AD45"/>
  <c r="AD28"/>
  <c r="AC32"/>
  <c r="AC40"/>
  <c r="AC27"/>
  <c r="AG11"/>
  <c r="AG18"/>
  <c r="AG39"/>
  <c r="AG47"/>
  <c r="AH16"/>
  <c r="AH36"/>
  <c r="AH48"/>
  <c r="AJ32"/>
  <c r="AJ43"/>
  <c r="AJ26"/>
  <c r="AJ59"/>
  <c r="AK19"/>
  <c r="AK34"/>
  <c r="AK42"/>
  <c r="AK29"/>
  <c r="AK65"/>
  <c r="AE21"/>
  <c r="AE45"/>
  <c r="AE28"/>
  <c r="AF13"/>
  <c r="AF41"/>
  <c r="AF50"/>
  <c r="AF60"/>
  <c r="AI32"/>
  <c r="AI40"/>
  <c r="AI27"/>
  <c r="AS11"/>
  <c r="AS18"/>
  <c r="AS36"/>
  <c r="AS48"/>
  <c r="AS60"/>
  <c r="BD15"/>
  <c r="BD32"/>
  <c r="BD40"/>
  <c r="BD27"/>
  <c r="BI351" i="280"/>
  <c r="BE351"/>
  <c r="BA351"/>
  <c r="BI279" i="279"/>
  <c r="BE279"/>
  <c r="BA279"/>
  <c r="CD59" i="259"/>
  <c r="BT35"/>
  <c r="CU34"/>
  <c r="CG66"/>
  <c r="BR42" i="258"/>
  <c r="CX42"/>
  <c r="CB36"/>
  <c r="DF65"/>
  <c r="BT40" i="248"/>
  <c r="CZ40"/>
  <c r="CH59"/>
  <c r="CI34"/>
  <c r="CC38" i="256"/>
  <c r="CP42"/>
  <c r="BP36"/>
  <c r="CV36"/>
  <c r="BU45" i="255"/>
  <c r="CG42"/>
  <c r="BV59"/>
  <c r="DB59"/>
  <c r="CM34"/>
  <c r="CR65"/>
  <c r="CS38" i="257"/>
  <c r="CS40"/>
  <c r="CZ36"/>
  <c r="CU66"/>
  <c r="AK42" i="263"/>
  <c r="BD11"/>
  <c r="AD41" i="262"/>
  <c r="AK46"/>
  <c r="AF39"/>
  <c r="AS32"/>
  <c r="BD46"/>
  <c r="AB32" i="261"/>
  <c r="AD47"/>
  <c r="AC46"/>
  <c r="AG21"/>
  <c r="AG59"/>
  <c r="AH42"/>
  <c r="AJ38"/>
  <c r="AK36"/>
  <c r="AE11"/>
  <c r="AE26"/>
  <c r="AF35"/>
  <c r="AI10"/>
  <c r="AS34"/>
  <c r="BD46"/>
  <c r="AB32" i="260"/>
  <c r="AD47"/>
  <c r="AC46"/>
  <c r="AG21"/>
  <c r="AG59"/>
  <c r="AH42"/>
  <c r="AJ38"/>
  <c r="AK36"/>
  <c r="AE11"/>
  <c r="AE26"/>
  <c r="AF35"/>
  <c r="AI10"/>
  <c r="AS34"/>
  <c r="BD46"/>
  <c r="AB32" i="259"/>
  <c r="AD47"/>
  <c r="AC46"/>
  <c r="AG21"/>
  <c r="AG59"/>
  <c r="AH42"/>
  <c r="AJ38"/>
  <c r="AK36"/>
  <c r="AE11"/>
  <c r="AE26"/>
  <c r="AF35"/>
  <c r="AI10"/>
  <c r="AS34"/>
  <c r="BD46"/>
  <c r="AB32" i="258"/>
  <c r="AD47"/>
  <c r="AC46"/>
  <c r="AG21"/>
  <c r="AG59"/>
  <c r="AH35"/>
  <c r="AJ15"/>
  <c r="AJ29"/>
  <c r="AK13"/>
  <c r="AK45"/>
  <c r="AE36"/>
  <c r="AF36"/>
  <c r="AI11"/>
  <c r="AI35"/>
  <c r="AI26"/>
  <c r="AS10"/>
  <c r="AS35"/>
  <c r="AS28"/>
  <c r="BD10"/>
  <c r="BD35"/>
  <c r="BD28"/>
  <c r="AB41" i="248"/>
  <c r="AD16"/>
  <c r="AD40"/>
  <c r="AC15"/>
  <c r="AC47"/>
  <c r="AG22"/>
  <c r="AG46"/>
  <c r="AH11"/>
  <c r="AH35"/>
  <c r="AJ15"/>
  <c r="AJ29"/>
  <c r="AK13"/>
  <c r="AK45"/>
  <c r="AE36"/>
  <c r="AF36"/>
  <c r="AI11"/>
  <c r="AI35"/>
  <c r="AI26"/>
  <c r="AS10"/>
  <c r="AS35"/>
  <c r="AS28"/>
  <c r="BD10"/>
  <c r="BD35"/>
  <c r="BD28"/>
  <c r="AB41" i="256"/>
  <c r="AD16"/>
  <c r="AD40"/>
  <c r="AC15"/>
  <c r="AC47"/>
  <c r="AG22"/>
  <c r="AG46"/>
  <c r="AH11"/>
  <c r="AH35"/>
  <c r="AJ15"/>
  <c r="AJ29"/>
  <c r="AK13"/>
  <c r="AK45"/>
  <c r="AE36"/>
  <c r="AF36"/>
  <c r="AI11"/>
  <c r="AI35"/>
  <c r="AI26"/>
  <c r="AS10"/>
  <c r="AS35"/>
  <c r="AS28"/>
  <c r="BD10"/>
  <c r="BD35"/>
  <c r="BD28"/>
  <c r="AB41" i="255"/>
  <c r="AD16"/>
  <c r="AD40"/>
  <c r="AC15"/>
  <c r="AC47"/>
  <c r="AG22"/>
  <c r="AG46"/>
  <c r="AH11"/>
  <c r="AH35"/>
  <c r="AJ15"/>
  <c r="AJ29"/>
  <c r="AK13"/>
  <c r="AK45"/>
  <c r="AE36"/>
  <c r="AF36"/>
  <c r="AI11"/>
  <c r="AI35"/>
  <c r="AI26"/>
  <c r="AS10"/>
  <c r="AS35"/>
  <c r="AS28"/>
  <c r="BD10"/>
  <c r="BD35"/>
  <c r="BD28"/>
  <c r="AB16" i="257"/>
  <c r="AB40"/>
  <c r="AD15"/>
  <c r="AD47"/>
  <c r="AC22"/>
  <c r="AC46"/>
  <c r="AC65"/>
  <c r="AG21"/>
  <c r="AG28"/>
  <c r="AH10"/>
  <c r="AH34"/>
  <c r="AH30"/>
  <c r="AJ45"/>
  <c r="AK36"/>
  <c r="AK60"/>
  <c r="AE18"/>
  <c r="AE43"/>
  <c r="AE57"/>
  <c r="AF11"/>
  <c r="AF35"/>
  <c r="AF26"/>
  <c r="AI10"/>
  <c r="AI34"/>
  <c r="AI57"/>
  <c r="AS42"/>
  <c r="BD16"/>
  <c r="BD50"/>
  <c r="BC351" i="280"/>
  <c r="BG276" i="279"/>
  <c r="BE276"/>
  <c r="BC276"/>
  <c r="BA276"/>
  <c r="BG279"/>
  <c r="CZ40" i="259"/>
  <c r="CH59"/>
  <c r="CI34"/>
  <c r="CC38" i="258"/>
  <c r="CP42"/>
  <c r="BP36"/>
  <c r="CV36"/>
  <c r="BU45" i="248"/>
  <c r="CG42"/>
  <c r="BV59"/>
  <c r="DB59"/>
  <c r="CM34"/>
  <c r="CR65"/>
  <c r="CS38" i="256"/>
  <c r="CS40"/>
  <c r="CZ36"/>
  <c r="CU66"/>
  <c r="DC38" i="255"/>
  <c r="CJ40"/>
  <c r="BZ59"/>
  <c r="DF59"/>
  <c r="CQ34"/>
  <c r="CB65"/>
  <c r="CQ45" i="257"/>
  <c r="CK40"/>
  <c r="BX36"/>
  <c r="DD36"/>
  <c r="AB38" i="263"/>
  <c r="AG11"/>
  <c r="AJ43"/>
  <c r="AI16"/>
  <c r="BD36"/>
  <c r="AG15" i="262"/>
  <c r="AJ47"/>
  <c r="AE47"/>
  <c r="AI22"/>
  <c r="AS38"/>
  <c r="BD34"/>
  <c r="AB27" i="261"/>
  <c r="AD35"/>
  <c r="AC10"/>
  <c r="AG50"/>
  <c r="AH46"/>
  <c r="AJ19"/>
  <c r="AK16"/>
  <c r="AE15"/>
  <c r="AF15"/>
  <c r="AI38"/>
  <c r="AS13"/>
  <c r="AS29"/>
  <c r="AB36" i="260"/>
  <c r="AD11"/>
  <c r="AD26"/>
  <c r="AC34"/>
  <c r="AH22"/>
  <c r="AH59"/>
  <c r="AJ41"/>
  <c r="AK40"/>
  <c r="AE39"/>
  <c r="AF39"/>
  <c r="AI29"/>
  <c r="AS38"/>
  <c r="BD34"/>
  <c r="AB27" i="259"/>
  <c r="AD35"/>
  <c r="AC10"/>
  <c r="AG50"/>
  <c r="AH46"/>
  <c r="AJ19"/>
  <c r="AK16"/>
  <c r="AE15"/>
  <c r="AF15"/>
  <c r="AI38"/>
  <c r="AS13"/>
  <c r="AS29"/>
  <c r="AB36" i="258"/>
  <c r="AD11"/>
  <c r="AD26"/>
  <c r="AC34"/>
  <c r="AH22"/>
  <c r="AH46"/>
  <c r="AJ10"/>
  <c r="AJ34"/>
  <c r="AJ50"/>
  <c r="AK32"/>
  <c r="AK48"/>
  <c r="AE39"/>
  <c r="AE65"/>
  <c r="AF39"/>
  <c r="AF65"/>
  <c r="AI38"/>
  <c r="AI29"/>
  <c r="AS13"/>
  <c r="AS38"/>
  <c r="AS29"/>
  <c r="BD13"/>
  <c r="BD38"/>
  <c r="BD29"/>
  <c r="AB36" i="248"/>
  <c r="AB60"/>
  <c r="AD18"/>
  <c r="AD43"/>
  <c r="AD59"/>
  <c r="AC19"/>
  <c r="AC42"/>
  <c r="AG41"/>
  <c r="AH22"/>
  <c r="AH46"/>
  <c r="AJ10"/>
  <c r="AJ34"/>
  <c r="AJ50"/>
  <c r="AK32"/>
  <c r="AK48"/>
  <c r="AE39"/>
  <c r="AE65"/>
  <c r="AF39"/>
  <c r="AF65"/>
  <c r="AI38"/>
  <c r="AI29"/>
  <c r="AS13"/>
  <c r="AS38"/>
  <c r="AS29"/>
  <c r="BD13"/>
  <c r="BD38"/>
  <c r="BD29"/>
  <c r="AB36" i="256"/>
  <c r="AB60"/>
  <c r="AD18"/>
  <c r="AD43"/>
  <c r="AD59"/>
  <c r="AC19"/>
  <c r="AC42"/>
  <c r="AG41"/>
  <c r="AH22"/>
  <c r="AH46"/>
  <c r="AJ10"/>
  <c r="AJ34"/>
  <c r="AJ50"/>
  <c r="AK32"/>
  <c r="AK48"/>
  <c r="AE39"/>
  <c r="AE65"/>
  <c r="AF39"/>
  <c r="AF65"/>
  <c r="AI38"/>
  <c r="AI29"/>
  <c r="AS13"/>
  <c r="AS38"/>
  <c r="AS29"/>
  <c r="BD13"/>
  <c r="BD38"/>
  <c r="BD29"/>
  <c r="AB36" i="255"/>
  <c r="AB60"/>
  <c r="AD18"/>
  <c r="AD43"/>
  <c r="AD59"/>
  <c r="AC19"/>
  <c r="AC42"/>
  <c r="AG41"/>
  <c r="AH22"/>
  <c r="AH46"/>
  <c r="AJ10"/>
  <c r="AJ34"/>
  <c r="AJ50"/>
  <c r="AK32"/>
  <c r="AK48"/>
  <c r="AE39"/>
  <c r="AE65"/>
  <c r="AF39"/>
  <c r="AF65"/>
  <c r="AI38"/>
  <c r="AI29"/>
  <c r="AS13"/>
  <c r="AS38"/>
  <c r="AS29"/>
  <c r="BD13"/>
  <c r="BD38"/>
  <c r="BD29"/>
  <c r="AB11" i="257"/>
  <c r="AB35"/>
  <c r="AB26"/>
  <c r="AD10"/>
  <c r="AD34"/>
  <c r="AD57"/>
  <c r="AC50"/>
  <c r="AG32"/>
  <c r="AG48"/>
  <c r="AH13"/>
  <c r="AH45"/>
  <c r="AJ40"/>
  <c r="AK15"/>
  <c r="AK47"/>
  <c r="AE22"/>
  <c r="AE46"/>
  <c r="AF22"/>
  <c r="AF46"/>
  <c r="AI21"/>
  <c r="AI28"/>
  <c r="AS26"/>
  <c r="BD42"/>
  <c r="BE352" i="280"/>
  <c r="BI280" i="279"/>
  <c r="BA280"/>
  <c r="CL59" i="259"/>
  <c r="BW34"/>
  <c r="DC34"/>
  <c r="CA45" i="258"/>
  <c r="CH42"/>
  <c r="CJ36"/>
  <c r="BZ65"/>
  <c r="CK45" i="248"/>
  <c r="BY42"/>
  <c r="DE42"/>
  <c r="CP59"/>
  <c r="CA34"/>
  <c r="DG34"/>
  <c r="CW66"/>
  <c r="BZ42" i="256"/>
  <c r="DF42"/>
  <c r="CN36"/>
  <c r="CE66"/>
  <c r="BQ42" i="255"/>
  <c r="CW42"/>
  <c r="CT59"/>
  <c r="CE34"/>
  <c r="BS65"/>
  <c r="DG45" i="257"/>
  <c r="CC40"/>
  <c r="BR34"/>
  <c r="CR36"/>
  <c r="AB29" i="263"/>
  <c r="AH48"/>
  <c r="AI40"/>
  <c r="AB57" i="262"/>
  <c r="AG39"/>
  <c r="AF15"/>
  <c r="AS13"/>
  <c r="AS57"/>
  <c r="BD38"/>
  <c r="AB16" i="261"/>
  <c r="AD15"/>
  <c r="AD30"/>
  <c r="AC29"/>
  <c r="AG28"/>
  <c r="AH34"/>
  <c r="AK60"/>
  <c r="AE43"/>
  <c r="U65"/>
  <c r="AF43"/>
  <c r="AI19"/>
  <c r="AI57"/>
  <c r="AS57"/>
  <c r="BD38"/>
  <c r="AB16" i="260"/>
  <c r="AD15"/>
  <c r="AD30"/>
  <c r="AC29"/>
  <c r="AG28"/>
  <c r="AH34"/>
  <c r="AK60"/>
  <c r="AE43"/>
  <c r="U65"/>
  <c r="AF43"/>
  <c r="AI19"/>
  <c r="AI57"/>
  <c r="AS57"/>
  <c r="BD38"/>
  <c r="AB16" i="259"/>
  <c r="AD15"/>
  <c r="AD30"/>
  <c r="AC29"/>
  <c r="AG28"/>
  <c r="AH34"/>
  <c r="AK60"/>
  <c r="AE43"/>
  <c r="U65"/>
  <c r="AF43"/>
  <c r="AI19"/>
  <c r="AI57"/>
  <c r="AS57"/>
  <c r="BD38"/>
  <c r="AB16" i="258"/>
  <c r="AD15"/>
  <c r="AD30"/>
  <c r="AC29"/>
  <c r="AG28"/>
  <c r="AH39"/>
  <c r="AH60"/>
  <c r="AJ18"/>
  <c r="AJ42"/>
  <c r="AK41"/>
  <c r="AE16"/>
  <c r="AE40"/>
  <c r="AE30"/>
  <c r="AF32"/>
  <c r="AF48"/>
  <c r="AI15"/>
  <c r="AI47"/>
  <c r="AS39"/>
  <c r="AS30"/>
  <c r="BD47"/>
  <c r="AB13" i="248"/>
  <c r="AB45"/>
  <c r="AD36"/>
  <c r="AD60"/>
  <c r="AC18"/>
  <c r="AC43"/>
  <c r="AC59"/>
  <c r="AG19"/>
  <c r="AG42"/>
  <c r="AH39"/>
  <c r="AH28"/>
  <c r="AJ11"/>
  <c r="AJ35"/>
  <c r="AJ57"/>
  <c r="AK50"/>
  <c r="AE32"/>
  <c r="AE48"/>
  <c r="AF16"/>
  <c r="AF40"/>
  <c r="AF30"/>
  <c r="AI39"/>
  <c r="AI30"/>
  <c r="AS47"/>
  <c r="BD39"/>
  <c r="BD30"/>
  <c r="AB21" i="256"/>
  <c r="AB28"/>
  <c r="AD27"/>
  <c r="AC11"/>
  <c r="AC35"/>
  <c r="AC26"/>
  <c r="AG10"/>
  <c r="AG34"/>
  <c r="AH15"/>
  <c r="AH47"/>
  <c r="AH60"/>
  <c r="AJ18"/>
  <c r="AJ42"/>
  <c r="AK41"/>
  <c r="AE16"/>
  <c r="AE40"/>
  <c r="AE30"/>
  <c r="AF32"/>
  <c r="AF48"/>
  <c r="AI15"/>
  <c r="AI47"/>
  <c r="AS39"/>
  <c r="AS30"/>
  <c r="BD47"/>
  <c r="AB13" i="255"/>
  <c r="AB45"/>
  <c r="AD36"/>
  <c r="AD60"/>
  <c r="AC18"/>
  <c r="AC43"/>
  <c r="AC59"/>
  <c r="AG19"/>
  <c r="AG42"/>
  <c r="AH39"/>
  <c r="AH28"/>
  <c r="AJ11"/>
  <c r="AJ35"/>
  <c r="AJ57"/>
  <c r="AK50"/>
  <c r="AE32"/>
  <c r="AE48"/>
  <c r="AF16"/>
  <c r="AF40"/>
  <c r="AF30"/>
  <c r="AI39"/>
  <c r="AI30"/>
  <c r="AS47"/>
  <c r="BD39"/>
  <c r="BD30"/>
  <c r="AB27" i="257"/>
  <c r="AD11"/>
  <c r="AD35"/>
  <c r="AD26"/>
  <c r="AC10"/>
  <c r="AC34"/>
  <c r="AC57"/>
  <c r="AG50"/>
  <c r="AH38"/>
  <c r="AH59"/>
  <c r="AJ19"/>
  <c r="AJ41"/>
  <c r="AK16"/>
  <c r="AK40"/>
  <c r="AE15"/>
  <c r="AE47"/>
  <c r="AF15"/>
  <c r="AF47"/>
  <c r="AI22"/>
  <c r="AI46"/>
  <c r="AI65"/>
  <c r="AS21"/>
  <c r="AS46"/>
  <c r="AS65"/>
  <c r="BD26"/>
  <c r="BH348" i="280"/>
  <c r="BF348"/>
  <c r="BD348"/>
  <c r="BB348"/>
  <c r="AY348"/>
  <c r="BB352"/>
  <c r="BC279" i="279"/>
  <c r="BZ59" i="259"/>
  <c r="DF59"/>
  <c r="CQ34"/>
  <c r="CB65"/>
  <c r="CQ45" i="258"/>
  <c r="CK40"/>
  <c r="BX36"/>
  <c r="DD36"/>
  <c r="DA45" i="248"/>
  <c r="CB40"/>
  <c r="CD59"/>
  <c r="BT35"/>
  <c r="CU34"/>
  <c r="CG66"/>
  <c r="BR42" i="256"/>
  <c r="CX42"/>
  <c r="CB36"/>
  <c r="DF65"/>
  <c r="BT40" i="255"/>
  <c r="CZ40"/>
  <c r="CH59"/>
  <c r="CI34"/>
  <c r="CC38" i="257"/>
  <c r="CP42"/>
  <c r="BP36"/>
  <c r="CV36"/>
  <c r="BA137" i="279"/>
  <c r="AC36" i="263"/>
  <c r="AK19"/>
  <c r="AF41"/>
  <c r="AK22" i="262"/>
  <c r="AF65"/>
  <c r="AS19"/>
  <c r="AS65"/>
  <c r="BD57"/>
  <c r="AD18" i="261"/>
  <c r="AD59"/>
  <c r="AC42"/>
  <c r="AG41"/>
  <c r="AJ10"/>
  <c r="AJ50"/>
  <c r="AK48"/>
  <c r="AE65"/>
  <c r="AF65"/>
  <c r="AI46"/>
  <c r="AS21"/>
  <c r="AS65"/>
  <c r="BD57"/>
  <c r="AD18" i="260"/>
  <c r="AD59"/>
  <c r="AC42"/>
  <c r="AG41"/>
  <c r="AJ10"/>
  <c r="AJ50"/>
  <c r="AK48"/>
  <c r="AE65"/>
  <c r="AF65"/>
  <c r="AI46"/>
  <c r="AS21"/>
  <c r="AS65"/>
  <c r="BD57"/>
  <c r="AD18" i="259"/>
  <c r="AD59"/>
  <c r="AC42"/>
  <c r="AG41"/>
  <c r="AJ10"/>
  <c r="AJ50"/>
  <c r="AK48"/>
  <c r="AE65"/>
  <c r="AF65"/>
  <c r="AI46"/>
  <c r="AS21"/>
  <c r="AS65"/>
  <c r="BD57"/>
  <c r="AD18" i="258"/>
  <c r="AD59"/>
  <c r="AC42"/>
  <c r="AG41"/>
  <c r="AH42"/>
  <c r="AJ38"/>
  <c r="AJ28"/>
  <c r="AK27"/>
  <c r="AE11"/>
  <c r="AE35"/>
  <c r="AE26"/>
  <c r="U65"/>
  <c r="AF18"/>
  <c r="AF43"/>
  <c r="AF57"/>
  <c r="AI19"/>
  <c r="AI42"/>
  <c r="AS34"/>
  <c r="AS57"/>
  <c r="BD42"/>
  <c r="AB16" i="248"/>
  <c r="AB40"/>
  <c r="AD15"/>
  <c r="AD47"/>
  <c r="AC22"/>
  <c r="AC46"/>
  <c r="AC65"/>
  <c r="AG21"/>
  <c r="AG28"/>
  <c r="AH10"/>
  <c r="AH34"/>
  <c r="AH30"/>
  <c r="AJ45"/>
  <c r="AK36"/>
  <c r="AK60"/>
  <c r="AE18"/>
  <c r="AE43"/>
  <c r="AE57"/>
  <c r="AF11"/>
  <c r="AF35"/>
  <c r="AF26"/>
  <c r="AI10"/>
  <c r="AI34"/>
  <c r="AI57"/>
  <c r="AS42"/>
  <c r="BD34"/>
  <c r="BD57"/>
  <c r="AB32" i="256"/>
  <c r="AB48"/>
  <c r="AD39"/>
  <c r="AD30"/>
  <c r="AC38"/>
  <c r="AC29"/>
  <c r="AG13"/>
  <c r="AG45"/>
  <c r="AG59"/>
  <c r="AH19"/>
  <c r="AH42"/>
  <c r="AJ38"/>
  <c r="AJ28"/>
  <c r="AK27"/>
  <c r="AE11"/>
  <c r="AE35"/>
  <c r="AE26"/>
  <c r="U65"/>
  <c r="AF18"/>
  <c r="AF43"/>
  <c r="AF57"/>
  <c r="AI19"/>
  <c r="AI42"/>
  <c r="AS34"/>
  <c r="AS57"/>
  <c r="BD42"/>
  <c r="AB16" i="255"/>
  <c r="AB40"/>
  <c r="AD15"/>
  <c r="AD47"/>
  <c r="AC22"/>
  <c r="AC46"/>
  <c r="AC65"/>
  <c r="AG21"/>
  <c r="AG28"/>
  <c r="AH10"/>
  <c r="AH34"/>
  <c r="AH30"/>
  <c r="AJ45"/>
  <c r="AK36"/>
  <c r="AK60"/>
  <c r="AE18"/>
  <c r="AE43"/>
  <c r="AE57"/>
  <c r="AF11"/>
  <c r="AF35"/>
  <c r="AF26"/>
  <c r="AI10"/>
  <c r="AI34"/>
  <c r="AI57"/>
  <c r="AS42"/>
  <c r="BD34"/>
  <c r="BD57"/>
  <c r="AB39" i="257"/>
  <c r="AB30"/>
  <c r="AD38"/>
  <c r="AD29"/>
  <c r="AC13"/>
  <c r="AC45"/>
  <c r="AG36"/>
  <c r="AH41"/>
  <c r="AH65"/>
  <c r="AJ27"/>
  <c r="AK11"/>
  <c r="AK35"/>
  <c r="AK26"/>
  <c r="AE10"/>
  <c r="AE34"/>
  <c r="AF10"/>
  <c r="AF34"/>
  <c r="AI41"/>
  <c r="AS16"/>
  <c r="AS50"/>
  <c r="BD21"/>
  <c r="BD46"/>
  <c r="BD65"/>
  <c r="BF351" i="280"/>
  <c r="BE280" i="279"/>
  <c r="BI338" i="277"/>
  <c r="BI22" i="258"/>
  <c r="J50" i="257"/>
  <c r="BK41" i="256"/>
  <c r="Q26" i="255"/>
  <c r="BA360" i="277"/>
  <c r="L30" i="256"/>
  <c r="BB279" i="276"/>
  <c r="BH41" i="248"/>
  <c r="N27" i="258"/>
  <c r="G30" i="256"/>
  <c r="P26" i="258"/>
  <c r="N29" i="257"/>
  <c r="K29" i="256"/>
  <c r="AY339" i="277"/>
  <c r="P27" i="263"/>
  <c r="BK42"/>
  <c r="M50" i="258"/>
  <c r="AY338" i="277"/>
  <c r="K29" i="258"/>
  <c r="BG22" i="260"/>
  <c r="I50" i="256"/>
  <c r="I30" i="263"/>
  <c r="BL42" i="257"/>
  <c r="I29" i="262"/>
  <c r="BK22" i="261"/>
  <c r="P27" i="259"/>
  <c r="J21" i="228"/>
  <c r="K50" i="256"/>
  <c r="BG22" i="258"/>
  <c r="BD22" i="248"/>
  <c r="P50" i="255"/>
  <c r="L29" i="259"/>
  <c r="P28" i="258"/>
  <c r="AZ22" i="260"/>
  <c r="J28" i="263"/>
  <c r="M29" i="260"/>
  <c r="BD22" i="256"/>
  <c r="G26" i="248"/>
  <c r="BB335" i="277"/>
  <c r="BE22" i="248"/>
  <c r="P28"/>
  <c r="BC276" i="276"/>
  <c r="BL41" i="259"/>
  <c r="BB137" i="276"/>
  <c r="N30" i="259"/>
  <c r="AY280" i="276"/>
  <c r="L30" i="261"/>
  <c r="H26" i="258"/>
  <c r="J30" i="255"/>
  <c r="AR22" i="263"/>
  <c r="M30" i="258"/>
  <c r="BK40" i="257"/>
  <c r="T50" i="263"/>
  <c r="H21" i="228"/>
  <c r="Q29" i="255"/>
  <c r="AS22" i="261"/>
  <c r="P50" i="257"/>
  <c r="G27" i="256"/>
  <c r="BC22" i="262"/>
  <c r="K50" i="248"/>
  <c r="BD276" i="276"/>
  <c r="BK42" i="262"/>
  <c r="I29" i="257"/>
  <c r="K29" i="260"/>
  <c r="O28" i="259"/>
  <c r="BL42" i="261"/>
  <c r="BK22" i="263"/>
  <c r="BH196" i="277"/>
  <c r="L30" i="257"/>
  <c r="I29" i="259"/>
  <c r="L11" i="228"/>
  <c r="M50" i="259"/>
  <c r="BB199" i="277"/>
  <c r="J10" i="228"/>
  <c r="BG21" i="262"/>
  <c r="O28"/>
  <c r="AN22" i="256"/>
  <c r="BK40" i="248"/>
  <c r="AY360" i="277"/>
  <c r="BE339"/>
  <c r="BD280" i="276"/>
  <c r="BG335" i="277"/>
  <c r="K48" i="263"/>
  <c r="BE279" i="276"/>
  <c r="BL41" i="261"/>
  <c r="P50"/>
  <c r="AO22" i="259"/>
  <c r="AP22" i="262"/>
  <c r="H29"/>
  <c r="N48" i="255"/>
  <c r="BK43" i="262"/>
  <c r="AW22" i="255"/>
  <c r="M29" i="263"/>
  <c r="M30"/>
  <c r="AY203" i="277"/>
  <c r="L27" i="256"/>
  <c r="AV22" i="258"/>
  <c r="BK39"/>
  <c r="H27" i="256"/>
  <c r="P50" i="259"/>
  <c r="N27" i="260"/>
  <c r="K29" i="262"/>
  <c r="BD301" i="276"/>
  <c r="BA194" i="277"/>
  <c r="AX22" i="255"/>
  <c r="AR22"/>
  <c r="AX22" i="256"/>
  <c r="M50" i="248"/>
  <c r="N48" i="256"/>
  <c r="AT22" i="259"/>
  <c r="J30" i="256"/>
  <c r="L29" i="260"/>
  <c r="J50" i="256"/>
  <c r="K26"/>
  <c r="BI276" i="276"/>
  <c r="P50" i="260"/>
  <c r="N30" i="261"/>
  <c r="BH208" i="277"/>
  <c r="AU22" i="259"/>
  <c r="AW22" i="263"/>
  <c r="AV22" i="257"/>
  <c r="AM41" i="261"/>
  <c r="O30" i="255"/>
  <c r="I27"/>
  <c r="K28" i="256"/>
  <c r="BA149" i="276"/>
  <c r="BB22" i="262"/>
  <c r="BE22" i="258"/>
  <c r="BA199" i="277"/>
  <c r="O28" i="263"/>
  <c r="BL42"/>
  <c r="AR22" i="258"/>
  <c r="BL42"/>
  <c r="O29" i="255"/>
  <c r="I28" i="263"/>
  <c r="N30" i="248"/>
  <c r="N29" i="256"/>
  <c r="AY142" i="276"/>
  <c r="K29" i="255"/>
  <c r="Q28" i="261"/>
  <c r="BA276" i="276"/>
  <c r="N48" i="261"/>
  <c r="I26" i="255"/>
  <c r="Q28"/>
  <c r="G27" i="260"/>
  <c r="H29" i="256"/>
  <c r="N28" i="263"/>
  <c r="BH41" i="259"/>
  <c r="P29" i="260"/>
  <c r="H30" i="261"/>
  <c r="AZ22" i="259"/>
  <c r="BB280" i="276"/>
  <c r="G30" i="248"/>
  <c r="AY208" i="277"/>
  <c r="I26" i="263"/>
  <c r="BB195" i="277"/>
  <c r="J26" i="263"/>
  <c r="AY207" i="277"/>
  <c r="L50" i="262"/>
  <c r="L10" i="228"/>
  <c r="AY22" i="257"/>
  <c r="BF22" i="259"/>
  <c r="Q27" i="257"/>
  <c r="BG22"/>
  <c r="J50" i="255"/>
  <c r="BL41" i="260"/>
  <c r="BG196" i="277"/>
  <c r="AQ22" i="255"/>
  <c r="BF198" i="277"/>
  <c r="M30" i="256"/>
  <c r="Q48"/>
  <c r="AU22" i="260"/>
  <c r="G29" i="262"/>
  <c r="J29" i="263"/>
  <c r="AY137" i="276"/>
  <c r="BC194" i="277"/>
  <c r="BA338"/>
  <c r="G27" i="261"/>
  <c r="BF360" i="277"/>
  <c r="T50" i="248"/>
  <c r="BH276" i="276"/>
  <c r="H30" i="248"/>
  <c r="AY149" i="276"/>
  <c r="BH41" i="262"/>
  <c r="H30" i="259"/>
  <c r="BD338" i="277"/>
  <c r="BF22" i="263"/>
  <c r="P30" i="262"/>
  <c r="Q30" i="260"/>
  <c r="L27" i="263"/>
  <c r="Q29" i="257"/>
  <c r="K30" i="258"/>
  <c r="N28" i="262"/>
  <c r="J48" i="259"/>
  <c r="BE360" i="277"/>
  <c r="AU22" i="255"/>
  <c r="BA301" i="276"/>
  <c r="N28" i="258"/>
  <c r="P27" i="255"/>
  <c r="BE301" i="276"/>
  <c r="AP22" i="259"/>
  <c r="G30" i="260"/>
  <c r="M27" i="262"/>
  <c r="AW22" i="257"/>
  <c r="AN22" i="263"/>
  <c r="BH42" i="260"/>
  <c r="K27"/>
  <c r="BD22" i="258"/>
  <c r="BG21" i="255"/>
  <c r="BI22" i="257"/>
  <c r="BG243" i="277"/>
  <c r="I50" i="263"/>
  <c r="Q48" i="248"/>
  <c r="G28" i="260"/>
  <c r="M27" i="258"/>
  <c r="BE243" i="277"/>
  <c r="BG22" i="262"/>
  <c r="P48"/>
  <c r="M30" i="259"/>
  <c r="S42" i="261"/>
  <c r="H6" i="228"/>
  <c r="BL42" i="256"/>
  <c r="AZ22" i="248"/>
  <c r="J26" i="257"/>
  <c r="P28" i="256"/>
  <c r="AT22" i="255"/>
  <c r="AS22" i="262"/>
  <c r="BC22" i="248"/>
  <c r="G26" i="263"/>
  <c r="G48" i="255"/>
  <c r="H30" i="260"/>
  <c r="BK41" i="262"/>
  <c r="AT22" i="258"/>
  <c r="BD137" i="276"/>
  <c r="BC22" i="263"/>
  <c r="BE22" i="256"/>
  <c r="O29" i="262"/>
  <c r="BI22" i="261"/>
  <c r="AY243" i="277"/>
  <c r="H50" i="263"/>
  <c r="M26" i="260"/>
  <c r="AY141" i="276"/>
  <c r="I27" i="256"/>
  <c r="AX22" i="248"/>
  <c r="AO22" i="255"/>
  <c r="I28" i="258"/>
  <c r="J20" i="228"/>
  <c r="O50" i="262"/>
  <c r="K50" i="258"/>
  <c r="O28" i="256"/>
  <c r="BF280" i="276"/>
  <c r="H26" i="248"/>
  <c r="K29" i="257"/>
  <c r="BI22" i="255"/>
  <c r="O50" i="260"/>
  <c r="I48" i="256"/>
  <c r="G26"/>
  <c r="BK22"/>
  <c r="Q29" i="262"/>
  <c r="H50" i="255"/>
  <c r="BK22" i="260"/>
  <c r="AV22" i="262"/>
  <c r="Q50" i="257"/>
  <c r="BK42" i="261"/>
  <c r="AY301" i="276"/>
  <c r="G29" i="258"/>
  <c r="G27" i="257"/>
  <c r="K48"/>
  <c r="BH42" i="262"/>
  <c r="M27" i="248"/>
  <c r="M50" i="262"/>
  <c r="BA207" i="277"/>
  <c r="AY135" i="276"/>
  <c r="S41" i="255"/>
  <c r="BG22" i="248"/>
  <c r="J48" i="261"/>
  <c r="P30" i="258"/>
  <c r="N30" i="255"/>
  <c r="AX22" i="263"/>
  <c r="G26" i="258"/>
  <c r="G50" i="261"/>
  <c r="L28" i="255"/>
  <c r="BB198" i="277"/>
  <c r="O29" i="257"/>
  <c r="N29" i="259"/>
  <c r="N29" i="260"/>
  <c r="L48" i="248"/>
  <c r="BB135" i="276"/>
  <c r="L50" i="259"/>
  <c r="S42" i="255"/>
  <c r="J48" i="262"/>
  <c r="J29" i="255"/>
  <c r="O27" i="258"/>
  <c r="L29" i="262"/>
  <c r="AM41" i="257"/>
  <c r="AZ22" i="256"/>
  <c r="BK21" i="259"/>
  <c r="I48" i="263"/>
  <c r="BA208" i="277"/>
  <c r="L28" i="228"/>
  <c r="I48" i="261"/>
  <c r="Q26" i="259"/>
  <c r="BK39" i="255"/>
  <c r="O50" i="263"/>
  <c r="L28" i="261"/>
  <c r="O28" i="260"/>
  <c r="AP22" i="263"/>
  <c r="S41" i="259"/>
  <c r="H29" i="255"/>
  <c r="AY22" i="261"/>
  <c r="BI140" i="276"/>
  <c r="AU22" i="248"/>
  <c r="BF137" i="276"/>
  <c r="BB22" i="248"/>
  <c r="P48" i="259"/>
  <c r="AU22" i="263"/>
  <c r="P29" i="256"/>
  <c r="AU22" i="261"/>
  <c r="O48" i="256"/>
  <c r="K27" i="261"/>
  <c r="BI149" i="276"/>
  <c r="M28" i="263"/>
  <c r="J30" i="259"/>
  <c r="J48" i="255"/>
  <c r="G26"/>
  <c r="L30" i="260"/>
  <c r="I27" i="257"/>
  <c r="BB184" i="276"/>
  <c r="AM41" i="255"/>
  <c r="O30" i="263"/>
  <c r="Q27" i="260"/>
  <c r="BL42" i="262"/>
  <c r="O30" i="256"/>
  <c r="K28" i="248"/>
  <c r="M50" i="263"/>
  <c r="BK43" i="256"/>
  <c r="BF199" i="277"/>
  <c r="BG149" i="276"/>
  <c r="BK21" i="263"/>
  <c r="AM42"/>
  <c r="S41" i="261"/>
  <c r="K30"/>
  <c r="BE335" i="277"/>
  <c r="BH139" i="276"/>
  <c r="L27" i="261"/>
  <c r="BH338" i="277"/>
  <c r="BK41" i="261"/>
  <c r="BI279" i="276"/>
  <c r="K27" i="255"/>
  <c r="K8" i="228"/>
  <c r="Q26" i="256"/>
  <c r="BG140" i="276"/>
  <c r="H10" i="228"/>
  <c r="AY204" i="277"/>
  <c r="BA145" i="276"/>
  <c r="M26" i="257"/>
  <c r="BK43" i="259"/>
  <c r="N27" i="261"/>
  <c r="H27" i="248"/>
  <c r="P48"/>
  <c r="AM42" i="262"/>
  <c r="I48" i="260"/>
  <c r="Q48" i="257"/>
  <c r="BD149" i="276"/>
  <c r="BC339" i="277"/>
  <c r="K30" i="248"/>
  <c r="K21" i="228"/>
  <c r="M26" i="258"/>
  <c r="BG148" i="276"/>
  <c r="L28" i="263"/>
  <c r="L28" i="259"/>
  <c r="Q30" i="263"/>
  <c r="H48" i="262"/>
  <c r="AY22" i="263"/>
  <c r="BH42" i="255"/>
  <c r="P26" i="261"/>
  <c r="I26" i="258"/>
  <c r="P48" i="256"/>
  <c r="AY22" i="260"/>
  <c r="L50" i="257"/>
  <c r="J29" i="259"/>
  <c r="N30" i="263"/>
  <c r="H26" i="255"/>
  <c r="AY276" i="276"/>
  <c r="AY22" i="259"/>
  <c r="G29" i="256"/>
  <c r="O27" i="248"/>
  <c r="L27" i="260"/>
  <c r="H28" i="258"/>
  <c r="M26" i="256"/>
  <c r="BC280" i="276"/>
  <c r="AZ22" i="257"/>
  <c r="H26" i="262"/>
  <c r="G27" i="255"/>
  <c r="AQ22" i="259"/>
  <c r="BK40" i="256"/>
  <c r="Q28" i="257"/>
  <c r="P29" i="262"/>
  <c r="BD22" i="257"/>
  <c r="I50" i="255"/>
  <c r="BH279" i="276"/>
  <c r="Q29" i="259"/>
  <c r="BD22" i="263"/>
  <c r="BK40" i="260"/>
  <c r="M28" i="262"/>
  <c r="L29" i="255"/>
  <c r="K30"/>
  <c r="BG137" i="276"/>
  <c r="P50" i="248"/>
  <c r="O50" i="259"/>
  <c r="N50" i="263"/>
  <c r="H29" i="258"/>
  <c r="BB276" i="276"/>
  <c r="N29" i="262"/>
  <c r="G29" i="259"/>
  <c r="AM42" i="256"/>
  <c r="J30" i="260"/>
  <c r="I26"/>
  <c r="BC149" i="276"/>
  <c r="M27" i="256"/>
  <c r="BC137" i="276"/>
  <c r="BB22" i="263"/>
  <c r="N27" i="257"/>
  <c r="N50" i="255"/>
  <c r="I7" i="228"/>
  <c r="AY279" i="276"/>
  <c r="H27" i="257"/>
  <c r="BK43" i="263"/>
  <c r="N30" i="260"/>
  <c r="AY198" i="277"/>
  <c r="N50" i="262"/>
  <c r="BK40"/>
  <c r="Q29" i="260"/>
  <c r="BG22" i="261"/>
  <c r="N27" i="255"/>
  <c r="BF22" i="260"/>
  <c r="O30" i="262"/>
  <c r="N28" i="257"/>
  <c r="L50" i="263"/>
  <c r="S41" i="260"/>
  <c r="H28" i="256"/>
  <c r="AR22" i="259"/>
  <c r="P26" i="263"/>
  <c r="H26" i="256"/>
  <c r="I27" i="263"/>
  <c r="P28" i="257"/>
  <c r="BF196" i="277"/>
  <c r="AX22" i="262"/>
  <c r="BI148" i="276"/>
  <c r="M30" i="255"/>
  <c r="Q30" i="259"/>
  <c r="O30" i="260"/>
  <c r="N26" i="257"/>
  <c r="G28" i="259"/>
  <c r="AY196" i="277"/>
  <c r="BI137" i="276"/>
  <c r="BD184"/>
  <c r="O26" i="248"/>
  <c r="P30" i="263"/>
  <c r="BC199" i="277"/>
  <c r="L26" i="263"/>
  <c r="AP22" i="261"/>
  <c r="Q50" i="262"/>
  <c r="G28"/>
  <c r="BA195" i="277"/>
  <c r="O48" i="255"/>
  <c r="G50" i="256"/>
  <c r="BA200" i="277"/>
  <c r="BG301" i="276"/>
  <c r="P26" i="257"/>
  <c r="L48"/>
  <c r="K26" i="258"/>
  <c r="M26" i="255"/>
  <c r="BF149" i="276"/>
  <c r="I28" i="261"/>
  <c r="BE148" i="276"/>
  <c r="G28" i="258"/>
  <c r="H27" i="260"/>
  <c r="L30" i="255"/>
  <c r="BC22" i="258"/>
  <c r="BI207" i="277"/>
  <c r="O26" i="261"/>
  <c r="BG21" i="259"/>
  <c r="AQ22" i="260"/>
  <c r="BG276" i="276"/>
  <c r="M29" i="261"/>
  <c r="I28" i="255"/>
  <c r="H30"/>
  <c r="BG338" i="277"/>
  <c r="BA22" i="260"/>
  <c r="BE196" i="277"/>
  <c r="N50" i="259"/>
  <c r="AV22" i="263"/>
  <c r="AM41" i="259"/>
  <c r="M50" i="257"/>
  <c r="P48" i="255"/>
  <c r="P27" i="256"/>
  <c r="G29" i="257"/>
  <c r="K48" i="256"/>
  <c r="I28" i="228"/>
  <c r="T50" i="261"/>
  <c r="BK42" i="257"/>
  <c r="Q27" i="258"/>
  <c r="BG22" i="256"/>
  <c r="P29" i="258"/>
  <c r="P30" i="257"/>
  <c r="S42" i="263"/>
  <c r="H29"/>
  <c r="AZ22" i="255"/>
  <c r="J30" i="261"/>
  <c r="T50" i="256"/>
  <c r="N26" i="255"/>
  <c r="BB301" i="276"/>
  <c r="BG21" i="257"/>
  <c r="H27" i="261"/>
  <c r="AY143" i="276"/>
  <c r="N48" i="248"/>
  <c r="AO22"/>
  <c r="H28" i="259"/>
  <c r="N50" i="248"/>
  <c r="BC148" i="276"/>
  <c r="M28" i="248"/>
  <c r="BL42" i="255"/>
  <c r="BE22" i="263"/>
  <c r="K26" i="262"/>
  <c r="AU22" i="257"/>
  <c r="L50" i="255"/>
  <c r="H48"/>
  <c r="BE22" i="262"/>
  <c r="BD22" i="259"/>
  <c r="BB142" i="276"/>
  <c r="BC135"/>
  <c r="BD194" i="277"/>
  <c r="L6" i="228"/>
  <c r="M30" i="260"/>
  <c r="BB22" i="256"/>
  <c r="BK41" i="248"/>
  <c r="K48" i="262"/>
  <c r="L30"/>
  <c r="J29" i="258"/>
  <c r="BF243" i="277"/>
  <c r="P50" i="256"/>
  <c r="BL41" i="263"/>
  <c r="BD208" i="277"/>
  <c r="AQ22" i="256"/>
  <c r="L29" i="257"/>
  <c r="AY184" i="276"/>
  <c r="M29" i="248"/>
  <c r="M50" i="255"/>
  <c r="BK43"/>
  <c r="L26" i="258"/>
  <c r="Q50" i="263"/>
  <c r="BK21" i="258"/>
  <c r="P26" i="248"/>
  <c r="BE22" i="259"/>
  <c r="K27" i="262"/>
  <c r="J28" i="261"/>
  <c r="BF22" i="256"/>
  <c r="BC22" i="257"/>
  <c r="K11" i="228"/>
  <c r="H50" i="258"/>
  <c r="G50" i="248"/>
  <c r="Q26" i="262"/>
  <c r="I29" i="261"/>
  <c r="K48" i="259"/>
  <c r="AM41" i="263"/>
  <c r="I26" i="259"/>
  <c r="O27" i="256"/>
  <c r="K28" i="260"/>
  <c r="AY144" i="276"/>
  <c r="O29" i="260"/>
  <c r="I11" i="228"/>
  <c r="AZ22" i="262"/>
  <c r="BH42" i="261"/>
  <c r="BA243" i="277"/>
  <c r="H50" i="257"/>
  <c r="BA140" i="276"/>
  <c r="BG135"/>
  <c r="AM42" i="248"/>
  <c r="H29"/>
  <c r="P29" i="255"/>
  <c r="BL41" i="248"/>
  <c r="N26" i="260"/>
  <c r="M27" i="263"/>
  <c r="M26" i="259"/>
  <c r="I27" i="262"/>
  <c r="O28" i="255"/>
  <c r="K28" i="263"/>
  <c r="P30" i="255"/>
  <c r="N26" i="261"/>
  <c r="Q28" i="258"/>
  <c r="M26" i="263"/>
  <c r="O27" i="259"/>
  <c r="AP22" i="258"/>
  <c r="O26" i="263"/>
  <c r="L28" i="257"/>
  <c r="BA142" i="276"/>
  <c r="BB207" i="277"/>
  <c r="BH149" i="276"/>
  <c r="BA137"/>
  <c r="H28" i="263"/>
  <c r="I48" i="262"/>
  <c r="P26" i="256"/>
  <c r="L29" i="261"/>
  <c r="J29" i="257"/>
  <c r="Q30" i="262"/>
  <c r="L26" i="259"/>
  <c r="BC22" i="255"/>
  <c r="BC243" i="277"/>
  <c r="H50" i="261"/>
  <c r="BA22" i="257"/>
  <c r="BL42" i="248"/>
  <c r="P27" i="257"/>
  <c r="O27" i="260"/>
  <c r="G29" i="255"/>
  <c r="J28" i="262"/>
  <c r="I50"/>
  <c r="N29" i="258"/>
  <c r="Q28" i="260"/>
  <c r="O26" i="257"/>
  <c r="O50" i="261"/>
  <c r="BC139" i="276"/>
  <c r="BF135"/>
  <c r="M29" i="257"/>
  <c r="BF208" i="277"/>
  <c r="H48" i="258"/>
  <c r="J28"/>
  <c r="P48" i="260"/>
  <c r="AX22" i="257"/>
  <c r="AV22" i="259"/>
  <c r="K30"/>
  <c r="Q30" i="258"/>
  <c r="G30" i="259"/>
  <c r="P50" i="262"/>
  <c r="AW22" i="258"/>
  <c r="K28" i="262"/>
  <c r="BI360" i="277"/>
  <c r="BC22" i="259"/>
  <c r="J26" i="262"/>
  <c r="H48" i="256"/>
  <c r="G26" i="259"/>
  <c r="K20" i="228"/>
  <c r="K50" i="263"/>
  <c r="I30" i="261"/>
  <c r="BB22" i="257"/>
  <c r="AM42" i="255"/>
  <c r="S41" i="256"/>
  <c r="G48" i="261"/>
  <c r="M30" i="248"/>
  <c r="BA279" i="276"/>
  <c r="G27" i="263"/>
  <c r="AP22" i="256"/>
  <c r="Q27"/>
  <c r="G28"/>
  <c r="AM42" i="261"/>
  <c r="BI196" i="277"/>
  <c r="BK21" i="260"/>
  <c r="J28" i="255"/>
  <c r="I50" i="261"/>
  <c r="I30" i="257"/>
  <c r="BE338" i="277"/>
  <c r="J30" i="262"/>
  <c r="I28" i="260"/>
  <c r="I8" i="228"/>
  <c r="AO22" i="263"/>
  <c r="I29" i="260"/>
  <c r="Q48" i="259"/>
  <c r="O29"/>
  <c r="BA202" i="277"/>
  <c r="BA204"/>
  <c r="BI135" i="276"/>
  <c r="BI194" i="277"/>
  <c r="BF339"/>
  <c r="I29" i="248"/>
  <c r="L28" i="256"/>
  <c r="BK42" i="260"/>
  <c r="BI280" i="276"/>
  <c r="H50" i="260"/>
  <c r="BK39"/>
  <c r="K26"/>
  <c r="T50" i="257"/>
  <c r="P48"/>
  <c r="M28" i="255"/>
  <c r="G27" i="258"/>
  <c r="J26"/>
  <c r="BH42"/>
  <c r="L50" i="261"/>
  <c r="AR22" i="256"/>
  <c r="Q48" i="263"/>
  <c r="H27" i="255"/>
  <c r="BB139" i="276"/>
  <c r="AM42" i="259"/>
  <c r="N27" i="263"/>
  <c r="S41" i="257"/>
  <c r="O48" i="248"/>
  <c r="BK41" i="260"/>
  <c r="BI22" i="262"/>
  <c r="H28" i="228"/>
  <c r="S42" i="259"/>
  <c r="AY201" i="277"/>
  <c r="G27" i="259"/>
  <c r="AW22" i="262"/>
  <c r="L26"/>
  <c r="BB148" i="276"/>
  <c r="AY22" i="255"/>
  <c r="AY136" i="276"/>
  <c r="BI208" i="277"/>
  <c r="K27" i="258"/>
  <c r="AY140" i="276"/>
  <c r="I50" i="248"/>
  <c r="AS22" i="258"/>
  <c r="BC196" i="277"/>
  <c r="AM41" i="256"/>
  <c r="BG21" i="263"/>
  <c r="O29" i="248"/>
  <c r="J27" i="257"/>
  <c r="BG21" i="261"/>
  <c r="BA201" i="277"/>
  <c r="S42" i="260"/>
  <c r="M8" i="228"/>
  <c r="J13"/>
  <c r="BA143" i="279"/>
  <c r="L19" i="228"/>
  <c r="G91" i="154"/>
  <c r="I15" i="228"/>
  <c r="H16"/>
  <c r="BA145" i="279"/>
  <c r="H91" i="154"/>
  <c r="M28" i="228"/>
  <c r="J6"/>
  <c r="J14"/>
  <c r="BA139" i="279"/>
  <c r="K6" i="228"/>
  <c r="BA141" i="279"/>
  <c r="V32" i="263"/>
  <c r="M6" i="228"/>
  <c r="BA148" i="279"/>
  <c r="BA140"/>
  <c r="H19" i="228"/>
  <c r="H13"/>
  <c r="BA135" i="279"/>
  <c r="BA142"/>
  <c r="K19" i="228"/>
  <c r="M21"/>
  <c r="M11"/>
  <c r="I6"/>
  <c r="I16"/>
  <c r="J19"/>
  <c r="M10"/>
  <c r="BA136" i="279"/>
  <c r="BA149"/>
  <c r="BN42" i="260" l="1"/>
  <c r="R27" i="259"/>
  <c r="BN42"/>
  <c r="BN41" i="257"/>
  <c r="R27" i="258"/>
  <c r="M31" i="255"/>
  <c r="BK44" i="260"/>
  <c r="L31" i="256"/>
  <c r="I31" i="260"/>
  <c r="J31" i="255"/>
  <c r="G31" i="256"/>
  <c r="R28"/>
  <c r="R27" i="263"/>
  <c r="R48" i="261"/>
  <c r="BN41" i="256"/>
  <c r="R26" i="259"/>
  <c r="BI374" i="277"/>
  <c r="K31" i="262"/>
  <c r="R30" i="259"/>
  <c r="J31" i="258"/>
  <c r="Q31" i="260"/>
  <c r="J31" i="262"/>
  <c r="R29" i="255"/>
  <c r="H31" i="263"/>
  <c r="L31" i="257"/>
  <c r="Q31" i="258"/>
  <c r="K31" i="263"/>
  <c r="O31" i="255"/>
  <c r="K31" i="260"/>
  <c r="R50" i="248"/>
  <c r="J31" i="261"/>
  <c r="M31" i="248"/>
  <c r="H31" i="259"/>
  <c r="BB315" i="276"/>
  <c r="BN42" i="263"/>
  <c r="R29" i="257"/>
  <c r="I31" i="255"/>
  <c r="G31" i="258"/>
  <c r="R28"/>
  <c r="I31" i="261"/>
  <c r="BG315" i="276"/>
  <c r="R50" i="256"/>
  <c r="G31" i="262"/>
  <c r="R28"/>
  <c r="R28" i="259"/>
  <c r="G31"/>
  <c r="P31" i="257"/>
  <c r="H31" i="256"/>
  <c r="BN41" i="260"/>
  <c r="N31" i="257"/>
  <c r="R29" i="259"/>
  <c r="M31" i="262"/>
  <c r="Q31" i="257"/>
  <c r="R27" i="255"/>
  <c r="H31" i="258"/>
  <c r="R29" i="256"/>
  <c r="L31" i="259"/>
  <c r="L31" i="263"/>
  <c r="BN41" i="261"/>
  <c r="K31" i="248"/>
  <c r="R26" i="255"/>
  <c r="M31" i="263"/>
  <c r="BN41" i="259"/>
  <c r="O31" i="260"/>
  <c r="L31" i="261"/>
  <c r="BK44" i="255"/>
  <c r="BN42"/>
  <c r="L31"/>
  <c r="R50" i="261"/>
  <c r="R26" i="258"/>
  <c r="BN41" i="255"/>
  <c r="R27" i="257"/>
  <c r="R29" i="258"/>
  <c r="AY315" i="276"/>
  <c r="R26" i="256"/>
  <c r="O31"/>
  <c r="I31" i="258"/>
  <c r="R48" i="255"/>
  <c r="R26" i="263"/>
  <c r="P31" i="256"/>
  <c r="BN42" i="261"/>
  <c r="R28" i="260"/>
  <c r="G31"/>
  <c r="R30"/>
  <c r="BE315" i="276"/>
  <c r="N31" i="258"/>
  <c r="BA315" i="276"/>
  <c r="BE374" i="277"/>
  <c r="N31" i="262"/>
  <c r="BF374" i="277"/>
  <c r="R27" i="261"/>
  <c r="R29" i="262"/>
  <c r="R30" i="248"/>
  <c r="N31" i="263"/>
  <c r="R27" i="260"/>
  <c r="Q31" i="255"/>
  <c r="Q31" i="261"/>
  <c r="I31" i="263"/>
  <c r="O31"/>
  <c r="K31" i="256"/>
  <c r="BD315" i="276"/>
  <c r="BK44" i="258"/>
  <c r="AY374" i="277"/>
  <c r="O31" i="262"/>
  <c r="O31" i="259"/>
  <c r="R27" i="256"/>
  <c r="P31" i="248"/>
  <c r="R26"/>
  <c r="J31" i="263"/>
  <c r="P31" i="258"/>
  <c r="R30" i="256"/>
  <c r="BA374" i="277"/>
  <c r="BD67" i="257"/>
  <c r="BD51"/>
  <c r="AF37"/>
  <c r="AF12"/>
  <c r="AE37"/>
  <c r="AE12"/>
  <c r="AK31"/>
  <c r="AH67"/>
  <c r="AC14"/>
  <c r="AB44"/>
  <c r="BD61" i="255"/>
  <c r="BD37"/>
  <c r="AI61"/>
  <c r="AI37"/>
  <c r="AI12"/>
  <c r="AE61"/>
  <c r="AH37"/>
  <c r="AH12"/>
  <c r="AC67"/>
  <c r="AC51"/>
  <c r="AD17"/>
  <c r="AS61" i="256"/>
  <c r="AS37"/>
  <c r="AI20"/>
  <c r="AF61"/>
  <c r="AH20"/>
  <c r="AG14"/>
  <c r="AD44"/>
  <c r="AB33"/>
  <c r="BD61" i="248"/>
  <c r="BD37"/>
  <c r="AI61"/>
  <c r="AI37"/>
  <c r="AI12"/>
  <c r="AE61"/>
  <c r="AH37"/>
  <c r="AH12"/>
  <c r="AC67"/>
  <c r="AC51"/>
  <c r="AD17"/>
  <c r="AS61" i="258"/>
  <c r="AS37"/>
  <c r="AI20"/>
  <c r="AF61"/>
  <c r="BD61" i="259"/>
  <c r="AS67"/>
  <c r="AI51"/>
  <c r="AF67"/>
  <c r="AE67"/>
  <c r="AJ12"/>
  <c r="BD61" i="260"/>
  <c r="AS67"/>
  <c r="AI51"/>
  <c r="AF67"/>
  <c r="AE67"/>
  <c r="AJ12"/>
  <c r="BD61" i="261"/>
  <c r="AS67"/>
  <c r="AI51"/>
  <c r="AF67"/>
  <c r="AE67"/>
  <c r="AJ12"/>
  <c r="BD61" i="262"/>
  <c r="AS67"/>
  <c r="AS20"/>
  <c r="AF67"/>
  <c r="AK20" i="263"/>
  <c r="BA144" i="280"/>
  <c r="DI36" i="257"/>
  <c r="CI37" i="255"/>
  <c r="DF67" i="256"/>
  <c r="CU37" i="248"/>
  <c r="CB67" i="259"/>
  <c r="CQ37"/>
  <c r="AS67" i="257"/>
  <c r="AS51"/>
  <c r="AI67"/>
  <c r="AI51"/>
  <c r="AF17"/>
  <c r="AE17"/>
  <c r="AJ20"/>
  <c r="AC61"/>
  <c r="AC37"/>
  <c r="AC12"/>
  <c r="AD31"/>
  <c r="BD44" i="255"/>
  <c r="AI44"/>
  <c r="AE33"/>
  <c r="AJ61"/>
  <c r="AH44"/>
  <c r="AG20"/>
  <c r="AB14"/>
  <c r="AS44" i="256"/>
  <c r="AI17"/>
  <c r="AF33"/>
  <c r="AH17"/>
  <c r="AG37"/>
  <c r="AG12"/>
  <c r="AC31"/>
  <c r="BD44" i="248"/>
  <c r="AI44"/>
  <c r="AE33"/>
  <c r="AJ61"/>
  <c r="AH44"/>
  <c r="AG20"/>
  <c r="AB14"/>
  <c r="AS44" i="258"/>
  <c r="AI17"/>
  <c r="AF33"/>
  <c r="AH44"/>
  <c r="AD17"/>
  <c r="AS61" i="259"/>
  <c r="AI61"/>
  <c r="AI20"/>
  <c r="AH37"/>
  <c r="AD17"/>
  <c r="AS61" i="260"/>
  <c r="AI61"/>
  <c r="AI20"/>
  <c r="AH37"/>
  <c r="AD17"/>
  <c r="AS61" i="261"/>
  <c r="AS68" s="1"/>
  <c r="AI61"/>
  <c r="AI20"/>
  <c r="AH37"/>
  <c r="AD17"/>
  <c r="AS61" i="262"/>
  <c r="AS14"/>
  <c r="AF17"/>
  <c r="AG44"/>
  <c r="AB61"/>
  <c r="BR37" i="257"/>
  <c r="BS67" i="255"/>
  <c r="CE37"/>
  <c r="DG37" i="248"/>
  <c r="CA37"/>
  <c r="BZ67" i="258"/>
  <c r="DC37" i="259"/>
  <c r="BW37"/>
  <c r="AF51" i="257"/>
  <c r="AE51"/>
  <c r="AK17"/>
  <c r="AH14"/>
  <c r="AG33"/>
  <c r="AD61"/>
  <c r="AD37"/>
  <c r="AD12"/>
  <c r="AB31"/>
  <c r="BD14" i="255"/>
  <c r="AS14"/>
  <c r="AF67"/>
  <c r="AF44"/>
  <c r="AE67"/>
  <c r="AE44"/>
  <c r="AK33"/>
  <c r="AJ37"/>
  <c r="AJ12"/>
  <c r="AH51"/>
  <c r="AC20"/>
  <c r="BD14" i="256"/>
  <c r="AS14"/>
  <c r="AF67"/>
  <c r="AF44"/>
  <c r="AE67"/>
  <c r="AE44"/>
  <c r="AK33"/>
  <c r="AJ37"/>
  <c r="AJ12"/>
  <c r="AH51"/>
  <c r="AC20"/>
  <c r="BD14" i="248"/>
  <c r="AS14"/>
  <c r="AF67"/>
  <c r="AF44"/>
  <c r="AE67"/>
  <c r="AE44"/>
  <c r="AK33"/>
  <c r="AJ37"/>
  <c r="AJ12"/>
  <c r="AH51"/>
  <c r="AC20"/>
  <c r="BD14" i="258"/>
  <c r="AS14"/>
  <c r="AF67"/>
  <c r="AF44"/>
  <c r="AE67"/>
  <c r="AE44"/>
  <c r="AK33"/>
  <c r="AJ37"/>
  <c r="AJ12"/>
  <c r="AH51"/>
  <c r="AC37"/>
  <c r="AD31"/>
  <c r="AS14" i="259"/>
  <c r="AF17"/>
  <c r="AE17"/>
  <c r="AJ20"/>
  <c r="AH51"/>
  <c r="AC12"/>
  <c r="BD37" i="260"/>
  <c r="AF44"/>
  <c r="AE44"/>
  <c r="AC37"/>
  <c r="AD31"/>
  <c r="AS14" i="261"/>
  <c r="AF17"/>
  <c r="AE17"/>
  <c r="AJ20"/>
  <c r="AH51"/>
  <c r="AC12"/>
  <c r="BD37" i="262"/>
  <c r="AG17"/>
  <c r="CB67" i="255"/>
  <c r="CQ37"/>
  <c r="CR67" i="248"/>
  <c r="CM37"/>
  <c r="DI36" i="258"/>
  <c r="CI37" i="259"/>
  <c r="AI61" i="257"/>
  <c r="AI68" s="1"/>
  <c r="AI37"/>
  <c r="AI12"/>
  <c r="AE61"/>
  <c r="AH37"/>
  <c r="AH12"/>
  <c r="AC67"/>
  <c r="AC51"/>
  <c r="AD17"/>
  <c r="BD31" i="255"/>
  <c r="BD12"/>
  <c r="AS31"/>
  <c r="AS12"/>
  <c r="AI31"/>
  <c r="AK14"/>
  <c r="AJ17"/>
  <c r="AG51"/>
  <c r="AC17"/>
  <c r="BD31" i="256"/>
  <c r="BD12"/>
  <c r="AS31"/>
  <c r="AS12"/>
  <c r="AI31"/>
  <c r="AK14"/>
  <c r="AJ17"/>
  <c r="AG51"/>
  <c r="AC17"/>
  <c r="BD31" i="248"/>
  <c r="BD12"/>
  <c r="AS31"/>
  <c r="AS12"/>
  <c r="AI31"/>
  <c r="AK14"/>
  <c r="AJ17"/>
  <c r="AG51"/>
  <c r="AC17"/>
  <c r="BD31" i="258"/>
  <c r="BD12"/>
  <c r="AS31"/>
  <c r="AS12"/>
  <c r="AI31"/>
  <c r="AK14"/>
  <c r="AJ17"/>
  <c r="AC51"/>
  <c r="AB33"/>
  <c r="BD51" i="259"/>
  <c r="AS37"/>
  <c r="AI12"/>
  <c r="AC51"/>
  <c r="AB33"/>
  <c r="BD51" i="260"/>
  <c r="AS37"/>
  <c r="AI12"/>
  <c r="AC51"/>
  <c r="AB33"/>
  <c r="BD51" i="261"/>
  <c r="AS37"/>
  <c r="AI12"/>
  <c r="AC51"/>
  <c r="AB33"/>
  <c r="BD51" i="262"/>
  <c r="AS33"/>
  <c r="AF44"/>
  <c r="AK51"/>
  <c r="CR67" i="255"/>
  <c r="CM37"/>
  <c r="DI36" i="256"/>
  <c r="CI37" i="248"/>
  <c r="DF67" i="258"/>
  <c r="CU37" i="259"/>
  <c r="BD33" i="257"/>
  <c r="BD17"/>
  <c r="AI33"/>
  <c r="AF14"/>
  <c r="AK67"/>
  <c r="AK37"/>
  <c r="AK20"/>
  <c r="AJ31"/>
  <c r="AJ33"/>
  <c r="AG44"/>
  <c r="AC33"/>
  <c r="AB67"/>
  <c r="AB37"/>
  <c r="AB20"/>
  <c r="AF51" i="255"/>
  <c r="AF12"/>
  <c r="AE51"/>
  <c r="AE12"/>
  <c r="AK44"/>
  <c r="AH67"/>
  <c r="AH14"/>
  <c r="AG61"/>
  <c r="AG33"/>
  <c r="AD67"/>
  <c r="AD37"/>
  <c r="AD20"/>
  <c r="AB31"/>
  <c r="AB17"/>
  <c r="AF51" i="256"/>
  <c r="AF12"/>
  <c r="AE51"/>
  <c r="AE12"/>
  <c r="AK44"/>
  <c r="AH67"/>
  <c r="AH14"/>
  <c r="AG61"/>
  <c r="AG33"/>
  <c r="AD67"/>
  <c r="AD37"/>
  <c r="AD20"/>
  <c r="AB31"/>
  <c r="AB17"/>
  <c r="AF51" i="248"/>
  <c r="AF12"/>
  <c r="AE51"/>
  <c r="AE12"/>
  <c r="AK44"/>
  <c r="AH67"/>
  <c r="AH14"/>
  <c r="AG61"/>
  <c r="AG33"/>
  <c r="AD67"/>
  <c r="AD37"/>
  <c r="AD20"/>
  <c r="AB31"/>
  <c r="AB17"/>
  <c r="AF51" i="258"/>
  <c r="AF12"/>
  <c r="AE51"/>
  <c r="AE12"/>
  <c r="AK44"/>
  <c r="AH67"/>
  <c r="AH14"/>
  <c r="AG61"/>
  <c r="AG33"/>
  <c r="AD67"/>
  <c r="AD37"/>
  <c r="AD20"/>
  <c r="AB31"/>
  <c r="AB17"/>
  <c r="AF51" i="259"/>
  <c r="AF12"/>
  <c r="AE51"/>
  <c r="AE12"/>
  <c r="AK44"/>
  <c r="AH67"/>
  <c r="AH14"/>
  <c r="AG61"/>
  <c r="AG33"/>
  <c r="AD67"/>
  <c r="AD37"/>
  <c r="AD20"/>
  <c r="AB31"/>
  <c r="AB17"/>
  <c r="AF51" i="260"/>
  <c r="AF12"/>
  <c r="AE51"/>
  <c r="AE12"/>
  <c r="AK44"/>
  <c r="AH67"/>
  <c r="AH14"/>
  <c r="AG61"/>
  <c r="AG33"/>
  <c r="AD67"/>
  <c r="AD37"/>
  <c r="AD20"/>
  <c r="AB31"/>
  <c r="AB17"/>
  <c r="AF51" i="261"/>
  <c r="AF12"/>
  <c r="AE51"/>
  <c r="AE12"/>
  <c r="AK44"/>
  <c r="AH67"/>
  <c r="AH14"/>
  <c r="AG61"/>
  <c r="AG33"/>
  <c r="AD67"/>
  <c r="AD37"/>
  <c r="AD20"/>
  <c r="AB31"/>
  <c r="AB17"/>
  <c r="AF14" i="262"/>
  <c r="AK61"/>
  <c r="AK20"/>
  <c r="AH33"/>
  <c r="AF14" i="263"/>
  <c r="AE14"/>
  <c r="AB12"/>
  <c r="CT67" i="257"/>
  <c r="CD67"/>
  <c r="CV67" i="255"/>
  <c r="CF67"/>
  <c r="DF37"/>
  <c r="CX37"/>
  <c r="CP37"/>
  <c r="CH37"/>
  <c r="BZ37"/>
  <c r="DB37" i="248"/>
  <c r="CT37"/>
  <c r="CL37"/>
  <c r="CD37"/>
  <c r="BV37"/>
  <c r="CT67" i="258"/>
  <c r="CD67"/>
  <c r="CV67" i="259"/>
  <c r="CF67"/>
  <c r="DF37"/>
  <c r="CX37"/>
  <c r="CP37"/>
  <c r="CH37"/>
  <c r="BZ37"/>
  <c r="BD31" i="257"/>
  <c r="BD12"/>
  <c r="AS44"/>
  <c r="AS20"/>
  <c r="AI31"/>
  <c r="AI17"/>
  <c r="AE33"/>
  <c r="AJ67"/>
  <c r="AH17"/>
  <c r="AG37"/>
  <c r="AG20"/>
  <c r="AC31"/>
  <c r="AC17"/>
  <c r="AB14"/>
  <c r="BD33" i="255"/>
  <c r="BD17"/>
  <c r="AI33"/>
  <c r="AF14"/>
  <c r="AK67"/>
  <c r="AK37"/>
  <c r="AK20"/>
  <c r="AJ31"/>
  <c r="AJ33"/>
  <c r="AG44"/>
  <c r="AC33"/>
  <c r="AB67"/>
  <c r="AB37"/>
  <c r="AB20"/>
  <c r="AS33" i="256"/>
  <c r="AS17"/>
  <c r="AE14"/>
  <c r="AK61"/>
  <c r="AK51"/>
  <c r="AK12"/>
  <c r="AH33"/>
  <c r="AG17"/>
  <c r="AD14"/>
  <c r="AB61"/>
  <c r="AB51"/>
  <c r="AB12"/>
  <c r="BD33" i="248"/>
  <c r="BD17"/>
  <c r="AI33"/>
  <c r="AF14"/>
  <c r="AK67"/>
  <c r="AK37"/>
  <c r="AK20"/>
  <c r="AJ31"/>
  <c r="AJ33"/>
  <c r="AG44"/>
  <c r="AC33"/>
  <c r="AB67"/>
  <c r="AB37"/>
  <c r="AB20"/>
  <c r="AS33" i="258"/>
  <c r="AS17"/>
  <c r="AE14"/>
  <c r="AK61"/>
  <c r="AK51"/>
  <c r="AK12"/>
  <c r="AH33"/>
  <c r="AG17"/>
  <c r="AD14"/>
  <c r="AB61"/>
  <c r="AB51"/>
  <c r="AB12"/>
  <c r="BD33" i="259"/>
  <c r="BD17"/>
  <c r="AI33"/>
  <c r="AF14"/>
  <c r="AK67"/>
  <c r="AK37"/>
  <c r="AK20"/>
  <c r="AJ31"/>
  <c r="AJ33"/>
  <c r="AG44"/>
  <c r="AC33"/>
  <c r="AB67"/>
  <c r="AB37"/>
  <c r="AB20"/>
  <c r="AS33" i="260"/>
  <c r="AS17"/>
  <c r="AE14"/>
  <c r="AK61"/>
  <c r="AK51"/>
  <c r="AK12"/>
  <c r="AH33"/>
  <c r="AG17"/>
  <c r="AD14"/>
  <c r="AB61"/>
  <c r="AB51"/>
  <c r="AB12"/>
  <c r="BD33" i="261"/>
  <c r="BD17"/>
  <c r="AI33"/>
  <c r="AF14"/>
  <c r="AK67"/>
  <c r="AK37"/>
  <c r="AK20"/>
  <c r="AJ31"/>
  <c r="AJ33"/>
  <c r="AG44"/>
  <c r="AC33"/>
  <c r="AB67"/>
  <c r="AB37"/>
  <c r="AB20"/>
  <c r="AI61" i="262"/>
  <c r="AI37"/>
  <c r="AI12"/>
  <c r="AE61"/>
  <c r="AC33"/>
  <c r="AB37"/>
  <c r="AK37" i="263"/>
  <c r="AJ31"/>
  <c r="AB51"/>
  <c r="DE37" i="255"/>
  <c r="CW37"/>
  <c r="CO37"/>
  <c r="CG37"/>
  <c r="BY37"/>
  <c r="DI40"/>
  <c r="CX67" i="256"/>
  <c r="CH67"/>
  <c r="CZ67" i="248"/>
  <c r="CJ67"/>
  <c r="DI66"/>
  <c r="DA37"/>
  <c r="CS37"/>
  <c r="CK37"/>
  <c r="CC37"/>
  <c r="BU37"/>
  <c r="DE37" i="259"/>
  <c r="CW37"/>
  <c r="CO37"/>
  <c r="CG37"/>
  <c r="BY37"/>
  <c r="AG51" i="258"/>
  <c r="AG12"/>
  <c r="AC44"/>
  <c r="AD33"/>
  <c r="BD31" i="259"/>
  <c r="BD12"/>
  <c r="AS44"/>
  <c r="AS20"/>
  <c r="AI31"/>
  <c r="AI17"/>
  <c r="AE33"/>
  <c r="AJ67"/>
  <c r="AH44"/>
  <c r="AG51"/>
  <c r="AG12"/>
  <c r="AC44"/>
  <c r="AD33"/>
  <c r="BD31" i="260"/>
  <c r="BD12"/>
  <c r="AS44"/>
  <c r="AS20"/>
  <c r="AI31"/>
  <c r="AI17"/>
  <c r="AE33"/>
  <c r="AJ67"/>
  <c r="AH44"/>
  <c r="AG51"/>
  <c r="AG12"/>
  <c r="AC44"/>
  <c r="AD33"/>
  <c r="BD31" i="261"/>
  <c r="BD12"/>
  <c r="AS44"/>
  <c r="AS20"/>
  <c r="AI31"/>
  <c r="AI17"/>
  <c r="AE33"/>
  <c r="AJ67"/>
  <c r="AH44"/>
  <c r="AG51"/>
  <c r="AG12"/>
  <c r="AC44"/>
  <c r="AD33"/>
  <c r="BD31" i="262"/>
  <c r="BD12"/>
  <c r="AS44"/>
  <c r="AK12"/>
  <c r="AB67"/>
  <c r="BD17" i="263"/>
  <c r="AK67"/>
  <c r="AJ33"/>
  <c r="AG44"/>
  <c r="BQ67" i="257"/>
  <c r="BQ33"/>
  <c r="DI42"/>
  <c r="DD67" i="255"/>
  <c r="CN67"/>
  <c r="BX67"/>
  <c r="DD37"/>
  <c r="CV37"/>
  <c r="CN37"/>
  <c r="CF37"/>
  <c r="BX37"/>
  <c r="DI34"/>
  <c r="BP37"/>
  <c r="DB67" i="256"/>
  <c r="CL67"/>
  <c r="BV67"/>
  <c r="BS37"/>
  <c r="CZ37" i="248"/>
  <c r="CR37"/>
  <c r="CJ37"/>
  <c r="CB37"/>
  <c r="BQ67" i="258"/>
  <c r="BQ33"/>
  <c r="DI42"/>
  <c r="DD67" i="259"/>
  <c r="CN67"/>
  <c r="BX67"/>
  <c r="DD37"/>
  <c r="CV37"/>
  <c r="CN37"/>
  <c r="CF37"/>
  <c r="BX37"/>
  <c r="DI34"/>
  <c r="BP37"/>
  <c r="DI40"/>
  <c r="DF67" i="260"/>
  <c r="DB67"/>
  <c r="CX67"/>
  <c r="CT67"/>
  <c r="CP67"/>
  <c r="CL67"/>
  <c r="CH67"/>
  <c r="CD67"/>
  <c r="BZ67"/>
  <c r="BV67"/>
  <c r="BQ67"/>
  <c r="BS37"/>
  <c r="BQ33"/>
  <c r="DI42"/>
  <c r="DD67" i="261"/>
  <c r="CZ67"/>
  <c r="CV67"/>
  <c r="CR67"/>
  <c r="CN67"/>
  <c r="CJ67"/>
  <c r="CF67"/>
  <c r="CB67"/>
  <c r="BX67"/>
  <c r="DI66"/>
  <c r="DF37"/>
  <c r="DD37"/>
  <c r="DB37"/>
  <c r="CZ37"/>
  <c r="CX37"/>
  <c r="CV37"/>
  <c r="CT37"/>
  <c r="CR37"/>
  <c r="CP37"/>
  <c r="CN37"/>
  <c r="CL37"/>
  <c r="CJ37"/>
  <c r="CH37"/>
  <c r="CF37"/>
  <c r="CD37"/>
  <c r="CB37"/>
  <c r="BZ37"/>
  <c r="BX37"/>
  <c r="BV37"/>
  <c r="BR37" i="263"/>
  <c r="DI36"/>
  <c r="BT67" i="262"/>
  <c r="BP67"/>
  <c r="DI65"/>
  <c r="DF61"/>
  <c r="DD61"/>
  <c r="DB61"/>
  <c r="CZ61"/>
  <c r="CX61"/>
  <c r="CV61"/>
  <c r="CT61"/>
  <c r="CR61"/>
  <c r="CP61"/>
  <c r="CN61"/>
  <c r="CL61"/>
  <c r="CJ61"/>
  <c r="CH61"/>
  <c r="CF61"/>
  <c r="CD61"/>
  <c r="CB61"/>
  <c r="BZ61"/>
  <c r="BX61"/>
  <c r="BV61"/>
  <c r="BT61"/>
  <c r="BT68" s="1"/>
  <c r="BR61"/>
  <c r="BP61"/>
  <c r="DE33"/>
  <c r="DA33"/>
  <c r="CW33"/>
  <c r="CS33"/>
  <c r="CO33"/>
  <c r="CK33"/>
  <c r="CG33"/>
  <c r="CC33"/>
  <c r="BY33"/>
  <c r="BT33"/>
  <c r="DG44"/>
  <c r="CY44"/>
  <c r="DA51" i="257"/>
  <c r="CS51"/>
  <c r="CK51"/>
  <c r="CC51"/>
  <c r="BU51"/>
  <c r="DG51" i="256"/>
  <c r="DC51"/>
  <c r="CU51"/>
  <c r="CM51"/>
  <c r="CE51"/>
  <c r="BW51"/>
  <c r="CZ51" i="248"/>
  <c r="CR51"/>
  <c r="CJ51"/>
  <c r="CB51"/>
  <c r="BT51"/>
  <c r="CV51" i="261"/>
  <c r="CN51"/>
  <c r="CF51"/>
  <c r="BX51"/>
  <c r="DE51" i="262"/>
  <c r="CX51" i="263"/>
  <c r="CP51"/>
  <c r="CH51"/>
  <c r="BZ51"/>
  <c r="DA12" i="255"/>
  <c r="CS12"/>
  <c r="CK12"/>
  <c r="CC12"/>
  <c r="BU12"/>
  <c r="DI11"/>
  <c r="DF12" i="248"/>
  <c r="CX12"/>
  <c r="CP12"/>
  <c r="CH12"/>
  <c r="BZ12"/>
  <c r="BX12" i="258"/>
  <c r="CY12" i="261"/>
  <c r="CI12"/>
  <c r="BS12"/>
  <c r="CZ12" i="262"/>
  <c r="CJ12"/>
  <c r="BT12"/>
  <c r="DE12" i="263"/>
  <c r="CD12"/>
  <c r="CR14" i="257"/>
  <c r="DF14" i="256"/>
  <c r="CW14" i="248"/>
  <c r="CE14" i="259"/>
  <c r="BV14" i="260"/>
  <c r="CJ14" i="262"/>
  <c r="CA14" i="263"/>
  <c r="CS17" i="256"/>
  <c r="CI17" i="259"/>
  <c r="DA17" i="260"/>
  <c r="BU17"/>
  <c r="CQ17" i="263"/>
  <c r="CT20" i="255"/>
  <c r="CU20" i="248"/>
  <c r="CZ20" i="259"/>
  <c r="BT20"/>
  <c r="CP20" i="261"/>
  <c r="DG20" i="263"/>
  <c r="CA20"/>
  <c r="BQ31" i="248"/>
  <c r="AI31" i="262"/>
  <c r="AI17"/>
  <c r="AE33"/>
  <c r="AJ67"/>
  <c r="AH44"/>
  <c r="AG51"/>
  <c r="AG12"/>
  <c r="AC44"/>
  <c r="AD33"/>
  <c r="BD31" i="263"/>
  <c r="BD12"/>
  <c r="AS44"/>
  <c r="AS20"/>
  <c r="AI31"/>
  <c r="AI17"/>
  <c r="AE33"/>
  <c r="AJ67"/>
  <c r="AH44"/>
  <c r="AG51"/>
  <c r="AG12"/>
  <c r="AC44"/>
  <c r="AD33"/>
  <c r="AY156" i="280"/>
  <c r="AY150"/>
  <c r="AY146"/>
  <c r="BQ37" i="257"/>
  <c r="AY192" i="280"/>
  <c r="DD33" i="257"/>
  <c r="CZ33"/>
  <c r="CV33"/>
  <c r="CR33"/>
  <c r="CN33"/>
  <c r="CJ33"/>
  <c r="CF33"/>
  <c r="CB33"/>
  <c r="BX33"/>
  <c r="BT33"/>
  <c r="DE44"/>
  <c r="DA44"/>
  <c r="CW44"/>
  <c r="CS44"/>
  <c r="CO44"/>
  <c r="CK44"/>
  <c r="CG44"/>
  <c r="CC44"/>
  <c r="BY44"/>
  <c r="BU44"/>
  <c r="BQ44"/>
  <c r="DI38"/>
  <c r="BT67" i="255"/>
  <c r="DI65"/>
  <c r="BP67"/>
  <c r="DF61"/>
  <c r="DD61"/>
  <c r="DD68" s="1"/>
  <c r="DB61"/>
  <c r="CZ61"/>
  <c r="CX61"/>
  <c r="CV61"/>
  <c r="CV68" s="1"/>
  <c r="CT61"/>
  <c r="CR61"/>
  <c r="CP61"/>
  <c r="CN61"/>
  <c r="CL61"/>
  <c r="CJ61"/>
  <c r="CH61"/>
  <c r="CF61"/>
  <c r="CD61"/>
  <c r="CB61"/>
  <c r="CB68" s="1"/>
  <c r="BZ61"/>
  <c r="BX61"/>
  <c r="BX68" s="1"/>
  <c r="BV61"/>
  <c r="BT61"/>
  <c r="BR61"/>
  <c r="BP61"/>
  <c r="DE33"/>
  <c r="DA33"/>
  <c r="CW33"/>
  <c r="CS33"/>
  <c r="CO33"/>
  <c r="CK33"/>
  <c r="CG33"/>
  <c r="CC33"/>
  <c r="BY33"/>
  <c r="BU33"/>
  <c r="DI32"/>
  <c r="BP33"/>
  <c r="DD44"/>
  <c r="CZ44"/>
  <c r="CV44"/>
  <c r="CR44"/>
  <c r="CN44"/>
  <c r="CJ44"/>
  <c r="CF44"/>
  <c r="CB44"/>
  <c r="BX44"/>
  <c r="BT44"/>
  <c r="DI39"/>
  <c r="BP44"/>
  <c r="DI45"/>
  <c r="BQ37" i="256"/>
  <c r="DF33"/>
  <c r="DB33"/>
  <c r="CX33"/>
  <c r="CT33"/>
  <c r="CP33"/>
  <c r="CL33"/>
  <c r="CH33"/>
  <c r="CD33"/>
  <c r="BZ33"/>
  <c r="BV33"/>
  <c r="BR33"/>
  <c r="DG44"/>
  <c r="DC44"/>
  <c r="CY44"/>
  <c r="CU44"/>
  <c r="CQ44"/>
  <c r="CM44"/>
  <c r="CI44"/>
  <c r="CE44"/>
  <c r="CA44"/>
  <c r="BW44"/>
  <c r="BS44"/>
  <c r="DI41"/>
  <c r="DE67" i="248"/>
  <c r="DA67"/>
  <c r="CW67"/>
  <c r="CS67"/>
  <c r="CO67"/>
  <c r="CK67"/>
  <c r="CG67"/>
  <c r="CC67"/>
  <c r="BY67"/>
  <c r="BU67"/>
  <c r="BT37"/>
  <c r="DG61"/>
  <c r="DE61"/>
  <c r="DE68" s="1"/>
  <c r="DC61"/>
  <c r="DA61"/>
  <c r="CY61"/>
  <c r="CW61"/>
  <c r="CU61"/>
  <c r="CS61"/>
  <c r="CS68" s="1"/>
  <c r="CQ61"/>
  <c r="CO61"/>
  <c r="CO68" s="1"/>
  <c r="CM61"/>
  <c r="CK61"/>
  <c r="CI61"/>
  <c r="CG61"/>
  <c r="CE61"/>
  <c r="CC61"/>
  <c r="CC68" s="1"/>
  <c r="CA61"/>
  <c r="BY61"/>
  <c r="BY68" s="1"/>
  <c r="BW61"/>
  <c r="BU61"/>
  <c r="BS61"/>
  <c r="BQ61"/>
  <c r="DG33"/>
  <c r="DC33"/>
  <c r="CY33"/>
  <c r="CU33"/>
  <c r="CQ33"/>
  <c r="CM33"/>
  <c r="CI33"/>
  <c r="CE33"/>
  <c r="CA33"/>
  <c r="BW33"/>
  <c r="BS33"/>
  <c r="DF44"/>
  <c r="DB44"/>
  <c r="CX44"/>
  <c r="CT44"/>
  <c r="CP44"/>
  <c r="CL44"/>
  <c r="CH44"/>
  <c r="CD44"/>
  <c r="BZ44"/>
  <c r="BV44"/>
  <c r="BR44"/>
  <c r="DI43"/>
  <c r="DG67" i="258"/>
  <c r="DC67"/>
  <c r="CY67"/>
  <c r="CU67"/>
  <c r="CQ67"/>
  <c r="CM67"/>
  <c r="CI67"/>
  <c r="CE67"/>
  <c r="CA67"/>
  <c r="BW67"/>
  <c r="BR67"/>
  <c r="DI35"/>
  <c r="DD33"/>
  <c r="CZ33"/>
  <c r="CV33"/>
  <c r="CR33"/>
  <c r="CN33"/>
  <c r="CJ33"/>
  <c r="CF33"/>
  <c r="CB33"/>
  <c r="BX33"/>
  <c r="BT33"/>
  <c r="DE44"/>
  <c r="DA44"/>
  <c r="CW44"/>
  <c r="CS44"/>
  <c r="CO44"/>
  <c r="CK44"/>
  <c r="CG44"/>
  <c r="CC44"/>
  <c r="BY44"/>
  <c r="BU44"/>
  <c r="BQ44"/>
  <c r="DI38"/>
  <c r="BT67" i="259"/>
  <c r="DI65"/>
  <c r="BP67"/>
  <c r="DF61"/>
  <c r="DD61"/>
  <c r="DD68" s="1"/>
  <c r="DB61"/>
  <c r="CZ61"/>
  <c r="CX61"/>
  <c r="CV61"/>
  <c r="CV68" s="1"/>
  <c r="CT61"/>
  <c r="CR61"/>
  <c r="CP61"/>
  <c r="CN61"/>
  <c r="CL61"/>
  <c r="CJ61"/>
  <c r="CH61"/>
  <c r="CF61"/>
  <c r="CD61"/>
  <c r="CB61"/>
  <c r="CB68" s="1"/>
  <c r="BZ61"/>
  <c r="BX61"/>
  <c r="BX68" s="1"/>
  <c r="BV61"/>
  <c r="BT61"/>
  <c r="BR61"/>
  <c r="BP61"/>
  <c r="DE33"/>
  <c r="DA33"/>
  <c r="CW33"/>
  <c r="CS33"/>
  <c r="CO33"/>
  <c r="CK33"/>
  <c r="CG33"/>
  <c r="CC33"/>
  <c r="BY33"/>
  <c r="BU33"/>
  <c r="DI32"/>
  <c r="BP33"/>
  <c r="DD44"/>
  <c r="CZ44"/>
  <c r="CV44"/>
  <c r="CR44"/>
  <c r="CN44"/>
  <c r="CJ44"/>
  <c r="CF44"/>
  <c r="CB44"/>
  <c r="BX44"/>
  <c r="BT44"/>
  <c r="DI39"/>
  <c r="BP44"/>
  <c r="DI45"/>
  <c r="DC67" i="260"/>
  <c r="CU67"/>
  <c r="CM67"/>
  <c r="CE67"/>
  <c r="BW67"/>
  <c r="I31" i="248"/>
  <c r="R48"/>
  <c r="R48" i="258"/>
  <c r="BD374" i="277"/>
  <c r="BK44" i="261"/>
  <c r="L31" i="248"/>
  <c r="R48" i="263"/>
  <c r="R28" i="261"/>
  <c r="G31"/>
  <c r="R50" i="255"/>
  <c r="BI315" i="276"/>
  <c r="H31" i="248"/>
  <c r="N31" i="256"/>
  <c r="M31" i="259"/>
  <c r="R30" i="255"/>
  <c r="G31" i="263"/>
  <c r="R28"/>
  <c r="M31" i="257"/>
  <c r="R26" i="262"/>
  <c r="R30" i="261"/>
  <c r="BK44" i="257"/>
  <c r="R27" i="262"/>
  <c r="BK44" i="248"/>
  <c r="N31" i="255"/>
  <c r="BH315" i="276"/>
  <c r="K31" i="257"/>
  <c r="J31" i="256"/>
  <c r="O31" i="257"/>
  <c r="M31" i="260"/>
  <c r="M31" i="256"/>
  <c r="BH374" i="277"/>
  <c r="O31" i="248"/>
  <c r="K31" i="259"/>
  <c r="I31" i="256"/>
  <c r="I31" i="257"/>
  <c r="M31" i="258"/>
  <c r="R29" i="263"/>
  <c r="I31" i="262"/>
  <c r="R50" i="263"/>
  <c r="R50" i="260"/>
  <c r="P31" i="263"/>
  <c r="R26" i="261"/>
  <c r="R48" i="260"/>
  <c r="BK44" i="256"/>
  <c r="L31" i="260"/>
  <c r="H31" i="261"/>
  <c r="H31" i="255"/>
  <c r="BG374" i="277"/>
  <c r="R30" i="258"/>
  <c r="K31" i="261"/>
  <c r="R30" i="263"/>
  <c r="O31" i="261"/>
  <c r="M31"/>
  <c r="Q31" i="263"/>
  <c r="R27" i="248"/>
  <c r="Q31" i="256"/>
  <c r="BC315" i="276"/>
  <c r="R50" i="257"/>
  <c r="R29" i="260"/>
  <c r="H31" i="262"/>
  <c r="BN42"/>
  <c r="BK44"/>
  <c r="J31" i="248"/>
  <c r="G31" i="255"/>
  <c r="R28"/>
  <c r="BF315" i="276"/>
  <c r="J31" i="260"/>
  <c r="L31" i="258"/>
  <c r="R48" i="256"/>
  <c r="O31" i="258"/>
  <c r="R48" i="257"/>
  <c r="BK44" i="263"/>
  <c r="Q31" i="262"/>
  <c r="P31" i="259"/>
  <c r="L31" i="262"/>
  <c r="P31"/>
  <c r="R28" i="248"/>
  <c r="G31"/>
  <c r="R50" i="262"/>
  <c r="BC374" i="277"/>
  <c r="I31" i="259"/>
  <c r="R48"/>
  <c r="BN41" i="263"/>
  <c r="R50" i="258"/>
  <c r="BK44" i="259"/>
  <c r="BB374" i="277"/>
  <c r="BN42" i="257"/>
  <c r="Q31" i="248"/>
  <c r="BN42" i="256"/>
  <c r="BN42" i="258"/>
  <c r="R26" i="257"/>
  <c r="J31" i="259"/>
  <c r="R50"/>
  <c r="P31" i="261"/>
  <c r="BN41" i="248"/>
  <c r="H31" i="257"/>
  <c r="H31" i="260"/>
  <c r="R28" i="257"/>
  <c r="G31"/>
  <c r="R29" i="248"/>
  <c r="Q31" i="259"/>
  <c r="BN42" i="248"/>
  <c r="R30" i="257"/>
  <c r="R30" i="262"/>
  <c r="K31" i="258"/>
  <c r="N31" i="260"/>
  <c r="N31" i="259"/>
  <c r="R29" i="261"/>
  <c r="P31" i="260"/>
  <c r="BN41" i="262"/>
  <c r="R48"/>
  <c r="N31" i="248"/>
  <c r="J31" i="257"/>
  <c r="N31" i="261"/>
  <c r="R26" i="260"/>
  <c r="BN41" i="258"/>
  <c r="P31" i="255"/>
  <c r="K31"/>
  <c r="BD14" i="257"/>
  <c r="AF20"/>
  <c r="AE20"/>
  <c r="AJ14"/>
  <c r="AG61"/>
  <c r="AD67"/>
  <c r="AD51"/>
  <c r="AB17"/>
  <c r="AS61" i="255"/>
  <c r="AS37"/>
  <c r="AI20"/>
  <c r="AF61"/>
  <c r="AH20"/>
  <c r="AG14"/>
  <c r="AD44"/>
  <c r="AB33"/>
  <c r="BD61" i="256"/>
  <c r="BD37"/>
  <c r="AI61"/>
  <c r="AI37"/>
  <c r="AI12"/>
  <c r="AE61"/>
  <c r="AH37"/>
  <c r="AH12"/>
  <c r="AC67"/>
  <c r="AC51"/>
  <c r="AD17"/>
  <c r="AS61" i="248"/>
  <c r="AS37"/>
  <c r="AI20"/>
  <c r="AF61"/>
  <c r="AH20"/>
  <c r="AG14"/>
  <c r="AD44"/>
  <c r="AB33"/>
  <c r="BD61" i="258"/>
  <c r="BD37"/>
  <c r="AI61"/>
  <c r="AI37"/>
  <c r="AI12"/>
  <c r="AE61"/>
  <c r="AH37"/>
  <c r="AC61"/>
  <c r="AC20"/>
  <c r="AS51" i="259"/>
  <c r="AI67"/>
  <c r="AK33"/>
  <c r="AJ37"/>
  <c r="AC61"/>
  <c r="AC20"/>
  <c r="AS51" i="260"/>
  <c r="AI67"/>
  <c r="AK33"/>
  <c r="AJ37"/>
  <c r="AC61"/>
  <c r="AC20"/>
  <c r="AS51" i="261"/>
  <c r="AI67"/>
  <c r="AK33"/>
  <c r="AJ37"/>
  <c r="AC61"/>
  <c r="AC20"/>
  <c r="AS51" i="262"/>
  <c r="AI51"/>
  <c r="AE67"/>
  <c r="AD14" i="263"/>
  <c r="CP67" i="257"/>
  <c r="CY37" i="255"/>
  <c r="BR37" i="256"/>
  <c r="BS67" i="248"/>
  <c r="CE37"/>
  <c r="DG37" i="259"/>
  <c r="CA37"/>
  <c r="AS14" i="257"/>
  <c r="AF67"/>
  <c r="AF44"/>
  <c r="AE67"/>
  <c r="AE44"/>
  <c r="AK33"/>
  <c r="AJ37"/>
  <c r="AJ12"/>
  <c r="AH51"/>
  <c r="AC20"/>
  <c r="AS44" i="255"/>
  <c r="AI17"/>
  <c r="AF33"/>
  <c r="AH17"/>
  <c r="AG37"/>
  <c r="AG12"/>
  <c r="AC31"/>
  <c r="BD44" i="256"/>
  <c r="AI44"/>
  <c r="AE33"/>
  <c r="AJ61"/>
  <c r="AH44"/>
  <c r="AG20"/>
  <c r="AB14"/>
  <c r="AS44" i="248"/>
  <c r="AI17"/>
  <c r="AF33"/>
  <c r="AH17"/>
  <c r="AG37"/>
  <c r="AG12"/>
  <c r="AC31"/>
  <c r="BD44" i="258"/>
  <c r="AI44"/>
  <c r="AE33"/>
  <c r="AJ61"/>
  <c r="AH12"/>
  <c r="AG14"/>
  <c r="AD44"/>
  <c r="BD14" i="259"/>
  <c r="AF61"/>
  <c r="AE61"/>
  <c r="AE68" s="1"/>
  <c r="AH12"/>
  <c r="AG14"/>
  <c r="AD44"/>
  <c r="BD14" i="260"/>
  <c r="AF61"/>
  <c r="AF68" s="1"/>
  <c r="AE61"/>
  <c r="AE68" s="1"/>
  <c r="AH12"/>
  <c r="AG14"/>
  <c r="AD44"/>
  <c r="BD14" i="261"/>
  <c r="AF61"/>
  <c r="AE61"/>
  <c r="AE68" s="1"/>
  <c r="AH12"/>
  <c r="AG14"/>
  <c r="AD44"/>
  <c r="BD14" i="262"/>
  <c r="AE17"/>
  <c r="DF67" i="257"/>
  <c r="CU37" i="255"/>
  <c r="CB67" i="248"/>
  <c r="CQ37"/>
  <c r="CR67" i="259"/>
  <c r="CM37"/>
  <c r="BD61" i="257"/>
  <c r="BD68" s="1"/>
  <c r="BD37"/>
  <c r="AI14"/>
  <c r="T67"/>
  <c r="AK44"/>
  <c r="AH61"/>
  <c r="AH68" s="1"/>
  <c r="AG67"/>
  <c r="AD20"/>
  <c r="BD67" i="255"/>
  <c r="BD51"/>
  <c r="AS67"/>
  <c r="AS51"/>
  <c r="AI67"/>
  <c r="AI51"/>
  <c r="AF17"/>
  <c r="AE17"/>
  <c r="AJ20"/>
  <c r="AC61"/>
  <c r="AC68" s="1"/>
  <c r="AC37"/>
  <c r="AC12"/>
  <c r="AD31"/>
  <c r="BD67" i="256"/>
  <c r="BD51"/>
  <c r="AS67"/>
  <c r="AS51"/>
  <c r="AI67"/>
  <c r="AI51"/>
  <c r="AF17"/>
  <c r="AE17"/>
  <c r="AJ20"/>
  <c r="AC61"/>
  <c r="AC68" s="1"/>
  <c r="AC37"/>
  <c r="AC12"/>
  <c r="AD31"/>
  <c r="BD67" i="248"/>
  <c r="BD51"/>
  <c r="AS67"/>
  <c r="AS51"/>
  <c r="AI67"/>
  <c r="AI51"/>
  <c r="AF17"/>
  <c r="AE17"/>
  <c r="AJ20"/>
  <c r="AC61"/>
  <c r="AC68" s="1"/>
  <c r="AC37"/>
  <c r="AC12"/>
  <c r="AD31"/>
  <c r="BD67" i="258"/>
  <c r="BD51"/>
  <c r="AS67"/>
  <c r="AS51"/>
  <c r="AI67"/>
  <c r="AI51"/>
  <c r="AF17"/>
  <c r="AE17"/>
  <c r="AJ20"/>
  <c r="AC12"/>
  <c r="BD37" i="259"/>
  <c r="AF44"/>
  <c r="AE44"/>
  <c r="AC37"/>
  <c r="AD31"/>
  <c r="AS14" i="260"/>
  <c r="AF17"/>
  <c r="AE17"/>
  <c r="AJ20"/>
  <c r="AH51"/>
  <c r="AC12"/>
  <c r="BD37" i="261"/>
  <c r="AF44"/>
  <c r="AE44"/>
  <c r="AC37"/>
  <c r="AD31"/>
  <c r="AI67" i="262"/>
  <c r="AK67"/>
  <c r="AK61" i="263"/>
  <c r="AH33"/>
  <c r="DG37" i="255"/>
  <c r="CA37"/>
  <c r="BZ67" i="256"/>
  <c r="DC37" i="248"/>
  <c r="BW37"/>
  <c r="CP67" i="258"/>
  <c r="CY37" i="259"/>
  <c r="AS61" i="257"/>
  <c r="AS68" s="1"/>
  <c r="AS37"/>
  <c r="AI20"/>
  <c r="AF61"/>
  <c r="AH20"/>
  <c r="AG14"/>
  <c r="AD44"/>
  <c r="AB33"/>
  <c r="BD20" i="255"/>
  <c r="AS20"/>
  <c r="AJ67"/>
  <c r="AJ51"/>
  <c r="AC44"/>
  <c r="AD33"/>
  <c r="BD20" i="256"/>
  <c r="AS20"/>
  <c r="AJ67"/>
  <c r="AJ51"/>
  <c r="AC44"/>
  <c r="AD33"/>
  <c r="BD20" i="248"/>
  <c r="AS20"/>
  <c r="AJ67"/>
  <c r="AJ51"/>
  <c r="AC44"/>
  <c r="AD33"/>
  <c r="BD20" i="258"/>
  <c r="AS20"/>
  <c r="AJ67"/>
  <c r="AJ51"/>
  <c r="AH20"/>
  <c r="AC67"/>
  <c r="BD67" i="259"/>
  <c r="AI37"/>
  <c r="AH20"/>
  <c r="AC67"/>
  <c r="BD67" i="260"/>
  <c r="AI37"/>
  <c r="AH20"/>
  <c r="AC67"/>
  <c r="BD67" i="261"/>
  <c r="AI37"/>
  <c r="AH20"/>
  <c r="AC67"/>
  <c r="BD67" i="262"/>
  <c r="AE44"/>
  <c r="AJ33"/>
  <c r="AB20"/>
  <c r="AS17" i="263"/>
  <c r="BZ67" i="257"/>
  <c r="DC37" i="255"/>
  <c r="BW37"/>
  <c r="CP67" i="256"/>
  <c r="CY37" i="248"/>
  <c r="BR37" i="258"/>
  <c r="BS67" i="259"/>
  <c r="CE37"/>
  <c r="AS33" i="257"/>
  <c r="AS17"/>
  <c r="AE14"/>
  <c r="AK61"/>
  <c r="AK51"/>
  <c r="AK12"/>
  <c r="AH33"/>
  <c r="AG17"/>
  <c r="AD14"/>
  <c r="AB61"/>
  <c r="AB51"/>
  <c r="AB12"/>
  <c r="AI14" i="255"/>
  <c r="AF37"/>
  <c r="AF20"/>
  <c r="T67"/>
  <c r="AE37"/>
  <c r="AE20"/>
  <c r="AK31"/>
  <c r="AK17"/>
  <c r="AJ14"/>
  <c r="AH61"/>
  <c r="AG67"/>
  <c r="AC14"/>
  <c r="AD61"/>
  <c r="AD51"/>
  <c r="AD12"/>
  <c r="AB44"/>
  <c r="AI14" i="256"/>
  <c r="AF37"/>
  <c r="AF20"/>
  <c r="T67"/>
  <c r="AE37"/>
  <c r="AE20"/>
  <c r="AK31"/>
  <c r="AK17"/>
  <c r="AJ14"/>
  <c r="AH61"/>
  <c r="AG67"/>
  <c r="AC14"/>
  <c r="AD61"/>
  <c r="AD51"/>
  <c r="AD12"/>
  <c r="AB44"/>
  <c r="AI14" i="248"/>
  <c r="AF37"/>
  <c r="AF20"/>
  <c r="T67"/>
  <c r="AE37"/>
  <c r="AE20"/>
  <c r="AK31"/>
  <c r="AK17"/>
  <c r="AJ14"/>
  <c r="AH61"/>
  <c r="AH68" s="1"/>
  <c r="AG67"/>
  <c r="AC14"/>
  <c r="AD61"/>
  <c r="AD51"/>
  <c r="AD12"/>
  <c r="AB44"/>
  <c r="AI14" i="258"/>
  <c r="AF37"/>
  <c r="AF20"/>
  <c r="T67"/>
  <c r="AE37"/>
  <c r="AE20"/>
  <c r="AK31"/>
  <c r="AK17"/>
  <c r="AJ14"/>
  <c r="AH61"/>
  <c r="AG67"/>
  <c r="AC14"/>
  <c r="AD61"/>
  <c r="AD51"/>
  <c r="AD12"/>
  <c r="AB44"/>
  <c r="AI14" i="259"/>
  <c r="AF37"/>
  <c r="AF20"/>
  <c r="T67"/>
  <c r="AE37"/>
  <c r="AE20"/>
  <c r="AK31"/>
  <c r="AK17"/>
  <c r="AJ14"/>
  <c r="AH61"/>
  <c r="AG67"/>
  <c r="AC14"/>
  <c r="AD61"/>
  <c r="AD51"/>
  <c r="AD12"/>
  <c r="AB44"/>
  <c r="AI14" i="260"/>
  <c r="AF37"/>
  <c r="AF20"/>
  <c r="T67"/>
  <c r="AE37"/>
  <c r="AE20"/>
  <c r="AK31"/>
  <c r="AK17"/>
  <c r="AJ14"/>
  <c r="AH61"/>
  <c r="AG67"/>
  <c r="AC14"/>
  <c r="AD61"/>
  <c r="AD51"/>
  <c r="AD12"/>
  <c r="AB44"/>
  <c r="AI14" i="261"/>
  <c r="AF37"/>
  <c r="AF20"/>
  <c r="T67"/>
  <c r="AE37"/>
  <c r="AE20"/>
  <c r="AK31"/>
  <c r="AK17"/>
  <c r="AJ14"/>
  <c r="AH61"/>
  <c r="AG67"/>
  <c r="AC14"/>
  <c r="AD61"/>
  <c r="AD51"/>
  <c r="AD12"/>
  <c r="AB44"/>
  <c r="AE14" i="262"/>
  <c r="AD14"/>
  <c r="BD33" i="263"/>
  <c r="AC33"/>
  <c r="AB37"/>
  <c r="DB37" i="255"/>
  <c r="CT37"/>
  <c r="CL37"/>
  <c r="CD37"/>
  <c r="BV37"/>
  <c r="CT67" i="256"/>
  <c r="CD67"/>
  <c r="CV67" i="248"/>
  <c r="CF67"/>
  <c r="DF37"/>
  <c r="CX37"/>
  <c r="CP37"/>
  <c r="CH37"/>
  <c r="BZ37"/>
  <c r="DB37" i="259"/>
  <c r="CT37"/>
  <c r="CL37"/>
  <c r="CD37"/>
  <c r="BV37"/>
  <c r="BD44" i="257"/>
  <c r="BD20"/>
  <c r="AS31"/>
  <c r="AS12"/>
  <c r="AI44"/>
  <c r="AF33"/>
  <c r="AK14"/>
  <c r="AJ61"/>
  <c r="AJ68" s="1"/>
  <c r="AJ51"/>
  <c r="AJ17"/>
  <c r="AH44"/>
  <c r="AG51"/>
  <c r="AG12"/>
  <c r="AG23" s="1"/>
  <c r="AC44"/>
  <c r="AD33"/>
  <c r="AS33" i="255"/>
  <c r="AS17"/>
  <c r="AE14"/>
  <c r="AK61"/>
  <c r="AK51"/>
  <c r="AK12"/>
  <c r="AH33"/>
  <c r="AG17"/>
  <c r="AD14"/>
  <c r="AB61"/>
  <c r="AB51"/>
  <c r="AB12"/>
  <c r="BD33" i="256"/>
  <c r="BD52" s="1"/>
  <c r="BD17"/>
  <c r="AI33"/>
  <c r="AF14"/>
  <c r="AK67"/>
  <c r="AK37"/>
  <c r="AK20"/>
  <c r="AJ31"/>
  <c r="AJ33"/>
  <c r="AG44"/>
  <c r="AC33"/>
  <c r="AB67"/>
  <c r="AB37"/>
  <c r="AB20"/>
  <c r="AS33" i="248"/>
  <c r="AS17"/>
  <c r="AE14"/>
  <c r="AK61"/>
  <c r="AK51"/>
  <c r="AK12"/>
  <c r="AH33"/>
  <c r="AG17"/>
  <c r="AD14"/>
  <c r="AB61"/>
  <c r="AB51"/>
  <c r="AB12"/>
  <c r="BD33" i="258"/>
  <c r="BD17"/>
  <c r="AI33"/>
  <c r="AF14"/>
  <c r="AK67"/>
  <c r="AK37"/>
  <c r="AK20"/>
  <c r="AJ31"/>
  <c r="AJ33"/>
  <c r="AG44"/>
  <c r="AC33"/>
  <c r="AB67"/>
  <c r="AB37"/>
  <c r="AB20"/>
  <c r="AS33" i="259"/>
  <c r="AS17"/>
  <c r="AE14"/>
  <c r="AK61"/>
  <c r="AK51"/>
  <c r="AK12"/>
  <c r="AH33"/>
  <c r="AG17"/>
  <c r="AD14"/>
  <c r="AB61"/>
  <c r="AB51"/>
  <c r="AB12"/>
  <c r="BD33" i="260"/>
  <c r="BD17"/>
  <c r="AI33"/>
  <c r="AF14"/>
  <c r="AK67"/>
  <c r="AK37"/>
  <c r="AK20"/>
  <c r="AJ31"/>
  <c r="AJ33"/>
  <c r="AG44"/>
  <c r="AC33"/>
  <c r="AB67"/>
  <c r="AB37"/>
  <c r="AB20"/>
  <c r="AS33" i="261"/>
  <c r="AS17"/>
  <c r="AE14"/>
  <c r="AK61"/>
  <c r="AK51"/>
  <c r="AK12"/>
  <c r="AH33"/>
  <c r="AG17"/>
  <c r="AD14"/>
  <c r="AB61"/>
  <c r="AB51"/>
  <c r="AB12"/>
  <c r="BD33" i="262"/>
  <c r="BD17"/>
  <c r="AS17"/>
  <c r="AI20"/>
  <c r="AF61"/>
  <c r="AB12"/>
  <c r="AS33" i="263"/>
  <c r="AI33"/>
  <c r="AK12"/>
  <c r="AB67"/>
  <c r="CX67" i="257"/>
  <c r="CH67"/>
  <c r="CZ67" i="255"/>
  <c r="CJ67"/>
  <c r="DI66"/>
  <c r="DA37"/>
  <c r="CS37"/>
  <c r="CK37"/>
  <c r="CC37"/>
  <c r="BU37"/>
  <c r="DE37" i="248"/>
  <c r="CW37"/>
  <c r="CO37"/>
  <c r="CG37"/>
  <c r="BY37"/>
  <c r="DI40"/>
  <c r="CX67" i="258"/>
  <c r="CH67"/>
  <c r="CZ67" i="259"/>
  <c r="CJ67"/>
  <c r="DI66"/>
  <c r="DA37"/>
  <c r="CS37"/>
  <c r="CK37"/>
  <c r="CC37"/>
  <c r="BU37"/>
  <c r="AH17" i="258"/>
  <c r="AG37"/>
  <c r="AG20"/>
  <c r="AC31"/>
  <c r="AC17"/>
  <c r="AB14"/>
  <c r="BD44" i="259"/>
  <c r="BD20"/>
  <c r="AS31"/>
  <c r="AS12"/>
  <c r="AI44"/>
  <c r="AF33"/>
  <c r="AK14"/>
  <c r="AJ61"/>
  <c r="AJ51"/>
  <c r="AJ17"/>
  <c r="AH17"/>
  <c r="AG37"/>
  <c r="AG20"/>
  <c r="AC31"/>
  <c r="AC17"/>
  <c r="AB14"/>
  <c r="BD44" i="260"/>
  <c r="BD20"/>
  <c r="AS31"/>
  <c r="AS12"/>
  <c r="AI44"/>
  <c r="AF33"/>
  <c r="AK14"/>
  <c r="AJ61"/>
  <c r="AJ51"/>
  <c r="AJ17"/>
  <c r="AH17"/>
  <c r="AG37"/>
  <c r="AG20"/>
  <c r="AC31"/>
  <c r="AC17"/>
  <c r="AB14"/>
  <c r="BD44" i="261"/>
  <c r="BD20"/>
  <c r="AS31"/>
  <c r="AS12"/>
  <c r="AI44"/>
  <c r="AF33"/>
  <c r="AK14"/>
  <c r="AJ61"/>
  <c r="AJ51"/>
  <c r="AJ17"/>
  <c r="AH17"/>
  <c r="AG37"/>
  <c r="AG20"/>
  <c r="AC31"/>
  <c r="AC17"/>
  <c r="AB14"/>
  <c r="BD44" i="262"/>
  <c r="BD20"/>
  <c r="AS31"/>
  <c r="AS37"/>
  <c r="AI33"/>
  <c r="AK37"/>
  <c r="AJ31"/>
  <c r="AB51"/>
  <c r="AK51" i="263"/>
  <c r="AG17"/>
  <c r="AB61"/>
  <c r="AB20"/>
  <c r="DB67" i="257"/>
  <c r="CL67"/>
  <c r="BV67"/>
  <c r="BS37"/>
  <c r="CZ37" i="255"/>
  <c r="CR37"/>
  <c r="CJ37"/>
  <c r="CB37"/>
  <c r="BQ67" i="256"/>
  <c r="BQ33"/>
  <c r="DI42"/>
  <c r="DD67" i="248"/>
  <c r="CN67"/>
  <c r="BX67"/>
  <c r="DD37"/>
  <c r="CV37"/>
  <c r="CN37"/>
  <c r="CF37"/>
  <c r="BX37"/>
  <c r="BP37"/>
  <c r="DI34"/>
  <c r="DB67" i="258"/>
  <c r="CL67"/>
  <c r="BV67"/>
  <c r="BS37"/>
  <c r="CZ37" i="259"/>
  <c r="CR37"/>
  <c r="CJ37"/>
  <c r="CB37"/>
  <c r="BR37" i="260"/>
  <c r="DI36"/>
  <c r="BS67" i="261"/>
  <c r="DG37"/>
  <c r="DE37"/>
  <c r="DC37"/>
  <c r="DA37"/>
  <c r="CY37"/>
  <c r="CW37"/>
  <c r="CU37"/>
  <c r="CS37"/>
  <c r="CQ37"/>
  <c r="CO37"/>
  <c r="CM37"/>
  <c r="CK37"/>
  <c r="CI37"/>
  <c r="CG37"/>
  <c r="CE37"/>
  <c r="CC37"/>
  <c r="CA37"/>
  <c r="BY37"/>
  <c r="BW37"/>
  <c r="BU37"/>
  <c r="BP37"/>
  <c r="DI34"/>
  <c r="DI40"/>
  <c r="DF67" i="263"/>
  <c r="DB67"/>
  <c r="CX67"/>
  <c r="CT67"/>
  <c r="CP67"/>
  <c r="CL67"/>
  <c r="CH67"/>
  <c r="CD67"/>
  <c r="BZ67"/>
  <c r="BV67"/>
  <c r="BQ67"/>
  <c r="BS37"/>
  <c r="BQ33"/>
  <c r="DI42"/>
  <c r="DE67" i="262"/>
  <c r="DA67"/>
  <c r="CW67"/>
  <c r="CS67"/>
  <c r="CO67"/>
  <c r="CK67"/>
  <c r="CG67"/>
  <c r="CC67"/>
  <c r="BY67"/>
  <c r="BU67"/>
  <c r="BT37"/>
  <c r="DG61"/>
  <c r="DE61"/>
  <c r="DE68" s="1"/>
  <c r="DC61"/>
  <c r="DA61"/>
  <c r="CY61"/>
  <c r="CW61"/>
  <c r="CW68" s="1"/>
  <c r="CU61"/>
  <c r="CS61"/>
  <c r="CQ61"/>
  <c r="CO61"/>
  <c r="CO68" s="1"/>
  <c r="CM61"/>
  <c r="CK61"/>
  <c r="CI61"/>
  <c r="CG61"/>
  <c r="CG68" s="1"/>
  <c r="CE61"/>
  <c r="CC61"/>
  <c r="CA61"/>
  <c r="BY61"/>
  <c r="BY68" s="1"/>
  <c r="BW61"/>
  <c r="BU61"/>
  <c r="BS61"/>
  <c r="BQ61"/>
  <c r="DG33"/>
  <c r="DC33"/>
  <c r="CY33"/>
  <c r="CU33"/>
  <c r="CQ33"/>
  <c r="CM33"/>
  <c r="CI33"/>
  <c r="CE33"/>
  <c r="CA33"/>
  <c r="BW33"/>
  <c r="DI32"/>
  <c r="BP33"/>
  <c r="CZ44"/>
  <c r="CR44"/>
  <c r="DI40"/>
  <c r="DE51" i="257"/>
  <c r="CX51" i="255"/>
  <c r="CP51"/>
  <c r="CH51"/>
  <c r="BZ51"/>
  <c r="CW51" i="258"/>
  <c r="CO51"/>
  <c r="CG51"/>
  <c r="BY51"/>
  <c r="DF51" i="259"/>
  <c r="DB51"/>
  <c r="CT51"/>
  <c r="CL51"/>
  <c r="CD51"/>
  <c r="BV51"/>
  <c r="CY51" i="260"/>
  <c r="CQ51"/>
  <c r="CI51"/>
  <c r="CA51"/>
  <c r="BS51"/>
  <c r="DA51" i="262"/>
  <c r="CS51"/>
  <c r="CK51"/>
  <c r="CC51"/>
  <c r="BU51"/>
  <c r="DD12" i="257"/>
  <c r="CV12"/>
  <c r="CN12"/>
  <c r="CF12"/>
  <c r="BX12"/>
  <c r="DE12" i="256"/>
  <c r="CW12"/>
  <c r="CO12"/>
  <c r="CG12"/>
  <c r="BY12"/>
  <c r="CZ12" i="258"/>
  <c r="CR12"/>
  <c r="CJ12"/>
  <c r="DE12" i="259"/>
  <c r="CO12"/>
  <c r="BY12"/>
  <c r="CT12" i="260"/>
  <c r="CD12"/>
  <c r="DI11" i="262"/>
  <c r="CX12" i="263"/>
  <c r="CI14" i="255"/>
  <c r="BZ14" i="256"/>
  <c r="CN14" i="258"/>
  <c r="DB14" i="260"/>
  <c r="CS14" i="261"/>
  <c r="DG14" i="263"/>
  <c r="CO17" i="257"/>
  <c r="DG17" i="255"/>
  <c r="CA17"/>
  <c r="CE17" i="248"/>
  <c r="CW17" i="258"/>
  <c r="CM17" i="261"/>
  <c r="DE17" i="262"/>
  <c r="BY17"/>
  <c r="CD20" i="255"/>
  <c r="CE20" i="248"/>
  <c r="DF20" i="261"/>
  <c r="BZ20"/>
  <c r="CQ20" i="263"/>
  <c r="CP31" i="255"/>
  <c r="CW31" i="248"/>
  <c r="AS12" i="262"/>
  <c r="AI44"/>
  <c r="AF33"/>
  <c r="AK14"/>
  <c r="AJ61"/>
  <c r="AJ51"/>
  <c r="AJ17"/>
  <c r="AH17"/>
  <c r="AG37"/>
  <c r="AG20"/>
  <c r="AC31"/>
  <c r="AC17"/>
  <c r="AB14"/>
  <c r="BD44" i="263"/>
  <c r="BD20"/>
  <c r="AS31"/>
  <c r="AS12"/>
  <c r="AI44"/>
  <c r="AF33"/>
  <c r="AK14"/>
  <c r="AJ61"/>
  <c r="AJ51"/>
  <c r="AJ17"/>
  <c r="AH17"/>
  <c r="AG37"/>
  <c r="AG20"/>
  <c r="AC31"/>
  <c r="AC17"/>
  <c r="AB14"/>
  <c r="AY152" i="280"/>
  <c r="AY148"/>
  <c r="DG67" i="257"/>
  <c r="DC67"/>
  <c r="CY67"/>
  <c r="CU67"/>
  <c r="CQ67"/>
  <c r="CM67"/>
  <c r="CI67"/>
  <c r="CE67"/>
  <c r="CA67"/>
  <c r="BW67"/>
  <c r="BR67"/>
  <c r="DI35"/>
  <c r="DF33"/>
  <c r="DB33"/>
  <c r="CX33"/>
  <c r="CT33"/>
  <c r="CP33"/>
  <c r="CL33"/>
  <c r="CH33"/>
  <c r="CD33"/>
  <c r="BZ33"/>
  <c r="BV33"/>
  <c r="BR33"/>
  <c r="DG44"/>
  <c r="DC44"/>
  <c r="CY44"/>
  <c r="CU44"/>
  <c r="CQ44"/>
  <c r="CM44"/>
  <c r="CI44"/>
  <c r="CE44"/>
  <c r="CA44"/>
  <c r="BW44"/>
  <c r="BS44"/>
  <c r="DI41"/>
  <c r="DE67" i="255"/>
  <c r="DA67"/>
  <c r="CW67"/>
  <c r="CS67"/>
  <c r="CO67"/>
  <c r="CK67"/>
  <c r="CG67"/>
  <c r="CC67"/>
  <c r="BY67"/>
  <c r="BU67"/>
  <c r="BT37"/>
  <c r="DG61"/>
  <c r="DE61"/>
  <c r="DE68" s="1"/>
  <c r="DC61"/>
  <c r="DA61"/>
  <c r="CY61"/>
  <c r="CW61"/>
  <c r="CU61"/>
  <c r="CS61"/>
  <c r="CS68" s="1"/>
  <c r="CQ61"/>
  <c r="CO61"/>
  <c r="CO68" s="1"/>
  <c r="CM61"/>
  <c r="CK61"/>
  <c r="CI61"/>
  <c r="CG61"/>
  <c r="CE61"/>
  <c r="CC61"/>
  <c r="CC68" s="1"/>
  <c r="CA61"/>
  <c r="BY61"/>
  <c r="BY68" s="1"/>
  <c r="BW61"/>
  <c r="BU61"/>
  <c r="BS61"/>
  <c r="BQ61"/>
  <c r="DG33"/>
  <c r="DC33"/>
  <c r="CY33"/>
  <c r="CU33"/>
  <c r="CQ33"/>
  <c r="CM33"/>
  <c r="CI33"/>
  <c r="CE33"/>
  <c r="CA33"/>
  <c r="BW33"/>
  <c r="BS33"/>
  <c r="DF44"/>
  <c r="DB44"/>
  <c r="CX44"/>
  <c r="CT44"/>
  <c r="CP44"/>
  <c r="CL44"/>
  <c r="CH44"/>
  <c r="CD44"/>
  <c r="BZ44"/>
  <c r="BV44"/>
  <c r="BR44"/>
  <c r="DI43"/>
  <c r="DG67" i="256"/>
  <c r="DC67"/>
  <c r="CY67"/>
  <c r="CU67"/>
  <c r="CQ67"/>
  <c r="CM67"/>
  <c r="CI67"/>
  <c r="CE67"/>
  <c r="CA67"/>
  <c r="BW67"/>
  <c r="BR67"/>
  <c r="DI35"/>
  <c r="DD33"/>
  <c r="CZ33"/>
  <c r="CV33"/>
  <c r="CR33"/>
  <c r="CN33"/>
  <c r="CJ33"/>
  <c r="CF33"/>
  <c r="CB33"/>
  <c r="BX33"/>
  <c r="BT33"/>
  <c r="DE44"/>
  <c r="DA44"/>
  <c r="CW44"/>
  <c r="CS44"/>
  <c r="CO44"/>
  <c r="CK44"/>
  <c r="CG44"/>
  <c r="CC44"/>
  <c r="BY44"/>
  <c r="BU44"/>
  <c r="BQ44"/>
  <c r="DI38"/>
  <c r="BT67" i="248"/>
  <c r="DI65"/>
  <c r="BP67"/>
  <c r="DF61"/>
  <c r="DD61"/>
  <c r="DB61"/>
  <c r="CZ61"/>
  <c r="CZ68" s="1"/>
  <c r="CX61"/>
  <c r="CV61"/>
  <c r="CV68" s="1"/>
  <c r="CT61"/>
  <c r="CR61"/>
  <c r="CP61"/>
  <c r="CN61"/>
  <c r="CN68" s="1"/>
  <c r="CL61"/>
  <c r="CJ61"/>
  <c r="CH61"/>
  <c r="CF61"/>
  <c r="CD61"/>
  <c r="CB61"/>
  <c r="CB68" s="1"/>
  <c r="BZ61"/>
  <c r="BX61"/>
  <c r="BV61"/>
  <c r="BT61"/>
  <c r="BR61"/>
  <c r="BP61"/>
  <c r="DE33"/>
  <c r="DA33"/>
  <c r="CW33"/>
  <c r="CS33"/>
  <c r="CO33"/>
  <c r="CK33"/>
  <c r="CG33"/>
  <c r="CC33"/>
  <c r="BY33"/>
  <c r="BU33"/>
  <c r="DI32"/>
  <c r="BP33"/>
  <c r="DD44"/>
  <c r="CZ44"/>
  <c r="CV44"/>
  <c r="CR44"/>
  <c r="CN44"/>
  <c r="CJ44"/>
  <c r="CF44"/>
  <c r="CB44"/>
  <c r="BX44"/>
  <c r="BT44"/>
  <c r="DI39"/>
  <c r="BP44"/>
  <c r="DI45"/>
  <c r="BQ37" i="258"/>
  <c r="DF33"/>
  <c r="DB33"/>
  <c r="CX33"/>
  <c r="CT33"/>
  <c r="CP33"/>
  <c r="CL33"/>
  <c r="CH33"/>
  <c r="CD33"/>
  <c r="BZ33"/>
  <c r="BV33"/>
  <c r="BR33"/>
  <c r="DG44"/>
  <c r="DC44"/>
  <c r="CY44"/>
  <c r="CU44"/>
  <c r="CQ44"/>
  <c r="CM44"/>
  <c r="CI44"/>
  <c r="CE44"/>
  <c r="CA44"/>
  <c r="BW44"/>
  <c r="BS44"/>
  <c r="DI41"/>
  <c r="DE67" i="259"/>
  <c r="DA67"/>
  <c r="CW67"/>
  <c r="CS67"/>
  <c r="CO67"/>
  <c r="CK67"/>
  <c r="CG67"/>
  <c r="CC67"/>
  <c r="BY67"/>
  <c r="BU67"/>
  <c r="BT37"/>
  <c r="DG61"/>
  <c r="DE61"/>
  <c r="DE68" s="1"/>
  <c r="DC61"/>
  <c r="DA61"/>
  <c r="CY61"/>
  <c r="CW61"/>
  <c r="CU61"/>
  <c r="CS61"/>
  <c r="CQ61"/>
  <c r="CO61"/>
  <c r="CO68" s="1"/>
  <c r="CM61"/>
  <c r="CK61"/>
  <c r="CI61"/>
  <c r="CG61"/>
  <c r="CE61"/>
  <c r="CC61"/>
  <c r="CA61"/>
  <c r="BY61"/>
  <c r="BY68" s="1"/>
  <c r="BW61"/>
  <c r="BU61"/>
  <c r="BS61"/>
  <c r="BS68" s="1"/>
  <c r="BQ61"/>
  <c r="DG33"/>
  <c r="DC33"/>
  <c r="CY33"/>
  <c r="CU33"/>
  <c r="CQ33"/>
  <c r="CM33"/>
  <c r="CI33"/>
  <c r="CE33"/>
  <c r="CA33"/>
  <c r="BW33"/>
  <c r="BS33"/>
  <c r="DF44"/>
  <c r="DB44"/>
  <c r="CX44"/>
  <c r="CT44"/>
  <c r="CP44"/>
  <c r="CL44"/>
  <c r="CH44"/>
  <c r="CD44"/>
  <c r="BZ44"/>
  <c r="BV44"/>
  <c r="BR44"/>
  <c r="DI43"/>
  <c r="DG67" i="260"/>
  <c r="CY67"/>
  <c r="CQ67"/>
  <c r="CI67"/>
  <c r="CA67"/>
  <c r="BR67"/>
  <c r="BQ37"/>
  <c r="BF192" i="280"/>
  <c r="DD33" i="260"/>
  <c r="CZ33"/>
  <c r="CV33"/>
  <c r="CR33"/>
  <c r="CN33"/>
  <c r="CJ33"/>
  <c r="CF33"/>
  <c r="CB33"/>
  <c r="BX33"/>
  <c r="BT33"/>
  <c r="DE44"/>
  <c r="DA44"/>
  <c r="CW44"/>
  <c r="CS44"/>
  <c r="CO44"/>
  <c r="CK44"/>
  <c r="CG44"/>
  <c r="CC44"/>
  <c r="BY44"/>
  <c r="BU44"/>
  <c r="BQ44"/>
  <c r="DI38"/>
  <c r="BT67" i="261"/>
  <c r="BP67"/>
  <c r="DI65"/>
  <c r="DF61"/>
  <c r="DD61"/>
  <c r="DD68" s="1"/>
  <c r="DB61"/>
  <c r="CZ61"/>
  <c r="CX61"/>
  <c r="CV61"/>
  <c r="CV68" s="1"/>
  <c r="CT61"/>
  <c r="CR61"/>
  <c r="CR68" s="1"/>
  <c r="CP61"/>
  <c r="CN61"/>
  <c r="CN68" s="1"/>
  <c r="CL61"/>
  <c r="CJ61"/>
  <c r="CH61"/>
  <c r="CF61"/>
  <c r="CF68" s="1"/>
  <c r="CD61"/>
  <c r="CB61"/>
  <c r="CB68" s="1"/>
  <c r="BZ61"/>
  <c r="BX61"/>
  <c r="BX68" s="1"/>
  <c r="BV61"/>
  <c r="BT61"/>
  <c r="BT68" s="1"/>
  <c r="BR61"/>
  <c r="BP61"/>
  <c r="DE33"/>
  <c r="DA33"/>
  <c r="CW33"/>
  <c r="CS33"/>
  <c r="CO33"/>
  <c r="CK33"/>
  <c r="CG33"/>
  <c r="CC33"/>
  <c r="BY33"/>
  <c r="BU33"/>
  <c r="BP33"/>
  <c r="DI32"/>
  <c r="DD44"/>
  <c r="CZ44"/>
  <c r="CV44"/>
  <c r="CR44"/>
  <c r="CN44"/>
  <c r="CJ44"/>
  <c r="CF44"/>
  <c r="CB44"/>
  <c r="BX44"/>
  <c r="BT44"/>
  <c r="BP44"/>
  <c r="DI39"/>
  <c r="DI45"/>
  <c r="BQ37" i="263"/>
  <c r="DF33"/>
  <c r="DB33"/>
  <c r="CX33"/>
  <c r="CT33"/>
  <c r="CP33"/>
  <c r="CL33"/>
  <c r="CH33"/>
  <c r="CD33"/>
  <c r="BZ33"/>
  <c r="BV33"/>
  <c r="BR33"/>
  <c r="DG44"/>
  <c r="DC44"/>
  <c r="CY44"/>
  <c r="CU44"/>
  <c r="CQ44"/>
  <c r="CM44"/>
  <c r="CI44"/>
  <c r="CE44"/>
  <c r="CA44"/>
  <c r="BW44"/>
  <c r="BS44"/>
  <c r="DI41"/>
  <c r="DF67" i="262"/>
  <c r="DB67"/>
  <c r="CX67"/>
  <c r="CT67"/>
  <c r="CP67"/>
  <c r="CL67"/>
  <c r="CH67"/>
  <c r="CD67"/>
  <c r="BZ67"/>
  <c r="BV67"/>
  <c r="BQ67"/>
  <c r="BS37"/>
  <c r="BV33"/>
  <c r="DF44"/>
  <c r="CX44"/>
  <c r="CK44"/>
  <c r="CC44"/>
  <c r="BU44"/>
  <c r="DF51" i="257"/>
  <c r="DB51"/>
  <c r="CT51"/>
  <c r="CL51"/>
  <c r="CD51"/>
  <c r="BV51"/>
  <c r="CY51" i="255"/>
  <c r="CQ51"/>
  <c r="CI51"/>
  <c r="CA51"/>
  <c r="BS51"/>
  <c r="DA51" i="248"/>
  <c r="CS51"/>
  <c r="CK51"/>
  <c r="CC51"/>
  <c r="BU51"/>
  <c r="DG51" i="259"/>
  <c r="DC51"/>
  <c r="CU51"/>
  <c r="CM51"/>
  <c r="CE51"/>
  <c r="BW51"/>
  <c r="CZ51" i="260"/>
  <c r="CR51"/>
  <c r="CJ51"/>
  <c r="CB51"/>
  <c r="BT51"/>
  <c r="DC12" i="257"/>
  <c r="CU12"/>
  <c r="CM12"/>
  <c r="CE12"/>
  <c r="BW12"/>
  <c r="DI11"/>
  <c r="CZ12" i="255"/>
  <c r="CR12"/>
  <c r="CJ12"/>
  <c r="CB12"/>
  <c r="BT12"/>
  <c r="DB12" i="256"/>
  <c r="CT12"/>
  <c r="CL12"/>
  <c r="CD12"/>
  <c r="BV12"/>
  <c r="BQ12"/>
  <c r="DG12" i="258"/>
  <c r="CY12"/>
  <c r="CQ12"/>
  <c r="CI12"/>
  <c r="CB12"/>
  <c r="CS12" i="259"/>
  <c r="CC12"/>
  <c r="DD12" i="262"/>
  <c r="CN12"/>
  <c r="BX12"/>
  <c r="CV12" i="263"/>
  <c r="DG14" i="255"/>
  <c r="CX14" i="256"/>
  <c r="CF14" i="258"/>
  <c r="BW14" i="259"/>
  <c r="CK14" i="261"/>
  <c r="CY14" i="263"/>
  <c r="CW17" i="257"/>
  <c r="CM17" i="248"/>
  <c r="DE17" i="258"/>
  <c r="BY17"/>
  <c r="CC17" i="260"/>
  <c r="CG17" i="262"/>
  <c r="CY17" i="263"/>
  <c r="BS17"/>
  <c r="CP20" i="255"/>
  <c r="DG20" i="248"/>
  <c r="CA20"/>
  <c r="CB20" i="259"/>
  <c r="CL20" i="261"/>
  <c r="DC20" i="263"/>
  <c r="BW20"/>
  <c r="CX31" i="255"/>
  <c r="AJ37" i="262"/>
  <c r="AJ12"/>
  <c r="AH37"/>
  <c r="AH20"/>
  <c r="AG14"/>
  <c r="AC61"/>
  <c r="AC51"/>
  <c r="AC12"/>
  <c r="AD44"/>
  <c r="AB33"/>
  <c r="BD67" i="263"/>
  <c r="BD37"/>
  <c r="BD14"/>
  <c r="AS61"/>
  <c r="AS51"/>
  <c r="AI67"/>
  <c r="AI37"/>
  <c r="AI20"/>
  <c r="AF67"/>
  <c r="AF17"/>
  <c r="AE61"/>
  <c r="AE44"/>
  <c r="AK33"/>
  <c r="AJ20"/>
  <c r="AH51"/>
  <c r="AH12"/>
  <c r="AC67"/>
  <c r="AC37"/>
  <c r="AC20"/>
  <c r="AD31"/>
  <c r="AD17"/>
  <c r="BS67" i="257"/>
  <c r="DG37"/>
  <c r="DE37"/>
  <c r="DC37"/>
  <c r="DA37"/>
  <c r="CY37"/>
  <c r="CW37"/>
  <c r="CU37"/>
  <c r="CS37"/>
  <c r="CQ37"/>
  <c r="CO37"/>
  <c r="CM37"/>
  <c r="CK37"/>
  <c r="CI37"/>
  <c r="CG37"/>
  <c r="CE37"/>
  <c r="CC37"/>
  <c r="CA37"/>
  <c r="BY37"/>
  <c r="BW37"/>
  <c r="BU37"/>
  <c r="BP37"/>
  <c r="DI34"/>
  <c r="DI40"/>
  <c r="DF67" i="255"/>
  <c r="DB67"/>
  <c r="CX67"/>
  <c r="CT67"/>
  <c r="CP67"/>
  <c r="CL67"/>
  <c r="CH67"/>
  <c r="CD67"/>
  <c r="BZ67"/>
  <c r="BV67"/>
  <c r="BQ67"/>
  <c r="BS37"/>
  <c r="BQ33"/>
  <c r="DI42"/>
  <c r="DD67" i="256"/>
  <c r="CZ67"/>
  <c r="CV67"/>
  <c r="CR67"/>
  <c r="CN67"/>
  <c r="CJ67"/>
  <c r="CF67"/>
  <c r="CB67"/>
  <c r="BX67"/>
  <c r="DI66"/>
  <c r="DF37"/>
  <c r="DD37"/>
  <c r="DB37"/>
  <c r="CZ37"/>
  <c r="CX37"/>
  <c r="CV37"/>
  <c r="CT37"/>
  <c r="CR37"/>
  <c r="CP37"/>
  <c r="CN37"/>
  <c r="CL37"/>
  <c r="CJ37"/>
  <c r="CH37"/>
  <c r="CF37"/>
  <c r="CD37"/>
  <c r="CB37"/>
  <c r="BZ37"/>
  <c r="BX37"/>
  <c r="BV37"/>
  <c r="BR37" i="248"/>
  <c r="DI36"/>
  <c r="BS67" i="258"/>
  <c r="DG37"/>
  <c r="DE37"/>
  <c r="DC37"/>
  <c r="DA37"/>
  <c r="CY37"/>
  <c r="CW37"/>
  <c r="CU37"/>
  <c r="CS37"/>
  <c r="CQ37"/>
  <c r="CO37"/>
  <c r="CM37"/>
  <c r="CK37"/>
  <c r="CI37"/>
  <c r="CG37"/>
  <c r="CE37"/>
  <c r="CC37"/>
  <c r="CA37"/>
  <c r="BY37"/>
  <c r="BW37"/>
  <c r="BU37"/>
  <c r="BP37"/>
  <c r="DI34"/>
  <c r="DI40"/>
  <c r="DF67" i="259"/>
  <c r="DB67"/>
  <c r="CX67"/>
  <c r="CT67"/>
  <c r="CP67"/>
  <c r="CL67"/>
  <c r="CH67"/>
  <c r="CD67"/>
  <c r="BZ67"/>
  <c r="BV67"/>
  <c r="BQ67"/>
  <c r="BS37"/>
  <c r="BQ33"/>
  <c r="DI42"/>
  <c r="DD67" i="260"/>
  <c r="CZ67"/>
  <c r="CV67"/>
  <c r="CR67"/>
  <c r="CN67"/>
  <c r="CJ67"/>
  <c r="CF67"/>
  <c r="CB67"/>
  <c r="BX67"/>
  <c r="DI66"/>
  <c r="DF37"/>
  <c r="DD37"/>
  <c r="DB37"/>
  <c r="CZ37"/>
  <c r="CX37"/>
  <c r="CV37"/>
  <c r="CT37"/>
  <c r="CR37"/>
  <c r="CP37"/>
  <c r="CN37"/>
  <c r="CL37"/>
  <c r="CJ37"/>
  <c r="CH37"/>
  <c r="CF37"/>
  <c r="CD37"/>
  <c r="CB37"/>
  <c r="BZ37"/>
  <c r="BX37"/>
  <c r="BV37"/>
  <c r="BR37" i="261"/>
  <c r="DI36"/>
  <c r="BS67" i="263"/>
  <c r="DG37"/>
  <c r="DE37"/>
  <c r="DC37"/>
  <c r="DA37"/>
  <c r="CY37"/>
  <c r="CW37"/>
  <c r="CU37"/>
  <c r="CS37"/>
  <c r="CQ37"/>
  <c r="CO37"/>
  <c r="CM37"/>
  <c r="CK37"/>
  <c r="CI37"/>
  <c r="CG37"/>
  <c r="CE37"/>
  <c r="CC37"/>
  <c r="CA37"/>
  <c r="BY37"/>
  <c r="BW37"/>
  <c r="BU37"/>
  <c r="BP37"/>
  <c r="DI34"/>
  <c r="DI40"/>
  <c r="BQ37" i="262"/>
  <c r="BH192" i="280"/>
  <c r="DD33" i="262"/>
  <c r="CZ33"/>
  <c r="CV33"/>
  <c r="CR33"/>
  <c r="CN33"/>
  <c r="CJ33"/>
  <c r="CF33"/>
  <c r="CB33"/>
  <c r="BX33"/>
  <c r="DC44"/>
  <c r="CU44"/>
  <c r="CW51" i="257"/>
  <c r="CO51"/>
  <c r="CG51"/>
  <c r="BY51"/>
  <c r="DF51" i="255"/>
  <c r="DB51"/>
  <c r="CT51"/>
  <c r="CL51"/>
  <c r="CD51"/>
  <c r="BV51"/>
  <c r="CY51" i="256"/>
  <c r="CQ51"/>
  <c r="CI51"/>
  <c r="CA51"/>
  <c r="BS51"/>
  <c r="DA51" i="258"/>
  <c r="CS51"/>
  <c r="CK51"/>
  <c r="CC51"/>
  <c r="BU51"/>
  <c r="DG51" i="260"/>
  <c r="DC51"/>
  <c r="CU51"/>
  <c r="CM51"/>
  <c r="CE51"/>
  <c r="BW51"/>
  <c r="CZ51" i="261"/>
  <c r="CR51"/>
  <c r="CJ51"/>
  <c r="CB51"/>
  <c r="BT51"/>
  <c r="CZ12" i="257"/>
  <c r="CR12"/>
  <c r="CJ12"/>
  <c r="CB12"/>
  <c r="BT12"/>
  <c r="DE12" i="255"/>
  <c r="CW12"/>
  <c r="CO12"/>
  <c r="CG12"/>
  <c r="BY12"/>
  <c r="DB12" i="248"/>
  <c r="CT12"/>
  <c r="CL12"/>
  <c r="CD12"/>
  <c r="BV12"/>
  <c r="BQ12"/>
  <c r="CW12" i="259"/>
  <c r="CG12"/>
  <c r="BQ12" i="260"/>
  <c r="BR12" i="261"/>
  <c r="CR12" i="262"/>
  <c r="CB12"/>
  <c r="CT12" i="263"/>
  <c r="BQ12"/>
  <c r="CY14" i="255"/>
  <c r="CP14" i="256"/>
  <c r="DD14" i="258"/>
  <c r="CU14" i="259"/>
  <c r="CC14" i="261"/>
  <c r="BT14" i="262"/>
  <c r="DE17" i="257"/>
  <c r="BY17"/>
  <c r="CC17" i="256"/>
  <c r="CG17" i="258"/>
  <c r="CY17" i="259"/>
  <c r="BS17"/>
  <c r="CK17" i="260"/>
  <c r="DC17" i="261"/>
  <c r="BW17"/>
  <c r="DB20" i="255"/>
  <c r="BV20"/>
  <c r="CM20" i="248"/>
  <c r="CH20" i="261"/>
  <c r="CI20" i="263"/>
  <c r="BZ31" i="255"/>
  <c r="AF51" i="262"/>
  <c r="AF12"/>
  <c r="AE51"/>
  <c r="AE12"/>
  <c r="AK44"/>
  <c r="AH67"/>
  <c r="AH14"/>
  <c r="AG61"/>
  <c r="AG33"/>
  <c r="AD67"/>
  <c r="AD37"/>
  <c r="AD20"/>
  <c r="AB31"/>
  <c r="AB17"/>
  <c r="AF51" i="263"/>
  <c r="AF12"/>
  <c r="AE51"/>
  <c r="AE12"/>
  <c r="AK44"/>
  <c r="AH67"/>
  <c r="AH14"/>
  <c r="AG61"/>
  <c r="AG33"/>
  <c r="AD67"/>
  <c r="AD37"/>
  <c r="AD20"/>
  <c r="AB31"/>
  <c r="AB17"/>
  <c r="AY142" i="280"/>
  <c r="AY149"/>
  <c r="AY144"/>
  <c r="BT67" i="257"/>
  <c r="BP67"/>
  <c r="DI65"/>
  <c r="DF61"/>
  <c r="DF68" s="1"/>
  <c r="DD61"/>
  <c r="DB61"/>
  <c r="CZ61"/>
  <c r="CX61"/>
  <c r="CX68" s="1"/>
  <c r="CV61"/>
  <c r="CT61"/>
  <c r="CT68" s="1"/>
  <c r="CR61"/>
  <c r="CP61"/>
  <c r="CP68" s="1"/>
  <c r="CN61"/>
  <c r="CL61"/>
  <c r="CJ61"/>
  <c r="CH61"/>
  <c r="CF61"/>
  <c r="CD61"/>
  <c r="CB61"/>
  <c r="BZ61"/>
  <c r="BX61"/>
  <c r="BV61"/>
  <c r="BT61"/>
  <c r="BR61"/>
  <c r="BR68" s="1"/>
  <c r="BP61"/>
  <c r="DE33"/>
  <c r="DA33"/>
  <c r="DA52" s="1"/>
  <c r="CW33"/>
  <c r="CS33"/>
  <c r="CO33"/>
  <c r="CK33"/>
  <c r="CK52" s="1"/>
  <c r="CG33"/>
  <c r="CC33"/>
  <c r="BY33"/>
  <c r="BU33"/>
  <c r="BU52" s="1"/>
  <c r="BP33"/>
  <c r="DI32"/>
  <c r="DD44"/>
  <c r="CZ44"/>
  <c r="CV44"/>
  <c r="CR44"/>
  <c r="CN44"/>
  <c r="CJ44"/>
  <c r="CF44"/>
  <c r="CB44"/>
  <c r="BX44"/>
  <c r="BT44"/>
  <c r="BP44"/>
  <c r="DI39"/>
  <c r="DI45"/>
  <c r="BQ37" i="255"/>
  <c r="BA192" i="280"/>
  <c r="DD33" i="255"/>
  <c r="CZ33"/>
  <c r="CV33"/>
  <c r="CR33"/>
  <c r="CN33"/>
  <c r="CJ33"/>
  <c r="CF33"/>
  <c r="CB33"/>
  <c r="BX33"/>
  <c r="BT33"/>
  <c r="DE44"/>
  <c r="DA44"/>
  <c r="CW44"/>
  <c r="CS44"/>
  <c r="CO44"/>
  <c r="CK44"/>
  <c r="CG44"/>
  <c r="CC44"/>
  <c r="BY44"/>
  <c r="BU44"/>
  <c r="BQ44"/>
  <c r="DI38"/>
  <c r="BT67" i="256"/>
  <c r="DI65"/>
  <c r="BP67"/>
  <c r="DF61"/>
  <c r="DF68" s="1"/>
  <c r="DD61"/>
  <c r="DB61"/>
  <c r="CZ61"/>
  <c r="CZ68" s="1"/>
  <c r="CX61"/>
  <c r="CX68" s="1"/>
  <c r="CV61"/>
  <c r="CV68" s="1"/>
  <c r="CT61"/>
  <c r="CR61"/>
  <c r="CR68" s="1"/>
  <c r="CP61"/>
  <c r="CN61"/>
  <c r="CL61"/>
  <c r="CJ61"/>
  <c r="CJ68" s="1"/>
  <c r="CH61"/>
  <c r="CH68" s="1"/>
  <c r="CF61"/>
  <c r="CF68" s="1"/>
  <c r="CD61"/>
  <c r="CB61"/>
  <c r="CB68" s="1"/>
  <c r="BZ61"/>
  <c r="BZ68" s="1"/>
  <c r="BX61"/>
  <c r="BV61"/>
  <c r="BV68" s="1"/>
  <c r="BT61"/>
  <c r="BT68" s="1"/>
  <c r="BR61"/>
  <c r="BR68" s="1"/>
  <c r="BP61"/>
  <c r="DE33"/>
  <c r="DA33"/>
  <c r="CW33"/>
  <c r="CS33"/>
  <c r="CO33"/>
  <c r="CK33"/>
  <c r="CG33"/>
  <c r="CC33"/>
  <c r="BY33"/>
  <c r="BU33"/>
  <c r="DI32"/>
  <c r="BP33"/>
  <c r="DD44"/>
  <c r="CZ44"/>
  <c r="CV44"/>
  <c r="CR44"/>
  <c r="CN44"/>
  <c r="CJ44"/>
  <c r="CF44"/>
  <c r="CB44"/>
  <c r="BX44"/>
  <c r="BT44"/>
  <c r="DI39"/>
  <c r="BP44"/>
  <c r="DI45"/>
  <c r="BQ37" i="248"/>
  <c r="DF33"/>
  <c r="DB33"/>
  <c r="CX33"/>
  <c r="CT33"/>
  <c r="CP33"/>
  <c r="CL33"/>
  <c r="CH33"/>
  <c r="CD33"/>
  <c r="BZ33"/>
  <c r="BV33"/>
  <c r="BR33"/>
  <c r="DG44"/>
  <c r="DC44"/>
  <c r="CY44"/>
  <c r="CU44"/>
  <c r="CQ44"/>
  <c r="CM44"/>
  <c r="CI44"/>
  <c r="CE44"/>
  <c r="CA44"/>
  <c r="BW44"/>
  <c r="BS44"/>
  <c r="DI41"/>
  <c r="DE67" i="258"/>
  <c r="DA67"/>
  <c r="CW67"/>
  <c r="CS67"/>
  <c r="CO67"/>
  <c r="CK67"/>
  <c r="CG67"/>
  <c r="CC67"/>
  <c r="BY67"/>
  <c r="BU67"/>
  <c r="BT37"/>
  <c r="DG61"/>
  <c r="DE61"/>
  <c r="DC61"/>
  <c r="DC68" s="1"/>
  <c r="DA61"/>
  <c r="CY61"/>
  <c r="CW61"/>
  <c r="CU61"/>
  <c r="CS61"/>
  <c r="CQ61"/>
  <c r="CO61"/>
  <c r="CO68" s="1"/>
  <c r="CM61"/>
  <c r="CM68" s="1"/>
  <c r="CK61"/>
  <c r="CI61"/>
  <c r="CG61"/>
  <c r="CE61"/>
  <c r="CC61"/>
  <c r="CA61"/>
  <c r="BY61"/>
  <c r="BY68" s="1"/>
  <c r="BW61"/>
  <c r="BW68" s="1"/>
  <c r="BU61"/>
  <c r="BS61"/>
  <c r="BS68" s="1"/>
  <c r="BQ61"/>
  <c r="BQ68" s="1"/>
  <c r="DG33"/>
  <c r="DC33"/>
  <c r="CY33"/>
  <c r="CU33"/>
  <c r="CQ33"/>
  <c r="CM33"/>
  <c r="CI33"/>
  <c r="CE33"/>
  <c r="CA33"/>
  <c r="BW33"/>
  <c r="BS33"/>
  <c r="DF44"/>
  <c r="DB44"/>
  <c r="CX44"/>
  <c r="CT44"/>
  <c r="CP44"/>
  <c r="CL44"/>
  <c r="CH44"/>
  <c r="CD44"/>
  <c r="BZ44"/>
  <c r="BV44"/>
  <c r="BR44"/>
  <c r="DI43"/>
  <c r="DG67" i="259"/>
  <c r="DC67"/>
  <c r="CY67"/>
  <c r="CU67"/>
  <c r="CQ67"/>
  <c r="CM67"/>
  <c r="CI67"/>
  <c r="CE67"/>
  <c r="CA67"/>
  <c r="BW67"/>
  <c r="BR67"/>
  <c r="DI35"/>
  <c r="DD33"/>
  <c r="CZ33"/>
  <c r="CV33"/>
  <c r="CR33"/>
  <c r="CN33"/>
  <c r="CJ33"/>
  <c r="CF33"/>
  <c r="CB33"/>
  <c r="BX33"/>
  <c r="BT33"/>
  <c r="DE44"/>
  <c r="DA44"/>
  <c r="CW44"/>
  <c r="CS44"/>
  <c r="CO44"/>
  <c r="CK44"/>
  <c r="CG44"/>
  <c r="CC44"/>
  <c r="BY44"/>
  <c r="BU44"/>
  <c r="BQ44"/>
  <c r="DI38"/>
  <c r="BT67" i="260"/>
  <c r="DI65"/>
  <c r="BP67"/>
  <c r="DF61"/>
  <c r="DF68" s="1"/>
  <c r="DD61"/>
  <c r="DD68" s="1"/>
  <c r="DB61"/>
  <c r="CZ61"/>
  <c r="CZ68" s="1"/>
  <c r="CX61"/>
  <c r="CV61"/>
  <c r="CT61"/>
  <c r="CT68" s="1"/>
  <c r="CR61"/>
  <c r="CR68" s="1"/>
  <c r="CP61"/>
  <c r="CP68" s="1"/>
  <c r="CN61"/>
  <c r="CN68" s="1"/>
  <c r="CL61"/>
  <c r="CJ61"/>
  <c r="CJ68" s="1"/>
  <c r="CH61"/>
  <c r="CF61"/>
  <c r="CD61"/>
  <c r="CD68" s="1"/>
  <c r="CB61"/>
  <c r="CB68" s="1"/>
  <c r="BZ61"/>
  <c r="BZ68" s="1"/>
  <c r="BX61"/>
  <c r="BX68" s="1"/>
  <c r="BV61"/>
  <c r="BT61"/>
  <c r="BT68" s="1"/>
  <c r="BR61"/>
  <c r="BR68" s="1"/>
  <c r="BP61"/>
  <c r="DE33"/>
  <c r="DA33"/>
  <c r="CW33"/>
  <c r="CS33"/>
  <c r="CO33"/>
  <c r="CK33"/>
  <c r="CG33"/>
  <c r="CC33"/>
  <c r="BY33"/>
  <c r="BU33"/>
  <c r="DI32"/>
  <c r="BP33"/>
  <c r="DD44"/>
  <c r="CZ44"/>
  <c r="CV44"/>
  <c r="CR44"/>
  <c r="CN44"/>
  <c r="CJ44"/>
  <c r="CF44"/>
  <c r="CB44"/>
  <c r="BX44"/>
  <c r="BT44"/>
  <c r="DI39"/>
  <c r="BP44"/>
  <c r="DI45"/>
  <c r="BQ37" i="261"/>
  <c r="BG192" i="280"/>
  <c r="DD33" i="261"/>
  <c r="CZ33"/>
  <c r="CV33"/>
  <c r="CV52" s="1"/>
  <c r="CR33"/>
  <c r="CN33"/>
  <c r="CN52" s="1"/>
  <c r="CJ33"/>
  <c r="CF33"/>
  <c r="CF52" s="1"/>
  <c r="CB33"/>
  <c r="BX33"/>
  <c r="BT33"/>
  <c r="DE44"/>
  <c r="DA44"/>
  <c r="CW44"/>
  <c r="CS44"/>
  <c r="CO44"/>
  <c r="CK44"/>
  <c r="CG44"/>
  <c r="CC44"/>
  <c r="BY44"/>
  <c r="BU44"/>
  <c r="BQ44"/>
  <c r="DI38"/>
  <c r="BT67" i="263"/>
  <c r="BP67"/>
  <c r="DI65"/>
  <c r="DF61"/>
  <c r="DF68" s="1"/>
  <c r="DD61"/>
  <c r="DB61"/>
  <c r="CZ61"/>
  <c r="CX61"/>
  <c r="CX68" s="1"/>
  <c r="CV61"/>
  <c r="CT61"/>
  <c r="CR61"/>
  <c r="CP61"/>
  <c r="CP68" s="1"/>
  <c r="CN61"/>
  <c r="CL61"/>
  <c r="CJ61"/>
  <c r="CH61"/>
  <c r="CH68" s="1"/>
  <c r="CF61"/>
  <c r="CD61"/>
  <c r="CB61"/>
  <c r="BZ61"/>
  <c r="BZ68" s="1"/>
  <c r="BX61"/>
  <c r="BV61"/>
  <c r="BT61"/>
  <c r="BR61"/>
  <c r="BP61"/>
  <c r="DE33"/>
  <c r="DA33"/>
  <c r="CW33"/>
  <c r="CS33"/>
  <c r="CO33"/>
  <c r="CK33"/>
  <c r="CG33"/>
  <c r="CC33"/>
  <c r="BY33"/>
  <c r="BU33"/>
  <c r="BP33"/>
  <c r="DI32"/>
  <c r="DD44"/>
  <c r="CZ44"/>
  <c r="CV44"/>
  <c r="CR44"/>
  <c r="CN44"/>
  <c r="CJ44"/>
  <c r="CF44"/>
  <c r="CB44"/>
  <c r="BX44"/>
  <c r="BT44"/>
  <c r="BP44"/>
  <c r="DI39"/>
  <c r="DI45"/>
  <c r="DD67" i="262"/>
  <c r="CZ67"/>
  <c r="CV67"/>
  <c r="CR67"/>
  <c r="CN67"/>
  <c r="CJ67"/>
  <c r="CF67"/>
  <c r="CB67"/>
  <c r="BX67"/>
  <c r="DI66"/>
  <c r="DF37"/>
  <c r="DD37"/>
  <c r="DB37"/>
  <c r="CZ37"/>
  <c r="CX37"/>
  <c r="CV37"/>
  <c r="CT37"/>
  <c r="CR37"/>
  <c r="CP37"/>
  <c r="CN37"/>
  <c r="CL37"/>
  <c r="CJ37"/>
  <c r="CH37"/>
  <c r="CF37"/>
  <c r="CD37"/>
  <c r="CB37"/>
  <c r="BZ37"/>
  <c r="BX37"/>
  <c r="BV37"/>
  <c r="BU33"/>
  <c r="DA44"/>
  <c r="CS44"/>
  <c r="CQ44"/>
  <c r="CI44"/>
  <c r="CA44"/>
  <c r="BS44"/>
  <c r="DI41"/>
  <c r="DI38"/>
  <c r="DG51" i="255"/>
  <c r="DC51"/>
  <c r="CU51"/>
  <c r="CM51"/>
  <c r="CE51"/>
  <c r="BW51"/>
  <c r="CZ51" i="256"/>
  <c r="CR51"/>
  <c r="CJ51"/>
  <c r="CB51"/>
  <c r="BT51"/>
  <c r="CV51" i="260"/>
  <c r="CN51"/>
  <c r="CF51"/>
  <c r="BX51"/>
  <c r="DE51" i="261"/>
  <c r="CX51" i="262"/>
  <c r="CP51"/>
  <c r="CH51"/>
  <c r="BZ51"/>
  <c r="BH315" i="279"/>
  <c r="DD12" i="255"/>
  <c r="CV12"/>
  <c r="CN12"/>
  <c r="CF12"/>
  <c r="BX12"/>
  <c r="DC12" i="258"/>
  <c r="CU12"/>
  <c r="CM12"/>
  <c r="DI11"/>
  <c r="DA12" i="259"/>
  <c r="CK12"/>
  <c r="BU12"/>
  <c r="DF12" i="260"/>
  <c r="CP12"/>
  <c r="BZ12"/>
  <c r="CU12" i="261"/>
  <c r="CE12"/>
  <c r="BV12" i="263"/>
  <c r="BT14" i="257"/>
  <c r="CH14" i="256"/>
  <c r="BY14" i="248"/>
  <c r="CM14" i="259"/>
  <c r="DA14" i="261"/>
  <c r="CR14" i="262"/>
  <c r="CO17" i="258"/>
  <c r="DG17" i="259"/>
  <c r="CA17"/>
  <c r="CE17" i="261"/>
  <c r="CW17" i="262"/>
  <c r="CH20" i="255"/>
  <c r="CI20" i="248"/>
  <c r="CR20" i="259"/>
  <c r="CT20" i="261"/>
  <c r="CU20" i="263"/>
  <c r="DB31" i="255"/>
  <c r="CH31"/>
  <c r="CO31" i="248"/>
  <c r="CP44" i="262"/>
  <c r="CL44"/>
  <c r="CH44"/>
  <c r="CD44"/>
  <c r="BZ44"/>
  <c r="BV44"/>
  <c r="BR44"/>
  <c r="DI43"/>
  <c r="DB51" i="256"/>
  <c r="CX51"/>
  <c r="CT51"/>
  <c r="CP51"/>
  <c r="CL51"/>
  <c r="CH51"/>
  <c r="CD51"/>
  <c r="BZ51"/>
  <c r="BV51"/>
  <c r="CZ51" i="258"/>
  <c r="CV51"/>
  <c r="CR51"/>
  <c r="CN51"/>
  <c r="CJ51"/>
  <c r="CF51"/>
  <c r="CB51"/>
  <c r="BX51"/>
  <c r="BT51"/>
  <c r="DE51" i="259"/>
  <c r="DA51"/>
  <c r="CW51"/>
  <c r="CS51"/>
  <c r="CO51"/>
  <c r="CK51"/>
  <c r="CG51"/>
  <c r="CC51"/>
  <c r="BY51"/>
  <c r="BU51"/>
  <c r="DF51" i="260"/>
  <c r="DG51" i="261"/>
  <c r="DC51"/>
  <c r="CY51"/>
  <c r="CU51"/>
  <c r="CQ51"/>
  <c r="CM51"/>
  <c r="CI51"/>
  <c r="CE51"/>
  <c r="CA51"/>
  <c r="BW51"/>
  <c r="BS51"/>
  <c r="BA315" i="279"/>
  <c r="DG12" i="256"/>
  <c r="DC12"/>
  <c r="CY12"/>
  <c r="CU12"/>
  <c r="CQ12"/>
  <c r="CM12"/>
  <c r="CI12"/>
  <c r="CE12"/>
  <c r="CA12"/>
  <c r="BW12"/>
  <c r="BS12"/>
  <c r="DI11" i="248"/>
  <c r="DE12" i="258"/>
  <c r="DA12"/>
  <c r="CW12"/>
  <c r="CS12"/>
  <c r="CO12"/>
  <c r="CK12"/>
  <c r="CG12"/>
  <c r="CC12"/>
  <c r="BY12"/>
  <c r="BU12"/>
  <c r="DF12" i="259"/>
  <c r="DB12"/>
  <c r="CX12"/>
  <c r="CT12"/>
  <c r="CP12"/>
  <c r="CL12"/>
  <c r="CH12"/>
  <c r="CD12"/>
  <c r="BZ12"/>
  <c r="BV12"/>
  <c r="BQ12"/>
  <c r="BR12" i="260"/>
  <c r="DD12" i="261"/>
  <c r="CZ12"/>
  <c r="CV12"/>
  <c r="CR12"/>
  <c r="CN12"/>
  <c r="CJ12"/>
  <c r="CF12"/>
  <c r="CB12"/>
  <c r="BX12"/>
  <c r="BT12"/>
  <c r="DF14" i="257"/>
  <c r="CP14"/>
  <c r="BZ14"/>
  <c r="CW14" i="255"/>
  <c r="CG14"/>
  <c r="DD14" i="256"/>
  <c r="CN14"/>
  <c r="BX14"/>
  <c r="CU14" i="248"/>
  <c r="CE14"/>
  <c r="DB14" i="258"/>
  <c r="CL14"/>
  <c r="BV14"/>
  <c r="CS14" i="259"/>
  <c r="CC14"/>
  <c r="CZ14" i="260"/>
  <c r="CJ14"/>
  <c r="BT14"/>
  <c r="CY14" i="261"/>
  <c r="CI14"/>
  <c r="BS14"/>
  <c r="CX14" i="262"/>
  <c r="CH14"/>
  <c r="DE14" i="263"/>
  <c r="CO14"/>
  <c r="BY14"/>
  <c r="DC17" i="256"/>
  <c r="CU17"/>
  <c r="CM17"/>
  <c r="CE17"/>
  <c r="BW17"/>
  <c r="DE17" i="248"/>
  <c r="CW17"/>
  <c r="CO17"/>
  <c r="CG17"/>
  <c r="BY17"/>
  <c r="DG17" i="258"/>
  <c r="CY17"/>
  <c r="CQ17"/>
  <c r="CI17"/>
  <c r="CA17"/>
  <c r="BS17"/>
  <c r="DA17" i="259"/>
  <c r="CS17"/>
  <c r="CK17"/>
  <c r="CC17"/>
  <c r="BU17"/>
  <c r="DE20" i="255"/>
  <c r="CW20"/>
  <c r="CO20"/>
  <c r="CG20"/>
  <c r="BY20"/>
  <c r="DF20" i="248"/>
  <c r="CX20"/>
  <c r="CP20"/>
  <c r="CH20"/>
  <c r="BZ20"/>
  <c r="DE20" i="261"/>
  <c r="CW20"/>
  <c r="CO20"/>
  <c r="CG20"/>
  <c r="BY20"/>
  <c r="DF20" i="263"/>
  <c r="CX20"/>
  <c r="CP20"/>
  <c r="CH20"/>
  <c r="BZ20"/>
  <c r="CR31" i="255"/>
  <c r="CB31"/>
  <c r="CY31" i="248"/>
  <c r="CI31"/>
  <c r="BS31"/>
  <c r="DG51" i="257"/>
  <c r="DC51"/>
  <c r="CY51"/>
  <c r="CU51"/>
  <c r="CQ51"/>
  <c r="CM51"/>
  <c r="CI51"/>
  <c r="CE51"/>
  <c r="CA51"/>
  <c r="BW51"/>
  <c r="BS51"/>
  <c r="DB51" i="248"/>
  <c r="CX51"/>
  <c r="CT51"/>
  <c r="CP51"/>
  <c r="CL51"/>
  <c r="CH51"/>
  <c r="CD51"/>
  <c r="BZ51"/>
  <c r="BV51"/>
  <c r="CZ51" i="259"/>
  <c r="CV51"/>
  <c r="CR51"/>
  <c r="CN51"/>
  <c r="CJ51"/>
  <c r="CF51"/>
  <c r="CB51"/>
  <c r="BX51"/>
  <c r="BT51"/>
  <c r="DE51" i="260"/>
  <c r="DA51"/>
  <c r="CW51"/>
  <c r="CS51"/>
  <c r="CO51"/>
  <c r="CK51"/>
  <c r="CG51"/>
  <c r="CC51"/>
  <c r="BY51"/>
  <c r="BU51"/>
  <c r="DF51" i="261"/>
  <c r="DG51" i="262"/>
  <c r="DC51"/>
  <c r="CY51"/>
  <c r="CU51"/>
  <c r="CQ51"/>
  <c r="CM51"/>
  <c r="CI51"/>
  <c r="CE51"/>
  <c r="CA51"/>
  <c r="BW51"/>
  <c r="BS51"/>
  <c r="DF12" i="257"/>
  <c r="DB12"/>
  <c r="CX12"/>
  <c r="CT12"/>
  <c r="CP12"/>
  <c r="CL12"/>
  <c r="CH12"/>
  <c r="CD12"/>
  <c r="BZ12"/>
  <c r="BV12"/>
  <c r="BQ12"/>
  <c r="BR12" i="255"/>
  <c r="DD12" i="256"/>
  <c r="CZ12"/>
  <c r="CV12"/>
  <c r="CR12"/>
  <c r="CN12"/>
  <c r="CJ12"/>
  <c r="CF12"/>
  <c r="CB12"/>
  <c r="BX12"/>
  <c r="BT12"/>
  <c r="DG12" i="259"/>
  <c r="DC12"/>
  <c r="CY12"/>
  <c r="CU12"/>
  <c r="CQ12"/>
  <c r="CM12"/>
  <c r="CI12"/>
  <c r="CE12"/>
  <c r="CA12"/>
  <c r="BW12"/>
  <c r="BS12"/>
  <c r="DI11" i="260"/>
  <c r="DE12" i="261"/>
  <c r="DA12"/>
  <c r="CW12"/>
  <c r="CS12"/>
  <c r="CO12"/>
  <c r="CK12"/>
  <c r="CG12"/>
  <c r="CC12"/>
  <c r="BY12"/>
  <c r="BU12"/>
  <c r="DF12" i="262"/>
  <c r="DB12"/>
  <c r="CX12"/>
  <c r="CT12"/>
  <c r="CP12"/>
  <c r="CL12"/>
  <c r="CH12"/>
  <c r="CD12"/>
  <c r="BZ12"/>
  <c r="BV12"/>
  <c r="BQ12"/>
  <c r="DD12" i="263"/>
  <c r="CW12"/>
  <c r="CP12"/>
  <c r="CH12"/>
  <c r="BZ12"/>
  <c r="DD14" i="257"/>
  <c r="CN14"/>
  <c r="BX14"/>
  <c r="CU14" i="255"/>
  <c r="CE14"/>
  <c r="DB14" i="256"/>
  <c r="CL14"/>
  <c r="BV14"/>
  <c r="CS14" i="248"/>
  <c r="CC14"/>
  <c r="CZ14" i="258"/>
  <c r="CJ14"/>
  <c r="BT14"/>
  <c r="CY14" i="259"/>
  <c r="CI14"/>
  <c r="BS14"/>
  <c r="CX14" i="260"/>
  <c r="CH14"/>
  <c r="DE14" i="261"/>
  <c r="CO14"/>
  <c r="BY14"/>
  <c r="CV14" i="262"/>
  <c r="CF14"/>
  <c r="DC14" i="263"/>
  <c r="CM14"/>
  <c r="BW14"/>
  <c r="DA17" i="257"/>
  <c r="CS17"/>
  <c r="CK17"/>
  <c r="CC17"/>
  <c r="BU17"/>
  <c r="DC17" i="259"/>
  <c r="CU17"/>
  <c r="CM17"/>
  <c r="CE17"/>
  <c r="BW17"/>
  <c r="DE17" i="260"/>
  <c r="CW17"/>
  <c r="CO17"/>
  <c r="CG17"/>
  <c r="BY17"/>
  <c r="DG17" i="261"/>
  <c r="CY17"/>
  <c r="CQ17"/>
  <c r="CI17"/>
  <c r="CA17"/>
  <c r="BS17"/>
  <c r="DA17" i="262"/>
  <c r="CS17"/>
  <c r="CK17"/>
  <c r="CC17"/>
  <c r="BU17"/>
  <c r="CZ20" i="255"/>
  <c r="CR20"/>
  <c r="CJ20"/>
  <c r="CB20"/>
  <c r="BT20"/>
  <c r="DA20" i="248"/>
  <c r="CS20"/>
  <c r="CK20"/>
  <c r="CC20"/>
  <c r="BU20"/>
  <c r="CZ20" i="261"/>
  <c r="CR20"/>
  <c r="CJ20"/>
  <c r="CB20"/>
  <c r="BT20"/>
  <c r="DA20" i="263"/>
  <c r="CS20"/>
  <c r="CK20"/>
  <c r="CC20"/>
  <c r="BU20"/>
  <c r="DF31" i="255"/>
  <c r="CT31"/>
  <c r="CD31"/>
  <c r="DE31" i="248"/>
  <c r="CS31"/>
  <c r="CC31"/>
  <c r="BR12" i="258"/>
  <c r="DD12" i="259"/>
  <c r="CZ12"/>
  <c r="CV12"/>
  <c r="CR12"/>
  <c r="CN12"/>
  <c r="CJ12"/>
  <c r="CF12"/>
  <c r="CB12"/>
  <c r="BX12"/>
  <c r="BT12"/>
  <c r="DG12" i="262"/>
  <c r="DC12"/>
  <c r="CY12"/>
  <c r="CU12"/>
  <c r="CQ12"/>
  <c r="CM12"/>
  <c r="CI12"/>
  <c r="CE12"/>
  <c r="CA12"/>
  <c r="BW12"/>
  <c r="BS12"/>
  <c r="DB12" i="263"/>
  <c r="DB14" i="257"/>
  <c r="CL14"/>
  <c r="BV14"/>
  <c r="CS14" i="255"/>
  <c r="CC14"/>
  <c r="CZ14" i="256"/>
  <c r="CJ14"/>
  <c r="BT14"/>
  <c r="CY14" i="248"/>
  <c r="CI14"/>
  <c r="BS14"/>
  <c r="CX14" i="258"/>
  <c r="CH14"/>
  <c r="DE14" i="259"/>
  <c r="CO14"/>
  <c r="BY14"/>
  <c r="CV14" i="260"/>
  <c r="CF14"/>
  <c r="DC14" i="261"/>
  <c r="CM14"/>
  <c r="BW14"/>
  <c r="CT14" i="262"/>
  <c r="CD14"/>
  <c r="DA14" i="263"/>
  <c r="CK14"/>
  <c r="BU14"/>
  <c r="DC17" i="258"/>
  <c r="CU17"/>
  <c r="CM17"/>
  <c r="CE17"/>
  <c r="BW17"/>
  <c r="DE17" i="259"/>
  <c r="CW17"/>
  <c r="CO17"/>
  <c r="CG17"/>
  <c r="BY17"/>
  <c r="DG17" i="260"/>
  <c r="CY17"/>
  <c r="CQ17"/>
  <c r="CI17"/>
  <c r="CA17"/>
  <c r="BS17"/>
  <c r="DA17" i="261"/>
  <c r="CS17"/>
  <c r="CK17"/>
  <c r="CC17"/>
  <c r="BU17"/>
  <c r="DC20" i="255"/>
  <c r="CU20"/>
  <c r="CM20"/>
  <c r="CE20"/>
  <c r="BW20"/>
  <c r="DD20" i="248"/>
  <c r="CV20"/>
  <c r="CN20"/>
  <c r="CF20"/>
  <c r="BX20"/>
  <c r="DF20" i="259"/>
  <c r="CX20"/>
  <c r="CP20"/>
  <c r="CH20"/>
  <c r="BZ20"/>
  <c r="DG20" i="261"/>
  <c r="CY20"/>
  <c r="CQ20"/>
  <c r="CI20"/>
  <c r="CA20"/>
  <c r="BS20"/>
  <c r="CZ20" i="263"/>
  <c r="CR20"/>
  <c r="CJ20"/>
  <c r="CB20"/>
  <c r="BT20"/>
  <c r="BX31" i="255"/>
  <c r="DI35" i="260"/>
  <c r="DF33"/>
  <c r="DB33"/>
  <c r="CX33"/>
  <c r="CT33"/>
  <c r="CP33"/>
  <c r="CL33"/>
  <c r="CH33"/>
  <c r="CD33"/>
  <c r="BZ33"/>
  <c r="BV33"/>
  <c r="BR33"/>
  <c r="DG44"/>
  <c r="DC44"/>
  <c r="CY44"/>
  <c r="CU44"/>
  <c r="CQ44"/>
  <c r="CM44"/>
  <c r="CI44"/>
  <c r="CE44"/>
  <c r="CA44"/>
  <c r="BW44"/>
  <c r="BS44"/>
  <c r="DI41"/>
  <c r="DE67" i="261"/>
  <c r="DA67"/>
  <c r="CW67"/>
  <c r="CS67"/>
  <c r="CO67"/>
  <c r="CK67"/>
  <c r="CG67"/>
  <c r="CC67"/>
  <c r="BY67"/>
  <c r="BU67"/>
  <c r="BT37"/>
  <c r="DG61"/>
  <c r="DE61"/>
  <c r="DE68" s="1"/>
  <c r="DC61"/>
  <c r="DA61"/>
  <c r="CY61"/>
  <c r="CW61"/>
  <c r="CW68" s="1"/>
  <c r="CU61"/>
  <c r="CS61"/>
  <c r="CQ61"/>
  <c r="CO61"/>
  <c r="CO68" s="1"/>
  <c r="CM61"/>
  <c r="CK61"/>
  <c r="CI61"/>
  <c r="CG61"/>
  <c r="CG68" s="1"/>
  <c r="CE61"/>
  <c r="CC61"/>
  <c r="CA61"/>
  <c r="BY61"/>
  <c r="BY68" s="1"/>
  <c r="BW61"/>
  <c r="BU61"/>
  <c r="BS61"/>
  <c r="BQ61"/>
  <c r="DG33"/>
  <c r="DC33"/>
  <c r="CY33"/>
  <c r="CU33"/>
  <c r="CQ33"/>
  <c r="CM33"/>
  <c r="CI33"/>
  <c r="CE33"/>
  <c r="CA33"/>
  <c r="BW33"/>
  <c r="BS33"/>
  <c r="DF44"/>
  <c r="DB44"/>
  <c r="CX44"/>
  <c r="CT44"/>
  <c r="CP44"/>
  <c r="CL44"/>
  <c r="CH44"/>
  <c r="CD44"/>
  <c r="BZ44"/>
  <c r="BV44"/>
  <c r="BR44"/>
  <c r="DI43"/>
  <c r="DG67" i="263"/>
  <c r="DC67"/>
  <c r="CY67"/>
  <c r="CU67"/>
  <c r="CQ67"/>
  <c r="CM67"/>
  <c r="CI67"/>
  <c r="CE67"/>
  <c r="CA67"/>
  <c r="BW67"/>
  <c r="BR67"/>
  <c r="DI35"/>
  <c r="DD33"/>
  <c r="CZ33"/>
  <c r="CV33"/>
  <c r="CR33"/>
  <c r="CN33"/>
  <c r="CJ33"/>
  <c r="CF33"/>
  <c r="CB33"/>
  <c r="BX33"/>
  <c r="BT33"/>
  <c r="DE44"/>
  <c r="DA44"/>
  <c r="CW44"/>
  <c r="CS44"/>
  <c r="CO44"/>
  <c r="CK44"/>
  <c r="CG44"/>
  <c r="CC44"/>
  <c r="BY44"/>
  <c r="BU44"/>
  <c r="BQ44"/>
  <c r="DI38"/>
  <c r="BR37" i="262"/>
  <c r="DI36"/>
  <c r="DE44"/>
  <c r="CW44"/>
  <c r="CO44"/>
  <c r="CG44"/>
  <c r="BY44"/>
  <c r="BQ44"/>
  <c r="CV51" i="256"/>
  <c r="CN51"/>
  <c r="CF51"/>
  <c r="BX51"/>
  <c r="DE51" i="248"/>
  <c r="CX51" i="258"/>
  <c r="CP51"/>
  <c r="CH51"/>
  <c r="BZ51"/>
  <c r="CW51" i="261"/>
  <c r="CO51"/>
  <c r="CG51"/>
  <c r="BY51"/>
  <c r="DF51" i="262"/>
  <c r="DB51"/>
  <c r="CT51"/>
  <c r="CL51"/>
  <c r="CD51"/>
  <c r="BV51"/>
  <c r="CY51" i="263"/>
  <c r="CQ51"/>
  <c r="CI51"/>
  <c r="CA51"/>
  <c r="BS51"/>
  <c r="BF315" i="279"/>
  <c r="DC12" i="248"/>
  <c r="CU12"/>
  <c r="CM12"/>
  <c r="CE12"/>
  <c r="BW12"/>
  <c r="BR12"/>
  <c r="CX12" i="260"/>
  <c r="CH12"/>
  <c r="DC12" i="261"/>
  <c r="CM12"/>
  <c r="BW12"/>
  <c r="CL12" i="263"/>
  <c r="CJ14" i="257"/>
  <c r="CA14" i="255"/>
  <c r="CO14" i="248"/>
  <c r="DC14" i="259"/>
  <c r="CT14" i="260"/>
  <c r="CB14" i="262"/>
  <c r="BS14" i="263"/>
  <c r="CI17" i="255"/>
  <c r="DA17" i="256"/>
  <c r="BU17"/>
  <c r="CQ17" i="259"/>
  <c r="CU17" i="261"/>
  <c r="DF20" i="255"/>
  <c r="BZ20"/>
  <c r="CQ20" i="248"/>
  <c r="DB20" i="261"/>
  <c r="BV20"/>
  <c r="CM20" i="263"/>
  <c r="BR31" i="255"/>
  <c r="BY31" i="248"/>
  <c r="AK33" i="262"/>
  <c r="AJ20"/>
  <c r="AH51"/>
  <c r="AH12"/>
  <c r="AC67"/>
  <c r="AC37"/>
  <c r="AC20"/>
  <c r="AD31"/>
  <c r="AD17"/>
  <c r="BD61" i="263"/>
  <c r="BD51"/>
  <c r="AS67"/>
  <c r="AS37"/>
  <c r="AS14"/>
  <c r="AI61"/>
  <c r="AI51"/>
  <c r="AI12"/>
  <c r="AF61"/>
  <c r="AF44"/>
  <c r="AE67"/>
  <c r="AE17"/>
  <c r="AJ37"/>
  <c r="AJ12"/>
  <c r="AH37"/>
  <c r="AH20"/>
  <c r="AG14"/>
  <c r="AC61"/>
  <c r="AC51"/>
  <c r="AC12"/>
  <c r="AD44"/>
  <c r="AB33"/>
  <c r="AY155" i="280"/>
  <c r="DD67" i="257"/>
  <c r="CZ67"/>
  <c r="CV67"/>
  <c r="CR67"/>
  <c r="CN67"/>
  <c r="CJ67"/>
  <c r="CF67"/>
  <c r="CB67"/>
  <c r="BX67"/>
  <c r="DI66"/>
  <c r="DF37"/>
  <c r="DD37"/>
  <c r="DB37"/>
  <c r="CZ37"/>
  <c r="CX37"/>
  <c r="CV37"/>
  <c r="CT37"/>
  <c r="CR37"/>
  <c r="CP37"/>
  <c r="CN37"/>
  <c r="CL37"/>
  <c r="CJ37"/>
  <c r="CH37"/>
  <c r="CF37"/>
  <c r="CD37"/>
  <c r="CB37"/>
  <c r="BZ37"/>
  <c r="BX37"/>
  <c r="BV37"/>
  <c r="BR37" i="255"/>
  <c r="DI36"/>
  <c r="BS67" i="256"/>
  <c r="DG37"/>
  <c r="DE37"/>
  <c r="DC37"/>
  <c r="DA37"/>
  <c r="CY37"/>
  <c r="CW37"/>
  <c r="CU37"/>
  <c r="CS37"/>
  <c r="CQ37"/>
  <c r="CO37"/>
  <c r="CM37"/>
  <c r="CK37"/>
  <c r="CI37"/>
  <c r="CG37"/>
  <c r="CE37"/>
  <c r="CC37"/>
  <c r="CA37"/>
  <c r="BY37"/>
  <c r="BW37"/>
  <c r="BU37"/>
  <c r="DI34"/>
  <c r="BP37"/>
  <c r="DI40"/>
  <c r="DF67" i="248"/>
  <c r="DB67"/>
  <c r="CX67"/>
  <c r="CT67"/>
  <c r="CP67"/>
  <c r="CL67"/>
  <c r="CH67"/>
  <c r="CD67"/>
  <c r="BZ67"/>
  <c r="BV67"/>
  <c r="BQ67"/>
  <c r="BS37"/>
  <c r="BQ33"/>
  <c r="DI42"/>
  <c r="DD67" i="258"/>
  <c r="CZ67"/>
  <c r="CV67"/>
  <c r="CR67"/>
  <c r="CN67"/>
  <c r="CJ67"/>
  <c r="CF67"/>
  <c r="CB67"/>
  <c r="BX67"/>
  <c r="DI66"/>
  <c r="DF37"/>
  <c r="DD37"/>
  <c r="DB37"/>
  <c r="CZ37"/>
  <c r="CX37"/>
  <c r="CV37"/>
  <c r="CT37"/>
  <c r="CR37"/>
  <c r="CP37"/>
  <c r="CN37"/>
  <c r="CL37"/>
  <c r="CJ37"/>
  <c r="CH37"/>
  <c r="CF37"/>
  <c r="CD37"/>
  <c r="CB37"/>
  <c r="BZ37"/>
  <c r="BX37"/>
  <c r="BV37"/>
  <c r="BR37" i="259"/>
  <c r="DI36"/>
  <c r="BS67" i="260"/>
  <c r="DG37"/>
  <c r="DE37"/>
  <c r="DC37"/>
  <c r="DA37"/>
  <c r="CY37"/>
  <c r="CW37"/>
  <c r="CU37"/>
  <c r="CS37"/>
  <c r="CQ37"/>
  <c r="CO37"/>
  <c r="CM37"/>
  <c r="CK37"/>
  <c r="CI37"/>
  <c r="CG37"/>
  <c r="CE37"/>
  <c r="CC37"/>
  <c r="CA37"/>
  <c r="BY37"/>
  <c r="BW37"/>
  <c r="BU37"/>
  <c r="DI34"/>
  <c r="BP37"/>
  <c r="DI40"/>
  <c r="DF67" i="261"/>
  <c r="DB67"/>
  <c r="CX67"/>
  <c r="CT67"/>
  <c r="CP67"/>
  <c r="CL67"/>
  <c r="CH67"/>
  <c r="CD67"/>
  <c r="BZ67"/>
  <c r="BV67"/>
  <c r="BQ67"/>
  <c r="BS37"/>
  <c r="BQ33"/>
  <c r="DI42"/>
  <c r="DD67" i="263"/>
  <c r="CZ67"/>
  <c r="CV67"/>
  <c r="CR67"/>
  <c r="CN67"/>
  <c r="CJ67"/>
  <c r="CF67"/>
  <c r="CB67"/>
  <c r="BX67"/>
  <c r="DI66"/>
  <c r="DF37"/>
  <c r="DD37"/>
  <c r="DB37"/>
  <c r="CZ37"/>
  <c r="CX37"/>
  <c r="CV37"/>
  <c r="CT37"/>
  <c r="CR37"/>
  <c r="CP37"/>
  <c r="CN37"/>
  <c r="CL37"/>
  <c r="CJ37"/>
  <c r="CH37"/>
  <c r="CF37"/>
  <c r="CD37"/>
  <c r="CB37"/>
  <c r="BZ37"/>
  <c r="BX37"/>
  <c r="BV37"/>
  <c r="DG67" i="262"/>
  <c r="DC67"/>
  <c r="CY67"/>
  <c r="CU67"/>
  <c r="CQ67"/>
  <c r="CM67"/>
  <c r="CI67"/>
  <c r="CE67"/>
  <c r="CA67"/>
  <c r="BW67"/>
  <c r="BR67"/>
  <c r="DI35"/>
  <c r="DF33"/>
  <c r="DB33"/>
  <c r="CX33"/>
  <c r="CT33"/>
  <c r="CP33"/>
  <c r="CL33"/>
  <c r="CH33"/>
  <c r="CD33"/>
  <c r="BZ33"/>
  <c r="BS33"/>
  <c r="DD44"/>
  <c r="CV44"/>
  <c r="CV51" i="248"/>
  <c r="CN51"/>
  <c r="CF51"/>
  <c r="BX51"/>
  <c r="DE51" i="258"/>
  <c r="CX51" i="259"/>
  <c r="CP51"/>
  <c r="CH51"/>
  <c r="BZ51"/>
  <c r="CW51" i="262"/>
  <c r="CO51"/>
  <c r="CG51"/>
  <c r="BY51"/>
  <c r="DF51" i="263"/>
  <c r="DB51"/>
  <c r="CT51"/>
  <c r="CL51"/>
  <c r="CD51"/>
  <c r="BV51"/>
  <c r="BR12" i="257"/>
  <c r="DA12" i="256"/>
  <c r="CS12"/>
  <c r="CK12"/>
  <c r="CC12"/>
  <c r="BU12"/>
  <c r="DD12" i="258"/>
  <c r="CV12"/>
  <c r="CN12"/>
  <c r="CF12"/>
  <c r="DB12" i="260"/>
  <c r="CL12"/>
  <c r="BV12"/>
  <c r="DG12" i="261"/>
  <c r="CQ12"/>
  <c r="CA12"/>
  <c r="CB14" i="257"/>
  <c r="BS14" i="255"/>
  <c r="CG14" i="248"/>
  <c r="BX14" i="258"/>
  <c r="CL14" i="260"/>
  <c r="CZ14" i="262"/>
  <c r="CQ14" i="263"/>
  <c r="CQ17" i="255"/>
  <c r="CU17" i="248"/>
  <c r="CO17" i="262"/>
  <c r="DG17" i="263"/>
  <c r="CA17"/>
  <c r="CL20" i="255"/>
  <c r="DC20" i="248"/>
  <c r="BW20"/>
  <c r="CJ20" i="259"/>
  <c r="CX20" i="261"/>
  <c r="CY20" i="263"/>
  <c r="BS20"/>
  <c r="DA31" i="248"/>
  <c r="CG31"/>
  <c r="AI14" i="262"/>
  <c r="AF37"/>
  <c r="AF20"/>
  <c r="T67"/>
  <c r="AE37"/>
  <c r="AE20"/>
  <c r="AK31"/>
  <c r="AK17"/>
  <c r="AJ14"/>
  <c r="AH61"/>
  <c r="AG67"/>
  <c r="AC14"/>
  <c r="AD61"/>
  <c r="AD51"/>
  <c r="AD12"/>
  <c r="AB44"/>
  <c r="AI14" i="263"/>
  <c r="AF37"/>
  <c r="AF20"/>
  <c r="T67"/>
  <c r="AE37"/>
  <c r="AE20"/>
  <c r="AK31"/>
  <c r="AK17"/>
  <c r="AJ14"/>
  <c r="AH61"/>
  <c r="AG67"/>
  <c r="AC14"/>
  <c r="AD61"/>
  <c r="AD51"/>
  <c r="AD12"/>
  <c r="AB44"/>
  <c r="AY151" i="280"/>
  <c r="AY147"/>
  <c r="AY143"/>
  <c r="DE67" i="257"/>
  <c r="DA67"/>
  <c r="CW67"/>
  <c r="CS67"/>
  <c r="CO67"/>
  <c r="CK67"/>
  <c r="CG67"/>
  <c r="CC67"/>
  <c r="BY67"/>
  <c r="BU67"/>
  <c r="BT37"/>
  <c r="DG61"/>
  <c r="DE61"/>
  <c r="DE68" s="1"/>
  <c r="DC61"/>
  <c r="DC68" s="1"/>
  <c r="DA61"/>
  <c r="CY61"/>
  <c r="CY68" s="1"/>
  <c r="CW61"/>
  <c r="CU61"/>
  <c r="CU68" s="1"/>
  <c r="CS61"/>
  <c r="CS68" s="1"/>
  <c r="CQ61"/>
  <c r="CO61"/>
  <c r="CO68" s="1"/>
  <c r="CM61"/>
  <c r="CM68" s="1"/>
  <c r="CK61"/>
  <c r="CI61"/>
  <c r="CI68" s="1"/>
  <c r="CG61"/>
  <c r="CE61"/>
  <c r="CE68" s="1"/>
  <c r="CC61"/>
  <c r="CC68" s="1"/>
  <c r="CA61"/>
  <c r="BY61"/>
  <c r="BY68" s="1"/>
  <c r="BW61"/>
  <c r="BW68" s="1"/>
  <c r="BU61"/>
  <c r="BS61"/>
  <c r="BQ61"/>
  <c r="BQ68" s="1"/>
  <c r="DG33"/>
  <c r="DC33"/>
  <c r="CY33"/>
  <c r="CU33"/>
  <c r="CQ33"/>
  <c r="CM33"/>
  <c r="CI33"/>
  <c r="CE33"/>
  <c r="CA33"/>
  <c r="BW33"/>
  <c r="BS33"/>
  <c r="DF44"/>
  <c r="DB44"/>
  <c r="CX44"/>
  <c r="CT44"/>
  <c r="CP44"/>
  <c r="CL44"/>
  <c r="CH44"/>
  <c r="CD44"/>
  <c r="BZ44"/>
  <c r="BV44"/>
  <c r="BR44"/>
  <c r="DI43"/>
  <c r="DG67" i="255"/>
  <c r="DC67"/>
  <c r="CY67"/>
  <c r="CU67"/>
  <c r="CQ67"/>
  <c r="CM67"/>
  <c r="CI67"/>
  <c r="CE67"/>
  <c r="CA67"/>
  <c r="BW67"/>
  <c r="BR67"/>
  <c r="DI35"/>
  <c r="DF33"/>
  <c r="DB33"/>
  <c r="DB52" s="1"/>
  <c r="CX33"/>
  <c r="CT33"/>
  <c r="CT52" s="1"/>
  <c r="CP33"/>
  <c r="CL33"/>
  <c r="CH33"/>
  <c r="CD33"/>
  <c r="CD52" s="1"/>
  <c r="BZ33"/>
  <c r="BV33"/>
  <c r="BV52" s="1"/>
  <c r="BR33"/>
  <c r="DG44"/>
  <c r="DC44"/>
  <c r="CY44"/>
  <c r="CU44"/>
  <c r="CQ44"/>
  <c r="CM44"/>
  <c r="CI44"/>
  <c r="CE44"/>
  <c r="CA44"/>
  <c r="BW44"/>
  <c r="BS44"/>
  <c r="DI41"/>
  <c r="DE67" i="256"/>
  <c r="DA67"/>
  <c r="CW67"/>
  <c r="CS67"/>
  <c r="CO67"/>
  <c r="CK67"/>
  <c r="CG67"/>
  <c r="CC67"/>
  <c r="BY67"/>
  <c r="BU67"/>
  <c r="BT37"/>
  <c r="DG61"/>
  <c r="DE61"/>
  <c r="DE68" s="1"/>
  <c r="DC61"/>
  <c r="DC68" s="1"/>
  <c r="DA61"/>
  <c r="CY61"/>
  <c r="CW61"/>
  <c r="CW68" s="1"/>
  <c r="CU61"/>
  <c r="CS61"/>
  <c r="CQ61"/>
  <c r="CO61"/>
  <c r="CO68" s="1"/>
  <c r="CM61"/>
  <c r="CM68" s="1"/>
  <c r="CK61"/>
  <c r="CI61"/>
  <c r="CG61"/>
  <c r="CG68" s="1"/>
  <c r="CE61"/>
  <c r="CC61"/>
  <c r="CA61"/>
  <c r="BY61"/>
  <c r="BY68" s="1"/>
  <c r="BW61"/>
  <c r="BW68" s="1"/>
  <c r="BU61"/>
  <c r="BS61"/>
  <c r="BQ61"/>
  <c r="DG33"/>
  <c r="DC33"/>
  <c r="CY33"/>
  <c r="CU33"/>
  <c r="CQ33"/>
  <c r="CM33"/>
  <c r="CI33"/>
  <c r="CE33"/>
  <c r="CA33"/>
  <c r="BW33"/>
  <c r="BS33"/>
  <c r="DF44"/>
  <c r="DB44"/>
  <c r="CX44"/>
  <c r="CT44"/>
  <c r="CP44"/>
  <c r="CL44"/>
  <c r="CH44"/>
  <c r="CD44"/>
  <c r="BZ44"/>
  <c r="BV44"/>
  <c r="BR44"/>
  <c r="DI43"/>
  <c r="DG67" i="248"/>
  <c r="DC67"/>
  <c r="CY67"/>
  <c r="CU67"/>
  <c r="CQ67"/>
  <c r="CM67"/>
  <c r="CI67"/>
  <c r="CE67"/>
  <c r="CA67"/>
  <c r="BW67"/>
  <c r="BR67"/>
  <c r="DI35"/>
  <c r="DD33"/>
  <c r="CZ33"/>
  <c r="CV33"/>
  <c r="CR33"/>
  <c r="CN33"/>
  <c r="CJ33"/>
  <c r="CF33"/>
  <c r="CB33"/>
  <c r="BX33"/>
  <c r="BT33"/>
  <c r="DE44"/>
  <c r="DA44"/>
  <c r="CW44"/>
  <c r="CS44"/>
  <c r="CO44"/>
  <c r="CK44"/>
  <c r="CG44"/>
  <c r="CC44"/>
  <c r="BY44"/>
  <c r="BU44"/>
  <c r="BQ44"/>
  <c r="DI38"/>
  <c r="BT67" i="258"/>
  <c r="DI65"/>
  <c r="BP67"/>
  <c r="DF61"/>
  <c r="DD61"/>
  <c r="DD68" s="1"/>
  <c r="DB61"/>
  <c r="CZ61"/>
  <c r="CZ68" s="1"/>
  <c r="CX61"/>
  <c r="CX68" s="1"/>
  <c r="CV61"/>
  <c r="CV68" s="1"/>
  <c r="CT61"/>
  <c r="CT68" s="1"/>
  <c r="CR61"/>
  <c r="CP61"/>
  <c r="CP68" s="1"/>
  <c r="CN61"/>
  <c r="CN68" s="1"/>
  <c r="CL61"/>
  <c r="CL68" s="1"/>
  <c r="CJ61"/>
  <c r="CJ68" s="1"/>
  <c r="CH61"/>
  <c r="CH68" s="1"/>
  <c r="CF61"/>
  <c r="CF68" s="1"/>
  <c r="CD61"/>
  <c r="CD68" s="1"/>
  <c r="CB61"/>
  <c r="BZ61"/>
  <c r="BZ68" s="1"/>
  <c r="BX61"/>
  <c r="BX68" s="1"/>
  <c r="BV61"/>
  <c r="BV68" s="1"/>
  <c r="BT61"/>
  <c r="BR61"/>
  <c r="BR68" s="1"/>
  <c r="BP61"/>
  <c r="DE33"/>
  <c r="DA33"/>
  <c r="DA52" s="1"/>
  <c r="CW33"/>
  <c r="CS33"/>
  <c r="CS52" s="1"/>
  <c r="CO33"/>
  <c r="CK33"/>
  <c r="CK52" s="1"/>
  <c r="CG33"/>
  <c r="CC33"/>
  <c r="BY33"/>
  <c r="BU33"/>
  <c r="BU52" s="1"/>
  <c r="DI32"/>
  <c r="BP33"/>
  <c r="DD44"/>
  <c r="CZ44"/>
  <c r="CV44"/>
  <c r="CR44"/>
  <c r="CN44"/>
  <c r="CJ44"/>
  <c r="CF44"/>
  <c r="CB44"/>
  <c r="BX44"/>
  <c r="BT44"/>
  <c r="DI39"/>
  <c r="BP44"/>
  <c r="DI45"/>
  <c r="BQ37" i="259"/>
  <c r="DF33"/>
  <c r="DB33"/>
  <c r="DB52" s="1"/>
  <c r="CX33"/>
  <c r="CT33"/>
  <c r="CP33"/>
  <c r="CL33"/>
  <c r="CL52" s="1"/>
  <c r="CH33"/>
  <c r="CD33"/>
  <c r="CD52" s="1"/>
  <c r="BZ33"/>
  <c r="BV33"/>
  <c r="BV52" s="1"/>
  <c r="BR33"/>
  <c r="DG44"/>
  <c r="DC44"/>
  <c r="CY44"/>
  <c r="CU44"/>
  <c r="CQ44"/>
  <c r="CM44"/>
  <c r="CI44"/>
  <c r="CE44"/>
  <c r="CA44"/>
  <c r="BW44"/>
  <c r="BS44"/>
  <c r="DI41"/>
  <c r="DE67" i="260"/>
  <c r="DA67"/>
  <c r="CW67"/>
  <c r="CS67"/>
  <c r="CO67"/>
  <c r="CK67"/>
  <c r="CG67"/>
  <c r="CC67"/>
  <c r="BY67"/>
  <c r="BU67"/>
  <c r="BT37"/>
  <c r="DG61"/>
  <c r="DE61"/>
  <c r="DE68" s="1"/>
  <c r="DC61"/>
  <c r="DC68" s="1"/>
  <c r="DA61"/>
  <c r="CY61"/>
  <c r="CW61"/>
  <c r="CU61"/>
  <c r="CS61"/>
  <c r="CQ61"/>
  <c r="CO61"/>
  <c r="CO68" s="1"/>
  <c r="CM61"/>
  <c r="CM68" s="1"/>
  <c r="CK61"/>
  <c r="CI61"/>
  <c r="CG61"/>
  <c r="CG68" s="1"/>
  <c r="CE61"/>
  <c r="CC61"/>
  <c r="CA61"/>
  <c r="BY61"/>
  <c r="BY68" s="1"/>
  <c r="BW61"/>
  <c r="BW68" s="1"/>
  <c r="BU61"/>
  <c r="BS61"/>
  <c r="BQ61"/>
  <c r="DG33"/>
  <c r="DC33"/>
  <c r="CY33"/>
  <c r="CU33"/>
  <c r="CQ33"/>
  <c r="CM33"/>
  <c r="CI33"/>
  <c r="CE33"/>
  <c r="CA33"/>
  <c r="BW33"/>
  <c r="BS33"/>
  <c r="DF44"/>
  <c r="DB44"/>
  <c r="CX44"/>
  <c r="CT44"/>
  <c r="CP44"/>
  <c r="CL44"/>
  <c r="CH44"/>
  <c r="CD44"/>
  <c r="BZ44"/>
  <c r="BV44"/>
  <c r="BR44"/>
  <c r="DI43"/>
  <c r="DG67" i="261"/>
  <c r="DC67"/>
  <c r="CY67"/>
  <c r="CU67"/>
  <c r="CQ67"/>
  <c r="CM67"/>
  <c r="CI67"/>
  <c r="CE67"/>
  <c r="CA67"/>
  <c r="BW67"/>
  <c r="BR67"/>
  <c r="DI35"/>
  <c r="DF33"/>
  <c r="DB33"/>
  <c r="CX33"/>
  <c r="CT33"/>
  <c r="CP33"/>
  <c r="CL33"/>
  <c r="CH33"/>
  <c r="CD33"/>
  <c r="BZ33"/>
  <c r="BV33"/>
  <c r="BR33"/>
  <c r="DG44"/>
  <c r="DC44"/>
  <c r="CY44"/>
  <c r="CU44"/>
  <c r="CQ44"/>
  <c r="CM44"/>
  <c r="CI44"/>
  <c r="CE44"/>
  <c r="CA44"/>
  <c r="BW44"/>
  <c r="BS44"/>
  <c r="DI41"/>
  <c r="DE67" i="263"/>
  <c r="DA67"/>
  <c r="CW67"/>
  <c r="CS67"/>
  <c r="CO67"/>
  <c r="CK67"/>
  <c r="CG67"/>
  <c r="CC67"/>
  <c r="BY67"/>
  <c r="BU67"/>
  <c r="BT37"/>
  <c r="DG61"/>
  <c r="DG68" s="1"/>
  <c r="DE61"/>
  <c r="DE68" s="1"/>
  <c r="DC61"/>
  <c r="DC68" s="1"/>
  <c r="DA61"/>
  <c r="CY61"/>
  <c r="CW61"/>
  <c r="CW68" s="1"/>
  <c r="CU61"/>
  <c r="CS61"/>
  <c r="CQ61"/>
  <c r="CQ68" s="1"/>
  <c r="CO61"/>
  <c r="CO68" s="1"/>
  <c r="CM61"/>
  <c r="CM68" s="1"/>
  <c r="CK61"/>
  <c r="CI61"/>
  <c r="CG61"/>
  <c r="CG68" s="1"/>
  <c r="CE61"/>
  <c r="CC61"/>
  <c r="CA61"/>
  <c r="CA68" s="1"/>
  <c r="BY61"/>
  <c r="BY68" s="1"/>
  <c r="BW61"/>
  <c r="BW68" s="1"/>
  <c r="BU61"/>
  <c r="BS61"/>
  <c r="BQ61"/>
  <c r="BQ68" s="1"/>
  <c r="DG33"/>
  <c r="DC33"/>
  <c r="CY33"/>
  <c r="CU33"/>
  <c r="CQ33"/>
  <c r="CM33"/>
  <c r="CI33"/>
  <c r="CE33"/>
  <c r="CA33"/>
  <c r="BW33"/>
  <c r="BS33"/>
  <c r="DF44"/>
  <c r="DB44"/>
  <c r="CX44"/>
  <c r="CT44"/>
  <c r="CP44"/>
  <c r="CL44"/>
  <c r="CH44"/>
  <c r="CD44"/>
  <c r="BZ44"/>
  <c r="BV44"/>
  <c r="BR44"/>
  <c r="DI43"/>
  <c r="BS67" i="262"/>
  <c r="DG37"/>
  <c r="DE37"/>
  <c r="DC37"/>
  <c r="DA37"/>
  <c r="CY37"/>
  <c r="CW37"/>
  <c r="CU37"/>
  <c r="CS37"/>
  <c r="CQ37"/>
  <c r="CO37"/>
  <c r="CM37"/>
  <c r="CK37"/>
  <c r="CI37"/>
  <c r="CG37"/>
  <c r="CE37"/>
  <c r="CC37"/>
  <c r="CA37"/>
  <c r="BY37"/>
  <c r="BW37"/>
  <c r="BU37"/>
  <c r="DI34"/>
  <c r="BP37"/>
  <c r="BR33"/>
  <c r="DB44"/>
  <c r="CT44"/>
  <c r="CM44"/>
  <c r="CE44"/>
  <c r="BW44"/>
  <c r="CX51" i="257"/>
  <c r="CP51"/>
  <c r="CH51"/>
  <c r="BZ51"/>
  <c r="CW51" i="248"/>
  <c r="CO51"/>
  <c r="CG51"/>
  <c r="BY51"/>
  <c r="DF51" i="258"/>
  <c r="DB51"/>
  <c r="CT51"/>
  <c r="CL51"/>
  <c r="CD51"/>
  <c r="BV51"/>
  <c r="CY51" i="259"/>
  <c r="CQ51"/>
  <c r="CI51"/>
  <c r="CA51"/>
  <c r="BS51"/>
  <c r="DA51" i="261"/>
  <c r="CS51"/>
  <c r="CK51"/>
  <c r="CC51"/>
  <c r="BU51"/>
  <c r="DG51" i="263"/>
  <c r="DC51"/>
  <c r="CU51"/>
  <c r="CM51"/>
  <c r="CE51"/>
  <c r="BW51"/>
  <c r="AY315" i="279"/>
  <c r="DG12" i="257"/>
  <c r="CY12"/>
  <c r="CQ12"/>
  <c r="CI12"/>
  <c r="CA12"/>
  <c r="BS12"/>
  <c r="DF12" i="256"/>
  <c r="CX12"/>
  <c r="CP12"/>
  <c r="CH12"/>
  <c r="BZ12"/>
  <c r="DG12" i="248"/>
  <c r="CY12"/>
  <c r="CQ12"/>
  <c r="CI12"/>
  <c r="CA12"/>
  <c r="BS12"/>
  <c r="BT12" i="258"/>
  <c r="CV12" i="262"/>
  <c r="CF12"/>
  <c r="CZ14" i="257"/>
  <c r="CQ14" i="255"/>
  <c r="DE14" i="248"/>
  <c r="CV14" i="258"/>
  <c r="CD14" i="260"/>
  <c r="BU14" i="261"/>
  <c r="CI14" i="263"/>
  <c r="CG17" i="257"/>
  <c r="CY17" i="255"/>
  <c r="BS17"/>
  <c r="CK17" i="256"/>
  <c r="DC17" i="248"/>
  <c r="BW17"/>
  <c r="CS17" i="260"/>
  <c r="CI17" i="263"/>
  <c r="CX20" i="255"/>
  <c r="CY20" i="248"/>
  <c r="BS20"/>
  <c r="CD20" i="261"/>
  <c r="CE20" i="263"/>
  <c r="CN44" i="262"/>
  <c r="CJ44"/>
  <c r="CF44"/>
  <c r="CB44"/>
  <c r="BX44"/>
  <c r="BT44"/>
  <c r="DI39"/>
  <c r="BP44"/>
  <c r="DI45"/>
  <c r="CZ51" i="257"/>
  <c r="CV51"/>
  <c r="CR51"/>
  <c r="CN51"/>
  <c r="CJ51"/>
  <c r="CF51"/>
  <c r="CB51"/>
  <c r="BX51"/>
  <c r="BT51"/>
  <c r="DE51" i="255"/>
  <c r="DA51"/>
  <c r="CW51"/>
  <c r="CS51"/>
  <c r="CO51"/>
  <c r="CK51"/>
  <c r="CG51"/>
  <c r="CC51"/>
  <c r="BY51"/>
  <c r="BU51"/>
  <c r="DF51" i="256"/>
  <c r="DG51" i="248"/>
  <c r="DC51"/>
  <c r="CY51"/>
  <c r="CU51"/>
  <c r="CQ51"/>
  <c r="CM51"/>
  <c r="CI51"/>
  <c r="CE51"/>
  <c r="CA51"/>
  <c r="BW51"/>
  <c r="BS51"/>
  <c r="DB51" i="260"/>
  <c r="CX51"/>
  <c r="CT51"/>
  <c r="CP51"/>
  <c r="CL51"/>
  <c r="CH51"/>
  <c r="CD51"/>
  <c r="BZ51"/>
  <c r="BV51"/>
  <c r="CZ51" i="262"/>
  <c r="CV51"/>
  <c r="CR51"/>
  <c r="CN51"/>
  <c r="CJ51"/>
  <c r="CF51"/>
  <c r="CB51"/>
  <c r="BX51"/>
  <c r="BT51"/>
  <c r="DE51" i="263"/>
  <c r="DA51"/>
  <c r="CW51"/>
  <c r="CS51"/>
  <c r="CO51"/>
  <c r="CK51"/>
  <c r="CG51"/>
  <c r="CC51"/>
  <c r="BY51"/>
  <c r="BU51"/>
  <c r="BG315" i="279"/>
  <c r="DE12" i="257"/>
  <c r="DA12"/>
  <c r="CW12"/>
  <c r="CS12"/>
  <c r="CO12"/>
  <c r="CK12"/>
  <c r="CG12"/>
  <c r="CC12"/>
  <c r="BY12"/>
  <c r="BU12"/>
  <c r="DF12" i="255"/>
  <c r="DB12"/>
  <c r="CX12"/>
  <c r="CT12"/>
  <c r="CP12"/>
  <c r="CL12"/>
  <c r="CH12"/>
  <c r="CD12"/>
  <c r="BZ12"/>
  <c r="BV12"/>
  <c r="BQ12"/>
  <c r="BR12" i="256"/>
  <c r="DD12" i="248"/>
  <c r="CZ12"/>
  <c r="CV12"/>
  <c r="CR12"/>
  <c r="CN12"/>
  <c r="CJ12"/>
  <c r="CF12"/>
  <c r="CB12"/>
  <c r="BX12"/>
  <c r="BT12"/>
  <c r="DG12" i="260"/>
  <c r="DC12"/>
  <c r="CY12"/>
  <c r="CU12"/>
  <c r="CQ12"/>
  <c r="CM12"/>
  <c r="CI12"/>
  <c r="CE12"/>
  <c r="CA12"/>
  <c r="BW12"/>
  <c r="BS12"/>
  <c r="DI11" i="261"/>
  <c r="DE12" i="262"/>
  <c r="DA12"/>
  <c r="CW12"/>
  <c r="CS12"/>
  <c r="CO12"/>
  <c r="CK12"/>
  <c r="CG12"/>
  <c r="CC12"/>
  <c r="BY12"/>
  <c r="BU12"/>
  <c r="DA12" i="263"/>
  <c r="CN12"/>
  <c r="CF12"/>
  <c r="BX12"/>
  <c r="DI11"/>
  <c r="CX14" i="257"/>
  <c r="CH14"/>
  <c r="DE14" i="255"/>
  <c r="CO14"/>
  <c r="BY14"/>
  <c r="CV14" i="256"/>
  <c r="CF14"/>
  <c r="DC14" i="248"/>
  <c r="CM14"/>
  <c r="BW14"/>
  <c r="CT14" i="258"/>
  <c r="CD14"/>
  <c r="DA14" i="259"/>
  <c r="CK14"/>
  <c r="BU14"/>
  <c r="CR14" i="260"/>
  <c r="CB14"/>
  <c r="DG14" i="261"/>
  <c r="CQ14"/>
  <c r="CA14"/>
  <c r="DF14" i="262"/>
  <c r="CP14"/>
  <c r="BZ14"/>
  <c r="CW14" i="263"/>
  <c r="CG14"/>
  <c r="DG17" i="257"/>
  <c r="CY17"/>
  <c r="CQ17"/>
  <c r="CI17"/>
  <c r="CA17"/>
  <c r="BS17"/>
  <c r="DA17" i="255"/>
  <c r="CS17"/>
  <c r="CK17"/>
  <c r="CC17"/>
  <c r="BU17"/>
  <c r="DC17" i="260"/>
  <c r="CU17"/>
  <c r="CM17"/>
  <c r="CE17"/>
  <c r="BW17"/>
  <c r="DE17" i="261"/>
  <c r="CW17"/>
  <c r="CO17"/>
  <c r="CG17"/>
  <c r="BY17"/>
  <c r="DG17" i="262"/>
  <c r="CY17"/>
  <c r="CQ17"/>
  <c r="CI17"/>
  <c r="CA17"/>
  <c r="BS17"/>
  <c r="DA17" i="263"/>
  <c r="CS17"/>
  <c r="CK17"/>
  <c r="CC17"/>
  <c r="BU17"/>
  <c r="DA20" i="255"/>
  <c r="CS20"/>
  <c r="CK20"/>
  <c r="CC20"/>
  <c r="BU20"/>
  <c r="DB20" i="248"/>
  <c r="CT20"/>
  <c r="CL20"/>
  <c r="CD20"/>
  <c r="BV20"/>
  <c r="DB20" i="259"/>
  <c r="CT20"/>
  <c r="CL20"/>
  <c r="CD20"/>
  <c r="BV20"/>
  <c r="DA20" i="261"/>
  <c r="CS20"/>
  <c r="CK20"/>
  <c r="CC20"/>
  <c r="BU20"/>
  <c r="DB20" i="263"/>
  <c r="CT20"/>
  <c r="CL20"/>
  <c r="CD20"/>
  <c r="BV20"/>
  <c r="DD31" i="255"/>
  <c r="CJ31"/>
  <c r="BT31"/>
  <c r="DC31" i="248"/>
  <c r="CQ31"/>
  <c r="CA31"/>
  <c r="BQ33" i="262"/>
  <c r="DI42"/>
  <c r="CZ51" i="255"/>
  <c r="CV51"/>
  <c r="CR51"/>
  <c r="CN51"/>
  <c r="CJ51"/>
  <c r="CF51"/>
  <c r="CB51"/>
  <c r="BX51"/>
  <c r="BT51"/>
  <c r="DE51" i="256"/>
  <c r="DA51"/>
  <c r="CW51"/>
  <c r="CS51"/>
  <c r="CO51"/>
  <c r="CK51"/>
  <c r="CG51"/>
  <c r="CC51"/>
  <c r="BY51"/>
  <c r="BU51"/>
  <c r="DF51" i="248"/>
  <c r="DG51" i="258"/>
  <c r="DC51"/>
  <c r="CY51"/>
  <c r="CU51"/>
  <c r="CQ51"/>
  <c r="CM51"/>
  <c r="CI51"/>
  <c r="CE51"/>
  <c r="CA51"/>
  <c r="BW51"/>
  <c r="BS51"/>
  <c r="DB51" i="261"/>
  <c r="CX51"/>
  <c r="CT51"/>
  <c r="CP51"/>
  <c r="CL51"/>
  <c r="CH51"/>
  <c r="CD51"/>
  <c r="BZ51"/>
  <c r="BV51"/>
  <c r="CZ51" i="263"/>
  <c r="CV51"/>
  <c r="CR51"/>
  <c r="CN51"/>
  <c r="CJ51"/>
  <c r="CF51"/>
  <c r="CB51"/>
  <c r="BX51"/>
  <c r="BT51"/>
  <c r="DG12" i="255"/>
  <c r="DC12"/>
  <c r="CY12"/>
  <c r="CU12"/>
  <c r="CQ12"/>
  <c r="CM12"/>
  <c r="CI12"/>
  <c r="CE12"/>
  <c r="CA12"/>
  <c r="BW12"/>
  <c r="BS12"/>
  <c r="DI11" i="256"/>
  <c r="DE12" i="248"/>
  <c r="DA12"/>
  <c r="CW12"/>
  <c r="CS12"/>
  <c r="CO12"/>
  <c r="CK12"/>
  <c r="CG12"/>
  <c r="CC12"/>
  <c r="BY12"/>
  <c r="BU12"/>
  <c r="DF12" i="258"/>
  <c r="DB12"/>
  <c r="CX12"/>
  <c r="CT12"/>
  <c r="CP12"/>
  <c r="CL12"/>
  <c r="CH12"/>
  <c r="CD12"/>
  <c r="BZ12"/>
  <c r="BV12"/>
  <c r="BQ12"/>
  <c r="BR12" i="259"/>
  <c r="DD12" i="260"/>
  <c r="CZ12"/>
  <c r="CV12"/>
  <c r="CR12"/>
  <c r="CN12"/>
  <c r="CJ12"/>
  <c r="CF12"/>
  <c r="CB12"/>
  <c r="BX12"/>
  <c r="BT12"/>
  <c r="DF12" i="263"/>
  <c r="CV14" i="257"/>
  <c r="CF14"/>
  <c r="DC14" i="255"/>
  <c r="CM14"/>
  <c r="BW14"/>
  <c r="CT14" i="256"/>
  <c r="CD14"/>
  <c r="DA14" i="248"/>
  <c r="CK14"/>
  <c r="BU14"/>
  <c r="CR14" i="258"/>
  <c r="CB14"/>
  <c r="DG14" i="259"/>
  <c r="CQ14"/>
  <c r="CA14"/>
  <c r="DF14" i="260"/>
  <c r="CP14"/>
  <c r="BZ14"/>
  <c r="CW14" i="261"/>
  <c r="CG14"/>
  <c r="DD14" i="262"/>
  <c r="CN14"/>
  <c r="BX14"/>
  <c r="CU14" i="263"/>
  <c r="CE14"/>
  <c r="DC17" i="255"/>
  <c r="CU17"/>
  <c r="CM17"/>
  <c r="CE17"/>
  <c r="BW17"/>
  <c r="DE17" i="256"/>
  <c r="CW17"/>
  <c r="CO17"/>
  <c r="CG17"/>
  <c r="BY17"/>
  <c r="DG17" i="248"/>
  <c r="CY17"/>
  <c r="CQ17"/>
  <c r="CI17"/>
  <c r="CA17"/>
  <c r="BS17"/>
  <c r="DA17" i="258"/>
  <c r="CS17"/>
  <c r="CK17"/>
  <c r="CC17"/>
  <c r="BU17"/>
  <c r="DC17" i="263"/>
  <c r="CU17"/>
  <c r="CM17"/>
  <c r="CE17"/>
  <c r="BW17"/>
  <c r="DD20" i="255"/>
  <c r="CV20"/>
  <c r="CN20"/>
  <c r="CF20"/>
  <c r="BX20"/>
  <c r="DE20" i="248"/>
  <c r="CW20"/>
  <c r="CO20"/>
  <c r="CG20"/>
  <c r="BY20"/>
  <c r="DD20" i="259"/>
  <c r="CV20"/>
  <c r="CN20"/>
  <c r="CF20"/>
  <c r="BX20"/>
  <c r="DD20" i="261"/>
  <c r="CV20"/>
  <c r="CN20"/>
  <c r="CF20"/>
  <c r="BX20"/>
  <c r="DE20" i="263"/>
  <c r="CW20"/>
  <c r="CO20"/>
  <c r="CG20"/>
  <c r="BY20"/>
  <c r="CL31" i="255"/>
  <c r="BV31"/>
  <c r="CK31" i="248"/>
  <c r="BU31"/>
  <c r="DI28"/>
  <c r="CE12" i="258"/>
  <c r="CA12"/>
  <c r="BW12"/>
  <c r="BS12"/>
  <c r="DI11" i="259"/>
  <c r="DE12" i="260"/>
  <c r="DA12"/>
  <c r="CW12"/>
  <c r="CS12"/>
  <c r="CO12"/>
  <c r="CK12"/>
  <c r="CG12"/>
  <c r="CC12"/>
  <c r="BY12"/>
  <c r="BU12"/>
  <c r="DF12" i="261"/>
  <c r="DB12"/>
  <c r="CX12"/>
  <c r="CT12"/>
  <c r="CP12"/>
  <c r="CL12"/>
  <c r="CH12"/>
  <c r="CD12"/>
  <c r="BZ12"/>
  <c r="BV12"/>
  <c r="BQ12"/>
  <c r="BR12" i="262"/>
  <c r="CZ12" i="263"/>
  <c r="CR12"/>
  <c r="CJ12"/>
  <c r="CB12"/>
  <c r="BT12"/>
  <c r="CT14" i="257"/>
  <c r="CD14"/>
  <c r="DA14" i="255"/>
  <c r="CK14"/>
  <c r="BU14"/>
  <c r="CR14" i="256"/>
  <c r="CB14"/>
  <c r="DG14" i="248"/>
  <c r="CQ14"/>
  <c r="CA14"/>
  <c r="DF14" i="258"/>
  <c r="CP14"/>
  <c r="BZ14"/>
  <c r="CW14" i="259"/>
  <c r="CG14"/>
  <c r="DD14" i="260"/>
  <c r="CN14"/>
  <c r="BX14"/>
  <c r="CU14" i="261"/>
  <c r="CE14"/>
  <c r="DB14" i="262"/>
  <c r="CL14"/>
  <c r="BV14"/>
  <c r="CS14" i="263"/>
  <c r="CC14"/>
  <c r="DC17" i="257"/>
  <c r="CU17"/>
  <c r="CM17"/>
  <c r="CE17"/>
  <c r="BW17"/>
  <c r="DE17" i="255"/>
  <c r="CW17"/>
  <c r="CO17"/>
  <c r="CG17"/>
  <c r="BY17"/>
  <c r="DG17" i="256"/>
  <c r="CY17"/>
  <c r="CQ17"/>
  <c r="CI17"/>
  <c r="CA17"/>
  <c r="BS17"/>
  <c r="DA17" i="248"/>
  <c r="CS17"/>
  <c r="CK17"/>
  <c r="CC17"/>
  <c r="BU17"/>
  <c r="DC17" i="262"/>
  <c r="CU17"/>
  <c r="CM17"/>
  <c r="CE17"/>
  <c r="BW17"/>
  <c r="DE17" i="263"/>
  <c r="CW17"/>
  <c r="CO17"/>
  <c r="CG17"/>
  <c r="BY17"/>
  <c r="DG20" i="255"/>
  <c r="CY20"/>
  <c r="CQ20"/>
  <c r="CI20"/>
  <c r="CA20"/>
  <c r="BS20"/>
  <c r="CZ20" i="248"/>
  <c r="CR20"/>
  <c r="CJ20"/>
  <c r="CB20"/>
  <c r="BT20"/>
  <c r="DC20" i="261"/>
  <c r="CU20"/>
  <c r="CM20"/>
  <c r="CE20"/>
  <c r="BW20"/>
  <c r="DD20" i="263"/>
  <c r="CV20"/>
  <c r="CN20"/>
  <c r="CF20"/>
  <c r="BX20"/>
  <c r="CN31" i="255"/>
  <c r="DG31" i="248"/>
  <c r="CU31"/>
  <c r="CE31"/>
  <c r="DE31" i="260"/>
  <c r="DA31"/>
  <c r="CY31"/>
  <c r="CU31"/>
  <c r="CQ31"/>
  <c r="CM31"/>
  <c r="CI31"/>
  <c r="CE31"/>
  <c r="CA31"/>
  <c r="BW31"/>
  <c r="BS31"/>
  <c r="DI28"/>
  <c r="DD31" i="262"/>
  <c r="CX31"/>
  <c r="CT31"/>
  <c r="CP31"/>
  <c r="CL31"/>
  <c r="CH31"/>
  <c r="CD31"/>
  <c r="BZ31"/>
  <c r="BV31"/>
  <c r="BR31"/>
  <c r="CQ31" i="263"/>
  <c r="BI67" i="262"/>
  <c r="BK36"/>
  <c r="AV61"/>
  <c r="AV37"/>
  <c r="AT51"/>
  <c r="AQ44"/>
  <c r="AR33"/>
  <c r="BC37"/>
  <c r="BA61"/>
  <c r="BA37"/>
  <c r="AY61"/>
  <c r="AX37"/>
  <c r="X61"/>
  <c r="U20"/>
  <c r="BJ33"/>
  <c r="BI44" i="261"/>
  <c r="AA44"/>
  <c r="AO44"/>
  <c r="AR20"/>
  <c r="U14"/>
  <c r="T33"/>
  <c r="BK35" i="260"/>
  <c r="AQ51"/>
  <c r="BE67"/>
  <c r="AY12"/>
  <c r="X44"/>
  <c r="BK34" i="259"/>
  <c r="BI37"/>
  <c r="AO61"/>
  <c r="AR51"/>
  <c r="BC33"/>
  <c r="T44"/>
  <c r="AT17" i="258"/>
  <c r="BK38" i="248"/>
  <c r="BJ44"/>
  <c r="BR12" i="263"/>
  <c r="DA14" i="257"/>
  <c r="CS14"/>
  <c r="CK14"/>
  <c r="CC14"/>
  <c r="BU14"/>
  <c r="CZ14" i="255"/>
  <c r="CR14"/>
  <c r="CJ14"/>
  <c r="CB14"/>
  <c r="BT14"/>
  <c r="DC14" i="256"/>
  <c r="CU14"/>
  <c r="CM14"/>
  <c r="CE14"/>
  <c r="BW14"/>
  <c r="DF14" i="248"/>
  <c r="CX14"/>
  <c r="CP14"/>
  <c r="CH14"/>
  <c r="BZ14"/>
  <c r="DE14" i="258"/>
  <c r="CW14"/>
  <c r="CO14"/>
  <c r="CG14"/>
  <c r="BY14"/>
  <c r="DD14" i="259"/>
  <c r="CV14"/>
  <c r="CN14"/>
  <c r="CF14"/>
  <c r="BX14"/>
  <c r="DG14" i="260"/>
  <c r="CY14"/>
  <c r="CQ14"/>
  <c r="CI14"/>
  <c r="CA14"/>
  <c r="BS14"/>
  <c r="DB14" i="261"/>
  <c r="CT14"/>
  <c r="CL14"/>
  <c r="CD14"/>
  <c r="BV14"/>
  <c r="DA14" i="262"/>
  <c r="CS14"/>
  <c r="CK14"/>
  <c r="CC14"/>
  <c r="BU14"/>
  <c r="CZ14" i="263"/>
  <c r="CR14"/>
  <c r="CJ14"/>
  <c r="CB14"/>
  <c r="BT14"/>
  <c r="DD17" i="257"/>
  <c r="CZ17"/>
  <c r="CV17"/>
  <c r="CR17"/>
  <c r="CN17"/>
  <c r="CJ17"/>
  <c r="CF17"/>
  <c r="CB17"/>
  <c r="BX17"/>
  <c r="BT17"/>
  <c r="DF17" i="255"/>
  <c r="DB17"/>
  <c r="CX17"/>
  <c r="CT17"/>
  <c r="CP17"/>
  <c r="CL17"/>
  <c r="CH17"/>
  <c r="CD17"/>
  <c r="BZ17"/>
  <c r="BV17"/>
  <c r="DD17" i="258"/>
  <c r="CZ17"/>
  <c r="CV17"/>
  <c r="CR17"/>
  <c r="CN17"/>
  <c r="CJ17"/>
  <c r="CF17"/>
  <c r="CB17"/>
  <c r="BX17"/>
  <c r="BT17"/>
  <c r="DF17" i="259"/>
  <c r="DB17"/>
  <c r="CX17"/>
  <c r="CT17"/>
  <c r="CP17"/>
  <c r="CL17"/>
  <c r="CH17"/>
  <c r="CD17"/>
  <c r="BZ17"/>
  <c r="BV17"/>
  <c r="DD17" i="262"/>
  <c r="CZ17"/>
  <c r="CV17"/>
  <c r="CR17"/>
  <c r="CN17"/>
  <c r="CJ17"/>
  <c r="CF17"/>
  <c r="CB17"/>
  <c r="BX17"/>
  <c r="BT17"/>
  <c r="DF17" i="263"/>
  <c r="DB17"/>
  <c r="CX17"/>
  <c r="CT17"/>
  <c r="CP17"/>
  <c r="CL17"/>
  <c r="CH17"/>
  <c r="CD17"/>
  <c r="BZ17"/>
  <c r="BV17"/>
  <c r="DF20" i="257"/>
  <c r="DB20"/>
  <c r="CX20"/>
  <c r="CT20"/>
  <c r="CP20"/>
  <c r="CL20"/>
  <c r="CH20"/>
  <c r="CD20"/>
  <c r="BZ20"/>
  <c r="BV20"/>
  <c r="DG20" i="256"/>
  <c r="DC20"/>
  <c r="CY20"/>
  <c r="CU20"/>
  <c r="CQ20"/>
  <c r="CM20"/>
  <c r="CI20"/>
  <c r="CE20"/>
  <c r="CA20"/>
  <c r="BW20"/>
  <c r="BS20"/>
  <c r="DD20" i="258"/>
  <c r="CZ20"/>
  <c r="CV20"/>
  <c r="CR20"/>
  <c r="CN20"/>
  <c r="CJ20"/>
  <c r="CF20"/>
  <c r="CB20"/>
  <c r="BX20"/>
  <c r="BT20"/>
  <c r="DF20" i="260"/>
  <c r="DB20"/>
  <c r="CX20"/>
  <c r="CT20"/>
  <c r="CP20"/>
  <c r="CL20"/>
  <c r="CH20"/>
  <c r="CD20"/>
  <c r="BZ20"/>
  <c r="BV20"/>
  <c r="DG20" i="262"/>
  <c r="DC20"/>
  <c r="CY20"/>
  <c r="CU20"/>
  <c r="CQ20"/>
  <c r="CM20"/>
  <c r="CI20"/>
  <c r="CE20"/>
  <c r="CA20"/>
  <c r="BW20"/>
  <c r="BS20"/>
  <c r="DG31" i="257"/>
  <c r="DC31"/>
  <c r="CW31"/>
  <c r="CS31"/>
  <c r="CO31"/>
  <c r="CK31"/>
  <c r="CG31"/>
  <c r="CC31"/>
  <c r="BY31"/>
  <c r="BU31"/>
  <c r="BQ31"/>
  <c r="DF31" i="256"/>
  <c r="DB31"/>
  <c r="CV31"/>
  <c r="CR31"/>
  <c r="CN31"/>
  <c r="CJ31"/>
  <c r="CF31"/>
  <c r="CB31"/>
  <c r="BX31"/>
  <c r="BT31"/>
  <c r="DE31" i="258"/>
  <c r="DA31"/>
  <c r="CY31"/>
  <c r="CU31"/>
  <c r="CQ31"/>
  <c r="CM31"/>
  <c r="CI31"/>
  <c r="CE31"/>
  <c r="CA31"/>
  <c r="BW31"/>
  <c r="BS31"/>
  <c r="DI28"/>
  <c r="DD31" i="259"/>
  <c r="CX31"/>
  <c r="CT31"/>
  <c r="CP31"/>
  <c r="CL31"/>
  <c r="CH31"/>
  <c r="CD31"/>
  <c r="BZ31"/>
  <c r="BV31"/>
  <c r="BR31"/>
  <c r="DG31" i="261"/>
  <c r="DC31"/>
  <c r="CW31"/>
  <c r="CS31"/>
  <c r="CO31"/>
  <c r="CK31"/>
  <c r="CG31"/>
  <c r="CC31"/>
  <c r="BY31"/>
  <c r="BU31"/>
  <c r="BQ31"/>
  <c r="DF31" i="263"/>
  <c r="DB31"/>
  <c r="CV31"/>
  <c r="CO31"/>
  <c r="CG31"/>
  <c r="BY31"/>
  <c r="BQ31"/>
  <c r="BK60"/>
  <c r="BI37"/>
  <c r="BK34"/>
  <c r="BI12"/>
  <c r="BK10"/>
  <c r="BK18" i="262"/>
  <c r="AO31"/>
  <c r="Y44"/>
  <c r="AQ14"/>
  <c r="BE12"/>
  <c r="AR44"/>
  <c r="AY20"/>
  <c r="X44"/>
  <c r="BI67" i="261"/>
  <c r="BK36"/>
  <c r="AQ14"/>
  <c r="BE20"/>
  <c r="AR44"/>
  <c r="AY20"/>
  <c r="BJ17"/>
  <c r="AA44" i="260"/>
  <c r="AO44"/>
  <c r="AR20"/>
  <c r="U14"/>
  <c r="T33"/>
  <c r="BK19" i="259"/>
  <c r="BI20"/>
  <c r="AV33"/>
  <c r="Y17"/>
  <c r="BC17"/>
  <c r="BE51" i="258"/>
  <c r="AT33" i="248"/>
  <c r="T44"/>
  <c r="DE31" i="255"/>
  <c r="DA31"/>
  <c r="CY31"/>
  <c r="CU31"/>
  <c r="CQ31"/>
  <c r="CM31"/>
  <c r="CI31"/>
  <c r="CE31"/>
  <c r="CA31"/>
  <c r="BW31"/>
  <c r="BS31"/>
  <c r="DI28"/>
  <c r="DD31" i="248"/>
  <c r="CX31"/>
  <c r="CT31"/>
  <c r="CP31"/>
  <c r="CL31"/>
  <c r="CH31"/>
  <c r="CD31"/>
  <c r="BZ31"/>
  <c r="BV31"/>
  <c r="BR31"/>
  <c r="DD31" i="260"/>
  <c r="CX31"/>
  <c r="CT31"/>
  <c r="CP31"/>
  <c r="CL31"/>
  <c r="CH31"/>
  <c r="CD31"/>
  <c r="BZ31"/>
  <c r="BV31"/>
  <c r="BR31"/>
  <c r="DG31" i="262"/>
  <c r="DC31"/>
  <c r="CW31"/>
  <c r="CS31"/>
  <c r="CO31"/>
  <c r="CK31"/>
  <c r="CG31"/>
  <c r="CC31"/>
  <c r="BY31"/>
  <c r="BU31"/>
  <c r="BQ31"/>
  <c r="BK27" i="263"/>
  <c r="BK28" i="262"/>
  <c r="BK16"/>
  <c r="AV14"/>
  <c r="V17"/>
  <c r="AT61"/>
  <c r="AT37"/>
  <c r="AQ31"/>
  <c r="AQ12"/>
  <c r="BE33"/>
  <c r="BC14"/>
  <c r="BB14"/>
  <c r="BA14"/>
  <c r="AZ14"/>
  <c r="AY17"/>
  <c r="AX14"/>
  <c r="AL60"/>
  <c r="BK18" i="261"/>
  <c r="AO33"/>
  <c r="Y31"/>
  <c r="AQ37"/>
  <c r="AR31"/>
  <c r="AR12"/>
  <c r="AW33"/>
  <c r="AA31" i="260"/>
  <c r="AQ14"/>
  <c r="BE20"/>
  <c r="AR44"/>
  <c r="AY20"/>
  <c r="BI12" i="259"/>
  <c r="BK10"/>
  <c r="AV17"/>
  <c r="AY14"/>
  <c r="DG14" i="257"/>
  <c r="CY14"/>
  <c r="CQ14"/>
  <c r="CI14"/>
  <c r="CA14"/>
  <c r="BS14"/>
  <c r="DB14" i="255"/>
  <c r="CT14"/>
  <c r="CL14"/>
  <c r="CD14"/>
  <c r="BV14"/>
  <c r="DA14" i="256"/>
  <c r="CS14"/>
  <c r="CK14"/>
  <c r="CC14"/>
  <c r="BU14"/>
  <c r="CZ14" i="248"/>
  <c r="CR14"/>
  <c r="CJ14"/>
  <c r="CB14"/>
  <c r="BT14"/>
  <c r="DC14" i="258"/>
  <c r="CU14"/>
  <c r="CM14"/>
  <c r="CE14"/>
  <c r="BW14"/>
  <c r="DF14" i="259"/>
  <c r="CX14"/>
  <c r="CP14"/>
  <c r="CH14"/>
  <c r="BZ14"/>
  <c r="DE14" i="260"/>
  <c r="CW14"/>
  <c r="CO14"/>
  <c r="CG14"/>
  <c r="BY14"/>
  <c r="DD14" i="261"/>
  <c r="CV14"/>
  <c r="CN14"/>
  <c r="CF14"/>
  <c r="BX14"/>
  <c r="DG14" i="262"/>
  <c r="CY14"/>
  <c r="CQ14"/>
  <c r="CI14"/>
  <c r="CA14"/>
  <c r="BS14"/>
  <c r="DB14" i="263"/>
  <c r="CT14"/>
  <c r="CL14"/>
  <c r="CD14"/>
  <c r="BV14"/>
  <c r="DF17" i="257"/>
  <c r="DB17"/>
  <c r="CX17"/>
  <c r="CT17"/>
  <c r="CP17"/>
  <c r="CL17"/>
  <c r="CH17"/>
  <c r="CD17"/>
  <c r="BZ17"/>
  <c r="BV17"/>
  <c r="DD17" i="248"/>
  <c r="CZ17"/>
  <c r="CV17"/>
  <c r="CR17"/>
  <c r="CN17"/>
  <c r="CJ17"/>
  <c r="CF17"/>
  <c r="CB17"/>
  <c r="BX17"/>
  <c r="BT17"/>
  <c r="DF17" i="258"/>
  <c r="DB17"/>
  <c r="CX17"/>
  <c r="CT17"/>
  <c r="CP17"/>
  <c r="CL17"/>
  <c r="CH17"/>
  <c r="CD17"/>
  <c r="BZ17"/>
  <c r="BV17"/>
  <c r="DD17" i="261"/>
  <c r="CZ17"/>
  <c r="CV17"/>
  <c r="CR17"/>
  <c r="CN17"/>
  <c r="CJ17"/>
  <c r="CF17"/>
  <c r="CB17"/>
  <c r="BX17"/>
  <c r="BT17"/>
  <c r="DF17" i="262"/>
  <c r="DB17"/>
  <c r="CX17"/>
  <c r="CT17"/>
  <c r="CP17"/>
  <c r="CL17"/>
  <c r="CH17"/>
  <c r="CD17"/>
  <c r="BZ17"/>
  <c r="BV17"/>
  <c r="DG20" i="257"/>
  <c r="DC20"/>
  <c r="CY20"/>
  <c r="CU20"/>
  <c r="CQ20"/>
  <c r="CM20"/>
  <c r="CI20"/>
  <c r="CE20"/>
  <c r="CA20"/>
  <c r="BW20"/>
  <c r="BS20"/>
  <c r="DD20" i="256"/>
  <c r="CZ20"/>
  <c r="CV20"/>
  <c r="CR20"/>
  <c r="CN20"/>
  <c r="CJ20"/>
  <c r="CF20"/>
  <c r="CB20"/>
  <c r="BX20"/>
  <c r="BT20"/>
  <c r="DE20" i="258"/>
  <c r="DA20"/>
  <c r="CW20"/>
  <c r="CS20"/>
  <c r="CO20"/>
  <c r="CK20"/>
  <c r="CG20"/>
  <c r="CC20"/>
  <c r="BY20"/>
  <c r="BU20"/>
  <c r="DE20" i="260"/>
  <c r="DA20"/>
  <c r="CW20"/>
  <c r="CS20"/>
  <c r="CO20"/>
  <c r="CK20"/>
  <c r="CG20"/>
  <c r="CC20"/>
  <c r="BY20"/>
  <c r="BU20"/>
  <c r="DF20" i="262"/>
  <c r="DB20"/>
  <c r="CX20"/>
  <c r="CT20"/>
  <c r="CP20"/>
  <c r="CL20"/>
  <c r="CH20"/>
  <c r="CD20"/>
  <c r="BZ20"/>
  <c r="BV20"/>
  <c r="DF31" i="257"/>
  <c r="DB31"/>
  <c r="CV31"/>
  <c r="CR31"/>
  <c r="CN31"/>
  <c r="CJ31"/>
  <c r="CF31"/>
  <c r="CB31"/>
  <c r="BX31"/>
  <c r="BT31"/>
  <c r="DE31" i="256"/>
  <c r="DA31"/>
  <c r="CY31"/>
  <c r="CU31"/>
  <c r="CQ31"/>
  <c r="CM31"/>
  <c r="CI31"/>
  <c r="CE31"/>
  <c r="CA31"/>
  <c r="BW31"/>
  <c r="BS31"/>
  <c r="DI28"/>
  <c r="DD31" i="258"/>
  <c r="CX31"/>
  <c r="CT31"/>
  <c r="CP31"/>
  <c r="CL31"/>
  <c r="CH31"/>
  <c r="CD31"/>
  <c r="BZ31"/>
  <c r="BV31"/>
  <c r="BR31"/>
  <c r="DG31" i="259"/>
  <c r="DC31"/>
  <c r="CW31"/>
  <c r="CS31"/>
  <c r="CO31"/>
  <c r="CK31"/>
  <c r="CG31"/>
  <c r="CC31"/>
  <c r="BY31"/>
  <c r="BU31"/>
  <c r="BQ31"/>
  <c r="DF31" i="261"/>
  <c r="DB31"/>
  <c r="CV31"/>
  <c r="CR31"/>
  <c r="CN31"/>
  <c r="CJ31"/>
  <c r="CF31"/>
  <c r="CB31"/>
  <c r="BX31"/>
  <c r="BT31"/>
  <c r="DE31" i="263"/>
  <c r="DA31"/>
  <c r="CY31"/>
  <c r="CU31"/>
  <c r="CR31"/>
  <c r="CI31"/>
  <c r="CA31"/>
  <c r="BS31"/>
  <c r="BJ17"/>
  <c r="BK15" i="262"/>
  <c r="BI17"/>
  <c r="AA33"/>
  <c r="AO44"/>
  <c r="AO17"/>
  <c r="Y31"/>
  <c r="BE61"/>
  <c r="BE44"/>
  <c r="AR20"/>
  <c r="AW17"/>
  <c r="U14"/>
  <c r="T33"/>
  <c r="BK28" i="261"/>
  <c r="BK16"/>
  <c r="Y33"/>
  <c r="AQ67"/>
  <c r="BE12"/>
  <c r="AX31"/>
  <c r="BI44" i="260"/>
  <c r="AO33"/>
  <c r="Y31"/>
  <c r="AQ37"/>
  <c r="AR31"/>
  <c r="AR12"/>
  <c r="AW33"/>
  <c r="BJ12"/>
  <c r="AR14" i="259"/>
  <c r="BJ44"/>
  <c r="BC61" i="258"/>
  <c r="AW44"/>
  <c r="AR37" i="248"/>
  <c r="AY14"/>
  <c r="DI28" i="263"/>
  <c r="H353" i="154"/>
  <c r="H373"/>
  <c r="BK57" i="263"/>
  <c r="BI61"/>
  <c r="BK28"/>
  <c r="BK36"/>
  <c r="BJ44"/>
  <c r="BJ20"/>
  <c r="BK60" i="262"/>
  <c r="BK38"/>
  <c r="BI20"/>
  <c r="BK19"/>
  <c r="AA61"/>
  <c r="AA51"/>
  <c r="AA17"/>
  <c r="AO61"/>
  <c r="AO51"/>
  <c r="AO20"/>
  <c r="CV31" i="255"/>
  <c r="CF31"/>
  <c r="CM31" i="248"/>
  <c r="BW31"/>
  <c r="DG31" i="260"/>
  <c r="DC31"/>
  <c r="CW31"/>
  <c r="CS31"/>
  <c r="CO31"/>
  <c r="CK31"/>
  <c r="CG31"/>
  <c r="CC31"/>
  <c r="BY31"/>
  <c r="BU31"/>
  <c r="BQ31"/>
  <c r="DF31" i="262"/>
  <c r="DB31"/>
  <c r="CV31"/>
  <c r="CR31"/>
  <c r="CN31"/>
  <c r="CJ31"/>
  <c r="CF31"/>
  <c r="CB31"/>
  <c r="BX31"/>
  <c r="BT31"/>
  <c r="CP31" i="263"/>
  <c r="BK30"/>
  <c r="BI14"/>
  <c r="BK13"/>
  <c r="BK29" i="262"/>
  <c r="AA14"/>
  <c r="AT14"/>
  <c r="AR17"/>
  <c r="BB61"/>
  <c r="BB37"/>
  <c r="AZ61"/>
  <c r="AZ37"/>
  <c r="AW61"/>
  <c r="U12"/>
  <c r="BJ17"/>
  <c r="BK15" i="261"/>
  <c r="BI17"/>
  <c r="AO17"/>
  <c r="AQ61"/>
  <c r="BE61"/>
  <c r="AW17"/>
  <c r="BK11" i="260"/>
  <c r="Y33"/>
  <c r="AQ67"/>
  <c r="BE12"/>
  <c r="AX31"/>
  <c r="BK60" i="259"/>
  <c r="AA61"/>
  <c r="AO20"/>
  <c r="V12"/>
  <c r="BC67"/>
  <c r="AO67" i="248"/>
  <c r="BE14"/>
  <c r="T61"/>
  <c r="DG12" i="263"/>
  <c r="DC12"/>
  <c r="CY12"/>
  <c r="CU12"/>
  <c r="CU23" s="1"/>
  <c r="CQ12"/>
  <c r="CM12"/>
  <c r="CI12"/>
  <c r="CE12"/>
  <c r="CA12"/>
  <c r="BW12"/>
  <c r="BS12"/>
  <c r="DE14" i="257"/>
  <c r="CW14"/>
  <c r="CO14"/>
  <c r="CG14"/>
  <c r="BY14"/>
  <c r="DD14" i="255"/>
  <c r="CV14"/>
  <c r="CN14"/>
  <c r="CF14"/>
  <c r="BX14"/>
  <c r="DG14" i="256"/>
  <c r="CY14"/>
  <c r="CQ14"/>
  <c r="CI14"/>
  <c r="CA14"/>
  <c r="BS14"/>
  <c r="DB14" i="248"/>
  <c r="CT14"/>
  <c r="CL14"/>
  <c r="CD14"/>
  <c r="BV14"/>
  <c r="DA14" i="258"/>
  <c r="CS14"/>
  <c r="CK14"/>
  <c r="CC14"/>
  <c r="BU14"/>
  <c r="CZ14" i="259"/>
  <c r="CR14"/>
  <c r="CJ14"/>
  <c r="CB14"/>
  <c r="BT14"/>
  <c r="DC14" i="260"/>
  <c r="CU14"/>
  <c r="CM14"/>
  <c r="CE14"/>
  <c r="BW14"/>
  <c r="DF14" i="261"/>
  <c r="CX14"/>
  <c r="CP14"/>
  <c r="CH14"/>
  <c r="BZ14"/>
  <c r="DE14" i="262"/>
  <c r="CW14"/>
  <c r="CO14"/>
  <c r="CG14"/>
  <c r="BY14"/>
  <c r="DD14" i="263"/>
  <c r="CV14"/>
  <c r="CN14"/>
  <c r="CF14"/>
  <c r="BX14"/>
  <c r="DD17" i="256"/>
  <c r="CZ17"/>
  <c r="CV17"/>
  <c r="CR17"/>
  <c r="CN17"/>
  <c r="CJ17"/>
  <c r="CF17"/>
  <c r="CB17"/>
  <c r="BX17"/>
  <c r="BT17"/>
  <c r="DF17" i="248"/>
  <c r="DB17"/>
  <c r="CX17"/>
  <c r="CT17"/>
  <c r="CP17"/>
  <c r="CL17"/>
  <c r="CH17"/>
  <c r="CD17"/>
  <c r="BZ17"/>
  <c r="BV17"/>
  <c r="DD17" i="260"/>
  <c r="CZ17"/>
  <c r="CV17"/>
  <c r="CR17"/>
  <c r="CN17"/>
  <c r="CJ17"/>
  <c r="CF17"/>
  <c r="CB17"/>
  <c r="BX17"/>
  <c r="BT17"/>
  <c r="DF17" i="261"/>
  <c r="DB17"/>
  <c r="CX17"/>
  <c r="CT17"/>
  <c r="CP17"/>
  <c r="CL17"/>
  <c r="CH17"/>
  <c r="CD17"/>
  <c r="BZ17"/>
  <c r="BV17"/>
  <c r="DD20" i="257"/>
  <c r="CZ20"/>
  <c r="CV20"/>
  <c r="CR20"/>
  <c r="CN20"/>
  <c r="CJ20"/>
  <c r="CF20"/>
  <c r="CB20"/>
  <c r="BX20"/>
  <c r="BT20"/>
  <c r="DE20" i="256"/>
  <c r="DA20"/>
  <c r="CW20"/>
  <c r="CS20"/>
  <c r="CO20"/>
  <c r="CK20"/>
  <c r="CG20"/>
  <c r="CC20"/>
  <c r="BY20"/>
  <c r="BU20"/>
  <c r="DF20" i="258"/>
  <c r="DB20"/>
  <c r="CX20"/>
  <c r="CT20"/>
  <c r="CP20"/>
  <c r="CL20"/>
  <c r="CH20"/>
  <c r="CD20"/>
  <c r="BZ20"/>
  <c r="BV20"/>
  <c r="DG20" i="259"/>
  <c r="DC20"/>
  <c r="CY20"/>
  <c r="CU20"/>
  <c r="CQ20"/>
  <c r="CM20"/>
  <c r="CI20"/>
  <c r="CE20"/>
  <c r="CA20"/>
  <c r="BW20"/>
  <c r="BS20"/>
  <c r="DD20" i="260"/>
  <c r="CZ20"/>
  <c r="CV20"/>
  <c r="CR20"/>
  <c r="CN20"/>
  <c r="CJ20"/>
  <c r="CF20"/>
  <c r="CB20"/>
  <c r="BX20"/>
  <c r="BT20"/>
  <c r="DE20" i="262"/>
  <c r="DA20"/>
  <c r="CW20"/>
  <c r="CS20"/>
  <c r="CO20"/>
  <c r="CK20"/>
  <c r="CG20"/>
  <c r="CC20"/>
  <c r="BY20"/>
  <c r="BU20"/>
  <c r="DE31" i="257"/>
  <c r="DA31"/>
  <c r="CY31"/>
  <c r="CU31"/>
  <c r="CQ31"/>
  <c r="CM31"/>
  <c r="CI31"/>
  <c r="CE31"/>
  <c r="CA31"/>
  <c r="BW31"/>
  <c r="BS31"/>
  <c r="DI28"/>
  <c r="DD31" i="256"/>
  <c r="CX31"/>
  <c r="CT31"/>
  <c r="CP31"/>
  <c r="CL31"/>
  <c r="CH31"/>
  <c r="CD31"/>
  <c r="BZ31"/>
  <c r="BV31"/>
  <c r="BR31"/>
  <c r="DG31" i="258"/>
  <c r="DC31"/>
  <c r="CW31"/>
  <c r="CS31"/>
  <c r="CO31"/>
  <c r="CK31"/>
  <c r="CG31"/>
  <c r="CC31"/>
  <c r="BY31"/>
  <c r="BU31"/>
  <c r="BQ31"/>
  <c r="DF31" i="259"/>
  <c r="DB31"/>
  <c r="CV31"/>
  <c r="CR31"/>
  <c r="CN31"/>
  <c r="CJ31"/>
  <c r="CF31"/>
  <c r="CB31"/>
  <c r="BX31"/>
  <c r="BT31"/>
  <c r="DE31" i="261"/>
  <c r="DA31"/>
  <c r="CY31"/>
  <c r="CU31"/>
  <c r="CQ31"/>
  <c r="CM31"/>
  <c r="CI31"/>
  <c r="CE31"/>
  <c r="CA31"/>
  <c r="BW31"/>
  <c r="BS31"/>
  <c r="DI28"/>
  <c r="DD31" i="263"/>
  <c r="CX31"/>
  <c r="CT31"/>
  <c r="CK31"/>
  <c r="CC31"/>
  <c r="BU31"/>
  <c r="BI20"/>
  <c r="BK19"/>
  <c r="BK35" i="262"/>
  <c r="BK11"/>
  <c r="AA31"/>
  <c r="Y33"/>
  <c r="AQ67"/>
  <c r="AQ51"/>
  <c r="BE67"/>
  <c r="BE20"/>
  <c r="AY12"/>
  <c r="AX31"/>
  <c r="BK29" i="261"/>
  <c r="AO31"/>
  <c r="Y44"/>
  <c r="AO17" i="260"/>
  <c r="AQ61"/>
  <c r="BE61"/>
  <c r="BE68" s="1"/>
  <c r="AW17"/>
  <c r="AO12" i="259"/>
  <c r="X12" i="258"/>
  <c r="AO51" i="248"/>
  <c r="DG31" i="255"/>
  <c r="DC31"/>
  <c r="CW31"/>
  <c r="CS31"/>
  <c r="CO31"/>
  <c r="CK31"/>
  <c r="CG31"/>
  <c r="CC31"/>
  <c r="BY31"/>
  <c r="BU31"/>
  <c r="BQ31"/>
  <c r="DF31" i="248"/>
  <c r="DB31"/>
  <c r="CV31"/>
  <c r="CR31"/>
  <c r="CN31"/>
  <c r="CJ31"/>
  <c r="CF31"/>
  <c r="CB31"/>
  <c r="BX31"/>
  <c r="BT31"/>
  <c r="DF31" i="260"/>
  <c r="DB31"/>
  <c r="CV31"/>
  <c r="CR31"/>
  <c r="CN31"/>
  <c r="CJ31"/>
  <c r="CF31"/>
  <c r="CB31"/>
  <c r="BX31"/>
  <c r="BT31"/>
  <c r="DE31" i="262"/>
  <c r="DA31"/>
  <c r="CY31"/>
  <c r="CU31"/>
  <c r="CQ31"/>
  <c r="CM31"/>
  <c r="CI31"/>
  <c r="CE31"/>
  <c r="CA31"/>
  <c r="BW31"/>
  <c r="BS31"/>
  <c r="DI28"/>
  <c r="BK57"/>
  <c r="BI61"/>
  <c r="AV51"/>
  <c r="Y14"/>
  <c r="AQ20"/>
  <c r="BE17"/>
  <c r="BB67"/>
  <c r="BB51"/>
  <c r="BA67"/>
  <c r="BA51"/>
  <c r="AZ67"/>
  <c r="AZ51"/>
  <c r="AY67"/>
  <c r="AY51"/>
  <c r="AY33"/>
  <c r="AW67"/>
  <c r="AW51"/>
  <c r="BJ31"/>
  <c r="T31"/>
  <c r="BK35" i="261"/>
  <c r="BK11"/>
  <c r="AA31"/>
  <c r="AA33"/>
  <c r="BE44"/>
  <c r="BC31"/>
  <c r="BK18" i="260"/>
  <c r="AO31"/>
  <c r="Y44"/>
  <c r="BJ20"/>
  <c r="Y51" i="259"/>
  <c r="BE37"/>
  <c r="BC51"/>
  <c r="AX67" i="258"/>
  <c r="V44" i="248"/>
  <c r="CS12" i="263"/>
  <c r="CO12"/>
  <c r="CK12"/>
  <c r="CG12"/>
  <c r="CG23" s="1"/>
  <c r="CC12"/>
  <c r="BY12"/>
  <c r="BU12"/>
  <c r="DC14" i="257"/>
  <c r="CU14"/>
  <c r="CM14"/>
  <c r="CE14"/>
  <c r="BW14"/>
  <c r="DF14" i="255"/>
  <c r="CX14"/>
  <c r="CP14"/>
  <c r="CH14"/>
  <c r="BZ14"/>
  <c r="DE14" i="256"/>
  <c r="CW14"/>
  <c r="CO14"/>
  <c r="CG14"/>
  <c r="BY14"/>
  <c r="DD14" i="248"/>
  <c r="CV14"/>
  <c r="CN14"/>
  <c r="CF14"/>
  <c r="BX14"/>
  <c r="DG14" i="258"/>
  <c r="CY14"/>
  <c r="CQ14"/>
  <c r="CI14"/>
  <c r="CA14"/>
  <c r="BS14"/>
  <c r="DB14" i="259"/>
  <c r="CT14"/>
  <c r="CL14"/>
  <c r="CD14"/>
  <c r="BV14"/>
  <c r="DA14" i="260"/>
  <c r="CS14"/>
  <c r="CK14"/>
  <c r="CC14"/>
  <c r="BU14"/>
  <c r="CZ14" i="261"/>
  <c r="CR14"/>
  <c r="CJ14"/>
  <c r="CB14"/>
  <c r="BT14"/>
  <c r="DC14" i="262"/>
  <c r="CU14"/>
  <c r="CM14"/>
  <c r="CE14"/>
  <c r="BW14"/>
  <c r="DF14" i="263"/>
  <c r="CX14"/>
  <c r="CP14"/>
  <c r="CH14"/>
  <c r="BZ14"/>
  <c r="DD17" i="255"/>
  <c r="CZ17"/>
  <c r="CV17"/>
  <c r="CR17"/>
  <c r="CN17"/>
  <c r="CJ17"/>
  <c r="CF17"/>
  <c r="CB17"/>
  <c r="BX17"/>
  <c r="BT17"/>
  <c r="DF17" i="256"/>
  <c r="DB17"/>
  <c r="CX17"/>
  <c r="CT17"/>
  <c r="CP17"/>
  <c r="CL17"/>
  <c r="CH17"/>
  <c r="CD17"/>
  <c r="BZ17"/>
  <c r="BV17"/>
  <c r="DD17" i="259"/>
  <c r="CZ17"/>
  <c r="CV17"/>
  <c r="CR17"/>
  <c r="CN17"/>
  <c r="CJ17"/>
  <c r="CF17"/>
  <c r="CB17"/>
  <c r="BX17"/>
  <c r="BT17"/>
  <c r="DF17" i="260"/>
  <c r="DB17"/>
  <c r="CX17"/>
  <c r="CT17"/>
  <c r="CP17"/>
  <c r="CL17"/>
  <c r="CH17"/>
  <c r="CD17"/>
  <c r="BZ17"/>
  <c r="BV17"/>
  <c r="DD17" i="263"/>
  <c r="CZ17"/>
  <c r="CV17"/>
  <c r="CR17"/>
  <c r="CN17"/>
  <c r="CJ17"/>
  <c r="CF17"/>
  <c r="CB17"/>
  <c r="BX17"/>
  <c r="BT17"/>
  <c r="DE20" i="257"/>
  <c r="DA20"/>
  <c r="CW20"/>
  <c r="CS20"/>
  <c r="CO20"/>
  <c r="CK20"/>
  <c r="CG20"/>
  <c r="CC20"/>
  <c r="BY20"/>
  <c r="BU20"/>
  <c r="DF20" i="256"/>
  <c r="DB20"/>
  <c r="CX20"/>
  <c r="CT20"/>
  <c r="CP20"/>
  <c r="CL20"/>
  <c r="CH20"/>
  <c r="CD20"/>
  <c r="BZ20"/>
  <c r="BV20"/>
  <c r="DG20" i="258"/>
  <c r="DC20"/>
  <c r="CY20"/>
  <c r="CU20"/>
  <c r="CQ20"/>
  <c r="CM20"/>
  <c r="CI20"/>
  <c r="CE20"/>
  <c r="CA20"/>
  <c r="BW20"/>
  <c r="BS20"/>
  <c r="DE20" i="259"/>
  <c r="DA20"/>
  <c r="CW20"/>
  <c r="CS20"/>
  <c r="CO20"/>
  <c r="CK20"/>
  <c r="CG20"/>
  <c r="CC20"/>
  <c r="BY20"/>
  <c r="BU20"/>
  <c r="DG20" i="260"/>
  <c r="DC20"/>
  <c r="CY20"/>
  <c r="CU20"/>
  <c r="CQ20"/>
  <c r="CM20"/>
  <c r="CI20"/>
  <c r="CE20"/>
  <c r="CA20"/>
  <c r="BW20"/>
  <c r="BS20"/>
  <c r="DD20" i="262"/>
  <c r="CZ20"/>
  <c r="CV20"/>
  <c r="CR20"/>
  <c r="CN20"/>
  <c r="CJ20"/>
  <c r="CF20"/>
  <c r="CB20"/>
  <c r="BX20"/>
  <c r="BT20"/>
  <c r="DD31" i="257"/>
  <c r="CX31"/>
  <c r="CT31"/>
  <c r="CP31"/>
  <c r="CL31"/>
  <c r="CH31"/>
  <c r="CD31"/>
  <c r="BZ31"/>
  <c r="BV31"/>
  <c r="BR31"/>
  <c r="DG31" i="256"/>
  <c r="DC31"/>
  <c r="CW31"/>
  <c r="CS31"/>
  <c r="CO31"/>
  <c r="CK31"/>
  <c r="CG31"/>
  <c r="CC31"/>
  <c r="BY31"/>
  <c r="BU31"/>
  <c r="BQ31"/>
  <c r="DF31" i="258"/>
  <c r="DB31"/>
  <c r="CV31"/>
  <c r="CR31"/>
  <c r="CN31"/>
  <c r="CJ31"/>
  <c r="CF31"/>
  <c r="CB31"/>
  <c r="BX31"/>
  <c r="BT31"/>
  <c r="DE31" i="259"/>
  <c r="DA31"/>
  <c r="CY31"/>
  <c r="CU31"/>
  <c r="CQ31"/>
  <c r="CM31"/>
  <c r="CI31"/>
  <c r="CE31"/>
  <c r="CA31"/>
  <c r="BW31"/>
  <c r="BS31"/>
  <c r="DI28"/>
  <c r="DD31" i="261"/>
  <c r="CX31"/>
  <c r="CT31"/>
  <c r="CP31"/>
  <c r="CL31"/>
  <c r="CH31"/>
  <c r="CD31"/>
  <c r="BZ31"/>
  <c r="BV31"/>
  <c r="BR31"/>
  <c r="DG31" i="263"/>
  <c r="DC31"/>
  <c r="CW31"/>
  <c r="CS31"/>
  <c r="CM31"/>
  <c r="CE31"/>
  <c r="BW31"/>
  <c r="BK38"/>
  <c r="BJ33"/>
  <c r="BI44" i="262"/>
  <c r="AA44"/>
  <c r="AO33"/>
  <c r="AQ61"/>
  <c r="AQ37"/>
  <c r="AR31"/>
  <c r="AR12"/>
  <c r="BC31"/>
  <c r="AW33"/>
  <c r="BK57" i="261"/>
  <c r="BI61"/>
  <c r="AQ51"/>
  <c r="BE67"/>
  <c r="AY12"/>
  <c r="X44"/>
  <c r="BJ33"/>
  <c r="BK15" i="260"/>
  <c r="BI17"/>
  <c r="AA33"/>
  <c r="BE44"/>
  <c r="BC31"/>
  <c r="T61" i="259"/>
  <c r="AA17" i="258"/>
  <c r="Y61"/>
  <c r="AX51"/>
  <c r="X37"/>
  <c r="AA51" i="248"/>
  <c r="I353" i="154"/>
  <c r="I373"/>
  <c r="BI67" i="263"/>
  <c r="BK29"/>
  <c r="BK16"/>
  <c r="BJ12"/>
  <c r="BI37" i="262"/>
  <c r="BK34"/>
  <c r="BI12"/>
  <c r="BK10"/>
  <c r="AV33"/>
  <c r="AV17"/>
  <c r="AO67"/>
  <c r="AO12"/>
  <c r="Y61"/>
  <c r="Y51"/>
  <c r="Y17"/>
  <c r="BE51"/>
  <c r="AR37"/>
  <c r="AR14"/>
  <c r="BC61"/>
  <c r="BC51"/>
  <c r="BB33"/>
  <c r="BB17"/>
  <c r="AZ33"/>
  <c r="AZ17"/>
  <c r="AY37"/>
  <c r="AY14"/>
  <c r="AX61"/>
  <c r="AX51"/>
  <c r="AW12"/>
  <c r="X37"/>
  <c r="X12"/>
  <c r="T61"/>
  <c r="T44"/>
  <c r="BJ44"/>
  <c r="BJ20"/>
  <c r="BK60" i="261"/>
  <c r="BK38"/>
  <c r="BK19"/>
  <c r="BI20"/>
  <c r="AA61"/>
  <c r="AA51"/>
  <c r="AA17"/>
  <c r="AO61"/>
  <c r="AO51"/>
  <c r="AO20"/>
  <c r="V44"/>
  <c r="V12"/>
  <c r="AT33"/>
  <c r="AT17"/>
  <c r="BE37"/>
  <c r="BE14"/>
  <c r="AR51"/>
  <c r="BC67"/>
  <c r="BC33"/>
  <c r="BC17"/>
  <c r="BA33"/>
  <c r="BA17"/>
  <c r="AX67"/>
  <c r="AX33"/>
  <c r="AX17"/>
  <c r="AW44"/>
  <c r="AW20"/>
  <c r="BJ12"/>
  <c r="BI37" i="260"/>
  <c r="BK34"/>
  <c r="BI12"/>
  <c r="BK10"/>
  <c r="AV33"/>
  <c r="AV17"/>
  <c r="AO67"/>
  <c r="AO12"/>
  <c r="Y61"/>
  <c r="Y51"/>
  <c r="Y17"/>
  <c r="BE51"/>
  <c r="AR37"/>
  <c r="AR14"/>
  <c r="BC61"/>
  <c r="BC51"/>
  <c r="BB33"/>
  <c r="BB17"/>
  <c r="AZ33"/>
  <c r="AZ17"/>
  <c r="AY37"/>
  <c r="AY14"/>
  <c r="AX61"/>
  <c r="AX51"/>
  <c r="AW12"/>
  <c r="X37"/>
  <c r="X12"/>
  <c r="T61"/>
  <c r="T44"/>
  <c r="BI61" i="259"/>
  <c r="BK57"/>
  <c r="AV51"/>
  <c r="Y14"/>
  <c r="AQ20"/>
  <c r="BE17"/>
  <c r="BB67"/>
  <c r="BB33"/>
  <c r="BA33"/>
  <c r="AZ33"/>
  <c r="AY37"/>
  <c r="AV33" i="258"/>
  <c r="AO12"/>
  <c r="Y17"/>
  <c r="AR14"/>
  <c r="AX61"/>
  <c r="AX33"/>
  <c r="BK60" i="248"/>
  <c r="BK10"/>
  <c r="BI12"/>
  <c r="AO61"/>
  <c r="AO20"/>
  <c r="Y51"/>
  <c r="BE37"/>
  <c r="BC51"/>
  <c r="AX17"/>
  <c r="AW20"/>
  <c r="AL28"/>
  <c r="BJ12"/>
  <c r="BI20" i="256"/>
  <c r="BK19"/>
  <c r="CN31" i="263"/>
  <c r="CJ31"/>
  <c r="CF31"/>
  <c r="CB31"/>
  <c r="BX31"/>
  <c r="BT31"/>
  <c r="G353" i="154"/>
  <c r="G373"/>
  <c r="BI44" i="263"/>
  <c r="BK18"/>
  <c r="BK11"/>
  <c r="BJ37"/>
  <c r="BJ14"/>
  <c r="BK30" i="262"/>
  <c r="BK13"/>
  <c r="BI14"/>
  <c r="AA20"/>
  <c r="AV31"/>
  <c r="AV12"/>
  <c r="V61"/>
  <c r="Y20"/>
  <c r="AT31"/>
  <c r="AT12"/>
  <c r="AQ33"/>
  <c r="AQ17"/>
  <c r="BC12"/>
  <c r="BB44"/>
  <c r="BB20"/>
  <c r="BA31"/>
  <c r="BA12"/>
  <c r="AZ44"/>
  <c r="AZ20"/>
  <c r="AY31"/>
  <c r="AX12"/>
  <c r="U37"/>
  <c r="U17"/>
  <c r="T37"/>
  <c r="BK27" i="261"/>
  <c r="AA12"/>
  <c r="AV44"/>
  <c r="AV20"/>
  <c r="AO14"/>
  <c r="Y12"/>
  <c r="AT44"/>
  <c r="AT20"/>
  <c r="BC20"/>
  <c r="BB31"/>
  <c r="BB12"/>
  <c r="BA44"/>
  <c r="BA20"/>
  <c r="AZ31"/>
  <c r="AZ12"/>
  <c r="AX20"/>
  <c r="AW31"/>
  <c r="AW37"/>
  <c r="AW14"/>
  <c r="T51"/>
  <c r="BJ37"/>
  <c r="BJ14"/>
  <c r="BK30" i="260"/>
  <c r="BK13"/>
  <c r="BI14"/>
  <c r="AA20"/>
  <c r="AV31"/>
  <c r="AV12"/>
  <c r="V61"/>
  <c r="Y20"/>
  <c r="AT31"/>
  <c r="AT12"/>
  <c r="AQ33"/>
  <c r="AQ17"/>
  <c r="BC12"/>
  <c r="BB44"/>
  <c r="BB20"/>
  <c r="BA31"/>
  <c r="BA12"/>
  <c r="AZ44"/>
  <c r="AZ20"/>
  <c r="AY31"/>
  <c r="AX12"/>
  <c r="U37"/>
  <c r="U17"/>
  <c r="T37"/>
  <c r="BK38" i="259"/>
  <c r="AA51"/>
  <c r="AA17"/>
  <c r="AO67"/>
  <c r="AO51"/>
  <c r="V44"/>
  <c r="AT17"/>
  <c r="BE51"/>
  <c r="BC61"/>
  <c r="AX67"/>
  <c r="BK38" i="258"/>
  <c r="AO67"/>
  <c r="V44"/>
  <c r="BE14"/>
  <c r="T44"/>
  <c r="AA17" i="248"/>
  <c r="Y61"/>
  <c r="AT17"/>
  <c r="BC61"/>
  <c r="AX67"/>
  <c r="BK38" i="256"/>
  <c r="AA14" i="261"/>
  <c r="AV61"/>
  <c r="AV51"/>
  <c r="V17"/>
  <c r="AT37"/>
  <c r="AT14"/>
  <c r="AQ44"/>
  <c r="AQ20"/>
  <c r="BE33"/>
  <c r="BE17"/>
  <c r="BB67"/>
  <c r="BB37"/>
  <c r="BB14"/>
  <c r="BA61"/>
  <c r="BA51"/>
  <c r="AZ67"/>
  <c r="AZ37"/>
  <c r="AZ14"/>
  <c r="AY61"/>
  <c r="AY51"/>
  <c r="AW67"/>
  <c r="X61"/>
  <c r="U20"/>
  <c r="AL60"/>
  <c r="T31"/>
  <c r="BK57" i="260"/>
  <c r="BI61"/>
  <c r="BK28"/>
  <c r="BK36"/>
  <c r="AA14"/>
  <c r="AV61"/>
  <c r="AV51"/>
  <c r="V17"/>
  <c r="AT37"/>
  <c r="AT14"/>
  <c r="AQ44"/>
  <c r="AQ20"/>
  <c r="BE33"/>
  <c r="BE17"/>
  <c r="BB67"/>
  <c r="BB37"/>
  <c r="BB14"/>
  <c r="BA61"/>
  <c r="BA51"/>
  <c r="AZ67"/>
  <c r="AZ37"/>
  <c r="AZ14"/>
  <c r="AY61"/>
  <c r="AY51"/>
  <c r="AW67"/>
  <c r="X61"/>
  <c r="U20"/>
  <c r="AL60"/>
  <c r="T31"/>
  <c r="BI67" i="259"/>
  <c r="BK36"/>
  <c r="AV61"/>
  <c r="AV37"/>
  <c r="AT51"/>
  <c r="AQ44"/>
  <c r="AR33"/>
  <c r="BC37"/>
  <c r="BB17"/>
  <c r="BA17"/>
  <c r="AZ17"/>
  <c r="AW12"/>
  <c r="BJ20"/>
  <c r="BK34" i="258"/>
  <c r="BI37"/>
  <c r="AA61"/>
  <c r="AV17"/>
  <c r="V12"/>
  <c r="AR51"/>
  <c r="BC67"/>
  <c r="BC33"/>
  <c r="BB33"/>
  <c r="BA33"/>
  <c r="AZ33"/>
  <c r="AY37"/>
  <c r="AV33" i="248"/>
  <c r="AO12"/>
  <c r="Y17"/>
  <c r="AR14"/>
  <c r="AX61"/>
  <c r="AX33"/>
  <c r="BK60" i="256"/>
  <c r="BI12"/>
  <c r="BK10"/>
  <c r="AA17"/>
  <c r="AO61"/>
  <c r="AO51"/>
  <c r="AO20"/>
  <c r="V44"/>
  <c r="V12"/>
  <c r="AT33"/>
  <c r="AT17"/>
  <c r="BE37"/>
  <c r="BE14"/>
  <c r="AR51"/>
  <c r="BC67"/>
  <c r="BC33"/>
  <c r="BC17"/>
  <c r="BA33"/>
  <c r="BA17"/>
  <c r="AX67"/>
  <c r="AX33"/>
  <c r="AX17"/>
  <c r="AW44"/>
  <c r="AW20"/>
  <c r="AL28"/>
  <c r="BJ12"/>
  <c r="BK34" i="255"/>
  <c r="BI37"/>
  <c r="BK10"/>
  <c r="BI12"/>
  <c r="AV33"/>
  <c r="AV17"/>
  <c r="AO67"/>
  <c r="AO12"/>
  <c r="Y61"/>
  <c r="Y51"/>
  <c r="Y17"/>
  <c r="BE51"/>
  <c r="AR37"/>
  <c r="AR14"/>
  <c r="BC61"/>
  <c r="BC51"/>
  <c r="BB33"/>
  <c r="BB17"/>
  <c r="AZ33"/>
  <c r="AZ17"/>
  <c r="AY37"/>
  <c r="AY14"/>
  <c r="AX61"/>
  <c r="AX51"/>
  <c r="AW12"/>
  <c r="X37"/>
  <c r="X12"/>
  <c r="BJ14"/>
  <c r="AV31" i="257"/>
  <c r="AV12"/>
  <c r="AO14"/>
  <c r="AR33"/>
  <c r="BC37"/>
  <c r="BA37"/>
  <c r="Q37"/>
  <c r="K12"/>
  <c r="G17"/>
  <c r="I61"/>
  <c r="BJ37" i="260"/>
  <c r="BJ14"/>
  <c r="BK30" i="259"/>
  <c r="BI14"/>
  <c r="BK13"/>
  <c r="AA20"/>
  <c r="AV31"/>
  <c r="AV12"/>
  <c r="V61"/>
  <c r="Y20"/>
  <c r="AT31"/>
  <c r="AT12"/>
  <c r="AQ33"/>
  <c r="AQ17"/>
  <c r="BC12"/>
  <c r="BB44"/>
  <c r="BB20"/>
  <c r="BA31"/>
  <c r="BA12"/>
  <c r="AZ44"/>
  <c r="AZ20"/>
  <c r="AY31"/>
  <c r="AX12"/>
  <c r="U37"/>
  <c r="U17"/>
  <c r="T37"/>
  <c r="BK27" i="258"/>
  <c r="AA12"/>
  <c r="AV44"/>
  <c r="AV20"/>
  <c r="AO14"/>
  <c r="Y12"/>
  <c r="AT44"/>
  <c r="AT20"/>
  <c r="BC20"/>
  <c r="BB31"/>
  <c r="BB12"/>
  <c r="BA44"/>
  <c r="BA20"/>
  <c r="AZ31"/>
  <c r="AZ12"/>
  <c r="AX20"/>
  <c r="AW31"/>
  <c r="AW37"/>
  <c r="AW14"/>
  <c r="T51"/>
  <c r="BJ37"/>
  <c r="BJ14"/>
  <c r="BK30" i="248"/>
  <c r="BI14"/>
  <c r="BK13"/>
  <c r="AA20"/>
  <c r="AV31"/>
  <c r="AV12"/>
  <c r="V61"/>
  <c r="Y20"/>
  <c r="AT31"/>
  <c r="AT12"/>
  <c r="AQ33"/>
  <c r="AQ17"/>
  <c r="BC12"/>
  <c r="BB44"/>
  <c r="BB20"/>
  <c r="BA31"/>
  <c r="BA12"/>
  <c r="AZ44"/>
  <c r="AZ20"/>
  <c r="AY31"/>
  <c r="AX12"/>
  <c r="U37"/>
  <c r="U17"/>
  <c r="T37"/>
  <c r="BK27" i="256"/>
  <c r="AA12"/>
  <c r="AV44"/>
  <c r="AV20"/>
  <c r="AO14"/>
  <c r="Y12"/>
  <c r="AT44"/>
  <c r="AT20"/>
  <c r="BC20"/>
  <c r="BB31"/>
  <c r="BB12"/>
  <c r="BA44"/>
  <c r="BA20"/>
  <c r="AZ31"/>
  <c r="AZ12"/>
  <c r="AX20"/>
  <c r="AW31"/>
  <c r="AW37"/>
  <c r="AW14"/>
  <c r="T51"/>
  <c r="BJ37"/>
  <c r="BJ14"/>
  <c r="BK30" i="255"/>
  <c r="BI14"/>
  <c r="BK13"/>
  <c r="AA20"/>
  <c r="AV31"/>
  <c r="AV12"/>
  <c r="V61"/>
  <c r="Y20"/>
  <c r="AT31"/>
  <c r="AT12"/>
  <c r="AQ33"/>
  <c r="AQ17"/>
  <c r="BC12"/>
  <c r="BB44"/>
  <c r="BB20"/>
  <c r="BA31"/>
  <c r="BA12"/>
  <c r="AZ44"/>
  <c r="AZ20"/>
  <c r="AY31"/>
  <c r="AX12"/>
  <c r="U17"/>
  <c r="BK35" i="257"/>
  <c r="BK11"/>
  <c r="AA31"/>
  <c r="BE33"/>
  <c r="BB51"/>
  <c r="BA67"/>
  <c r="AZ51"/>
  <c r="AY67"/>
  <c r="AY33"/>
  <c r="R35"/>
  <c r="J14"/>
  <c r="BB37" i="259"/>
  <c r="BB14"/>
  <c r="BA61"/>
  <c r="BA51"/>
  <c r="AZ67"/>
  <c r="AZ37"/>
  <c r="AZ14"/>
  <c r="AY61"/>
  <c r="AY51"/>
  <c r="AW67"/>
  <c r="X61"/>
  <c r="U20"/>
  <c r="AL60"/>
  <c r="T31"/>
  <c r="BI61" i="258"/>
  <c r="BK57"/>
  <c r="BK28"/>
  <c r="BK36"/>
  <c r="AA14"/>
  <c r="AV61"/>
  <c r="AV51"/>
  <c r="V17"/>
  <c r="AT37"/>
  <c r="AT14"/>
  <c r="AQ44"/>
  <c r="AQ20"/>
  <c r="BE33"/>
  <c r="BE17"/>
  <c r="BB67"/>
  <c r="BB37"/>
  <c r="BB14"/>
  <c r="BA61"/>
  <c r="BA51"/>
  <c r="AZ67"/>
  <c r="AZ37"/>
  <c r="AZ14"/>
  <c r="AY61"/>
  <c r="AY51"/>
  <c r="AW67"/>
  <c r="X61"/>
  <c r="U20"/>
  <c r="AL60"/>
  <c r="T31"/>
  <c r="BK57" i="248"/>
  <c r="BI61"/>
  <c r="BK28"/>
  <c r="BK36"/>
  <c r="AA14"/>
  <c r="AV61"/>
  <c r="AV51"/>
  <c r="V17"/>
  <c r="AT37"/>
  <c r="AT14"/>
  <c r="AQ44"/>
  <c r="AQ20"/>
  <c r="BE33"/>
  <c r="BE17"/>
  <c r="BB67"/>
  <c r="BB37"/>
  <c r="BB14"/>
  <c r="BA61"/>
  <c r="BA51"/>
  <c r="AZ67"/>
  <c r="AZ37"/>
  <c r="AZ14"/>
  <c r="AY61"/>
  <c r="AY51"/>
  <c r="AW67"/>
  <c r="X61"/>
  <c r="U20"/>
  <c r="AL60"/>
  <c r="T31"/>
  <c r="BI61" i="256"/>
  <c r="BK57"/>
  <c r="BK28"/>
  <c r="BK36"/>
  <c r="AA14"/>
  <c r="AV61"/>
  <c r="AV51"/>
  <c r="V17"/>
  <c r="AT37"/>
  <c r="AT14"/>
  <c r="AQ44"/>
  <c r="AQ20"/>
  <c r="BE33"/>
  <c r="BE17"/>
  <c r="BB67"/>
  <c r="BB37"/>
  <c r="BB14"/>
  <c r="BA61"/>
  <c r="BA51"/>
  <c r="AZ67"/>
  <c r="AZ37"/>
  <c r="AZ14"/>
  <c r="AY61"/>
  <c r="AY51"/>
  <c r="AW67"/>
  <c r="X61"/>
  <c r="U20"/>
  <c r="AL60"/>
  <c r="T31"/>
  <c r="BK57" i="255"/>
  <c r="BI61"/>
  <c r="BK28"/>
  <c r="BK36"/>
  <c r="AA14"/>
  <c r="AV61"/>
  <c r="AV51"/>
  <c r="V17"/>
  <c r="AT37"/>
  <c r="AT14"/>
  <c r="AQ44"/>
  <c r="AQ20"/>
  <c r="BE33"/>
  <c r="BE17"/>
  <c r="BB67"/>
  <c r="BB37"/>
  <c r="BB14"/>
  <c r="BA61"/>
  <c r="BA51"/>
  <c r="AZ67"/>
  <c r="AZ37"/>
  <c r="AZ14"/>
  <c r="AY61"/>
  <c r="AY51"/>
  <c r="AW67"/>
  <c r="X61"/>
  <c r="AA12" i="257"/>
  <c r="AX37"/>
  <c r="X37"/>
  <c r="BJ31"/>
  <c r="K33"/>
  <c r="J44"/>
  <c r="BJ33" i="260"/>
  <c r="BJ17"/>
  <c r="BK35" i="259"/>
  <c r="BI17"/>
  <c r="BK15"/>
  <c r="AA31"/>
  <c r="AO31"/>
  <c r="AO33"/>
  <c r="AO17"/>
  <c r="Y31"/>
  <c r="Y33"/>
  <c r="AQ61"/>
  <c r="AQ51"/>
  <c r="BE67"/>
  <c r="BE12"/>
  <c r="AR44"/>
  <c r="AR20"/>
  <c r="BC31"/>
  <c r="AY20"/>
  <c r="AX31"/>
  <c r="AW33"/>
  <c r="AW17"/>
  <c r="X44"/>
  <c r="U14"/>
  <c r="T33"/>
  <c r="BI44" i="258"/>
  <c r="BK18"/>
  <c r="BK11"/>
  <c r="AA44"/>
  <c r="AA33"/>
  <c r="AO44"/>
  <c r="Y44"/>
  <c r="AQ67"/>
  <c r="AQ37"/>
  <c r="AQ14"/>
  <c r="BE61"/>
  <c r="BE44"/>
  <c r="BE20"/>
  <c r="AR31"/>
  <c r="AR12"/>
  <c r="AY12"/>
  <c r="BJ33"/>
  <c r="BJ17"/>
  <c r="BK35" i="248"/>
  <c r="BI17"/>
  <c r="BK15"/>
  <c r="AA31"/>
  <c r="AO31"/>
  <c r="AO33"/>
  <c r="AO17"/>
  <c r="Y31"/>
  <c r="Y33"/>
  <c r="AQ61"/>
  <c r="AQ51"/>
  <c r="BE67"/>
  <c r="BE12"/>
  <c r="AR44"/>
  <c r="AR20"/>
  <c r="BC31"/>
  <c r="AY20"/>
  <c r="AX31"/>
  <c r="AW33"/>
  <c r="AW17"/>
  <c r="X44"/>
  <c r="U14"/>
  <c r="T33"/>
  <c r="BI44" i="256"/>
  <c r="BK18"/>
  <c r="BK11"/>
  <c r="AA44"/>
  <c r="AA33"/>
  <c r="AO44"/>
  <c r="Y44"/>
  <c r="AQ67"/>
  <c r="AQ37"/>
  <c r="BE61"/>
  <c r="BE44"/>
  <c r="V44" i="262"/>
  <c r="V12"/>
  <c r="AT33"/>
  <c r="AT17"/>
  <c r="BE37"/>
  <c r="BE14"/>
  <c r="AR51"/>
  <c r="BC67"/>
  <c r="BC33"/>
  <c r="BC17"/>
  <c r="BA33"/>
  <c r="BA17"/>
  <c r="AX67"/>
  <c r="AX33"/>
  <c r="AX17"/>
  <c r="AW44"/>
  <c r="AW20"/>
  <c r="BJ12"/>
  <c r="BK34" i="261"/>
  <c r="BI37"/>
  <c r="BK10"/>
  <c r="BI12"/>
  <c r="AV33"/>
  <c r="AV17"/>
  <c r="AO67"/>
  <c r="AO12"/>
  <c r="Y61"/>
  <c r="Y51"/>
  <c r="Y17"/>
  <c r="BE51"/>
  <c r="AR37"/>
  <c r="AR14"/>
  <c r="BC61"/>
  <c r="BC51"/>
  <c r="BB33"/>
  <c r="BB17"/>
  <c r="AZ33"/>
  <c r="AZ17"/>
  <c r="AY37"/>
  <c r="AY14"/>
  <c r="AX61"/>
  <c r="AX68" s="1"/>
  <c r="AX51"/>
  <c r="AW12"/>
  <c r="X37"/>
  <c r="X12"/>
  <c r="T61"/>
  <c r="T44"/>
  <c r="BJ44"/>
  <c r="BJ20"/>
  <c r="BK60" i="260"/>
  <c r="BK38"/>
  <c r="BI20"/>
  <c r="BK19"/>
  <c r="AA61"/>
  <c r="AA51"/>
  <c r="AA17"/>
  <c r="AO61"/>
  <c r="AO51"/>
  <c r="AO20"/>
  <c r="V44"/>
  <c r="V12"/>
  <c r="AT33"/>
  <c r="AT17"/>
  <c r="BE37"/>
  <c r="BE14"/>
  <c r="AR51"/>
  <c r="BC67"/>
  <c r="BC33"/>
  <c r="BC17"/>
  <c r="BA33"/>
  <c r="BA17"/>
  <c r="AX67"/>
  <c r="AX33"/>
  <c r="AX17"/>
  <c r="AW44"/>
  <c r="AW20"/>
  <c r="BK28" i="259"/>
  <c r="BK16"/>
  <c r="AV14"/>
  <c r="V17"/>
  <c r="AT61"/>
  <c r="AT37"/>
  <c r="AQ31"/>
  <c r="AQ12"/>
  <c r="BE33"/>
  <c r="BC14"/>
  <c r="AX17"/>
  <c r="AW20"/>
  <c r="BJ12"/>
  <c r="BI20" i="258"/>
  <c r="BK19"/>
  <c r="BC17"/>
  <c r="BB17"/>
  <c r="BA17"/>
  <c r="AZ17"/>
  <c r="AW12"/>
  <c r="BJ20"/>
  <c r="BK34" i="248"/>
  <c r="BI37"/>
  <c r="AA61"/>
  <c r="AV17"/>
  <c r="V12"/>
  <c r="AR51"/>
  <c r="BC67"/>
  <c r="BC33"/>
  <c r="BB33"/>
  <c r="BA33"/>
  <c r="AZ33"/>
  <c r="AY37"/>
  <c r="CL31" i="263"/>
  <c r="CH31"/>
  <c r="CD31"/>
  <c r="BZ31"/>
  <c r="BV31"/>
  <c r="BR31"/>
  <c r="BK35"/>
  <c r="BK15"/>
  <c r="BI17"/>
  <c r="BJ31"/>
  <c r="BK27" i="262"/>
  <c r="AA12"/>
  <c r="AV44"/>
  <c r="AV20"/>
  <c r="AO14"/>
  <c r="Y12"/>
  <c r="AT44"/>
  <c r="AT20"/>
  <c r="BC20"/>
  <c r="BB31"/>
  <c r="BB12"/>
  <c r="BA44"/>
  <c r="BA20"/>
  <c r="AZ31"/>
  <c r="AZ12"/>
  <c r="AX20"/>
  <c r="AW31"/>
  <c r="AW37"/>
  <c r="AW14"/>
  <c r="T51"/>
  <c r="BJ37"/>
  <c r="BJ14"/>
  <c r="BK30" i="261"/>
  <c r="BK13"/>
  <c r="BI14"/>
  <c r="AA20"/>
  <c r="AV31"/>
  <c r="AV12"/>
  <c r="V61"/>
  <c r="Y20"/>
  <c r="AT31"/>
  <c r="AT12"/>
  <c r="AQ33"/>
  <c r="AQ17"/>
  <c r="BC12"/>
  <c r="BB44"/>
  <c r="BB20"/>
  <c r="BA31"/>
  <c r="BA12"/>
  <c r="AZ44"/>
  <c r="AZ20"/>
  <c r="AY31"/>
  <c r="AX12"/>
  <c r="U37"/>
  <c r="U17"/>
  <c r="T37"/>
  <c r="BK27" i="260"/>
  <c r="AA12"/>
  <c r="AV44"/>
  <c r="AV20"/>
  <c r="AO14"/>
  <c r="Y12"/>
  <c r="AT44"/>
  <c r="AT20"/>
  <c r="BC20"/>
  <c r="BB31"/>
  <c r="BB12"/>
  <c r="BA44"/>
  <c r="BA20"/>
  <c r="AZ31"/>
  <c r="AZ12"/>
  <c r="AX20"/>
  <c r="AW31"/>
  <c r="AW37"/>
  <c r="AW14"/>
  <c r="T51"/>
  <c r="BJ44"/>
  <c r="Y61" i="259"/>
  <c r="AT33"/>
  <c r="BE14"/>
  <c r="AR37"/>
  <c r="AX51"/>
  <c r="AW44"/>
  <c r="X37"/>
  <c r="X12"/>
  <c r="AA51" i="258"/>
  <c r="AO51"/>
  <c r="AT33"/>
  <c r="AR37"/>
  <c r="AY14"/>
  <c r="T61"/>
  <c r="BJ44"/>
  <c r="BE51" i="248"/>
  <c r="AX51"/>
  <c r="AW44"/>
  <c r="X37"/>
  <c r="X12"/>
  <c r="AA51" i="256"/>
  <c r="AV37" i="261"/>
  <c r="AV14"/>
  <c r="Y14"/>
  <c r="AT61"/>
  <c r="AT51"/>
  <c r="AQ31"/>
  <c r="AQ12"/>
  <c r="AR33"/>
  <c r="AR17"/>
  <c r="BC37"/>
  <c r="BC14"/>
  <c r="BB61"/>
  <c r="BB51"/>
  <c r="BA67"/>
  <c r="BA37"/>
  <c r="BA14"/>
  <c r="AZ61"/>
  <c r="AZ51"/>
  <c r="AY67"/>
  <c r="AY33"/>
  <c r="AY17"/>
  <c r="AX37"/>
  <c r="AX14"/>
  <c r="AW61"/>
  <c r="AW51"/>
  <c r="BJ31"/>
  <c r="U12"/>
  <c r="BI67" i="260"/>
  <c r="BK29"/>
  <c r="BK16"/>
  <c r="AV37"/>
  <c r="AV14"/>
  <c r="Y14"/>
  <c r="AT61"/>
  <c r="AT51"/>
  <c r="AQ31"/>
  <c r="AQ12"/>
  <c r="AR33"/>
  <c r="AR17"/>
  <c r="BC37"/>
  <c r="BC14"/>
  <c r="BB61"/>
  <c r="BB51"/>
  <c r="BA67"/>
  <c r="BA37"/>
  <c r="BA14"/>
  <c r="AZ61"/>
  <c r="AZ51"/>
  <c r="AY67"/>
  <c r="AY33"/>
  <c r="AY17"/>
  <c r="AX37"/>
  <c r="AX14"/>
  <c r="AW61"/>
  <c r="AW51"/>
  <c r="BJ31"/>
  <c r="U12"/>
  <c r="BK29" i="259"/>
  <c r="AA14"/>
  <c r="AT14"/>
  <c r="AR17"/>
  <c r="AX61"/>
  <c r="AX68" s="1"/>
  <c r="AX33"/>
  <c r="BK60" i="258"/>
  <c r="BK10"/>
  <c r="BI12"/>
  <c r="AO61"/>
  <c r="AO20"/>
  <c r="Y51"/>
  <c r="BE37"/>
  <c r="BC51"/>
  <c r="AX17"/>
  <c r="AW20"/>
  <c r="BJ12"/>
  <c r="BK19" i="248"/>
  <c r="BI20"/>
  <c r="BC17"/>
  <c r="BB17"/>
  <c r="BA17"/>
  <c r="AZ17"/>
  <c r="AW12"/>
  <c r="BJ20"/>
  <c r="BI37" i="256"/>
  <c r="BK34"/>
  <c r="AA61"/>
  <c r="AV33"/>
  <c r="AV17"/>
  <c r="AO67"/>
  <c r="AO12"/>
  <c r="Y61"/>
  <c r="Y51"/>
  <c r="Y17"/>
  <c r="BE51"/>
  <c r="AR37"/>
  <c r="AR14"/>
  <c r="BC61"/>
  <c r="BC51"/>
  <c r="BB33"/>
  <c r="BB17"/>
  <c r="AZ33"/>
  <c r="AZ17"/>
  <c r="AY37"/>
  <c r="AY14"/>
  <c r="AX61"/>
  <c r="AX51"/>
  <c r="AW12"/>
  <c r="X37"/>
  <c r="X12"/>
  <c r="T61"/>
  <c r="T44"/>
  <c r="BJ44"/>
  <c r="BJ20"/>
  <c r="BK60" i="255"/>
  <c r="BK38"/>
  <c r="BK19"/>
  <c r="BI20"/>
  <c r="AA61"/>
  <c r="AA51"/>
  <c r="AA17"/>
  <c r="AO61"/>
  <c r="AO51"/>
  <c r="AO20"/>
  <c r="V44"/>
  <c r="V12"/>
  <c r="AT33"/>
  <c r="AT17"/>
  <c r="BE37"/>
  <c r="BE14"/>
  <c r="AR51"/>
  <c r="BC67"/>
  <c r="BC33"/>
  <c r="BC17"/>
  <c r="BA33"/>
  <c r="BA17"/>
  <c r="AX67"/>
  <c r="AX33"/>
  <c r="AX17"/>
  <c r="AW44"/>
  <c r="AW20"/>
  <c r="BK30" i="257"/>
  <c r="BK13"/>
  <c r="BI14"/>
  <c r="AV20"/>
  <c r="AT51"/>
  <c r="BB37"/>
  <c r="AZ37"/>
  <c r="AW61"/>
  <c r="Q61"/>
  <c r="R39"/>
  <c r="G44"/>
  <c r="I37"/>
  <c r="BK27" i="259"/>
  <c r="AA12"/>
  <c r="AV44"/>
  <c r="AV20"/>
  <c r="AO14"/>
  <c r="Y12"/>
  <c r="AT44"/>
  <c r="AT20"/>
  <c r="BC20"/>
  <c r="BB31"/>
  <c r="BB12"/>
  <c r="BA44"/>
  <c r="BA20"/>
  <c r="AZ31"/>
  <c r="AZ12"/>
  <c r="AX20"/>
  <c r="AW31"/>
  <c r="AW37"/>
  <c r="AW14"/>
  <c r="T51"/>
  <c r="BJ37"/>
  <c r="BJ14"/>
  <c r="BK30" i="258"/>
  <c r="BI14"/>
  <c r="BK13"/>
  <c r="AA20"/>
  <c r="AV31"/>
  <c r="AV12"/>
  <c r="V61"/>
  <c r="Y20"/>
  <c r="AT31"/>
  <c r="AT12"/>
  <c r="AQ33"/>
  <c r="AQ17"/>
  <c r="BC12"/>
  <c r="BB44"/>
  <c r="BB20"/>
  <c r="BA31"/>
  <c r="BA12"/>
  <c r="AZ44"/>
  <c r="AZ20"/>
  <c r="AY31"/>
  <c r="AX12"/>
  <c r="U37"/>
  <c r="U17"/>
  <c r="T37"/>
  <c r="BK27" i="248"/>
  <c r="AA12"/>
  <c r="AV44"/>
  <c r="AV20"/>
  <c r="AO14"/>
  <c r="Y12"/>
  <c r="AT44"/>
  <c r="AT20"/>
  <c r="BC20"/>
  <c r="BB31"/>
  <c r="BB12"/>
  <c r="BA44"/>
  <c r="BA20"/>
  <c r="AZ31"/>
  <c r="AZ12"/>
  <c r="AX20"/>
  <c r="AW31"/>
  <c r="AW37"/>
  <c r="AW14"/>
  <c r="T51"/>
  <c r="BJ37"/>
  <c r="BJ14"/>
  <c r="BK30" i="256"/>
  <c r="BI14"/>
  <c r="BK13"/>
  <c r="AA20"/>
  <c r="AV31"/>
  <c r="AV12"/>
  <c r="V61"/>
  <c r="Y20"/>
  <c r="AT31"/>
  <c r="AT12"/>
  <c r="AQ33"/>
  <c r="AQ17"/>
  <c r="BC12"/>
  <c r="BB44"/>
  <c r="BB20"/>
  <c r="BA31"/>
  <c r="BA12"/>
  <c r="AZ44"/>
  <c r="AZ20"/>
  <c r="AY31"/>
  <c r="AX12"/>
  <c r="U37"/>
  <c r="U17"/>
  <c r="T37"/>
  <c r="BK27" i="255"/>
  <c r="AA12"/>
  <c r="AV44"/>
  <c r="AV20"/>
  <c r="AO14"/>
  <c r="Y12"/>
  <c r="AT44"/>
  <c r="AT20"/>
  <c r="BC20"/>
  <c r="BB31"/>
  <c r="BB12"/>
  <c r="BA44"/>
  <c r="BA20"/>
  <c r="AZ31"/>
  <c r="AZ12"/>
  <c r="AX20"/>
  <c r="AW31"/>
  <c r="AW37"/>
  <c r="AW14"/>
  <c r="T37"/>
  <c r="BK18" i="257"/>
  <c r="AO31"/>
  <c r="AT61"/>
  <c r="AQ20"/>
  <c r="BB67"/>
  <c r="BA51"/>
  <c r="AZ67"/>
  <c r="AY51"/>
  <c r="AX14"/>
  <c r="Q51"/>
  <c r="R59"/>
  <c r="I51"/>
  <c r="BB61" i="259"/>
  <c r="BB51"/>
  <c r="BA67"/>
  <c r="BA37"/>
  <c r="BA14"/>
  <c r="AZ61"/>
  <c r="AZ51"/>
  <c r="AY67"/>
  <c r="AY33"/>
  <c r="AY17"/>
  <c r="AX37"/>
  <c r="AX14"/>
  <c r="AW61"/>
  <c r="AW51"/>
  <c r="BJ31"/>
  <c r="U12"/>
  <c r="BI67" i="258"/>
  <c r="BK29"/>
  <c r="BK16"/>
  <c r="AV37"/>
  <c r="AV14"/>
  <c r="Y14"/>
  <c r="AT61"/>
  <c r="AT51"/>
  <c r="AQ31"/>
  <c r="AQ12"/>
  <c r="AR33"/>
  <c r="AR17"/>
  <c r="BC37"/>
  <c r="BC14"/>
  <c r="BB61"/>
  <c r="BB51"/>
  <c r="BA67"/>
  <c r="BA37"/>
  <c r="BA14"/>
  <c r="AZ61"/>
  <c r="AZ51"/>
  <c r="AY67"/>
  <c r="AY33"/>
  <c r="AY17"/>
  <c r="AX37"/>
  <c r="AX14"/>
  <c r="AW61"/>
  <c r="AW51"/>
  <c r="BJ31"/>
  <c r="U12"/>
  <c r="BI67" i="248"/>
  <c r="BK29"/>
  <c r="BK16"/>
  <c r="AV37"/>
  <c r="AV14"/>
  <c r="Y14"/>
  <c r="AT61"/>
  <c r="AT51"/>
  <c r="AQ31"/>
  <c r="AQ12"/>
  <c r="AR33"/>
  <c r="AR17"/>
  <c r="BC37"/>
  <c r="BC14"/>
  <c r="BB61"/>
  <c r="BB51"/>
  <c r="BA67"/>
  <c r="BA37"/>
  <c r="BA14"/>
  <c r="AZ61"/>
  <c r="AZ51"/>
  <c r="AY67"/>
  <c r="AY33"/>
  <c r="AY17"/>
  <c r="AX37"/>
  <c r="AX14"/>
  <c r="AW61"/>
  <c r="AW51"/>
  <c r="BJ31"/>
  <c r="U12"/>
  <c r="BI67" i="256"/>
  <c r="BK29"/>
  <c r="BK16"/>
  <c r="AV37"/>
  <c r="AV14"/>
  <c r="Y14"/>
  <c r="AT61"/>
  <c r="AT51"/>
  <c r="AQ31"/>
  <c r="AQ12"/>
  <c r="AR33"/>
  <c r="AR17"/>
  <c r="BC37"/>
  <c r="BC14"/>
  <c r="BB61"/>
  <c r="BB51"/>
  <c r="BA67"/>
  <c r="BA37"/>
  <c r="BA14"/>
  <c r="AZ61"/>
  <c r="AZ51"/>
  <c r="AY67"/>
  <c r="AY33"/>
  <c r="AY17"/>
  <c r="AX37"/>
  <c r="AX14"/>
  <c r="AW61"/>
  <c r="AW51"/>
  <c r="BJ31"/>
  <c r="U12"/>
  <c r="BI67" i="255"/>
  <c r="BK29"/>
  <c r="BK16"/>
  <c r="AV37"/>
  <c r="AV14"/>
  <c r="Y14"/>
  <c r="AT61"/>
  <c r="AT51"/>
  <c r="AQ31"/>
  <c r="AQ12"/>
  <c r="AR33"/>
  <c r="AR17"/>
  <c r="BC37"/>
  <c r="BC14"/>
  <c r="BB61"/>
  <c r="BB51"/>
  <c r="BA67"/>
  <c r="BA37"/>
  <c r="BA14"/>
  <c r="AZ61"/>
  <c r="AZ51"/>
  <c r="AY67"/>
  <c r="AY33"/>
  <c r="AY17"/>
  <c r="AX37"/>
  <c r="AX14"/>
  <c r="AW61"/>
  <c r="AW51"/>
  <c r="BJ31"/>
  <c r="U14"/>
  <c r="T33"/>
  <c r="BJ37"/>
  <c r="BK27" i="257"/>
  <c r="AA20"/>
  <c r="AV44"/>
  <c r="V61"/>
  <c r="AT14"/>
  <c r="AQ44"/>
  <c r="AR17"/>
  <c r="BB61"/>
  <c r="BB68" s="1"/>
  <c r="BA61"/>
  <c r="AZ61"/>
  <c r="AZ68" s="1"/>
  <c r="AY61"/>
  <c r="X61"/>
  <c r="U17"/>
  <c r="T37"/>
  <c r="R47"/>
  <c r="BI44" i="259"/>
  <c r="BK18"/>
  <c r="BK11"/>
  <c r="AA44"/>
  <c r="AA33"/>
  <c r="AO44"/>
  <c r="Y44"/>
  <c r="AQ67"/>
  <c r="AQ37"/>
  <c r="AQ14"/>
  <c r="BE61"/>
  <c r="BE44"/>
  <c r="BE20"/>
  <c r="AR31"/>
  <c r="AR12"/>
  <c r="AY12"/>
  <c r="BJ33"/>
  <c r="BJ17"/>
  <c r="BK35" i="258"/>
  <c r="BK15"/>
  <c r="BI17"/>
  <c r="AA31"/>
  <c r="AO31"/>
  <c r="AO33"/>
  <c r="AO17"/>
  <c r="Y31"/>
  <c r="Y33"/>
  <c r="AQ61"/>
  <c r="AQ51"/>
  <c r="BE67"/>
  <c r="BE12"/>
  <c r="AR44"/>
  <c r="AR20"/>
  <c r="BC31"/>
  <c r="AY20"/>
  <c r="AX31"/>
  <c r="AW33"/>
  <c r="AW17"/>
  <c r="X44"/>
  <c r="U14"/>
  <c r="T33"/>
  <c r="BI44" i="248"/>
  <c r="BK18"/>
  <c r="BK11"/>
  <c r="AA44"/>
  <c r="AA33"/>
  <c r="AO44"/>
  <c r="Y44"/>
  <c r="AQ67"/>
  <c r="AQ37"/>
  <c r="AQ14"/>
  <c r="BE61"/>
  <c r="BE44"/>
  <c r="BE20"/>
  <c r="AR31"/>
  <c r="AR12"/>
  <c r="AY12"/>
  <c r="BJ33"/>
  <c r="BJ17"/>
  <c r="BK35" i="256"/>
  <c r="BK15"/>
  <c r="BI17"/>
  <c r="AA31"/>
  <c r="AO31"/>
  <c r="AO33"/>
  <c r="AO17"/>
  <c r="Y31"/>
  <c r="Y33"/>
  <c r="AQ61"/>
  <c r="AQ51"/>
  <c r="AQ14"/>
  <c r="BE20"/>
  <c r="AR31"/>
  <c r="BE67"/>
  <c r="BE12"/>
  <c r="AR44"/>
  <c r="AR20"/>
  <c r="BC31"/>
  <c r="AY20"/>
  <c r="AX31"/>
  <c r="AW33"/>
  <c r="AW17"/>
  <c r="X44"/>
  <c r="U14"/>
  <c r="T33"/>
  <c r="BI44" i="255"/>
  <c r="BK18"/>
  <c r="BK11"/>
  <c r="AA44"/>
  <c r="AA33"/>
  <c r="AO44"/>
  <c r="Y44"/>
  <c r="AQ67"/>
  <c r="AQ37"/>
  <c r="AQ14"/>
  <c r="BE61"/>
  <c r="BE44"/>
  <c r="BE20"/>
  <c r="AR31"/>
  <c r="AR12"/>
  <c r="AY12"/>
  <c r="U37"/>
  <c r="BJ33"/>
  <c r="BI44" i="257"/>
  <c r="AA44"/>
  <c r="AO33"/>
  <c r="AT37"/>
  <c r="BC14"/>
  <c r="BA14"/>
  <c r="AY17"/>
  <c r="AW67"/>
  <c r="U37"/>
  <c r="T51"/>
  <c r="N17"/>
  <c r="H33"/>
  <c r="R43"/>
  <c r="P33"/>
  <c r="I67"/>
  <c r="I20"/>
  <c r="Q44" i="255"/>
  <c r="N67"/>
  <c r="N51"/>
  <c r="L67"/>
  <c r="L51"/>
  <c r="R60"/>
  <c r="R36"/>
  <c r="P14"/>
  <c r="O61"/>
  <c r="O37"/>
  <c r="O14"/>
  <c r="M14"/>
  <c r="I33"/>
  <c r="Q61" i="256"/>
  <c r="Q37"/>
  <c r="N12"/>
  <c r="L33"/>
  <c r="K14"/>
  <c r="H44"/>
  <c r="R40"/>
  <c r="P44"/>
  <c r="J44"/>
  <c r="L20" i="248"/>
  <c r="G37"/>
  <c r="R34"/>
  <c r="M44"/>
  <c r="L20" i="258"/>
  <c r="I12"/>
  <c r="N12" i="259"/>
  <c r="K14"/>
  <c r="R42"/>
  <c r="T61" i="255"/>
  <c r="T44"/>
  <c r="BJ44"/>
  <c r="BJ20"/>
  <c r="BK60" i="257"/>
  <c r="BK38"/>
  <c r="BI20"/>
  <c r="BK19"/>
  <c r="AA61"/>
  <c r="AA51"/>
  <c r="AA17"/>
  <c r="AO61"/>
  <c r="AO51"/>
  <c r="AO20"/>
  <c r="V44"/>
  <c r="Y44"/>
  <c r="AQ67"/>
  <c r="AQ37"/>
  <c r="AQ14"/>
  <c r="BE61"/>
  <c r="BE44"/>
  <c r="BE20"/>
  <c r="AR31"/>
  <c r="AR12"/>
  <c r="AY12"/>
  <c r="U20"/>
  <c r="AL60"/>
  <c r="T31"/>
  <c r="BJ33"/>
  <c r="BJ17"/>
  <c r="N33"/>
  <c r="N12"/>
  <c r="L33"/>
  <c r="K14"/>
  <c r="H44"/>
  <c r="G67"/>
  <c r="R65"/>
  <c r="G51"/>
  <c r="R46"/>
  <c r="R38"/>
  <c r="O33"/>
  <c r="O17"/>
  <c r="M17"/>
  <c r="J61"/>
  <c r="J37"/>
  <c r="J20"/>
  <c r="Q61" i="255"/>
  <c r="Q37"/>
  <c r="N17"/>
  <c r="K12"/>
  <c r="H33"/>
  <c r="R47"/>
  <c r="R39"/>
  <c r="G44"/>
  <c r="P33"/>
  <c r="J33"/>
  <c r="I17"/>
  <c r="N33" i="256"/>
  <c r="L14"/>
  <c r="K61"/>
  <c r="K37"/>
  <c r="K20"/>
  <c r="H61"/>
  <c r="R46"/>
  <c r="G51"/>
  <c r="O17"/>
  <c r="I61"/>
  <c r="I37"/>
  <c r="Q61" i="248"/>
  <c r="Q37"/>
  <c r="L12"/>
  <c r="G51"/>
  <c r="R46"/>
  <c r="L67" i="258"/>
  <c r="O37"/>
  <c r="R38" i="259"/>
  <c r="P17"/>
  <c r="O17"/>
  <c r="V12" i="257"/>
  <c r="AT33"/>
  <c r="AT17"/>
  <c r="BE37"/>
  <c r="BE14"/>
  <c r="AR51"/>
  <c r="BC67"/>
  <c r="BC33"/>
  <c r="BC17"/>
  <c r="BA33"/>
  <c r="BA17"/>
  <c r="AX67"/>
  <c r="AX33"/>
  <c r="AX17"/>
  <c r="AW44"/>
  <c r="AW20"/>
  <c r="BJ44"/>
  <c r="BJ20"/>
  <c r="Q12"/>
  <c r="N44"/>
  <c r="N14"/>
  <c r="L44"/>
  <c r="K67"/>
  <c r="K51"/>
  <c r="H67"/>
  <c r="H51"/>
  <c r="R45"/>
  <c r="P67"/>
  <c r="P51"/>
  <c r="P12"/>
  <c r="O44"/>
  <c r="O20"/>
  <c r="M37"/>
  <c r="M20"/>
  <c r="I33"/>
  <c r="I12"/>
  <c r="Q17" i="255"/>
  <c r="N20"/>
  <c r="L12"/>
  <c r="K44"/>
  <c r="H17"/>
  <c r="R57"/>
  <c r="G61"/>
  <c r="R42"/>
  <c r="R34"/>
  <c r="G37"/>
  <c r="G20"/>
  <c r="P44"/>
  <c r="P17"/>
  <c r="M44"/>
  <c r="J14"/>
  <c r="I61"/>
  <c r="I37"/>
  <c r="I20"/>
  <c r="Q33" i="256"/>
  <c r="L67"/>
  <c r="L51"/>
  <c r="H33"/>
  <c r="R36"/>
  <c r="P17"/>
  <c r="O33"/>
  <c r="O14"/>
  <c r="M17"/>
  <c r="I33"/>
  <c r="Q12" i="248"/>
  <c r="L67"/>
  <c r="H17"/>
  <c r="G20"/>
  <c r="Q33" i="258"/>
  <c r="L61"/>
  <c r="L68" s="1"/>
  <c r="R36"/>
  <c r="P14"/>
  <c r="Q17" i="259"/>
  <c r="N20"/>
  <c r="H44"/>
  <c r="G61"/>
  <c r="R57"/>
  <c r="P44"/>
  <c r="M17"/>
  <c r="U12" i="255"/>
  <c r="BI67" i="257"/>
  <c r="BK29"/>
  <c r="BK16"/>
  <c r="AV37"/>
  <c r="AV14"/>
  <c r="Y20"/>
  <c r="AT31"/>
  <c r="AT12"/>
  <c r="AQ33"/>
  <c r="AQ17"/>
  <c r="BC12"/>
  <c r="BB44"/>
  <c r="BB20"/>
  <c r="BA31"/>
  <c r="BA12"/>
  <c r="AZ44"/>
  <c r="AZ20"/>
  <c r="AY31"/>
  <c r="AX12"/>
  <c r="X44"/>
  <c r="T61"/>
  <c r="T44"/>
  <c r="BJ37"/>
  <c r="BJ14"/>
  <c r="Q44"/>
  <c r="N67"/>
  <c r="N51"/>
  <c r="L67"/>
  <c r="L51"/>
  <c r="R60"/>
  <c r="R36"/>
  <c r="P14"/>
  <c r="O61"/>
  <c r="O37"/>
  <c r="O14"/>
  <c r="M14"/>
  <c r="J33"/>
  <c r="I17"/>
  <c r="Q33" i="255"/>
  <c r="L14"/>
  <c r="K61"/>
  <c r="K37"/>
  <c r="K20"/>
  <c r="H61"/>
  <c r="H37"/>
  <c r="H20"/>
  <c r="R41"/>
  <c r="G14"/>
  <c r="P61"/>
  <c r="P37"/>
  <c r="O12"/>
  <c r="J67"/>
  <c r="J51"/>
  <c r="Q44" i="256"/>
  <c r="N67"/>
  <c r="N51"/>
  <c r="N17"/>
  <c r="K12"/>
  <c r="H17"/>
  <c r="R42"/>
  <c r="G20"/>
  <c r="P14"/>
  <c r="O51"/>
  <c r="M14"/>
  <c r="J14"/>
  <c r="I51"/>
  <c r="Q67" i="248"/>
  <c r="N20"/>
  <c r="R65"/>
  <c r="G67"/>
  <c r="O33"/>
  <c r="J44"/>
  <c r="N44" i="258"/>
  <c r="H14"/>
  <c r="L33" i="259"/>
  <c r="R46"/>
  <c r="G51"/>
  <c r="I67"/>
  <c r="I51"/>
  <c r="Q61" i="260"/>
  <c r="Q37"/>
  <c r="N17"/>
  <c r="K12"/>
  <c r="H33"/>
  <c r="R40"/>
  <c r="P14"/>
  <c r="O51"/>
  <c r="Q33" i="261"/>
  <c r="K61"/>
  <c r="K37"/>
  <c r="H67"/>
  <c r="R41"/>
  <c r="I12"/>
  <c r="N20" i="262"/>
  <c r="K12"/>
  <c r="G44"/>
  <c r="R39"/>
  <c r="J51"/>
  <c r="L33" i="263"/>
  <c r="K14"/>
  <c r="H44"/>
  <c r="R40"/>
  <c r="J61"/>
  <c r="Z51" i="257"/>
  <c r="AU37"/>
  <c r="AP44" i="255"/>
  <c r="AN17"/>
  <c r="BG15"/>
  <c r="R59" i="256"/>
  <c r="R43"/>
  <c r="R35"/>
  <c r="G17"/>
  <c r="M33"/>
  <c r="N33" i="248"/>
  <c r="L14"/>
  <c r="K61"/>
  <c r="K37"/>
  <c r="K20"/>
  <c r="H61"/>
  <c r="H37"/>
  <c r="H20"/>
  <c r="R41"/>
  <c r="G14"/>
  <c r="P61"/>
  <c r="P37"/>
  <c r="O12"/>
  <c r="J67"/>
  <c r="J51"/>
  <c r="J12"/>
  <c r="I44"/>
  <c r="Q14" i="258"/>
  <c r="N61"/>
  <c r="N37"/>
  <c r="K33"/>
  <c r="R59"/>
  <c r="R43"/>
  <c r="R35"/>
  <c r="G17"/>
  <c r="M33"/>
  <c r="I33"/>
  <c r="Q12" i="259"/>
  <c r="N44"/>
  <c r="N14"/>
  <c r="L44"/>
  <c r="K67"/>
  <c r="K51"/>
  <c r="H67"/>
  <c r="H51"/>
  <c r="R45"/>
  <c r="P67"/>
  <c r="P51"/>
  <c r="P12"/>
  <c r="O44"/>
  <c r="O20"/>
  <c r="M37"/>
  <c r="M20"/>
  <c r="J33"/>
  <c r="I12"/>
  <c r="Q17" i="260"/>
  <c r="N20"/>
  <c r="L12"/>
  <c r="K44"/>
  <c r="H17"/>
  <c r="R45"/>
  <c r="G14"/>
  <c r="P51"/>
  <c r="P12"/>
  <c r="M14"/>
  <c r="J33"/>
  <c r="Q17" i="261"/>
  <c r="N33"/>
  <c r="N12"/>
  <c r="K44"/>
  <c r="AR12" i="256"/>
  <c r="AY12"/>
  <c r="BJ33"/>
  <c r="BJ17"/>
  <c r="BK35" i="255"/>
  <c r="BI17"/>
  <c r="BK15"/>
  <c r="AA31"/>
  <c r="AO31"/>
  <c r="AO33"/>
  <c r="AO17"/>
  <c r="Y31"/>
  <c r="Y33"/>
  <c r="AQ61"/>
  <c r="AQ51"/>
  <c r="BE67"/>
  <c r="BE12"/>
  <c r="AR44"/>
  <c r="AR20"/>
  <c r="BC31"/>
  <c r="AY20"/>
  <c r="AX31"/>
  <c r="AW33"/>
  <c r="AW17"/>
  <c r="X44"/>
  <c r="T51"/>
  <c r="BJ17"/>
  <c r="BK15" i="257"/>
  <c r="BI17"/>
  <c r="AA33"/>
  <c r="AO44"/>
  <c r="AO17"/>
  <c r="Y14"/>
  <c r="AQ31"/>
  <c r="AQ12"/>
  <c r="BE17"/>
  <c r="BB14"/>
  <c r="AZ14"/>
  <c r="AW51"/>
  <c r="Q67"/>
  <c r="M33"/>
  <c r="Q14" i="255"/>
  <c r="N61"/>
  <c r="N37"/>
  <c r="L61"/>
  <c r="L37"/>
  <c r="L20"/>
  <c r="H14"/>
  <c r="R40"/>
  <c r="R32"/>
  <c r="G33"/>
  <c r="O67"/>
  <c r="O51"/>
  <c r="Q67" i="256"/>
  <c r="Q51"/>
  <c r="N20"/>
  <c r="L12"/>
  <c r="K44"/>
  <c r="H14"/>
  <c r="G33"/>
  <c r="R32"/>
  <c r="N44" i="248"/>
  <c r="L61"/>
  <c r="L37"/>
  <c r="G61"/>
  <c r="R57"/>
  <c r="P44"/>
  <c r="M17"/>
  <c r="O67" i="258"/>
  <c r="O14"/>
  <c r="K44" i="259"/>
  <c r="G20"/>
  <c r="AL28" i="255"/>
  <c r="BJ12"/>
  <c r="BI37" i="257"/>
  <c r="BK34"/>
  <c r="BI12"/>
  <c r="BK10"/>
  <c r="AV33"/>
  <c r="AV17"/>
  <c r="AO67"/>
  <c r="AO12"/>
  <c r="Y31"/>
  <c r="Y33"/>
  <c r="AQ61"/>
  <c r="AQ51"/>
  <c r="BE67"/>
  <c r="BE12"/>
  <c r="AR44"/>
  <c r="AR20"/>
  <c r="BC31"/>
  <c r="AY20"/>
  <c r="AX31"/>
  <c r="AW33"/>
  <c r="AW17"/>
  <c r="U12"/>
  <c r="Q17"/>
  <c r="N20"/>
  <c r="L12"/>
  <c r="K44"/>
  <c r="H17"/>
  <c r="G61"/>
  <c r="R57"/>
  <c r="R42"/>
  <c r="G37"/>
  <c r="R34"/>
  <c r="G20"/>
  <c r="P44"/>
  <c r="P17"/>
  <c r="M44"/>
  <c r="J67"/>
  <c r="J51"/>
  <c r="Q67" i="255"/>
  <c r="Q51"/>
  <c r="K33"/>
  <c r="R59"/>
  <c r="R43"/>
  <c r="R35"/>
  <c r="G17"/>
  <c r="M33"/>
  <c r="J12"/>
  <c r="I44"/>
  <c r="I12"/>
  <c r="Q17" i="256"/>
  <c r="N14"/>
  <c r="L44"/>
  <c r="K67"/>
  <c r="K51"/>
  <c r="H67"/>
  <c r="H51"/>
  <c r="R65"/>
  <c r="G67"/>
  <c r="R38"/>
  <c r="O61"/>
  <c r="O37"/>
  <c r="I20"/>
  <c r="L33" i="248"/>
  <c r="R40" i="258"/>
  <c r="O61"/>
  <c r="O68" s="1"/>
  <c r="M14"/>
  <c r="R65" i="259"/>
  <c r="G67"/>
  <c r="O33"/>
  <c r="Y61" i="257"/>
  <c r="Y51"/>
  <c r="Y17"/>
  <c r="BE51"/>
  <c r="AR37"/>
  <c r="AR14"/>
  <c r="BC61"/>
  <c r="BC51"/>
  <c r="BB33"/>
  <c r="BB17"/>
  <c r="AZ33"/>
  <c r="AZ17"/>
  <c r="AY37"/>
  <c r="AY14"/>
  <c r="AX61"/>
  <c r="AX51"/>
  <c r="AW12"/>
  <c r="X12"/>
  <c r="U14"/>
  <c r="T33"/>
  <c r="BJ12"/>
  <c r="Q33"/>
  <c r="L14"/>
  <c r="K61"/>
  <c r="K37"/>
  <c r="K20"/>
  <c r="H61"/>
  <c r="H37"/>
  <c r="H20"/>
  <c r="R41"/>
  <c r="G14"/>
  <c r="P61"/>
  <c r="P37"/>
  <c r="O12"/>
  <c r="N33" i="255"/>
  <c r="N12"/>
  <c r="L33"/>
  <c r="K14"/>
  <c r="H44"/>
  <c r="R65"/>
  <c r="G67"/>
  <c r="R46"/>
  <c r="G51"/>
  <c r="R38"/>
  <c r="O33"/>
  <c r="O17"/>
  <c r="M17"/>
  <c r="J44"/>
  <c r="I67"/>
  <c r="I51"/>
  <c r="Q12" i="256"/>
  <c r="N44"/>
  <c r="L61"/>
  <c r="L37"/>
  <c r="L20"/>
  <c r="R60"/>
  <c r="M44"/>
  <c r="Q33" i="248"/>
  <c r="L51"/>
  <c r="K14"/>
  <c r="H44"/>
  <c r="R42"/>
  <c r="I33"/>
  <c r="Q12" i="258"/>
  <c r="L37"/>
  <c r="R60"/>
  <c r="O51"/>
  <c r="J33"/>
  <c r="N33" i="259"/>
  <c r="H17"/>
  <c r="G37"/>
  <c r="R34"/>
  <c r="M44"/>
  <c r="U20" i="255"/>
  <c r="AL60"/>
  <c r="T31"/>
  <c r="BI61" i="257"/>
  <c r="BK57"/>
  <c r="BK28"/>
  <c r="BK36"/>
  <c r="AA14"/>
  <c r="AV61"/>
  <c r="AV51"/>
  <c r="V17"/>
  <c r="Y12"/>
  <c r="AT44"/>
  <c r="AT20"/>
  <c r="BC20"/>
  <c r="BB31"/>
  <c r="BB12"/>
  <c r="BA44"/>
  <c r="BA20"/>
  <c r="AZ31"/>
  <c r="AZ12"/>
  <c r="AX20"/>
  <c r="AW31"/>
  <c r="AW37"/>
  <c r="AW14"/>
  <c r="AL28"/>
  <c r="Q14"/>
  <c r="N61"/>
  <c r="N37"/>
  <c r="L61"/>
  <c r="L37"/>
  <c r="L20"/>
  <c r="H14"/>
  <c r="R40"/>
  <c r="R32"/>
  <c r="G33"/>
  <c r="O67"/>
  <c r="O51"/>
  <c r="J12"/>
  <c r="I44"/>
  <c r="Q12" i="255"/>
  <c r="N44"/>
  <c r="N14"/>
  <c r="L44"/>
  <c r="K67"/>
  <c r="K51"/>
  <c r="H67"/>
  <c r="H51"/>
  <c r="R45"/>
  <c r="P67"/>
  <c r="P51"/>
  <c r="P12"/>
  <c r="O44"/>
  <c r="O20"/>
  <c r="M37"/>
  <c r="M20"/>
  <c r="J61"/>
  <c r="J37"/>
  <c r="J20"/>
  <c r="Q14" i="256"/>
  <c r="N61"/>
  <c r="N37"/>
  <c r="K33"/>
  <c r="G61"/>
  <c r="R57"/>
  <c r="R34"/>
  <c r="G37"/>
  <c r="O67"/>
  <c r="I67"/>
  <c r="Q51" i="248"/>
  <c r="N12"/>
  <c r="K44"/>
  <c r="H14"/>
  <c r="R38"/>
  <c r="P17"/>
  <c r="O17"/>
  <c r="L51" i="258"/>
  <c r="R32"/>
  <c r="G33"/>
  <c r="L12" i="259"/>
  <c r="J14"/>
  <c r="I61"/>
  <c r="I37"/>
  <c r="I20"/>
  <c r="Q67" i="260"/>
  <c r="Q51"/>
  <c r="K33"/>
  <c r="G33"/>
  <c r="R32"/>
  <c r="O67"/>
  <c r="I33"/>
  <c r="Q12" i="261"/>
  <c r="N14"/>
  <c r="L44"/>
  <c r="K20"/>
  <c r="H51"/>
  <c r="P61"/>
  <c r="P37"/>
  <c r="O44"/>
  <c r="J33"/>
  <c r="Q17" i="262"/>
  <c r="N33"/>
  <c r="N12"/>
  <c r="K44"/>
  <c r="R47"/>
  <c r="G17"/>
  <c r="P44"/>
  <c r="O17"/>
  <c r="M33"/>
  <c r="J67"/>
  <c r="J12"/>
  <c r="L12" i="263"/>
  <c r="H17"/>
  <c r="R32"/>
  <c r="G33"/>
  <c r="J37"/>
  <c r="W51" i="257"/>
  <c r="Z14"/>
  <c r="BG13"/>
  <c r="AN14"/>
  <c r="Z17" i="255"/>
  <c r="BG27"/>
  <c r="R47" i="256"/>
  <c r="R39"/>
  <c r="G44"/>
  <c r="P33"/>
  <c r="J33"/>
  <c r="I12"/>
  <c r="Q17" i="248"/>
  <c r="N14"/>
  <c r="L44"/>
  <c r="K67"/>
  <c r="K51"/>
  <c r="H67"/>
  <c r="H51"/>
  <c r="R45"/>
  <c r="P67"/>
  <c r="P51"/>
  <c r="P12"/>
  <c r="O44"/>
  <c r="O20"/>
  <c r="M37"/>
  <c r="M20"/>
  <c r="J61"/>
  <c r="J68" s="1"/>
  <c r="J37"/>
  <c r="J20"/>
  <c r="I17"/>
  <c r="Q44" i="258"/>
  <c r="N67"/>
  <c r="N51"/>
  <c r="N17"/>
  <c r="K12"/>
  <c r="H33"/>
  <c r="R47"/>
  <c r="G44"/>
  <c r="R39"/>
  <c r="P33"/>
  <c r="J44"/>
  <c r="Q33" i="259"/>
  <c r="L14"/>
  <c r="K61"/>
  <c r="K37"/>
  <c r="K20"/>
  <c r="H61"/>
  <c r="H68" s="1"/>
  <c r="H37"/>
  <c r="H20"/>
  <c r="R41"/>
  <c r="G14"/>
  <c r="P61"/>
  <c r="P68" s="1"/>
  <c r="P37"/>
  <c r="O12"/>
  <c r="N33" i="260"/>
  <c r="N12"/>
  <c r="L33"/>
  <c r="K14"/>
  <c r="H44"/>
  <c r="R60"/>
  <c r="P67"/>
  <c r="O14"/>
  <c r="I12"/>
  <c r="N20" i="261"/>
  <c r="G67"/>
  <c r="R65"/>
  <c r="R38"/>
  <c r="I61"/>
  <c r="I37"/>
  <c r="Q61" i="262"/>
  <c r="Q37"/>
  <c r="N17"/>
  <c r="G51"/>
  <c r="R46"/>
  <c r="M17"/>
  <c r="I20"/>
  <c r="K61" i="263"/>
  <c r="K37"/>
  <c r="H67"/>
  <c r="R47"/>
  <c r="G17"/>
  <c r="P33"/>
  <c r="I20"/>
  <c r="AP20" i="257"/>
  <c r="R60" i="248"/>
  <c r="R36"/>
  <c r="P14"/>
  <c r="O61"/>
  <c r="O37"/>
  <c r="O14"/>
  <c r="M14"/>
  <c r="J14"/>
  <c r="I61"/>
  <c r="I37"/>
  <c r="I20"/>
  <c r="Q67" i="258"/>
  <c r="Q51"/>
  <c r="N20"/>
  <c r="L12"/>
  <c r="K44"/>
  <c r="H17"/>
  <c r="G61"/>
  <c r="R57"/>
  <c r="R42"/>
  <c r="G37"/>
  <c r="R34"/>
  <c r="G20"/>
  <c r="P44"/>
  <c r="P17"/>
  <c r="M44"/>
  <c r="J67"/>
  <c r="J51"/>
  <c r="J12"/>
  <c r="I44"/>
  <c r="Q14" i="259"/>
  <c r="N61"/>
  <c r="N37"/>
  <c r="L61"/>
  <c r="L37"/>
  <c r="L20"/>
  <c r="H14"/>
  <c r="R40"/>
  <c r="G33"/>
  <c r="R32"/>
  <c r="O67"/>
  <c r="O51"/>
  <c r="I33"/>
  <c r="Q12" i="260"/>
  <c r="N44"/>
  <c r="N14"/>
  <c r="L44"/>
  <c r="K67"/>
  <c r="K51"/>
  <c r="H67"/>
  <c r="H51"/>
  <c r="R57"/>
  <c r="G61"/>
  <c r="O61"/>
  <c r="O37"/>
  <c r="O12"/>
  <c r="M37"/>
  <c r="N44" i="261"/>
  <c r="K67"/>
  <c r="H61"/>
  <c r="H68" s="1"/>
  <c r="H37"/>
  <c r="R45"/>
  <c r="G14"/>
  <c r="P51"/>
  <c r="P12"/>
  <c r="O20"/>
  <c r="M20"/>
  <c r="L12" i="262"/>
  <c r="H33"/>
  <c r="R43"/>
  <c r="J20"/>
  <c r="I44"/>
  <c r="N20" i="263"/>
  <c r="R60"/>
  <c r="O20"/>
  <c r="AU61" i="257"/>
  <c r="AN61"/>
  <c r="W51" i="255"/>
  <c r="H37" i="256"/>
  <c r="H20"/>
  <c r="R41"/>
  <c r="G14"/>
  <c r="P61"/>
  <c r="P37"/>
  <c r="O12"/>
  <c r="J67"/>
  <c r="J51"/>
  <c r="J12"/>
  <c r="I44"/>
  <c r="Q14" i="248"/>
  <c r="N61"/>
  <c r="N37"/>
  <c r="K33"/>
  <c r="R59"/>
  <c r="R43"/>
  <c r="R35"/>
  <c r="G17"/>
  <c r="M33"/>
  <c r="M52" s="1"/>
  <c r="N33" i="258"/>
  <c r="L14"/>
  <c r="K61"/>
  <c r="K37"/>
  <c r="K20"/>
  <c r="H61"/>
  <c r="H37"/>
  <c r="H20"/>
  <c r="R41"/>
  <c r="G14"/>
  <c r="P61"/>
  <c r="P37"/>
  <c r="O12"/>
  <c r="I67"/>
  <c r="I51"/>
  <c r="Q61" i="259"/>
  <c r="Q37"/>
  <c r="N17"/>
  <c r="K12"/>
  <c r="H33"/>
  <c r="R47"/>
  <c r="R39"/>
  <c r="G44"/>
  <c r="P33"/>
  <c r="J61"/>
  <c r="J37"/>
  <c r="J20"/>
  <c r="I17"/>
  <c r="Q44" i="260"/>
  <c r="N67"/>
  <c r="N51"/>
  <c r="L67"/>
  <c r="L51"/>
  <c r="R65"/>
  <c r="G67"/>
  <c r="P61"/>
  <c r="P68" s="1"/>
  <c r="P37"/>
  <c r="O44"/>
  <c r="L33" i="261"/>
  <c r="K14"/>
  <c r="H44"/>
  <c r="G61"/>
  <c r="R57"/>
  <c r="R34"/>
  <c r="G37"/>
  <c r="O17"/>
  <c r="M17"/>
  <c r="J14"/>
  <c r="I51"/>
  <c r="Q67" i="262"/>
  <c r="K14"/>
  <c r="H44"/>
  <c r="G61"/>
  <c r="R57"/>
  <c r="R34"/>
  <c r="G37"/>
  <c r="J14"/>
  <c r="I51"/>
  <c r="Q67" i="263"/>
  <c r="Q17"/>
  <c r="N33"/>
  <c r="K67"/>
  <c r="H61"/>
  <c r="H37"/>
  <c r="R43"/>
  <c r="P17"/>
  <c r="O33"/>
  <c r="I61"/>
  <c r="BG16" i="257"/>
  <c r="AP51" i="255"/>
  <c r="AN33"/>
  <c r="Z61" i="256"/>
  <c r="AU51"/>
  <c r="BG65"/>
  <c r="AN67"/>
  <c r="BG46"/>
  <c r="AN51"/>
  <c r="BF44"/>
  <c r="AU61" i="248"/>
  <c r="AN61"/>
  <c r="W51" i="260"/>
  <c r="AP20" i="255"/>
  <c r="Z44"/>
  <c r="AU20"/>
  <c r="BG59"/>
  <c r="BF37"/>
  <c r="AU31" i="256"/>
  <c r="AU12"/>
  <c r="AN31"/>
  <c r="BG28"/>
  <c r="AP12" i="248"/>
  <c r="BF61"/>
  <c r="AU33" i="259"/>
  <c r="BF20"/>
  <c r="R59" i="260"/>
  <c r="R43"/>
  <c r="R35"/>
  <c r="G17"/>
  <c r="M33"/>
  <c r="J67"/>
  <c r="J51"/>
  <c r="J12"/>
  <c r="I44"/>
  <c r="Q14" i="261"/>
  <c r="N61"/>
  <c r="N37"/>
  <c r="L61"/>
  <c r="L37"/>
  <c r="L20"/>
  <c r="H14"/>
  <c r="R40"/>
  <c r="G33"/>
  <c r="R32"/>
  <c r="O67"/>
  <c r="O51"/>
  <c r="I33"/>
  <c r="Q12" i="262"/>
  <c r="N44"/>
  <c r="N14"/>
  <c r="L44"/>
  <c r="K67"/>
  <c r="K51"/>
  <c r="H67"/>
  <c r="H51"/>
  <c r="R45"/>
  <c r="P67"/>
  <c r="P51"/>
  <c r="P12"/>
  <c r="O44"/>
  <c r="O20"/>
  <c r="M37"/>
  <c r="M20"/>
  <c r="J33"/>
  <c r="I12"/>
  <c r="Q12" i="263"/>
  <c r="N44"/>
  <c r="L61"/>
  <c r="L37"/>
  <c r="L20"/>
  <c r="H14"/>
  <c r="G61"/>
  <c r="R57"/>
  <c r="R42"/>
  <c r="G37"/>
  <c r="R34"/>
  <c r="G20"/>
  <c r="P44"/>
  <c r="J67"/>
  <c r="F353" i="154"/>
  <c r="F373"/>
  <c r="BF12" i="257"/>
  <c r="AP31" i="255"/>
  <c r="AP17"/>
  <c r="W37"/>
  <c r="AU33"/>
  <c r="BG48"/>
  <c r="BG18"/>
  <c r="BF44"/>
  <c r="AP20" i="256"/>
  <c r="Z14"/>
  <c r="AN61"/>
  <c r="Z51" i="248"/>
  <c r="AU37"/>
  <c r="AP12" i="258"/>
  <c r="R42" i="260"/>
  <c r="G37"/>
  <c r="R34"/>
  <c r="G20"/>
  <c r="P44"/>
  <c r="P17"/>
  <c r="M44"/>
  <c r="I67"/>
  <c r="I51"/>
  <c r="Q61" i="261"/>
  <c r="Q37"/>
  <c r="N17"/>
  <c r="K12"/>
  <c r="H33"/>
  <c r="H52" s="1"/>
  <c r="R47"/>
  <c r="G44"/>
  <c r="R39"/>
  <c r="P33"/>
  <c r="J61"/>
  <c r="J37"/>
  <c r="J20"/>
  <c r="I17"/>
  <c r="Q44" i="262"/>
  <c r="N67"/>
  <c r="N51"/>
  <c r="L67"/>
  <c r="L51"/>
  <c r="R60"/>
  <c r="R36"/>
  <c r="P14"/>
  <c r="O61"/>
  <c r="O37"/>
  <c r="O14"/>
  <c r="M14"/>
  <c r="J44"/>
  <c r="Q33" i="263"/>
  <c r="N67"/>
  <c r="N51"/>
  <c r="N17"/>
  <c r="K12"/>
  <c r="H33"/>
  <c r="R45"/>
  <c r="P67"/>
  <c r="P51"/>
  <c r="O67"/>
  <c r="O51"/>
  <c r="M20"/>
  <c r="I67"/>
  <c r="W37" i="257"/>
  <c r="AU14"/>
  <c r="BF61"/>
  <c r="AP61" i="255"/>
  <c r="W44"/>
  <c r="Z31"/>
  <c r="Z12"/>
  <c r="BG30"/>
  <c r="AN44"/>
  <c r="BG10"/>
  <c r="AN12"/>
  <c r="BF51"/>
  <c r="AP17" i="256"/>
  <c r="W44"/>
  <c r="Z31"/>
  <c r="Z12"/>
  <c r="BG30"/>
  <c r="AN44"/>
  <c r="W44" i="248"/>
  <c r="AU51"/>
  <c r="BG65"/>
  <c r="AN67"/>
  <c r="BG48" i="259"/>
  <c r="M33" i="263"/>
  <c r="AP31" i="257"/>
  <c r="W33"/>
  <c r="Z17"/>
  <c r="BG27"/>
  <c r="AN33"/>
  <c r="BG15"/>
  <c r="AN17"/>
  <c r="BF44"/>
  <c r="AP14" i="255"/>
  <c r="Z61"/>
  <c r="Z51"/>
  <c r="Z14"/>
  <c r="AU61"/>
  <c r="AU51"/>
  <c r="AN67"/>
  <c r="BG65"/>
  <c r="BG13"/>
  <c r="AN14"/>
  <c r="BF61"/>
  <c r="BF12"/>
  <c r="AP44" i="256"/>
  <c r="W61"/>
  <c r="W51"/>
  <c r="Z33"/>
  <c r="BG50"/>
  <c r="BF51"/>
  <c r="W61" i="248"/>
  <c r="W51"/>
  <c r="Z33"/>
  <c r="BG50"/>
  <c r="BF51"/>
  <c r="W61" i="258"/>
  <c r="BF14"/>
  <c r="BG60" i="259"/>
  <c r="W44" i="260"/>
  <c r="BF61"/>
  <c r="M17" i="263"/>
  <c r="J33"/>
  <c r="I17"/>
  <c r="AP61" i="257"/>
  <c r="AP51"/>
  <c r="Z44"/>
  <c r="Z12"/>
  <c r="AU44"/>
  <c r="AU20"/>
  <c r="BG59"/>
  <c r="AN31"/>
  <c r="BG28"/>
  <c r="AN20"/>
  <c r="BG19"/>
  <c r="BF51"/>
  <c r="Z33" i="255"/>
  <c r="BG50"/>
  <c r="AP67" i="256"/>
  <c r="Z17"/>
  <c r="BG27"/>
  <c r="AN33"/>
  <c r="AN17"/>
  <c r="BG15"/>
  <c r="BF12"/>
  <c r="AP44" i="248"/>
  <c r="Z17"/>
  <c r="BG27"/>
  <c r="AN33"/>
  <c r="BG15"/>
  <c r="AN17"/>
  <c r="BF12"/>
  <c r="AP44" i="258"/>
  <c r="BG16"/>
  <c r="AU17" i="259"/>
  <c r="BG18"/>
  <c r="BG10" i="256"/>
  <c r="AN12"/>
  <c r="BF14"/>
  <c r="AP61" i="248"/>
  <c r="AP51"/>
  <c r="Z31"/>
  <c r="Z20"/>
  <c r="AU31"/>
  <c r="G51" i="261"/>
  <c r="R46"/>
  <c r="P44"/>
  <c r="I20"/>
  <c r="G67" i="262"/>
  <c r="R65"/>
  <c r="R38"/>
  <c r="M44"/>
  <c r="I61"/>
  <c r="I37"/>
  <c r="Q61" i="263"/>
  <c r="Q37"/>
  <c r="N14"/>
  <c r="L44"/>
  <c r="K20"/>
  <c r="H51"/>
  <c r="G44"/>
  <c r="R39"/>
  <c r="O14"/>
  <c r="M37"/>
  <c r="Z33" i="257"/>
  <c r="BF14"/>
  <c r="R40" i="248"/>
  <c r="R32"/>
  <c r="G33"/>
  <c r="O67"/>
  <c r="O51"/>
  <c r="I67"/>
  <c r="I51"/>
  <c r="Q61" i="258"/>
  <c r="Q37"/>
  <c r="N12"/>
  <c r="L33"/>
  <c r="K14"/>
  <c r="H44"/>
  <c r="G67"/>
  <c r="R65"/>
  <c r="G51"/>
  <c r="R46"/>
  <c r="R38"/>
  <c r="O33"/>
  <c r="O17"/>
  <c r="M17"/>
  <c r="J61"/>
  <c r="J37"/>
  <c r="J20"/>
  <c r="I17"/>
  <c r="Q44" i="259"/>
  <c r="N67"/>
  <c r="N51"/>
  <c r="L67"/>
  <c r="L51"/>
  <c r="R60"/>
  <c r="R36"/>
  <c r="P14"/>
  <c r="O61"/>
  <c r="O37"/>
  <c r="O14"/>
  <c r="M14"/>
  <c r="J44"/>
  <c r="Q33" i="260"/>
  <c r="L14"/>
  <c r="K61"/>
  <c r="K37"/>
  <c r="K20"/>
  <c r="H61"/>
  <c r="H37"/>
  <c r="H20"/>
  <c r="R36"/>
  <c r="O20"/>
  <c r="M20"/>
  <c r="J44"/>
  <c r="L14" i="261"/>
  <c r="K51"/>
  <c r="H20"/>
  <c r="P67"/>
  <c r="O12"/>
  <c r="M37"/>
  <c r="L33" i="262"/>
  <c r="R59"/>
  <c r="R35"/>
  <c r="P17"/>
  <c r="O33"/>
  <c r="J61"/>
  <c r="J37"/>
  <c r="I17"/>
  <c r="Q44" i="263"/>
  <c r="N12"/>
  <c r="K44"/>
  <c r="R36"/>
  <c r="O12"/>
  <c r="J20"/>
  <c r="AP14" i="257"/>
  <c r="BF67"/>
  <c r="R45" i="256"/>
  <c r="P67"/>
  <c r="P51"/>
  <c r="P12"/>
  <c r="O44"/>
  <c r="O20"/>
  <c r="M37"/>
  <c r="M20"/>
  <c r="J61"/>
  <c r="J37"/>
  <c r="J20"/>
  <c r="I17"/>
  <c r="Q44" i="248"/>
  <c r="N67"/>
  <c r="N51"/>
  <c r="N17"/>
  <c r="K12"/>
  <c r="H33"/>
  <c r="H52" s="1"/>
  <c r="R47"/>
  <c r="G44"/>
  <c r="R39"/>
  <c r="P33"/>
  <c r="P52" s="1"/>
  <c r="J33"/>
  <c r="I12"/>
  <c r="Q17" i="258"/>
  <c r="N14"/>
  <c r="L44"/>
  <c r="K67"/>
  <c r="K51"/>
  <c r="H67"/>
  <c r="H51"/>
  <c r="R45"/>
  <c r="P67"/>
  <c r="P51"/>
  <c r="P12"/>
  <c r="O44"/>
  <c r="O20"/>
  <c r="M37"/>
  <c r="M20"/>
  <c r="J14"/>
  <c r="I61"/>
  <c r="I37"/>
  <c r="I20"/>
  <c r="Q67" i="259"/>
  <c r="Q51"/>
  <c r="K33"/>
  <c r="R59"/>
  <c r="R43"/>
  <c r="R35"/>
  <c r="G17"/>
  <c r="M33"/>
  <c r="M52" s="1"/>
  <c r="J67"/>
  <c r="J51"/>
  <c r="J12"/>
  <c r="I44"/>
  <c r="Q14" i="260"/>
  <c r="N61"/>
  <c r="N37"/>
  <c r="L61"/>
  <c r="L37"/>
  <c r="L20"/>
  <c r="H14"/>
  <c r="R41"/>
  <c r="L12" i="261"/>
  <c r="H17"/>
  <c r="R42"/>
  <c r="G20"/>
  <c r="P17"/>
  <c r="O33"/>
  <c r="M44"/>
  <c r="I67"/>
  <c r="Q51" i="262"/>
  <c r="K33"/>
  <c r="H17"/>
  <c r="R42"/>
  <c r="G20"/>
  <c r="P33"/>
  <c r="I67"/>
  <c r="Q51" i="263"/>
  <c r="L14"/>
  <c r="K51"/>
  <c r="H20"/>
  <c r="R59"/>
  <c r="R35"/>
  <c r="M44"/>
  <c r="J44"/>
  <c r="I37"/>
  <c r="AP12" i="257"/>
  <c r="BG26"/>
  <c r="F108" i="154"/>
  <c r="F328" s="1"/>
  <c r="AP67" i="255"/>
  <c r="BG60"/>
  <c r="BF17"/>
  <c r="AU14" i="256"/>
  <c r="BG13"/>
  <c r="AN14"/>
  <c r="BF67" i="248"/>
  <c r="AP20" i="258"/>
  <c r="AP12" i="255"/>
  <c r="AU31"/>
  <c r="AU12"/>
  <c r="AN31"/>
  <c r="BG28"/>
  <c r="Z44" i="256"/>
  <c r="AU20"/>
  <c r="BG59"/>
  <c r="AU14" i="248"/>
  <c r="BF44"/>
  <c r="AP17" i="259"/>
  <c r="BG11"/>
  <c r="R47" i="260"/>
  <c r="R39"/>
  <c r="G44"/>
  <c r="P33"/>
  <c r="J61"/>
  <c r="J37"/>
  <c r="J20"/>
  <c r="I17"/>
  <c r="Q44" i="261"/>
  <c r="N67"/>
  <c r="N51"/>
  <c r="L67"/>
  <c r="L51"/>
  <c r="R60"/>
  <c r="R36"/>
  <c r="P14"/>
  <c r="O61"/>
  <c r="O68" s="1"/>
  <c r="O37"/>
  <c r="O14"/>
  <c r="M14"/>
  <c r="J44"/>
  <c r="Q33" i="262"/>
  <c r="L14"/>
  <c r="K61"/>
  <c r="K37"/>
  <c r="K20"/>
  <c r="H61"/>
  <c r="H37"/>
  <c r="H20"/>
  <c r="R41"/>
  <c r="G14"/>
  <c r="P61"/>
  <c r="P37"/>
  <c r="O12"/>
  <c r="L67" i="263"/>
  <c r="L51"/>
  <c r="G67"/>
  <c r="R65"/>
  <c r="G51"/>
  <c r="R46"/>
  <c r="R38"/>
  <c r="P12"/>
  <c r="O44"/>
  <c r="M14"/>
  <c r="J51"/>
  <c r="W61" i="257"/>
  <c r="BG50"/>
  <c r="BF20"/>
  <c r="AP33" i="255"/>
  <c r="AU17"/>
  <c r="BG11"/>
  <c r="AP12" i="256"/>
  <c r="W33"/>
  <c r="Z51"/>
  <c r="AU61"/>
  <c r="AU37"/>
  <c r="BF67"/>
  <c r="Z14" i="248"/>
  <c r="BG13"/>
  <c r="AN14"/>
  <c r="AP61" i="259"/>
  <c r="W51" i="261"/>
  <c r="G51" i="260"/>
  <c r="R46"/>
  <c r="R38"/>
  <c r="O33"/>
  <c r="O17"/>
  <c r="M17"/>
  <c r="J14"/>
  <c r="I61"/>
  <c r="I37"/>
  <c r="I20"/>
  <c r="Q67" i="261"/>
  <c r="Q51"/>
  <c r="K33"/>
  <c r="R59"/>
  <c r="R43"/>
  <c r="R35"/>
  <c r="G17"/>
  <c r="M33"/>
  <c r="M52" s="1"/>
  <c r="J67"/>
  <c r="J51"/>
  <c r="J12"/>
  <c r="I44"/>
  <c r="Q14" i="262"/>
  <c r="N61"/>
  <c r="N37"/>
  <c r="L61"/>
  <c r="L37"/>
  <c r="L20"/>
  <c r="H14"/>
  <c r="R40"/>
  <c r="R32"/>
  <c r="G33"/>
  <c r="O67"/>
  <c r="O51"/>
  <c r="I33"/>
  <c r="Q14" i="263"/>
  <c r="N61"/>
  <c r="N37"/>
  <c r="K33"/>
  <c r="R41"/>
  <c r="G14"/>
  <c r="P61"/>
  <c r="P68" s="1"/>
  <c r="P37"/>
  <c r="P14"/>
  <c r="O61"/>
  <c r="O37"/>
  <c r="O17"/>
  <c r="J14"/>
  <c r="I51"/>
  <c r="Z61" i="257"/>
  <c r="AU51"/>
  <c r="BG65"/>
  <c r="AN67"/>
  <c r="BG46"/>
  <c r="AN51"/>
  <c r="Z20" i="255"/>
  <c r="AU44"/>
  <c r="BG47"/>
  <c r="BG19"/>
  <c r="AN20"/>
  <c r="AP33" i="256"/>
  <c r="Z20"/>
  <c r="AU44"/>
  <c r="BG47"/>
  <c r="BF61"/>
  <c r="BF68" s="1"/>
  <c r="AP20" i="248"/>
  <c r="Z61"/>
  <c r="BG46"/>
  <c r="AN51"/>
  <c r="Z33" i="258"/>
  <c r="I33" i="263"/>
  <c r="I12"/>
  <c r="AP44" i="257"/>
  <c r="AU33"/>
  <c r="AU17"/>
  <c r="BG60"/>
  <c r="BG48"/>
  <c r="BG18"/>
  <c r="BG11"/>
  <c r="W61" i="255"/>
  <c r="AU37"/>
  <c r="AU14"/>
  <c r="AN61"/>
  <c r="BG46"/>
  <c r="AN51"/>
  <c r="BF67"/>
  <c r="BF20"/>
  <c r="AP31" i="256"/>
  <c r="AP14"/>
  <c r="W37"/>
  <c r="BG26"/>
  <c r="BG16"/>
  <c r="BF37"/>
  <c r="BF17"/>
  <c r="AP14" i="248"/>
  <c r="W37"/>
  <c r="BG26"/>
  <c r="BG16"/>
  <c r="BF37"/>
  <c r="BF17"/>
  <c r="AP14" i="258"/>
  <c r="AN33" i="259"/>
  <c r="AU14" i="260"/>
  <c r="J12" i="263"/>
  <c r="I44"/>
  <c r="AP67" i="257"/>
  <c r="AP33"/>
  <c r="AP17"/>
  <c r="W44"/>
  <c r="Z31"/>
  <c r="Z20"/>
  <c r="AU31"/>
  <c r="AU12"/>
  <c r="BG30"/>
  <c r="BG47"/>
  <c r="AN44"/>
  <c r="AN12"/>
  <c r="BG10"/>
  <c r="BF37"/>
  <c r="BF17"/>
  <c r="W33" i="255"/>
  <c r="BG26"/>
  <c r="BG16"/>
  <c r="BF14"/>
  <c r="AP61" i="256"/>
  <c r="AP51"/>
  <c r="AU33"/>
  <c r="AU17"/>
  <c r="BG60"/>
  <c r="BG48"/>
  <c r="BG18"/>
  <c r="BG11"/>
  <c r="BF20"/>
  <c r="AP31" i="248"/>
  <c r="AU33"/>
  <c r="AU17"/>
  <c r="BG60"/>
  <c r="BG48"/>
  <c r="BG18"/>
  <c r="BG11"/>
  <c r="BF20"/>
  <c r="AP31" i="258"/>
  <c r="BG26"/>
  <c r="AP33" i="259"/>
  <c r="BG19" i="256"/>
  <c r="AN20"/>
  <c r="AP67" i="248"/>
  <c r="AP33"/>
  <c r="AP17"/>
  <c r="W33"/>
  <c r="Z44"/>
  <c r="Z12"/>
  <c r="AU44"/>
  <c r="AU12"/>
  <c r="BG30"/>
  <c r="BG47"/>
  <c r="AN44"/>
  <c r="AN12"/>
  <c r="BG10"/>
  <c r="BF14"/>
  <c r="AP61" i="258"/>
  <c r="AP51"/>
  <c r="BG50"/>
  <c r="AP51" i="259"/>
  <c r="AU33" i="258"/>
  <c r="AU17"/>
  <c r="BG60"/>
  <c r="BG48"/>
  <c r="BG18"/>
  <c r="BG11"/>
  <c r="AP20" i="259"/>
  <c r="Z44"/>
  <c r="Z12"/>
  <c r="AU44"/>
  <c r="AU20"/>
  <c r="BG59"/>
  <c r="AN31"/>
  <c r="AN20"/>
  <c r="BG19"/>
  <c r="BF51"/>
  <c r="AU31" i="260"/>
  <c r="AU12"/>
  <c r="BF17"/>
  <c r="AP14" i="261"/>
  <c r="W51" i="262"/>
  <c r="Z31" i="258"/>
  <c r="Z20"/>
  <c r="AU31"/>
  <c r="AU12"/>
  <c r="BG30"/>
  <c r="BG47"/>
  <c r="AN44"/>
  <c r="AN12"/>
  <c r="BG10"/>
  <c r="BF51"/>
  <c r="W61" i="259"/>
  <c r="W51"/>
  <c r="Z61"/>
  <c r="Z51"/>
  <c r="Z14"/>
  <c r="AU61"/>
  <c r="AU51"/>
  <c r="AN67"/>
  <c r="BG65"/>
  <c r="BG13"/>
  <c r="AN14"/>
  <c r="BF61"/>
  <c r="BF44"/>
  <c r="BF17"/>
  <c r="AP31" i="260"/>
  <c r="AU51"/>
  <c r="AN67"/>
  <c r="BG65"/>
  <c r="AU51" i="261"/>
  <c r="W51" i="258"/>
  <c r="Z61"/>
  <c r="Z51"/>
  <c r="Z14"/>
  <c r="AU61"/>
  <c r="AU51"/>
  <c r="AN67"/>
  <c r="BG65"/>
  <c r="BG13"/>
  <c r="AN14"/>
  <c r="BF61"/>
  <c r="BF20"/>
  <c r="AP31" i="259"/>
  <c r="Z33"/>
  <c r="BG50"/>
  <c r="AP44" i="260"/>
  <c r="W61"/>
  <c r="BG59"/>
  <c r="AP14"/>
  <c r="Z14"/>
  <c r="AN61"/>
  <c r="BF67"/>
  <c r="W61" i="261"/>
  <c r="Z14"/>
  <c r="AN61"/>
  <c r="X61" i="263"/>
  <c r="Z31" i="260"/>
  <c r="Z12"/>
  <c r="BG30"/>
  <c r="AN44"/>
  <c r="AN12"/>
  <c r="BG10"/>
  <c r="BF51"/>
  <c r="BF20"/>
  <c r="W37" i="261"/>
  <c r="AU14" i="262"/>
  <c r="BF61"/>
  <c r="AV51" i="263"/>
  <c r="BG65" i="261"/>
  <c r="AN67"/>
  <c r="AN12"/>
  <c r="BG10"/>
  <c r="AN61" i="262"/>
  <c r="Y31" i="263"/>
  <c r="AA14"/>
  <c r="AO31"/>
  <c r="Y44"/>
  <c r="BE61"/>
  <c r="Z33" i="260"/>
  <c r="BG50"/>
  <c r="BF14"/>
  <c r="AP61" i="261"/>
  <c r="AP51"/>
  <c r="AU33"/>
  <c r="AU17"/>
  <c r="BG60"/>
  <c r="AN44"/>
  <c r="BF17"/>
  <c r="AP14" i="262"/>
  <c r="Z51"/>
  <c r="AU37"/>
  <c r="AV61" i="263"/>
  <c r="T37"/>
  <c r="AP67" i="260"/>
  <c r="AP33"/>
  <c r="AP17"/>
  <c r="W33"/>
  <c r="Z17"/>
  <c r="BG27"/>
  <c r="AN33"/>
  <c r="BG15"/>
  <c r="AN17"/>
  <c r="BF44"/>
  <c r="AP12" i="261"/>
  <c r="W44"/>
  <c r="Z31"/>
  <c r="Z20"/>
  <c r="AU31"/>
  <c r="AU12"/>
  <c r="AN31"/>
  <c r="BF51"/>
  <c r="W61" i="262"/>
  <c r="Z61"/>
  <c r="BG46"/>
  <c r="AN51"/>
  <c r="AO17" i="263"/>
  <c r="BG48" i="261"/>
  <c r="BG18"/>
  <c r="BG11"/>
  <c r="AP20" i="262"/>
  <c r="Z44"/>
  <c r="Z12"/>
  <c r="AU44"/>
  <c r="AU20"/>
  <c r="BG59"/>
  <c r="AN31"/>
  <c r="BG19"/>
  <c r="AN20"/>
  <c r="BF37"/>
  <c r="BF17"/>
  <c r="X37" i="263"/>
  <c r="AA20"/>
  <c r="AV31"/>
  <c r="AV12"/>
  <c r="Y14"/>
  <c r="AT61"/>
  <c r="AQ51"/>
  <c r="BE67"/>
  <c r="BG13" i="261"/>
  <c r="AN14"/>
  <c r="BF61"/>
  <c r="BF20"/>
  <c r="AP31" i="262"/>
  <c r="Z33"/>
  <c r="BG50"/>
  <c r="BF14"/>
  <c r="AA31" i="263"/>
  <c r="AO67"/>
  <c r="AO12"/>
  <c r="V12"/>
  <c r="BG50" i="261"/>
  <c r="BF14"/>
  <c r="AP61" i="262"/>
  <c r="AP51"/>
  <c r="AU33"/>
  <c r="AU17"/>
  <c r="BG60"/>
  <c r="BG48"/>
  <c r="BG18"/>
  <c r="BG11"/>
  <c r="X12" i="263"/>
  <c r="AV33"/>
  <c r="AV17"/>
  <c r="AO14"/>
  <c r="Y20"/>
  <c r="AT31"/>
  <c r="AT44"/>
  <c r="AU20" i="248"/>
  <c r="BG59"/>
  <c r="AN31"/>
  <c r="BG28"/>
  <c r="AN20"/>
  <c r="BG19"/>
  <c r="AP67" i="258"/>
  <c r="AP33"/>
  <c r="AP17"/>
  <c r="W44"/>
  <c r="AP67" i="259"/>
  <c r="W33"/>
  <c r="Z17"/>
  <c r="BG27"/>
  <c r="BG15"/>
  <c r="AN17"/>
  <c r="W33" i="258"/>
  <c r="Z17"/>
  <c r="BG27"/>
  <c r="AN33"/>
  <c r="AN17"/>
  <c r="BG15"/>
  <c r="BF44"/>
  <c r="AP12" i="259"/>
  <c r="W44"/>
  <c r="Z31"/>
  <c r="Z20"/>
  <c r="AU31"/>
  <c r="AU12"/>
  <c r="BG30"/>
  <c r="BG47"/>
  <c r="AN44"/>
  <c r="AN12"/>
  <c r="BG10"/>
  <c r="AP12" i="260"/>
  <c r="AN31"/>
  <c r="BF37"/>
  <c r="Z44" i="258"/>
  <c r="Z12"/>
  <c r="AU44"/>
  <c r="AU20"/>
  <c r="BG59"/>
  <c r="AN31"/>
  <c r="AN20"/>
  <c r="BG19"/>
  <c r="BF37"/>
  <c r="BF17"/>
  <c r="AP14" i="259"/>
  <c r="W37"/>
  <c r="AU37"/>
  <c r="AU14"/>
  <c r="AN61"/>
  <c r="BG46"/>
  <c r="AN51"/>
  <c r="BF67"/>
  <c r="BF37"/>
  <c r="BF12"/>
  <c r="Z61" i="260"/>
  <c r="AN51"/>
  <c r="BG46"/>
  <c r="AP44" i="261"/>
  <c r="Z61"/>
  <c r="W37" i="258"/>
  <c r="AU37"/>
  <c r="AU14"/>
  <c r="AN61"/>
  <c r="BG46"/>
  <c r="AN51"/>
  <c r="BF67"/>
  <c r="BF12"/>
  <c r="AP44" i="259"/>
  <c r="BG26"/>
  <c r="BG16"/>
  <c r="W37" i="260"/>
  <c r="Z44"/>
  <c r="AU20"/>
  <c r="Z33" i="261"/>
  <c r="AP20" i="260"/>
  <c r="Z51"/>
  <c r="AU61"/>
  <c r="AU37"/>
  <c r="BG13"/>
  <c r="AN14"/>
  <c r="Z51" i="261"/>
  <c r="AU61"/>
  <c r="AU37"/>
  <c r="AU61" i="262"/>
  <c r="BF67"/>
  <c r="Z20" i="260"/>
  <c r="AU44"/>
  <c r="BG47"/>
  <c r="AN20"/>
  <c r="BG19"/>
  <c r="BF12"/>
  <c r="AP31" i="261"/>
  <c r="BF20" i="262"/>
  <c r="AO33" i="263"/>
  <c r="AU14" i="261"/>
  <c r="BG47"/>
  <c r="AQ61" i="263"/>
  <c r="AV37"/>
  <c r="BG26" i="260"/>
  <c r="BG16"/>
  <c r="AP67" i="261"/>
  <c r="AP33"/>
  <c r="AP17"/>
  <c r="W33"/>
  <c r="Z17"/>
  <c r="BG30"/>
  <c r="BG19"/>
  <c r="AN20"/>
  <c r="BF37"/>
  <c r="Z14" i="262"/>
  <c r="BG13"/>
  <c r="AN14"/>
  <c r="Y33" i="263"/>
  <c r="BF14" i="259"/>
  <c r="AP61" i="260"/>
  <c r="AP51"/>
  <c r="AU33"/>
  <c r="AU17"/>
  <c r="BG60"/>
  <c r="BG48"/>
  <c r="BG18"/>
  <c r="BG11"/>
  <c r="AP20" i="261"/>
  <c r="Z44"/>
  <c r="Z12"/>
  <c r="AU44"/>
  <c r="AU20"/>
  <c r="BG59"/>
  <c r="W37" i="262"/>
  <c r="AU51"/>
  <c r="BG65"/>
  <c r="AN67"/>
  <c r="BF12"/>
  <c r="AV14" i="263"/>
  <c r="AO44"/>
  <c r="BG27" i="261"/>
  <c r="AN33"/>
  <c r="BG15"/>
  <c r="AN17"/>
  <c r="BF44"/>
  <c r="AP12" i="262"/>
  <c r="W44"/>
  <c r="Z31"/>
  <c r="Z20"/>
  <c r="AU31"/>
  <c r="AU12"/>
  <c r="BG30"/>
  <c r="BG47"/>
  <c r="AN44"/>
  <c r="BG10"/>
  <c r="AN12"/>
  <c r="BF51"/>
  <c r="AA12" i="263"/>
  <c r="AV44"/>
  <c r="AV20"/>
  <c r="V44"/>
  <c r="AQ67"/>
  <c r="BE12"/>
  <c r="AP33"/>
  <c r="BG46" i="261"/>
  <c r="AN51"/>
  <c r="BF67"/>
  <c r="BF12"/>
  <c r="AP44" i="262"/>
  <c r="BG26"/>
  <c r="BG16"/>
  <c r="AA44" i="263"/>
  <c r="AA33"/>
  <c r="AO61"/>
  <c r="AO51"/>
  <c r="AO20"/>
  <c r="V61"/>
  <c r="Y61"/>
  <c r="Y51"/>
  <c r="Y17"/>
  <c r="AQ14"/>
  <c r="BE20"/>
  <c r="T51"/>
  <c r="BG26" i="261"/>
  <c r="BG16"/>
  <c r="AP67" i="262"/>
  <c r="AP33"/>
  <c r="AP17"/>
  <c r="W33"/>
  <c r="Z17"/>
  <c r="BG27"/>
  <c r="AN33"/>
  <c r="AN17"/>
  <c r="BG15"/>
  <c r="BF44"/>
  <c r="X44" i="263"/>
  <c r="AA61"/>
  <c r="AA51"/>
  <c r="AA17"/>
  <c r="V17"/>
  <c r="Y12"/>
  <c r="BE44"/>
  <c r="AT51"/>
  <c r="AQ31"/>
  <c r="AQ12"/>
  <c r="T61"/>
  <c r="T44"/>
  <c r="AR31"/>
  <c r="AT33"/>
  <c r="AT17"/>
  <c r="BE37"/>
  <c r="BE14"/>
  <c r="AL60"/>
  <c r="T31"/>
  <c r="AT20"/>
  <c r="AR20"/>
  <c r="AR51"/>
  <c r="BC67"/>
  <c r="BC51"/>
  <c r="BC33"/>
  <c r="BB33"/>
  <c r="AR37"/>
  <c r="AW17"/>
  <c r="U14"/>
  <c r="AY37"/>
  <c r="AY14"/>
  <c r="AX61"/>
  <c r="AX51"/>
  <c r="AW67"/>
  <c r="BC20"/>
  <c r="BB31"/>
  <c r="BB12"/>
  <c r="BA44"/>
  <c r="BA20"/>
  <c r="AZ31"/>
  <c r="AZ12"/>
  <c r="AY33"/>
  <c r="AY17"/>
  <c r="AX33"/>
  <c r="AX17"/>
  <c r="AW44"/>
  <c r="AW20"/>
  <c r="AP31"/>
  <c r="AP12"/>
  <c r="U20"/>
  <c r="BB67"/>
  <c r="BB37"/>
  <c r="BB14"/>
  <c r="BA61"/>
  <c r="BA51"/>
  <c r="AZ67"/>
  <c r="AZ37"/>
  <c r="AZ14"/>
  <c r="AY61"/>
  <c r="AY51"/>
  <c r="AY12"/>
  <c r="AX12"/>
  <c r="AP67"/>
  <c r="W61"/>
  <c r="W37"/>
  <c r="BF67"/>
  <c r="BF61"/>
  <c r="Z20"/>
  <c r="AU31"/>
  <c r="AU12"/>
  <c r="BG30"/>
  <c r="BG47"/>
  <c r="AN44"/>
  <c r="BF14"/>
  <c r="Z14"/>
  <c r="AU61"/>
  <c r="AU51"/>
  <c r="BG65"/>
  <c r="AN67"/>
  <c r="AN33"/>
  <c r="AN17"/>
  <c r="BG15"/>
  <c r="BF37"/>
  <c r="Z31"/>
  <c r="Z33"/>
  <c r="BG50"/>
  <c r="AN12"/>
  <c r="BG10"/>
  <c r="BF12"/>
  <c r="AQ37"/>
  <c r="AT37"/>
  <c r="AT14"/>
  <c r="AQ44"/>
  <c r="AQ20"/>
  <c r="BE33"/>
  <c r="BE17"/>
  <c r="AR12"/>
  <c r="BE51"/>
  <c r="BC31"/>
  <c r="AT12"/>
  <c r="AQ33"/>
  <c r="AQ17"/>
  <c r="T33"/>
  <c r="AR14"/>
  <c r="BC17"/>
  <c r="BB17"/>
  <c r="BA33"/>
  <c r="AZ33"/>
  <c r="AW33"/>
  <c r="BC61"/>
  <c r="BC68" s="1"/>
  <c r="BA17"/>
  <c r="AZ17"/>
  <c r="AU33"/>
  <c r="AR44"/>
  <c r="AP17"/>
  <c r="AX67"/>
  <c r="AX37"/>
  <c r="AX14"/>
  <c r="AW61"/>
  <c r="AW51"/>
  <c r="Z61"/>
  <c r="U37"/>
  <c r="U17"/>
  <c r="BC12"/>
  <c r="BB44"/>
  <c r="BB20"/>
  <c r="BA31"/>
  <c r="BA12"/>
  <c r="AZ44"/>
  <c r="AZ20"/>
  <c r="AY31"/>
  <c r="AW12"/>
  <c r="AP44"/>
  <c r="AP20"/>
  <c r="U12"/>
  <c r="AR33"/>
  <c r="AR17"/>
  <c r="BC37"/>
  <c r="BC14"/>
  <c r="BB61"/>
  <c r="BB68" s="1"/>
  <c r="BB51"/>
  <c r="BA67"/>
  <c r="BA37"/>
  <c r="BA14"/>
  <c r="AZ61"/>
  <c r="AZ51"/>
  <c r="AY67"/>
  <c r="AY20"/>
  <c r="AX31"/>
  <c r="AX20"/>
  <c r="AW31"/>
  <c r="AW37"/>
  <c r="AW14"/>
  <c r="AP61"/>
  <c r="AP51"/>
  <c r="AP14"/>
  <c r="W51"/>
  <c r="Z51"/>
  <c r="BG60"/>
  <c r="W33"/>
  <c r="BG48"/>
  <c r="W44"/>
  <c r="AU17"/>
  <c r="AN14"/>
  <c r="BG13"/>
  <c r="Z17"/>
  <c r="BG27"/>
  <c r="Z12"/>
  <c r="AU44"/>
  <c r="AU20"/>
  <c r="BG59"/>
  <c r="AN31"/>
  <c r="BG16"/>
  <c r="BF44"/>
  <c r="AU37"/>
  <c r="AU14"/>
  <c r="AN61"/>
  <c r="AN51"/>
  <c r="BG46"/>
  <c r="BG18"/>
  <c r="BG11"/>
  <c r="BF51"/>
  <c r="Z44"/>
  <c r="BG26"/>
  <c r="AN20"/>
  <c r="BG19"/>
  <c r="BF17"/>
  <c r="BF20"/>
  <c r="AE68" i="257"/>
  <c r="AI68" i="261"/>
  <c r="BT68" i="258"/>
  <c r="CW68" i="260"/>
  <c r="CG68" i="258"/>
  <c r="CW68"/>
  <c r="I52" i="262"/>
  <c r="J68"/>
  <c r="K52" i="256"/>
  <c r="U23" i="261"/>
  <c r="AR52"/>
  <c r="BE68" i="262"/>
  <c r="BU23" i="263"/>
  <c r="CE23"/>
  <c r="CD68"/>
  <c r="CT68"/>
  <c r="CC68" i="260"/>
  <c r="CS68"/>
  <c r="CC68" i="258"/>
  <c r="CS68"/>
  <c r="BQ68" i="256"/>
  <c r="CC68"/>
  <c r="CS68"/>
  <c r="CS52" i="257"/>
  <c r="BX68"/>
  <c r="CN68"/>
  <c r="DD68"/>
  <c r="AH68" i="262"/>
  <c r="CC68" i="261"/>
  <c r="CS68"/>
  <c r="CF68" i="248"/>
  <c r="CR68"/>
  <c r="DD68"/>
  <c r="CN68" i="255"/>
  <c r="AJ68" i="262"/>
  <c r="CC68"/>
  <c r="CS68"/>
  <c r="AD68" i="260"/>
  <c r="AG68"/>
  <c r="CM23" i="263"/>
  <c r="BT68"/>
  <c r="BX68"/>
  <c r="CN68"/>
  <c r="DD68"/>
  <c r="BS68" i="260"/>
  <c r="CI68"/>
  <c r="CY68"/>
  <c r="CI68" i="258"/>
  <c r="CY68"/>
  <c r="CJ52" i="248"/>
  <c r="CA52" i="256"/>
  <c r="CY52"/>
  <c r="DG52"/>
  <c r="CI68"/>
  <c r="CY68"/>
  <c r="CD68" i="257"/>
  <c r="CH68"/>
  <c r="DB68"/>
  <c r="DE68" i="258"/>
  <c r="AQ68" i="255"/>
  <c r="BE23" i="259"/>
  <c r="AQ68"/>
  <c r="BA68" i="255"/>
  <c r="AH68"/>
  <c r="AQ68" i="257"/>
  <c r="BJ23" i="255"/>
  <c r="AO68" i="261"/>
  <c r="AG23"/>
  <c r="AD68" i="256"/>
  <c r="AH68" i="259"/>
  <c r="AP68" i="263"/>
  <c r="AY23"/>
  <c r="AQ52"/>
  <c r="Y23"/>
  <c r="AO68"/>
  <c r="AP68" i="260"/>
  <c r="BF23" i="258"/>
  <c r="AP68"/>
  <c r="Q52" i="263"/>
  <c r="P52" i="261"/>
  <c r="J68" i="260"/>
  <c r="L68"/>
  <c r="N68"/>
  <c r="I68" i="258"/>
  <c r="J52" i="248"/>
  <c r="K52"/>
  <c r="O68" i="260"/>
  <c r="N68" i="258"/>
  <c r="P68" i="248"/>
  <c r="H68"/>
  <c r="Q68" i="260"/>
  <c r="AX23" i="257"/>
  <c r="BC68"/>
  <c r="BE23" i="248"/>
  <c r="AQ68"/>
  <c r="BE68" i="258"/>
  <c r="BA68" i="248"/>
  <c r="AY68" i="259"/>
  <c r="BA68" i="260"/>
  <c r="BC68" i="259"/>
  <c r="AZ23" i="262"/>
  <c r="BA23"/>
  <c r="BB23"/>
  <c r="BC23"/>
  <c r="AT23"/>
  <c r="AV23"/>
  <c r="AA23"/>
  <c r="BC68" i="260"/>
  <c r="BK20"/>
  <c r="AO68" i="262"/>
  <c r="CA23" i="263"/>
  <c r="CQ23"/>
  <c r="DG23"/>
  <c r="DI44" i="262"/>
  <c r="DI37"/>
  <c r="CC68" i="263"/>
  <c r="BX52" i="261"/>
  <c r="CF68" i="260"/>
  <c r="CV68"/>
  <c r="CT52" i="259"/>
  <c r="CC52" i="258"/>
  <c r="CB68"/>
  <c r="CR68"/>
  <c r="BX68" i="256"/>
  <c r="CN68"/>
  <c r="DD68"/>
  <c r="CL52" i="255"/>
  <c r="BS68" i="257"/>
  <c r="CA68"/>
  <c r="CQ68"/>
  <c r="DG68"/>
  <c r="AD23" i="263"/>
  <c r="AD68"/>
  <c r="AF23" i="262"/>
  <c r="AS68" i="263"/>
  <c r="CJ68" i="261"/>
  <c r="CZ68"/>
  <c r="BS68" i="248"/>
  <c r="BS68" i="255"/>
  <c r="AJ68" i="263"/>
  <c r="AB68"/>
  <c r="AD52" i="258"/>
  <c r="AG23"/>
  <c r="AK68" i="261"/>
  <c r="AK68" i="259"/>
  <c r="AS52" i="258"/>
  <c r="AK23" i="248"/>
  <c r="AK68"/>
  <c r="AI52"/>
  <c r="BD52"/>
  <c r="AC52" i="256"/>
  <c r="AS52"/>
  <c r="AK23" i="255"/>
  <c r="AK68"/>
  <c r="AI52"/>
  <c r="BD52"/>
  <c r="AH68" i="260"/>
  <c r="AH68" i="258"/>
  <c r="AH68" i="256"/>
  <c r="AF68" i="257"/>
  <c r="AP68" i="261"/>
  <c r="O68" i="259"/>
  <c r="P68" i="257"/>
  <c r="BB68" i="256"/>
  <c r="AY68" i="248"/>
  <c r="AX68" i="255"/>
  <c r="AY68" i="260"/>
  <c r="AB68" i="257"/>
  <c r="K68" i="256"/>
  <c r="AC68" i="263"/>
  <c r="AE68"/>
  <c r="J68" i="256"/>
  <c r="BF23" i="261"/>
  <c r="N68" i="248"/>
  <c r="P68" i="256"/>
  <c r="K68" i="260"/>
  <c r="J68" i="257"/>
  <c r="AG68" i="263"/>
  <c r="BA68"/>
  <c r="AX68"/>
  <c r="AT23"/>
  <c r="AU23" i="261"/>
  <c r="Z23"/>
  <c r="AP68" i="248"/>
  <c r="AU23" i="257"/>
  <c r="Z23"/>
  <c r="AP68"/>
  <c r="N68" i="263"/>
  <c r="J68" i="261"/>
  <c r="Q68" i="258"/>
  <c r="O68" i="248"/>
  <c r="K68"/>
  <c r="I68" i="259"/>
  <c r="L68" i="256"/>
  <c r="O68" i="255"/>
  <c r="L68"/>
  <c r="N68"/>
  <c r="BE68"/>
  <c r="BE68" i="259"/>
  <c r="BA68" i="256"/>
  <c r="BB68" i="248"/>
  <c r="AO68" i="255"/>
  <c r="AY68" i="261"/>
  <c r="AX68" i="262"/>
  <c r="CK23" i="263"/>
  <c r="BV68"/>
  <c r="CL68"/>
  <c r="DB68"/>
  <c r="BW52" i="260"/>
  <c r="CE52"/>
  <c r="CM52"/>
  <c r="CU52"/>
  <c r="DC52"/>
  <c r="BQ68"/>
  <c r="BU68"/>
  <c r="CK68"/>
  <c r="DA68"/>
  <c r="BU68" i="258"/>
  <c r="CK68"/>
  <c r="DA68"/>
  <c r="BX52" i="248"/>
  <c r="CF52"/>
  <c r="CN52"/>
  <c r="CV52"/>
  <c r="BW52" i="256"/>
  <c r="CE52"/>
  <c r="CM52"/>
  <c r="CU52"/>
  <c r="DC52"/>
  <c r="BU68"/>
  <c r="CK68"/>
  <c r="DA68"/>
  <c r="CC52" i="257"/>
  <c r="BT68"/>
  <c r="CF68"/>
  <c r="CV68"/>
  <c r="BU68" i="261"/>
  <c r="CK68"/>
  <c r="DA68"/>
  <c r="BT68" i="259"/>
  <c r="CF68"/>
  <c r="CJ68"/>
  <c r="CN68"/>
  <c r="BT68" i="248"/>
  <c r="BX68"/>
  <c r="CJ68"/>
  <c r="BT68" i="255"/>
  <c r="CF68"/>
  <c r="CJ68"/>
  <c r="CR68"/>
  <c r="AS23" i="262"/>
  <c r="BU68"/>
  <c r="CK68"/>
  <c r="DA68"/>
  <c r="AD52" i="261"/>
  <c r="AJ68"/>
  <c r="AS23"/>
  <c r="AD68" i="258"/>
  <c r="AG68"/>
  <c r="AG68" i="256"/>
  <c r="AS68" i="262"/>
  <c r="AF68" i="261"/>
  <c r="CS68" i="263"/>
  <c r="AP23" i="262"/>
  <c r="AV52" i="263"/>
  <c r="BG14" i="258"/>
  <c r="AO68"/>
  <c r="DI67" i="263"/>
  <c r="BG17" i="261"/>
  <c r="AU52" i="256"/>
  <c r="K52" i="263"/>
  <c r="O52" i="260"/>
  <c r="P52" i="259"/>
  <c r="AQ68" i="260"/>
  <c r="BG17" i="262"/>
  <c r="AU52" i="260"/>
  <c r="BF68" i="262"/>
  <c r="BF23" i="260"/>
  <c r="BG20" i="259"/>
  <c r="BG17" i="256"/>
  <c r="BG20" i="257"/>
  <c r="J52" i="263"/>
  <c r="K52" i="261"/>
  <c r="R44" i="248"/>
  <c r="Q52" i="255"/>
  <c r="AQ52" i="257"/>
  <c r="H68"/>
  <c r="BE23" i="255"/>
  <c r="BK14"/>
  <c r="U23" i="260"/>
  <c r="AR52"/>
  <c r="BC68" i="248"/>
  <c r="AX68" i="258"/>
  <c r="BG20" i="262"/>
  <c r="BF23"/>
  <c r="BF68" i="257"/>
  <c r="H52" i="259"/>
  <c r="N52" i="258"/>
  <c r="BE23"/>
  <c r="BA68" i="257"/>
  <c r="BG17" i="260"/>
  <c r="BG51" i="258"/>
  <c r="BG51" i="259"/>
  <c r="BG20" i="256"/>
  <c r="BG17" i="248"/>
  <c r="BG51" i="255"/>
  <c r="H52" i="263"/>
  <c r="O68" i="262"/>
  <c r="L68"/>
  <c r="N68"/>
  <c r="P68"/>
  <c r="H68"/>
  <c r="H68" i="263"/>
  <c r="K52" i="259"/>
  <c r="P68" i="258"/>
  <c r="K68" i="259"/>
  <c r="K68" i="255"/>
  <c r="O68" i="257"/>
  <c r="L68"/>
  <c r="N68"/>
  <c r="AZ23"/>
  <c r="BA23"/>
  <c r="BB23"/>
  <c r="BC23"/>
  <c r="AT23"/>
  <c r="K68"/>
  <c r="AX68"/>
  <c r="H68" i="256"/>
  <c r="Q68" i="255"/>
  <c r="AO23" i="257"/>
  <c r="BE23" i="256"/>
  <c r="AQ68"/>
  <c r="AY68" i="257"/>
  <c r="BB68" i="255"/>
  <c r="AY68" i="256"/>
  <c r="BA68" i="258"/>
  <c r="BB68" i="259"/>
  <c r="BC23"/>
  <c r="AT23"/>
  <c r="Y23"/>
  <c r="AV23"/>
  <c r="AA23"/>
  <c r="BC68" i="255"/>
  <c r="BC68" i="256"/>
  <c r="AX68" i="248"/>
  <c r="BA68" i="261"/>
  <c r="AQ52" i="262"/>
  <c r="BK17" i="263"/>
  <c r="AO68" i="248"/>
  <c r="AO68" i="260"/>
  <c r="BY23" i="263"/>
  <c r="CO23"/>
  <c r="BS23"/>
  <c r="CI23"/>
  <c r="CY23"/>
  <c r="BU52" i="262"/>
  <c r="BS52" i="263"/>
  <c r="CA52"/>
  <c r="CI52"/>
  <c r="CQ52"/>
  <c r="CQ71" s="1"/>
  <c r="CY52"/>
  <c r="BS68"/>
  <c r="CE68"/>
  <c r="CI68"/>
  <c r="CU68"/>
  <c r="CY68"/>
  <c r="BT52" i="261"/>
  <c r="CB52"/>
  <c r="CJ52"/>
  <c r="CR52"/>
  <c r="CZ52"/>
  <c r="BV68" i="260"/>
  <c r="CH68"/>
  <c r="CL68"/>
  <c r="CX68"/>
  <c r="DB68"/>
  <c r="DI67"/>
  <c r="BZ52" i="259"/>
  <c r="CH52"/>
  <c r="CP52"/>
  <c r="CX52"/>
  <c r="DF52"/>
  <c r="DI44" i="258"/>
  <c r="BY52"/>
  <c r="CG52"/>
  <c r="CO52"/>
  <c r="CW52"/>
  <c r="DE52"/>
  <c r="DB68"/>
  <c r="DF68"/>
  <c r="CD68" i="256"/>
  <c r="CL68"/>
  <c r="CP68"/>
  <c r="CT68"/>
  <c r="DB68"/>
  <c r="DI67"/>
  <c r="BZ52" i="255"/>
  <c r="CH52"/>
  <c r="CP52"/>
  <c r="CX52"/>
  <c r="DF52"/>
  <c r="BU68" i="257"/>
  <c r="CG68"/>
  <c r="CK68"/>
  <c r="CW68"/>
  <c r="DA68"/>
  <c r="BU68" i="259"/>
  <c r="CG68"/>
  <c r="CK68"/>
  <c r="CW68"/>
  <c r="DA68"/>
  <c r="BU68" i="248"/>
  <c r="CG68"/>
  <c r="CK68"/>
  <c r="CW68"/>
  <c r="DA68"/>
  <c r="BU68" i="255"/>
  <c r="CG68"/>
  <c r="CK68"/>
  <c r="CW68"/>
  <c r="DA68"/>
  <c r="AD52" i="260"/>
  <c r="AK23" i="258"/>
  <c r="AI52"/>
  <c r="BD52"/>
  <c r="AC52" i="248"/>
  <c r="AS52"/>
  <c r="AI52" i="256"/>
  <c r="AC52" i="255"/>
  <c r="AS52"/>
  <c r="AD52" i="257"/>
  <c r="AS23"/>
  <c r="AH68" i="261"/>
  <c r="AS68" i="259"/>
  <c r="BC68" i="261"/>
  <c r="AQ68" i="262"/>
  <c r="BK17"/>
  <c r="CC23" i="263"/>
  <c r="CS23"/>
  <c r="BW23"/>
  <c r="DC23"/>
  <c r="CF68"/>
  <c r="CJ68"/>
  <c r="CV68"/>
  <c r="CZ68"/>
  <c r="BS52" i="260"/>
  <c r="CA52"/>
  <c r="CI52"/>
  <c r="CQ52"/>
  <c r="CY52"/>
  <c r="DG52"/>
  <c r="CA68"/>
  <c r="CE68"/>
  <c r="CQ68"/>
  <c r="CU68"/>
  <c r="DG68"/>
  <c r="CA68" i="258"/>
  <c r="CE68"/>
  <c r="CQ68"/>
  <c r="CU68"/>
  <c r="DG68"/>
  <c r="BT52" i="248"/>
  <c r="CB52"/>
  <c r="CR52"/>
  <c r="CZ52"/>
  <c r="BS52" i="256"/>
  <c r="CI52"/>
  <c r="CQ52"/>
  <c r="BS68"/>
  <c r="CA68"/>
  <c r="CE68"/>
  <c r="CQ68"/>
  <c r="CU68"/>
  <c r="DG68"/>
  <c r="DI44" i="257"/>
  <c r="BY52"/>
  <c r="CG52"/>
  <c r="CO52"/>
  <c r="CW52"/>
  <c r="DE52"/>
  <c r="BV68"/>
  <c r="BZ68"/>
  <c r="CL68"/>
  <c r="AE23" i="262"/>
  <c r="AI68" i="263"/>
  <c r="AC68" i="262"/>
  <c r="BS68" i="261"/>
  <c r="AD52" i="259"/>
  <c r="AG23"/>
  <c r="AJ68"/>
  <c r="AS23"/>
  <c r="BD23"/>
  <c r="AF68" i="262"/>
  <c r="AI68"/>
  <c r="AB68" i="261"/>
  <c r="AB68" i="259"/>
  <c r="AB23" i="248"/>
  <c r="AB68"/>
  <c r="AB23" i="255"/>
  <c r="AB68"/>
  <c r="AD68" i="261"/>
  <c r="AG68"/>
  <c r="AD68" i="259"/>
  <c r="AG68"/>
  <c r="AD68" i="248"/>
  <c r="AG68"/>
  <c r="AD68" i="255"/>
  <c r="AG68"/>
  <c r="AK68" i="257"/>
  <c r="AS68" i="260"/>
  <c r="AF68" i="259"/>
  <c r="V33" i="263"/>
  <c r="BA156" i="280"/>
  <c r="BA148"/>
  <c r="BA143"/>
  <c r="BA146"/>
  <c r="H108" i="154"/>
  <c r="H328" s="1"/>
  <c r="H329" s="1"/>
  <c r="H330" s="1"/>
  <c r="BA149" i="280"/>
  <c r="BA152"/>
  <c r="BA142"/>
  <c r="H17" i="228"/>
  <c r="I17"/>
  <c r="G108" i="154"/>
  <c r="G328" s="1"/>
  <c r="BA147" i="280"/>
  <c r="BA150"/>
  <c r="BA155"/>
  <c r="O206" i="187"/>
  <c r="I136" i="184"/>
  <c r="H201"/>
  <c r="O212" i="187"/>
  <c r="O240" s="1"/>
  <c r="H218"/>
  <c r="I134" i="184"/>
  <c r="H172"/>
  <c r="K36" i="233"/>
  <c r="L39" i="234"/>
  <c r="O515" i="270"/>
  <c r="H244" i="133"/>
  <c r="H212" i="187"/>
  <c r="H240" s="1"/>
  <c r="F3" i="24"/>
  <c r="J212" i="187" s="1"/>
  <c r="J240" s="1"/>
  <c r="E82" i="6"/>
  <c r="E83"/>
  <c r="E81"/>
  <c r="O407" i="271"/>
  <c r="O358"/>
  <c r="O357"/>
  <c r="O414" s="1"/>
  <c r="O359"/>
  <c r="O360"/>
  <c r="I33" i="237"/>
  <c r="H37"/>
  <c r="H79" s="1"/>
  <c r="H33" i="236"/>
  <c r="G37"/>
  <c r="G70" s="1"/>
  <c r="F146" i="133"/>
  <c r="F128"/>
  <c r="F148" s="1"/>
  <c r="H121" i="200"/>
  <c r="J121"/>
  <c r="L121"/>
  <c r="N121"/>
  <c r="H122"/>
  <c r="G122" s="1"/>
  <c r="I122"/>
  <c r="K122"/>
  <c r="M122"/>
  <c r="O122"/>
  <c r="I121"/>
  <c r="K121"/>
  <c r="M121"/>
  <c r="O121"/>
  <c r="J122"/>
  <c r="L122"/>
  <c r="N122"/>
  <c r="H87" i="197"/>
  <c r="M156" i="272"/>
  <c r="L156"/>
  <c r="J82" i="244"/>
  <c r="H79"/>
  <c r="J156" i="272"/>
  <c r="G79" i="244"/>
  <c r="G92" i="233"/>
  <c r="F119" i="235"/>
  <c r="F92" i="233"/>
  <c r="G95" i="182"/>
  <c r="G98" s="1"/>
  <c r="F42" i="154"/>
  <c r="F47" s="1"/>
  <c r="F21"/>
  <c r="F57"/>
  <c r="F77" s="1"/>
  <c r="F105" s="1"/>
  <c r="F346" s="1"/>
  <c r="G77"/>
  <c r="G105" s="1"/>
  <c r="G346" s="1"/>
  <c r="I42"/>
  <c r="I47" s="1"/>
  <c r="I21"/>
  <c r="H286"/>
  <c r="M103"/>
  <c r="M284" s="1"/>
  <c r="K188" i="238"/>
  <c r="K233" s="1"/>
  <c r="K235" s="1"/>
  <c r="K269" s="1"/>
  <c r="L188"/>
  <c r="L233" s="1"/>
  <c r="L235" s="1"/>
  <c r="L269" s="1"/>
  <c r="F96" i="234"/>
  <c r="O45" i="194"/>
  <c r="O49" s="1"/>
  <c r="O70"/>
  <c r="O53"/>
  <c r="O57" s="1"/>
  <c r="O37"/>
  <c r="O41" s="1"/>
  <c r="O69"/>
  <c r="O93"/>
  <c r="O97" s="1"/>
  <c r="O29"/>
  <c r="O61"/>
  <c r="O65" s="1"/>
  <c r="O85"/>
  <c r="O89" s="1"/>
  <c r="G399" i="270"/>
  <c r="N45" i="194"/>
  <c r="N49" s="1"/>
  <c r="N70"/>
  <c r="O397" i="270"/>
  <c r="N53" i="194"/>
  <c r="N57" s="1"/>
  <c r="N37"/>
  <c r="N41" s="1"/>
  <c r="N69"/>
  <c r="N93"/>
  <c r="N97" s="1"/>
  <c r="N29"/>
  <c r="M37"/>
  <c r="M41" s="1"/>
  <c r="M69"/>
  <c r="M93"/>
  <c r="M97" s="1"/>
  <c r="L45"/>
  <c r="L49" s="1"/>
  <c r="L70"/>
  <c r="N61"/>
  <c r="N65" s="1"/>
  <c r="M45"/>
  <c r="M49" s="1"/>
  <c r="M70"/>
  <c r="G398" i="270"/>
  <c r="N85" i="194"/>
  <c r="N89" s="1"/>
  <c r="M29"/>
  <c r="M85"/>
  <c r="M89" s="1"/>
  <c r="L53"/>
  <c r="L57" s="1"/>
  <c r="L85"/>
  <c r="L89" s="1"/>
  <c r="K53"/>
  <c r="K57" s="1"/>
  <c r="M53"/>
  <c r="M57" s="1"/>
  <c r="L61"/>
  <c r="L65" s="1"/>
  <c r="L93"/>
  <c r="L97" s="1"/>
  <c r="K29"/>
  <c r="K61"/>
  <c r="K65" s="1"/>
  <c r="K85"/>
  <c r="K89" s="1"/>
  <c r="M61"/>
  <c r="M65" s="1"/>
  <c r="L29"/>
  <c r="L69"/>
  <c r="K37"/>
  <c r="K41" s="1"/>
  <c r="K69"/>
  <c r="K93"/>
  <c r="K97" s="1"/>
  <c r="J45"/>
  <c r="J49" s="1"/>
  <c r="J70"/>
  <c r="I45"/>
  <c r="I49" s="1"/>
  <c r="I70"/>
  <c r="L37"/>
  <c r="L41" s="1"/>
  <c r="J53"/>
  <c r="J57" s="1"/>
  <c r="I53"/>
  <c r="I57" s="1"/>
  <c r="H70"/>
  <c r="G61"/>
  <c r="G65" s="1"/>
  <c r="G85"/>
  <c r="G89" s="1"/>
  <c r="F45"/>
  <c r="F70"/>
  <c r="K45"/>
  <c r="K49" s="1"/>
  <c r="J29"/>
  <c r="J61"/>
  <c r="J65" s="1"/>
  <c r="J85"/>
  <c r="J89" s="1"/>
  <c r="I29"/>
  <c r="I61"/>
  <c r="I65" s="1"/>
  <c r="I85"/>
  <c r="I89" s="1"/>
  <c r="H29"/>
  <c r="H53"/>
  <c r="H57" s="1"/>
  <c r="G29"/>
  <c r="G69"/>
  <c r="G93"/>
  <c r="G97" s="1"/>
  <c r="F53"/>
  <c r="I93"/>
  <c r="I97" s="1"/>
  <c r="H69"/>
  <c r="G70"/>
  <c r="F69"/>
  <c r="N397" i="270"/>
  <c r="J37" i="194"/>
  <c r="J41" s="1"/>
  <c r="H37"/>
  <c r="H41" s="1"/>
  <c r="H85"/>
  <c r="H89" s="1"/>
  <c r="F29"/>
  <c r="F85"/>
  <c r="F89" s="1"/>
  <c r="M397" i="270"/>
  <c r="J69" i="194"/>
  <c r="J71" s="1"/>
  <c r="J81" s="1"/>
  <c r="I37"/>
  <c r="I41" s="1"/>
  <c r="G45"/>
  <c r="H93"/>
  <c r="H97" s="1"/>
  <c r="G37"/>
  <c r="G41" s="1"/>
  <c r="K70"/>
  <c r="J93"/>
  <c r="J97" s="1"/>
  <c r="I69"/>
  <c r="I71" s="1"/>
  <c r="I81" s="1"/>
  <c r="G53"/>
  <c r="G57" s="1"/>
  <c r="F37"/>
  <c r="F41" s="1"/>
  <c r="F61"/>
  <c r="F65" s="1"/>
  <c r="K397" i="270"/>
  <c r="H61" i="194"/>
  <c r="H65" s="1"/>
  <c r="F93"/>
  <c r="F97" s="1"/>
  <c r="J397" i="270"/>
  <c r="L397"/>
  <c r="I397"/>
  <c r="H397"/>
  <c r="G397"/>
  <c r="I48" i="194"/>
  <c r="I46"/>
  <c r="G46"/>
  <c r="H46" s="1"/>
  <c r="N63"/>
  <c r="K31"/>
  <c r="I63"/>
  <c r="H40"/>
  <c r="F55"/>
  <c r="O95"/>
  <c r="L47"/>
  <c r="J63"/>
  <c r="H75"/>
  <c r="G63"/>
  <c r="O31"/>
  <c r="K87"/>
  <c r="G39"/>
  <c r="I64"/>
  <c r="M56"/>
  <c r="F54"/>
  <c r="N40"/>
  <c r="G38"/>
  <c r="J30"/>
  <c r="O94"/>
  <c r="I88"/>
  <c r="N72"/>
  <c r="N74" s="1"/>
  <c r="G79"/>
  <c r="K47"/>
  <c r="G87"/>
  <c r="O62"/>
  <c r="J56"/>
  <c r="M48"/>
  <c r="K40"/>
  <c r="N32"/>
  <c r="G30"/>
  <c r="L94"/>
  <c r="O86"/>
  <c r="K73"/>
  <c r="M95"/>
  <c r="G76"/>
  <c r="M62"/>
  <c r="K48"/>
  <c r="L32"/>
  <c r="O88"/>
  <c r="J73"/>
  <c r="G4" i="269"/>
  <c r="N95" i="194"/>
  <c r="O64"/>
  <c r="L54"/>
  <c r="M38"/>
  <c r="M96"/>
  <c r="I86"/>
  <c r="C4" i="269"/>
  <c r="O63" i="194"/>
  <c r="I62"/>
  <c r="G32"/>
  <c r="B8" i="269"/>
  <c r="H88" i="194"/>
  <c r="H54"/>
  <c r="I72"/>
  <c r="F78"/>
  <c r="J48"/>
  <c r="L88"/>
  <c r="F4" i="269"/>
  <c r="G64" i="194"/>
  <c r="F38"/>
  <c r="I79"/>
  <c r="J95"/>
  <c r="E4" i="269"/>
  <c r="G48" i="194"/>
  <c r="H48" s="1"/>
  <c r="N31"/>
  <c r="K63"/>
  <c r="H39"/>
  <c r="G75"/>
  <c r="G77" s="1"/>
  <c r="N55"/>
  <c r="K55"/>
  <c r="H31"/>
  <c r="G95"/>
  <c r="M47"/>
  <c r="H87"/>
  <c r="N62"/>
  <c r="N54"/>
  <c r="K46"/>
  <c r="M32"/>
  <c r="N96"/>
  <c r="M88"/>
  <c r="L72"/>
  <c r="N47"/>
  <c r="H64"/>
  <c r="K62"/>
  <c r="K54"/>
  <c r="O40"/>
  <c r="J32"/>
  <c r="K96"/>
  <c r="J88"/>
  <c r="I73"/>
  <c r="K39"/>
  <c r="L64"/>
  <c r="J46"/>
  <c r="L96"/>
  <c r="N73"/>
  <c r="C8" i="269"/>
  <c r="L39" i="194"/>
  <c r="F31"/>
  <c r="N48"/>
  <c r="F32"/>
  <c r="G88"/>
  <c r="D8" i="269"/>
  <c r="J55" i="194"/>
  <c r="N38"/>
  <c r="D4" i="269"/>
  <c r="K64" i="194"/>
  <c r="L30"/>
  <c r="O72"/>
  <c r="L62"/>
  <c r="I96"/>
  <c r="N39"/>
  <c r="O48"/>
  <c r="L86"/>
  <c r="I39"/>
  <c r="M39"/>
  <c r="J39"/>
  <c r="H76"/>
  <c r="F87"/>
  <c r="M31"/>
  <c r="J31"/>
  <c r="J111" s="1"/>
  <c r="H32"/>
  <c r="F47"/>
  <c r="L31"/>
  <c r="F75"/>
  <c r="F77" s="1"/>
  <c r="J62"/>
  <c r="J54"/>
  <c r="J40"/>
  <c r="I32"/>
  <c r="J96"/>
  <c r="N86"/>
  <c r="J72"/>
  <c r="J74" s="1"/>
  <c r="L87"/>
  <c r="F63"/>
  <c r="G62"/>
  <c r="G54"/>
  <c r="F40"/>
  <c r="O30"/>
  <c r="F96"/>
  <c r="K86"/>
  <c r="H73"/>
  <c r="H56"/>
  <c r="G59"/>
  <c r="I40"/>
  <c r="M94"/>
  <c r="G72"/>
  <c r="F79"/>
  <c r="F64"/>
  <c r="M46"/>
  <c r="H30"/>
  <c r="K72"/>
  <c r="K74" s="1"/>
  <c r="F72"/>
  <c r="H55"/>
  <c r="G96"/>
  <c r="J4" i="269"/>
  <c r="O56" i="194"/>
  <c r="O39"/>
  <c r="F56"/>
  <c r="H26"/>
  <c r="M40"/>
  <c r="F73"/>
  <c r="J94"/>
  <c r="M87"/>
  <c r="J87"/>
  <c r="H79"/>
  <c r="AY80" i="277"/>
  <c r="M63" i="194"/>
  <c r="I55"/>
  <c r="H78"/>
  <c r="H80" s="1"/>
  <c r="F76"/>
  <c r="J47"/>
  <c r="F62"/>
  <c r="L48"/>
  <c r="O38"/>
  <c r="N30"/>
  <c r="K94"/>
  <c r="J86"/>
  <c r="I78"/>
  <c r="I80" s="1"/>
  <c r="I76"/>
  <c r="N64"/>
  <c r="N56"/>
  <c r="F48"/>
  <c r="L38"/>
  <c r="K30"/>
  <c r="H94"/>
  <c r="G86"/>
  <c r="G78"/>
  <c r="G80" s="1"/>
  <c r="F39"/>
  <c r="G56"/>
  <c r="J38"/>
  <c r="F88"/>
  <c r="K4" i="269"/>
  <c r="G101" i="197"/>
  <c r="H95" i="194"/>
  <c r="H62"/>
  <c r="L40"/>
  <c r="N94"/>
  <c r="H72"/>
  <c r="E8" i="269"/>
  <c r="F8" s="1"/>
  <c r="G8" s="1"/>
  <c r="M54" i="194"/>
  <c r="K88"/>
  <c r="F46"/>
  <c r="B4" i="269"/>
  <c r="G40" i="194"/>
  <c r="M72"/>
  <c r="M74" s="1"/>
  <c r="I75"/>
  <c r="I30"/>
  <c r="O73"/>
  <c r="M86"/>
  <c r="I47"/>
  <c r="O55"/>
  <c r="O47"/>
  <c r="N87"/>
  <c r="O46"/>
  <c r="F86"/>
  <c r="O54"/>
  <c r="N88"/>
  <c r="I54"/>
  <c r="M55"/>
  <c r="F94"/>
  <c r="L73"/>
  <c r="F95"/>
  <c r="I94"/>
  <c r="L55"/>
  <c r="L95"/>
  <c r="I31"/>
  <c r="K38"/>
  <c r="O87"/>
  <c r="L46"/>
  <c r="M73"/>
  <c r="M30"/>
  <c r="G55"/>
  <c r="C43" i="269"/>
  <c r="AX23" i="276"/>
  <c r="K32" i="194"/>
  <c r="B606" i="270"/>
  <c r="I95" i="194"/>
  <c r="I87"/>
  <c r="M64"/>
  <c r="F30"/>
  <c r="H63"/>
  <c r="H38"/>
  <c r="L63"/>
  <c r="H86"/>
  <c r="K56"/>
  <c r="K95"/>
  <c r="I38"/>
  <c r="G73"/>
  <c r="G47"/>
  <c r="H47" s="1"/>
  <c r="G31"/>
  <c r="H96"/>
  <c r="I56"/>
  <c r="G94"/>
  <c r="J64"/>
  <c r="O96"/>
  <c r="F79" i="277"/>
  <c r="L4" i="269"/>
  <c r="O32" i="194"/>
  <c r="N46"/>
  <c r="B605" i="270"/>
  <c r="L56" i="194"/>
  <c r="H120" i="271"/>
  <c r="I76"/>
  <c r="F80" i="244"/>
  <c r="H366" i="271"/>
  <c r="H365"/>
  <c r="G352" i="270"/>
  <c r="G392" s="1"/>
  <c r="F352"/>
  <c r="F392" s="1"/>
  <c r="F628" s="1"/>
  <c r="J88" i="190"/>
  <c r="O389" i="271"/>
  <c r="O379"/>
  <c r="O376"/>
  <c r="O382"/>
  <c r="O393"/>
  <c r="N379"/>
  <c r="N382"/>
  <c r="N393"/>
  <c r="L376"/>
  <c r="N389"/>
  <c r="M379"/>
  <c r="M382"/>
  <c r="M393"/>
  <c r="J376"/>
  <c r="I389"/>
  <c r="L382"/>
  <c r="K379"/>
  <c r="K382"/>
  <c r="K393"/>
  <c r="I376"/>
  <c r="N376"/>
  <c r="M376"/>
  <c r="L389"/>
  <c r="K389"/>
  <c r="J379"/>
  <c r="J382"/>
  <c r="J393"/>
  <c r="H389"/>
  <c r="M389"/>
  <c r="L379"/>
  <c r="L393"/>
  <c r="K376"/>
  <c r="I382"/>
  <c r="G376"/>
  <c r="G405" s="1"/>
  <c r="F379"/>
  <c r="F389"/>
  <c r="J389"/>
  <c r="H379"/>
  <c r="H393"/>
  <c r="G382"/>
  <c r="G411" s="1"/>
  <c r="G393"/>
  <c r="G422" s="1"/>
  <c r="H376"/>
  <c r="G379"/>
  <c r="G408" s="1"/>
  <c r="G389"/>
  <c r="G418" s="1"/>
  <c r="F376"/>
  <c r="I379"/>
  <c r="I393"/>
  <c r="H382"/>
  <c r="F393"/>
  <c r="F382"/>
  <c r="F411" s="1"/>
  <c r="P379"/>
  <c r="P389"/>
  <c r="G63" i="157"/>
  <c r="F63"/>
  <c r="D15" i="269"/>
  <c r="I15"/>
  <c r="C15"/>
  <c r="B15"/>
  <c r="J15" s="1"/>
  <c r="O246" i="154"/>
  <c r="O331" s="1"/>
  <c r="O387" i="271"/>
  <c r="O220" i="154"/>
  <c r="O314" s="1"/>
  <c r="O315" s="1"/>
  <c r="F150"/>
  <c r="O238"/>
  <c r="O322" s="1"/>
  <c r="O323" s="1"/>
  <c r="F197"/>
  <c r="O386" i="271"/>
  <c r="F201" i="154"/>
  <c r="N300" s="1"/>
  <c r="F178"/>
  <c r="O377" i="271"/>
  <c r="O391"/>
  <c r="O420" s="1"/>
  <c r="O384"/>
  <c r="O388"/>
  <c r="N238" i="154"/>
  <c r="N322" s="1"/>
  <c r="N323" s="1"/>
  <c r="G246"/>
  <c r="N385" i="271"/>
  <c r="N386"/>
  <c r="N387"/>
  <c r="N391"/>
  <c r="N220" i="154"/>
  <c r="N314" s="1"/>
  <c r="N315" s="1"/>
  <c r="M385" i="271"/>
  <c r="M386"/>
  <c r="M387"/>
  <c r="M391"/>
  <c r="M220" i="154"/>
  <c r="M314" s="1"/>
  <c r="M315" s="1"/>
  <c r="L238"/>
  <c r="L322" s="1"/>
  <c r="L323" s="1"/>
  <c r="M238"/>
  <c r="M322" s="1"/>
  <c r="M323" s="1"/>
  <c r="L380" i="271"/>
  <c r="L385"/>
  <c r="N380"/>
  <c r="L391"/>
  <c r="L220" i="154"/>
  <c r="L314" s="1"/>
  <c r="L315" s="1"/>
  <c r="J380" i="271"/>
  <c r="K380"/>
  <c r="L386"/>
  <c r="K385"/>
  <c r="K386"/>
  <c r="K387"/>
  <c r="K391"/>
  <c r="K220" i="154"/>
  <c r="K314" s="1"/>
  <c r="K315" s="1"/>
  <c r="J238"/>
  <c r="J322" s="1"/>
  <c r="J323" s="1"/>
  <c r="J220"/>
  <c r="J314" s="1"/>
  <c r="J315" s="1"/>
  <c r="I385" i="271"/>
  <c r="I386"/>
  <c r="I387"/>
  <c r="I391"/>
  <c r="I238" i="154"/>
  <c r="I322" s="1"/>
  <c r="I323" s="1"/>
  <c r="K238"/>
  <c r="K322" s="1"/>
  <c r="K323" s="1"/>
  <c r="J385" i="271"/>
  <c r="J387"/>
  <c r="G380"/>
  <c r="G409" s="1"/>
  <c r="G385"/>
  <c r="G414" s="1"/>
  <c r="F380"/>
  <c r="F385"/>
  <c r="L387"/>
  <c r="F246" i="154"/>
  <c r="F331" s="1"/>
  <c r="M380" i="271"/>
  <c r="J386"/>
  <c r="I380"/>
  <c r="I220" i="154"/>
  <c r="I314" s="1"/>
  <c r="I315" s="1"/>
  <c r="H386" i="271"/>
  <c r="H391"/>
  <c r="H420" s="1"/>
  <c r="H220" i="154"/>
  <c r="H314" s="1"/>
  <c r="H315" s="1"/>
  <c r="F386" i="271"/>
  <c r="M384"/>
  <c r="L388"/>
  <c r="J391"/>
  <c r="G386"/>
  <c r="G391"/>
  <c r="F387"/>
  <c r="N377"/>
  <c r="L384"/>
  <c r="H385"/>
  <c r="H387"/>
  <c r="G387"/>
  <c r="H380"/>
  <c r="H238" i="154"/>
  <c r="H322" s="1"/>
  <c r="H323" s="1"/>
  <c r="F391" i="271"/>
  <c r="K384"/>
  <c r="J388"/>
  <c r="I377"/>
  <c r="H384"/>
  <c r="N384"/>
  <c r="J384"/>
  <c r="I388"/>
  <c r="N388"/>
  <c r="M388"/>
  <c r="L377"/>
  <c r="K377"/>
  <c r="I384"/>
  <c r="H377"/>
  <c r="M377"/>
  <c r="K388"/>
  <c r="G384"/>
  <c r="J377"/>
  <c r="F377"/>
  <c r="F388"/>
  <c r="H388"/>
  <c r="F384"/>
  <c r="G377"/>
  <c r="G388"/>
  <c r="F238" i="154"/>
  <c r="F322" s="1"/>
  <c r="D103" i="277"/>
  <c r="F220" i="154"/>
  <c r="F314" s="1"/>
  <c r="G238"/>
  <c r="G322" s="1"/>
  <c r="R165" i="272"/>
  <c r="F166" i="154"/>
  <c r="G220"/>
  <c r="G314" s="1"/>
  <c r="F418" i="271"/>
  <c r="F413"/>
  <c r="F406"/>
  <c r="F414"/>
  <c r="F420"/>
  <c r="H552" i="270"/>
  <c r="I388"/>
  <c r="H360" i="271"/>
  <c r="G123" i="191"/>
  <c r="G148"/>
  <c r="J142" i="271"/>
  <c r="I143"/>
  <c r="F140" i="184"/>
  <c r="G6" i="35"/>
  <c r="AY411" i="277"/>
  <c r="H50" i="235"/>
  <c r="H41"/>
  <c r="K37" i="233"/>
  <c r="J46"/>
  <c r="K46" s="1"/>
  <c r="I38" i="234"/>
  <c r="I47"/>
  <c r="J5" i="231"/>
  <c r="K40" i="234"/>
  <c r="M42" i="235"/>
  <c r="I40"/>
  <c r="BG51" i="263"/>
  <c r="AY68"/>
  <c r="AR52"/>
  <c r="AZ52"/>
  <c r="AV23"/>
  <c r="AA23"/>
  <c r="AN23" i="262"/>
  <c r="BG12"/>
  <c r="AU52" i="261"/>
  <c r="AQ68" i="263"/>
  <c r="BG20" i="260"/>
  <c r="AN68" i="261"/>
  <c r="BG14" i="260"/>
  <c r="BF23" i="259"/>
  <c r="BF68"/>
  <c r="AN68"/>
  <c r="AN23"/>
  <c r="BG12"/>
  <c r="BG20" i="248"/>
  <c r="AU52"/>
  <c r="BF23" i="256"/>
  <c r="BF68" i="255"/>
  <c r="AN68"/>
  <c r="BG51" i="248"/>
  <c r="AN23" i="255"/>
  <c r="BG12"/>
  <c r="Z23"/>
  <c r="G52" i="262"/>
  <c r="R33"/>
  <c r="R44" i="261"/>
  <c r="I68" i="260"/>
  <c r="AP23" i="258"/>
  <c r="BF23" i="257"/>
  <c r="G68" i="263"/>
  <c r="R61"/>
  <c r="J52" i="262"/>
  <c r="Q52"/>
  <c r="G52" i="261"/>
  <c r="R33"/>
  <c r="M52" i="260"/>
  <c r="R44"/>
  <c r="AP23" i="257"/>
  <c r="H68" i="258"/>
  <c r="AN68" i="257"/>
  <c r="G68" i="260"/>
  <c r="R61"/>
  <c r="H68"/>
  <c r="Q52"/>
  <c r="G52" i="259"/>
  <c r="R33"/>
  <c r="L68"/>
  <c r="N68"/>
  <c r="G68" i="258"/>
  <c r="R61"/>
  <c r="L52"/>
  <c r="R51" i="262"/>
  <c r="I68" i="261"/>
  <c r="M52" i="258"/>
  <c r="R44"/>
  <c r="N52" i="248"/>
  <c r="M52" i="256"/>
  <c r="R44"/>
  <c r="G52" i="263"/>
  <c r="R33"/>
  <c r="R44" i="262"/>
  <c r="P68" i="261"/>
  <c r="N68" i="256"/>
  <c r="H68" i="255"/>
  <c r="I52" i="248"/>
  <c r="BA52" i="257"/>
  <c r="AT52"/>
  <c r="G68"/>
  <c r="R61"/>
  <c r="L52"/>
  <c r="U23"/>
  <c r="AV52"/>
  <c r="T68" i="255"/>
  <c r="L68" i="248"/>
  <c r="I52" i="255"/>
  <c r="M52" i="257"/>
  <c r="AQ23"/>
  <c r="AY23" i="255"/>
  <c r="AR23"/>
  <c r="BK17" i="256"/>
  <c r="AY23" i="248"/>
  <c r="AR23"/>
  <c r="AQ68" i="258"/>
  <c r="BK17"/>
  <c r="AY23" i="259"/>
  <c r="AR23"/>
  <c r="AW68" i="255"/>
  <c r="AZ68"/>
  <c r="AQ23" i="256"/>
  <c r="AW68" i="248"/>
  <c r="AZ68"/>
  <c r="BB68" i="258"/>
  <c r="AQ23"/>
  <c r="AW68" i="259"/>
  <c r="AZ68"/>
  <c r="AV23" i="255"/>
  <c r="AA23"/>
  <c r="AV23" i="256"/>
  <c r="AA23"/>
  <c r="AV23" i="248"/>
  <c r="AA23"/>
  <c r="AV23" i="258"/>
  <c r="AA23"/>
  <c r="AW68" i="257"/>
  <c r="BI23" i="255"/>
  <c r="BK12"/>
  <c r="BK37"/>
  <c r="BA52" i="256"/>
  <c r="AT52"/>
  <c r="AV52"/>
  <c r="BI23"/>
  <c r="BK12"/>
  <c r="AW23" i="248"/>
  <c r="AZ52" i="258"/>
  <c r="T68"/>
  <c r="AT52"/>
  <c r="AX23" i="260"/>
  <c r="BK14"/>
  <c r="AX23" i="261"/>
  <c r="BK14"/>
  <c r="AX23" i="262"/>
  <c r="BK14"/>
  <c r="AZ52" i="248"/>
  <c r="BK20" i="258"/>
  <c r="BA52" i="259"/>
  <c r="BI68"/>
  <c r="AX68" i="260"/>
  <c r="BI23"/>
  <c r="BK12"/>
  <c r="BK37"/>
  <c r="BA52" i="261"/>
  <c r="AT52"/>
  <c r="AV52"/>
  <c r="BJ23" i="262"/>
  <c r="T68"/>
  <c r="AW23"/>
  <c r="BK20"/>
  <c r="AR23" i="260"/>
  <c r="BK17"/>
  <c r="AY23" i="261"/>
  <c r="BI68" i="262"/>
  <c r="BK20" i="259"/>
  <c r="AY23" i="262"/>
  <c r="BE23"/>
  <c r="BI23" i="263"/>
  <c r="BK12"/>
  <c r="BK37"/>
  <c r="AO68" i="259"/>
  <c r="BE23" i="260"/>
  <c r="AQ68" i="261"/>
  <c r="AR52" i="262"/>
  <c r="CJ23" i="263"/>
  <c r="CE23" i="262"/>
  <c r="CU23"/>
  <c r="CH23" i="261"/>
  <c r="CX23"/>
  <c r="BY23" i="260"/>
  <c r="CO23"/>
  <c r="DE23"/>
  <c r="CB23" i="259"/>
  <c r="CR23"/>
  <c r="CE23" i="258"/>
  <c r="BZ23" i="263"/>
  <c r="DD23"/>
  <c r="BZ23" i="262"/>
  <c r="CP23"/>
  <c r="DF23"/>
  <c r="CG23" i="261"/>
  <c r="CW23"/>
  <c r="BT23" i="260"/>
  <c r="CJ23"/>
  <c r="CZ23"/>
  <c r="BW23" i="259"/>
  <c r="CM23"/>
  <c r="DC23"/>
  <c r="BZ23" i="258"/>
  <c r="CP23"/>
  <c r="DF23"/>
  <c r="CG23" i="248"/>
  <c r="CW23"/>
  <c r="BT23" i="256"/>
  <c r="CJ23"/>
  <c r="CZ23"/>
  <c r="BW23" i="255"/>
  <c r="CM23"/>
  <c r="DC23"/>
  <c r="BZ23" i="257"/>
  <c r="CP23"/>
  <c r="DF23"/>
  <c r="DA23" i="263"/>
  <c r="CG23" i="262"/>
  <c r="CW23"/>
  <c r="BT23" i="261"/>
  <c r="CJ23"/>
  <c r="CZ23"/>
  <c r="BW23" i="260"/>
  <c r="BW71" s="1"/>
  <c r="CM23"/>
  <c r="DC23"/>
  <c r="BZ23" i="259"/>
  <c r="CP23"/>
  <c r="DF23"/>
  <c r="CG23" i="258"/>
  <c r="CW23"/>
  <c r="BT23" i="248"/>
  <c r="CJ23"/>
  <c r="CZ23"/>
  <c r="BW23" i="256"/>
  <c r="CM23"/>
  <c r="DC23"/>
  <c r="BZ23" i="255"/>
  <c r="CP23"/>
  <c r="DF23"/>
  <c r="CG23" i="257"/>
  <c r="CW23"/>
  <c r="CF23" i="262"/>
  <c r="BZ23" i="260"/>
  <c r="CK23" i="259"/>
  <c r="CM23" i="258"/>
  <c r="CA23" i="248"/>
  <c r="DG23"/>
  <c r="CX23" i="256"/>
  <c r="CN23" i="255"/>
  <c r="CA23" i="257"/>
  <c r="DG23"/>
  <c r="DG52" i="263"/>
  <c r="DI44" i="260"/>
  <c r="DI33"/>
  <c r="BY52"/>
  <c r="CG52"/>
  <c r="CO52"/>
  <c r="CW52"/>
  <c r="DE52"/>
  <c r="DI33" i="258"/>
  <c r="DI67"/>
  <c r="BZ52" i="248"/>
  <c r="CH52"/>
  <c r="CP52"/>
  <c r="CX52"/>
  <c r="DF52"/>
  <c r="DI44" i="256"/>
  <c r="DI33"/>
  <c r="BY52"/>
  <c r="CG52"/>
  <c r="CO52"/>
  <c r="CW52"/>
  <c r="DE52"/>
  <c r="BW52" i="257"/>
  <c r="CE52"/>
  <c r="CM52"/>
  <c r="CU52"/>
  <c r="DC52"/>
  <c r="AE23" i="263"/>
  <c r="CG23" i="259"/>
  <c r="CV23" i="258"/>
  <c r="CD23" i="248"/>
  <c r="BU23" i="256"/>
  <c r="DA23"/>
  <c r="CW23" i="255"/>
  <c r="CB23" i="257"/>
  <c r="BX52" i="262"/>
  <c r="CF52"/>
  <c r="CN52"/>
  <c r="CV52"/>
  <c r="DI37" i="258"/>
  <c r="AK52" i="263"/>
  <c r="AI23"/>
  <c r="AB52" i="262"/>
  <c r="AC23"/>
  <c r="CN23"/>
  <c r="DC23" i="261"/>
  <c r="CS23" i="259"/>
  <c r="CY23" i="258"/>
  <c r="CE23" i="248"/>
  <c r="CT23" i="256"/>
  <c r="CJ23" i="255"/>
  <c r="BW23" i="257"/>
  <c r="DC23"/>
  <c r="BZ52" i="263"/>
  <c r="CH52"/>
  <c r="CP52"/>
  <c r="CX52"/>
  <c r="DF52"/>
  <c r="DI44" i="261"/>
  <c r="DI33"/>
  <c r="BY52"/>
  <c r="CG52"/>
  <c r="CO52"/>
  <c r="CW52"/>
  <c r="DE52"/>
  <c r="BR68"/>
  <c r="BV68"/>
  <c r="BZ68"/>
  <c r="CD68"/>
  <c r="CH68"/>
  <c r="CL68"/>
  <c r="CP68"/>
  <c r="CT68"/>
  <c r="CX68"/>
  <c r="DB68"/>
  <c r="DF68"/>
  <c r="DI67"/>
  <c r="BZ52" i="260"/>
  <c r="CH52"/>
  <c r="CP52"/>
  <c r="CX52"/>
  <c r="DF52"/>
  <c r="BW52" i="259"/>
  <c r="CE52"/>
  <c r="CM52"/>
  <c r="CU52"/>
  <c r="DC52"/>
  <c r="BQ68"/>
  <c r="BX52" i="258"/>
  <c r="CF52"/>
  <c r="CN52"/>
  <c r="CV52"/>
  <c r="BW52" i="248"/>
  <c r="CE52"/>
  <c r="CM52"/>
  <c r="CU52"/>
  <c r="DC52"/>
  <c r="BQ68"/>
  <c r="BX52" i="256"/>
  <c r="CF52"/>
  <c r="CN52"/>
  <c r="CV52"/>
  <c r="BW52" i="255"/>
  <c r="CE52"/>
  <c r="CM52"/>
  <c r="CU52"/>
  <c r="DC52"/>
  <c r="BQ68"/>
  <c r="BX52" i="257"/>
  <c r="CF52"/>
  <c r="CN52"/>
  <c r="CV52"/>
  <c r="BS23" i="261"/>
  <c r="CT23" i="260"/>
  <c r="BX23" i="258"/>
  <c r="BZ23" i="248"/>
  <c r="DF23"/>
  <c r="CW23" i="256"/>
  <c r="CC23" i="255"/>
  <c r="BX23" i="257"/>
  <c r="DD23"/>
  <c r="BW52" i="262"/>
  <c r="CE52"/>
  <c r="CM52"/>
  <c r="CU52"/>
  <c r="DC52"/>
  <c r="BQ68"/>
  <c r="DI37" i="259"/>
  <c r="BD23" i="261"/>
  <c r="AI52" i="263"/>
  <c r="AC52" i="262"/>
  <c r="BD52"/>
  <c r="AC52" i="261"/>
  <c r="AB23" i="260"/>
  <c r="AB68"/>
  <c r="AS52"/>
  <c r="AB23" i="256"/>
  <c r="AB68"/>
  <c r="AF23" i="261"/>
  <c r="AD23" i="260"/>
  <c r="AE23" i="259"/>
  <c r="AF23" i="248"/>
  <c r="AD23" i="256"/>
  <c r="AE23" i="255"/>
  <c r="AB52" i="260"/>
  <c r="AD52" i="256"/>
  <c r="BD23"/>
  <c r="AS23" i="255"/>
  <c r="AH23" i="257"/>
  <c r="AI23"/>
  <c r="AK68" i="263"/>
  <c r="AC23" i="259"/>
  <c r="AB68" i="262"/>
  <c r="AJ68" i="258"/>
  <c r="AJ68" i="256"/>
  <c r="AH23" i="248"/>
  <c r="AE68"/>
  <c r="AI23"/>
  <c r="AB52" i="256"/>
  <c r="AH23" i="255"/>
  <c r="AE68"/>
  <c r="AI23"/>
  <c r="AF23" i="257"/>
  <c r="BM28"/>
  <c r="R31" i="259"/>
  <c r="R31" i="263"/>
  <c r="R31" i="261"/>
  <c r="F158" i="238"/>
  <c r="O173"/>
  <c r="O193"/>
  <c r="O224" s="1"/>
  <c r="O226" s="1"/>
  <c r="M173"/>
  <c r="N173"/>
  <c r="M168"/>
  <c r="M218" s="1"/>
  <c r="M220" s="1"/>
  <c r="N193"/>
  <c r="N224" s="1"/>
  <c r="N226" s="1"/>
  <c r="K173"/>
  <c r="M193"/>
  <c r="M224" s="1"/>
  <c r="M226" s="1"/>
  <c r="M227" s="1"/>
  <c r="M270" s="1"/>
  <c r="L173"/>
  <c r="N168"/>
  <c r="N218" s="1"/>
  <c r="N220" s="1"/>
  <c r="K193"/>
  <c r="K224" s="1"/>
  <c r="K226" s="1"/>
  <c r="J168"/>
  <c r="J218" s="1"/>
  <c r="J220" s="1"/>
  <c r="L193"/>
  <c r="L224" s="1"/>
  <c r="L226" s="1"/>
  <c r="J193"/>
  <c r="J224" s="1"/>
  <c r="J226" s="1"/>
  <c r="J227" s="1"/>
  <c r="J270" s="1"/>
  <c r="L168"/>
  <c r="L218" s="1"/>
  <c r="L220" s="1"/>
  <c r="K168"/>
  <c r="K218" s="1"/>
  <c r="K220" s="1"/>
  <c r="I173"/>
  <c r="H173"/>
  <c r="I168"/>
  <c r="I218" s="1"/>
  <c r="I220" s="1"/>
  <c r="H168"/>
  <c r="H218" s="1"/>
  <c r="H220" s="1"/>
  <c r="G173"/>
  <c r="F193"/>
  <c r="F224" s="1"/>
  <c r="F226" s="1"/>
  <c r="F227" s="1"/>
  <c r="F270" s="1"/>
  <c r="J173"/>
  <c r="I193"/>
  <c r="I224" s="1"/>
  <c r="I226" s="1"/>
  <c r="I227" s="1"/>
  <c r="I270" s="1"/>
  <c r="H193"/>
  <c r="H224" s="1"/>
  <c r="H226" s="1"/>
  <c r="G168"/>
  <c r="G218" s="1"/>
  <c r="G220" s="1"/>
  <c r="G193"/>
  <c r="G224" s="1"/>
  <c r="G226" s="1"/>
  <c r="F173"/>
  <c r="F168"/>
  <c r="F218" s="1"/>
  <c r="F220" s="1"/>
  <c r="G22" i="6"/>
  <c r="A306" i="270"/>
  <c r="O356" i="271"/>
  <c r="O76" i="189"/>
  <c r="O78"/>
  <c r="N152" s="1"/>
  <c r="N76"/>
  <c r="N78"/>
  <c r="M152" s="1"/>
  <c r="M76"/>
  <c r="L78"/>
  <c r="K152" s="1"/>
  <c r="J78"/>
  <c r="I152" s="1"/>
  <c r="H78"/>
  <c r="G152" s="1"/>
  <c r="M78"/>
  <c r="L152" s="1"/>
  <c r="K76"/>
  <c r="K78"/>
  <c r="J152" s="1"/>
  <c r="J76"/>
  <c r="I78"/>
  <c r="H152" s="1"/>
  <c r="L76"/>
  <c r="G78"/>
  <c r="F152" s="1"/>
  <c r="I76"/>
  <c r="H76"/>
  <c r="G76"/>
  <c r="F78"/>
  <c r="E152" s="1"/>
  <c r="F76"/>
  <c r="F7" i="24"/>
  <c r="F67" i="235"/>
  <c r="F68"/>
  <c r="O314" i="271"/>
  <c r="O315"/>
  <c r="Q316"/>
  <c r="H316" s="1"/>
  <c r="O151" i="272"/>
  <c r="O155"/>
  <c r="O153"/>
  <c r="O152"/>
  <c r="O154"/>
  <c r="I155" i="133"/>
  <c r="I43" i="233"/>
  <c r="I47" s="1"/>
  <c r="I83" s="1"/>
  <c r="I90" s="1"/>
  <c r="F129" i="133"/>
  <c r="F149" s="1"/>
  <c r="H48" i="235"/>
  <c r="H52" s="1"/>
  <c r="H111" s="1"/>
  <c r="H116" s="1"/>
  <c r="J87" i="197"/>
  <c r="M79" i="244"/>
  <c r="K82"/>
  <c r="K270" i="272"/>
  <c r="K156"/>
  <c r="G156"/>
  <c r="I156"/>
  <c r="J270"/>
  <c r="G415" i="271"/>
  <c r="I46" i="184"/>
  <c r="H50"/>
  <c r="H190" s="1"/>
  <c r="G88" i="190"/>
  <c r="H88"/>
  <c r="F300" i="154"/>
  <c r="G300"/>
  <c r="H300"/>
  <c r="H42"/>
  <c r="H47" s="1"/>
  <c r="H21"/>
  <c r="F102"/>
  <c r="F262" s="1"/>
  <c r="I102"/>
  <c r="I262" s="1"/>
  <c r="J103"/>
  <c r="J284" s="1"/>
  <c r="J42"/>
  <c r="J47" s="1"/>
  <c r="J21"/>
  <c r="K286"/>
  <c r="K287" s="1"/>
  <c r="L42"/>
  <c r="L47" s="1"/>
  <c r="L21"/>
  <c r="L104"/>
  <c r="L299" s="1"/>
  <c r="L300" s="1"/>
  <c r="M42"/>
  <c r="M47" s="1"/>
  <c r="M21"/>
  <c r="N286"/>
  <c r="N287" s="1"/>
  <c r="O300"/>
  <c r="O408" i="271"/>
  <c r="G188" i="238"/>
  <c r="G233" s="1"/>
  <c r="G235" s="1"/>
  <c r="G269" s="1"/>
  <c r="J188"/>
  <c r="J233" s="1"/>
  <c r="J235" s="1"/>
  <c r="J269" s="1"/>
  <c r="I135" i="184"/>
  <c r="H189"/>
  <c r="O15" i="196"/>
  <c r="O19" s="1"/>
  <c r="O23"/>
  <c r="O27" s="1"/>
  <c r="O31"/>
  <c r="N31"/>
  <c r="N15"/>
  <c r="N19" s="1"/>
  <c r="M15"/>
  <c r="M19" s="1"/>
  <c r="N23"/>
  <c r="N27" s="1"/>
  <c r="L31"/>
  <c r="M31"/>
  <c r="M23"/>
  <c r="M27" s="1"/>
  <c r="L23"/>
  <c r="L27" s="1"/>
  <c r="K31"/>
  <c r="J23"/>
  <c r="J27" s="1"/>
  <c r="K23"/>
  <c r="K27" s="1"/>
  <c r="J15"/>
  <c r="J19" s="1"/>
  <c r="L15"/>
  <c r="L19" s="1"/>
  <c r="K15"/>
  <c r="K19" s="1"/>
  <c r="J31"/>
  <c r="I15"/>
  <c r="I19" s="1"/>
  <c r="G31"/>
  <c r="F15"/>
  <c r="F19" s="1"/>
  <c r="I31"/>
  <c r="H31"/>
  <c r="G23"/>
  <c r="G27" s="1"/>
  <c r="I23"/>
  <c r="I27" s="1"/>
  <c r="H23"/>
  <c r="H27" s="1"/>
  <c r="F31"/>
  <c r="H15"/>
  <c r="H19" s="1"/>
  <c r="G15"/>
  <c r="G19" s="1"/>
  <c r="F23"/>
  <c r="F27" s="1"/>
  <c r="K33"/>
  <c r="O17"/>
  <c r="H33"/>
  <c r="K25"/>
  <c r="M17"/>
  <c r="F26"/>
  <c r="H18"/>
  <c r="G32"/>
  <c r="E18" i="269"/>
  <c r="G18"/>
  <c r="F32" i="196"/>
  <c r="G16"/>
  <c r="J16"/>
  <c r="N32"/>
  <c r="M16"/>
  <c r="N18"/>
  <c r="M26"/>
  <c r="F34"/>
  <c r="F18"/>
  <c r="K17"/>
  <c r="N34"/>
  <c r="H32"/>
  <c r="K32"/>
  <c r="M25"/>
  <c r="H25"/>
  <c r="G17"/>
  <c r="O25"/>
  <c r="G25"/>
  <c r="I16"/>
  <c r="M18"/>
  <c r="G24"/>
  <c r="K26"/>
  <c r="F24"/>
  <c r="O34"/>
  <c r="F25"/>
  <c r="B18" i="269"/>
  <c r="J34" i="196"/>
  <c r="J17"/>
  <c r="L26"/>
  <c r="O33"/>
  <c r="O41" s="1"/>
  <c r="L16"/>
  <c r="I24"/>
  <c r="I18"/>
  <c r="L33"/>
  <c r="M33"/>
  <c r="F17"/>
  <c r="L17"/>
  <c r="L25"/>
  <c r="H18" i="269"/>
  <c r="M32" i="196"/>
  <c r="O32"/>
  <c r="H16"/>
  <c r="J26"/>
  <c r="I32"/>
  <c r="I40" s="1"/>
  <c r="F18" i="269"/>
  <c r="H26" i="196"/>
  <c r="K18"/>
  <c r="F33"/>
  <c r="I18" i="269"/>
  <c r="M24" i="196"/>
  <c r="G18"/>
  <c r="J25"/>
  <c r="J33"/>
  <c r="J41" s="1"/>
  <c r="N25"/>
  <c r="I33"/>
  <c r="H34"/>
  <c r="N24"/>
  <c r="O26"/>
  <c r="G34"/>
  <c r="L18"/>
  <c r="O24"/>
  <c r="M34"/>
  <c r="M42" s="1"/>
  <c r="J24"/>
  <c r="L24"/>
  <c r="O18"/>
  <c r="K34"/>
  <c r="K42" s="1"/>
  <c r="C18" i="269"/>
  <c r="G33" i="196"/>
  <c r="G41" s="1"/>
  <c r="F16"/>
  <c r="K24"/>
  <c r="I25"/>
  <c r="J32"/>
  <c r="J40" s="1"/>
  <c r="I26"/>
  <c r="H24"/>
  <c r="D18" i="269"/>
  <c r="H17" i="196"/>
  <c r="G26"/>
  <c r="L32"/>
  <c r="L40" s="1"/>
  <c r="J18"/>
  <c r="K16"/>
  <c r="N33"/>
  <c r="N17"/>
  <c r="O16"/>
  <c r="N16"/>
  <c r="I17"/>
  <c r="L34"/>
  <c r="L42" s="1"/>
  <c r="I34"/>
  <c r="N26"/>
  <c r="G496" i="270"/>
  <c r="G611"/>
  <c r="G406" i="271"/>
  <c r="G371"/>
  <c r="BC4" i="279"/>
  <c r="F112" i="191"/>
  <c r="F82"/>
  <c r="G82"/>
  <c r="D82" i="153"/>
  <c r="D86" s="1"/>
  <c r="D56"/>
  <c r="D60" s="1"/>
  <c r="D83"/>
  <c r="O110" s="1"/>
  <c r="D57"/>
  <c r="O100" s="1"/>
  <c r="D84"/>
  <c r="O111" s="1"/>
  <c r="D85"/>
  <c r="O112" s="1"/>
  <c r="D58"/>
  <c r="O101" s="1"/>
  <c r="D59"/>
  <c r="O102" s="1"/>
  <c r="I95" i="182"/>
  <c r="I98" s="1"/>
  <c r="O418" i="271"/>
  <c r="I193" i="187"/>
  <c r="D242" i="159"/>
  <c r="F432"/>
  <c r="F271" i="272"/>
  <c r="H609" i="270"/>
  <c r="I391"/>
  <c r="J20"/>
  <c r="K16"/>
  <c r="F95" i="182"/>
  <c r="F98" s="1"/>
  <c r="O278" i="159"/>
  <c r="M278"/>
  <c r="L278"/>
  <c r="N278"/>
  <c r="K278"/>
  <c r="I278"/>
  <c r="J278"/>
  <c r="H278"/>
  <c r="G278"/>
  <c r="G342" s="1"/>
  <c r="G449" s="1"/>
  <c r="F278"/>
  <c r="L314"/>
  <c r="I314"/>
  <c r="H314"/>
  <c r="K314"/>
  <c r="K289"/>
  <c r="G302"/>
  <c r="O302"/>
  <c r="K302"/>
  <c r="F314"/>
  <c r="G314"/>
  <c r="I289"/>
  <c r="G289"/>
  <c r="L289"/>
  <c r="J289"/>
  <c r="O314"/>
  <c r="J314"/>
  <c r="H289"/>
  <c r="I302"/>
  <c r="J302"/>
  <c r="F289"/>
  <c r="M314"/>
  <c r="M302"/>
  <c r="F302"/>
  <c r="N289"/>
  <c r="H302"/>
  <c r="N314"/>
  <c r="O289"/>
  <c r="L302"/>
  <c r="N302"/>
  <c r="M289"/>
  <c r="O398" i="271"/>
  <c r="O427" s="1"/>
  <c r="O54" i="272"/>
  <c r="O87" s="1"/>
  <c r="N398" i="271"/>
  <c r="N427" s="1"/>
  <c r="N54" i="272"/>
  <c r="N87" s="1"/>
  <c r="N165" s="1"/>
  <c r="L398" i="271"/>
  <c r="L427" s="1"/>
  <c r="M398"/>
  <c r="M427" s="1"/>
  <c r="M54" i="272"/>
  <c r="M87" s="1"/>
  <c r="K54"/>
  <c r="K87" s="1"/>
  <c r="K165" s="1"/>
  <c r="L54"/>
  <c r="L87" s="1"/>
  <c r="J398" i="271"/>
  <c r="K398"/>
  <c r="K427" s="1"/>
  <c r="J54" i="272"/>
  <c r="J87" s="1"/>
  <c r="I398" i="271"/>
  <c r="I427" s="1"/>
  <c r="H398"/>
  <c r="H427" s="1"/>
  <c r="G398"/>
  <c r="G427" s="1"/>
  <c r="F398"/>
  <c r="I54" i="272"/>
  <c r="I87" s="1"/>
  <c r="I165" s="1"/>
  <c r="H54"/>
  <c r="H87" s="1"/>
  <c r="H165" s="1"/>
  <c r="G54"/>
  <c r="H79"/>
  <c r="I47"/>
  <c r="M79"/>
  <c r="O79"/>
  <c r="G71"/>
  <c r="F71" s="1"/>
  <c r="L71"/>
  <c r="L79"/>
  <c r="O71"/>
  <c r="G63"/>
  <c r="F63" s="1"/>
  <c r="K71"/>
  <c r="N71"/>
  <c r="J79"/>
  <c r="J71"/>
  <c r="G79"/>
  <c r="F79" s="1"/>
  <c r="K63"/>
  <c r="K79"/>
  <c r="I71"/>
  <c r="H71"/>
  <c r="N63"/>
  <c r="I79"/>
  <c r="M71"/>
  <c r="L63"/>
  <c r="M63"/>
  <c r="I63"/>
  <c r="H63"/>
  <c r="J63"/>
  <c r="O63"/>
  <c r="N79"/>
  <c r="F149" i="187"/>
  <c r="J251" s="1"/>
  <c r="D247" i="159"/>
  <c r="E16" i="269"/>
  <c r="B16"/>
  <c r="G16"/>
  <c r="H16"/>
  <c r="F16"/>
  <c r="C16"/>
  <c r="D16"/>
  <c r="I16"/>
  <c r="F408" i="271"/>
  <c r="F405"/>
  <c r="F416"/>
  <c r="F156" i="191"/>
  <c r="J84" i="154"/>
  <c r="F79" i="244"/>
  <c r="I119" i="271"/>
  <c r="J75"/>
  <c r="O168" i="238"/>
  <c r="O218" s="1"/>
  <c r="O220" s="1"/>
  <c r="BC4" i="276"/>
  <c r="J272" i="272"/>
  <c r="K160"/>
  <c r="BC134" i="279"/>
  <c r="H21" i="271"/>
  <c r="H20"/>
  <c r="H19"/>
  <c r="H18"/>
  <c r="H22" s="1"/>
  <c r="H94" i="237"/>
  <c r="H112" s="1"/>
  <c r="BE4" i="280"/>
  <c r="K36" i="237"/>
  <c r="M34"/>
  <c r="J35" i="236"/>
  <c r="K83" i="244"/>
  <c r="K43" i="237"/>
  <c r="L43" s="1"/>
  <c r="M43" s="1"/>
  <c r="BG20" i="263"/>
  <c r="BG17"/>
  <c r="BF68"/>
  <c r="AX23"/>
  <c r="AZ68"/>
  <c r="U23"/>
  <c r="AW68"/>
  <c r="AU52"/>
  <c r="BA52"/>
  <c r="T52"/>
  <c r="AQ23"/>
  <c r="AU52" i="262"/>
  <c r="AO23" i="263"/>
  <c r="BG51" i="261"/>
  <c r="AP23"/>
  <c r="AN23"/>
  <c r="BG12"/>
  <c r="BF68" i="258"/>
  <c r="AN68"/>
  <c r="BG51" i="260"/>
  <c r="BG20" i="258"/>
  <c r="AP23" i="260"/>
  <c r="AU52" i="258"/>
  <c r="AU23" i="248"/>
  <c r="Z23"/>
  <c r="AP68" i="256"/>
  <c r="BG17" i="257"/>
  <c r="I52" i="263"/>
  <c r="R37" i="260"/>
  <c r="R51"/>
  <c r="AN68" i="256"/>
  <c r="K68" i="262"/>
  <c r="I52" i="261"/>
  <c r="P52" i="260"/>
  <c r="AN68" i="248"/>
  <c r="O52" i="263"/>
  <c r="G68" i="262"/>
  <c r="R61"/>
  <c r="K52"/>
  <c r="R67" i="260"/>
  <c r="Q68" i="259"/>
  <c r="K68" i="258"/>
  <c r="O52" i="262"/>
  <c r="H52"/>
  <c r="I52" i="259"/>
  <c r="BM60" i="248"/>
  <c r="P52" i="263"/>
  <c r="R44"/>
  <c r="Q68" i="262"/>
  <c r="R51" i="261"/>
  <c r="BM60" i="260"/>
  <c r="J52" i="259"/>
  <c r="Q52"/>
  <c r="P52" i="258"/>
  <c r="H52"/>
  <c r="P52" i="256"/>
  <c r="J68" i="263"/>
  <c r="J52" i="261"/>
  <c r="G52" i="260"/>
  <c r="R33"/>
  <c r="K52"/>
  <c r="L52" i="259"/>
  <c r="O52" i="248"/>
  <c r="R67"/>
  <c r="G68" i="256"/>
  <c r="R61"/>
  <c r="BM60" i="257"/>
  <c r="T68"/>
  <c r="Y23"/>
  <c r="BI68"/>
  <c r="U23" i="255"/>
  <c r="G68" i="259"/>
  <c r="R61"/>
  <c r="N52"/>
  <c r="R37" i="255"/>
  <c r="R51"/>
  <c r="R67"/>
  <c r="I52" i="257"/>
  <c r="Q52"/>
  <c r="L52" i="248"/>
  <c r="O68" i="256"/>
  <c r="R51"/>
  <c r="J52" i="255"/>
  <c r="K52"/>
  <c r="AO68" i="257"/>
  <c r="BI23"/>
  <c r="BK12"/>
  <c r="BK37"/>
  <c r="G68" i="248"/>
  <c r="R61"/>
  <c r="L52" i="256"/>
  <c r="BM60" i="255"/>
  <c r="P52" i="257"/>
  <c r="H52"/>
  <c r="T52" i="256"/>
  <c r="BE68" i="248"/>
  <c r="T52" i="258"/>
  <c r="AA23" i="257"/>
  <c r="BI68" i="255"/>
  <c r="U23" i="256"/>
  <c r="AR52"/>
  <c r="BI68" i="248"/>
  <c r="U23" i="258"/>
  <c r="AY68"/>
  <c r="AR52"/>
  <c r="AQ52" i="255"/>
  <c r="AQ52" i="256"/>
  <c r="AQ52" i="248"/>
  <c r="AQ52" i="258"/>
  <c r="AQ52" i="259"/>
  <c r="Q68" i="257"/>
  <c r="AR52"/>
  <c r="AZ52" i="255"/>
  <c r="BB52"/>
  <c r="AO23"/>
  <c r="AX68" i="256"/>
  <c r="AO68"/>
  <c r="BK20" i="248"/>
  <c r="BA52" i="258"/>
  <c r="BK37"/>
  <c r="AW68" i="260"/>
  <c r="AZ68"/>
  <c r="BB68" i="261"/>
  <c r="AQ23"/>
  <c r="AT52" i="259"/>
  <c r="AV23" i="260"/>
  <c r="AA23"/>
  <c r="AV23" i="261"/>
  <c r="AA23"/>
  <c r="BK20" i="256"/>
  <c r="BA52" i="248"/>
  <c r="BK37"/>
  <c r="AO23" i="258"/>
  <c r="BJ23" i="259"/>
  <c r="BB52"/>
  <c r="AZ52" i="260"/>
  <c r="BB52"/>
  <c r="AO23"/>
  <c r="BI23" i="261"/>
  <c r="BK12"/>
  <c r="BK37"/>
  <c r="BA52" i="262"/>
  <c r="AT52"/>
  <c r="AV52"/>
  <c r="BJ23" i="263"/>
  <c r="BC68" i="258"/>
  <c r="BJ23" i="260"/>
  <c r="BI68" i="261"/>
  <c r="AO23" i="259"/>
  <c r="AW68" i="262"/>
  <c r="AZ68"/>
  <c r="BB68"/>
  <c r="CR23" i="263"/>
  <c r="BS23" i="262"/>
  <c r="CI23"/>
  <c r="CY23"/>
  <c r="BV23" i="261"/>
  <c r="CL23"/>
  <c r="DB23"/>
  <c r="CC23" i="260"/>
  <c r="CS23"/>
  <c r="CF23" i="259"/>
  <c r="CV23"/>
  <c r="BS23" i="258"/>
  <c r="CH23" i="263"/>
  <c r="DF23"/>
  <c r="CD23" i="262"/>
  <c r="CT23"/>
  <c r="BU23" i="261"/>
  <c r="CK23"/>
  <c r="DA23"/>
  <c r="BX23" i="260"/>
  <c r="CN23"/>
  <c r="DD23"/>
  <c r="CA23" i="259"/>
  <c r="CQ23"/>
  <c r="DG23"/>
  <c r="CD23" i="258"/>
  <c r="CT23"/>
  <c r="BU23" i="248"/>
  <c r="CK23"/>
  <c r="DA23"/>
  <c r="BX23" i="256"/>
  <c r="CN23"/>
  <c r="DD23"/>
  <c r="CA23" i="255"/>
  <c r="CQ23"/>
  <c r="DG23"/>
  <c r="CD23" i="257"/>
  <c r="CT23"/>
  <c r="BX23" i="263"/>
  <c r="BU23" i="262"/>
  <c r="BU71" s="1"/>
  <c r="CK23"/>
  <c r="DA23"/>
  <c r="BX23" i="261"/>
  <c r="CN23"/>
  <c r="CN71" s="1"/>
  <c r="DD23"/>
  <c r="CA23" i="260"/>
  <c r="CQ23"/>
  <c r="DG23"/>
  <c r="CD23" i="259"/>
  <c r="CT23"/>
  <c r="BU23" i="258"/>
  <c r="CK23"/>
  <c r="DA23"/>
  <c r="BX23" i="248"/>
  <c r="CN23"/>
  <c r="CN71" s="1"/>
  <c r="DD23"/>
  <c r="CA23" i="256"/>
  <c r="CQ23"/>
  <c r="DG23"/>
  <c r="CD23" i="255"/>
  <c r="CT23"/>
  <c r="BU23" i="257"/>
  <c r="CK23"/>
  <c r="DA23"/>
  <c r="CV23" i="262"/>
  <c r="CP23" i="260"/>
  <c r="DA23" i="259"/>
  <c r="CU23" i="258"/>
  <c r="CI23" i="248"/>
  <c r="BZ23" i="256"/>
  <c r="DF23"/>
  <c r="CV23" i="255"/>
  <c r="CI23" i="257"/>
  <c r="BU52" i="263"/>
  <c r="CC52"/>
  <c r="CK52"/>
  <c r="CS52"/>
  <c r="DA52"/>
  <c r="DI61"/>
  <c r="BP68"/>
  <c r="BV52" i="261"/>
  <c r="CD52"/>
  <c r="CL52"/>
  <c r="CT52"/>
  <c r="DB52"/>
  <c r="BT52" i="259"/>
  <c r="CB52"/>
  <c r="CJ52"/>
  <c r="CR52"/>
  <c r="CZ52"/>
  <c r="BS52" i="258"/>
  <c r="CA52"/>
  <c r="CI52"/>
  <c r="CQ52"/>
  <c r="CY52"/>
  <c r="DG52"/>
  <c r="BT52" i="255"/>
  <c r="CB52"/>
  <c r="CJ52"/>
  <c r="CR52"/>
  <c r="CZ52"/>
  <c r="DI33" i="257"/>
  <c r="DI67"/>
  <c r="CT23" i="263"/>
  <c r="CA23" i="261"/>
  <c r="BV23" i="260"/>
  <c r="CW23" i="259"/>
  <c r="DD23" i="258"/>
  <c r="CL23" i="248"/>
  <c r="CC23" i="256"/>
  <c r="BY23" i="255"/>
  <c r="DE23"/>
  <c r="CJ23" i="257"/>
  <c r="BZ52" i="262"/>
  <c r="CH52"/>
  <c r="CP52"/>
  <c r="CX52"/>
  <c r="DF52"/>
  <c r="DI37" i="256"/>
  <c r="AH23" i="263"/>
  <c r="CL23"/>
  <c r="DD23" i="262"/>
  <c r="CH23" i="260"/>
  <c r="CB23" i="258"/>
  <c r="DG23"/>
  <c r="CM23" i="248"/>
  <c r="BV23" i="256"/>
  <c r="DB23"/>
  <c r="CR23" i="255"/>
  <c r="CE23" i="257"/>
  <c r="BV52" i="262"/>
  <c r="BT52" i="263"/>
  <c r="CB52"/>
  <c r="CJ52"/>
  <c r="CR52"/>
  <c r="CZ52"/>
  <c r="BS52" i="261"/>
  <c r="CA52"/>
  <c r="CI52"/>
  <c r="CQ52"/>
  <c r="CY52"/>
  <c r="DG52"/>
  <c r="BW68"/>
  <c r="CA68"/>
  <c r="CE68"/>
  <c r="CI68"/>
  <c r="CM68"/>
  <c r="CQ68"/>
  <c r="CU68"/>
  <c r="CY68"/>
  <c r="DC68"/>
  <c r="DG68"/>
  <c r="BT52" i="260"/>
  <c r="CB52"/>
  <c r="CJ52"/>
  <c r="CR52"/>
  <c r="CZ52"/>
  <c r="DI44" i="259"/>
  <c r="DI33"/>
  <c r="BY52"/>
  <c r="CG52"/>
  <c r="CO52"/>
  <c r="CW52"/>
  <c r="DE52"/>
  <c r="BR68"/>
  <c r="BV68"/>
  <c r="BZ68"/>
  <c r="CD68"/>
  <c r="CH68"/>
  <c r="CL68"/>
  <c r="CP68"/>
  <c r="CT68"/>
  <c r="CX68"/>
  <c r="DB68"/>
  <c r="DF68"/>
  <c r="DI67"/>
  <c r="BZ52" i="258"/>
  <c r="CH52"/>
  <c r="CP52"/>
  <c r="CX52"/>
  <c r="DF52"/>
  <c r="DI44" i="248"/>
  <c r="DI33"/>
  <c r="BY52"/>
  <c r="CG52"/>
  <c r="CO52"/>
  <c r="CW52"/>
  <c r="DE52"/>
  <c r="BR68"/>
  <c r="BV68"/>
  <c r="BZ68"/>
  <c r="CD68"/>
  <c r="CH68"/>
  <c r="CL68"/>
  <c r="CP68"/>
  <c r="CT68"/>
  <c r="CX68"/>
  <c r="DB68"/>
  <c r="DF68"/>
  <c r="DI67"/>
  <c r="BZ52" i="256"/>
  <c r="CH52"/>
  <c r="CP52"/>
  <c r="CX52"/>
  <c r="DF52"/>
  <c r="DI44" i="255"/>
  <c r="DI33"/>
  <c r="BY52"/>
  <c r="CG52"/>
  <c r="CO52"/>
  <c r="CW52"/>
  <c r="DE52"/>
  <c r="BR68"/>
  <c r="BV68"/>
  <c r="BZ68"/>
  <c r="CD68"/>
  <c r="CH68"/>
  <c r="CL68"/>
  <c r="CP68"/>
  <c r="CT68"/>
  <c r="CX68"/>
  <c r="DB68"/>
  <c r="DF68"/>
  <c r="DI67"/>
  <c r="BZ52" i="257"/>
  <c r="CH52"/>
  <c r="CP52"/>
  <c r="CX52"/>
  <c r="DF52"/>
  <c r="CD23" i="263"/>
  <c r="BT23" i="262"/>
  <c r="CI23" i="261"/>
  <c r="BY23" i="259"/>
  <c r="CJ23" i="258"/>
  <c r="CH23" i="248"/>
  <c r="BY23" i="256"/>
  <c r="DE23"/>
  <c r="CK23" i="255"/>
  <c r="CF23" i="257"/>
  <c r="CF71" s="1"/>
  <c r="BY52" i="262"/>
  <c r="CG52"/>
  <c r="CO52"/>
  <c r="CW52"/>
  <c r="DE52"/>
  <c r="BR68"/>
  <c r="BV68"/>
  <c r="BZ68"/>
  <c r="CD68"/>
  <c r="CH68"/>
  <c r="CL68"/>
  <c r="CP68"/>
  <c r="CT68"/>
  <c r="CX68"/>
  <c r="DB68"/>
  <c r="DF68"/>
  <c r="DI67"/>
  <c r="DI37" i="248"/>
  <c r="AK23" i="262"/>
  <c r="AG23" i="260"/>
  <c r="AJ68"/>
  <c r="AS23"/>
  <c r="BD23"/>
  <c r="AS52" i="263"/>
  <c r="AB23" i="261"/>
  <c r="AS52"/>
  <c r="AS71" s="1"/>
  <c r="AK23" i="259"/>
  <c r="AI52"/>
  <c r="BD52"/>
  <c r="AC52" i="258"/>
  <c r="AB23" i="263"/>
  <c r="AD23" i="261"/>
  <c r="AE23" i="260"/>
  <c r="AF23" i="258"/>
  <c r="AD23" i="248"/>
  <c r="AE23" i="256"/>
  <c r="AK23" i="257"/>
  <c r="AI52"/>
  <c r="BD52"/>
  <c r="AB52" i="261"/>
  <c r="AI23" i="259"/>
  <c r="AD52" i="248"/>
  <c r="BD23"/>
  <c r="AS23" i="256"/>
  <c r="AC23" i="260"/>
  <c r="AK52" i="258"/>
  <c r="AC23" i="248"/>
  <c r="AK52"/>
  <c r="AC23" i="256"/>
  <c r="AK52"/>
  <c r="AC23" i="255"/>
  <c r="AK52"/>
  <c r="AD23" i="257"/>
  <c r="AG23" i="248"/>
  <c r="AG23" i="255"/>
  <c r="AC68" i="257"/>
  <c r="BD68" i="262"/>
  <c r="BD68" i="261"/>
  <c r="BD68" i="260"/>
  <c r="BD68" i="259"/>
  <c r="AF68" i="258"/>
  <c r="AI68"/>
  <c r="BD68"/>
  <c r="AS68" i="248"/>
  <c r="AF68" i="256"/>
  <c r="AI68"/>
  <c r="BD68"/>
  <c r="AS68" i="255"/>
  <c r="AG68" i="257"/>
  <c r="AE23"/>
  <c r="R31" i="248"/>
  <c r="O419" i="271"/>
  <c r="O322"/>
  <c r="O355" s="1"/>
  <c r="O320"/>
  <c r="O353" s="1"/>
  <c r="O410" s="1"/>
  <c r="O319"/>
  <c r="O352" s="1"/>
  <c r="O409" s="1"/>
  <c r="Q323"/>
  <c r="H323" s="1"/>
  <c r="O321"/>
  <c r="O354" s="1"/>
  <c r="O411" s="1"/>
  <c r="K37" i="234"/>
  <c r="J41"/>
  <c r="J83" s="1"/>
  <c r="J34" i="233"/>
  <c r="J43" s="1"/>
  <c r="J47" s="1"/>
  <c r="J83" s="1"/>
  <c r="J90" s="1"/>
  <c r="I38"/>
  <c r="I79" s="1"/>
  <c r="I89" s="1"/>
  <c r="I39" i="235"/>
  <c r="I48" s="1"/>
  <c r="I52" s="1"/>
  <c r="I111" s="1"/>
  <c r="I116" s="1"/>
  <c r="H43"/>
  <c r="H107" s="1"/>
  <c r="H115" s="1"/>
  <c r="I41" i="234"/>
  <c r="I83" s="1"/>
  <c r="I46"/>
  <c r="I50" s="1"/>
  <c r="I87" s="1"/>
  <c r="J18" i="133"/>
  <c r="J31" s="1"/>
  <c r="J155" s="1"/>
  <c r="K51"/>
  <c r="G244"/>
  <c r="G290"/>
  <c r="O88" i="190"/>
  <c r="I17" i="133"/>
  <c r="J50"/>
  <c r="J52" s="1"/>
  <c r="J63" s="1"/>
  <c r="I52"/>
  <c r="I63" s="1"/>
  <c r="K87" i="197"/>
  <c r="N71" i="244"/>
  <c r="N79" s="1"/>
  <c r="N64"/>
  <c r="N72" s="1"/>
  <c r="N80" s="1"/>
  <c r="M72"/>
  <c r="M80" s="1"/>
  <c r="K79"/>
  <c r="J80"/>
  <c r="M65"/>
  <c r="L73"/>
  <c r="L82" s="1"/>
  <c r="L66"/>
  <c r="L74" s="1"/>
  <c r="L83" s="1"/>
  <c r="G420" i="271"/>
  <c r="I80" i="244"/>
  <c r="J427" i="271"/>
  <c r="I79" i="244"/>
  <c r="G80"/>
  <c r="F91" i="237"/>
  <c r="F250" i="187"/>
  <c r="I286" i="154"/>
  <c r="I287" s="1"/>
  <c r="F291"/>
  <c r="F292" s="1"/>
  <c r="F294" s="1"/>
  <c r="F286"/>
  <c r="F287" s="1"/>
  <c r="I300"/>
  <c r="G42"/>
  <c r="G47" s="1"/>
  <c r="G21"/>
  <c r="G389"/>
  <c r="K42"/>
  <c r="K47" s="1"/>
  <c r="K21"/>
  <c r="L103"/>
  <c r="L284" s="1"/>
  <c r="M105"/>
  <c r="M346" s="1"/>
  <c r="N42"/>
  <c r="N47" s="1"/>
  <c r="N21"/>
  <c r="O103"/>
  <c r="O284" s="1"/>
  <c r="H188" i="238"/>
  <c r="H233" s="1"/>
  <c r="H235" s="1"/>
  <c r="H269" s="1"/>
  <c r="N188"/>
  <c r="N233" s="1"/>
  <c r="N235" s="1"/>
  <c r="N269" s="1"/>
  <c r="G417" i="271"/>
  <c r="O99" i="153"/>
  <c r="N15"/>
  <c r="N19" s="1"/>
  <c r="N153" s="1"/>
  <c r="K15"/>
  <c r="L15"/>
  <c r="L19" s="1"/>
  <c r="L153" s="1"/>
  <c r="M15"/>
  <c r="M19" s="1"/>
  <c r="M153" s="1"/>
  <c r="O19"/>
  <c r="O153" s="1"/>
  <c r="H235" i="159"/>
  <c r="H236"/>
  <c r="I234"/>
  <c r="H74" i="191"/>
  <c r="M57"/>
  <c r="N57" s="1"/>
  <c r="O57" s="1"/>
  <c r="F60" s="1"/>
  <c r="G60" s="1"/>
  <c r="L126" i="187"/>
  <c r="L174" s="1"/>
  <c r="L251" s="1"/>
  <c r="M124"/>
  <c r="I97" i="188"/>
  <c r="F184" i="200"/>
  <c r="K95" i="182"/>
  <c r="K98" s="1"/>
  <c r="B12" i="35"/>
  <c r="B13" s="1"/>
  <c r="L125" i="187" s="1"/>
  <c r="L173" s="1"/>
  <c r="L250" s="1"/>
  <c r="L252" s="1"/>
  <c r="BD82" i="277"/>
  <c r="F363" i="159"/>
  <c r="F385"/>
  <c r="F407"/>
  <c r="F156" i="272"/>
  <c r="J123" i="271"/>
  <c r="K79"/>
  <c r="O48" i="48"/>
  <c r="O52" s="1"/>
  <c r="N48"/>
  <c r="N52" s="1"/>
  <c r="L48"/>
  <c r="L52" s="1"/>
  <c r="M48"/>
  <c r="M52" s="1"/>
  <c r="J48"/>
  <c r="J52" s="1"/>
  <c r="K48"/>
  <c r="K52" s="1"/>
  <c r="I48"/>
  <c r="I52" s="1"/>
  <c r="F48"/>
  <c r="F52" s="1"/>
  <c r="H48"/>
  <c r="H52" s="1"/>
  <c r="G48"/>
  <c r="G52" s="1"/>
  <c r="D83" i="12"/>
  <c r="G83" s="1"/>
  <c r="L50" i="48"/>
  <c r="H50"/>
  <c r="M50"/>
  <c r="C41" i="269"/>
  <c r="M49" i="48"/>
  <c r="G49"/>
  <c r="F15"/>
  <c r="M15"/>
  <c r="K51"/>
  <c r="I14" i="6"/>
  <c r="K49" i="48"/>
  <c r="B55" i="269"/>
  <c r="K50" i="48"/>
  <c r="O50"/>
  <c r="D55" i="269"/>
  <c r="F49" i="48"/>
  <c r="B59" i="269"/>
  <c r="B58"/>
  <c r="J15" i="48"/>
  <c r="L51"/>
  <c r="O15"/>
  <c r="A55" i="269"/>
  <c r="H49" i="48"/>
  <c r="K15"/>
  <c r="K19" s="1"/>
  <c r="I15"/>
  <c r="D75" i="12"/>
  <c r="G75" s="1"/>
  <c r="N50" i="48"/>
  <c r="F50"/>
  <c r="N51"/>
  <c r="H15"/>
  <c r="E55" i="269"/>
  <c r="O49" i="48"/>
  <c r="C55" i="269"/>
  <c r="G50" i="48"/>
  <c r="G51"/>
  <c r="G15"/>
  <c r="M51"/>
  <c r="J51"/>
  <c r="I51"/>
  <c r="F55" i="269"/>
  <c r="J50" i="48"/>
  <c r="H51"/>
  <c r="N15"/>
  <c r="N19" s="1"/>
  <c r="F51"/>
  <c r="B60" i="269"/>
  <c r="B61" s="1"/>
  <c r="L15" i="48"/>
  <c r="N49"/>
  <c r="I49"/>
  <c r="I50"/>
  <c r="J49"/>
  <c r="O51"/>
  <c r="L49"/>
  <c r="H96" i="234"/>
  <c r="F112" i="184"/>
  <c r="O25" i="189"/>
  <c r="O29" s="1"/>
  <c r="O29" i="198"/>
  <c r="O33" s="1"/>
  <c r="G59" i="188"/>
  <c r="O16" i="189"/>
  <c r="O20" s="1"/>
  <c r="O122" s="1"/>
  <c r="N146" s="1"/>
  <c r="F113" i="184"/>
  <c r="E112"/>
  <c r="L25" i="189"/>
  <c r="L29" s="1"/>
  <c r="N16"/>
  <c r="N20" s="1"/>
  <c r="N122" s="1"/>
  <c r="M146" s="1"/>
  <c r="N25"/>
  <c r="N29" s="1"/>
  <c r="M25"/>
  <c r="M29" s="1"/>
  <c r="I16"/>
  <c r="I20" s="1"/>
  <c r="I122" s="1"/>
  <c r="H146" s="1"/>
  <c r="J25"/>
  <c r="J29" s="1"/>
  <c r="L16"/>
  <c r="L20" s="1"/>
  <c r="L122" s="1"/>
  <c r="K146" s="1"/>
  <c r="K16"/>
  <c r="K20" s="1"/>
  <c r="K122" s="1"/>
  <c r="J146" s="1"/>
  <c r="H16"/>
  <c r="H20" s="1"/>
  <c r="H122" s="1"/>
  <c r="G146" s="1"/>
  <c r="E113" i="184"/>
  <c r="M16" i="189"/>
  <c r="M20" s="1"/>
  <c r="M122" s="1"/>
  <c r="L146" s="1"/>
  <c r="F16"/>
  <c r="F20" s="1"/>
  <c r="F122" s="1"/>
  <c r="E146" s="1"/>
  <c r="K25"/>
  <c r="K29" s="1"/>
  <c r="J16"/>
  <c r="J20" s="1"/>
  <c r="J122" s="1"/>
  <c r="I146" s="1"/>
  <c r="H25"/>
  <c r="H29" s="1"/>
  <c r="G25"/>
  <c r="G29" s="1"/>
  <c r="G16"/>
  <c r="G20" s="1"/>
  <c r="G122" s="1"/>
  <c r="F146" s="1"/>
  <c r="F25"/>
  <c r="F29" s="1"/>
  <c r="I25"/>
  <c r="I29" s="1"/>
  <c r="F29" i="198"/>
  <c r="F33" s="1"/>
  <c r="G29"/>
  <c r="G33" s="1"/>
  <c r="H29"/>
  <c r="H33" s="1"/>
  <c r="I29"/>
  <c r="I33" s="1"/>
  <c r="J29"/>
  <c r="J33" s="1"/>
  <c r="K29"/>
  <c r="K33" s="1"/>
  <c r="L29"/>
  <c r="L33" s="1"/>
  <c r="M29"/>
  <c r="M33" s="1"/>
  <c r="N29"/>
  <c r="N33" s="1"/>
  <c r="AS287" i="280"/>
  <c r="AO287"/>
  <c r="AK287"/>
  <c r="AS286"/>
  <c r="AO286"/>
  <c r="AK286"/>
  <c r="AS285"/>
  <c r="AO285"/>
  <c r="AK285"/>
  <c r="AR284"/>
  <c r="AR283"/>
  <c r="AS279"/>
  <c r="AO279"/>
  <c r="AK279"/>
  <c r="AS278"/>
  <c r="AO278"/>
  <c r="AK278"/>
  <c r="AS273"/>
  <c r="AO273"/>
  <c r="AK273"/>
  <c r="AS272"/>
  <c r="AO272"/>
  <c r="AK272"/>
  <c r="AS271"/>
  <c r="AO271"/>
  <c r="AK271"/>
  <c r="AS270"/>
  <c r="AO270"/>
  <c r="AK270"/>
  <c r="AV263"/>
  <c r="AR263"/>
  <c r="AN263"/>
  <c r="AJ263"/>
  <c r="AS262"/>
  <c r="AO262"/>
  <c r="AK262"/>
  <c r="AV261"/>
  <c r="AR261"/>
  <c r="AN261"/>
  <c r="AJ261"/>
  <c r="AS258"/>
  <c r="AO258"/>
  <c r="AK258"/>
  <c r="AT257"/>
  <c r="AP257"/>
  <c r="AL257"/>
  <c r="AU256"/>
  <c r="AQ256"/>
  <c r="AM256"/>
  <c r="AV253"/>
  <c r="AR253"/>
  <c r="AN253"/>
  <c r="AJ253"/>
  <c r="AS252"/>
  <c r="AO252"/>
  <c r="AK252"/>
  <c r="AT251"/>
  <c r="AP251"/>
  <c r="AL251"/>
  <c r="AU248"/>
  <c r="AQ248"/>
  <c r="AM248"/>
  <c r="AV247"/>
  <c r="AR247"/>
  <c r="AN247"/>
  <c r="AJ247"/>
  <c r="AS246"/>
  <c r="AO246"/>
  <c r="AK246"/>
  <c r="AT243"/>
  <c r="AP243"/>
  <c r="AL243"/>
  <c r="AU242"/>
  <c r="AQ242"/>
  <c r="AM242"/>
  <c r="AV241"/>
  <c r="AR241"/>
  <c r="AN241"/>
  <c r="AJ241"/>
  <c r="AS136"/>
  <c r="AT134"/>
  <c r="AU128"/>
  <c r="AQ128"/>
  <c r="AM128"/>
  <c r="AI128"/>
  <c r="AT127"/>
  <c r="AU126"/>
  <c r="AV124"/>
  <c r="AR124"/>
  <c r="AN124"/>
  <c r="AJ124"/>
  <c r="AV121"/>
  <c r="AR121"/>
  <c r="AN121"/>
  <c r="AJ121"/>
  <c r="AU118"/>
  <c r="AQ118"/>
  <c r="AM118"/>
  <c r="AI118"/>
  <c r="AT57"/>
  <c r="AP57"/>
  <c r="AL57"/>
  <c r="AU56"/>
  <c r="AQ56"/>
  <c r="AM56"/>
  <c r="AV55"/>
  <c r="AR55"/>
  <c r="AN55"/>
  <c r="AJ55"/>
  <c r="AS54"/>
  <c r="AO54"/>
  <c r="AK54"/>
  <c r="AG54"/>
  <c r="AC54"/>
  <c r="Y54"/>
  <c r="U54"/>
  <c r="Q54"/>
  <c r="M54"/>
  <c r="I54"/>
  <c r="AT53"/>
  <c r="AP53"/>
  <c r="AL53"/>
  <c r="AU52"/>
  <c r="AQ52"/>
  <c r="AM52"/>
  <c r="AV51"/>
  <c r="AR51"/>
  <c r="AN51"/>
  <c r="AJ51"/>
  <c r="AS50"/>
  <c r="AO50"/>
  <c r="AK50"/>
  <c r="AG50"/>
  <c r="AC50"/>
  <c r="Y50"/>
  <c r="U50"/>
  <c r="Q50"/>
  <c r="M50"/>
  <c r="I50"/>
  <c r="AT49"/>
  <c r="AP49"/>
  <c r="AL49"/>
  <c r="AH49"/>
  <c r="AD49"/>
  <c r="Z49"/>
  <c r="V49"/>
  <c r="R49"/>
  <c r="N49"/>
  <c r="J49"/>
  <c r="AU48"/>
  <c r="AQ48"/>
  <c r="AM48"/>
  <c r="AI48"/>
  <c r="AE48"/>
  <c r="AA48"/>
  <c r="W48"/>
  <c r="S48"/>
  <c r="O48"/>
  <c r="K48"/>
  <c r="AV47"/>
  <c r="AR47"/>
  <c r="AN47"/>
  <c r="AJ47"/>
  <c r="AS46"/>
  <c r="AO46"/>
  <c r="AK46"/>
  <c r="AT45"/>
  <c r="AP45"/>
  <c r="AL45"/>
  <c r="AU44"/>
  <c r="AQ44"/>
  <c r="AM44"/>
  <c r="AV42"/>
  <c r="AR42"/>
  <c r="AN42"/>
  <c r="AJ42"/>
  <c r="AS41"/>
  <c r="AO41"/>
  <c r="AK41"/>
  <c r="AG41"/>
  <c r="AC41"/>
  <c r="Y41"/>
  <c r="U41"/>
  <c r="Q41"/>
  <c r="M41"/>
  <c r="I41"/>
  <c r="AT40"/>
  <c r="AP40"/>
  <c r="AL40"/>
  <c r="AH40"/>
  <c r="AS36"/>
  <c r="AO36"/>
  <c r="AK36"/>
  <c r="AV35"/>
  <c r="AR35"/>
  <c r="AN35"/>
  <c r="AJ35"/>
  <c r="AS34"/>
  <c r="AO34"/>
  <c r="AK34"/>
  <c r="AR15"/>
  <c r="AQ16"/>
  <c r="AP18"/>
  <c r="AO17"/>
  <c r="AN15"/>
  <c r="AM16"/>
  <c r="AL18"/>
  <c r="AT17"/>
  <c r="AT16"/>
  <c r="AU15"/>
  <c r="AJ15"/>
  <c r="AF15"/>
  <c r="AB15"/>
  <c r="X15"/>
  <c r="T15"/>
  <c r="P15"/>
  <c r="L15"/>
  <c r="H15"/>
  <c r="AO13"/>
  <c r="AK13"/>
  <c r="AG13"/>
  <c r="AC13"/>
  <c r="AT12"/>
  <c r="AP12"/>
  <c r="AL12"/>
  <c r="AH12"/>
  <c r="AD12"/>
  <c r="Z12"/>
  <c r="V12"/>
  <c r="R12"/>
  <c r="N12"/>
  <c r="J12"/>
  <c r="AU11"/>
  <c r="AQ11"/>
  <c r="AM11"/>
  <c r="AI11"/>
  <c r="AE11"/>
  <c r="AA11"/>
  <c r="W11"/>
  <c r="S11"/>
  <c r="O11"/>
  <c r="K11"/>
  <c r="AV10"/>
  <c r="AR10"/>
  <c r="AN10"/>
  <c r="AJ10"/>
  <c r="AF10"/>
  <c r="AB10"/>
  <c r="X10"/>
  <c r="T10"/>
  <c r="P10"/>
  <c r="L10"/>
  <c r="H10"/>
  <c r="AS8"/>
  <c r="AO8"/>
  <c r="AK8"/>
  <c r="AG8"/>
  <c r="AC8"/>
  <c r="Y8"/>
  <c r="U8"/>
  <c r="Q8"/>
  <c r="M8"/>
  <c r="I8"/>
  <c r="AT7"/>
  <c r="AP7"/>
  <c r="AL7"/>
  <c r="AH7"/>
  <c r="AD7"/>
  <c r="Z7"/>
  <c r="V7"/>
  <c r="R7"/>
  <c r="N7"/>
  <c r="J7"/>
  <c r="AS380" i="279"/>
  <c r="AO380"/>
  <c r="AK380"/>
  <c r="AG380"/>
  <c r="AC380"/>
  <c r="Y380"/>
  <c r="U380"/>
  <c r="Q380"/>
  <c r="M380"/>
  <c r="I380"/>
  <c r="AT379"/>
  <c r="AP379"/>
  <c r="AL379"/>
  <c r="AU378"/>
  <c r="AQ378"/>
  <c r="AM378"/>
  <c r="AI378"/>
  <c r="AE378"/>
  <c r="AA378"/>
  <c r="W378"/>
  <c r="S378"/>
  <c r="O378"/>
  <c r="K378"/>
  <c r="AT374"/>
  <c r="AU373"/>
  <c r="AV368"/>
  <c r="AR368"/>
  <c r="AN368"/>
  <c r="AJ368"/>
  <c r="AU367"/>
  <c r="AV366"/>
  <c r="AR366"/>
  <c r="AS365"/>
  <c r="AO365"/>
  <c r="AK365"/>
  <c r="AS363"/>
  <c r="AO363"/>
  <c r="AK363"/>
  <c r="AV360"/>
  <c r="AR360"/>
  <c r="AN360"/>
  <c r="AJ360"/>
  <c r="AV287" i="280"/>
  <c r="AR287"/>
  <c r="AN287"/>
  <c r="AV286"/>
  <c r="AR286"/>
  <c r="AN286"/>
  <c r="AV285"/>
  <c r="AR285"/>
  <c r="AN285"/>
  <c r="AU284"/>
  <c r="AU283"/>
  <c r="AV279"/>
  <c r="AR279"/>
  <c r="AN279"/>
  <c r="AV278"/>
  <c r="AR278"/>
  <c r="AN278"/>
  <c r="AV273"/>
  <c r="AR273"/>
  <c r="AN273"/>
  <c r="AV272"/>
  <c r="AR272"/>
  <c r="AN272"/>
  <c r="AV271"/>
  <c r="AR271"/>
  <c r="AN271"/>
  <c r="AV270"/>
  <c r="AR270"/>
  <c r="AN270"/>
  <c r="AU263"/>
  <c r="AQ263"/>
  <c r="AM263"/>
  <c r="AV262"/>
  <c r="AR262"/>
  <c r="AN262"/>
  <c r="AJ262"/>
  <c r="AU261"/>
  <c r="AQ261"/>
  <c r="AM261"/>
  <c r="AV258"/>
  <c r="AR258"/>
  <c r="AN258"/>
  <c r="AJ258"/>
  <c r="AS257"/>
  <c r="AO257"/>
  <c r="AK257"/>
  <c r="AT256"/>
  <c r="AP256"/>
  <c r="AL256"/>
  <c r="AU253"/>
  <c r="AQ253"/>
  <c r="AM253"/>
  <c r="AV252"/>
  <c r="AR252"/>
  <c r="AN252"/>
  <c r="AJ252"/>
  <c r="AS251"/>
  <c r="AO251"/>
  <c r="AK251"/>
  <c r="AT248"/>
  <c r="AP248"/>
  <c r="AL248"/>
  <c r="AU247"/>
  <c r="AQ247"/>
  <c r="AM247"/>
  <c r="AV246"/>
  <c r="AR246"/>
  <c r="AN246"/>
  <c r="AJ246"/>
  <c r="AS243"/>
  <c r="AO243"/>
  <c r="AK243"/>
  <c r="AT242"/>
  <c r="AP242"/>
  <c r="AL242"/>
  <c r="AU241"/>
  <c r="AQ241"/>
  <c r="AM241"/>
  <c r="AV136"/>
  <c r="AR136"/>
  <c r="AS134"/>
  <c r="AT128"/>
  <c r="AP128"/>
  <c r="AL128"/>
  <c r="AH128"/>
  <c r="AS127"/>
  <c r="AT126"/>
  <c r="AU124"/>
  <c r="AQ124"/>
  <c r="AM124"/>
  <c r="AI124"/>
  <c r="AU121"/>
  <c r="AQ121"/>
  <c r="AM121"/>
  <c r="AI121"/>
  <c r="AT118"/>
  <c r="AP118"/>
  <c r="AL118"/>
  <c r="AH118"/>
  <c r="AS57"/>
  <c r="AO57"/>
  <c r="AK57"/>
  <c r="AT56"/>
  <c r="AP56"/>
  <c r="AL56"/>
  <c r="AU55"/>
  <c r="AQ55"/>
  <c r="AM55"/>
  <c r="AV54"/>
  <c r="AR54"/>
  <c r="AN54"/>
  <c r="AJ54"/>
  <c r="AF54"/>
  <c r="AB54"/>
  <c r="X54"/>
  <c r="T54"/>
  <c r="P54"/>
  <c r="L54"/>
  <c r="H54"/>
  <c r="AS53"/>
  <c r="AO53"/>
  <c r="AK53"/>
  <c r="AT52"/>
  <c r="AP52"/>
  <c r="AL52"/>
  <c r="AU51"/>
  <c r="AQ51"/>
  <c r="AM51"/>
  <c r="AV50"/>
  <c r="AR50"/>
  <c r="AN50"/>
  <c r="AJ50"/>
  <c r="AF50"/>
  <c r="AB50"/>
  <c r="X50"/>
  <c r="T50"/>
  <c r="P50"/>
  <c r="L50"/>
  <c r="H50"/>
  <c r="AS49"/>
  <c r="AO49"/>
  <c r="AK49"/>
  <c r="AG49"/>
  <c r="AC49"/>
  <c r="Y49"/>
  <c r="U49"/>
  <c r="Q49"/>
  <c r="M49"/>
  <c r="I49"/>
  <c r="AT48"/>
  <c r="AP48"/>
  <c r="AL48"/>
  <c r="AH48"/>
  <c r="AD48"/>
  <c r="Z48"/>
  <c r="V48"/>
  <c r="R48"/>
  <c r="N48"/>
  <c r="J48"/>
  <c r="AU47"/>
  <c r="AQ47"/>
  <c r="AM47"/>
  <c r="AV46"/>
  <c r="AR46"/>
  <c r="AN46"/>
  <c r="AJ46"/>
  <c r="AS45"/>
  <c r="AO45"/>
  <c r="AK45"/>
  <c r="AT44"/>
  <c r="AP44"/>
  <c r="AL44"/>
  <c r="AU42"/>
  <c r="AQ42"/>
  <c r="AM42"/>
  <c r="AV41"/>
  <c r="AR41"/>
  <c r="AN41"/>
  <c r="AJ41"/>
  <c r="AF41"/>
  <c r="AB41"/>
  <c r="X41"/>
  <c r="T41"/>
  <c r="L41"/>
  <c r="H41"/>
  <c r="AS40"/>
  <c r="AO40"/>
  <c r="AK40"/>
  <c r="AV36"/>
  <c r="AR36"/>
  <c r="AN36"/>
  <c r="AJ36"/>
  <c r="AU35"/>
  <c r="AQ35"/>
  <c r="AM35"/>
  <c r="AV34"/>
  <c r="AR34"/>
  <c r="AN34"/>
  <c r="AJ34"/>
  <c r="AR17"/>
  <c r="AQ15"/>
  <c r="AP16"/>
  <c r="AO18"/>
  <c r="AN17"/>
  <c r="AM15"/>
  <c r="AL16"/>
  <c r="AS17"/>
  <c r="AS16"/>
  <c r="AT15"/>
  <c r="AI15"/>
  <c r="AE15"/>
  <c r="AA15"/>
  <c r="W15"/>
  <c r="S15"/>
  <c r="O15"/>
  <c r="K15"/>
  <c r="AR13"/>
  <c r="AN13"/>
  <c r="AJ13"/>
  <c r="AF13"/>
  <c r="AB13"/>
  <c r="AS12"/>
  <c r="AO12"/>
  <c r="AK12"/>
  <c r="AG12"/>
  <c r="AC12"/>
  <c r="Y12"/>
  <c r="U12"/>
  <c r="Q12"/>
  <c r="M12"/>
  <c r="I12"/>
  <c r="AT11"/>
  <c r="AP11"/>
  <c r="AL11"/>
  <c r="AH11"/>
  <c r="AD11"/>
  <c r="Z11"/>
  <c r="V11"/>
  <c r="R11"/>
  <c r="N11"/>
  <c r="J11"/>
  <c r="AU10"/>
  <c r="AQ10"/>
  <c r="AM10"/>
  <c r="AI10"/>
  <c r="AE10"/>
  <c r="AA10"/>
  <c r="W10"/>
  <c r="S10"/>
  <c r="O10"/>
  <c r="K10"/>
  <c r="AV8"/>
  <c r="AR8"/>
  <c r="AN8"/>
  <c r="AJ8"/>
  <c r="AF8"/>
  <c r="AB8"/>
  <c r="X8"/>
  <c r="T8"/>
  <c r="P8"/>
  <c r="L8"/>
  <c r="H8"/>
  <c r="AS7"/>
  <c r="AO7"/>
  <c r="AK7"/>
  <c r="AG7"/>
  <c r="AC7"/>
  <c r="Y7"/>
  <c r="U7"/>
  <c r="Q7"/>
  <c r="M7"/>
  <c r="I7"/>
  <c r="AV380" i="279"/>
  <c r="AR380"/>
  <c r="AN380"/>
  <c r="AJ380"/>
  <c r="AF380"/>
  <c r="AB380"/>
  <c r="X380"/>
  <c r="T380"/>
  <c r="P380"/>
  <c r="L380"/>
  <c r="H380"/>
  <c r="AS379"/>
  <c r="AO379"/>
  <c r="AK379"/>
  <c r="AT378"/>
  <c r="AP378"/>
  <c r="AL378"/>
  <c r="AH378"/>
  <c r="AD378"/>
  <c r="Z378"/>
  <c r="V378"/>
  <c r="R378"/>
  <c r="N378"/>
  <c r="J378"/>
  <c r="AS374"/>
  <c r="AT373"/>
  <c r="AU368"/>
  <c r="AQ368"/>
  <c r="AM368"/>
  <c r="AI368"/>
  <c r="AT367"/>
  <c r="AU366"/>
  <c r="AV365"/>
  <c r="AR365"/>
  <c r="AN365"/>
  <c r="AJ365"/>
  <c r="AV363"/>
  <c r="AR363"/>
  <c r="AN363"/>
  <c r="AJ363"/>
  <c r="AU360"/>
  <c r="AQ360"/>
  <c r="AM360"/>
  <c r="AI360"/>
  <c r="AU242"/>
  <c r="AQ242"/>
  <c r="AM242"/>
  <c r="AV241"/>
  <c r="AR241"/>
  <c r="AN241"/>
  <c r="AJ241"/>
  <c r="AU240"/>
  <c r="AQ240"/>
  <c r="AM240"/>
  <c r="AV237"/>
  <c r="AP287" i="280"/>
  <c r="AT286"/>
  <c r="AL286"/>
  <c r="AP285"/>
  <c r="AS284"/>
  <c r="AT279"/>
  <c r="AL279"/>
  <c r="AP278"/>
  <c r="AT273"/>
  <c r="AL273"/>
  <c r="AP272"/>
  <c r="AT271"/>
  <c r="AL271"/>
  <c r="AP270"/>
  <c r="AT263"/>
  <c r="AL263"/>
  <c r="AU262"/>
  <c r="AM262"/>
  <c r="AP261"/>
  <c r="AU258"/>
  <c r="AM258"/>
  <c r="AR257"/>
  <c r="AJ257"/>
  <c r="AO256"/>
  <c r="AT253"/>
  <c r="AL253"/>
  <c r="AQ252"/>
  <c r="AV251"/>
  <c r="AN251"/>
  <c r="AS248"/>
  <c r="AK248"/>
  <c r="AP247"/>
  <c r="AU246"/>
  <c r="AM246"/>
  <c r="AR243"/>
  <c r="AJ243"/>
  <c r="AO242"/>
  <c r="AT241"/>
  <c r="AL241"/>
  <c r="AT136"/>
  <c r="AV128"/>
  <c r="AN128"/>
  <c r="AU127"/>
  <c r="AR126"/>
  <c r="AO124"/>
  <c r="AO121"/>
  <c r="AV118"/>
  <c r="AN118"/>
  <c r="AU57"/>
  <c r="AM57"/>
  <c r="AR56"/>
  <c r="AJ56"/>
  <c r="AO55"/>
  <c r="AT54"/>
  <c r="AL54"/>
  <c r="AD54"/>
  <c r="V54"/>
  <c r="N54"/>
  <c r="AU53"/>
  <c r="AM53"/>
  <c r="AR52"/>
  <c r="AJ52"/>
  <c r="AO51"/>
  <c r="AT50"/>
  <c r="AL50"/>
  <c r="AD50"/>
  <c r="V50"/>
  <c r="N50"/>
  <c r="AU49"/>
  <c r="AM49"/>
  <c r="AE49"/>
  <c r="W49"/>
  <c r="O49"/>
  <c r="AV48"/>
  <c r="AN48"/>
  <c r="AF48"/>
  <c r="X48"/>
  <c r="P48"/>
  <c r="H48"/>
  <c r="AO47"/>
  <c r="AT46"/>
  <c r="AL46"/>
  <c r="AQ45"/>
  <c r="AV44"/>
  <c r="AN44"/>
  <c r="AS42"/>
  <c r="AK42"/>
  <c r="AP41"/>
  <c r="AH41"/>
  <c r="Z41"/>
  <c r="R41"/>
  <c r="K41"/>
  <c r="AR40"/>
  <c r="AJ40"/>
  <c r="AQ36"/>
  <c r="AI36"/>
  <c r="AP35"/>
  <c r="AU34"/>
  <c r="AM34"/>
  <c r="AP17"/>
  <c r="AN16"/>
  <c r="AM18"/>
  <c r="AS18"/>
  <c r="AV15"/>
  <c r="AG15"/>
  <c r="Y15"/>
  <c r="Q15"/>
  <c r="I15"/>
  <c r="AL13"/>
  <c r="AD13"/>
  <c r="AQ12"/>
  <c r="AI12"/>
  <c r="AA12"/>
  <c r="S12"/>
  <c r="K12"/>
  <c r="AR11"/>
  <c r="AJ11"/>
  <c r="AB11"/>
  <c r="T11"/>
  <c r="L11"/>
  <c r="AS10"/>
  <c r="AK10"/>
  <c r="AC10"/>
  <c r="U10"/>
  <c r="M10"/>
  <c r="AT8"/>
  <c r="AL8"/>
  <c r="AD8"/>
  <c r="V8"/>
  <c r="N8"/>
  <c r="AU7"/>
  <c r="AM7"/>
  <c r="AE7"/>
  <c r="W7"/>
  <c r="O7"/>
  <c r="AU380" i="279"/>
  <c r="AM380"/>
  <c r="AE380"/>
  <c r="W380"/>
  <c r="O380"/>
  <c r="AV379"/>
  <c r="AN379"/>
  <c r="AS378"/>
  <c r="AK378"/>
  <c r="AC378"/>
  <c r="U378"/>
  <c r="M378"/>
  <c r="AR374"/>
  <c r="AT368"/>
  <c r="AL368"/>
  <c r="AS367"/>
  <c r="AU365"/>
  <c r="AM365"/>
  <c r="AP363"/>
  <c r="AH363"/>
  <c r="AO360"/>
  <c r="AT242"/>
  <c r="AO242"/>
  <c r="AJ242"/>
  <c r="AU241"/>
  <c r="AP241"/>
  <c r="AK241"/>
  <c r="AV240"/>
  <c r="AP240"/>
  <c r="AK240"/>
  <c r="AS237"/>
  <c r="AO237"/>
  <c r="AK237"/>
  <c r="AT236"/>
  <c r="AP236"/>
  <c r="AL236"/>
  <c r="AU235"/>
  <c r="AQ235"/>
  <c r="AM235"/>
  <c r="AV232"/>
  <c r="AR232"/>
  <c r="AN232"/>
  <c r="AJ232"/>
  <c r="AS231"/>
  <c r="AO231"/>
  <c r="AK231"/>
  <c r="AT230"/>
  <c r="AP230"/>
  <c r="AL230"/>
  <c r="AU227"/>
  <c r="AQ227"/>
  <c r="AM227"/>
  <c r="AV226"/>
  <c r="AR226"/>
  <c r="AN226"/>
  <c r="AJ226"/>
  <c r="AS225"/>
  <c r="AO225"/>
  <c r="AK225"/>
  <c r="AT222"/>
  <c r="AP222"/>
  <c r="AL222"/>
  <c r="AU221"/>
  <c r="AQ221"/>
  <c r="AM221"/>
  <c r="AV220"/>
  <c r="AR220"/>
  <c r="AN220"/>
  <c r="AJ220"/>
  <c r="AT129"/>
  <c r="AU127"/>
  <c r="AV121"/>
  <c r="AR121"/>
  <c r="AN121"/>
  <c r="AJ121"/>
  <c r="AU120"/>
  <c r="AV119"/>
  <c r="AR119"/>
  <c r="AS117"/>
  <c r="AO117"/>
  <c r="AK117"/>
  <c r="AS114"/>
  <c r="AO114"/>
  <c r="AK114"/>
  <c r="AV111"/>
  <c r="AR111"/>
  <c r="AN111"/>
  <c r="AJ111"/>
  <c r="H18" i="278"/>
  <c r="G5"/>
  <c r="B7"/>
  <c r="B10"/>
  <c r="H6"/>
  <c r="C8"/>
  <c r="H9"/>
  <c r="H5"/>
  <c r="C7"/>
  <c r="N694" i="270"/>
  <c r="H693"/>
  <c r="L691"/>
  <c r="N693"/>
  <c r="M694"/>
  <c r="G693"/>
  <c r="K691"/>
  <c r="M693"/>
  <c r="G692"/>
  <c r="H694"/>
  <c r="J691"/>
  <c r="AT179" i="277"/>
  <c r="AU281"/>
  <c r="F28" i="189"/>
  <c r="AL296" i="277"/>
  <c r="AM289"/>
  <c r="AK280"/>
  <c r="J28" i="189"/>
  <c r="AT296" i="277"/>
  <c r="AU289"/>
  <c r="AS280"/>
  <c r="AT176"/>
  <c r="AK299"/>
  <c r="AM281"/>
  <c r="AN300"/>
  <c r="AP284"/>
  <c r="AP296"/>
  <c r="AJ294"/>
  <c r="AU287" i="280"/>
  <c r="AM287"/>
  <c r="AQ286"/>
  <c r="AU285"/>
  <c r="AM285"/>
  <c r="AT283"/>
  <c r="AQ279"/>
  <c r="AU278"/>
  <c r="AM278"/>
  <c r="AQ273"/>
  <c r="AU272"/>
  <c r="AM272"/>
  <c r="AQ271"/>
  <c r="AU270"/>
  <c r="AM270"/>
  <c r="AS263"/>
  <c r="AK263"/>
  <c r="AT262"/>
  <c r="AL262"/>
  <c r="AO261"/>
  <c r="AT258"/>
  <c r="AL258"/>
  <c r="AQ257"/>
  <c r="AV256"/>
  <c r="AN256"/>
  <c r="AS253"/>
  <c r="AK253"/>
  <c r="AP252"/>
  <c r="AU251"/>
  <c r="AM251"/>
  <c r="AR248"/>
  <c r="AJ248"/>
  <c r="AO247"/>
  <c r="AT246"/>
  <c r="AL246"/>
  <c r="AQ243"/>
  <c r="AV242"/>
  <c r="AN242"/>
  <c r="AS241"/>
  <c r="AK241"/>
  <c r="AV134"/>
  <c r="AS128"/>
  <c r="AK128"/>
  <c r="AR127"/>
  <c r="AT124"/>
  <c r="AL124"/>
  <c r="AT121"/>
  <c r="AL121"/>
  <c r="AS118"/>
  <c r="AK118"/>
  <c r="AR57"/>
  <c r="AJ57"/>
  <c r="AO56"/>
  <c r="AT55"/>
  <c r="AL55"/>
  <c r="AQ54"/>
  <c r="AI54"/>
  <c r="AA54"/>
  <c r="S54"/>
  <c r="K54"/>
  <c r="AR53"/>
  <c r="AJ53"/>
  <c r="AO52"/>
  <c r="AT51"/>
  <c r="AL51"/>
  <c r="AQ50"/>
  <c r="AI50"/>
  <c r="AA50"/>
  <c r="S50"/>
  <c r="K50"/>
  <c r="AR49"/>
  <c r="AJ49"/>
  <c r="AB49"/>
  <c r="T49"/>
  <c r="L49"/>
  <c r="AS48"/>
  <c r="AK48"/>
  <c r="AC48"/>
  <c r="U48"/>
  <c r="M48"/>
  <c r="AT47"/>
  <c r="AL47"/>
  <c r="AQ46"/>
  <c r="AV45"/>
  <c r="AN45"/>
  <c r="AS44"/>
  <c r="AK44"/>
  <c r="AP42"/>
  <c r="AU41"/>
  <c r="AM41"/>
  <c r="AE41"/>
  <c r="W41"/>
  <c r="J41"/>
  <c r="AQ40"/>
  <c r="AI40"/>
  <c r="AP36"/>
  <c r="AH36"/>
  <c r="AO35"/>
  <c r="AT34"/>
  <c r="AL34"/>
  <c r="AQ17"/>
  <c r="AO16"/>
  <c r="AN18"/>
  <c r="AL15"/>
  <c r="AV16"/>
  <c r="AS15"/>
  <c r="AD15"/>
  <c r="V15"/>
  <c r="N15"/>
  <c r="AQ13"/>
  <c r="AI13"/>
  <c r="AV12"/>
  <c r="AN12"/>
  <c r="AF12"/>
  <c r="X12"/>
  <c r="P12"/>
  <c r="H12"/>
  <c r="AO11"/>
  <c r="AG11"/>
  <c r="Y11"/>
  <c r="Q11"/>
  <c r="I11"/>
  <c r="AP10"/>
  <c r="AH10"/>
  <c r="Z10"/>
  <c r="R10"/>
  <c r="J10"/>
  <c r="AQ8"/>
  <c r="AI8"/>
  <c r="AA8"/>
  <c r="S8"/>
  <c r="K8"/>
  <c r="AR7"/>
  <c r="AJ7"/>
  <c r="AB7"/>
  <c r="T7"/>
  <c r="L7"/>
  <c r="AT380" i="279"/>
  <c r="AL380"/>
  <c r="AD380"/>
  <c r="V380"/>
  <c r="N380"/>
  <c r="AU379"/>
  <c r="AM379"/>
  <c r="AR378"/>
  <c r="AJ378"/>
  <c r="AB378"/>
  <c r="T378"/>
  <c r="L378"/>
  <c r="AV373"/>
  <c r="AS368"/>
  <c r="AK368"/>
  <c r="AR367"/>
  <c r="AT365"/>
  <c r="AL365"/>
  <c r="AU363"/>
  <c r="AM363"/>
  <c r="AT360"/>
  <c r="AL360"/>
  <c r="AS242"/>
  <c r="AN242"/>
  <c r="AT241"/>
  <c r="AO241"/>
  <c r="AT240"/>
  <c r="AO240"/>
  <c r="AJ240"/>
  <c r="AR237"/>
  <c r="AN237"/>
  <c r="AJ237"/>
  <c r="AS236"/>
  <c r="AO236"/>
  <c r="AK236"/>
  <c r="AT235"/>
  <c r="AP235"/>
  <c r="AL235"/>
  <c r="AU232"/>
  <c r="AQ232"/>
  <c r="AM232"/>
  <c r="AV231"/>
  <c r="AR231"/>
  <c r="AN231"/>
  <c r="AJ231"/>
  <c r="AS230"/>
  <c r="AO230"/>
  <c r="AK230"/>
  <c r="AT227"/>
  <c r="AP227"/>
  <c r="AL227"/>
  <c r="AU226"/>
  <c r="AQ226"/>
  <c r="AM226"/>
  <c r="AV225"/>
  <c r="AR225"/>
  <c r="AN225"/>
  <c r="AJ225"/>
  <c r="AS222"/>
  <c r="AO222"/>
  <c r="AK222"/>
  <c r="AT221"/>
  <c r="AP221"/>
  <c r="AL221"/>
  <c r="AU220"/>
  <c r="AQ220"/>
  <c r="AM220"/>
  <c r="AS129"/>
  <c r="AT127"/>
  <c r="AU121"/>
  <c r="AQ121"/>
  <c r="AM121"/>
  <c r="AI121"/>
  <c r="AT120"/>
  <c r="AU119"/>
  <c r="AV117"/>
  <c r="AR117"/>
  <c r="AN117"/>
  <c r="AJ117"/>
  <c r="AV114"/>
  <c r="AR114"/>
  <c r="AN114"/>
  <c r="AJ114"/>
  <c r="AU111"/>
  <c r="AQ111"/>
  <c r="AM111"/>
  <c r="AI111"/>
  <c r="H16" i="278"/>
  <c r="C18"/>
  <c r="B5"/>
  <c r="G20"/>
  <c r="G16"/>
  <c r="I16" s="1"/>
  <c r="F1"/>
  <c r="C6"/>
  <c r="C16"/>
  <c r="G17"/>
  <c r="C19"/>
  <c r="C5"/>
  <c r="C20"/>
  <c r="J694" i="270"/>
  <c r="N692"/>
  <c r="H691"/>
  <c r="L692"/>
  <c r="I694"/>
  <c r="M692"/>
  <c r="G691"/>
  <c r="I693"/>
  <c r="M691"/>
  <c r="J693"/>
  <c r="AM279" i="277"/>
  <c r="AU301"/>
  <c r="AV294"/>
  <c r="AJ286"/>
  <c r="AU188"/>
  <c r="K19" i="189"/>
  <c r="AQ295" i="277"/>
  <c r="AR286"/>
  <c r="AQ279"/>
  <c r="O28" i="189"/>
  <c r="AR294" i="277"/>
  <c r="AV186"/>
  <c r="AU295"/>
  <c r="AU279"/>
  <c r="L28" i="189"/>
  <c r="AV300" i="277"/>
  <c r="O19" i="189"/>
  <c r="AJ301" i="277"/>
  <c r="AN299"/>
  <c r="AS295"/>
  <c r="AK294"/>
  <c r="AO290"/>
  <c r="AT286"/>
  <c r="AL285"/>
  <c r="AP281"/>
  <c r="AJ280"/>
  <c r="AT186"/>
  <c r="AU179"/>
  <c r="AM176"/>
  <c r="AK173"/>
  <c r="AI170"/>
  <c r="AS382" i="276"/>
  <c r="AC382"/>
  <c r="M382"/>
  <c r="AM381"/>
  <c r="AU379"/>
  <c r="AE379"/>
  <c r="AV301" i="277"/>
  <c r="AM300"/>
  <c r="AR296"/>
  <c r="AJ295"/>
  <c r="AN291"/>
  <c r="AS289"/>
  <c r="AK286"/>
  <c r="AO284"/>
  <c r="AV280"/>
  <c r="AO279"/>
  <c r="AV180"/>
  <c r="AR176"/>
  <c r="AP173"/>
  <c r="AR170"/>
  <c r="AR383" i="276"/>
  <c r="AP382"/>
  <c r="Z382"/>
  <c r="J382"/>
  <c r="AJ381"/>
  <c r="AV379"/>
  <c r="AF379"/>
  <c r="P379"/>
  <c r="AP378"/>
  <c r="Z378"/>
  <c r="J378"/>
  <c r="AU368"/>
  <c r="AU367"/>
  <c r="AM365"/>
  <c r="AK363"/>
  <c r="AI360"/>
  <c r="AP300" i="277"/>
  <c r="AL295"/>
  <c r="AV289"/>
  <c r="AR284"/>
  <c r="AR279"/>
  <c r="AU176"/>
  <c r="AO170"/>
  <c r="AF382" i="276"/>
  <c r="AP381"/>
  <c r="Y379"/>
  <c r="AS378"/>
  <c r="X378"/>
  <c r="AS374"/>
  <c r="AH368"/>
  <c r="AP365"/>
  <c r="AI363"/>
  <c r="AQ242"/>
  <c r="AN241"/>
  <c r="AK240"/>
  <c r="AU236"/>
  <c r="AR235"/>
  <c r="AO232"/>
  <c r="AL231"/>
  <c r="AV227"/>
  <c r="AS226"/>
  <c r="AP225"/>
  <c r="AM222"/>
  <c r="AU220"/>
  <c r="AT127"/>
  <c r="AJ121"/>
  <c r="AV117"/>
  <c r="AT114"/>
  <c r="AV111"/>
  <c r="L19" i="189"/>
  <c r="AL299" i="277"/>
  <c r="AU291"/>
  <c r="AQ286"/>
  <c r="AN281"/>
  <c r="AM180"/>
  <c r="AM173"/>
  <c r="AQ382" i="276"/>
  <c r="K382"/>
  <c r="AJ380"/>
  <c r="U379"/>
  <c r="AO378"/>
  <c r="T378"/>
  <c r="AT373"/>
  <c r="AT367"/>
  <c r="AU363"/>
  <c r="AN360"/>
  <c r="AN242"/>
  <c r="AK241"/>
  <c r="AU237"/>
  <c r="AR236"/>
  <c r="AO235"/>
  <c r="AL232"/>
  <c r="AV230"/>
  <c r="AS227"/>
  <c r="AP226"/>
  <c r="AM225"/>
  <c r="AJ222"/>
  <c r="AV220"/>
  <c r="AT129"/>
  <c r="AK121"/>
  <c r="AO117"/>
  <c r="AM114"/>
  <c r="AK111"/>
  <c r="AP291" i="277"/>
  <c r="AP279"/>
  <c r="AP176"/>
  <c r="AJ382" i="276"/>
  <c r="AK379"/>
  <c r="AF378"/>
  <c r="AP368"/>
  <c r="AR363"/>
  <c r="AO242"/>
  <c r="AV237"/>
  <c r="AP235"/>
  <c r="AJ231"/>
  <c r="AQ226"/>
  <c r="AK222"/>
  <c r="AV129"/>
  <c r="AU120"/>
  <c r="AR114"/>
  <c r="F280" i="270"/>
  <c r="J18" i="189"/>
  <c r="B72" i="269"/>
  <c r="I30" i="198"/>
  <c r="G18" i="189"/>
  <c r="L17"/>
  <c r="G30" i="198"/>
  <c r="M32"/>
  <c r="AM299" i="277"/>
  <c r="AS286"/>
  <c r="AS176"/>
  <c r="AM382" i="276"/>
  <c r="W379"/>
  <c r="W378"/>
  <c r="AT366"/>
  <c r="AL363"/>
  <c r="AM241"/>
  <c r="AT236"/>
  <c r="AN232"/>
  <c r="AU227"/>
  <c r="AO225"/>
  <c r="AM221"/>
  <c r="AU121"/>
  <c r="AM117"/>
  <c r="AH111"/>
  <c r="N35" i="189"/>
  <c r="I36"/>
  <c r="J31" i="198"/>
  <c r="F36" i="189"/>
  <c r="H37"/>
  <c r="K32" i="198"/>
  <c r="H35" i="189"/>
  <c r="K26"/>
  <c r="AL301" i="277"/>
  <c r="AT280"/>
  <c r="AO381" i="276"/>
  <c r="AL368"/>
  <c r="AU240"/>
  <c r="AV231"/>
  <c r="AJ225"/>
  <c r="AR119"/>
  <c r="B84" i="269"/>
  <c r="L27" i="189"/>
  <c r="G35"/>
  <c r="L35"/>
  <c r="B74" i="269"/>
  <c r="M17" i="189"/>
  <c r="B69" i="269"/>
  <c r="AT360" i="276"/>
  <c r="AQ221"/>
  <c r="B95" i="269"/>
  <c r="F18" i="189"/>
  <c r="AL291" i="277"/>
  <c r="AL383" i="276"/>
  <c r="Q379"/>
  <c r="AR367"/>
  <c r="AV240"/>
  <c r="AJ232"/>
  <c r="AK225"/>
  <c r="AN114"/>
  <c r="N17" i="189"/>
  <c r="N37"/>
  <c r="N18"/>
  <c r="F31" i="198"/>
  <c r="L36" i="189"/>
  <c r="H19"/>
  <c r="AS281" i="277"/>
  <c r="AS383" i="276"/>
  <c r="R379"/>
  <c r="AP360"/>
  <c r="AJ237"/>
  <c r="AK230"/>
  <c r="AN221"/>
  <c r="AT120"/>
  <c r="B73" i="269"/>
  <c r="O32" i="198"/>
  <c r="B68" i="269"/>
  <c r="AS186" i="277"/>
  <c r="O382" i="276"/>
  <c r="AA378"/>
  <c r="AT242"/>
  <c r="AR232"/>
  <c r="AO220"/>
  <c r="C47" i="269"/>
  <c r="J36" i="189"/>
  <c r="H30" i="198"/>
  <c r="AT287" i="280"/>
  <c r="AL287"/>
  <c r="AP286"/>
  <c r="AT285"/>
  <c r="AL285"/>
  <c r="AS283"/>
  <c r="AP279"/>
  <c r="AT278"/>
  <c r="AL278"/>
  <c r="AP273"/>
  <c r="AT272"/>
  <c r="AL272"/>
  <c r="AP271"/>
  <c r="AT270"/>
  <c r="AL270"/>
  <c r="AP263"/>
  <c r="AQ262"/>
  <c r="AT261"/>
  <c r="AL261"/>
  <c r="AQ258"/>
  <c r="AV257"/>
  <c r="AN257"/>
  <c r="AS256"/>
  <c r="AK256"/>
  <c r="AP253"/>
  <c r="AU252"/>
  <c r="AM252"/>
  <c r="AR251"/>
  <c r="AJ251"/>
  <c r="AO248"/>
  <c r="AT247"/>
  <c r="AL247"/>
  <c r="AQ246"/>
  <c r="AV243"/>
  <c r="AN243"/>
  <c r="AS242"/>
  <c r="AK242"/>
  <c r="AP241"/>
  <c r="AU134"/>
  <c r="AR128"/>
  <c r="AJ128"/>
  <c r="AV126"/>
  <c r="AS124"/>
  <c r="AK124"/>
  <c r="AS121"/>
  <c r="AK121"/>
  <c r="AR118"/>
  <c r="AJ118"/>
  <c r="AQ57"/>
  <c r="AV56"/>
  <c r="AN56"/>
  <c r="AS55"/>
  <c r="AK55"/>
  <c r="AP54"/>
  <c r="AH54"/>
  <c r="Z54"/>
  <c r="R54"/>
  <c r="J54"/>
  <c r="AQ53"/>
  <c r="AV52"/>
  <c r="AN52"/>
  <c r="AS51"/>
  <c r="AK51"/>
  <c r="AP50"/>
  <c r="AH50"/>
  <c r="Z50"/>
  <c r="R50"/>
  <c r="J50"/>
  <c r="AQ49"/>
  <c r="AI49"/>
  <c r="AA49"/>
  <c r="S49"/>
  <c r="K49"/>
  <c r="AR48"/>
  <c r="AJ48"/>
  <c r="AB48"/>
  <c r="T48"/>
  <c r="L48"/>
  <c r="AS47"/>
  <c r="AK47"/>
  <c r="AP46"/>
  <c r="AU45"/>
  <c r="AM45"/>
  <c r="AR44"/>
  <c r="AJ44"/>
  <c r="AO42"/>
  <c r="AT41"/>
  <c r="AL41"/>
  <c r="AD41"/>
  <c r="V41"/>
  <c r="O41"/>
  <c r="AV40"/>
  <c r="AN40"/>
  <c r="AU36"/>
  <c r="AM36"/>
  <c r="AT35"/>
  <c r="AL35"/>
  <c r="AQ34"/>
  <c r="AI34"/>
  <c r="AR16"/>
  <c r="AQ18"/>
  <c r="AO15"/>
  <c r="AL17"/>
  <c r="AU16"/>
  <c r="AK15"/>
  <c r="AC15"/>
  <c r="U15"/>
  <c r="M15"/>
  <c r="AP13"/>
  <c r="AH13"/>
  <c r="AU12"/>
  <c r="AM12"/>
  <c r="AE12"/>
  <c r="W12"/>
  <c r="O12"/>
  <c r="AV11"/>
  <c r="AN11"/>
  <c r="AF11"/>
  <c r="X11"/>
  <c r="P11"/>
  <c r="H11"/>
  <c r="AO10"/>
  <c r="AG10"/>
  <c r="Y10"/>
  <c r="Q10"/>
  <c r="I10"/>
  <c r="AP8"/>
  <c r="AH8"/>
  <c r="Z8"/>
  <c r="R8"/>
  <c r="J8"/>
  <c r="AQ7"/>
  <c r="AI7"/>
  <c r="AA7"/>
  <c r="S7"/>
  <c r="K7"/>
  <c r="AQ380" i="279"/>
  <c r="AI380"/>
  <c r="AA380"/>
  <c r="S380"/>
  <c r="K380"/>
  <c r="AR379"/>
  <c r="AJ379"/>
  <c r="AO378"/>
  <c r="AG378"/>
  <c r="Y378"/>
  <c r="Q378"/>
  <c r="I378"/>
  <c r="AV374"/>
  <c r="AS373"/>
  <c r="AP368"/>
  <c r="AH368"/>
  <c r="AT366"/>
  <c r="AQ365"/>
  <c r="AI365"/>
  <c r="AT363"/>
  <c r="AL363"/>
  <c r="AS360"/>
  <c r="AK360"/>
  <c r="AY245"/>
  <c r="AR242"/>
  <c r="AL242"/>
  <c r="AS241"/>
  <c r="AM241"/>
  <c r="AS240"/>
  <c r="AN240"/>
  <c r="AU237"/>
  <c r="AQ237"/>
  <c r="AM237"/>
  <c r="AV236"/>
  <c r="AR236"/>
  <c r="AN236"/>
  <c r="AJ236"/>
  <c r="AS235"/>
  <c r="AO235"/>
  <c r="AK235"/>
  <c r="AT232"/>
  <c r="AP232"/>
  <c r="AL232"/>
  <c r="AU231"/>
  <c r="AQ231"/>
  <c r="AM231"/>
  <c r="AV230"/>
  <c r="AR230"/>
  <c r="AN230"/>
  <c r="AJ230"/>
  <c r="AS227"/>
  <c r="AO227"/>
  <c r="AK227"/>
  <c r="AT226"/>
  <c r="AP226"/>
  <c r="AL226"/>
  <c r="AU225"/>
  <c r="AQ225"/>
  <c r="AM225"/>
  <c r="AV222"/>
  <c r="AR222"/>
  <c r="AN222"/>
  <c r="AJ222"/>
  <c r="AS221"/>
  <c r="AO221"/>
  <c r="AK221"/>
  <c r="AT220"/>
  <c r="AP220"/>
  <c r="AL220"/>
  <c r="AV129"/>
  <c r="AR129"/>
  <c r="AS127"/>
  <c r="AT121"/>
  <c r="AP121"/>
  <c r="AL121"/>
  <c r="AH121"/>
  <c r="AS120"/>
  <c r="AT119"/>
  <c r="AU117"/>
  <c r="AQ117"/>
  <c r="AM117"/>
  <c r="AI117"/>
  <c r="AU114"/>
  <c r="AQ114"/>
  <c r="AM114"/>
  <c r="AI114"/>
  <c r="AT111"/>
  <c r="AP111"/>
  <c r="AL111"/>
  <c r="AH111"/>
  <c r="AQ287" i="280"/>
  <c r="AU286"/>
  <c r="AM286"/>
  <c r="AQ285"/>
  <c r="AT284"/>
  <c r="AU279"/>
  <c r="AM279"/>
  <c r="AQ278"/>
  <c r="AU273"/>
  <c r="AM273"/>
  <c r="AQ272"/>
  <c r="AU271"/>
  <c r="AM271"/>
  <c r="AQ270"/>
  <c r="AO263"/>
  <c r="AP262"/>
  <c r="AS261"/>
  <c r="AK261"/>
  <c r="AP258"/>
  <c r="AU257"/>
  <c r="AM257"/>
  <c r="AR256"/>
  <c r="AJ256"/>
  <c r="AO253"/>
  <c r="AT252"/>
  <c r="AL252"/>
  <c r="AQ251"/>
  <c r="AV248"/>
  <c r="AN248"/>
  <c r="AS247"/>
  <c r="AK247"/>
  <c r="AP246"/>
  <c r="AU243"/>
  <c r="AM243"/>
  <c r="AR242"/>
  <c r="AJ242"/>
  <c r="AO241"/>
  <c r="AU136"/>
  <c r="AR134"/>
  <c r="AO128"/>
  <c r="AV127"/>
  <c r="AS126"/>
  <c r="AP124"/>
  <c r="AH124"/>
  <c r="AP121"/>
  <c r="AH121"/>
  <c r="AO118"/>
  <c r="AV57"/>
  <c r="AN57"/>
  <c r="AS56"/>
  <c r="AK56"/>
  <c r="AP55"/>
  <c r="AU54"/>
  <c r="AM54"/>
  <c r="AE54"/>
  <c r="W54"/>
  <c r="O54"/>
  <c r="AV53"/>
  <c r="AN53"/>
  <c r="AS52"/>
  <c r="AK52"/>
  <c r="AP51"/>
  <c r="AU50"/>
  <c r="AM50"/>
  <c r="AE50"/>
  <c r="W50"/>
  <c r="O50"/>
  <c r="AV49"/>
  <c r="AN49"/>
  <c r="AF49"/>
  <c r="X49"/>
  <c r="P49"/>
  <c r="H49"/>
  <c r="AO48"/>
  <c r="AG48"/>
  <c r="Y48"/>
  <c r="Q48"/>
  <c r="I48"/>
  <c r="AP47"/>
  <c r="AU46"/>
  <c r="AM46"/>
  <c r="AR45"/>
  <c r="AJ45"/>
  <c r="AO44"/>
  <c r="AT42"/>
  <c r="AL42"/>
  <c r="AQ41"/>
  <c r="AI41"/>
  <c r="AA41"/>
  <c r="S41"/>
  <c r="N41"/>
  <c r="AU40"/>
  <c r="AM40"/>
  <c r="AT36"/>
  <c r="AL36"/>
  <c r="AS35"/>
  <c r="AK35"/>
  <c r="AP34"/>
  <c r="AH34"/>
  <c r="AR18"/>
  <c r="AP15"/>
  <c r="AM17"/>
  <c r="AT18"/>
  <c r="AK16"/>
  <c r="AH15"/>
  <c r="Z15"/>
  <c r="R15"/>
  <c r="J15"/>
  <c r="AM13"/>
  <c r="AE13"/>
  <c r="AR12"/>
  <c r="AJ12"/>
  <c r="AB12"/>
  <c r="T12"/>
  <c r="L12"/>
  <c r="AS11"/>
  <c r="AK11"/>
  <c r="AC11"/>
  <c r="U11"/>
  <c r="M11"/>
  <c r="AT10"/>
  <c r="AL10"/>
  <c r="AD10"/>
  <c r="V10"/>
  <c r="N10"/>
  <c r="AU8"/>
  <c r="AM8"/>
  <c r="AE8"/>
  <c r="W8"/>
  <c r="O8"/>
  <c r="AV7"/>
  <c r="AN7"/>
  <c r="AF7"/>
  <c r="X7"/>
  <c r="P7"/>
  <c r="H7"/>
  <c r="AP380" i="279"/>
  <c r="AH380"/>
  <c r="Z380"/>
  <c r="R380"/>
  <c r="J380"/>
  <c r="AQ379"/>
  <c r="AV378"/>
  <c r="AN378"/>
  <c r="AF378"/>
  <c r="X378"/>
  <c r="P378"/>
  <c r="H378"/>
  <c r="AU374"/>
  <c r="AR373"/>
  <c r="AO368"/>
  <c r="AV367"/>
  <c r="AS366"/>
  <c r="AP365"/>
  <c r="AH365"/>
  <c r="AQ363"/>
  <c r="AI363"/>
  <c r="AP360"/>
  <c r="AH360"/>
  <c r="AV242"/>
  <c r="AP242"/>
  <c r="AK242"/>
  <c r="AQ241"/>
  <c r="AL241"/>
  <c r="AR240"/>
  <c r="AL240"/>
  <c r="AT237"/>
  <c r="AP237"/>
  <c r="AL237"/>
  <c r="AU236"/>
  <c r="AQ236"/>
  <c r="AM236"/>
  <c r="AV235"/>
  <c r="AR235"/>
  <c r="AN235"/>
  <c r="AJ235"/>
  <c r="AS232"/>
  <c r="AO232"/>
  <c r="AK232"/>
  <c r="AT231"/>
  <c r="AP231"/>
  <c r="AL231"/>
  <c r="AU230"/>
  <c r="AQ230"/>
  <c r="AM230"/>
  <c r="AV227"/>
  <c r="AR227"/>
  <c r="AN227"/>
  <c r="AJ227"/>
  <c r="AS226"/>
  <c r="AO226"/>
  <c r="AK226"/>
  <c r="AT225"/>
  <c r="AP225"/>
  <c r="AL225"/>
  <c r="AU222"/>
  <c r="AQ222"/>
  <c r="AM222"/>
  <c r="AV221"/>
  <c r="AR221"/>
  <c r="AN221"/>
  <c r="AJ221"/>
  <c r="AS220"/>
  <c r="AO220"/>
  <c r="AK220"/>
  <c r="AU129"/>
  <c r="AV127"/>
  <c r="AR127"/>
  <c r="AS121"/>
  <c r="AO121"/>
  <c r="AK121"/>
  <c r="AV120"/>
  <c r="AR120"/>
  <c r="AS119"/>
  <c r="AT117"/>
  <c r="AP117"/>
  <c r="AL117"/>
  <c r="AH117"/>
  <c r="AT114"/>
  <c r="AP114"/>
  <c r="AL114"/>
  <c r="AH114"/>
  <c r="AS111"/>
  <c r="AO111"/>
  <c r="AK111"/>
  <c r="G7" i="278"/>
  <c r="G6"/>
  <c r="I6" s="1"/>
  <c r="H8"/>
  <c r="G8"/>
  <c r="I8" s="1"/>
  <c r="C9"/>
  <c r="F692" i="270"/>
  <c r="F691"/>
  <c r="E692"/>
  <c r="K692"/>
  <c r="H692"/>
  <c r="AT290" i="277"/>
  <c r="AO299"/>
  <c r="AQ281"/>
  <c r="AJ300"/>
  <c r="AL284"/>
  <c r="AQ301"/>
  <c r="N19" i="189"/>
  <c r="H28"/>
  <c r="AQ300" i="277"/>
  <c r="AQ296"/>
  <c r="AP294"/>
  <c r="AJ290"/>
  <c r="AV285"/>
  <c r="AV281"/>
  <c r="AS279"/>
  <c r="AO180"/>
  <c r="AQ176"/>
  <c r="AU170"/>
  <c r="AQ383" i="276"/>
  <c r="AG382"/>
  <c r="I382"/>
  <c r="AO380"/>
  <c r="AI379"/>
  <c r="AP301" i="277"/>
  <c r="AP299"/>
  <c r="AO295"/>
  <c r="AV290"/>
  <c r="AU286"/>
  <c r="AU284"/>
  <c r="AQ280"/>
  <c r="AV188"/>
  <c r="AV179"/>
  <c r="AL173"/>
  <c r="AJ170"/>
  <c r="AT382" i="276"/>
  <c r="V382"/>
  <c r="AR381"/>
  <c r="AL380"/>
  <c r="AB379"/>
  <c r="H379"/>
  <c r="AD378"/>
  <c r="AV374"/>
  <c r="AM368"/>
  <c r="AQ365"/>
  <c r="AU360"/>
  <c r="F19" i="189"/>
  <c r="AJ296" i="277"/>
  <c r="AK289"/>
  <c r="AJ281"/>
  <c r="AI180"/>
  <c r="AO383" i="276"/>
  <c r="P382"/>
  <c r="AG379"/>
  <c r="AN378"/>
  <c r="M378"/>
  <c r="AN368"/>
  <c r="AK365"/>
  <c r="AL360"/>
  <c r="AR241"/>
  <c r="AT237"/>
  <c r="AM236"/>
  <c r="AS232"/>
  <c r="AU230"/>
  <c r="AN227"/>
  <c r="AT225"/>
  <c r="AS221"/>
  <c r="AM220"/>
  <c r="AN121"/>
  <c r="AR117"/>
  <c r="AL114"/>
  <c r="AJ111"/>
  <c r="AN296" i="277"/>
  <c r="AM290"/>
  <c r="AK284"/>
  <c r="AR179"/>
  <c r="AH170"/>
  <c r="S382" i="276"/>
  <c r="AP379"/>
  <c r="J379"/>
  <c r="Y378"/>
  <c r="AT368"/>
  <c r="AR365"/>
  <c r="AS360"/>
  <c r="AJ242"/>
  <c r="AP240"/>
  <c r="AV236"/>
  <c r="AK235"/>
  <c r="AQ231"/>
  <c r="AJ230"/>
  <c r="AL226"/>
  <c r="AR222"/>
  <c r="AL221"/>
  <c r="AU127"/>
  <c r="AU119"/>
  <c r="AQ114"/>
  <c r="AO300" i="277"/>
  <c r="AL286"/>
  <c r="AT178"/>
  <c r="T382" i="276"/>
  <c r="K379"/>
  <c r="AU373"/>
  <c r="AH363"/>
  <c r="AL241"/>
  <c r="AK236"/>
  <c r="AO230"/>
  <c r="AN225"/>
  <c r="AP220"/>
  <c r="AS119"/>
  <c r="AU111"/>
  <c r="H36" i="189"/>
  <c r="J35"/>
  <c r="M34"/>
  <c r="B83" i="269"/>
  <c r="F17" i="189"/>
  <c r="N31" i="198"/>
  <c r="AN290" i="277"/>
  <c r="AQ173"/>
  <c r="AM380" i="276"/>
  <c r="AG378"/>
  <c r="AS365"/>
  <c r="AP242"/>
  <c r="AO237"/>
  <c r="AS231"/>
  <c r="AR226"/>
  <c r="AU221"/>
  <c r="AM121"/>
  <c r="AK114"/>
  <c r="O34" i="189"/>
  <c r="K17"/>
  <c r="K18"/>
  <c r="B78" i="269"/>
  <c r="G32" i="198"/>
  <c r="K30"/>
  <c r="J37" i="189"/>
  <c r="AS179" i="277"/>
  <c r="AD379" i="276"/>
  <c r="AK242"/>
  <c r="AS230"/>
  <c r="AT220"/>
  <c r="I298" i="270"/>
  <c r="J30" i="198"/>
  <c r="G140" i="200"/>
  <c r="O17" i="189"/>
  <c r="L32" i="198"/>
  <c r="AP289" i="277"/>
  <c r="AS225" i="276"/>
  <c r="G37" i="189"/>
  <c r="AS301" i="277"/>
  <c r="AS170"/>
  <c r="AK378" i="276"/>
  <c r="AJ360"/>
  <c r="AM235"/>
  <c r="AR127"/>
  <c r="J27" i="189"/>
  <c r="L18"/>
  <c r="I31" i="198"/>
  <c r="O30"/>
  <c r="H26" i="189"/>
  <c r="AS178" i="277"/>
  <c r="L382" i="276"/>
  <c r="AT365"/>
  <c r="AT235"/>
  <c r="AR225"/>
  <c r="AP121"/>
  <c r="I18" i="189"/>
  <c r="I34"/>
  <c r="AM284" i="277"/>
  <c r="AL381" i="276"/>
  <c r="AK368"/>
  <c r="AU235"/>
  <c r="AU129"/>
  <c r="L26" i="189"/>
  <c r="G17"/>
  <c r="B11" i="278"/>
  <c r="C17"/>
  <c r="B6"/>
  <c r="D6" s="1"/>
  <c r="H7"/>
  <c r="H17"/>
  <c r="F694" i="270"/>
  <c r="E698"/>
  <c r="E694"/>
  <c r="K694"/>
  <c r="I691"/>
  <c r="AN286" i="277"/>
  <c r="G19" i="189"/>
  <c r="AS291" i="277"/>
  <c r="AP180"/>
  <c r="AN294"/>
  <c r="AR186"/>
  <c r="AL290"/>
  <c r="AO291"/>
  <c r="AO280"/>
  <c r="AT180"/>
  <c r="J19" i="189"/>
  <c r="AL300" i="277"/>
  <c r="AK296"/>
  <c r="AR291"/>
  <c r="AR289"/>
  <c r="AQ285"/>
  <c r="AK281"/>
  <c r="AN279"/>
  <c r="AJ180"/>
  <c r="AI176"/>
  <c r="AQ170"/>
  <c r="AM383" i="276"/>
  <c r="Y382"/>
  <c r="AU381"/>
  <c r="AK380"/>
  <c r="AA379"/>
  <c r="AK301" i="277"/>
  <c r="AJ299"/>
  <c r="AQ294"/>
  <c r="AQ290"/>
  <c r="AP286"/>
  <c r="AJ284"/>
  <c r="AL280"/>
  <c r="AU186"/>
  <c r="AN176"/>
  <c r="AH173"/>
  <c r="AV383" i="276"/>
  <c r="AL382"/>
  <c r="R382"/>
  <c r="AN381"/>
  <c r="AR379"/>
  <c r="X379"/>
  <c r="AT378"/>
  <c r="V378"/>
  <c r="AR374"/>
  <c r="AI368"/>
  <c r="AI365"/>
  <c r="AQ360"/>
  <c r="AN301" i="277"/>
  <c r="AO294"/>
  <c r="AM286"/>
  <c r="AN280"/>
  <c r="AL176"/>
  <c r="AV382" i="276"/>
  <c r="H382"/>
  <c r="S379"/>
  <c r="AI378"/>
  <c r="H378"/>
  <c r="AS367"/>
  <c r="AT363"/>
  <c r="AU242"/>
  <c r="AJ241"/>
  <c r="AP237"/>
  <c r="AV235"/>
  <c r="AK232"/>
  <c r="AQ230"/>
  <c r="AJ227"/>
  <c r="AL225"/>
  <c r="AO221"/>
  <c r="AS129"/>
  <c r="AV120"/>
  <c r="AN117"/>
  <c r="AH114"/>
  <c r="AR301" i="277"/>
  <c r="AP295"/>
  <c r="AO289"/>
  <c r="AR280"/>
  <c r="AO176"/>
  <c r="AP383" i="276"/>
  <c r="AS381"/>
  <c r="AH379"/>
  <c r="AU378"/>
  <c r="O378"/>
  <c r="AO368"/>
  <c r="AL365"/>
  <c r="AH360"/>
  <c r="AS241"/>
  <c r="AL240"/>
  <c r="AN236"/>
  <c r="AT232"/>
  <c r="AM231"/>
  <c r="AO227"/>
  <c r="AU225"/>
  <c r="AN222"/>
  <c r="AR220"/>
  <c r="AS121"/>
  <c r="AS117"/>
  <c r="AI114"/>
  <c r="AS296" i="277"/>
  <c r="AQ284"/>
  <c r="AN173"/>
  <c r="AT381" i="276"/>
  <c r="AQ378"/>
  <c r="AV367"/>
  <c r="AV360"/>
  <c r="AQ240"/>
  <c r="AU232"/>
  <c r="AT227"/>
  <c r="AS222"/>
  <c r="AS127"/>
  <c r="AT117"/>
  <c r="AM111"/>
  <c r="G26" i="189"/>
  <c r="H34"/>
  <c r="G34"/>
  <c r="M36"/>
  <c r="I17"/>
  <c r="AU300" i="277"/>
  <c r="AJ285"/>
  <c r="AL170"/>
  <c r="AL379" i="276"/>
  <c r="L378"/>
  <c r="AH365"/>
  <c r="AU241"/>
  <c r="AL236"/>
  <c r="AK231"/>
  <c r="AJ226"/>
  <c r="AS220"/>
  <c r="AV119"/>
  <c r="AP111"/>
  <c r="M18" i="189"/>
  <c r="K36"/>
  <c r="J17"/>
  <c r="O37"/>
  <c r="B98" i="269"/>
  <c r="N30" i="198"/>
  <c r="AV295" i="277"/>
  <c r="AK176"/>
  <c r="AB378" i="276"/>
  <c r="AR237"/>
  <c r="AP227"/>
  <c r="AH121"/>
  <c r="F26" i="189"/>
  <c r="H32" i="198"/>
  <c r="N32"/>
  <c r="M27" i="189"/>
  <c r="F27"/>
  <c r="AM280" i="277"/>
  <c r="AV114" i="276"/>
  <c r="M31" i="198"/>
  <c r="AO296" i="277"/>
  <c r="AE382" i="276"/>
  <c r="P378"/>
  <c r="AL242"/>
  <c r="AT230"/>
  <c r="AI121"/>
  <c r="N26" i="189"/>
  <c r="K37"/>
  <c r="B70" i="269"/>
  <c r="J32" i="198"/>
  <c r="AQ299" i="277"/>
  <c r="AI173"/>
  <c r="AT379" i="276"/>
  <c r="AS242"/>
  <c r="AQ232"/>
  <c r="AO222"/>
  <c r="AQ117"/>
  <c r="B85" i="269"/>
  <c r="I32" i="198"/>
  <c r="AH176" i="277"/>
  <c r="AC379" i="276"/>
  <c r="AM363"/>
  <c r="AO231"/>
  <c r="AQ121"/>
  <c r="B88" i="269"/>
  <c r="I27" i="189"/>
  <c r="H20" i="278"/>
  <c r="B9"/>
  <c r="D9" s="1"/>
  <c r="G18"/>
  <c r="I18" s="1"/>
  <c r="C10"/>
  <c r="G19"/>
  <c r="G10"/>
  <c r="L693" i="270"/>
  <c r="L694"/>
  <c r="K693"/>
  <c r="G694"/>
  <c r="E691"/>
  <c r="AS299" i="277"/>
  <c r="G28" i="189"/>
  <c r="AP290" i="277"/>
  <c r="AV178"/>
  <c r="AK291"/>
  <c r="AH180"/>
  <c r="AS285"/>
  <c r="AV286"/>
  <c r="AQ289"/>
  <c r="AK285"/>
  <c r="AT301"/>
  <c r="AT299"/>
  <c r="AN295"/>
  <c r="AM291"/>
  <c r="AL289"/>
  <c r="AS284"/>
  <c r="AU280"/>
  <c r="AT188"/>
  <c r="AU178"/>
  <c r="AS173"/>
  <c r="AM170"/>
  <c r="AO382" i="276"/>
  <c r="U382"/>
  <c r="AQ381"/>
  <c r="AQ379"/>
  <c r="M28" i="189"/>
  <c r="AS300" i="277"/>
  <c r="AM296"/>
  <c r="AL294"/>
  <c r="AK290"/>
  <c r="AR285"/>
  <c r="AR281"/>
  <c r="AT279"/>
  <c r="AQ180"/>
  <c r="AJ176"/>
  <c r="AV170"/>
  <c r="AN383" i="276"/>
  <c r="AH382"/>
  <c r="N382"/>
  <c r="AT380"/>
  <c r="AN379"/>
  <c r="T379"/>
  <c r="AL378"/>
  <c r="R378"/>
  <c r="AS373"/>
  <c r="AS366"/>
  <c r="AS363"/>
  <c r="AM360"/>
  <c r="AR299" i="277"/>
  <c r="AQ291"/>
  <c r="AP285"/>
  <c r="AS188"/>
  <c r="AR173"/>
  <c r="AN382" i="276"/>
  <c r="AQ380"/>
  <c r="N379"/>
  <c r="AC378"/>
  <c r="AR373"/>
  <c r="AU366"/>
  <c r="AN363"/>
  <c r="AM242"/>
  <c r="AS240"/>
  <c r="AL237"/>
  <c r="AN235"/>
  <c r="AT231"/>
  <c r="AM230"/>
  <c r="AO226"/>
  <c r="AU222"/>
  <c r="AK221"/>
  <c r="AV121"/>
  <c r="AR120"/>
  <c r="AJ117"/>
  <c r="AR111"/>
  <c r="AT300" i="277"/>
  <c r="AS294"/>
  <c r="AT285"/>
  <c r="AV279"/>
  <c r="AU173"/>
  <c r="AI382" i="276"/>
  <c r="AK381"/>
  <c r="Z379"/>
  <c r="AJ378"/>
  <c r="I378"/>
  <c r="AJ368"/>
  <c r="AP363"/>
  <c r="AV242"/>
  <c r="AO241"/>
  <c r="AQ237"/>
  <c r="AJ236"/>
  <c r="AP232"/>
  <c r="AR230"/>
  <c r="AK227"/>
  <c r="AQ225"/>
  <c r="AT221"/>
  <c r="AN220"/>
  <c r="AO121"/>
  <c r="AK117"/>
  <c r="AS111"/>
  <c r="AK295" i="277"/>
  <c r="AR188"/>
  <c r="AK170"/>
  <c r="AV380" i="276"/>
  <c r="U378"/>
  <c r="AR366"/>
  <c r="AK360"/>
  <c r="AN237"/>
  <c r="AM232"/>
  <c r="AL227"/>
  <c r="AR221"/>
  <c r="AT121"/>
  <c r="AL117"/>
  <c r="B87" i="269"/>
  <c r="M35" i="189"/>
  <c r="F34"/>
  <c r="F59" i="188"/>
  <c r="F54" s="1"/>
  <c r="N36" i="189"/>
  <c r="K31" i="198"/>
  <c r="AR295" i="277"/>
  <c r="AO281"/>
  <c r="AK383" i="276"/>
  <c r="M379"/>
  <c r="AV373"/>
  <c r="AV363"/>
  <c r="AR240"/>
  <c r="AQ235"/>
  <c r="AP230"/>
  <c r="AT222"/>
  <c r="AK220"/>
  <c r="AU117"/>
  <c r="C48" i="269"/>
  <c r="B94"/>
  <c r="B96" s="1"/>
  <c r="K35" i="189"/>
  <c r="O31" i="198"/>
  <c r="M30"/>
  <c r="M26" i="189"/>
  <c r="F35"/>
  <c r="AR290" i="277"/>
  <c r="AB382" i="276"/>
  <c r="AJ365"/>
  <c r="AO236"/>
  <c r="AM226"/>
  <c r="AI117"/>
  <c r="N34" i="189"/>
  <c r="O26"/>
  <c r="O27"/>
  <c r="H31" i="198"/>
  <c r="L34" i="189"/>
  <c r="AQ241" i="276"/>
  <c r="AL111"/>
  <c r="B76" i="269"/>
  <c r="AU285" i="277"/>
  <c r="AU380" i="276"/>
  <c r="AV368"/>
  <c r="AS237"/>
  <c r="AQ227"/>
  <c r="AP117"/>
  <c r="B89" i="269"/>
  <c r="J26" i="189"/>
  <c r="O18"/>
  <c r="L37"/>
  <c r="AM294" i="277"/>
  <c r="AT170"/>
  <c r="AM378" i="276"/>
  <c r="AP241"/>
  <c r="AN231"/>
  <c r="AL220"/>
  <c r="AO114"/>
  <c r="I37" i="189"/>
  <c r="O36"/>
  <c r="AV173" i="277"/>
  <c r="AV378" i="276"/>
  <c r="AN240"/>
  <c r="AV226"/>
  <c r="AH117"/>
  <c r="G27" i="189"/>
  <c r="F30" i="198"/>
  <c r="G9" i="278"/>
  <c r="I9" s="1"/>
  <c r="H15"/>
  <c r="H10"/>
  <c r="H19"/>
  <c r="G15"/>
  <c r="I15" s="1"/>
  <c r="C11"/>
  <c r="B8"/>
  <c r="D8" s="1"/>
  <c r="J692" i="270"/>
  <c r="N691"/>
  <c r="I692"/>
  <c r="E693"/>
  <c r="F693"/>
  <c r="AM295" i="277"/>
  <c r="AO285"/>
  <c r="AU290"/>
  <c r="AU180"/>
  <c r="AK382" i="276"/>
  <c r="I28" i="189"/>
  <c r="AN289" i="277"/>
  <c r="AK180"/>
  <c r="AD382" i="276"/>
  <c r="L379"/>
  <c r="AU365"/>
  <c r="AS290" i="277"/>
  <c r="X382" i="276"/>
  <c r="AS368"/>
  <c r="AO240"/>
  <c r="AR227"/>
  <c r="AR121"/>
  <c r="AV299" i="277"/>
  <c r="AP170"/>
  <c r="AE378" i="276"/>
  <c r="AR242"/>
  <c r="AU231"/>
  <c r="AP221"/>
  <c r="AO111"/>
  <c r="V379"/>
  <c r="AS236"/>
  <c r="AL121"/>
  <c r="H27" i="189"/>
  <c r="AV291" i="277"/>
  <c r="AR368" i="276"/>
  <c r="AM227"/>
  <c r="B82" i="269"/>
  <c r="G36" i="189"/>
  <c r="AN380" i="276"/>
  <c r="AQ111"/>
  <c r="I35" i="189"/>
  <c r="G31" i="198"/>
  <c r="AP236" i="276"/>
  <c r="G13" i="189"/>
  <c r="AR382" i="276"/>
  <c r="AR129"/>
  <c r="AU382"/>
  <c r="F37" i="189"/>
  <c r="AR300" i="277"/>
  <c r="M19" i="189"/>
  <c r="AO301" i="277"/>
  <c r="AO286"/>
  <c r="AV176"/>
  <c r="Q382" i="276"/>
  <c r="AU299" i="277"/>
  <c r="AM285"/>
  <c r="AT173"/>
  <c r="AV381" i="276"/>
  <c r="AH378"/>
  <c r="AO363"/>
  <c r="AT281" i="277"/>
  <c r="AO379" i="276"/>
  <c r="AV365"/>
  <c r="AQ236"/>
  <c r="AK226"/>
  <c r="AT119"/>
  <c r="AJ291" i="277"/>
  <c r="AA382" i="276"/>
  <c r="AT374"/>
  <c r="AT240"/>
  <c r="AN230"/>
  <c r="AJ220"/>
  <c r="AT289" i="277"/>
  <c r="K378" i="276"/>
  <c r="AR231"/>
  <c r="AJ114"/>
  <c r="AR180" i="277"/>
  <c r="AO360" i="276"/>
  <c r="AL222"/>
  <c r="B71" i="269"/>
  <c r="M37" i="189"/>
  <c r="AQ363" i="276"/>
  <c r="B97" i="269"/>
  <c r="AK300" i="277"/>
  <c r="AL279"/>
  <c r="AN226" i="276"/>
  <c r="I26" i="189"/>
  <c r="Q378" i="276"/>
  <c r="AI111"/>
  <c r="AU374"/>
  <c r="G176" i="200"/>
  <c r="N28" i="189"/>
  <c r="AT284" i="277"/>
  <c r="AR178"/>
  <c r="I19" i="189"/>
  <c r="AV296" i="277"/>
  <c r="AN284"/>
  <c r="AO173"/>
  <c r="AS380" i="276"/>
  <c r="AT295" i="277"/>
  <c r="AL281"/>
  <c r="AN170"/>
  <c r="AP380" i="276"/>
  <c r="N378"/>
  <c r="K28" i="189"/>
  <c r="AS180" i="277"/>
  <c r="I379" i="276"/>
  <c r="AR360"/>
  <c r="AJ235"/>
  <c r="AQ222"/>
  <c r="AP114"/>
  <c r="AV284" i="277"/>
  <c r="AR380" i="276"/>
  <c r="AV366"/>
  <c r="AM237"/>
  <c r="AT226"/>
  <c r="AS120"/>
  <c r="AN180" i="277"/>
  <c r="AO365" i="276"/>
  <c r="AV225"/>
  <c r="C46" i="269"/>
  <c r="B100"/>
  <c r="W382" i="276"/>
  <c r="AJ240"/>
  <c r="AV127"/>
  <c r="B67" i="269"/>
  <c r="H18" i="189"/>
  <c r="AL235" i="276"/>
  <c r="N27" i="189"/>
  <c r="AL230" i="276"/>
  <c r="AS379"/>
  <c r="AT111"/>
  <c r="H17" i="189"/>
  <c r="AM240" i="276"/>
  <c r="O35" i="189"/>
  <c r="AK237" i="276"/>
  <c r="J34" i="189"/>
  <c r="AM301" i="277"/>
  <c r="AL180"/>
  <c r="AU294"/>
  <c r="AP280"/>
  <c r="AU383" i="276"/>
  <c r="AM379"/>
  <c r="AT291" i="277"/>
  <c r="AJ279"/>
  <c r="AJ383" i="276"/>
  <c r="AJ379"/>
  <c r="AQ368"/>
  <c r="AU296" i="277"/>
  <c r="AJ173"/>
  <c r="S378" i="276"/>
  <c r="AV241"/>
  <c r="AP231"/>
  <c r="AQ220"/>
  <c r="AN111"/>
  <c r="AK279" i="277"/>
  <c r="O379" i="276"/>
  <c r="AJ363"/>
  <c r="AS235"/>
  <c r="AV222"/>
  <c r="AU114"/>
  <c r="AT383"/>
  <c r="AT241"/>
  <c r="AJ221"/>
  <c r="L31" i="198"/>
  <c r="B86" i="269"/>
  <c r="AR378" i="276"/>
  <c r="AV232"/>
  <c r="AS114"/>
  <c r="L30" i="198"/>
  <c r="AN285" i="277"/>
  <c r="AV221" i="276"/>
  <c r="K34" i="189"/>
  <c r="F32" i="198"/>
  <c r="AN365" i="276"/>
  <c r="K27" i="189"/>
  <c r="AJ289" i="277"/>
  <c r="AU226" i="276"/>
  <c r="AT294" i="277"/>
  <c r="AP222" i="276"/>
  <c r="O383" i="271"/>
  <c r="O394"/>
  <c r="O423" s="1"/>
  <c r="N390"/>
  <c r="N383"/>
  <c r="N394"/>
  <c r="M394"/>
  <c r="L390"/>
  <c r="M390"/>
  <c r="L394"/>
  <c r="M383"/>
  <c r="K383"/>
  <c r="L383"/>
  <c r="K394"/>
  <c r="J390"/>
  <c r="I394"/>
  <c r="K390"/>
  <c r="J394"/>
  <c r="I390"/>
  <c r="I419" s="1"/>
  <c r="H390"/>
  <c r="G390"/>
  <c r="G419" s="1"/>
  <c r="F390"/>
  <c r="F419" s="1"/>
  <c r="J383"/>
  <c r="I383"/>
  <c r="H383"/>
  <c r="G383"/>
  <c r="G412" s="1"/>
  <c r="G435" s="1"/>
  <c r="F383"/>
  <c r="F412" s="1"/>
  <c r="F435" s="1"/>
  <c r="F394"/>
  <c r="F423" s="1"/>
  <c r="H394"/>
  <c r="G394"/>
  <c r="G423" s="1"/>
  <c r="F422"/>
  <c r="F415"/>
  <c r="F371"/>
  <c r="F148" i="191"/>
  <c r="H532" i="270"/>
  <c r="I387"/>
  <c r="G385" i="159"/>
  <c r="G407"/>
  <c r="G363"/>
  <c r="M344" i="154"/>
  <c r="H349" i="271"/>
  <c r="H406" s="1"/>
  <c r="BC175" i="279"/>
  <c r="BD71" i="280"/>
  <c r="G29" i="48"/>
  <c r="G33" s="1"/>
  <c r="F8" i="35"/>
  <c r="G7"/>
  <c r="BA411" i="277"/>
  <c r="K39" i="48"/>
  <c r="J43"/>
  <c r="G22" i="271"/>
  <c r="F18"/>
  <c r="F22" s="1"/>
  <c r="I112"/>
  <c r="J112" s="1"/>
  <c r="K112" s="1"/>
  <c r="L112" s="1"/>
  <c r="M112" s="1"/>
  <c r="N112" s="1"/>
  <c r="I36" i="236"/>
  <c r="I46"/>
  <c r="I83" i="244"/>
  <c r="K35" i="233"/>
  <c r="O4" i="228"/>
  <c r="I34" i="236"/>
  <c r="K48" i="234"/>
  <c r="L48" s="1"/>
  <c r="BG14" i="263"/>
  <c r="T68"/>
  <c r="BE23"/>
  <c r="BG51" i="262"/>
  <c r="BG14"/>
  <c r="BG20" i="261"/>
  <c r="AN23" i="260"/>
  <c r="BG12"/>
  <c r="Z23"/>
  <c r="AU23" i="258"/>
  <c r="Z23"/>
  <c r="AU23" i="260"/>
  <c r="AP23" i="259"/>
  <c r="BG17"/>
  <c r="AN23" i="248"/>
  <c r="BG12"/>
  <c r="AN23" i="256"/>
  <c r="BG12"/>
  <c r="BF23" i="248"/>
  <c r="BF23" i="255"/>
  <c r="BG20"/>
  <c r="BG14" i="248"/>
  <c r="R37" i="263"/>
  <c r="R51"/>
  <c r="R67"/>
  <c r="AP23" i="248"/>
  <c r="AU23" i="255"/>
  <c r="BG14" i="256"/>
  <c r="I68" i="263"/>
  <c r="P52" i="262"/>
  <c r="R37"/>
  <c r="O52" i="261"/>
  <c r="G68"/>
  <c r="R61"/>
  <c r="R44" i="259"/>
  <c r="J68" i="258"/>
  <c r="R37"/>
  <c r="R51"/>
  <c r="R67"/>
  <c r="I68" i="248"/>
  <c r="G52"/>
  <c r="R33"/>
  <c r="I68" i="262"/>
  <c r="R67"/>
  <c r="J52" i="260"/>
  <c r="N52"/>
  <c r="I52" i="258"/>
  <c r="BG17" i="255"/>
  <c r="L52" i="263"/>
  <c r="M52" i="262"/>
  <c r="N52"/>
  <c r="K68" i="261"/>
  <c r="Q52"/>
  <c r="R37" i="256"/>
  <c r="G52" i="257"/>
  <c r="R33"/>
  <c r="Q52" i="248"/>
  <c r="BM60" i="256"/>
  <c r="O52" i="255"/>
  <c r="N52"/>
  <c r="BJ23" i="257"/>
  <c r="T52"/>
  <c r="AZ52"/>
  <c r="BB52"/>
  <c r="O52" i="259"/>
  <c r="R67"/>
  <c r="I68" i="256"/>
  <c r="M52" i="255"/>
  <c r="R44"/>
  <c r="R37" i="257"/>
  <c r="R51"/>
  <c r="R67"/>
  <c r="AY23"/>
  <c r="AR23"/>
  <c r="G52" i="256"/>
  <c r="R33"/>
  <c r="G52" i="255"/>
  <c r="R33"/>
  <c r="BK17" i="257"/>
  <c r="BK17" i="255"/>
  <c r="AY23" i="256"/>
  <c r="AR23"/>
  <c r="BK17" i="248"/>
  <c r="AY23" i="258"/>
  <c r="AR23"/>
  <c r="BK17" i="259"/>
  <c r="K52" i="257"/>
  <c r="AQ23" i="255"/>
  <c r="AW68" i="256"/>
  <c r="AZ68"/>
  <c r="AQ23" i="248"/>
  <c r="AW68" i="258"/>
  <c r="AZ68"/>
  <c r="AZ23" i="255"/>
  <c r="BA23"/>
  <c r="BB23"/>
  <c r="BC23"/>
  <c r="AT23"/>
  <c r="Y23"/>
  <c r="AZ23" i="256"/>
  <c r="BA23"/>
  <c r="BB23"/>
  <c r="BC23"/>
  <c r="AT23"/>
  <c r="Y23"/>
  <c r="AZ23" i="248"/>
  <c r="BA23"/>
  <c r="BB23"/>
  <c r="BC23"/>
  <c r="AT23"/>
  <c r="Y23"/>
  <c r="AZ23" i="258"/>
  <c r="BA23"/>
  <c r="BB23"/>
  <c r="BC23"/>
  <c r="AT23"/>
  <c r="Y23"/>
  <c r="AZ23" i="259"/>
  <c r="BA23"/>
  <c r="BB23"/>
  <c r="I68" i="257"/>
  <c r="R44"/>
  <c r="AV23"/>
  <c r="BK14"/>
  <c r="AW23" i="255"/>
  <c r="BK20"/>
  <c r="AZ52" i="256"/>
  <c r="BB52"/>
  <c r="AO23"/>
  <c r="BK37"/>
  <c r="AO23" i="248"/>
  <c r="BJ23" i="258"/>
  <c r="BB52"/>
  <c r="BI68" i="260"/>
  <c r="AQ52"/>
  <c r="AQ52" i="261"/>
  <c r="BJ23" i="248"/>
  <c r="BB52"/>
  <c r="AV52" i="258"/>
  <c r="AQ23" i="259"/>
  <c r="AQ71" s="1"/>
  <c r="T68" i="260"/>
  <c r="AW23"/>
  <c r="AZ52" i="261"/>
  <c r="BB52"/>
  <c r="AO23"/>
  <c r="BI23" i="262"/>
  <c r="BK12"/>
  <c r="BK37"/>
  <c r="BI68" i="263"/>
  <c r="T68" i="259"/>
  <c r="BE23" i="261"/>
  <c r="AR23" i="262"/>
  <c r="BI23" i="259"/>
  <c r="BK12"/>
  <c r="AR23" i="261"/>
  <c r="AQ23" i="262"/>
  <c r="AV52" i="259"/>
  <c r="T52" i="260"/>
  <c r="BK20" i="263"/>
  <c r="T68" i="248"/>
  <c r="AY23" i="260"/>
  <c r="T52" i="261"/>
  <c r="BK17"/>
  <c r="U23" i="262"/>
  <c r="BK14" i="263"/>
  <c r="BT23"/>
  <c r="CZ23"/>
  <c r="BW23" i="262"/>
  <c r="CM23"/>
  <c r="DC23"/>
  <c r="BZ23" i="261"/>
  <c r="CP23"/>
  <c r="DF23"/>
  <c r="CG23" i="260"/>
  <c r="CG71" s="1"/>
  <c r="CW23"/>
  <c r="BT23" i="259"/>
  <c r="CJ23"/>
  <c r="CZ23"/>
  <c r="BW23" i="258"/>
  <c r="CP23" i="263"/>
  <c r="CP71" s="1"/>
  <c r="CH23" i="262"/>
  <c r="CX23"/>
  <c r="BY23" i="261"/>
  <c r="BY71" s="1"/>
  <c r="CO23"/>
  <c r="DE23"/>
  <c r="DE71" s="1"/>
  <c r="CB23" i="260"/>
  <c r="CR23"/>
  <c r="CR71" s="1"/>
  <c r="CE23" i="259"/>
  <c r="CU23"/>
  <c r="CH23" i="258"/>
  <c r="CX23"/>
  <c r="CX71" s="1"/>
  <c r="BY23" i="248"/>
  <c r="CO23"/>
  <c r="CO71" s="1"/>
  <c r="DE23"/>
  <c r="CB23" i="256"/>
  <c r="CR23"/>
  <c r="CE23" i="255"/>
  <c r="CU23"/>
  <c r="CH23" i="257"/>
  <c r="CX23"/>
  <c r="CF23" i="263"/>
  <c r="BY23" i="262"/>
  <c r="CO23"/>
  <c r="DE23"/>
  <c r="CB23" i="261"/>
  <c r="CR23"/>
  <c r="CR71" s="1"/>
  <c r="CE23" i="260"/>
  <c r="CU23"/>
  <c r="CH23" i="259"/>
  <c r="CX23"/>
  <c r="BY23" i="258"/>
  <c r="BY71" s="1"/>
  <c r="CO23"/>
  <c r="DE23"/>
  <c r="CB23" i="248"/>
  <c r="CB71" s="1"/>
  <c r="CR23"/>
  <c r="CR71" s="1"/>
  <c r="CE23" i="256"/>
  <c r="CU23"/>
  <c r="CH23" i="255"/>
  <c r="CX23"/>
  <c r="BY23" i="257"/>
  <c r="CO23"/>
  <c r="DE23"/>
  <c r="CE23" i="261"/>
  <c r="DF23" i="260"/>
  <c r="DC23" i="258"/>
  <c r="CQ23" i="248"/>
  <c r="CH23" i="256"/>
  <c r="BX23" i="255"/>
  <c r="DD23"/>
  <c r="CQ23" i="257"/>
  <c r="BW52" i="263"/>
  <c r="BW71" s="1"/>
  <c r="CE52"/>
  <c r="CM52"/>
  <c r="CU52"/>
  <c r="DC52"/>
  <c r="BU52" i="260"/>
  <c r="CC52"/>
  <c r="CK52"/>
  <c r="CS52"/>
  <c r="DA52"/>
  <c r="DI61"/>
  <c r="BP68"/>
  <c r="DI61" i="258"/>
  <c r="BP68"/>
  <c r="BV52" i="248"/>
  <c r="CD52"/>
  <c r="CL52"/>
  <c r="CT52"/>
  <c r="DB52"/>
  <c r="BU52" i="256"/>
  <c r="CC52"/>
  <c r="CK52"/>
  <c r="CS52"/>
  <c r="DA52"/>
  <c r="DI61"/>
  <c r="BP68"/>
  <c r="BS52" i="257"/>
  <c r="CA52"/>
  <c r="CI52"/>
  <c r="CQ52"/>
  <c r="CY52"/>
  <c r="DG52"/>
  <c r="AH68" i="263"/>
  <c r="AF23"/>
  <c r="AD23" i="262"/>
  <c r="AD68"/>
  <c r="AG68"/>
  <c r="CB23"/>
  <c r="CQ23" i="261"/>
  <c r="CL23" i="260"/>
  <c r="CF23" i="258"/>
  <c r="CT23" i="248"/>
  <c r="CK23" i="256"/>
  <c r="CG23" i="255"/>
  <c r="CR23" i="257"/>
  <c r="CB52" i="262"/>
  <c r="CJ52"/>
  <c r="CR52"/>
  <c r="CZ52"/>
  <c r="DI37" i="263"/>
  <c r="DI37" i="257"/>
  <c r="AB52" i="263"/>
  <c r="AC23"/>
  <c r="AF68"/>
  <c r="BD68"/>
  <c r="AK52" i="262"/>
  <c r="CV23" i="263"/>
  <c r="BW23" i="261"/>
  <c r="CX23" i="260"/>
  <c r="CI23" i="258"/>
  <c r="CU23" i="248"/>
  <c r="CD23" i="256"/>
  <c r="BT23" i="255"/>
  <c r="CZ23"/>
  <c r="CM23" i="257"/>
  <c r="CM71" s="1"/>
  <c r="BV52" i="263"/>
  <c r="CD52"/>
  <c r="CL52"/>
  <c r="CT52"/>
  <c r="DB52"/>
  <c r="BU52" i="261"/>
  <c r="CC52"/>
  <c r="CK52"/>
  <c r="CS52"/>
  <c r="DA52"/>
  <c r="DI61"/>
  <c r="BP68"/>
  <c r="BV52" i="260"/>
  <c r="CD52"/>
  <c r="CL52"/>
  <c r="CT52"/>
  <c r="DB52"/>
  <c r="BS52" i="259"/>
  <c r="CA52"/>
  <c r="CI52"/>
  <c r="CQ52"/>
  <c r="CY52"/>
  <c r="DG52"/>
  <c r="BW68"/>
  <c r="CA68"/>
  <c r="CE68"/>
  <c r="CI68"/>
  <c r="CM68"/>
  <c r="CQ68"/>
  <c r="CU68"/>
  <c r="CY68"/>
  <c r="DC68"/>
  <c r="DG68"/>
  <c r="BT52" i="258"/>
  <c r="CB52"/>
  <c r="CJ52"/>
  <c r="CR52"/>
  <c r="CZ52"/>
  <c r="BS52" i="248"/>
  <c r="CA52"/>
  <c r="CI52"/>
  <c r="CQ52"/>
  <c r="CY52"/>
  <c r="DG52"/>
  <c r="BW68"/>
  <c r="CA68"/>
  <c r="CE68"/>
  <c r="CI68"/>
  <c r="CM68"/>
  <c r="CQ68"/>
  <c r="CU68"/>
  <c r="CY68"/>
  <c r="DC68"/>
  <c r="DG68"/>
  <c r="BT52" i="256"/>
  <c r="CB52"/>
  <c r="CJ52"/>
  <c r="CR52"/>
  <c r="CZ52"/>
  <c r="BS52" i="255"/>
  <c r="CA52"/>
  <c r="CI52"/>
  <c r="CQ52"/>
  <c r="CY52"/>
  <c r="DG52"/>
  <c r="BW68"/>
  <c r="CA68"/>
  <c r="CE68"/>
  <c r="CI68"/>
  <c r="CM68"/>
  <c r="CQ68"/>
  <c r="CU68"/>
  <c r="CY68"/>
  <c r="DC68"/>
  <c r="DG68"/>
  <c r="BT52" i="257"/>
  <c r="CB52"/>
  <c r="CJ52"/>
  <c r="CR52"/>
  <c r="CZ52"/>
  <c r="AD52" i="263"/>
  <c r="AG23"/>
  <c r="AS23"/>
  <c r="AS71" s="1"/>
  <c r="BD23"/>
  <c r="CX23"/>
  <c r="CX71" s="1"/>
  <c r="CJ23" i="262"/>
  <c r="CY23" i="261"/>
  <c r="CO23" i="259"/>
  <c r="CO71" s="1"/>
  <c r="CR23" i="258"/>
  <c r="CP23" i="248"/>
  <c r="CG23" i="256"/>
  <c r="CS23" i="255"/>
  <c r="CN23" i="257"/>
  <c r="DI33" i="262"/>
  <c r="CA52"/>
  <c r="CI52"/>
  <c r="CQ52"/>
  <c r="CY52"/>
  <c r="DG52"/>
  <c r="BS68"/>
  <c r="BW68"/>
  <c r="CA68"/>
  <c r="CE68"/>
  <c r="CI68"/>
  <c r="CM68"/>
  <c r="CQ68"/>
  <c r="CU68"/>
  <c r="CY68"/>
  <c r="DC68"/>
  <c r="DG68"/>
  <c r="DI37" i="255"/>
  <c r="AK23" i="263"/>
  <c r="AB23" i="262"/>
  <c r="AI23"/>
  <c r="AK23" i="260"/>
  <c r="AK68"/>
  <c r="AI52"/>
  <c r="BD52"/>
  <c r="AC52" i="259"/>
  <c r="AB23" i="258"/>
  <c r="AB68"/>
  <c r="AK23" i="256"/>
  <c r="AK68"/>
  <c r="BD52" i="263"/>
  <c r="AE23" i="261"/>
  <c r="AF23" i="259"/>
  <c r="AD23" i="258"/>
  <c r="AE23" i="248"/>
  <c r="AF23" i="255"/>
  <c r="AC52" i="257"/>
  <c r="AS52" i="262"/>
  <c r="AI23" i="260"/>
  <c r="AB52" i="258"/>
  <c r="BD23"/>
  <c r="AS23" i="248"/>
  <c r="AB52" i="257"/>
  <c r="AC23" i="261"/>
  <c r="AH23"/>
  <c r="AH23" i="260"/>
  <c r="AH23" i="259"/>
  <c r="AH23" i="258"/>
  <c r="AJ68" i="248"/>
  <c r="AJ68" i="255"/>
  <c r="AC23" i="257"/>
  <c r="AK52"/>
  <c r="AK52" i="261"/>
  <c r="AK52" i="260"/>
  <c r="AK52" i="259"/>
  <c r="AE68" i="258"/>
  <c r="AI23"/>
  <c r="AB52" i="248"/>
  <c r="AH23" i="256"/>
  <c r="AE68"/>
  <c r="AI23"/>
  <c r="AB52" i="255"/>
  <c r="BM28" i="248"/>
  <c r="R31" i="255"/>
  <c r="R31" i="258"/>
  <c r="BM28" i="256"/>
  <c r="D245" i="159"/>
  <c r="L79" i="244"/>
  <c r="H80"/>
  <c r="I82"/>
  <c r="G83"/>
  <c r="H82"/>
  <c r="F82"/>
  <c r="O82"/>
  <c r="J83"/>
  <c r="O80"/>
  <c r="O347" i="271"/>
  <c r="O349"/>
  <c r="O406" s="1"/>
  <c r="O348"/>
  <c r="O405" s="1"/>
  <c r="O425"/>
  <c r="O367"/>
  <c r="O424" s="1"/>
  <c r="O365"/>
  <c r="O422" s="1"/>
  <c r="O79" i="244"/>
  <c r="H42" i="237"/>
  <c r="H46" s="1"/>
  <c r="H84" s="1"/>
  <c r="H89" s="1"/>
  <c r="G46"/>
  <c r="G84" s="1"/>
  <c r="G89" s="1"/>
  <c r="G90" s="1"/>
  <c r="G91" s="1"/>
  <c r="O92" i="182"/>
  <c r="O126"/>
  <c r="G30" i="133"/>
  <c r="F127"/>
  <c r="F147" s="1"/>
  <c r="H30"/>
  <c r="H19"/>
  <c r="H32" s="1"/>
  <c r="G123" i="200"/>
  <c r="I123"/>
  <c r="K123"/>
  <c r="M123"/>
  <c r="O123"/>
  <c r="N123"/>
  <c r="H123"/>
  <c r="L123"/>
  <c r="J123"/>
  <c r="F144" i="188"/>
  <c r="F148"/>
  <c r="F152"/>
  <c r="G87" i="197"/>
  <c r="L80" i="244"/>
  <c r="M165" i="272"/>
  <c r="M271"/>
  <c r="L165"/>
  <c r="L271"/>
  <c r="J79" i="244"/>
  <c r="K80"/>
  <c r="I420" i="271"/>
  <c r="H419"/>
  <c r="G416"/>
  <c r="J165" i="272"/>
  <c r="J271"/>
  <c r="G82" i="244"/>
  <c r="G96" i="234"/>
  <c r="F81" i="236"/>
  <c r="F88" i="190"/>
  <c r="H95" i="182"/>
  <c r="H98" s="1"/>
  <c r="O276" i="159"/>
  <c r="N276"/>
  <c r="L276"/>
  <c r="J276"/>
  <c r="H276"/>
  <c r="K276"/>
  <c r="I276"/>
  <c r="M276"/>
  <c r="G276"/>
  <c r="F276"/>
  <c r="F331" s="1"/>
  <c r="F438" s="1"/>
  <c r="M300"/>
  <c r="K312"/>
  <c r="H312"/>
  <c r="L300"/>
  <c r="M287"/>
  <c r="G312"/>
  <c r="G405" s="1"/>
  <c r="J300"/>
  <c r="M312"/>
  <c r="G300"/>
  <c r="G383" s="1"/>
  <c r="K287"/>
  <c r="N312"/>
  <c r="O300"/>
  <c r="N300"/>
  <c r="L287"/>
  <c r="F312"/>
  <c r="F405" s="1"/>
  <c r="I300"/>
  <c r="N287"/>
  <c r="G287"/>
  <c r="G361" s="1"/>
  <c r="H287"/>
  <c r="I287"/>
  <c r="I312"/>
  <c r="O312"/>
  <c r="F287"/>
  <c r="F361" s="1"/>
  <c r="L312"/>
  <c r="J287"/>
  <c r="H300"/>
  <c r="O287"/>
  <c r="J312"/>
  <c r="F300"/>
  <c r="F383" s="1"/>
  <c r="K300"/>
  <c r="J300" i="154"/>
  <c r="G291"/>
  <c r="G292" s="1"/>
  <c r="G294" s="1"/>
  <c r="G286"/>
  <c r="G287" s="1"/>
  <c r="L102"/>
  <c r="L262" s="1"/>
  <c r="K389"/>
  <c r="L105"/>
  <c r="L346" s="1"/>
  <c r="M102"/>
  <c r="M262" s="1"/>
  <c r="M104"/>
  <c r="M299" s="1"/>
  <c r="M300" s="1"/>
  <c r="O105"/>
  <c r="O346" s="1"/>
  <c r="O42"/>
  <c r="O47" s="1"/>
  <c r="O21"/>
  <c r="I515" i="270"/>
  <c r="F188" i="238"/>
  <c r="F233" s="1"/>
  <c r="F235" s="1"/>
  <c r="F269" s="1"/>
  <c r="I188"/>
  <c r="I233" s="1"/>
  <c r="I235" s="1"/>
  <c r="I269" s="1"/>
  <c r="M188"/>
  <c r="M233" s="1"/>
  <c r="M235" s="1"/>
  <c r="M269" s="1"/>
  <c r="G413" i="271"/>
  <c r="I327"/>
  <c r="H324"/>
  <c r="H357" s="1"/>
  <c r="H414" s="1"/>
  <c r="H325"/>
  <c r="H358" s="1"/>
  <c r="H415" s="1"/>
  <c r="H326"/>
  <c r="H359" s="1"/>
  <c r="H416" s="1"/>
  <c r="O109" i="153"/>
  <c r="O28"/>
  <c r="O154" s="1"/>
  <c r="M24"/>
  <c r="M28" s="1"/>
  <c r="M154" s="1"/>
  <c r="N24"/>
  <c r="N28" s="1"/>
  <c r="N154" s="1"/>
  <c r="L24"/>
  <c r="L28" s="1"/>
  <c r="L154" s="1"/>
  <c r="G24"/>
  <c r="G28" s="1"/>
  <c r="G154" s="1"/>
  <c r="K24"/>
  <c r="K28" s="1"/>
  <c r="K154" s="1"/>
  <c r="J24"/>
  <c r="J28" s="1"/>
  <c r="J154" s="1"/>
  <c r="H24"/>
  <c r="H28" s="1"/>
  <c r="H154" s="1"/>
  <c r="I24"/>
  <c r="I28" s="1"/>
  <c r="I154" s="1"/>
  <c r="F24"/>
  <c r="F28" s="1"/>
  <c r="F154" s="1"/>
  <c r="G250" i="187"/>
  <c r="O142"/>
  <c r="AY58" i="189"/>
  <c r="N153" s="1"/>
  <c r="O141" i="187"/>
  <c r="O397" i="271"/>
  <c r="O426" s="1"/>
  <c r="O485" s="1"/>
  <c r="O53" i="272"/>
  <c r="O86" s="1"/>
  <c r="AY46" i="189"/>
  <c r="N143" s="1"/>
  <c r="D243" i="159"/>
  <c r="O143" i="187"/>
  <c r="N143"/>
  <c r="AO58" i="189"/>
  <c r="L153" s="1"/>
  <c r="M142" i="187"/>
  <c r="M53" i="272"/>
  <c r="M86" s="1"/>
  <c r="M164" s="1"/>
  <c r="AJ46" i="189"/>
  <c r="K143" s="1"/>
  <c r="L141" i="187"/>
  <c r="N397" i="271"/>
  <c r="N426" s="1"/>
  <c r="N485" s="1"/>
  <c r="M143" i="187"/>
  <c r="AJ58" i="189"/>
  <c r="K153" s="1"/>
  <c r="L142" i="187"/>
  <c r="AE58" i="189"/>
  <c r="J153" s="1"/>
  <c r="K142" i="187"/>
  <c r="K53" i="272"/>
  <c r="K86" s="1"/>
  <c r="K164" s="1"/>
  <c r="Z46" i="189"/>
  <c r="I143" s="1"/>
  <c r="J397" i="271"/>
  <c r="J426" s="1"/>
  <c r="J485" s="1"/>
  <c r="U58" i="189"/>
  <c r="H153" s="1"/>
  <c r="I142" i="187"/>
  <c r="I53" i="272"/>
  <c r="I86" s="1"/>
  <c r="I164" s="1"/>
  <c r="M397" i="271"/>
  <c r="M426" s="1"/>
  <c r="M485" s="1"/>
  <c r="L397"/>
  <c r="L426" s="1"/>
  <c r="L485" s="1"/>
  <c r="K143" i="187"/>
  <c r="J141"/>
  <c r="U46" i="189"/>
  <c r="H143" s="1"/>
  <c r="I143" i="187"/>
  <c r="AT46" i="189"/>
  <c r="M143" s="1"/>
  <c r="N141" i="187"/>
  <c r="N53" i="272"/>
  <c r="N86" s="1"/>
  <c r="N164" s="1"/>
  <c r="AO46" i="189"/>
  <c r="L143" s="1"/>
  <c r="M141" i="187"/>
  <c r="K397" i="271"/>
  <c r="K426" s="1"/>
  <c r="K485" s="1"/>
  <c r="Z58" i="189"/>
  <c r="I153" s="1"/>
  <c r="J142" i="187"/>
  <c r="J53" i="272"/>
  <c r="J86" s="1"/>
  <c r="J164" s="1"/>
  <c r="I397" i="271"/>
  <c r="I426" s="1"/>
  <c r="I485" s="1"/>
  <c r="P58" i="189"/>
  <c r="G153" s="1"/>
  <c r="H142" i="187"/>
  <c r="AT58" i="189"/>
  <c r="M153" s="1"/>
  <c r="N142" i="187"/>
  <c r="L143"/>
  <c r="L53" i="272"/>
  <c r="L86" s="1"/>
  <c r="L164" s="1"/>
  <c r="AE46" i="189"/>
  <c r="J143" s="1"/>
  <c r="I141" i="187"/>
  <c r="H53" i="272"/>
  <c r="H86" s="1"/>
  <c r="H164" s="1"/>
  <c r="G397" i="271"/>
  <c r="G426" s="1"/>
  <c r="G485" s="1"/>
  <c r="F143" i="187"/>
  <c r="G141"/>
  <c r="F46" i="189"/>
  <c r="E143" s="1"/>
  <c r="F397" i="271"/>
  <c r="F426" s="1"/>
  <c r="F485" s="1"/>
  <c r="K141" i="187"/>
  <c r="J143"/>
  <c r="P46" i="189"/>
  <c r="G143" s="1"/>
  <c r="H141" i="187"/>
  <c r="H397" i="271"/>
  <c r="H426" s="1"/>
  <c r="H485" s="1"/>
  <c r="K58" i="189"/>
  <c r="F153" s="1"/>
  <c r="G142" i="187"/>
  <c r="G53" i="272"/>
  <c r="F141" i="187"/>
  <c r="H143"/>
  <c r="K46" i="189"/>
  <c r="F143" s="1"/>
  <c r="G143" i="187"/>
  <c r="F58" i="189"/>
  <c r="E153" s="1"/>
  <c r="F142" i="187"/>
  <c r="F401" i="279"/>
  <c r="F397"/>
  <c r="F400"/>
  <c r="H70" i="272"/>
  <c r="M78"/>
  <c r="J78"/>
  <c r="K62"/>
  <c r="L58" i="189"/>
  <c r="N62" i="272"/>
  <c r="J62"/>
  <c r="L62"/>
  <c r="F399" i="276"/>
  <c r="F8" i="12"/>
  <c r="F141" i="184"/>
  <c r="I70" i="272"/>
  <c r="I62"/>
  <c r="H47"/>
  <c r="F9" i="12"/>
  <c r="N78" i="272"/>
  <c r="K70"/>
  <c r="F433" i="159"/>
  <c r="O70" i="272"/>
  <c r="G78"/>
  <c r="F78" s="1"/>
  <c r="F398" i="276"/>
  <c r="F399" i="279"/>
  <c r="F398"/>
  <c r="G70" i="272"/>
  <c r="F70" s="1"/>
  <c r="I78"/>
  <c r="AL58" i="189"/>
  <c r="O78" i="272"/>
  <c r="K78"/>
  <c r="F10" i="12"/>
  <c r="G46" i="189"/>
  <c r="Y58"/>
  <c r="AG46"/>
  <c r="AB58"/>
  <c r="AU46"/>
  <c r="AQ46"/>
  <c r="AF46"/>
  <c r="AD46"/>
  <c r="W58"/>
  <c r="AS46"/>
  <c r="G58"/>
  <c r="AI46"/>
  <c r="I58"/>
  <c r="AN58"/>
  <c r="Q46"/>
  <c r="X46"/>
  <c r="V58"/>
  <c r="O62" i="272"/>
  <c r="R164"/>
  <c r="S164" s="1"/>
  <c r="L70"/>
  <c r="L78"/>
  <c r="J70"/>
  <c r="M46" i="189"/>
  <c r="AR46"/>
  <c r="AR58"/>
  <c r="R58"/>
  <c r="AK58"/>
  <c r="AG58"/>
  <c r="N58"/>
  <c r="AQ58"/>
  <c r="AC46"/>
  <c r="J58"/>
  <c r="S46"/>
  <c r="O46"/>
  <c r="Q58"/>
  <c r="X58"/>
  <c r="N46"/>
  <c r="I46"/>
  <c r="H46"/>
  <c r="AC58"/>
  <c r="Y46"/>
  <c r="F397" i="276"/>
  <c r="M62" i="272"/>
  <c r="N70"/>
  <c r="F400" i="276"/>
  <c r="AX58" i="189"/>
  <c r="M58"/>
  <c r="AB46"/>
  <c r="AK46"/>
  <c r="AP58"/>
  <c r="AS58"/>
  <c r="AA46"/>
  <c r="T46"/>
  <c r="AW46"/>
  <c r="H58"/>
  <c r="AX46"/>
  <c r="AM46"/>
  <c r="H42"/>
  <c r="AU58"/>
  <c r="V46"/>
  <c r="S58"/>
  <c r="AH46"/>
  <c r="M70" i="272"/>
  <c r="AV46" i="189"/>
  <c r="J46"/>
  <c r="AH58"/>
  <c r="W46"/>
  <c r="G62" i="272"/>
  <c r="F62" s="1"/>
  <c r="R46" i="189"/>
  <c r="AW58"/>
  <c r="L46"/>
  <c r="AF58"/>
  <c r="O58"/>
  <c r="AM58"/>
  <c r="H62" i="272"/>
  <c r="H78"/>
  <c r="AN46" i="189"/>
  <c r="AI58"/>
  <c r="T58"/>
  <c r="AA58"/>
  <c r="F401" i="276"/>
  <c r="AD58" i="189"/>
  <c r="AP46"/>
  <c r="AL46"/>
  <c r="AV58"/>
  <c r="K27" i="168"/>
  <c r="L62" s="1"/>
  <c r="L23"/>
  <c r="H23" i="184"/>
  <c r="H149" s="1"/>
  <c r="I19"/>
  <c r="I124" i="271"/>
  <c r="J80"/>
  <c r="I121"/>
  <c r="J77"/>
  <c r="O129" i="270"/>
  <c r="O133" s="1"/>
  <c r="O156"/>
  <c r="O160" s="1"/>
  <c r="O201"/>
  <c r="O205" s="1"/>
  <c r="O183"/>
  <c r="O187" s="1"/>
  <c r="O210"/>
  <c r="O214" s="1"/>
  <c r="G102"/>
  <c r="G106" s="1"/>
  <c r="G497" s="1"/>
  <c r="G147"/>
  <c r="G151" s="1"/>
  <c r="G174"/>
  <c r="G178" s="1"/>
  <c r="G574" s="1"/>
  <c r="G219"/>
  <c r="G223" s="1"/>
  <c r="O147"/>
  <c r="O151" s="1"/>
  <c r="O219"/>
  <c r="O223" s="1"/>
  <c r="O111"/>
  <c r="O115" s="1"/>
  <c r="K228"/>
  <c r="K232" s="1"/>
  <c r="L228"/>
  <c r="L232" s="1"/>
  <c r="G129"/>
  <c r="G133" s="1"/>
  <c r="G165"/>
  <c r="G169" s="1"/>
  <c r="J228"/>
  <c r="J232" s="1"/>
  <c r="G138"/>
  <c r="G142" s="1"/>
  <c r="G535" s="1"/>
  <c r="G183"/>
  <c r="G187" s="1"/>
  <c r="G192"/>
  <c r="G196" s="1"/>
  <c r="G593" s="1"/>
  <c r="G400"/>
  <c r="O102"/>
  <c r="O106" s="1"/>
  <c r="O120"/>
  <c r="O124" s="1"/>
  <c r="O516" s="1"/>
  <c r="O138"/>
  <c r="O142" s="1"/>
  <c r="O165"/>
  <c r="O169" s="1"/>
  <c r="O174"/>
  <c r="O178" s="1"/>
  <c r="O192"/>
  <c r="O196" s="1"/>
  <c r="G228"/>
  <c r="G232" s="1"/>
  <c r="M228"/>
  <c r="M232" s="1"/>
  <c r="N228"/>
  <c r="N232" s="1"/>
  <c r="G111"/>
  <c r="G115" s="1"/>
  <c r="G120"/>
  <c r="G124" s="1"/>
  <c r="G516" s="1"/>
  <c r="G156"/>
  <c r="G160" s="1"/>
  <c r="G555" s="1"/>
  <c r="G210"/>
  <c r="G214" s="1"/>
  <c r="G612" s="1"/>
  <c r="I228"/>
  <c r="I232" s="1"/>
  <c r="G632"/>
  <c r="O228"/>
  <c r="O232" s="1"/>
  <c r="H228"/>
  <c r="H232" s="1"/>
  <c r="G201"/>
  <c r="G205" s="1"/>
  <c r="N102"/>
  <c r="N106" s="1"/>
  <c r="N147"/>
  <c r="N151" s="1"/>
  <c r="N174"/>
  <c r="N178" s="1"/>
  <c r="N219"/>
  <c r="N223" s="1"/>
  <c r="N120"/>
  <c r="N124" s="1"/>
  <c r="N516" s="1"/>
  <c r="N165"/>
  <c r="N169" s="1"/>
  <c r="N192"/>
  <c r="N196" s="1"/>
  <c r="N129"/>
  <c r="N133" s="1"/>
  <c r="N156"/>
  <c r="N160" s="1"/>
  <c r="N201"/>
  <c r="N205" s="1"/>
  <c r="M129"/>
  <c r="M133" s="1"/>
  <c r="M156"/>
  <c r="M160" s="1"/>
  <c r="M201"/>
  <c r="M205" s="1"/>
  <c r="L102"/>
  <c r="L106" s="1"/>
  <c r="L147"/>
  <c r="L151" s="1"/>
  <c r="L174"/>
  <c r="L178" s="1"/>
  <c r="L219"/>
  <c r="L223" s="1"/>
  <c r="N111"/>
  <c r="N115" s="1"/>
  <c r="N183"/>
  <c r="N187" s="1"/>
  <c r="M102"/>
  <c r="M106" s="1"/>
  <c r="M147"/>
  <c r="M151" s="1"/>
  <c r="M174"/>
  <c r="M178" s="1"/>
  <c r="M219"/>
  <c r="M223" s="1"/>
  <c r="M165"/>
  <c r="M169" s="1"/>
  <c r="L120"/>
  <c r="L124" s="1"/>
  <c r="L516" s="1"/>
  <c r="L138"/>
  <c r="L142" s="1"/>
  <c r="L165"/>
  <c r="L169" s="1"/>
  <c r="L192"/>
  <c r="L196" s="1"/>
  <c r="L210"/>
  <c r="L214" s="1"/>
  <c r="M111"/>
  <c r="M115" s="1"/>
  <c r="M120"/>
  <c r="M124" s="1"/>
  <c r="M516" s="1"/>
  <c r="M183"/>
  <c r="M187" s="1"/>
  <c r="M192"/>
  <c r="M196" s="1"/>
  <c r="L111"/>
  <c r="L115" s="1"/>
  <c r="L183"/>
  <c r="L187" s="1"/>
  <c r="K120"/>
  <c r="K124" s="1"/>
  <c r="K516" s="1"/>
  <c r="K165"/>
  <c r="K169" s="1"/>
  <c r="K192"/>
  <c r="K196" s="1"/>
  <c r="J111"/>
  <c r="J115" s="1"/>
  <c r="J138"/>
  <c r="J142" s="1"/>
  <c r="J183"/>
  <c r="J187" s="1"/>
  <c r="J210"/>
  <c r="J214" s="1"/>
  <c r="N138"/>
  <c r="N142" s="1"/>
  <c r="M138"/>
  <c r="M142" s="1"/>
  <c r="M210"/>
  <c r="M214" s="1"/>
  <c r="K111"/>
  <c r="K115" s="1"/>
  <c r="K138"/>
  <c r="K142" s="1"/>
  <c r="K183"/>
  <c r="K187" s="1"/>
  <c r="K210"/>
  <c r="K214" s="1"/>
  <c r="N210"/>
  <c r="N214" s="1"/>
  <c r="K129"/>
  <c r="K133" s="1"/>
  <c r="K156"/>
  <c r="K160" s="1"/>
  <c r="K201"/>
  <c r="K205" s="1"/>
  <c r="J102"/>
  <c r="J106" s="1"/>
  <c r="J147"/>
  <c r="J151" s="1"/>
  <c r="J174"/>
  <c r="J178" s="1"/>
  <c r="J219"/>
  <c r="J223" s="1"/>
  <c r="L129"/>
  <c r="L133" s="1"/>
  <c r="L156"/>
  <c r="L160" s="1"/>
  <c r="L201"/>
  <c r="L205" s="1"/>
  <c r="K102"/>
  <c r="K106" s="1"/>
  <c r="K174"/>
  <c r="K178" s="1"/>
  <c r="J120"/>
  <c r="J124" s="1"/>
  <c r="J516" s="1"/>
  <c r="J192"/>
  <c r="J196" s="1"/>
  <c r="I129"/>
  <c r="I133" s="1"/>
  <c r="I156"/>
  <c r="I160" s="1"/>
  <c r="I201"/>
  <c r="I205" s="1"/>
  <c r="J129"/>
  <c r="J133" s="1"/>
  <c r="J201"/>
  <c r="J205" s="1"/>
  <c r="I102"/>
  <c r="I106" s="1"/>
  <c r="I147"/>
  <c r="I151" s="1"/>
  <c r="I174"/>
  <c r="I178" s="1"/>
  <c r="I219"/>
  <c r="I223" s="1"/>
  <c r="H102"/>
  <c r="H106" s="1"/>
  <c r="H147"/>
  <c r="H151" s="1"/>
  <c r="H174"/>
  <c r="H178" s="1"/>
  <c r="H219"/>
  <c r="H223" s="1"/>
  <c r="F129"/>
  <c r="F133" s="1"/>
  <c r="F156"/>
  <c r="F160" s="1"/>
  <c r="F555" s="1"/>
  <c r="F201"/>
  <c r="F205" s="1"/>
  <c r="K147"/>
  <c r="K151" s="1"/>
  <c r="K219"/>
  <c r="K223" s="1"/>
  <c r="J156"/>
  <c r="J160" s="1"/>
  <c r="I120"/>
  <c r="I124" s="1"/>
  <c r="I516" s="1"/>
  <c r="I165"/>
  <c r="I169" s="1"/>
  <c r="I192"/>
  <c r="I196" s="1"/>
  <c r="H120"/>
  <c r="H124" s="1"/>
  <c r="H516" s="1"/>
  <c r="H165"/>
  <c r="H169" s="1"/>
  <c r="H192"/>
  <c r="H196" s="1"/>
  <c r="F102"/>
  <c r="F106" s="1"/>
  <c r="F497" s="1"/>
  <c r="F147"/>
  <c r="F151" s="1"/>
  <c r="F174"/>
  <c r="F178" s="1"/>
  <c r="F574" s="1"/>
  <c r="F219"/>
  <c r="F223" s="1"/>
  <c r="F228"/>
  <c r="F232" s="1"/>
  <c r="H156"/>
  <c r="H160" s="1"/>
  <c r="F138"/>
  <c r="F142" s="1"/>
  <c r="F535" s="1"/>
  <c r="F210"/>
  <c r="F214" s="1"/>
  <c r="F612" s="1"/>
  <c r="I111"/>
  <c r="I115" s="1"/>
  <c r="I183"/>
  <c r="I187" s="1"/>
  <c r="H111"/>
  <c r="H115" s="1"/>
  <c r="H183"/>
  <c r="H187" s="1"/>
  <c r="F165"/>
  <c r="F169" s="1"/>
  <c r="J165"/>
  <c r="J169" s="1"/>
  <c r="H129"/>
  <c r="H133" s="1"/>
  <c r="H138"/>
  <c r="H142" s="1"/>
  <c r="H201"/>
  <c r="H205" s="1"/>
  <c r="H210"/>
  <c r="H214" s="1"/>
  <c r="I138"/>
  <c r="I142" s="1"/>
  <c r="I210"/>
  <c r="I214" s="1"/>
  <c r="F111"/>
  <c r="F115" s="1"/>
  <c r="F183"/>
  <c r="F187" s="1"/>
  <c r="F120"/>
  <c r="F124" s="1"/>
  <c r="F192"/>
  <c r="F196" s="1"/>
  <c r="D84" i="12"/>
  <c r="D76"/>
  <c r="G76" s="1"/>
  <c r="AX23" i="277"/>
  <c r="H231" i="270"/>
  <c r="G141"/>
  <c r="G131"/>
  <c r="G132" s="1"/>
  <c r="L132"/>
  <c r="N177"/>
  <c r="N195"/>
  <c r="M168"/>
  <c r="N105"/>
  <c r="N159"/>
  <c r="G195"/>
  <c r="C87" i="269"/>
  <c r="O177" i="270"/>
  <c r="N231"/>
  <c r="C83" i="269"/>
  <c r="J168" i="270"/>
  <c r="C85" i="269"/>
  <c r="K168" i="270"/>
  <c r="G167"/>
  <c r="G168" s="1"/>
  <c r="G221"/>
  <c r="G222" s="1"/>
  <c r="L204"/>
  <c r="G113"/>
  <c r="G114" s="1"/>
  <c r="O105"/>
  <c r="G177"/>
  <c r="N213"/>
  <c r="G185"/>
  <c r="G186" s="1"/>
  <c r="N150"/>
  <c r="K231"/>
  <c r="M114"/>
  <c r="L159"/>
  <c r="O150"/>
  <c r="L105"/>
  <c r="K177"/>
  <c r="J222"/>
  <c r="H123"/>
  <c r="F150"/>
  <c r="O132"/>
  <c r="L150"/>
  <c r="K213"/>
  <c r="I114"/>
  <c r="H150"/>
  <c r="F175"/>
  <c r="K141"/>
  <c r="F139"/>
  <c r="O229"/>
  <c r="H304"/>
  <c r="J319"/>
  <c r="J323" s="1"/>
  <c r="I130"/>
  <c r="G276"/>
  <c r="O304"/>
  <c r="L256"/>
  <c r="L260" s="1"/>
  <c r="F277"/>
  <c r="G112"/>
  <c r="G203"/>
  <c r="G204" s="1"/>
  <c r="M150"/>
  <c r="J150"/>
  <c r="H213"/>
  <c r="J230"/>
  <c r="M322"/>
  <c r="I276"/>
  <c r="N157"/>
  <c r="N292"/>
  <c r="N296" s="1"/>
  <c r="M321"/>
  <c r="M295"/>
  <c r="J211"/>
  <c r="I259"/>
  <c r="M222"/>
  <c r="F168"/>
  <c r="M286"/>
  <c r="L193"/>
  <c r="AU60" i="232"/>
  <c r="F268" i="270"/>
  <c r="AV62" i="232"/>
  <c r="H149" i="270"/>
  <c r="B116" i="269"/>
  <c r="D116" s="1"/>
  <c r="O166" i="270"/>
  <c r="H292"/>
  <c r="H296" s="1"/>
  <c r="O302"/>
  <c r="O140"/>
  <c r="L302"/>
  <c r="I193"/>
  <c r="I211"/>
  <c r="C111" i="269"/>
  <c r="H157" i="270"/>
  <c r="G103"/>
  <c r="N274"/>
  <c r="N278" s="1"/>
  <c r="J203"/>
  <c r="I175"/>
  <c r="N193"/>
  <c r="J175"/>
  <c r="J267"/>
  <c r="K113"/>
  <c r="O256"/>
  <c r="O260" s="1"/>
  <c r="K250"/>
  <c r="C114" i="269"/>
  <c r="F267" i="270"/>
  <c r="J148"/>
  <c r="I295"/>
  <c r="N202"/>
  <c r="I167"/>
  <c r="G292"/>
  <c r="G296" s="1"/>
  <c r="N204"/>
  <c r="H204"/>
  <c r="G226"/>
  <c r="J322"/>
  <c r="O268"/>
  <c r="F295"/>
  <c r="C44" i="269"/>
  <c r="I250" i="270"/>
  <c r="G157"/>
  <c r="M259"/>
  <c r="O322"/>
  <c r="F184"/>
  <c r="O149"/>
  <c r="I294"/>
  <c r="J301"/>
  <c r="J305" s="1"/>
  <c r="N220"/>
  <c r="I301"/>
  <c r="I305" s="1"/>
  <c r="O276"/>
  <c r="G166"/>
  <c r="N249"/>
  <c r="K304"/>
  <c r="J130"/>
  <c r="H277"/>
  <c r="M258"/>
  <c r="B113" i="269"/>
  <c r="K268" i="270"/>
  <c r="M104"/>
  <c r="M249"/>
  <c r="J184"/>
  <c r="N302"/>
  <c r="I203"/>
  <c r="N203"/>
  <c r="M301"/>
  <c r="M305" s="1"/>
  <c r="O185"/>
  <c r="O103"/>
  <c r="F319"/>
  <c r="F323" s="1"/>
  <c r="J105"/>
  <c r="I229"/>
  <c r="G301"/>
  <c r="G305" s="1"/>
  <c r="L158"/>
  <c r="K130"/>
  <c r="J167"/>
  <c r="F250"/>
  <c r="I249"/>
  <c r="M202"/>
  <c r="M112"/>
  <c r="M247"/>
  <c r="N122"/>
  <c r="K265"/>
  <c r="K269" s="1"/>
  <c r="M158"/>
  <c r="C29" i="269"/>
  <c r="M194" i="270"/>
  <c r="F167"/>
  <c r="O284"/>
  <c r="L123"/>
  <c r="N250"/>
  <c r="J112"/>
  <c r="I284"/>
  <c r="K176"/>
  <c r="H139"/>
  <c r="M175"/>
  <c r="N265"/>
  <c r="N269" s="1"/>
  <c r="G121"/>
  <c r="F257"/>
  <c r="O159"/>
  <c r="C37" i="269"/>
  <c r="M185" i="270"/>
  <c r="I166"/>
  <c r="H175"/>
  <c r="N130"/>
  <c r="O257"/>
  <c r="I322"/>
  <c r="J149"/>
  <c r="O274"/>
  <c r="O278" s="1"/>
  <c r="L321"/>
  <c r="H122"/>
  <c r="N304"/>
  <c r="K247"/>
  <c r="N112"/>
  <c r="M184"/>
  <c r="K122"/>
  <c r="H184"/>
  <c r="H275"/>
  <c r="I150"/>
  <c r="O193"/>
  <c r="O211"/>
  <c r="N248"/>
  <c r="F276"/>
  <c r="O121"/>
  <c r="J250"/>
  <c r="F259"/>
  <c r="O321"/>
  <c r="F293"/>
  <c r="F320"/>
  <c r="H274"/>
  <c r="H278" s="1"/>
  <c r="J131"/>
  <c r="K193"/>
  <c r="K321"/>
  <c r="M276"/>
  <c r="K257"/>
  <c r="N285"/>
  <c r="I194"/>
  <c r="G319"/>
  <c r="G323" s="1"/>
  <c r="F294"/>
  <c r="M221"/>
  <c r="O194"/>
  <c r="G283"/>
  <c r="G287" s="1"/>
  <c r="K149"/>
  <c r="O283"/>
  <c r="O287" s="1"/>
  <c r="G193"/>
  <c r="M274"/>
  <c r="M278" s="1"/>
  <c r="N123"/>
  <c r="C82" i="269"/>
  <c r="O141" i="270"/>
  <c r="J231"/>
  <c r="K204"/>
  <c r="I204"/>
  <c r="C88" i="269"/>
  <c r="K132" i="270"/>
  <c r="G159"/>
  <c r="O222"/>
  <c r="N132"/>
  <c r="M123"/>
  <c r="K123"/>
  <c r="I123"/>
  <c r="H195"/>
  <c r="G123"/>
  <c r="L213"/>
  <c r="J159"/>
  <c r="H114"/>
  <c r="F204"/>
  <c r="M195"/>
  <c r="H168"/>
  <c r="K229"/>
  <c r="N131"/>
  <c r="H220"/>
  <c r="N295"/>
  <c r="L248"/>
  <c r="I304"/>
  <c r="N113"/>
  <c r="I231"/>
  <c r="K195"/>
  <c r="F132"/>
  <c r="L229"/>
  <c r="M293"/>
  <c r="G202"/>
  <c r="H302"/>
  <c r="J194"/>
  <c r="H121"/>
  <c r="H176"/>
  <c r="H105"/>
  <c r="F304"/>
  <c r="H265"/>
  <c r="H269" s="1"/>
  <c r="F302"/>
  <c r="I283"/>
  <c r="I287" s="1"/>
  <c r="F220"/>
  <c r="G250"/>
  <c r="M294"/>
  <c r="H250"/>
  <c r="F286"/>
  <c r="J304"/>
  <c r="M121"/>
  <c r="M266"/>
  <c r="M275"/>
  <c r="M285"/>
  <c r="O267"/>
  <c r="L104"/>
  <c r="N185"/>
  <c r="G277"/>
  <c r="F148"/>
  <c r="L293"/>
  <c r="L149"/>
  <c r="L303"/>
  <c r="J220"/>
  <c r="G139"/>
  <c r="K266"/>
  <c r="K202"/>
  <c r="I186"/>
  <c r="N320"/>
  <c r="B111" i="269"/>
  <c r="H140" i="270"/>
  <c r="O303"/>
  <c r="J265"/>
  <c r="J269" s="1"/>
  <c r="G258"/>
  <c r="J185"/>
  <c r="F316"/>
  <c r="K194"/>
  <c r="N293"/>
  <c r="J122"/>
  <c r="L175"/>
  <c r="L292"/>
  <c r="L296" s="1"/>
  <c r="N294"/>
  <c r="M250"/>
  <c r="L122"/>
  <c r="N268"/>
  <c r="J257"/>
  <c r="K167"/>
  <c r="N256"/>
  <c r="N260" s="1"/>
  <c r="C30" i="269"/>
  <c r="L276" i="270"/>
  <c r="O167"/>
  <c r="G320"/>
  <c r="G294"/>
  <c r="M166"/>
  <c r="F103"/>
  <c r="K286"/>
  <c r="F301"/>
  <c r="F305" s="1"/>
  <c r="O286"/>
  <c r="G194"/>
  <c r="K303"/>
  <c r="K320"/>
  <c r="M268"/>
  <c r="I112"/>
  <c r="L301"/>
  <c r="L305" s="1"/>
  <c r="C112" i="269"/>
  <c r="H212" i="270"/>
  <c r="O275"/>
  <c r="L230"/>
  <c r="N257"/>
  <c r="H293"/>
  <c r="K112"/>
  <c r="N277"/>
  <c r="G302"/>
  <c r="K295"/>
  <c r="F247"/>
  <c r="L140"/>
  <c r="I320"/>
  <c r="G104"/>
  <c r="H257"/>
  <c r="G140"/>
  <c r="K166"/>
  <c r="F166"/>
  <c r="C28" i="269"/>
  <c r="O184" i="270"/>
  <c r="F221"/>
  <c r="L220"/>
  <c r="M140"/>
  <c r="K293"/>
  <c r="H148"/>
  <c r="J277"/>
  <c r="J284"/>
  <c r="L265"/>
  <c r="L269" s="1"/>
  <c r="C36" i="269"/>
  <c r="I176" i="270"/>
  <c r="G286"/>
  <c r="I285"/>
  <c r="M130"/>
  <c r="N104"/>
  <c r="H166"/>
  <c r="N184"/>
  <c r="I267"/>
  <c r="I286"/>
  <c r="F256"/>
  <c r="F260" s="1"/>
  <c r="L194"/>
  <c r="M211"/>
  <c r="L294"/>
  <c r="K258"/>
  <c r="H211"/>
  <c r="L231"/>
  <c r="J132"/>
  <c r="L168"/>
  <c r="C86" i="269"/>
  <c r="M231" i="270"/>
  <c r="G231"/>
  <c r="M159"/>
  <c r="G149"/>
  <c r="G150" s="1"/>
  <c r="M186"/>
  <c r="K222"/>
  <c r="I177"/>
  <c r="F121"/>
  <c r="O195"/>
  <c r="K114"/>
  <c r="J213"/>
  <c r="H186"/>
  <c r="G211"/>
  <c r="G212" s="1"/>
  <c r="G213" s="1"/>
  <c r="L186"/>
  <c r="F193"/>
  <c r="G229"/>
  <c r="K157"/>
  <c r="G175"/>
  <c r="M302"/>
  <c r="N140"/>
  <c r="N176"/>
  <c r="M267"/>
  <c r="O186"/>
  <c r="I105"/>
  <c r="F186"/>
  <c r="H229"/>
  <c r="I248"/>
  <c r="J259"/>
  <c r="O320"/>
  <c r="N212"/>
  <c r="I274"/>
  <c r="I278" s="1"/>
  <c r="O114"/>
  <c r="H230"/>
  <c r="K249"/>
  <c r="N103"/>
  <c r="H285"/>
  <c r="J268"/>
  <c r="K148"/>
  <c r="C115" i="269"/>
  <c r="I266" i="270"/>
  <c r="I184"/>
  <c r="J286"/>
  <c r="L286"/>
  <c r="O202"/>
  <c r="M284"/>
  <c r="N221"/>
  <c r="O248"/>
  <c r="I139"/>
  <c r="O258"/>
  <c r="C34" i="269"/>
  <c r="G249" i="270"/>
  <c r="O175"/>
  <c r="M157"/>
  <c r="H301"/>
  <c r="H305" s="1"/>
  <c r="N194"/>
  <c r="L275"/>
  <c r="L266"/>
  <c r="K184"/>
  <c r="H295"/>
  <c r="F157"/>
  <c r="M283"/>
  <c r="M287" s="1"/>
  <c r="K175"/>
  <c r="I158"/>
  <c r="H202"/>
  <c r="H103"/>
  <c r="I113"/>
  <c r="J247"/>
  <c r="H113"/>
  <c r="L268"/>
  <c r="G268"/>
  <c r="L295"/>
  <c r="G303"/>
  <c r="N275"/>
  <c r="F149"/>
  <c r="N286"/>
  <c r="G148"/>
  <c r="L212"/>
  <c r="H203"/>
  <c r="K203"/>
  <c r="G130"/>
  <c r="G247"/>
  <c r="O266"/>
  <c r="L221"/>
  <c r="I319"/>
  <c r="I323" s="1"/>
  <c r="F131"/>
  <c r="O230"/>
  <c r="L259"/>
  <c r="J193"/>
  <c r="O158"/>
  <c r="K220"/>
  <c r="G267"/>
  <c r="K301"/>
  <c r="K305" s="1"/>
  <c r="I220"/>
  <c r="N258"/>
  <c r="G266"/>
  <c r="H131"/>
  <c r="O249"/>
  <c r="H221"/>
  <c r="J249"/>
  <c r="K211"/>
  <c r="K131"/>
  <c r="M303"/>
  <c r="L157"/>
  <c r="G122"/>
  <c r="F283"/>
  <c r="F287" s="1"/>
  <c r="K186"/>
  <c r="L131"/>
  <c r="I256"/>
  <c r="I260" s="1"/>
  <c r="F292"/>
  <c r="F296" s="1"/>
  <c r="O285"/>
  <c r="K322"/>
  <c r="L267"/>
  <c r="M265"/>
  <c r="M269" s="1"/>
  <c r="J258"/>
  <c r="K103"/>
  <c r="M149"/>
  <c r="J113"/>
  <c r="H185"/>
  <c r="N319"/>
  <c r="L195"/>
  <c r="J256"/>
  <c r="J260" s="1"/>
  <c r="F258"/>
  <c r="G176"/>
  <c r="O319"/>
  <c r="O323" s="1"/>
  <c r="I212"/>
  <c r="H294"/>
  <c r="O148"/>
  <c r="N158"/>
  <c r="N121"/>
  <c r="H194"/>
  <c r="H320"/>
  <c r="J294"/>
  <c r="O221"/>
  <c r="L211"/>
  <c r="I268"/>
  <c r="G321"/>
  <c r="F285"/>
  <c r="N321"/>
  <c r="Q321" s="1"/>
  <c r="L121"/>
  <c r="M204"/>
  <c r="O213"/>
  <c r="C84" i="269"/>
  <c r="I168" i="270"/>
  <c r="I132"/>
  <c r="N168"/>
  <c r="C89" i="269"/>
  <c r="O123" i="270"/>
  <c r="M213"/>
  <c r="L177"/>
  <c r="J123"/>
  <c r="I222"/>
  <c r="F211"/>
  <c r="M105"/>
  <c r="K159"/>
  <c r="I159"/>
  <c r="H222"/>
  <c r="J186"/>
  <c r="M230"/>
  <c r="H158"/>
  <c r="K292"/>
  <c r="K296" s="1"/>
  <c r="O220"/>
  <c r="L322"/>
  <c r="J321"/>
  <c r="B114" i="269"/>
  <c r="D114" s="1"/>
  <c r="N175" i="270"/>
  <c r="L141"/>
  <c r="I195"/>
  <c r="N230"/>
  <c r="N166"/>
  <c r="K185"/>
  <c r="K267"/>
  <c r="H268"/>
  <c r="H321"/>
  <c r="I275"/>
  <c r="K150"/>
  <c r="J229"/>
  <c r="L112"/>
  <c r="F284"/>
  <c r="G184"/>
  <c r="J221"/>
  <c r="O250"/>
  <c r="I221"/>
  <c r="J104"/>
  <c r="N284"/>
  <c r="G265"/>
  <c r="G269" s="1"/>
  <c r="H283"/>
  <c r="H287" s="1"/>
  <c r="F249"/>
  <c r="K140"/>
  <c r="L185"/>
  <c r="L304"/>
  <c r="O212"/>
  <c r="L320"/>
  <c r="M203"/>
  <c r="M212"/>
  <c r="L103"/>
  <c r="O113"/>
  <c r="I303"/>
  <c r="J302"/>
  <c r="H256"/>
  <c r="H260" s="1"/>
  <c r="M141"/>
  <c r="K230"/>
  <c r="K274"/>
  <c r="K278" s="1"/>
  <c r="J285"/>
  <c r="I131"/>
  <c r="O157"/>
  <c r="L274"/>
  <c r="L278" s="1"/>
  <c r="J212"/>
  <c r="H276"/>
  <c r="L176"/>
  <c r="F203"/>
  <c r="H167"/>
  <c r="G256"/>
  <c r="G260" s="1"/>
  <c r="O259"/>
  <c r="K158"/>
  <c r="J320"/>
  <c r="B112" i="269"/>
  <c r="D112" s="1"/>
  <c r="G257" i="270"/>
  <c r="F322"/>
  <c r="F185"/>
  <c r="K284"/>
  <c r="J276"/>
  <c r="K302"/>
  <c r="H112"/>
  <c r="I292"/>
  <c r="I296" s="1"/>
  <c r="I149"/>
  <c r="L167"/>
  <c r="O247"/>
  <c r="M139"/>
  <c r="K277"/>
  <c r="J202"/>
  <c r="I247"/>
  <c r="F303"/>
  <c r="J139"/>
  <c r="J295"/>
  <c r="O277"/>
  <c r="I185"/>
  <c r="F248"/>
  <c r="K256"/>
  <c r="K260" s="1"/>
  <c r="O292"/>
  <c r="O296" s="1"/>
  <c r="G285"/>
  <c r="N322"/>
  <c r="Q322" s="1"/>
  <c r="N186"/>
  <c r="G304"/>
  <c r="N139"/>
  <c r="K319"/>
  <c r="K323" s="1"/>
  <c r="C45" i="269"/>
  <c r="G158" i="270"/>
  <c r="J266"/>
  <c r="J157"/>
  <c r="H132"/>
  <c r="K283"/>
  <c r="K287" s="1"/>
  <c r="M320"/>
  <c r="O203"/>
  <c r="L249"/>
  <c r="H286"/>
  <c r="H130"/>
  <c r="J248"/>
  <c r="H303"/>
  <c r="L247"/>
  <c r="K294"/>
  <c r="M277"/>
  <c r="M257"/>
  <c r="F231"/>
  <c r="I103"/>
  <c r="M122"/>
  <c r="I122"/>
  <c r="J275"/>
  <c r="M113"/>
  <c r="M292"/>
  <c r="M296" s="1"/>
  <c r="G293"/>
  <c r="F275"/>
  <c r="M248"/>
  <c r="M311" s="1"/>
  <c r="H249"/>
  <c r="G284"/>
  <c r="N276"/>
  <c r="K276"/>
  <c r="F202"/>
  <c r="M132"/>
  <c r="O168"/>
  <c r="J177"/>
  <c r="J114"/>
  <c r="I141"/>
  <c r="O265"/>
  <c r="O269" s="1"/>
  <c r="J166"/>
  <c r="F274"/>
  <c r="F278" s="1"/>
  <c r="J293"/>
  <c r="L277"/>
  <c r="L257"/>
  <c r="M304"/>
  <c r="I293"/>
  <c r="L284"/>
  <c r="L113"/>
  <c r="O122"/>
  <c r="L283"/>
  <c r="L287" s="1"/>
  <c r="D41" i="269"/>
  <c r="O294" i="270"/>
  <c r="G275"/>
  <c r="G274"/>
  <c r="G278" s="1"/>
  <c r="I321"/>
  <c r="I140"/>
  <c r="K221"/>
  <c r="J121"/>
  <c r="M193"/>
  <c r="F321"/>
  <c r="L203"/>
  <c r="K212"/>
  <c r="I265"/>
  <c r="I269" s="1"/>
  <c r="G322"/>
  <c r="I302"/>
  <c r="L139"/>
  <c r="I104"/>
  <c r="N211"/>
  <c r="O104"/>
  <c r="J204"/>
  <c r="N141"/>
  <c r="L114"/>
  <c r="H159"/>
  <c r="I213"/>
  <c r="I230"/>
  <c r="L285"/>
  <c r="K105"/>
  <c r="F113"/>
  <c r="N247"/>
  <c r="J140"/>
  <c r="J303"/>
  <c r="J158"/>
  <c r="F112"/>
  <c r="AV60" i="232"/>
  <c r="J176" i="270"/>
  <c r="J141"/>
  <c r="F265"/>
  <c r="F269" s="1"/>
  <c r="G295"/>
  <c r="O130"/>
  <c r="G220"/>
  <c r="K139"/>
  <c r="O139"/>
  <c r="N283"/>
  <c r="N287" s="1"/>
  <c r="N167"/>
  <c r="F130"/>
  <c r="I157"/>
  <c r="F222"/>
  <c r="B119" i="269"/>
  <c r="N229" i="270"/>
  <c r="M167"/>
  <c r="B131" i="269"/>
  <c r="N303" i="270"/>
  <c r="K104"/>
  <c r="M176"/>
  <c r="J283"/>
  <c r="J287" s="1"/>
  <c r="F229"/>
  <c r="K285"/>
  <c r="G105"/>
  <c r="O204"/>
  <c r="N114"/>
  <c r="F114"/>
  <c r="I148"/>
  <c r="B115" i="269"/>
  <c r="D115" s="1"/>
  <c r="H141" i="270"/>
  <c r="J195"/>
  <c r="I121"/>
  <c r="F266"/>
  <c r="G259"/>
  <c r="H259"/>
  <c r="O293"/>
  <c r="L202"/>
  <c r="M229"/>
  <c r="O295"/>
  <c r="H247"/>
  <c r="H193"/>
  <c r="O301"/>
  <c r="O305" s="1"/>
  <c r="H177"/>
  <c r="J274"/>
  <c r="J278" s="1"/>
  <c r="M148"/>
  <c r="L258"/>
  <c r="H284"/>
  <c r="I257"/>
  <c r="H248"/>
  <c r="H311" s="1"/>
  <c r="J292"/>
  <c r="J296" s="1"/>
  <c r="K275"/>
  <c r="N267"/>
  <c r="M256"/>
  <c r="M260" s="1"/>
  <c r="O176"/>
  <c r="H267"/>
  <c r="N266"/>
  <c r="L184"/>
  <c r="N222"/>
  <c r="L222"/>
  <c r="M177"/>
  <c r="O231"/>
  <c r="H266"/>
  <c r="I277"/>
  <c r="F230"/>
  <c r="L166"/>
  <c r="M319"/>
  <c r="M323" s="1"/>
  <c r="C35" i="269"/>
  <c r="M220" i="270"/>
  <c r="N149"/>
  <c r="N301"/>
  <c r="N305" s="1"/>
  <c r="L148"/>
  <c r="M131"/>
  <c r="N259"/>
  <c r="M103"/>
  <c r="H322"/>
  <c r="O112"/>
  <c r="H104"/>
  <c r="L130"/>
  <c r="H258"/>
  <c r="N148"/>
  <c r="H319"/>
  <c r="H323" s="1"/>
  <c r="K121"/>
  <c r="L319"/>
  <c r="L323" s="1"/>
  <c r="O131"/>
  <c r="B117" i="269"/>
  <c r="D117" s="1"/>
  <c r="K259" i="270"/>
  <c r="L250"/>
  <c r="L313" s="1"/>
  <c r="I202"/>
  <c r="G230"/>
  <c r="C113" i="269"/>
  <c r="K248" i="270"/>
  <c r="K311" s="1"/>
  <c r="J103"/>
  <c r="I258"/>
  <c r="G248"/>
  <c r="G311" s="1"/>
  <c r="I389"/>
  <c r="H571"/>
  <c r="F396" i="159"/>
  <c r="F374"/>
  <c r="F400"/>
  <c r="F354"/>
  <c r="F398"/>
  <c r="F352"/>
  <c r="F376"/>
  <c r="F270" i="272"/>
  <c r="H418" i="271"/>
  <c r="I418"/>
  <c r="O280" i="159"/>
  <c r="L280"/>
  <c r="M280"/>
  <c r="N280"/>
  <c r="J280"/>
  <c r="I280"/>
  <c r="H280"/>
  <c r="G280"/>
  <c r="K280"/>
  <c r="F280"/>
  <c r="G316"/>
  <c r="G409" s="1"/>
  <c r="F316"/>
  <c r="F409" s="1"/>
  <c r="O291"/>
  <c r="F304"/>
  <c r="F378" s="1"/>
  <c r="H291"/>
  <c r="F291"/>
  <c r="F356" s="1"/>
  <c r="K291"/>
  <c r="N316"/>
  <c r="J316"/>
  <c r="N291"/>
  <c r="G304"/>
  <c r="G387" s="1"/>
  <c r="M291"/>
  <c r="G291"/>
  <c r="G365" s="1"/>
  <c r="O316"/>
  <c r="H316"/>
  <c r="N304"/>
  <c r="L304"/>
  <c r="O304"/>
  <c r="I304"/>
  <c r="L316"/>
  <c r="K316"/>
  <c r="J304"/>
  <c r="H304"/>
  <c r="K304"/>
  <c r="M316"/>
  <c r="I316"/>
  <c r="M304"/>
  <c r="I291"/>
  <c r="J291"/>
  <c r="L291"/>
  <c r="O51" i="272"/>
  <c r="O84" s="1"/>
  <c r="G55" i="184"/>
  <c r="O52" i="272"/>
  <c r="O85" s="1"/>
  <c r="O55" i="184"/>
  <c r="O59" s="1"/>
  <c r="E65"/>
  <c r="O50" i="272"/>
  <c r="O83" s="1"/>
  <c r="F47" i="191"/>
  <c r="O392" i="271"/>
  <c r="O421" s="1"/>
  <c r="G47" i="191"/>
  <c r="F253" i="154"/>
  <c r="J347" s="1"/>
  <c r="J349" s="1"/>
  <c r="N392" i="271"/>
  <c r="N51" i="272"/>
  <c r="N84" s="1"/>
  <c r="N162" s="1"/>
  <c r="N375" i="271"/>
  <c r="N381"/>
  <c r="N395"/>
  <c r="N396"/>
  <c r="N425" s="1"/>
  <c r="N378"/>
  <c r="N50" i="272"/>
  <c r="N83" s="1"/>
  <c r="N161" s="1"/>
  <c r="N52"/>
  <c r="N85" s="1"/>
  <c r="N163" s="1"/>
  <c r="N55" i="184"/>
  <c r="N59" s="1"/>
  <c r="M52" i="272"/>
  <c r="M85" s="1"/>
  <c r="M163" s="1"/>
  <c r="M55" i="184"/>
  <c r="M59" s="1"/>
  <c r="L392" i="271"/>
  <c r="L51" i="272"/>
  <c r="L84" s="1"/>
  <c r="L162" s="1"/>
  <c r="M392" i="271"/>
  <c r="M51" i="272"/>
  <c r="M84" s="1"/>
  <c r="M162" s="1"/>
  <c r="M381" i="271"/>
  <c r="L381"/>
  <c r="M396"/>
  <c r="M425" s="1"/>
  <c r="L375"/>
  <c r="L378"/>
  <c r="L55" i="184"/>
  <c r="L59" s="1"/>
  <c r="M375" i="271"/>
  <c r="M50" i="272"/>
  <c r="M83" s="1"/>
  <c r="M161" s="1"/>
  <c r="L396" i="271"/>
  <c r="L425" s="1"/>
  <c r="L52" i="272"/>
  <c r="L85" s="1"/>
  <c r="L163" s="1"/>
  <c r="K375" i="271"/>
  <c r="K381"/>
  <c r="K395"/>
  <c r="K396"/>
  <c r="K425" s="1"/>
  <c r="K378"/>
  <c r="K50" i="272"/>
  <c r="K83" s="1"/>
  <c r="K161" s="1"/>
  <c r="M395" i="271"/>
  <c r="M378"/>
  <c r="L395"/>
  <c r="L50" i="272"/>
  <c r="L83" s="1"/>
  <c r="L161" s="1"/>
  <c r="K52"/>
  <c r="K85" s="1"/>
  <c r="K163" s="1"/>
  <c r="K55" i="184"/>
  <c r="J392" i="271"/>
  <c r="J51" i="272"/>
  <c r="J84" s="1"/>
  <c r="J162" s="1"/>
  <c r="J381" i="271"/>
  <c r="J396"/>
  <c r="J425" s="1"/>
  <c r="I52" i="272"/>
  <c r="I85" s="1"/>
  <c r="I163" s="1"/>
  <c r="K51"/>
  <c r="K84" s="1"/>
  <c r="K162" s="1"/>
  <c r="I392" i="271"/>
  <c r="I421" s="1"/>
  <c r="I51" i="272"/>
  <c r="I84" s="1"/>
  <c r="I162" s="1"/>
  <c r="H392" i="271"/>
  <c r="H421" s="1"/>
  <c r="H51" i="272"/>
  <c r="H84" s="1"/>
  <c r="H162" s="1"/>
  <c r="G51"/>
  <c r="J375" i="271"/>
  <c r="J395"/>
  <c r="J378"/>
  <c r="J50" i="272"/>
  <c r="J83" s="1"/>
  <c r="J161" s="1"/>
  <c r="J52"/>
  <c r="J85" s="1"/>
  <c r="J163" s="1"/>
  <c r="I375" i="271"/>
  <c r="I381"/>
  <c r="I395"/>
  <c r="I396"/>
  <c r="I425" s="1"/>
  <c r="I378"/>
  <c r="I50" i="272"/>
  <c r="I83" s="1"/>
  <c r="I161" s="1"/>
  <c r="H375" i="271"/>
  <c r="H381"/>
  <c r="H395"/>
  <c r="H424" s="1"/>
  <c r="H396"/>
  <c r="H425" s="1"/>
  <c r="H378"/>
  <c r="H50" i="272"/>
  <c r="H83" s="1"/>
  <c r="H161" s="1"/>
  <c r="G392" i="271"/>
  <c r="G421" s="1"/>
  <c r="G50" i="272"/>
  <c r="F392" i="271"/>
  <c r="G396"/>
  <c r="G425" s="1"/>
  <c r="K392"/>
  <c r="G375"/>
  <c r="G404" s="1"/>
  <c r="G395"/>
  <c r="G424" s="1"/>
  <c r="F395"/>
  <c r="F424" s="1"/>
  <c r="F378"/>
  <c r="F407" s="1"/>
  <c r="H52" i="272"/>
  <c r="H85" s="1"/>
  <c r="H163" s="1"/>
  <c r="G381" i="271"/>
  <c r="G410" s="1"/>
  <c r="G52" i="272"/>
  <c r="F396" i="271"/>
  <c r="F425" s="1"/>
  <c r="F375"/>
  <c r="F404" s="1"/>
  <c r="F381"/>
  <c r="G378"/>
  <c r="G407" s="1"/>
  <c r="K75" i="272"/>
  <c r="N77"/>
  <c r="N61"/>
  <c r="H69"/>
  <c r="I67"/>
  <c r="H76"/>
  <c r="I75"/>
  <c r="L61"/>
  <c r="O76"/>
  <c r="N75"/>
  <c r="M77"/>
  <c r="O61"/>
  <c r="J76"/>
  <c r="K61"/>
  <c r="M67"/>
  <c r="H60"/>
  <c r="H77"/>
  <c r="H61"/>
  <c r="G60"/>
  <c r="F60" s="1"/>
  <c r="J75"/>
  <c r="I77"/>
  <c r="J69"/>
  <c r="N67"/>
  <c r="I76"/>
  <c r="I59"/>
  <c r="G47"/>
  <c r="I69"/>
  <c r="J68"/>
  <c r="N59"/>
  <c r="I68"/>
  <c r="O68"/>
  <c r="K69"/>
  <c r="M75"/>
  <c r="H68"/>
  <c r="M76"/>
  <c r="I61"/>
  <c r="H59"/>
  <c r="L68"/>
  <c r="J67"/>
  <c r="L76"/>
  <c r="G76"/>
  <c r="F76" s="1"/>
  <c r="J59"/>
  <c r="M58" i="184"/>
  <c r="N58"/>
  <c r="K57"/>
  <c r="L57"/>
  <c r="O57"/>
  <c r="E95"/>
  <c r="E102" s="1"/>
  <c r="F58"/>
  <c r="M69" i="272"/>
  <c r="I60"/>
  <c r="O77"/>
  <c r="N68"/>
  <c r="L77"/>
  <c r="L75"/>
  <c r="H75"/>
  <c r="O75"/>
  <c r="K68"/>
  <c r="M61"/>
  <c r="L58" i="184"/>
  <c r="F55"/>
  <c r="F59" s="1"/>
  <c r="G57"/>
  <c r="N57"/>
  <c r="N60" i="272"/>
  <c r="G59"/>
  <c r="F59" s="1"/>
  <c r="K76"/>
  <c r="G77"/>
  <c r="F77" s="1"/>
  <c r="O69"/>
  <c r="H67"/>
  <c r="K67"/>
  <c r="N69"/>
  <c r="J77"/>
  <c r="G69"/>
  <c r="F69" s="1"/>
  <c r="O56" i="184"/>
  <c r="I158" i="272"/>
  <c r="D95" i="184"/>
  <c r="D102" s="1"/>
  <c r="E66"/>
  <c r="N56"/>
  <c r="G75" i="272"/>
  <c r="F75" s="1"/>
  <c r="L67"/>
  <c r="J61"/>
  <c r="J60"/>
  <c r="M60"/>
  <c r="G68"/>
  <c r="F68" s="1"/>
  <c r="M68"/>
  <c r="G61"/>
  <c r="F61" s="1"/>
  <c r="L69"/>
  <c r="K60"/>
  <c r="F57" i="184"/>
  <c r="L56"/>
  <c r="E68"/>
  <c r="F56"/>
  <c r="K56"/>
  <c r="G58"/>
  <c r="M59" i="272"/>
  <c r="O59"/>
  <c r="N76"/>
  <c r="G56" i="184"/>
  <c r="G67" i="272"/>
  <c r="F67" s="1"/>
  <c r="O60"/>
  <c r="O67"/>
  <c r="K58" i="184"/>
  <c r="E58" s="1"/>
  <c r="E67"/>
  <c r="L59" i="272"/>
  <c r="O58" i="184"/>
  <c r="M56"/>
  <c r="L60" i="272"/>
  <c r="K77"/>
  <c r="K59"/>
  <c r="M57" i="184"/>
  <c r="O45" i="244"/>
  <c r="O49" s="1"/>
  <c r="O81" s="1"/>
  <c r="M45"/>
  <c r="M49" s="1"/>
  <c r="M81" s="1"/>
  <c r="N45"/>
  <c r="N49" s="1"/>
  <c r="N81" s="1"/>
  <c r="J45"/>
  <c r="J49" s="1"/>
  <c r="J81" s="1"/>
  <c r="L45"/>
  <c r="L49" s="1"/>
  <c r="L81" s="1"/>
  <c r="K45"/>
  <c r="K49" s="1"/>
  <c r="K81" s="1"/>
  <c r="G45"/>
  <c r="G49" s="1"/>
  <c r="G81" s="1"/>
  <c r="I45"/>
  <c r="I49" s="1"/>
  <c r="I81" s="1"/>
  <c r="F45"/>
  <c r="F49" s="1"/>
  <c r="F81" s="1"/>
  <c r="H45"/>
  <c r="H49" s="1"/>
  <c r="H81" s="1"/>
  <c r="O48"/>
  <c r="N48"/>
  <c r="H46"/>
  <c r="K47"/>
  <c r="J47"/>
  <c r="H47"/>
  <c r="I46"/>
  <c r="G46"/>
  <c r="J48"/>
  <c r="F46"/>
  <c r="I48"/>
  <c r="L46"/>
  <c r="O46"/>
  <c r="F47"/>
  <c r="M48"/>
  <c r="H48"/>
  <c r="F48"/>
  <c r="L47"/>
  <c r="M46"/>
  <c r="G48"/>
  <c r="I47"/>
  <c r="N46"/>
  <c r="O47"/>
  <c r="K46"/>
  <c r="M47"/>
  <c r="J46"/>
  <c r="L48"/>
  <c r="N47"/>
  <c r="G47"/>
  <c r="K48"/>
  <c r="F516" i="270"/>
  <c r="F593"/>
  <c r="F417" i="271"/>
  <c r="F476" s="1"/>
  <c r="F427"/>
  <c r="F409"/>
  <c r="F410"/>
  <c r="F421"/>
  <c r="H590" i="270"/>
  <c r="I390"/>
  <c r="I385"/>
  <c r="H494"/>
  <c r="G376" i="159"/>
  <c r="G356"/>
  <c r="G398"/>
  <c r="G374"/>
  <c r="G400"/>
  <c r="G378"/>
  <c r="G354"/>
  <c r="G352"/>
  <c r="G396"/>
  <c r="I122" i="271"/>
  <c r="J78"/>
  <c r="G131" i="191"/>
  <c r="G333" i="159"/>
  <c r="G440" s="1"/>
  <c r="G156" i="191"/>
  <c r="G162" s="1"/>
  <c r="G186" s="1"/>
  <c r="J91" i="234"/>
  <c r="BD64" i="279"/>
  <c r="K29" i="48"/>
  <c r="K33" s="1"/>
  <c r="E100"/>
  <c r="G44" i="237"/>
  <c r="H44" s="1"/>
  <c r="H35"/>
  <c r="I109" i="271"/>
  <c r="J109" s="1"/>
  <c r="K109" s="1"/>
  <c r="L109" s="1"/>
  <c r="M109" s="1"/>
  <c r="N109" s="1"/>
  <c r="J45" i="233"/>
  <c r="K45" s="1"/>
  <c r="J44"/>
  <c r="K44" s="1"/>
  <c r="O83" i="244"/>
  <c r="H83"/>
  <c r="J49" i="234"/>
  <c r="K49" s="1"/>
  <c r="BF23" i="263"/>
  <c r="AN23"/>
  <c r="BG12"/>
  <c r="AN68"/>
  <c r="AU23"/>
  <c r="Z23"/>
  <c r="AP23"/>
  <c r="AW23"/>
  <c r="AZ23"/>
  <c r="BA23"/>
  <c r="BB23"/>
  <c r="BC23"/>
  <c r="BB52"/>
  <c r="AR23"/>
  <c r="AP68" i="262"/>
  <c r="BG14" i="261"/>
  <c r="AU23" i="262"/>
  <c r="Z23"/>
  <c r="BE68" i="263"/>
  <c r="AN68" i="262"/>
  <c r="AN68" i="260"/>
  <c r="BG14" i="259"/>
  <c r="AN23" i="258"/>
  <c r="BG12"/>
  <c r="AU23" i="259"/>
  <c r="Z23"/>
  <c r="BG17" i="258"/>
  <c r="AN23" i="257"/>
  <c r="BG12"/>
  <c r="BF68" i="260"/>
  <c r="BG14" i="255"/>
  <c r="AU52" i="257"/>
  <c r="Z23" i="256"/>
  <c r="BG51" i="257"/>
  <c r="O68" i="263"/>
  <c r="BM60" i="262"/>
  <c r="AP68" i="259"/>
  <c r="AP23" i="256"/>
  <c r="AU52" i="255"/>
  <c r="L68" i="263"/>
  <c r="BM60" i="261"/>
  <c r="AU52" i="259"/>
  <c r="AU23" i="256"/>
  <c r="AP23" i="255"/>
  <c r="BG51" i="256"/>
  <c r="N52" i="263"/>
  <c r="R37" i="261"/>
  <c r="L52"/>
  <c r="BM60" i="263"/>
  <c r="L52" i="262"/>
  <c r="BM60" i="259"/>
  <c r="O52" i="258"/>
  <c r="K68" i="263"/>
  <c r="Q68"/>
  <c r="R67" i="261"/>
  <c r="N52"/>
  <c r="L52" i="260"/>
  <c r="K52" i="258"/>
  <c r="J52" i="256"/>
  <c r="BG14" i="257"/>
  <c r="I52" i="260"/>
  <c r="H52"/>
  <c r="R51" i="259"/>
  <c r="G52" i="258"/>
  <c r="R33"/>
  <c r="J68" i="255"/>
  <c r="R37" i="259"/>
  <c r="J52" i="258"/>
  <c r="BM60"/>
  <c r="Q52"/>
  <c r="I52" i="256"/>
  <c r="O52"/>
  <c r="H52"/>
  <c r="Q52"/>
  <c r="I68" i="255"/>
  <c r="G68"/>
  <c r="R61"/>
  <c r="L52"/>
  <c r="AW23" i="257"/>
  <c r="R51" i="248"/>
  <c r="Q68"/>
  <c r="R67" i="256"/>
  <c r="N52"/>
  <c r="P52" i="255"/>
  <c r="H52"/>
  <c r="O52" i="257"/>
  <c r="N52"/>
  <c r="BE23"/>
  <c r="BE68"/>
  <c r="BK20"/>
  <c r="R37" i="248"/>
  <c r="BE68" i="256"/>
  <c r="T52" i="248"/>
  <c r="T52" i="259"/>
  <c r="T52" i="255"/>
  <c r="AY68"/>
  <c r="AR52"/>
  <c r="BI68" i="256"/>
  <c r="U23" i="248"/>
  <c r="AR52"/>
  <c r="BI68" i="258"/>
  <c r="U23" i="259"/>
  <c r="AX23" i="255"/>
  <c r="AX23" i="256"/>
  <c r="BK14"/>
  <c r="AX23" i="248"/>
  <c r="BK14"/>
  <c r="AX23" i="258"/>
  <c r="BK14"/>
  <c r="AX23" i="259"/>
  <c r="BK14"/>
  <c r="BA52" i="255"/>
  <c r="AT52"/>
  <c r="AV52"/>
  <c r="BJ23" i="256"/>
  <c r="T68"/>
  <c r="AW23"/>
  <c r="AV52" i="248"/>
  <c r="BI23" i="258"/>
  <c r="BK12"/>
  <c r="AW23" i="259"/>
  <c r="AR52"/>
  <c r="BB68" i="260"/>
  <c r="AQ23"/>
  <c r="AW68" i="261"/>
  <c r="AZ68"/>
  <c r="AZ23" i="260"/>
  <c r="BA23"/>
  <c r="BB23"/>
  <c r="BC23"/>
  <c r="AT23"/>
  <c r="Y23"/>
  <c r="AZ23" i="261"/>
  <c r="BA23"/>
  <c r="BB23"/>
  <c r="BC23"/>
  <c r="AT23"/>
  <c r="Y23"/>
  <c r="Y23" i="262"/>
  <c r="BI23" i="248"/>
  <c r="BK12"/>
  <c r="AW23" i="258"/>
  <c r="AZ52" i="259"/>
  <c r="BA52" i="260"/>
  <c r="AT52"/>
  <c r="AV52"/>
  <c r="BJ23" i="261"/>
  <c r="T68"/>
  <c r="AW23"/>
  <c r="BK20"/>
  <c r="AZ52" i="262"/>
  <c r="BB52"/>
  <c r="AO23"/>
  <c r="T52"/>
  <c r="AT52" i="248"/>
  <c r="BK37" i="259"/>
  <c r="BE68" i="261"/>
  <c r="AY68" i="262"/>
  <c r="BA68"/>
  <c r="BA71" s="1"/>
  <c r="CB23" i="263"/>
  <c r="DB23"/>
  <c r="CA23" i="262"/>
  <c r="CQ23"/>
  <c r="DG23"/>
  <c r="CD23" i="261"/>
  <c r="CD71" s="1"/>
  <c r="CT23"/>
  <c r="BU23" i="260"/>
  <c r="CK23"/>
  <c r="DA23"/>
  <c r="BX23" i="259"/>
  <c r="CN23"/>
  <c r="DD23"/>
  <c r="CA23" i="258"/>
  <c r="CW23" i="263"/>
  <c r="BV23" i="262"/>
  <c r="CL23"/>
  <c r="DB23"/>
  <c r="CC23" i="261"/>
  <c r="CS23"/>
  <c r="CF23" i="260"/>
  <c r="CV23"/>
  <c r="BS23" i="259"/>
  <c r="CI23"/>
  <c r="CY23"/>
  <c r="BV23" i="258"/>
  <c r="CL23"/>
  <c r="DB23"/>
  <c r="CC23" i="248"/>
  <c r="CS23"/>
  <c r="CF23" i="256"/>
  <c r="CV23"/>
  <c r="BS23" i="255"/>
  <c r="CI23"/>
  <c r="CY23"/>
  <c r="BV23" i="257"/>
  <c r="CL23"/>
  <c r="DB23"/>
  <c r="CN23" i="263"/>
  <c r="CC23" i="262"/>
  <c r="CS23"/>
  <c r="CF23" i="261"/>
  <c r="CF71" s="1"/>
  <c r="CV23"/>
  <c r="CV71" s="1"/>
  <c r="BS23" i="260"/>
  <c r="CI23"/>
  <c r="CY23"/>
  <c r="BV23" i="259"/>
  <c r="BV71" s="1"/>
  <c r="CL23"/>
  <c r="CL71" s="1"/>
  <c r="DB23"/>
  <c r="DB71" s="1"/>
  <c r="CC23" i="258"/>
  <c r="CS23"/>
  <c r="CF23" i="248"/>
  <c r="CF71" s="1"/>
  <c r="CV23"/>
  <c r="BS23" i="256"/>
  <c r="CI23"/>
  <c r="CI71" s="1"/>
  <c r="CY23"/>
  <c r="BV23" i="255"/>
  <c r="BV71" s="1"/>
  <c r="CL23"/>
  <c r="DB23"/>
  <c r="DB71" s="1"/>
  <c r="CC23" i="257"/>
  <c r="CS23"/>
  <c r="BV23" i="263"/>
  <c r="CU23" i="261"/>
  <c r="BU23" i="259"/>
  <c r="BT23" i="258"/>
  <c r="BT71" s="1"/>
  <c r="BS23" i="248"/>
  <c r="CY23"/>
  <c r="CP23" i="256"/>
  <c r="CF23" i="255"/>
  <c r="BS23" i="257"/>
  <c r="CY23"/>
  <c r="CY71" s="1"/>
  <c r="DI44" i="263"/>
  <c r="DI33"/>
  <c r="BY52"/>
  <c r="CG52"/>
  <c r="CG71" s="1"/>
  <c r="CO52"/>
  <c r="CW52"/>
  <c r="DE52"/>
  <c r="BZ52" i="261"/>
  <c r="CH52"/>
  <c r="CP52"/>
  <c r="CX52"/>
  <c r="DF52"/>
  <c r="BX52" i="259"/>
  <c r="CF52"/>
  <c r="CN52"/>
  <c r="CV52"/>
  <c r="BW52" i="258"/>
  <c r="CE52"/>
  <c r="CM52"/>
  <c r="CU52"/>
  <c r="DC52"/>
  <c r="BX52" i="255"/>
  <c r="CF52"/>
  <c r="CN52"/>
  <c r="CV52"/>
  <c r="DI61" i="257"/>
  <c r="BP68"/>
  <c r="CR23" i="262"/>
  <c r="DG23" i="261"/>
  <c r="DB23" i="260"/>
  <c r="CN23" i="258"/>
  <c r="BV23" i="248"/>
  <c r="BV71" s="1"/>
  <c r="DB23"/>
  <c r="DB71" s="1"/>
  <c r="CS23" i="256"/>
  <c r="CS71" s="1"/>
  <c r="CO23" i="255"/>
  <c r="CO71" s="1"/>
  <c r="BT23" i="257"/>
  <c r="CZ23"/>
  <c r="BS52" i="262"/>
  <c r="CD52"/>
  <c r="CL52"/>
  <c r="CT52"/>
  <c r="DB52"/>
  <c r="DI37" i="260"/>
  <c r="AH23" i="262"/>
  <c r="BX23"/>
  <c r="CM23" i="261"/>
  <c r="CC23" i="259"/>
  <c r="CQ23" i="258"/>
  <c r="CQ71" s="1"/>
  <c r="BW23" i="248"/>
  <c r="DC23"/>
  <c r="CL23" i="256"/>
  <c r="CB23" i="255"/>
  <c r="CB71" s="1"/>
  <c r="CU23" i="257"/>
  <c r="BX52" i="263"/>
  <c r="CF52"/>
  <c r="CN52"/>
  <c r="CV52"/>
  <c r="BW52" i="261"/>
  <c r="CE52"/>
  <c r="CM52"/>
  <c r="CU52"/>
  <c r="DC52"/>
  <c r="BQ68"/>
  <c r="BX52" i="260"/>
  <c r="CF52"/>
  <c r="CN52"/>
  <c r="CV52"/>
  <c r="BU52" i="259"/>
  <c r="CC52"/>
  <c r="CK52"/>
  <c r="CS52"/>
  <c r="DA52"/>
  <c r="DI61"/>
  <c r="BP68"/>
  <c r="BV52" i="258"/>
  <c r="CD52"/>
  <c r="CL52"/>
  <c r="CT52"/>
  <c r="DB52"/>
  <c r="BU52" i="248"/>
  <c r="CC52"/>
  <c r="CK52"/>
  <c r="CS52"/>
  <c r="DA52"/>
  <c r="DI61"/>
  <c r="BP68"/>
  <c r="BV52" i="256"/>
  <c r="CD52"/>
  <c r="CL52"/>
  <c r="CT52"/>
  <c r="DB52"/>
  <c r="BU52" i="255"/>
  <c r="CC52"/>
  <c r="CK52"/>
  <c r="CS52"/>
  <c r="DA52"/>
  <c r="DI61"/>
  <c r="BP68"/>
  <c r="BV52" i="257"/>
  <c r="CD52"/>
  <c r="CL52"/>
  <c r="CT52"/>
  <c r="DB52"/>
  <c r="AD52" i="262"/>
  <c r="AG23"/>
  <c r="DE23" i="263"/>
  <c r="CZ23" i="262"/>
  <c r="CD23" i="260"/>
  <c r="CD71" s="1"/>
  <c r="DE23" i="259"/>
  <c r="CZ23" i="258"/>
  <c r="CZ71" s="1"/>
  <c r="CX23" i="248"/>
  <c r="CO23" i="256"/>
  <c r="BU23" i="255"/>
  <c r="DA23"/>
  <c r="CV23" i="257"/>
  <c r="BT52" i="262"/>
  <c r="CC52"/>
  <c r="CK52"/>
  <c r="CS52"/>
  <c r="DA52"/>
  <c r="DI61"/>
  <c r="BP68"/>
  <c r="BX68"/>
  <c r="CB68"/>
  <c r="CF68"/>
  <c r="CJ68"/>
  <c r="CN68"/>
  <c r="CR68"/>
  <c r="CV68"/>
  <c r="CZ68"/>
  <c r="DD68"/>
  <c r="DI37" i="261"/>
  <c r="AI52" i="262"/>
  <c r="BD23"/>
  <c r="AK23" i="261"/>
  <c r="AI52"/>
  <c r="BD52"/>
  <c r="AC52" i="260"/>
  <c r="AB23" i="259"/>
  <c r="AS52"/>
  <c r="AC52" i="263"/>
  <c r="AF23" i="260"/>
  <c r="AD23" i="259"/>
  <c r="AE23" i="258"/>
  <c r="AF23" i="256"/>
  <c r="AD23" i="255"/>
  <c r="AB23" i="257"/>
  <c r="AS52"/>
  <c r="AI23" i="261"/>
  <c r="AB52" i="259"/>
  <c r="AS23" i="258"/>
  <c r="AD52" i="255"/>
  <c r="BD23"/>
  <c r="AC23" i="258"/>
  <c r="AG23" i="256"/>
  <c r="AC68" i="261"/>
  <c r="AC68" i="260"/>
  <c r="AC68" i="259"/>
  <c r="AC68" i="258"/>
  <c r="AS68"/>
  <c r="AF68" i="248"/>
  <c r="AI68"/>
  <c r="BD68"/>
  <c r="AS68" i="256"/>
  <c r="AF68" i="255"/>
  <c r="AI68"/>
  <c r="BD68"/>
  <c r="R31" i="257"/>
  <c r="R31" i="260"/>
  <c r="BM28" i="255"/>
  <c r="R31" i="262"/>
  <c r="R31" i="256"/>
  <c r="BB237" i="277"/>
  <c r="BB178" i="276"/>
  <c r="BC177"/>
  <c r="BC236" i="277"/>
  <c r="BF178" i="276"/>
  <c r="BF178" i="279"/>
  <c r="BF237" i="277"/>
  <c r="BG177" i="279"/>
  <c r="BG236" i="277"/>
  <c r="BG177" i="276"/>
  <c r="AY177"/>
  <c r="AY177" i="279"/>
  <c r="AY236" i="277"/>
  <c r="BA178" i="279"/>
  <c r="BA237" i="277"/>
  <c r="BA178" i="276"/>
  <c r="BB177"/>
  <c r="BB236" i="277"/>
  <c r="BE178" i="276"/>
  <c r="BE237" i="277"/>
  <c r="BF177" i="276"/>
  <c r="BF177" i="279"/>
  <c r="BF236" i="277"/>
  <c r="BG178" i="279"/>
  <c r="BG237" i="277"/>
  <c r="BG178" i="276"/>
  <c r="BI236" i="277"/>
  <c r="BI177" i="276"/>
  <c r="BH178" i="279"/>
  <c r="BH237" i="277"/>
  <c r="BH178" i="276"/>
  <c r="AH27" i="256"/>
  <c r="AH27" i="255"/>
  <c r="BH190" i="279"/>
  <c r="BH190" i="276"/>
  <c r="BH179"/>
  <c r="BF192" i="279"/>
  <c r="BF192" i="276"/>
  <c r="BD238" i="277"/>
  <c r="AY179" i="276"/>
  <c r="BI251" i="277"/>
  <c r="BB192" i="276"/>
  <c r="G15" i="245"/>
  <c r="V32" i="260"/>
  <c r="I14" i="231"/>
  <c r="BD181" i="276"/>
  <c r="BG251" i="277"/>
  <c r="BE249"/>
  <c r="I91" i="154"/>
  <c r="BB139" i="279"/>
  <c r="AY240" i="277"/>
  <c r="AY181" i="279"/>
  <c r="BE181" i="276"/>
  <c r="BA192"/>
  <c r="BC190"/>
  <c r="G16" i="245"/>
  <c r="I19" i="228"/>
  <c r="BI179" i="279"/>
  <c r="BB182"/>
  <c r="BB181"/>
  <c r="N11" i="228"/>
  <c r="BD182" i="276"/>
  <c r="BB241" i="277"/>
  <c r="BI249"/>
  <c r="BG241"/>
  <c r="BG182" i="279"/>
  <c r="H53" i="168"/>
  <c r="L53"/>
  <c r="J29" i="228"/>
  <c r="K54" i="168"/>
  <c r="BI179" i="276"/>
  <c r="BF249" i="277"/>
  <c r="BF190" i="279"/>
  <c r="BH182" i="276"/>
  <c r="BG179"/>
  <c r="BG179" i="279"/>
  <c r="X32" i="261"/>
  <c r="H14" i="231"/>
  <c r="X32" i="248"/>
  <c r="BA294" i="277"/>
  <c r="BA256" i="280"/>
  <c r="V32" i="255"/>
  <c r="BB136" i="279"/>
  <c r="BB149"/>
  <c r="BI182" i="276"/>
  <c r="BC192"/>
  <c r="BA238" i="277"/>
  <c r="I16" i="245"/>
  <c r="BI182" i="279"/>
  <c r="N6" i="228"/>
  <c r="BH240" i="277"/>
  <c r="BH181" i="279"/>
  <c r="BA249" i="277"/>
  <c r="J15" i="245"/>
  <c r="AY294" i="277"/>
  <c r="AY235" i="279"/>
  <c r="V32" i="257"/>
  <c r="K29" i="228"/>
  <c r="G54" i="168"/>
  <c r="AJ22" i="255"/>
  <c r="BI240" i="277"/>
  <c r="BF179" i="276"/>
  <c r="BD192"/>
  <c r="BB238" i="277"/>
  <c r="BD249"/>
  <c r="BG240"/>
  <c r="BG181" i="279"/>
  <c r="BD294" i="277"/>
  <c r="BB235" i="279"/>
  <c r="BB235" i="276"/>
  <c r="BB148" i="279"/>
  <c r="AY251" i="277"/>
  <c r="BB190" i="276"/>
  <c r="BE251" i="277"/>
  <c r="BC179" i="276"/>
  <c r="BA240" i="277"/>
  <c r="BA181" i="279"/>
  <c r="N53" i="168"/>
  <c r="I15" i="245"/>
  <c r="BB294" i="277"/>
  <c r="BI181" i="279"/>
  <c r="BB301"/>
  <c r="BF241" i="277"/>
  <c r="BF182" i="279"/>
  <c r="O15" i="245"/>
  <c r="K53" i="168"/>
  <c r="H13" i="231"/>
  <c r="H29" i="228"/>
  <c r="BE241" i="277"/>
  <c r="BA182" i="276"/>
  <c r="V32" i="259"/>
  <c r="BB181" i="276"/>
  <c r="E14" i="231"/>
  <c r="AY296" i="277"/>
  <c r="BB135" i="279"/>
  <c r="BE179" i="276"/>
  <c r="BH192"/>
  <c r="M16" i="245"/>
  <c r="BI177" i="279"/>
  <c r="BB179"/>
  <c r="N19" i="228"/>
  <c r="BG294" i="277"/>
  <c r="L54" i="168"/>
  <c r="AY182" i="279"/>
  <c r="AY178" i="276"/>
  <c r="AY178" i="279"/>
  <c r="AY237" i="277"/>
  <c r="BA177" i="279"/>
  <c r="BA177" i="276"/>
  <c r="BA236" i="277"/>
  <c r="BD178" i="276"/>
  <c r="BD237" i="277"/>
  <c r="BE177" i="276"/>
  <c r="BE236" i="277"/>
  <c r="BI178" i="276"/>
  <c r="BI237" i="277"/>
  <c r="BC237"/>
  <c r="BC178" i="276"/>
  <c r="BD177"/>
  <c r="BD236" i="277"/>
  <c r="BH177" i="276"/>
  <c r="BH177" i="279"/>
  <c r="BH236" i="277"/>
  <c r="AH27" i="248"/>
  <c r="AH27" i="257"/>
  <c r="BH249" i="277"/>
  <c r="BH179" i="279"/>
  <c r="BH238" i="277"/>
  <c r="BF251"/>
  <c r="BD179" i="276"/>
  <c r="AY179" i="279"/>
  <c r="AY238" i="277"/>
  <c r="BI192" i="276"/>
  <c r="BB251" i="277"/>
  <c r="BF294"/>
  <c r="I13" i="231"/>
  <c r="BD240" i="277"/>
  <c r="BG192" i="276"/>
  <c r="BG192" i="279"/>
  <c r="BE190" i="276"/>
  <c r="BB140" i="279"/>
  <c r="BD258" i="280"/>
  <c r="AY181" i="276"/>
  <c r="BE240" i="277"/>
  <c r="BA251"/>
  <c r="BA192" i="279"/>
  <c r="BC249" i="277"/>
  <c r="G53" i="168"/>
  <c r="BI301" i="279"/>
  <c r="BI184"/>
  <c r="BB184"/>
  <c r="N10" i="228"/>
  <c r="N20"/>
  <c r="BD241" i="277"/>
  <c r="BB182" i="276"/>
  <c r="BI190"/>
  <c r="BG182"/>
  <c r="H16" i="245"/>
  <c r="L16"/>
  <c r="M19" i="228"/>
  <c r="M54" i="168"/>
  <c r="H54"/>
  <c r="BI238" i="277"/>
  <c r="BF190" i="276"/>
  <c r="BH241" i="277"/>
  <c r="BH182" i="279"/>
  <c r="BG238" i="277"/>
  <c r="BG296"/>
  <c r="BC258" i="280"/>
  <c r="BC296" i="277"/>
  <c r="BA235" i="276"/>
  <c r="F13" i="231"/>
  <c r="BA235" i="279"/>
  <c r="BB142"/>
  <c r="BB141"/>
  <c r="BI241" i="277"/>
  <c r="BC251"/>
  <c r="BA179" i="276"/>
  <c r="BA179" i="279"/>
  <c r="I53" i="168"/>
  <c r="BI178" i="279"/>
  <c r="N29" i="228"/>
  <c r="BE67" i="277"/>
  <c r="BH181" i="276"/>
  <c r="BA190"/>
  <c r="BA190" i="279"/>
  <c r="AY235" i="276"/>
  <c r="E13" i="231"/>
  <c r="AY256" i="280"/>
  <c r="I29" i="228"/>
  <c r="N54" i="168"/>
  <c r="F62" i="231"/>
  <c r="BI181" i="276"/>
  <c r="BF238" i="277"/>
  <c r="BF179" i="279"/>
  <c r="BD251" i="277"/>
  <c r="BB179" i="276"/>
  <c r="BD190"/>
  <c r="BG181"/>
  <c r="M15" i="245"/>
  <c r="V32" i="258"/>
  <c r="F15" i="245"/>
  <c r="BB137" i="279"/>
  <c r="AY192" i="276"/>
  <c r="AY192" i="279"/>
  <c r="BB249" i="277"/>
  <c r="BE192" i="276"/>
  <c r="BC238" i="277"/>
  <c r="BA181" i="276"/>
  <c r="N16" i="245"/>
  <c r="K15"/>
  <c r="BB256" i="280"/>
  <c r="G13" i="231"/>
  <c r="BI190" i="279"/>
  <c r="BB177"/>
  <c r="BB190"/>
  <c r="N8" i="228"/>
  <c r="BF182" i="276"/>
  <c r="AY190"/>
  <c r="AY190" i="279"/>
  <c r="BI139" i="276"/>
  <c r="K16" i="245"/>
  <c r="BC256" i="280"/>
  <c r="BC294" i="277"/>
  <c r="M29" i="228"/>
  <c r="J54" i="168"/>
  <c r="BE182" i="276"/>
  <c r="BC241" i="277"/>
  <c r="BA241"/>
  <c r="BA182" i="279"/>
  <c r="BE294" i="277"/>
  <c r="F53" i="168"/>
  <c r="BF181" i="276"/>
  <c r="BF181" i="279"/>
  <c r="BB240" i="277"/>
  <c r="X32" i="258"/>
  <c r="AY237" i="276"/>
  <c r="AY258" i="280"/>
  <c r="X32" i="257"/>
  <c r="J15" i="228"/>
  <c r="BI294" i="277"/>
  <c r="BE238"/>
  <c r="BC240"/>
  <c r="BH251"/>
  <c r="N15" i="245"/>
  <c r="M53" i="168"/>
  <c r="J53"/>
  <c r="V32" i="262"/>
  <c r="BI192" i="279"/>
  <c r="BB192"/>
  <c r="N28" i="228"/>
  <c r="L15" i="245"/>
  <c r="O53" i="168"/>
  <c r="V32" i="261"/>
  <c r="O54" i="168"/>
  <c r="F54"/>
  <c r="AY241" i="277"/>
  <c r="BG249"/>
  <c r="BG190" i="279"/>
  <c r="BH58" i="277"/>
  <c r="V32" i="256"/>
  <c r="N21" i="228"/>
  <c r="AY249" i="277"/>
  <c r="BI198"/>
  <c r="V32" i="248"/>
  <c r="I54" i="168"/>
  <c r="BC182" i="276"/>
  <c r="H15" i="245"/>
  <c r="F16"/>
  <c r="BF240" i="277"/>
  <c r="BD296"/>
  <c r="AY237" i="279"/>
  <c r="BD256" i="280"/>
  <c r="BC181" i="276"/>
  <c r="BH192" i="279"/>
  <c r="J16" i="245"/>
  <c r="BH294" i="277"/>
  <c r="BB178" i="279"/>
  <c r="O16" i="245"/>
  <c r="L29" i="228"/>
  <c r="AY182" i="276"/>
  <c r="BG190"/>
  <c r="AT52" i="263" l="1"/>
  <c r="BH185" i="280"/>
  <c r="BA185"/>
  <c r="AY186"/>
  <c r="BH186"/>
  <c r="BG186"/>
  <c r="BF185"/>
  <c r="BA186"/>
  <c r="AY185"/>
  <c r="BG185"/>
  <c r="BF186"/>
  <c r="BF68" i="261"/>
  <c r="M52" i="263"/>
  <c r="AP68" i="255"/>
  <c r="Q68" i="261"/>
  <c r="BF68" i="248"/>
  <c r="BA68" i="259"/>
  <c r="BA71" s="1"/>
  <c r="BU68" i="263"/>
  <c r="CK68"/>
  <c r="DA68"/>
  <c r="CB68"/>
  <c r="CR68"/>
  <c r="CB68" i="257"/>
  <c r="CJ68"/>
  <c r="CR68"/>
  <c r="CZ68"/>
  <c r="CC68" i="259"/>
  <c r="CS68"/>
  <c r="AD68" i="257"/>
  <c r="AI68" i="259"/>
  <c r="L68" i="261"/>
  <c r="N68"/>
  <c r="J68" i="259"/>
  <c r="P68" i="255"/>
  <c r="J52" i="257"/>
  <c r="Q68" i="256"/>
  <c r="BC68" i="262"/>
  <c r="BR68" i="263"/>
  <c r="CR68" i="259"/>
  <c r="CZ68"/>
  <c r="CZ68" i="255"/>
  <c r="AE68" i="262"/>
  <c r="AK68" i="258"/>
  <c r="BD23" i="257"/>
  <c r="BD71" s="1"/>
  <c r="AK68" i="262"/>
  <c r="AI68" i="260"/>
  <c r="CS71" i="258"/>
  <c r="AQ71" i="255"/>
  <c r="DG71" i="263"/>
  <c r="BU71"/>
  <c r="DE71"/>
  <c r="CS71" i="257"/>
  <c r="CO71" i="263"/>
  <c r="CY71" i="256"/>
  <c r="CM71" i="263"/>
  <c r="CC71" i="257"/>
  <c r="BS71" i="260"/>
  <c r="CS71" i="261"/>
  <c r="CU71" i="257"/>
  <c r="CP71" i="256"/>
  <c r="CV71"/>
  <c r="CI71" i="259"/>
  <c r="BV71" i="262"/>
  <c r="BU71" i="260"/>
  <c r="CF71" i="258"/>
  <c r="AQ71" i="248"/>
  <c r="AC71" i="256"/>
  <c r="BY71"/>
  <c r="CK71" i="258"/>
  <c r="DG71" i="260"/>
  <c r="CW71" i="258"/>
  <c r="AB71" i="255"/>
  <c r="AD63" i="263"/>
  <c r="BY71"/>
  <c r="CL71" i="255"/>
  <c r="CX71" i="260"/>
  <c r="DF71" i="263"/>
  <c r="CM71" i="260"/>
  <c r="BT71" i="261"/>
  <c r="CA71" i="263"/>
  <c r="BA71"/>
  <c r="CR71" i="258"/>
  <c r="CE71" i="263"/>
  <c r="DF71" i="260"/>
  <c r="BB71" i="257"/>
  <c r="AK71" i="258"/>
  <c r="DE71" i="256"/>
  <c r="CS71" i="263"/>
  <c r="CM71" i="256"/>
  <c r="CN71" i="258"/>
  <c r="CT71" i="261"/>
  <c r="BB71" i="262"/>
  <c r="CG71" i="256"/>
  <c r="DE71" i="257"/>
  <c r="BY71" i="262"/>
  <c r="DE71" i="248"/>
  <c r="BT71" i="263"/>
  <c r="AZ71" i="248"/>
  <c r="AK71"/>
  <c r="CK71" i="257"/>
  <c r="BX71" i="256"/>
  <c r="AS71" i="257"/>
  <c r="BD71" i="262"/>
  <c r="BS71" i="257"/>
  <c r="AZ71" i="260"/>
  <c r="CQ71" i="261"/>
  <c r="DE71" i="258"/>
  <c r="CB71" i="261"/>
  <c r="CQ71" i="256"/>
  <c r="CA71" i="260"/>
  <c r="AB71" i="257"/>
  <c r="DE71" i="259"/>
  <c r="CZ71" i="257"/>
  <c r="DG71" i="261"/>
  <c r="CV71" i="248"/>
  <c r="CI71" i="260"/>
  <c r="BS71" i="255"/>
  <c r="BA71" i="261"/>
  <c r="AD71" i="263"/>
  <c r="CT71" i="248"/>
  <c r="BY71" i="257"/>
  <c r="CU71" i="260"/>
  <c r="DE71" i="262"/>
  <c r="CX71" i="257"/>
  <c r="BY71" i="248"/>
  <c r="AQ71" i="262"/>
  <c r="DA71" i="258"/>
  <c r="AS71" i="262"/>
  <c r="CK71" i="263"/>
  <c r="CV71" i="257"/>
  <c r="CX71" i="248"/>
  <c r="CB71" i="263"/>
  <c r="BD71" i="258"/>
  <c r="BT71" i="255"/>
  <c r="CK71" i="256"/>
  <c r="CU71"/>
  <c r="CH71" i="259"/>
  <c r="BA71" i="256"/>
  <c r="AC71" i="255"/>
  <c r="CE71" i="257"/>
  <c r="CP71" i="260"/>
  <c r="BX71" i="248"/>
  <c r="CG71" i="257"/>
  <c r="DC71" i="256"/>
  <c r="DC71" i="248"/>
  <c r="DB71" i="260"/>
  <c r="CY71" i="255"/>
  <c r="CF71" i="256"/>
  <c r="AZ71" i="263"/>
  <c r="DC71"/>
  <c r="CX71" i="255"/>
  <c r="CZ71" i="263"/>
  <c r="AZ71" i="257"/>
  <c r="BW71" i="256"/>
  <c r="CZ71" i="261"/>
  <c r="CO71" i="256"/>
  <c r="BW71" i="248"/>
  <c r="CC71" i="258"/>
  <c r="CA71"/>
  <c r="DA71" i="260"/>
  <c r="DB71" i="263"/>
  <c r="CY71" i="261"/>
  <c r="CZ71" i="255"/>
  <c r="CI71" i="258"/>
  <c r="CG71" i="255"/>
  <c r="DI68" i="260"/>
  <c r="CU71" i="263"/>
  <c r="CH71" i="255"/>
  <c r="CX71" i="259"/>
  <c r="CX71" i="262"/>
  <c r="AZ71" i="255"/>
  <c r="AK71"/>
  <c r="CH71" i="248"/>
  <c r="CH71" i="260"/>
  <c r="BX71" i="261"/>
  <c r="AQ71" i="263"/>
  <c r="CW71" i="257"/>
  <c r="CZ71" i="248"/>
  <c r="CG71" i="258"/>
  <c r="DC71" i="260"/>
  <c r="CJ71" i="261"/>
  <c r="DA71" i="255"/>
  <c r="CQ71" i="262"/>
  <c r="BT71" i="259"/>
  <c r="AZ71" i="258"/>
  <c r="BY71" i="259"/>
  <c r="DG71" i="258"/>
  <c r="BU71" i="255"/>
  <c r="BS71" i="259"/>
  <c r="BB71" i="260"/>
  <c r="CH71" i="256"/>
  <c r="CO71" i="262"/>
  <c r="CH71" i="257"/>
  <c r="CN71" i="256"/>
  <c r="BX71" i="258"/>
  <c r="CI71" i="255"/>
  <c r="CH71" i="258"/>
  <c r="CB71" i="260"/>
  <c r="CZ71" i="259"/>
  <c r="BD71"/>
  <c r="CC71" i="263"/>
  <c r="DG71" i="256"/>
  <c r="BU71" i="258"/>
  <c r="CQ71" i="260"/>
  <c r="CW71" i="256"/>
  <c r="BH187" i="280"/>
  <c r="BH198"/>
  <c r="BA71" i="257"/>
  <c r="AS71" i="259"/>
  <c r="DI68" i="257"/>
  <c r="BS71" i="248"/>
  <c r="BV71" i="263"/>
  <c r="BS71" i="256"/>
  <c r="CY71" i="260"/>
  <c r="AQ71"/>
  <c r="AC71" i="257"/>
  <c r="AK71" i="263"/>
  <c r="CN71" i="257"/>
  <c r="DI68" i="256"/>
  <c r="DI68" i="258"/>
  <c r="CE71" i="256"/>
  <c r="CO71" i="258"/>
  <c r="CO71" i="261"/>
  <c r="BB71" i="259"/>
  <c r="BB71" i="255"/>
  <c r="AS71" i="260"/>
  <c r="CR71" i="255"/>
  <c r="CA71" i="256"/>
  <c r="CH71" i="263"/>
  <c r="DC71" i="257"/>
  <c r="CJ71" i="248"/>
  <c r="AQ71" i="257"/>
  <c r="AK71" i="261"/>
  <c r="BT71" i="257"/>
  <c r="CY71" i="259"/>
  <c r="CK71" i="260"/>
  <c r="DG71" i="262"/>
  <c r="AZ71"/>
  <c r="BB71" i="261"/>
  <c r="AB71" i="248"/>
  <c r="AS71"/>
  <c r="CE71" i="260"/>
  <c r="CW71"/>
  <c r="BA71" i="248"/>
  <c r="CI71" i="261"/>
  <c r="DI68" i="263"/>
  <c r="DA71" i="257"/>
  <c r="R68" i="259"/>
  <c r="O413" i="271"/>
  <c r="BW71" i="257"/>
  <c r="BT71" i="248"/>
  <c r="DI68" i="255"/>
  <c r="DI68" i="248"/>
  <c r="DI68" i="259"/>
  <c r="CY71" i="248"/>
  <c r="CC71" i="261"/>
  <c r="CA71" i="262"/>
  <c r="AZ71" i="261"/>
  <c r="AB71" i="262"/>
  <c r="CP71" i="248"/>
  <c r="CO71" i="257"/>
  <c r="CH71" i="262"/>
  <c r="CJ71" i="259"/>
  <c r="BA71" i="258"/>
  <c r="AC71" i="248"/>
  <c r="BU71" i="257"/>
  <c r="O412" i="271"/>
  <c r="O435" s="1"/>
  <c r="BX71" i="257"/>
  <c r="AY187" i="280"/>
  <c r="BF200"/>
  <c r="CY71" i="263"/>
  <c r="CI71"/>
  <c r="BS71"/>
  <c r="BH311" i="277"/>
  <c r="BG198" i="280"/>
  <c r="AY190"/>
  <c r="F108" i="168"/>
  <c r="F75"/>
  <c r="F120" s="1"/>
  <c r="F110"/>
  <c r="L108"/>
  <c r="L75"/>
  <c r="L120" s="1"/>
  <c r="L110"/>
  <c r="O108"/>
  <c r="O75"/>
  <c r="O120" s="1"/>
  <c r="O110"/>
  <c r="L31" i="228"/>
  <c r="V33" i="261"/>
  <c r="O61" i="168"/>
  <c r="L29" i="245"/>
  <c r="L21"/>
  <c r="L39" s="1"/>
  <c r="L30"/>
  <c r="N31" i="228"/>
  <c r="BB186" i="280"/>
  <c r="BB200"/>
  <c r="BB187"/>
  <c r="BI200"/>
  <c r="BI185"/>
  <c r="V33" i="262"/>
  <c r="J61" i="168"/>
  <c r="M61"/>
  <c r="N29" i="245"/>
  <c r="N21"/>
  <c r="N39" s="1"/>
  <c r="N30"/>
  <c r="BH200" i="280"/>
  <c r="BB142"/>
  <c r="X33" i="257"/>
  <c r="X33" i="258"/>
  <c r="BF189" i="280"/>
  <c r="F61" i="168"/>
  <c r="V33" i="259"/>
  <c r="H29" i="245"/>
  <c r="H21"/>
  <c r="H39" s="1"/>
  <c r="H30"/>
  <c r="BA190" i="280"/>
  <c r="I108" i="168"/>
  <c r="I75"/>
  <c r="I120" s="1"/>
  <c r="I110"/>
  <c r="J108"/>
  <c r="J75"/>
  <c r="J120" s="1"/>
  <c r="J110"/>
  <c r="H31" i="228"/>
  <c r="M31"/>
  <c r="V33" i="248"/>
  <c r="K61" i="168"/>
  <c r="O29" i="245"/>
  <c r="O21"/>
  <c r="O39" s="1"/>
  <c r="O30"/>
  <c r="AY198" i="280"/>
  <c r="BF190"/>
  <c r="BB198"/>
  <c r="BB315" i="279"/>
  <c r="BB185" i="280"/>
  <c r="BI189"/>
  <c r="BI198"/>
  <c r="V33" i="256"/>
  <c r="I29" i="245"/>
  <c r="I21"/>
  <c r="I39" s="1"/>
  <c r="I30"/>
  <c r="K29"/>
  <c r="K21"/>
  <c r="K39" s="1"/>
  <c r="K30"/>
  <c r="N61" i="168"/>
  <c r="BA189" i="280"/>
  <c r="AY200"/>
  <c r="BB155"/>
  <c r="BB144"/>
  <c r="F29" i="245"/>
  <c r="F21"/>
  <c r="F39" s="1"/>
  <c r="F30"/>
  <c r="V33" i="258"/>
  <c r="M29" i="245"/>
  <c r="M21"/>
  <c r="M39" s="1"/>
  <c r="M30"/>
  <c r="BG189" i="280"/>
  <c r="BF187"/>
  <c r="G108" i="168"/>
  <c r="G75"/>
  <c r="G120" s="1"/>
  <c r="G110"/>
  <c r="N108"/>
  <c r="N75"/>
  <c r="N120" s="1"/>
  <c r="N110"/>
  <c r="K31" i="228"/>
  <c r="I31"/>
  <c r="V33" i="257"/>
  <c r="J29" i="245"/>
  <c r="J21"/>
  <c r="J39" s="1"/>
  <c r="J30"/>
  <c r="BA198" i="280"/>
  <c r="BH189"/>
  <c r="BI186"/>
  <c r="BI190"/>
  <c r="I61" i="168"/>
  <c r="BA187" i="280"/>
  <c r="BB156"/>
  <c r="BB148"/>
  <c r="BB143"/>
  <c r="BB149"/>
  <c r="V33" i="255"/>
  <c r="X33" i="248"/>
  <c r="X33" i="261"/>
  <c r="BG187" i="280"/>
  <c r="BH190"/>
  <c r="BF198"/>
  <c r="H108" i="168"/>
  <c r="H75"/>
  <c r="H120" s="1"/>
  <c r="H110"/>
  <c r="K108"/>
  <c r="K75"/>
  <c r="K120" s="1"/>
  <c r="K110"/>
  <c r="M108"/>
  <c r="M75"/>
  <c r="M120" s="1"/>
  <c r="M110"/>
  <c r="J31" i="228"/>
  <c r="L61" i="168"/>
  <c r="H61"/>
  <c r="BG190" i="280"/>
  <c r="BB189"/>
  <c r="BB192"/>
  <c r="BB190"/>
  <c r="BI192"/>
  <c r="BI187"/>
  <c r="BI315" i="279"/>
  <c r="G61" i="168"/>
  <c r="BA200" i="280"/>
  <c r="AY189"/>
  <c r="BB146"/>
  <c r="BB147"/>
  <c r="I108" i="154"/>
  <c r="I328" s="1"/>
  <c r="I329" s="1"/>
  <c r="I330" s="1"/>
  <c r="BG200" i="280"/>
  <c r="V33" i="260"/>
  <c r="G29" i="245"/>
  <c r="G21"/>
  <c r="G39" s="1"/>
  <c r="G30"/>
  <c r="J190" i="272"/>
  <c r="J209"/>
  <c r="N464" i="271"/>
  <c r="N484"/>
  <c r="N486"/>
  <c r="F580" i="270"/>
  <c r="F578"/>
  <c r="F581"/>
  <c r="F579"/>
  <c r="O522"/>
  <c r="O520"/>
  <c r="O523"/>
  <c r="O521"/>
  <c r="F433" i="271"/>
  <c r="F463"/>
  <c r="F474"/>
  <c r="F477"/>
  <c r="F428"/>
  <c r="M193" i="272"/>
  <c r="M189"/>
  <c r="M201"/>
  <c r="M166"/>
  <c r="F464" i="271"/>
  <c r="F484"/>
  <c r="F487" s="1"/>
  <c r="F486"/>
  <c r="M464"/>
  <c r="M486"/>
  <c r="M484"/>
  <c r="M487" s="1"/>
  <c r="F618" i="270"/>
  <c r="F616"/>
  <c r="F619"/>
  <c r="F617"/>
  <c r="L522"/>
  <c r="L520"/>
  <c r="L523"/>
  <c r="L521"/>
  <c r="N522"/>
  <c r="N523"/>
  <c r="N521"/>
  <c r="N520"/>
  <c r="G522"/>
  <c r="G521"/>
  <c r="G520"/>
  <c r="G523"/>
  <c r="G599"/>
  <c r="G598"/>
  <c r="G597"/>
  <c r="G600"/>
  <c r="G580"/>
  <c r="G578"/>
  <c r="G579"/>
  <c r="G581"/>
  <c r="L256" i="187"/>
  <c r="L271" s="1"/>
  <c r="L258"/>
  <c r="L280" s="1"/>
  <c r="I464" i="271"/>
  <c r="I484"/>
  <c r="I487" s="1"/>
  <c r="I486"/>
  <c r="J464"/>
  <c r="J484"/>
  <c r="J487" s="1"/>
  <c r="J486"/>
  <c r="I522" i="270"/>
  <c r="I520"/>
  <c r="I523"/>
  <c r="I521"/>
  <c r="K522"/>
  <c r="K520"/>
  <c r="K521"/>
  <c r="K523"/>
  <c r="J193" i="272"/>
  <c r="J189"/>
  <c r="J166"/>
  <c r="J201"/>
  <c r="K190"/>
  <c r="K209"/>
  <c r="L464" i="271"/>
  <c r="L484"/>
  <c r="L487" s="1"/>
  <c r="L486"/>
  <c r="H522" i="270"/>
  <c r="H520"/>
  <c r="H523"/>
  <c r="H521"/>
  <c r="F561"/>
  <c r="F560"/>
  <c r="F559"/>
  <c r="F562"/>
  <c r="J522"/>
  <c r="J520"/>
  <c r="J523"/>
  <c r="J521"/>
  <c r="M522"/>
  <c r="M520"/>
  <c r="M523"/>
  <c r="M521"/>
  <c r="G618"/>
  <c r="G616"/>
  <c r="G617"/>
  <c r="G619"/>
  <c r="G541"/>
  <c r="G539"/>
  <c r="G540"/>
  <c r="G542"/>
  <c r="G503"/>
  <c r="G501"/>
  <c r="G502"/>
  <c r="G504"/>
  <c r="M436" i="271"/>
  <c r="M465"/>
  <c r="M493"/>
  <c r="G464"/>
  <c r="G484"/>
  <c r="G486"/>
  <c r="F541" i="270"/>
  <c r="F539"/>
  <c r="F542"/>
  <c r="F540"/>
  <c r="H464" i="271"/>
  <c r="H486"/>
  <c r="H484"/>
  <c r="H487" s="1"/>
  <c r="L193" i="272"/>
  <c r="L189"/>
  <c r="L166"/>
  <c r="L201"/>
  <c r="F503" i="270"/>
  <c r="F501"/>
  <c r="F504"/>
  <c r="F502"/>
  <c r="G561"/>
  <c r="G559"/>
  <c r="G560"/>
  <c r="G562"/>
  <c r="J297" i="133"/>
  <c r="J259"/>
  <c r="J298" s="1"/>
  <c r="AC71" i="258"/>
  <c r="AS71"/>
  <c r="BU71" i="259"/>
  <c r="CC71" i="262"/>
  <c r="BV71" i="257"/>
  <c r="DB71" i="258"/>
  <c r="CN71" i="259"/>
  <c r="R68" i="255"/>
  <c r="R52" i="258"/>
  <c r="I35" i="237"/>
  <c r="K91" i="234"/>
  <c r="H495" i="270"/>
  <c r="F436" i="271"/>
  <c r="F465"/>
  <c r="F493"/>
  <c r="F522" i="270"/>
  <c r="F520"/>
  <c r="F523"/>
  <c r="F521"/>
  <c r="F104" i="244"/>
  <c r="L104"/>
  <c r="O104"/>
  <c r="F51" i="272"/>
  <c r="F84" s="1"/>
  <c r="F162" s="1"/>
  <c r="G84"/>
  <c r="G162" s="1"/>
  <c r="N190"/>
  <c r="N209"/>
  <c r="O140" i="191"/>
  <c r="N140"/>
  <c r="L140"/>
  <c r="M140"/>
  <c r="J140"/>
  <c r="I140"/>
  <c r="G140"/>
  <c r="G141" s="1"/>
  <c r="F140"/>
  <c r="F141" s="1"/>
  <c r="F161" s="1"/>
  <c r="K140"/>
  <c r="H140"/>
  <c r="H312" i="270"/>
  <c r="H336" s="1"/>
  <c r="J311"/>
  <c r="F311"/>
  <c r="O313"/>
  <c r="O312"/>
  <c r="G251"/>
  <c r="G310"/>
  <c r="Q320"/>
  <c r="H313"/>
  <c r="H337" s="1"/>
  <c r="N311"/>
  <c r="C31" i="269"/>
  <c r="M251" i="270"/>
  <c r="M310"/>
  <c r="F313"/>
  <c r="F140"/>
  <c r="F141"/>
  <c r="I365" i="271"/>
  <c r="I422" s="1"/>
  <c r="I367"/>
  <c r="I424" s="1"/>
  <c r="I366"/>
  <c r="I423" s="1"/>
  <c r="H9" i="12"/>
  <c r="G9"/>
  <c r="G86" i="272"/>
  <c r="G164" s="1"/>
  <c r="F53"/>
  <c r="F86" s="1"/>
  <c r="F164" s="1"/>
  <c r="H82" i="187"/>
  <c r="H86" s="1"/>
  <c r="H187" s="1"/>
  <c r="H223" s="1"/>
  <c r="H224" s="1"/>
  <c r="H83"/>
  <c r="H84"/>
  <c r="H85"/>
  <c r="L192" i="272"/>
  <c r="L171"/>
  <c r="L208"/>
  <c r="M192"/>
  <c r="M208"/>
  <c r="M171"/>
  <c r="G252" i="187"/>
  <c r="G437" i="271"/>
  <c r="G539"/>
  <c r="K347" i="154"/>
  <c r="K349" s="1"/>
  <c r="I347"/>
  <c r="I349" s="1"/>
  <c r="F90" i="236"/>
  <c r="F91"/>
  <c r="J191" i="272"/>
  <c r="J172"/>
  <c r="J216"/>
  <c r="J273"/>
  <c r="L191"/>
  <c r="L172"/>
  <c r="L216"/>
  <c r="L273"/>
  <c r="G89" i="197"/>
  <c r="G104"/>
  <c r="G129" i="200"/>
  <c r="F123"/>
  <c r="G126" i="133"/>
  <c r="G129"/>
  <c r="G128"/>
  <c r="G148" s="1"/>
  <c r="G127"/>
  <c r="O464" i="271"/>
  <c r="O484"/>
  <c r="O486"/>
  <c r="O93" i="244"/>
  <c r="O117" s="1"/>
  <c r="BF79" i="277"/>
  <c r="BF81" s="1"/>
  <c r="AC71" i="261"/>
  <c r="AK71" i="260"/>
  <c r="CS71" i="255"/>
  <c r="CR71" i="257"/>
  <c r="AD71" i="262"/>
  <c r="AD63"/>
  <c r="BX71" i="255"/>
  <c r="CE71"/>
  <c r="DF71" i="261"/>
  <c r="CM71" i="262"/>
  <c r="BB71" i="258"/>
  <c r="AZ71" i="256"/>
  <c r="R52"/>
  <c r="R52" i="257"/>
  <c r="J34" i="236"/>
  <c r="B75" i="269"/>
  <c r="B79"/>
  <c r="I19" i="278"/>
  <c r="D19"/>
  <c r="D18"/>
  <c r="D17"/>
  <c r="D20"/>
  <c r="I20"/>
  <c r="AM21" i="280"/>
  <c r="AQ21"/>
  <c r="L46" i="198"/>
  <c r="L44"/>
  <c r="H46"/>
  <c r="H44"/>
  <c r="F127" i="189"/>
  <c r="E156" s="1"/>
  <c r="F38"/>
  <c r="F132" s="1"/>
  <c r="I164"/>
  <c r="J127"/>
  <c r="I156" s="1"/>
  <c r="J38"/>
  <c r="J132" s="1"/>
  <c r="N164"/>
  <c r="G171" i="184"/>
  <c r="F114"/>
  <c r="G174" s="1"/>
  <c r="G175" s="1"/>
  <c r="L29" i="48"/>
  <c r="L33" s="1"/>
  <c r="L19"/>
  <c r="H19"/>
  <c r="H29"/>
  <c r="H33" s="1"/>
  <c r="G55" i="269"/>
  <c r="H111" i="48"/>
  <c r="H163"/>
  <c r="H66"/>
  <c r="J111"/>
  <c r="J163"/>
  <c r="J66"/>
  <c r="O111"/>
  <c r="O163"/>
  <c r="O66"/>
  <c r="F387" i="159"/>
  <c r="I235"/>
  <c r="I236"/>
  <c r="J234"/>
  <c r="O103" i="153"/>
  <c r="O126" s="1"/>
  <c r="M99"/>
  <c r="M103" s="1"/>
  <c r="M126" s="1"/>
  <c r="M127" s="1"/>
  <c r="N99"/>
  <c r="N103" s="1"/>
  <c r="N126" s="1"/>
  <c r="N127" s="1"/>
  <c r="K99"/>
  <c r="L99"/>
  <c r="L103" s="1"/>
  <c r="L126" s="1"/>
  <c r="K102" i="154"/>
  <c r="K262" s="1"/>
  <c r="I291"/>
  <c r="I292" s="1"/>
  <c r="I294" s="1"/>
  <c r="J436" i="271"/>
  <c r="J465"/>
  <c r="J493"/>
  <c r="J93" i="244"/>
  <c r="J117" s="1"/>
  <c r="M93"/>
  <c r="M117" s="1"/>
  <c r="BH79" i="277"/>
  <c r="BH81" s="1"/>
  <c r="I30" i="133"/>
  <c r="I19"/>
  <c r="I32" s="1"/>
  <c r="AD71" i="248"/>
  <c r="AD63"/>
  <c r="CM71"/>
  <c r="DE71" i="255"/>
  <c r="CT71" i="263"/>
  <c r="CI71" i="257"/>
  <c r="CI71" i="248"/>
  <c r="CV71" i="262"/>
  <c r="CT71" i="255"/>
  <c r="CD71" i="259"/>
  <c r="CK71" i="262"/>
  <c r="CT71" i="257"/>
  <c r="CA71" i="255"/>
  <c r="DA71" i="248"/>
  <c r="CD71" i="258"/>
  <c r="CK71" i="261"/>
  <c r="CF71" i="259"/>
  <c r="CL71" i="261"/>
  <c r="BS71" i="262"/>
  <c r="BK23" i="261"/>
  <c r="N34" i="237"/>
  <c r="H191" i="272"/>
  <c r="H172"/>
  <c r="H273"/>
  <c r="H216"/>
  <c r="H436" i="271"/>
  <c r="H465"/>
  <c r="H493"/>
  <c r="F333" i="159"/>
  <c r="F440" s="1"/>
  <c r="F342"/>
  <c r="F449" s="1"/>
  <c r="J371" i="270"/>
  <c r="J376"/>
  <c r="J378"/>
  <c r="J374"/>
  <c r="J375"/>
  <c r="J377"/>
  <c r="J373"/>
  <c r="J387" s="1"/>
  <c r="J372"/>
  <c r="J193" i="187"/>
  <c r="I100" i="182"/>
  <c r="I102" s="1"/>
  <c r="I114"/>
  <c r="K111" i="153"/>
  <c r="L111"/>
  <c r="M111"/>
  <c r="J111"/>
  <c r="I111" s="1"/>
  <c r="N111"/>
  <c r="I42" i="196"/>
  <c r="G42"/>
  <c r="I41"/>
  <c r="M41"/>
  <c r="J42"/>
  <c r="N42"/>
  <c r="K41"/>
  <c r="F39"/>
  <c r="F43" s="1"/>
  <c r="F69" s="1"/>
  <c r="F35"/>
  <c r="H39"/>
  <c r="H43" s="1"/>
  <c r="H69" s="1"/>
  <c r="H35"/>
  <c r="O39"/>
  <c r="O43" s="1"/>
  <c r="O69" s="1"/>
  <c r="O35"/>
  <c r="J135" i="184"/>
  <c r="I189"/>
  <c r="O102" i="154"/>
  <c r="O262" s="1"/>
  <c r="G149" i="133"/>
  <c r="F289"/>
  <c r="O162" i="272"/>
  <c r="I316" i="271"/>
  <c r="I349" s="1"/>
  <c r="I406" s="1"/>
  <c r="H314"/>
  <c r="H347" s="1"/>
  <c r="H315"/>
  <c r="H348" s="1"/>
  <c r="H405" s="1"/>
  <c r="F142" i="189"/>
  <c r="G79"/>
  <c r="G77"/>
  <c r="K142"/>
  <c r="L77"/>
  <c r="L79"/>
  <c r="J142"/>
  <c r="K79"/>
  <c r="K77"/>
  <c r="K154"/>
  <c r="L192"/>
  <c r="N154"/>
  <c r="N158" s="1"/>
  <c r="N162" s="1"/>
  <c r="O172" s="1"/>
  <c r="O192"/>
  <c r="H178" i="238"/>
  <c r="H231" s="1"/>
  <c r="H242" s="1"/>
  <c r="H230"/>
  <c r="N227"/>
  <c r="N270" s="1"/>
  <c r="O227"/>
  <c r="O270" s="1"/>
  <c r="AB71" i="256"/>
  <c r="CC71" i="255"/>
  <c r="CJ71"/>
  <c r="CY71" i="258"/>
  <c r="AC71" i="262"/>
  <c r="CW71" i="255"/>
  <c r="CV71" i="258"/>
  <c r="CA71" i="257"/>
  <c r="CA71" i="248"/>
  <c r="CF71" i="262"/>
  <c r="CP71" i="255"/>
  <c r="BZ71" i="259"/>
  <c r="CG71" i="262"/>
  <c r="BZ71" i="257"/>
  <c r="CZ71" i="256"/>
  <c r="CG71" i="248"/>
  <c r="DC71" i="259"/>
  <c r="CJ71" i="260"/>
  <c r="DF71" i="262"/>
  <c r="BZ71" i="263"/>
  <c r="CB71" i="259"/>
  <c r="CX71" i="261"/>
  <c r="CE71" i="262"/>
  <c r="BK23" i="256"/>
  <c r="R52" i="262"/>
  <c r="BG23" i="255"/>
  <c r="N51" i="235"/>
  <c r="N42"/>
  <c r="L37" i="233"/>
  <c r="L46"/>
  <c r="K142" i="271"/>
  <c r="J143"/>
  <c r="N29" i="48"/>
  <c r="N33" s="1"/>
  <c r="H553" i="270"/>
  <c r="G280" i="154"/>
  <c r="G302" s="1"/>
  <c r="F280"/>
  <c r="F302" s="1"/>
  <c r="F65" i="157"/>
  <c r="F28"/>
  <c r="F31"/>
  <c r="F41" s="1"/>
  <c r="F30"/>
  <c r="F40" s="1"/>
  <c r="F29"/>
  <c r="F39" s="1"/>
  <c r="G478" i="271"/>
  <c r="F93" i="244"/>
  <c r="F117" s="1"/>
  <c r="H351" i="271"/>
  <c r="H408" s="1"/>
  <c r="H350"/>
  <c r="H407" s="1"/>
  <c r="I112" i="194"/>
  <c r="O74"/>
  <c r="O110" s="1"/>
  <c r="N112"/>
  <c r="K111"/>
  <c r="H33"/>
  <c r="L33"/>
  <c r="K109"/>
  <c r="K113" s="1"/>
  <c r="K33"/>
  <c r="M33"/>
  <c r="I399" i="270"/>
  <c r="H399"/>
  <c r="F399"/>
  <c r="K300" i="154"/>
  <c r="H347"/>
  <c r="H349" s="1"/>
  <c r="F347"/>
  <c r="F349" s="1"/>
  <c r="F110" i="233"/>
  <c r="F109"/>
  <c r="BB79" i="277"/>
  <c r="BB81" s="1"/>
  <c r="M134" i="200"/>
  <c r="N134"/>
  <c r="F288" i="133"/>
  <c r="I43" i="236"/>
  <c r="I47" s="1"/>
  <c r="I74" s="1"/>
  <c r="I79" s="1"/>
  <c r="H37"/>
  <c r="H70" s="1"/>
  <c r="I33"/>
  <c r="O417" i="271"/>
  <c r="O476" s="1"/>
  <c r="H251" i="187"/>
  <c r="CZ71" i="262"/>
  <c r="CL71" i="256"/>
  <c r="CC71" i="259"/>
  <c r="CU71" i="261"/>
  <c r="CN71" i="263"/>
  <c r="CL71" i="258"/>
  <c r="CW71" i="263"/>
  <c r="BX71" i="259"/>
  <c r="BK23" i="258"/>
  <c r="BG23" i="263"/>
  <c r="J122" i="271"/>
  <c r="K78"/>
  <c r="I494" i="270"/>
  <c r="J385"/>
  <c r="I104" i="244"/>
  <c r="J104"/>
  <c r="H58" i="184"/>
  <c r="I58" s="1"/>
  <c r="J58" s="1"/>
  <c r="H57"/>
  <c r="I57" s="1"/>
  <c r="J57" s="1"/>
  <c r="H190" i="272"/>
  <c r="H209"/>
  <c r="G433" i="271"/>
  <c r="G463"/>
  <c r="G474"/>
  <c r="G477"/>
  <c r="G428"/>
  <c r="F50" i="272"/>
  <c r="F83" s="1"/>
  <c r="F161" s="1"/>
  <c r="G83"/>
  <c r="G161" s="1"/>
  <c r="I193"/>
  <c r="I189"/>
  <c r="I166"/>
  <c r="I201"/>
  <c r="K193"/>
  <c r="K189"/>
  <c r="K201"/>
  <c r="K166"/>
  <c r="N193"/>
  <c r="N189"/>
  <c r="N201"/>
  <c r="N166"/>
  <c r="G59" i="184"/>
  <c r="G173" s="1"/>
  <c r="F344" i="159"/>
  <c r="F451" s="1"/>
  <c r="F335"/>
  <c r="F442" s="1"/>
  <c r="H572" i="270"/>
  <c r="H251"/>
  <c r="H310"/>
  <c r="F213"/>
  <c r="F212"/>
  <c r="F159"/>
  <c r="F158"/>
  <c r="F123"/>
  <c r="F122"/>
  <c r="L311"/>
  <c r="J313"/>
  <c r="K251"/>
  <c r="K310"/>
  <c r="E114" i="269"/>
  <c r="C118"/>
  <c r="C120" s="1"/>
  <c r="E111"/>
  <c r="I554" i="272"/>
  <c r="L616" i="48"/>
  <c r="M616"/>
  <c r="K710" i="271"/>
  <c r="J689" i="203"/>
  <c r="F689"/>
  <c r="O556" i="196"/>
  <c r="N554" i="272"/>
  <c r="G554"/>
  <c r="N710" i="271"/>
  <c r="G710"/>
  <c r="M556" i="196"/>
  <c r="M661" i="201"/>
  <c r="J661"/>
  <c r="K554" i="272"/>
  <c r="F616" i="48"/>
  <c r="L661" i="201"/>
  <c r="H710" i="271"/>
  <c r="O554" i="272"/>
  <c r="H556" i="196"/>
  <c r="K556"/>
  <c r="M554" i="272"/>
  <c r="G661" i="201"/>
  <c r="N689" i="203"/>
  <c r="H661" i="201"/>
  <c r="J556" i="196"/>
  <c r="K661" i="201"/>
  <c r="O710" i="271"/>
  <c r="H616" i="48"/>
  <c r="O616"/>
  <c r="J710" i="271"/>
  <c r="L554" i="272"/>
  <c r="I710" i="271"/>
  <c r="G84" i="12"/>
  <c r="I556" i="196"/>
  <c r="O661" i="201"/>
  <c r="K689" i="203"/>
  <c r="H689"/>
  <c r="F661" i="201"/>
  <c r="M710" i="271"/>
  <c r="G689" i="203"/>
  <c r="J554" i="272"/>
  <c r="O689" i="203"/>
  <c r="I689"/>
  <c r="F556" i="196"/>
  <c r="I616" i="48"/>
  <c r="I661" i="201"/>
  <c r="L710" i="271"/>
  <c r="G616" i="48"/>
  <c r="N616"/>
  <c r="K616"/>
  <c r="H554" i="272"/>
  <c r="N556" i="196"/>
  <c r="F710" i="271"/>
  <c r="L689" i="203"/>
  <c r="J616" i="48"/>
  <c r="L556" i="196"/>
  <c r="F554" i="272"/>
  <c r="N661" i="201"/>
  <c r="G556" i="196"/>
  <c r="M689" i="203"/>
  <c r="J121" i="271"/>
  <c r="K77"/>
  <c r="I23" i="184"/>
  <c r="I149" s="1"/>
  <c r="J19"/>
  <c r="G8" i="12"/>
  <c r="H8"/>
  <c r="H192" i="272"/>
  <c r="H208"/>
  <c r="H171"/>
  <c r="N192"/>
  <c r="N208"/>
  <c r="N171"/>
  <c r="O275" i="159"/>
  <c r="L275"/>
  <c r="J275"/>
  <c r="M275"/>
  <c r="N275"/>
  <c r="I275"/>
  <c r="G275"/>
  <c r="F275"/>
  <c r="K275"/>
  <c r="H275"/>
  <c r="H339" s="1"/>
  <c r="H446" s="1"/>
  <c r="H511" s="1"/>
  <c r="G286"/>
  <c r="I311"/>
  <c r="M286"/>
  <c r="O286"/>
  <c r="N311"/>
  <c r="G311"/>
  <c r="M299"/>
  <c r="K311"/>
  <c r="L286"/>
  <c r="L299"/>
  <c r="I299"/>
  <c r="G299"/>
  <c r="M311"/>
  <c r="K299"/>
  <c r="J299"/>
  <c r="L311"/>
  <c r="H299"/>
  <c r="H373" s="1"/>
  <c r="F311"/>
  <c r="H311"/>
  <c r="N286"/>
  <c r="N299"/>
  <c r="H286"/>
  <c r="K286"/>
  <c r="O299"/>
  <c r="F299"/>
  <c r="I286"/>
  <c r="O311"/>
  <c r="F286"/>
  <c r="J286"/>
  <c r="J311"/>
  <c r="O82" i="187"/>
  <c r="O86" s="1"/>
  <c r="O187" s="1"/>
  <c r="O223" s="1"/>
  <c r="O224" s="1"/>
  <c r="O83"/>
  <c r="O84"/>
  <c r="O85"/>
  <c r="M277" i="154"/>
  <c r="M278" s="1"/>
  <c r="M280" s="1"/>
  <c r="M265"/>
  <c r="M270" s="1"/>
  <c r="M272" s="1"/>
  <c r="M273" s="1"/>
  <c r="M319"/>
  <c r="L265"/>
  <c r="L270" s="1"/>
  <c r="L272" s="1"/>
  <c r="L273" s="1"/>
  <c r="L277"/>
  <c r="L278" s="1"/>
  <c r="L280" s="1"/>
  <c r="L319"/>
  <c r="G331" i="159"/>
  <c r="G438" s="1"/>
  <c r="G340"/>
  <c r="G447" s="1"/>
  <c r="G106" i="234"/>
  <c r="K93" i="244"/>
  <c r="K117" s="1"/>
  <c r="BI79" i="277"/>
  <c r="O478" i="271"/>
  <c r="O277" i="159"/>
  <c r="N277"/>
  <c r="M277"/>
  <c r="L277"/>
  <c r="K277"/>
  <c r="I277"/>
  <c r="J277"/>
  <c r="F277"/>
  <c r="H277"/>
  <c r="H341" s="1"/>
  <c r="H448" s="1"/>
  <c r="G277"/>
  <c r="N313"/>
  <c r="I313"/>
  <c r="K313"/>
  <c r="I301"/>
  <c r="K288"/>
  <c r="O301"/>
  <c r="N288"/>
  <c r="G301"/>
  <c r="M313"/>
  <c r="L313"/>
  <c r="J288"/>
  <c r="G288"/>
  <c r="L301"/>
  <c r="O288"/>
  <c r="F301"/>
  <c r="L288"/>
  <c r="H313"/>
  <c r="J313"/>
  <c r="M301"/>
  <c r="F313"/>
  <c r="K301"/>
  <c r="J301"/>
  <c r="H288"/>
  <c r="H353" s="1"/>
  <c r="G313"/>
  <c r="I288"/>
  <c r="M288"/>
  <c r="N301"/>
  <c r="H301"/>
  <c r="O313"/>
  <c r="F288"/>
  <c r="AI71" i="256"/>
  <c r="AI63"/>
  <c r="AI71" i="258"/>
  <c r="AI63"/>
  <c r="AI71" i="260"/>
  <c r="AI63"/>
  <c r="AI71" i="262"/>
  <c r="AI63"/>
  <c r="BD71" i="263"/>
  <c r="CD71" i="256"/>
  <c r="CB71" i="262"/>
  <c r="CE71" i="261"/>
  <c r="CP71"/>
  <c r="BW71" i="262"/>
  <c r="R52" i="255"/>
  <c r="R52" i="248"/>
  <c r="P4" i="228"/>
  <c r="G8" i="35"/>
  <c r="BB411" i="277"/>
  <c r="F9" i="35"/>
  <c r="BE71" i="280"/>
  <c r="F340" i="159"/>
  <c r="F447" s="1"/>
  <c r="F463" s="1"/>
  <c r="I7" i="278"/>
  <c r="AR21" i="280"/>
  <c r="D5" i="278"/>
  <c r="D10"/>
  <c r="AL21" i="280"/>
  <c r="AP21"/>
  <c r="K46" i="198"/>
  <c r="K44"/>
  <c r="G46"/>
  <c r="G44"/>
  <c r="K127" i="189"/>
  <c r="J156" s="1"/>
  <c r="K38"/>
  <c r="K132" s="1"/>
  <c r="L127"/>
  <c r="K156" s="1"/>
  <c r="K164" s="1"/>
  <c r="L38"/>
  <c r="L132" s="1"/>
  <c r="H59" i="188"/>
  <c r="G54"/>
  <c r="H106" i="234"/>
  <c r="I19" i="48"/>
  <c r="I29"/>
  <c r="I33" s="1"/>
  <c r="O29"/>
  <c r="O33" s="1"/>
  <c r="O19"/>
  <c r="F111"/>
  <c r="F66"/>
  <c r="F163"/>
  <c r="M111"/>
  <c r="M66"/>
  <c r="M163"/>
  <c r="K123" i="271"/>
  <c r="L79"/>
  <c r="F365" i="159"/>
  <c r="K100" i="182"/>
  <c r="K102" s="1"/>
  <c r="K114"/>
  <c r="J97" i="188"/>
  <c r="H383" i="159"/>
  <c r="H363"/>
  <c r="H362"/>
  <c r="H406"/>
  <c r="H404"/>
  <c r="H381"/>
  <c r="H387"/>
  <c r="H408"/>
  <c r="H365"/>
  <c r="H405"/>
  <c r="H384"/>
  <c r="H360"/>
  <c r="H361"/>
  <c r="H409"/>
  <c r="H407"/>
  <c r="H385"/>
  <c r="H342"/>
  <c r="H449" s="1"/>
  <c r="H344"/>
  <c r="H451" s="1"/>
  <c r="H343"/>
  <c r="H450" s="1"/>
  <c r="H340"/>
  <c r="H447" s="1"/>
  <c r="G476" i="271"/>
  <c r="F252" i="187"/>
  <c r="BC79" i="277"/>
  <c r="BC81" s="1"/>
  <c r="BE79"/>
  <c r="BE81" s="1"/>
  <c r="N93" i="244"/>
  <c r="N117" s="1"/>
  <c r="K89" i="197"/>
  <c r="K104"/>
  <c r="O100" i="190"/>
  <c r="O99"/>
  <c r="J46" i="234"/>
  <c r="J39" i="235"/>
  <c r="J48" s="1"/>
  <c r="J52" s="1"/>
  <c r="J111" s="1"/>
  <c r="J116" s="1"/>
  <c r="I43"/>
  <c r="I323" i="271"/>
  <c r="H319"/>
  <c r="H352" s="1"/>
  <c r="H409" s="1"/>
  <c r="H320"/>
  <c r="H353" s="1"/>
  <c r="H410" s="1"/>
  <c r="H322"/>
  <c r="H355" s="1"/>
  <c r="H412" s="1"/>
  <c r="H435" s="1"/>
  <c r="H321"/>
  <c r="H354" s="1"/>
  <c r="H411" s="1"/>
  <c r="H356"/>
  <c r="H413" s="1"/>
  <c r="AD71" i="257"/>
  <c r="AD63"/>
  <c r="AC71" i="260"/>
  <c r="AI71" i="259"/>
  <c r="AI63"/>
  <c r="AK71" i="257"/>
  <c r="AD71" i="261"/>
  <c r="AD63"/>
  <c r="BD71" i="260"/>
  <c r="BT71" i="262"/>
  <c r="CL71" i="263"/>
  <c r="BY71" i="255"/>
  <c r="CW71" i="259"/>
  <c r="CV71" i="255"/>
  <c r="CU71" i="258"/>
  <c r="CD71" i="255"/>
  <c r="CD71" i="257"/>
  <c r="CK71" i="248"/>
  <c r="DG71" i="259"/>
  <c r="CN71" i="260"/>
  <c r="BU71" i="261"/>
  <c r="CS71" i="260"/>
  <c r="BV71" i="261"/>
  <c r="CR71" i="263"/>
  <c r="BK23" i="257"/>
  <c r="R68" i="262"/>
  <c r="K35" i="236"/>
  <c r="L36" i="237"/>
  <c r="BF4" i="280"/>
  <c r="AY79" i="277"/>
  <c r="O279" i="159"/>
  <c r="N279"/>
  <c r="M279"/>
  <c r="L279"/>
  <c r="K279"/>
  <c r="J279"/>
  <c r="G279"/>
  <c r="F279"/>
  <c r="I279"/>
  <c r="H279"/>
  <c r="G315"/>
  <c r="F315"/>
  <c r="J290"/>
  <c r="M303"/>
  <c r="I303"/>
  <c r="K290"/>
  <c r="L290"/>
  <c r="F303"/>
  <c r="M315"/>
  <c r="O315"/>
  <c r="F290"/>
  <c r="L303"/>
  <c r="H290"/>
  <c r="H364" s="1"/>
  <c r="M290"/>
  <c r="N290"/>
  <c r="H315"/>
  <c r="J315"/>
  <c r="I290"/>
  <c r="K303"/>
  <c r="O303"/>
  <c r="J303"/>
  <c r="I315"/>
  <c r="N315"/>
  <c r="G290"/>
  <c r="K315"/>
  <c r="O290"/>
  <c r="L315"/>
  <c r="N303"/>
  <c r="H303"/>
  <c r="H386" s="1"/>
  <c r="G303"/>
  <c r="I191" i="272"/>
  <c r="I172"/>
  <c r="I273"/>
  <c r="I216"/>
  <c r="I436" i="271"/>
  <c r="I465"/>
  <c r="I493"/>
  <c r="L436"/>
  <c r="L465"/>
  <c r="L493"/>
  <c r="O436"/>
  <c r="O465"/>
  <c r="O493"/>
  <c r="I609" i="270"/>
  <c r="J391"/>
  <c r="L102" i="153"/>
  <c r="K102"/>
  <c r="M102"/>
  <c r="J102"/>
  <c r="I102" s="1"/>
  <c r="N102"/>
  <c r="K100"/>
  <c r="J100" s="1"/>
  <c r="I100" s="1"/>
  <c r="N100"/>
  <c r="L100"/>
  <c r="H100"/>
  <c r="G100"/>
  <c r="F100"/>
  <c r="M100"/>
  <c r="BD4" i="279"/>
  <c r="L41" i="196"/>
  <c r="J18" i="269"/>
  <c r="G40" i="196"/>
  <c r="I39"/>
  <c r="I43" s="1"/>
  <c r="I69" s="1"/>
  <c r="I35"/>
  <c r="J39"/>
  <c r="J43" s="1"/>
  <c r="J69" s="1"/>
  <c r="J35"/>
  <c r="J286" i="154"/>
  <c r="J287" s="1"/>
  <c r="J46" i="184"/>
  <c r="J50" s="1"/>
  <c r="J190" s="1"/>
  <c r="I50"/>
  <c r="I190" s="1"/>
  <c r="BG79" i="277"/>
  <c r="BG81" s="1"/>
  <c r="O163" i="272"/>
  <c r="O270"/>
  <c r="G142" i="189"/>
  <c r="H77"/>
  <c r="H79"/>
  <c r="H154"/>
  <c r="I192"/>
  <c r="L154"/>
  <c r="M192"/>
  <c r="L142"/>
  <c r="M77"/>
  <c r="M79"/>
  <c r="N142"/>
  <c r="O77"/>
  <c r="O79"/>
  <c r="H227" i="238"/>
  <c r="H270" s="1"/>
  <c r="G178"/>
  <c r="G231" s="1"/>
  <c r="G242" s="1"/>
  <c r="G230"/>
  <c r="I178"/>
  <c r="I231" s="1"/>
  <c r="I242" s="1"/>
  <c r="I230"/>
  <c r="L227"/>
  <c r="L270" s="1"/>
  <c r="L178"/>
  <c r="L231" s="1"/>
  <c r="L242" s="1"/>
  <c r="L230"/>
  <c r="O178"/>
  <c r="O231" s="1"/>
  <c r="O242" s="1"/>
  <c r="O230"/>
  <c r="AC71" i="259"/>
  <c r="AS71" i="255"/>
  <c r="BD71" i="261"/>
  <c r="CT71" i="260"/>
  <c r="CT71" i="256"/>
  <c r="CS71" i="259"/>
  <c r="DA71" i="256"/>
  <c r="CG71" i="259"/>
  <c r="CN71" i="255"/>
  <c r="CM71" i="258"/>
  <c r="BZ71" i="255"/>
  <c r="DA71" i="263"/>
  <c r="DC71" i="255"/>
  <c r="CJ71" i="256"/>
  <c r="DF71" i="258"/>
  <c r="CM71" i="259"/>
  <c r="BT71" i="260"/>
  <c r="CP71" i="262"/>
  <c r="CE71" i="258"/>
  <c r="DE71" i="260"/>
  <c r="CH71" i="261"/>
  <c r="BK23" i="263"/>
  <c r="BK23" i="255"/>
  <c r="R52" i="261"/>
  <c r="M51" i="235"/>
  <c r="J38" i="234"/>
  <c r="I41" i="235"/>
  <c r="I50"/>
  <c r="H121"/>
  <c r="H141" s="1"/>
  <c r="G160" i="191"/>
  <c r="F437" i="271"/>
  <c r="F539"/>
  <c r="G432"/>
  <c r="G475"/>
  <c r="H246" i="154"/>
  <c r="G331"/>
  <c r="H63" i="157"/>
  <c r="G65"/>
  <c r="G28" s="1"/>
  <c r="H422" i="271"/>
  <c r="F251" i="187"/>
  <c r="K5" i="269"/>
  <c r="K110" i="194"/>
  <c r="F74"/>
  <c r="F110" s="1"/>
  <c r="L111"/>
  <c r="M111"/>
  <c r="J112"/>
  <c r="E5" i="269"/>
  <c r="F80" i="194"/>
  <c r="F112" s="1"/>
  <c r="H77"/>
  <c r="H111" s="1"/>
  <c r="F397" i="270"/>
  <c r="G401"/>
  <c r="H45" i="194"/>
  <c r="H49" s="1"/>
  <c r="G49"/>
  <c r="H71"/>
  <c r="H81" s="1"/>
  <c r="G71"/>
  <c r="G81" s="1"/>
  <c r="F49"/>
  <c r="K71"/>
  <c r="K81" s="1"/>
  <c r="M71"/>
  <c r="M81" s="1"/>
  <c r="N71"/>
  <c r="N81" s="1"/>
  <c r="O71"/>
  <c r="O81" s="1"/>
  <c r="H102" i="154"/>
  <c r="H262" s="1"/>
  <c r="F131" i="235"/>
  <c r="F132"/>
  <c r="K134" i="200"/>
  <c r="L134"/>
  <c r="F130" i="133"/>
  <c r="H88" i="237"/>
  <c r="H90" s="1"/>
  <c r="H91" s="1"/>
  <c r="H113"/>
  <c r="O416" i="271"/>
  <c r="L87" i="197"/>
  <c r="F290" i="133"/>
  <c r="N88" i="190"/>
  <c r="F212" i="187"/>
  <c r="F240" s="1"/>
  <c r="K230"/>
  <c r="K239" s="1"/>
  <c r="I218"/>
  <c r="G230"/>
  <c r="G239" s="1"/>
  <c r="N206"/>
  <c r="L230"/>
  <c r="L239" s="1"/>
  <c r="K212"/>
  <c r="K240" s="1"/>
  <c r="J218"/>
  <c r="M218"/>
  <c r="M87" i="197"/>
  <c r="M95" i="182"/>
  <c r="M98" s="1"/>
  <c r="F206" i="187"/>
  <c r="N218"/>
  <c r="K88" i="190"/>
  <c r="L212" i="187"/>
  <c r="L240" s="1"/>
  <c r="I230"/>
  <c r="I239" s="1"/>
  <c r="K206"/>
  <c r="J230"/>
  <c r="J239" s="1"/>
  <c r="I212"/>
  <c r="I240" s="1"/>
  <c r="F87" i="197"/>
  <c r="O87"/>
  <c r="M88" i="190"/>
  <c r="L88"/>
  <c r="J95" i="182"/>
  <c r="J98" s="1"/>
  <c r="M212" i="187"/>
  <c r="M240" s="1"/>
  <c r="L206"/>
  <c r="J206"/>
  <c r="I88" i="190"/>
  <c r="G212" i="187"/>
  <c r="G240" s="1"/>
  <c r="F218"/>
  <c r="I206"/>
  <c r="H206"/>
  <c r="N87" i="197"/>
  <c r="N95" i="182"/>
  <c r="N98" s="1"/>
  <c r="L95"/>
  <c r="L98" s="1"/>
  <c r="K218" i="187"/>
  <c r="F186" i="200"/>
  <c r="M206" i="187"/>
  <c r="G206"/>
  <c r="H230"/>
  <c r="H239" s="1"/>
  <c r="G218"/>
  <c r="N212"/>
  <c r="N240" s="1"/>
  <c r="L218"/>
  <c r="I87" i="197"/>
  <c r="O230" i="187"/>
  <c r="O239" s="1"/>
  <c r="H92" i="233"/>
  <c r="M39" i="234"/>
  <c r="M48"/>
  <c r="J134" i="184"/>
  <c r="I172"/>
  <c r="M230" i="187"/>
  <c r="M239" s="1"/>
  <c r="N230"/>
  <c r="N239" s="1"/>
  <c r="BD71" i="255"/>
  <c r="AI71" i="261"/>
  <c r="AI63"/>
  <c r="AD71" i="255"/>
  <c r="AD63"/>
  <c r="DI68" i="262"/>
  <c r="CM71" i="261"/>
  <c r="CR71" i="262"/>
  <c r="DB71" i="257"/>
  <c r="CS71" i="248"/>
  <c r="BV71" i="258"/>
  <c r="CV71" i="260"/>
  <c r="DB71" i="262"/>
  <c r="BG23" i="257"/>
  <c r="BB71" i="263"/>
  <c r="BE64" i="279"/>
  <c r="I359" i="271"/>
  <c r="I416" s="1"/>
  <c r="I360"/>
  <c r="I417" s="1"/>
  <c r="I357"/>
  <c r="I414" s="1"/>
  <c r="J390" i="270"/>
  <c r="I590"/>
  <c r="G104" i="244"/>
  <c r="N104"/>
  <c r="E56" i="184"/>
  <c r="H56" s="1"/>
  <c r="I56" s="1"/>
  <c r="J56" s="1"/>
  <c r="E57"/>
  <c r="I190" i="272"/>
  <c r="I209"/>
  <c r="M190"/>
  <c r="M209"/>
  <c r="O115" i="191"/>
  <c r="N115"/>
  <c r="M115"/>
  <c r="L115"/>
  <c r="J115"/>
  <c r="K115"/>
  <c r="I115"/>
  <c r="H115"/>
  <c r="F115"/>
  <c r="G115"/>
  <c r="G116" s="1"/>
  <c r="E69" i="184"/>
  <c r="H151" s="1"/>
  <c r="H153" s="1"/>
  <c r="H160" s="1"/>
  <c r="F151"/>
  <c r="F153" s="1"/>
  <c r="F160" s="1"/>
  <c r="G151"/>
  <c r="G153" s="1"/>
  <c r="G160" s="1"/>
  <c r="I571" i="270"/>
  <c r="J389"/>
  <c r="N251"/>
  <c r="N310"/>
  <c r="L251"/>
  <c r="L310"/>
  <c r="I310"/>
  <c r="I251"/>
  <c r="O251"/>
  <c r="O310"/>
  <c r="F312"/>
  <c r="N323"/>
  <c r="Q319"/>
  <c r="J312"/>
  <c r="J251"/>
  <c r="J310"/>
  <c r="G312"/>
  <c r="O311"/>
  <c r="I311"/>
  <c r="F195"/>
  <c r="F194"/>
  <c r="C32" i="269"/>
  <c r="F251" i="270"/>
  <c r="F310"/>
  <c r="F105"/>
  <c r="F104"/>
  <c r="M313"/>
  <c r="G313"/>
  <c r="G337" s="1"/>
  <c r="C90" i="269"/>
  <c r="D113"/>
  <c r="K313" i="270"/>
  <c r="F177"/>
  <c r="F176"/>
  <c r="I356" i="271"/>
  <c r="I413" s="1"/>
  <c r="H152" i="184"/>
  <c r="G10" i="12"/>
  <c r="H10"/>
  <c r="G82" i="187"/>
  <c r="G86" s="1"/>
  <c r="G187" s="1"/>
  <c r="G223" s="1"/>
  <c r="G224" s="1"/>
  <c r="G83"/>
  <c r="G85"/>
  <c r="G84"/>
  <c r="I82"/>
  <c r="I86" s="1"/>
  <c r="I187" s="1"/>
  <c r="I223" s="1"/>
  <c r="I224" s="1"/>
  <c r="I83"/>
  <c r="I85"/>
  <c r="I84"/>
  <c r="N82"/>
  <c r="N86" s="1"/>
  <c r="N187" s="1"/>
  <c r="N223" s="1"/>
  <c r="N224" s="1"/>
  <c r="N83"/>
  <c r="N85"/>
  <c r="N84"/>
  <c r="J82"/>
  <c r="J86" s="1"/>
  <c r="J187" s="1"/>
  <c r="J223" s="1"/>
  <c r="J224" s="1"/>
  <c r="J84"/>
  <c r="J83"/>
  <c r="J85"/>
  <c r="I192" i="272"/>
  <c r="I171"/>
  <c r="I208"/>
  <c r="L82" i="187"/>
  <c r="L86" s="1"/>
  <c r="L187" s="1"/>
  <c r="L223" s="1"/>
  <c r="L224" s="1"/>
  <c r="L84"/>
  <c r="L85"/>
  <c r="L83"/>
  <c r="O347" i="154"/>
  <c r="O349" s="1"/>
  <c r="L347"/>
  <c r="L349" s="1"/>
  <c r="H100" i="182"/>
  <c r="H102" s="1"/>
  <c r="H114"/>
  <c r="BD79" i="277"/>
  <c r="BD81" s="1"/>
  <c r="M191" i="272"/>
  <c r="M172"/>
  <c r="M273"/>
  <c r="M216"/>
  <c r="H126" i="133"/>
  <c r="H129"/>
  <c r="H128"/>
  <c r="H127"/>
  <c r="O94" i="182"/>
  <c r="O95" s="1"/>
  <c r="O98" s="1"/>
  <c r="O104"/>
  <c r="O128" s="1"/>
  <c r="AD71" i="258"/>
  <c r="AD63"/>
  <c r="AB71"/>
  <c r="CJ71" i="262"/>
  <c r="DI68" i="261"/>
  <c r="CU71" i="248"/>
  <c r="BW71" i="261"/>
  <c r="CQ71" i="257"/>
  <c r="CQ71" i="248"/>
  <c r="CR71" i="256"/>
  <c r="CU71" i="259"/>
  <c r="BW71" i="258"/>
  <c r="BZ71" i="261"/>
  <c r="BK23" i="262"/>
  <c r="BB71" i="256"/>
  <c r="BA71" i="255"/>
  <c r="BG23" i="256"/>
  <c r="BG23" i="248"/>
  <c r="L39" i="48"/>
  <c r="L43" s="1"/>
  <c r="K43"/>
  <c r="I532" i="270"/>
  <c r="B90" i="269"/>
  <c r="D11" i="278"/>
  <c r="AO21" i="280"/>
  <c r="D7" i="278"/>
  <c r="N46" i="198"/>
  <c r="N44"/>
  <c r="J46"/>
  <c r="J44"/>
  <c r="F46"/>
  <c r="F44"/>
  <c r="G127" i="189"/>
  <c r="F156" s="1"/>
  <c r="F164" s="1"/>
  <c r="G38"/>
  <c r="G132" s="1"/>
  <c r="E164"/>
  <c r="J164"/>
  <c r="M127"/>
  <c r="L156" s="1"/>
  <c r="L164" s="1"/>
  <c r="M38"/>
  <c r="M132" s="1"/>
  <c r="E114" i="184"/>
  <c r="F174" s="1"/>
  <c r="F175" s="1"/>
  <c r="F171"/>
  <c r="F188" s="1"/>
  <c r="O46" i="198"/>
  <c r="O44"/>
  <c r="G16" i="48"/>
  <c r="G19"/>
  <c r="M29"/>
  <c r="M33" s="1"/>
  <c r="M19"/>
  <c r="C49" i="269"/>
  <c r="I111" i="48"/>
  <c r="I163"/>
  <c r="I66"/>
  <c r="L111"/>
  <c r="L163"/>
  <c r="L66"/>
  <c r="J362" i="271"/>
  <c r="J419" s="1"/>
  <c r="J361"/>
  <c r="J418" s="1"/>
  <c r="J363"/>
  <c r="J420" s="1"/>
  <c r="J364"/>
  <c r="J421" s="1"/>
  <c r="H60" i="191"/>
  <c r="I60" s="1"/>
  <c r="J60" s="1"/>
  <c r="K60" s="1"/>
  <c r="L60" s="1"/>
  <c r="I74"/>
  <c r="H378" i="159"/>
  <c r="H355"/>
  <c r="H374"/>
  <c r="H396"/>
  <c r="H397"/>
  <c r="H351"/>
  <c r="H372"/>
  <c r="H376"/>
  <c r="H400"/>
  <c r="H399"/>
  <c r="H398"/>
  <c r="H395"/>
  <c r="H356"/>
  <c r="H375"/>
  <c r="H334"/>
  <c r="H441" s="1"/>
  <c r="H466" s="1"/>
  <c r="H331"/>
  <c r="H438" s="1"/>
  <c r="H352"/>
  <c r="H354"/>
  <c r="H335"/>
  <c r="H442" s="1"/>
  <c r="H467" s="1"/>
  <c r="H333"/>
  <c r="H440" s="1"/>
  <c r="K19" i="153"/>
  <c r="K153" s="1"/>
  <c r="J15"/>
  <c r="J19" s="1"/>
  <c r="J153" s="1"/>
  <c r="O286" i="154"/>
  <c r="O287" s="1"/>
  <c r="M347"/>
  <c r="M349" s="1"/>
  <c r="G102"/>
  <c r="G262" s="1"/>
  <c r="F102" i="237"/>
  <c r="F103"/>
  <c r="I93" i="244"/>
  <c r="I117" s="1"/>
  <c r="I297" i="133"/>
  <c r="I259"/>
  <c r="I298" s="1"/>
  <c r="L51"/>
  <c r="K18"/>
  <c r="K31" s="1"/>
  <c r="K155" s="1"/>
  <c r="K52"/>
  <c r="K63" s="1"/>
  <c r="I93" i="234"/>
  <c r="I118"/>
  <c r="I91" i="233"/>
  <c r="I92" s="1"/>
  <c r="I120"/>
  <c r="I98"/>
  <c r="I119" s="1"/>
  <c r="J93" i="234"/>
  <c r="J118"/>
  <c r="AS71" i="256"/>
  <c r="AB71" i="261"/>
  <c r="AK71" i="262"/>
  <c r="CK71" i="255"/>
  <c r="CJ71" i="258"/>
  <c r="CD71" i="263"/>
  <c r="DB71" i="256"/>
  <c r="CB71" i="258"/>
  <c r="CC71" i="256"/>
  <c r="BV71" i="260"/>
  <c r="DF71" i="256"/>
  <c r="DA71" i="259"/>
  <c r="BX71" i="263"/>
  <c r="DG71" i="255"/>
  <c r="BU71" i="248"/>
  <c r="CQ71" i="259"/>
  <c r="BX71" i="260"/>
  <c r="CT71" i="262"/>
  <c r="BS71" i="258"/>
  <c r="CC71" i="260"/>
  <c r="CY71" i="262"/>
  <c r="R68" i="248"/>
  <c r="R52" i="260"/>
  <c r="BG23" i="261"/>
  <c r="J45" i="236"/>
  <c r="K45" s="1"/>
  <c r="K45" i="237"/>
  <c r="L45" s="1"/>
  <c r="L160" i="272"/>
  <c r="K272"/>
  <c r="BD4" i="276"/>
  <c r="K84" i="154"/>
  <c r="F478" i="271"/>
  <c r="K191" i="272"/>
  <c r="K172"/>
  <c r="K216"/>
  <c r="K273"/>
  <c r="N191"/>
  <c r="N172"/>
  <c r="N216"/>
  <c r="N273"/>
  <c r="F114" i="182"/>
  <c r="F100"/>
  <c r="F102" s="1"/>
  <c r="H610" i="270"/>
  <c r="H611"/>
  <c r="O274" i="159"/>
  <c r="N274"/>
  <c r="M274"/>
  <c r="J274"/>
  <c r="K274"/>
  <c r="L274"/>
  <c r="G274"/>
  <c r="F274"/>
  <c r="I274"/>
  <c r="H274"/>
  <c r="H338" s="1"/>
  <c r="F310"/>
  <c r="N285"/>
  <c r="J285"/>
  <c r="F285"/>
  <c r="M285"/>
  <c r="N310"/>
  <c r="M310"/>
  <c r="N298"/>
  <c r="G285"/>
  <c r="M298"/>
  <c r="K285"/>
  <c r="F298"/>
  <c r="L310"/>
  <c r="G310"/>
  <c r="O310"/>
  <c r="H285"/>
  <c r="H359" s="1"/>
  <c r="H366" s="1"/>
  <c r="H29" s="1"/>
  <c r="L298"/>
  <c r="O285"/>
  <c r="L285"/>
  <c r="O298"/>
  <c r="K310"/>
  <c r="I310"/>
  <c r="J298"/>
  <c r="H310"/>
  <c r="H394" s="1"/>
  <c r="H401" s="1"/>
  <c r="H40" s="1"/>
  <c r="K298"/>
  <c r="I285"/>
  <c r="I298"/>
  <c r="G298"/>
  <c r="H298"/>
  <c r="J310"/>
  <c r="G251" i="187"/>
  <c r="K101" i="153"/>
  <c r="N101"/>
  <c r="J101"/>
  <c r="I101" s="1"/>
  <c r="M101"/>
  <c r="L101"/>
  <c r="L110"/>
  <c r="K110"/>
  <c r="J110" s="1"/>
  <c r="I110" s="1"/>
  <c r="M110"/>
  <c r="N110"/>
  <c r="N41" i="196"/>
  <c r="O40"/>
  <c r="K40"/>
  <c r="F40"/>
  <c r="H41"/>
  <c r="M39"/>
  <c r="M43" s="1"/>
  <c r="M69" s="1"/>
  <c r="M35"/>
  <c r="K291" i="154"/>
  <c r="K292" s="1"/>
  <c r="K294" s="1"/>
  <c r="I265"/>
  <c r="I270" s="1"/>
  <c r="I272" s="1"/>
  <c r="I273" s="1"/>
  <c r="I277"/>
  <c r="I278" s="1"/>
  <c r="I280" s="1"/>
  <c r="I319"/>
  <c r="H100" i="190"/>
  <c r="H99"/>
  <c r="J89" i="197"/>
  <c r="J104"/>
  <c r="I244" i="133"/>
  <c r="I290"/>
  <c r="O165" i="272"/>
  <c r="O271"/>
  <c r="E142" i="189"/>
  <c r="F79"/>
  <c r="F77"/>
  <c r="H142"/>
  <c r="I79"/>
  <c r="I77"/>
  <c r="I142"/>
  <c r="J77"/>
  <c r="J79"/>
  <c r="G154"/>
  <c r="H192"/>
  <c r="M154"/>
  <c r="M158" s="1"/>
  <c r="M162" s="1"/>
  <c r="N172" s="1"/>
  <c r="N192"/>
  <c r="F178" i="238"/>
  <c r="F231" s="1"/>
  <c r="F242" s="1"/>
  <c r="F230"/>
  <c r="N178"/>
  <c r="N231" s="1"/>
  <c r="N242" s="1"/>
  <c r="N230"/>
  <c r="AI71" i="255"/>
  <c r="AI63"/>
  <c r="AI71" i="248"/>
  <c r="AI63"/>
  <c r="BD71" i="256"/>
  <c r="AD71"/>
  <c r="AD63"/>
  <c r="AB71" i="260"/>
  <c r="DF71" i="248"/>
  <c r="BS71" i="261"/>
  <c r="DC71"/>
  <c r="AI71" i="263"/>
  <c r="AI63"/>
  <c r="BU71" i="256"/>
  <c r="CX71"/>
  <c r="CK71" i="259"/>
  <c r="DF71"/>
  <c r="DF71" i="257"/>
  <c r="CM71" i="255"/>
  <c r="BT71" i="256"/>
  <c r="CP71" i="258"/>
  <c r="BW71" i="259"/>
  <c r="CW71" i="261"/>
  <c r="BZ71" i="262"/>
  <c r="CO71" i="260"/>
  <c r="CJ71" i="263"/>
  <c r="BK23" i="260"/>
  <c r="AQ71" i="256"/>
  <c r="R68" i="258"/>
  <c r="R68" i="263"/>
  <c r="BG23" i="259"/>
  <c r="J40" i="235"/>
  <c r="K295" i="154"/>
  <c r="I295"/>
  <c r="H295"/>
  <c r="G295"/>
  <c r="F295"/>
  <c r="J100" i="190"/>
  <c r="J99"/>
  <c r="F631" i="270"/>
  <c r="F632" s="1"/>
  <c r="F633" s="1"/>
  <c r="H423" i="271"/>
  <c r="K112" i="194"/>
  <c r="M110"/>
  <c r="M4" i="269"/>
  <c r="C5" s="1"/>
  <c r="B5"/>
  <c r="N110" i="194"/>
  <c r="J5" i="269"/>
  <c r="F111" i="194"/>
  <c r="M112"/>
  <c r="F5" i="269"/>
  <c r="I74" i="194"/>
  <c r="I110" s="1"/>
  <c r="G112"/>
  <c r="H401" i="270"/>
  <c r="F109" i="194"/>
  <c r="F113" s="1"/>
  <c r="F33"/>
  <c r="G109"/>
  <c r="G113" s="1"/>
  <c r="G33"/>
  <c r="J109"/>
  <c r="J113" s="1"/>
  <c r="J33"/>
  <c r="I398" i="270"/>
  <c r="H398"/>
  <c r="F398"/>
  <c r="F106" i="234"/>
  <c r="H287" i="154"/>
  <c r="G110" i="233"/>
  <c r="G109"/>
  <c r="I134" i="200"/>
  <c r="J134"/>
  <c r="G146" i="133"/>
  <c r="F150"/>
  <c r="F286"/>
  <c r="I42" i="237"/>
  <c r="I46" s="1"/>
  <c r="I84" s="1"/>
  <c r="I89" s="1"/>
  <c r="H250" i="187"/>
  <c r="H252" s="1"/>
  <c r="L36" i="233"/>
  <c r="I250" i="187"/>
  <c r="I252" s="1"/>
  <c r="J250"/>
  <c r="J252" s="1"/>
  <c r="I201" i="184"/>
  <c r="J136"/>
  <c r="O238" i="187"/>
  <c r="O241" s="1"/>
  <c r="AD71" i="259"/>
  <c r="AD63"/>
  <c r="AB71"/>
  <c r="BX71" i="262"/>
  <c r="CF71" i="255"/>
  <c r="CS71" i="262"/>
  <c r="CL71" i="257"/>
  <c r="CC71" i="248"/>
  <c r="CF71" i="260"/>
  <c r="CL71" i="262"/>
  <c r="BK23" i="248"/>
  <c r="BA71" i="260"/>
  <c r="BG23" i="258"/>
  <c r="G465" i="159"/>
  <c r="H591" i="270"/>
  <c r="H592"/>
  <c r="F432" i="271"/>
  <c r="F475"/>
  <c r="F599" i="270"/>
  <c r="F597"/>
  <c r="F600"/>
  <c r="F598"/>
  <c r="H104" i="244"/>
  <c r="K104"/>
  <c r="M104"/>
  <c r="G85" i="272"/>
  <c r="G163" s="1"/>
  <c r="F52"/>
  <c r="F85" s="1"/>
  <c r="F163" s="1"/>
  <c r="H193"/>
  <c r="H189"/>
  <c r="H166"/>
  <c r="H201"/>
  <c r="K59" i="184"/>
  <c r="K173" s="1"/>
  <c r="E55"/>
  <c r="H55" s="1"/>
  <c r="K464" i="271"/>
  <c r="K486"/>
  <c r="K484"/>
  <c r="K487" s="1"/>
  <c r="L190" i="272"/>
  <c r="L209"/>
  <c r="N173" i="184"/>
  <c r="O173"/>
  <c r="G344" i="159"/>
  <c r="G451" s="1"/>
  <c r="G335"/>
  <c r="G442" s="1"/>
  <c r="G467" s="1"/>
  <c r="E113" i="269"/>
  <c r="L312" i="270"/>
  <c r="K312"/>
  <c r="D111" i="269"/>
  <c r="D118" s="1"/>
  <c r="B118"/>
  <c r="B120" s="1"/>
  <c r="D120" s="1"/>
  <c r="N313" i="270"/>
  <c r="I312"/>
  <c r="M312"/>
  <c r="N312"/>
  <c r="I313"/>
  <c r="H400"/>
  <c r="F400"/>
  <c r="J124" i="271"/>
  <c r="K80"/>
  <c r="M23" i="168"/>
  <c r="M27" s="1"/>
  <c r="N62" s="1"/>
  <c r="L27"/>
  <c r="M62" s="1"/>
  <c r="F82" i="187"/>
  <c r="F86" s="1"/>
  <c r="F187" s="1"/>
  <c r="F223" s="1"/>
  <c r="F224" s="1"/>
  <c r="F85"/>
  <c r="F84"/>
  <c r="F83"/>
  <c r="K82"/>
  <c r="K86" s="1"/>
  <c r="K187" s="1"/>
  <c r="K223" s="1"/>
  <c r="K224" s="1"/>
  <c r="K83"/>
  <c r="K85"/>
  <c r="K84"/>
  <c r="J192" i="272"/>
  <c r="J208"/>
  <c r="J171"/>
  <c r="M82" i="187"/>
  <c r="M86" s="1"/>
  <c r="M187" s="1"/>
  <c r="M223" s="1"/>
  <c r="M224" s="1"/>
  <c r="M83"/>
  <c r="M84"/>
  <c r="M85"/>
  <c r="K192" i="272"/>
  <c r="K171"/>
  <c r="K208"/>
  <c r="N109" i="153"/>
  <c r="N113" s="1"/>
  <c r="M109"/>
  <c r="M113" s="1"/>
  <c r="L109"/>
  <c r="L113" s="1"/>
  <c r="K109"/>
  <c r="O113"/>
  <c r="J327" i="271"/>
  <c r="I324"/>
  <c r="I325"/>
  <c r="I358" s="1"/>
  <c r="I415" s="1"/>
  <c r="I326"/>
  <c r="N347" i="154"/>
  <c r="N349" s="1"/>
  <c r="F99" i="190"/>
  <c r="F100"/>
  <c r="L93" i="244"/>
  <c r="L117" s="1"/>
  <c r="G147" i="133"/>
  <c r="F287"/>
  <c r="G102" i="237"/>
  <c r="G103"/>
  <c r="O404" i="271"/>
  <c r="O371"/>
  <c r="H93" i="244"/>
  <c r="H117" s="1"/>
  <c r="AK71" i="256"/>
  <c r="CV71" i="263"/>
  <c r="AC71"/>
  <c r="CL71" i="260"/>
  <c r="DC71" i="258"/>
  <c r="CF71" i="263"/>
  <c r="CU71" i="255"/>
  <c r="CB71" i="256"/>
  <c r="CE71" i="259"/>
  <c r="DC71" i="262"/>
  <c r="BK23" i="259"/>
  <c r="AZ71"/>
  <c r="BB71" i="248"/>
  <c r="R68" i="261"/>
  <c r="BG23" i="260"/>
  <c r="I44" i="236"/>
  <c r="J44" s="1"/>
  <c r="L35" i="233"/>
  <c r="L44"/>
  <c r="J46" i="236"/>
  <c r="J36"/>
  <c r="BD175" i="279"/>
  <c r="N344" i="154"/>
  <c r="H533" i="270"/>
  <c r="H534"/>
  <c r="B99" i="269"/>
  <c r="B101" s="1"/>
  <c r="B102" s="1"/>
  <c r="C102" s="1"/>
  <c r="I10" i="278"/>
  <c r="I17"/>
  <c r="I5"/>
  <c r="AN21" i="280"/>
  <c r="M46" i="198"/>
  <c r="M44"/>
  <c r="I46"/>
  <c r="I44"/>
  <c r="I127" i="189"/>
  <c r="H156" s="1"/>
  <c r="H164" s="1"/>
  <c r="I38"/>
  <c r="I132" s="1"/>
  <c r="H127"/>
  <c r="G156" s="1"/>
  <c r="G164" s="1"/>
  <c r="H38"/>
  <c r="H132" s="1"/>
  <c r="N127"/>
  <c r="M156" s="1"/>
  <c r="M164" s="1"/>
  <c r="N38"/>
  <c r="N132" s="1"/>
  <c r="O127"/>
  <c r="N156" s="1"/>
  <c r="O38"/>
  <c r="O132" s="1"/>
  <c r="J29" i="48"/>
  <c r="J33" s="1"/>
  <c r="J19"/>
  <c r="F16"/>
  <c r="F19"/>
  <c r="F29"/>
  <c r="F33" s="1"/>
  <c r="G111"/>
  <c r="G163"/>
  <c r="G66"/>
  <c r="K111"/>
  <c r="K66"/>
  <c r="K163"/>
  <c r="N111"/>
  <c r="N163"/>
  <c r="N66"/>
  <c r="B14" i="35"/>
  <c r="B15" s="1"/>
  <c r="BG82" i="277"/>
  <c r="BE82"/>
  <c r="BF82"/>
  <c r="K125" i="187"/>
  <c r="K173" s="1"/>
  <c r="K250" s="1"/>
  <c r="BH82" i="277"/>
  <c r="K126" i="187"/>
  <c r="K174" s="1"/>
  <c r="K251" s="1"/>
  <c r="M125"/>
  <c r="M173" s="1"/>
  <c r="M250" s="1"/>
  <c r="M252" s="1"/>
  <c r="M126"/>
  <c r="M174" s="1"/>
  <c r="M251" s="1"/>
  <c r="N124"/>
  <c r="H76" i="191"/>
  <c r="H75"/>
  <c r="H81"/>
  <c r="N102" i="154"/>
  <c r="N262" s="1"/>
  <c r="L286"/>
  <c r="L287" s="1"/>
  <c r="G93" i="244"/>
  <c r="G117" s="1"/>
  <c r="N65"/>
  <c r="M73"/>
  <c r="M82" s="1"/>
  <c r="M66"/>
  <c r="M74" s="1"/>
  <c r="M83" s="1"/>
  <c r="J17" i="133"/>
  <c r="K50"/>
  <c r="J244"/>
  <c r="J290"/>
  <c r="H117" i="235"/>
  <c r="H119" s="1"/>
  <c r="H142"/>
  <c r="K43" i="233"/>
  <c r="K47" s="1"/>
  <c r="K83" s="1"/>
  <c r="K90" s="1"/>
  <c r="J38"/>
  <c r="J79" s="1"/>
  <c r="J89" s="1"/>
  <c r="K34"/>
  <c r="K41" i="234"/>
  <c r="K83" s="1"/>
  <c r="L37"/>
  <c r="BD71" i="248"/>
  <c r="AB71" i="263"/>
  <c r="AK71" i="259"/>
  <c r="BV71" i="256"/>
  <c r="CJ71" i="257"/>
  <c r="CL71" i="248"/>
  <c r="CA71" i="261"/>
  <c r="BZ71" i="256"/>
  <c r="CT71" i="259"/>
  <c r="DA71" i="262"/>
  <c r="CQ71" i="255"/>
  <c r="CT71" i="258"/>
  <c r="CA71" i="259"/>
  <c r="DA71" i="261"/>
  <c r="CD71" i="262"/>
  <c r="CV71" i="259"/>
  <c r="DB71" i="261"/>
  <c r="CI71" i="262"/>
  <c r="AQ71" i="261"/>
  <c r="R68" i="256"/>
  <c r="BI82" i="277"/>
  <c r="BD134" i="279"/>
  <c r="J119" i="271"/>
  <c r="K75"/>
  <c r="F434"/>
  <c r="J16" i="269"/>
  <c r="F54" i="272"/>
  <c r="F87" s="1"/>
  <c r="F165" s="1"/>
  <c r="G87"/>
  <c r="G165" s="1"/>
  <c r="G436" i="271"/>
  <c r="G465"/>
  <c r="G493"/>
  <c r="K436"/>
  <c r="K465"/>
  <c r="K493"/>
  <c r="N436"/>
  <c r="N465"/>
  <c r="N493"/>
  <c r="L16" i="270"/>
  <c r="K20"/>
  <c r="K112" i="153"/>
  <c r="N112"/>
  <c r="J112"/>
  <c r="I112" s="1"/>
  <c r="L112"/>
  <c r="M112"/>
  <c r="F116" i="191"/>
  <c r="F120"/>
  <c r="F123" s="1"/>
  <c r="F160" s="1"/>
  <c r="F127"/>
  <c r="F131" s="1"/>
  <c r="F162" s="1"/>
  <c r="F186" s="1"/>
  <c r="H42" i="196"/>
  <c r="F41"/>
  <c r="M40"/>
  <c r="O42"/>
  <c r="H40"/>
  <c r="F42"/>
  <c r="N40"/>
  <c r="G39"/>
  <c r="G43" s="1"/>
  <c r="G69" s="1"/>
  <c r="G35"/>
  <c r="K39"/>
  <c r="K43" s="1"/>
  <c r="K69" s="1"/>
  <c r="K35"/>
  <c r="L39"/>
  <c r="L43" s="1"/>
  <c r="L69" s="1"/>
  <c r="L35"/>
  <c r="N39"/>
  <c r="N43" s="1"/>
  <c r="N69" s="1"/>
  <c r="N35"/>
  <c r="O434" i="271"/>
  <c r="N291" i="154"/>
  <c r="N292" s="1"/>
  <c r="N294" s="1"/>
  <c r="N295" s="1"/>
  <c r="F319"/>
  <c r="F321" s="1"/>
  <c r="F329" s="1"/>
  <c r="F330" s="1"/>
  <c r="F332" s="1"/>
  <c r="F265"/>
  <c r="F270" s="1"/>
  <c r="F272" s="1"/>
  <c r="J102"/>
  <c r="J262" s="1"/>
  <c r="G100" i="190"/>
  <c r="G99"/>
  <c r="O164" i="272"/>
  <c r="O161"/>
  <c r="O156"/>
  <c r="E154" i="189"/>
  <c r="E158" s="1"/>
  <c r="E162" s="1"/>
  <c r="F172" s="1"/>
  <c r="F192"/>
  <c r="F154"/>
  <c r="F158" s="1"/>
  <c r="F162" s="1"/>
  <c r="G172" s="1"/>
  <c r="G192"/>
  <c r="J154"/>
  <c r="K192"/>
  <c r="I154"/>
  <c r="I158" s="1"/>
  <c r="I162" s="1"/>
  <c r="J172" s="1"/>
  <c r="J192"/>
  <c r="M142"/>
  <c r="N79"/>
  <c r="N77"/>
  <c r="O539" i="271"/>
  <c r="G227" i="238"/>
  <c r="G270" s="1"/>
  <c r="J178"/>
  <c r="J231" s="1"/>
  <c r="J242" s="1"/>
  <c r="J230"/>
  <c r="K227"/>
  <c r="K270" s="1"/>
  <c r="K178"/>
  <c r="K231" s="1"/>
  <c r="K242" s="1"/>
  <c r="K230"/>
  <c r="M178"/>
  <c r="M231" s="1"/>
  <c r="M242" s="1"/>
  <c r="M230"/>
  <c r="AI71" i="257"/>
  <c r="AI63"/>
  <c r="AD71" i="260"/>
  <c r="AD63"/>
  <c r="BZ71" i="248"/>
  <c r="CE71"/>
  <c r="CN71" i="262"/>
  <c r="CB71" i="257"/>
  <c r="CD71" i="248"/>
  <c r="DG71" i="257"/>
  <c r="DG71" i="248"/>
  <c r="BZ71" i="260"/>
  <c r="DF71" i="255"/>
  <c r="CP71" i="259"/>
  <c r="CW71" i="262"/>
  <c r="CP71" i="257"/>
  <c r="BW71" i="255"/>
  <c r="CW71" i="248"/>
  <c r="BZ71" i="258"/>
  <c r="CZ71" i="260"/>
  <c r="CG71" i="261"/>
  <c r="CR71" i="259"/>
  <c r="BY71" i="260"/>
  <c r="CU71" i="262"/>
  <c r="AQ71" i="258"/>
  <c r="R68" i="257"/>
  <c r="R52" i="263"/>
  <c r="R52" i="259"/>
  <c r="R68" i="260"/>
  <c r="BG23" i="262"/>
  <c r="I49" i="235"/>
  <c r="J49" s="1"/>
  <c r="L40" i="234"/>
  <c r="K5" i="231"/>
  <c r="I18" i="271"/>
  <c r="I22" s="1"/>
  <c r="I19"/>
  <c r="I21"/>
  <c r="I20"/>
  <c r="H417"/>
  <c r="H476" s="1"/>
  <c r="I552" i="270"/>
  <c r="J388"/>
  <c r="G434" i="271"/>
  <c r="G628" i="270"/>
  <c r="G631" s="1"/>
  <c r="G633" s="1"/>
  <c r="H392"/>
  <c r="I120" i="271"/>
  <c r="J76"/>
  <c r="O112" i="194"/>
  <c r="G111"/>
  <c r="I111"/>
  <c r="I77"/>
  <c r="H74"/>
  <c r="H110"/>
  <c r="G74"/>
  <c r="G110" s="1"/>
  <c r="H112"/>
  <c r="D5" i="269"/>
  <c r="L74" i="194"/>
  <c r="L110" s="1"/>
  <c r="N111"/>
  <c r="L112"/>
  <c r="J110"/>
  <c r="O111"/>
  <c r="F71"/>
  <c r="F81" s="1"/>
  <c r="F57"/>
  <c r="I109"/>
  <c r="I113" s="1"/>
  <c r="I33"/>
  <c r="L71"/>
  <c r="L81" s="1"/>
  <c r="N109"/>
  <c r="N113" s="1"/>
  <c r="N33"/>
  <c r="O33"/>
  <c r="M286" i="154"/>
  <c r="M287" s="1"/>
  <c r="H291"/>
  <c r="H292" s="1"/>
  <c r="H294" s="1"/>
  <c r="G347"/>
  <c r="G349" s="1"/>
  <c r="G372" s="1"/>
  <c r="G114" i="182"/>
  <c r="G100"/>
  <c r="G102" s="1"/>
  <c r="BA79" i="277"/>
  <c r="BA81" s="1"/>
  <c r="H89" i="197"/>
  <c r="H104"/>
  <c r="O134" i="200"/>
  <c r="G128"/>
  <c r="F122"/>
  <c r="F162" s="1"/>
  <c r="G121"/>
  <c r="H134"/>
  <c r="G78" i="236"/>
  <c r="G80" s="1"/>
  <c r="G81" s="1"/>
  <c r="G100"/>
  <c r="I37" i="237"/>
  <c r="J33"/>
  <c r="O415" i="271"/>
  <c r="O475" s="1"/>
  <c r="I251" i="187"/>
  <c r="H290" i="133"/>
  <c r="O218" i="187"/>
  <c r="O232" s="1"/>
  <c r="F230"/>
  <c r="F239" s="1"/>
  <c r="G119" i="235"/>
  <c r="AY36" i="276"/>
  <c r="AY64" i="277"/>
  <c r="AY36" i="279"/>
  <c r="BA67" i="277"/>
  <c r="BB142"/>
  <c r="BB83" i="276"/>
  <c r="AY31" i="279"/>
  <c r="AY59" i="277"/>
  <c r="BA81" i="276"/>
  <c r="BC67" i="277"/>
  <c r="BC57"/>
  <c r="BH67"/>
  <c r="BC146"/>
  <c r="AY81" i="279"/>
  <c r="AY81" i="276"/>
  <c r="BH59" i="277"/>
  <c r="AY215" i="280"/>
  <c r="AY207" i="276"/>
  <c r="BB30"/>
  <c r="BA83" i="279"/>
  <c r="BA142" i="277"/>
  <c r="BA57"/>
  <c r="BD64"/>
  <c r="AY29" i="279"/>
  <c r="AY57" i="277"/>
  <c r="BA146"/>
  <c r="BI67"/>
  <c r="BB213" i="280"/>
  <c r="BB205" i="276"/>
  <c r="BD57" i="277"/>
  <c r="BB211" i="280"/>
  <c r="BB203" i="279"/>
  <c r="BD211" i="280"/>
  <c r="AY30" i="279"/>
  <c r="AY30" i="276"/>
  <c r="BA59" i="277"/>
  <c r="BA31" i="279"/>
  <c r="BC142" i="277"/>
  <c r="BG59"/>
  <c r="AY83" i="279"/>
  <c r="AY142" i="277"/>
  <c r="AY39" i="279"/>
  <c r="AY67" i="277"/>
  <c r="BH57"/>
  <c r="BI258"/>
  <c r="BD58"/>
  <c r="BI281"/>
  <c r="AG30" i="260"/>
  <c r="BD243" i="280"/>
  <c r="BD281" i="277"/>
  <c r="H29" i="231"/>
  <c r="BC289" i="277"/>
  <c r="CZ30" i="259"/>
  <c r="BA222" i="279"/>
  <c r="BA222" i="276"/>
  <c r="BA243" i="280"/>
  <c r="CZ26" i="262"/>
  <c r="BB222" i="279"/>
  <c r="BB281" i="277"/>
  <c r="BB243" i="280"/>
  <c r="CZ26" i="259"/>
  <c r="BA289" i="277"/>
  <c r="F29" i="231"/>
  <c r="BA251" i="280"/>
  <c r="K15" i="255"/>
  <c r="AY199" i="279"/>
  <c r="AY258" i="277"/>
  <c r="BG274" i="276"/>
  <c r="BG346" i="280"/>
  <c r="T16" i="261"/>
  <c r="L16" i="260"/>
  <c r="BG142" i="277"/>
  <c r="BA201" i="276"/>
  <c r="BA209" i="280"/>
  <c r="BB29" i="276"/>
  <c r="BB57" i="277"/>
  <c r="AY203" i="279"/>
  <c r="AY203" i="276"/>
  <c r="BG263" i="277"/>
  <c r="BB81" i="279"/>
  <c r="BB140" i="277"/>
  <c r="BE261"/>
  <c r="AX40" i="257"/>
  <c r="BI264" i="277"/>
  <c r="K16" i="256"/>
  <c r="O8" i="228"/>
  <c r="AY141" i="277"/>
  <c r="AY82" i="279"/>
  <c r="BE209" i="280"/>
  <c r="BE212"/>
  <c r="L15" i="260"/>
  <c r="BC237" i="279"/>
  <c r="BC206"/>
  <c r="BI267" i="277"/>
  <c r="U43" i="257"/>
  <c r="BF266" i="277"/>
  <c r="L16" i="261"/>
  <c r="BC213" i="280"/>
  <c r="E22" i="231"/>
  <c r="K7" i="228"/>
  <c r="BG140" i="277"/>
  <c r="BC81" i="276"/>
  <c r="BC82"/>
  <c r="G25" i="231"/>
  <c r="BB82" i="276"/>
  <c r="BB141" i="277"/>
  <c r="BD213" i="280"/>
  <c r="E17" i="231"/>
  <c r="BE141" i="277"/>
  <c r="BA262"/>
  <c r="BA211" i="280"/>
  <c r="BF58" i="277"/>
  <c r="I38" i="231"/>
  <c r="BD333" i="277"/>
  <c r="BD274" i="279"/>
  <c r="E25" i="231"/>
  <c r="BI142" i="277"/>
  <c r="BE57"/>
  <c r="BC182" i="279"/>
  <c r="BG267" i="277"/>
  <c r="BC135" i="279"/>
  <c r="BC38" i="255"/>
  <c r="AY202" i="276"/>
  <c r="AY210" i="280"/>
  <c r="AY205" i="279"/>
  <c r="AY205" i="276"/>
  <c r="BD67" i="277"/>
  <c r="U47" i="256"/>
  <c r="E31" i="231"/>
  <c r="AY243" i="280"/>
  <c r="X26" i="257"/>
  <c r="BF289" i="277"/>
  <c r="CZ30" i="262"/>
  <c r="AG30" i="248"/>
  <c r="AH26" i="255"/>
  <c r="W16" i="261"/>
  <c r="BE258" i="277"/>
  <c r="K16" i="262"/>
  <c r="U42" i="257"/>
  <c r="BH296" i="277"/>
  <c r="BA263"/>
  <c r="BA212" i="280"/>
  <c r="BB208" i="279"/>
  <c r="BB267" i="277"/>
  <c r="J16" i="248"/>
  <c r="BH333" i="277"/>
  <c r="BH346" i="280"/>
  <c r="T16" i="262"/>
  <c r="U39" i="256"/>
  <c r="BF142" i="277"/>
  <c r="BG258"/>
  <c r="BE211" i="280"/>
  <c r="BC203" i="279"/>
  <c r="BC230"/>
  <c r="BB237" i="276"/>
  <c r="G14" i="231"/>
  <c r="X32" i="256"/>
  <c r="BB143" i="279"/>
  <c r="BB202" i="277"/>
  <c r="CZ29" i="248"/>
  <c r="BF261" i="277"/>
  <c r="BC222" i="276"/>
  <c r="L16" i="259"/>
  <c r="BB266" i="277"/>
  <c r="BB207" i="276"/>
  <c r="BG266" i="277"/>
  <c r="F20" i="231"/>
  <c r="BB87" i="276"/>
  <c r="BB146" i="277"/>
  <c r="BB202" i="279"/>
  <c r="BB261" i="277"/>
  <c r="BC178" i="279"/>
  <c r="BB145" i="276"/>
  <c r="BD214" i="280"/>
  <c r="BC136" i="279"/>
  <c r="BA237"/>
  <c r="BA237" i="276"/>
  <c r="BA258" i="280"/>
  <c r="J38" i="231"/>
  <c r="G88" i="244"/>
  <c r="AG30" i="262"/>
  <c r="BB230" i="279"/>
  <c r="G29" i="231"/>
  <c r="V30" i="256"/>
  <c r="AG30" i="263"/>
  <c r="X26" i="262"/>
  <c r="BD251" i="280"/>
  <c r="V30" i="258"/>
  <c r="X26" i="259"/>
  <c r="K16" i="258"/>
  <c r="BD136" i="276"/>
  <c r="L15" i="257"/>
  <c r="AY42"/>
  <c r="BC141" i="277"/>
  <c r="E19" i="231"/>
  <c r="BG265" i="277"/>
  <c r="J15" i="255"/>
  <c r="BB333" i="277"/>
  <c r="G38" i="231"/>
  <c r="BB274" i="279"/>
  <c r="O21" i="228"/>
  <c r="BC263" i="277"/>
  <c r="BE216" i="280"/>
  <c r="BC202" i="279"/>
  <c r="BC201"/>
  <c r="X32" i="260"/>
  <c r="BD258" i="277"/>
  <c r="BC333"/>
  <c r="BC346" i="280"/>
  <c r="T16" i="248"/>
  <c r="BC136" i="276"/>
  <c r="BC31"/>
  <c r="BC29"/>
  <c r="BC261" i="277"/>
  <c r="AH29" i="261"/>
  <c r="BE333" i="277"/>
  <c r="BE274" i="279"/>
  <c r="BC181"/>
  <c r="BC64" i="277"/>
  <c r="AY263"/>
  <c r="AY204" i="279"/>
  <c r="BC137"/>
  <c r="BF141" i="277"/>
  <c r="BD209" i="280"/>
  <c r="BF281" i="277"/>
  <c r="CZ26" i="263"/>
  <c r="V30" i="262"/>
  <c r="BC243" i="280"/>
  <c r="BC281" i="277"/>
  <c r="CZ26" i="258"/>
  <c r="V30" i="263"/>
  <c r="AG30" i="259"/>
  <c r="BG289" i="277"/>
  <c r="CZ26" i="255"/>
  <c r="AG30" i="258"/>
  <c r="AH26" i="259"/>
  <c r="K15" i="262"/>
  <c r="W10" i="260"/>
  <c r="W16" i="258"/>
  <c r="L15" i="261"/>
  <c r="BD216" i="280"/>
  <c r="BF333" i="277"/>
  <c r="BF346" i="280"/>
  <c r="T16" i="260"/>
  <c r="BF146" i="277"/>
  <c r="AY265"/>
  <c r="AY214" i="280"/>
  <c r="BC216"/>
  <c r="BA210"/>
  <c r="BA202" i="276"/>
  <c r="BH262" i="277"/>
  <c r="AY201" i="279"/>
  <c r="AY260" i="277"/>
  <c r="H49" i="231"/>
  <c r="W16" i="259"/>
  <c r="U39" i="255"/>
  <c r="BG264" i="277"/>
  <c r="O28" i="228"/>
  <c r="AY146" i="277"/>
  <c r="AY87" i="279"/>
  <c r="BA266" i="277"/>
  <c r="BA207" i="279"/>
  <c r="BF264" i="277"/>
  <c r="BE213" i="280"/>
  <c r="BE215"/>
  <c r="L15" i="248"/>
  <c r="BC31" i="279"/>
  <c r="BC36"/>
  <c r="BC199"/>
  <c r="BA205" i="276"/>
  <c r="BA205" i="279"/>
  <c r="BA208"/>
  <c r="BA208" i="276"/>
  <c r="BF258" i="277"/>
  <c r="AY216" i="280"/>
  <c r="AY208" i="276"/>
  <c r="AH29" i="255"/>
  <c r="U45" i="256"/>
  <c r="BB206" i="276"/>
  <c r="BB265" i="277"/>
  <c r="AY41" i="257"/>
  <c r="BC200" i="277"/>
  <c r="BC258"/>
  <c r="BC235" i="276"/>
  <c r="BC199"/>
  <c r="BC207"/>
  <c r="BC230"/>
  <c r="AH29" i="256"/>
  <c r="F22" i="231"/>
  <c r="CZ29" i="256"/>
  <c r="BC140" i="279"/>
  <c r="L15" i="259"/>
  <c r="U38" i="255"/>
  <c r="BE296" i="277"/>
  <c r="BC260"/>
  <c r="BA207" i="280"/>
  <c r="BA199" i="276"/>
  <c r="BG262" i="277"/>
  <c r="CZ26" i="260"/>
  <c r="CZ30" i="263"/>
  <c r="BG281" i="277"/>
  <c r="J15" i="257"/>
  <c r="BP10" i="260"/>
  <c r="J16" i="258"/>
  <c r="BE264" i="277"/>
  <c r="BA206" i="279"/>
  <c r="BA265" i="277"/>
  <c r="BH266"/>
  <c r="BD266"/>
  <c r="J16" i="259"/>
  <c r="O11" i="228"/>
  <c r="BE256" i="280"/>
  <c r="BC235" i="279"/>
  <c r="BB204"/>
  <c r="BB212" i="280"/>
  <c r="BA82" i="276"/>
  <c r="BA82" i="279"/>
  <c r="BC214" i="280"/>
  <c r="BD141" i="277"/>
  <c r="BA30" i="276"/>
  <c r="M20" i="228"/>
  <c r="BD200" i="277"/>
  <c r="BD261"/>
  <c r="BC204" i="276"/>
  <c r="U47" i="258"/>
  <c r="BB39" i="276"/>
  <c r="BC38" i="258"/>
  <c r="U40" i="255"/>
  <c r="G49" i="231"/>
  <c r="CZ29" i="260"/>
  <c r="BC179" i="279"/>
  <c r="BB201"/>
  <c r="BB209" i="280"/>
  <c r="BE266" i="277"/>
  <c r="BC149" i="279"/>
  <c r="BC215" i="280"/>
  <c r="J29" i="231"/>
  <c r="CZ30" i="260"/>
  <c r="V30" i="259"/>
  <c r="AY230" i="276"/>
  <c r="AY230" i="279"/>
  <c r="V30" i="257"/>
  <c r="J16" i="261"/>
  <c r="K15" i="260"/>
  <c r="AH29" i="263"/>
  <c r="U45" i="248"/>
  <c r="X32" i="263"/>
  <c r="BC211" i="280"/>
  <c r="CZ29" i="259"/>
  <c r="O10" i="228"/>
  <c r="CZ29" i="262"/>
  <c r="BE251" i="280"/>
  <c r="BC29" i="279"/>
  <c r="J16" i="228"/>
  <c r="BA36" i="276"/>
  <c r="K16" i="261"/>
  <c r="BB31" i="279"/>
  <c r="BB59" i="277"/>
  <c r="BC142" i="276"/>
  <c r="BD212" i="280"/>
  <c r="BI260" i="277"/>
  <c r="BC237" i="276"/>
  <c r="J91" i="154"/>
  <c r="BB36" i="276"/>
  <c r="BB64" i="277"/>
  <c r="BB199" i="279"/>
  <c r="BB258" i="277"/>
  <c r="U38" i="258"/>
  <c r="AX40" i="255"/>
  <c r="J16" i="256"/>
  <c r="BI266" i="277"/>
  <c r="BC141" i="279"/>
  <c r="BH264" i="277"/>
  <c r="U45" i="255"/>
  <c r="BA144" i="276"/>
  <c r="E62" i="231"/>
  <c r="AY182" i="277"/>
  <c r="AY123" i="276"/>
  <c r="AY123" i="279"/>
  <c r="BB360"/>
  <c r="BB360" i="276"/>
  <c r="AY181" i="277"/>
  <c r="AY122" i="276"/>
  <c r="AY122" i="279"/>
  <c r="BB119" i="276"/>
  <c r="BB366" i="279"/>
  <c r="BA366" i="276"/>
  <c r="BA178" i="277"/>
  <c r="BA119" i="279"/>
  <c r="BB364" i="276"/>
  <c r="BB116"/>
  <c r="BB175" i="277"/>
  <c r="BA176"/>
  <c r="BA117" i="276"/>
  <c r="BA117" i="279"/>
  <c r="BD170" i="277"/>
  <c r="BA367" i="276"/>
  <c r="BA367" i="279"/>
  <c r="BC364"/>
  <c r="BC116" i="276"/>
  <c r="BD176" i="277"/>
  <c r="BA116" i="276"/>
  <c r="BA364" i="279"/>
  <c r="BA39" i="276"/>
  <c r="BA39" i="279"/>
  <c r="BB83"/>
  <c r="BI58" i="277"/>
  <c r="AY31" i="276"/>
  <c r="BA81" i="279"/>
  <c r="BA140" i="277"/>
  <c r="BD146"/>
  <c r="BG58"/>
  <c r="BF57"/>
  <c r="BH64"/>
  <c r="AY140"/>
  <c r="BI141"/>
  <c r="AY207" i="279"/>
  <c r="AY266" i="277"/>
  <c r="BB30" i="279"/>
  <c r="BB58" i="277"/>
  <c r="BA83" i="276"/>
  <c r="BA29"/>
  <c r="BA29" i="279"/>
  <c r="BI57" i="277"/>
  <c r="AY29" i="276"/>
  <c r="BA87" i="279"/>
  <c r="BA87" i="276"/>
  <c r="BF59" i="277"/>
  <c r="BB264"/>
  <c r="BB205" i="279"/>
  <c r="BB262" i="277"/>
  <c r="BB203" i="276"/>
  <c r="BE64" i="277"/>
  <c r="BD262"/>
  <c r="AY58"/>
  <c r="BI146"/>
  <c r="BA31" i="276"/>
  <c r="BG146" i="277"/>
  <c r="BF67"/>
  <c r="BH140"/>
  <c r="AY83" i="276"/>
  <c r="BE59" i="277"/>
  <c r="AY39" i="276"/>
  <c r="BC140" i="277"/>
  <c r="BG57"/>
  <c r="BC58"/>
  <c r="AH26" i="257"/>
  <c r="X26" i="263"/>
  <c r="CZ30" i="256"/>
  <c r="I31" i="231"/>
  <c r="X26" i="258"/>
  <c r="BC251" i="280"/>
  <c r="V30" i="248"/>
  <c r="CZ30" i="257"/>
  <c r="F31" i="231"/>
  <c r="BA281" i="277"/>
  <c r="X26" i="255"/>
  <c r="CZ30" i="258"/>
  <c r="BB222" i="276"/>
  <c r="G31" i="231"/>
  <c r="X26" i="256"/>
  <c r="AH26" i="261"/>
  <c r="BA230" i="276"/>
  <c r="BA230" i="279"/>
  <c r="V30" i="255"/>
  <c r="L7" i="228"/>
  <c r="AY207" i="280"/>
  <c r="AY199" i="276"/>
  <c r="BG333" i="277"/>
  <c r="BG274" i="279"/>
  <c r="L16" i="258"/>
  <c r="K15" i="263"/>
  <c r="BA260" i="277"/>
  <c r="BA201" i="279"/>
  <c r="BD59" i="277"/>
  <c r="BB29" i="279"/>
  <c r="L15" i="258"/>
  <c r="AY211" i="280"/>
  <c r="AY262" i="277"/>
  <c r="L15" i="256"/>
  <c r="BB81" i="276"/>
  <c r="BH142" i="277"/>
  <c r="E18" i="231"/>
  <c r="BH267" i="277"/>
  <c r="AH29" i="258"/>
  <c r="BG261" i="277"/>
  <c r="O20" i="228"/>
  <c r="AY82" i="276"/>
  <c r="BG141" i="277"/>
  <c r="BE207" i="280"/>
  <c r="L16" i="248"/>
  <c r="BC30" i="279"/>
  <c r="BC82"/>
  <c r="BC205"/>
  <c r="E24" i="231"/>
  <c r="BH265" i="277"/>
  <c r="BI59"/>
  <c r="BC264"/>
  <c r="BG260"/>
  <c r="U41" i="257"/>
  <c r="K14" i="228"/>
  <c r="BI261" i="277"/>
  <c r="BC36" i="276"/>
  <c r="BC83"/>
  <c r="U38" i="256"/>
  <c r="BB82" i="279"/>
  <c r="BF140" i="277"/>
  <c r="BD264"/>
  <c r="U39" i="257"/>
  <c r="BA203" i="276"/>
  <c r="BA203" i="279"/>
  <c r="BF262" i="277"/>
  <c r="K15" i="259"/>
  <c r="BD274" i="276"/>
  <c r="BD346" i="280"/>
  <c r="T16" i="258"/>
  <c r="U38" i="257"/>
  <c r="BI262" i="277"/>
  <c r="BC192" i="279"/>
  <c r="CZ29" i="255"/>
  <c r="BG67" i="277"/>
  <c r="L15" i="262"/>
  <c r="AY261" i="277"/>
  <c r="AY202" i="279"/>
  <c r="AY213" i="280"/>
  <c r="AY264" i="277"/>
  <c r="BF267"/>
  <c r="J13" i="231"/>
  <c r="AY222" i="276"/>
  <c r="AY281" i="277"/>
  <c r="AY222" i="279"/>
  <c r="AH26" i="263"/>
  <c r="V30" i="260"/>
  <c r="AH26" i="258"/>
  <c r="CZ30" i="261"/>
  <c r="AG30" i="255"/>
  <c r="W16" i="260"/>
  <c r="AH29"/>
  <c r="E23" i="231"/>
  <c r="BH141" i="277"/>
  <c r="X32" i="262"/>
  <c r="BA204" i="276"/>
  <c r="BA204" i="279"/>
  <c r="BB208" i="276"/>
  <c r="BB216" i="280"/>
  <c r="W16" i="262"/>
  <c r="BH274" i="276"/>
  <c r="BH274" i="279"/>
  <c r="G17" i="231"/>
  <c r="U45" i="259"/>
  <c r="BE175" i="277" s="1"/>
  <c r="BF64"/>
  <c r="BE214" i="280"/>
  <c r="BC222" i="279"/>
  <c r="BC208"/>
  <c r="BB237"/>
  <c r="BB258" i="280"/>
  <c r="BB296" i="277"/>
  <c r="BE142"/>
  <c r="BB143" i="276"/>
  <c r="BD140" i="277"/>
  <c r="BE267"/>
  <c r="BC205" i="276"/>
  <c r="BC201"/>
  <c r="L16" i="262"/>
  <c r="BB215" i="280"/>
  <c r="BB207" i="279"/>
  <c r="AH29" i="259"/>
  <c r="AY41" i="255"/>
  <c r="BB87" i="279"/>
  <c r="BB202" i="276"/>
  <c r="BB210" i="280"/>
  <c r="BC59" i="277"/>
  <c r="BB145" i="279"/>
  <c r="BB204" i="277"/>
  <c r="BD265"/>
  <c r="L15" i="255"/>
  <c r="BA296" i="277"/>
  <c r="F14" i="231"/>
  <c r="X32" i="255"/>
  <c r="AF27"/>
  <c r="CZ26" i="257"/>
  <c r="BB230" i="276"/>
  <c r="BB251" i="280"/>
  <c r="BB289" i="277"/>
  <c r="AH26" i="248"/>
  <c r="BH281" i="277"/>
  <c r="I29" i="231"/>
  <c r="BD289" i="277"/>
  <c r="BE281"/>
  <c r="CZ26" i="261"/>
  <c r="J16" i="260"/>
  <c r="BD195" i="277"/>
  <c r="E21" i="231"/>
  <c r="CZ29" i="263"/>
  <c r="L16" i="256"/>
  <c r="U40" i="257"/>
  <c r="BE260" i="277"/>
  <c r="J16" i="262"/>
  <c r="BB274" i="276"/>
  <c r="BB346" i="280"/>
  <c r="T16" i="256"/>
  <c r="U38" i="263"/>
  <c r="BI176" i="277" s="1"/>
  <c r="BC212" i="280"/>
  <c r="L15" i="263"/>
  <c r="BC207" i="279"/>
  <c r="BF296" i="277"/>
  <c r="BD207" i="280"/>
  <c r="H38" i="231"/>
  <c r="BC274" i="276"/>
  <c r="BC274" i="279"/>
  <c r="BC195" i="277"/>
  <c r="BF260"/>
  <c r="BC202" i="276"/>
  <c r="BE263" i="277"/>
  <c r="BC210" i="280"/>
  <c r="BE274" i="276"/>
  <c r="BE346" i="280"/>
  <c r="T16" i="259"/>
  <c r="BC177" i="279"/>
  <c r="BE146" i="277"/>
  <c r="AY204" i="276"/>
  <c r="AY212" i="280"/>
  <c r="BC148" i="279"/>
  <c r="BD260" i="277"/>
  <c r="J31" i="231"/>
  <c r="X26" i="260"/>
  <c r="BH289" i="277"/>
  <c r="AG30" i="256"/>
  <c r="H31" i="231"/>
  <c r="X26" i="248"/>
  <c r="BI289" i="277"/>
  <c r="CZ30" i="248"/>
  <c r="AG30" i="257"/>
  <c r="V30" i="261"/>
  <c r="AH26" i="262"/>
  <c r="CZ26" i="256"/>
  <c r="CZ30" i="255"/>
  <c r="K15" i="261"/>
  <c r="I49" i="231"/>
  <c r="K16" i="259"/>
  <c r="BD267" i="277"/>
  <c r="AH29" i="257"/>
  <c r="BF274" i="276"/>
  <c r="BF274" i="279"/>
  <c r="U47" i="255"/>
  <c r="AY206" i="276"/>
  <c r="AY206" i="279"/>
  <c r="BC267" i="277"/>
  <c r="BE262"/>
  <c r="BA202" i="279"/>
  <c r="BA261" i="277"/>
  <c r="AY209" i="280"/>
  <c r="AY201" i="276"/>
  <c r="BF263" i="277"/>
  <c r="W16" i="248"/>
  <c r="F17" i="231"/>
  <c r="BH261" i="277"/>
  <c r="O19" i="228"/>
  <c r="U47" i="259"/>
  <c r="AY87" i="276"/>
  <c r="BH258" i="277"/>
  <c r="BA207" i="276"/>
  <c r="BA215" i="280"/>
  <c r="BI265" i="277"/>
  <c r="BE210" i="280"/>
  <c r="BE243"/>
  <c r="BC39" i="279"/>
  <c r="BC81"/>
  <c r="BC83"/>
  <c r="BC204"/>
  <c r="BA264" i="277"/>
  <c r="BA213" i="280"/>
  <c r="BA216"/>
  <c r="BA267" i="277"/>
  <c r="BC43" i="257"/>
  <c r="AY208" i="279"/>
  <c r="AY267" i="277"/>
  <c r="K16" i="248"/>
  <c r="BB206" i="279"/>
  <c r="BB214" i="280"/>
  <c r="E20" i="231"/>
  <c r="BC141" i="276"/>
  <c r="BH146" i="277"/>
  <c r="BC207" i="280"/>
  <c r="BC87" i="276"/>
  <c r="BC206"/>
  <c r="BC208"/>
  <c r="BI263" i="277"/>
  <c r="BC38" i="257"/>
  <c r="U41" i="255"/>
  <c r="BC184" i="279"/>
  <c r="BC139"/>
  <c r="F25" i="231"/>
  <c r="F194" i="187"/>
  <c r="X32" i="259"/>
  <c r="BC209" i="280"/>
  <c r="BA199" i="279"/>
  <c r="BA258" i="277"/>
  <c r="J14" i="231"/>
  <c r="CZ26" i="248"/>
  <c r="AH26" i="256"/>
  <c r="X26" i="261"/>
  <c r="K15" i="257"/>
  <c r="K15" i="258"/>
  <c r="BD142" i="277"/>
  <c r="BA214" i="280"/>
  <c r="BA206" i="276"/>
  <c r="CZ29" i="258"/>
  <c r="BD215" i="280"/>
  <c r="CZ29" i="257"/>
  <c r="O29" i="228"/>
  <c r="BC38" i="263"/>
  <c r="BC87" i="279"/>
  <c r="BG64" i="277"/>
  <c r="BB204" i="276"/>
  <c r="BB263" i="277"/>
  <c r="BA141"/>
  <c r="BC265"/>
  <c r="AH29" i="262"/>
  <c r="BA30" i="279"/>
  <c r="BA58" i="277"/>
  <c r="BD141" i="276"/>
  <c r="BD210" i="280"/>
  <c r="BC39" i="276"/>
  <c r="U45" i="257"/>
  <c r="BB39" i="279"/>
  <c r="BB67" i="277"/>
  <c r="F19" i="231"/>
  <c r="BE140" i="277"/>
  <c r="W16" i="256"/>
  <c r="BC301" i="279"/>
  <c r="BI140" i="277"/>
  <c r="BB260"/>
  <c r="BB201" i="276"/>
  <c r="BC142" i="279"/>
  <c r="BC266" i="277"/>
  <c r="J49" i="231"/>
  <c r="AH26" i="260"/>
  <c r="BE289" i="277"/>
  <c r="E29" i="231"/>
  <c r="AY289" i="277"/>
  <c r="AY251" i="280"/>
  <c r="AG30" i="261"/>
  <c r="K15" i="248"/>
  <c r="K15" i="256"/>
  <c r="CZ29" i="261"/>
  <c r="BI296" i="277"/>
  <c r="BC262"/>
  <c r="AH29" i="248"/>
  <c r="BI64" i="277"/>
  <c r="O6" i="228"/>
  <c r="BF265" i="277"/>
  <c r="BE258" i="280"/>
  <c r="BC116" i="279"/>
  <c r="BA64" i="277"/>
  <c r="BA36" i="279"/>
  <c r="BH263" i="277"/>
  <c r="BB31" i="276"/>
  <c r="L20" i="228"/>
  <c r="BC201" i="277"/>
  <c r="BD263"/>
  <c r="BC203" i="276"/>
  <c r="BC30"/>
  <c r="BC38" i="256"/>
  <c r="BB36" i="279"/>
  <c r="BB199" i="276"/>
  <c r="BB207" i="280"/>
  <c r="I25" i="231"/>
  <c r="F18"/>
  <c r="BH260" i="277"/>
  <c r="K16" i="260"/>
  <c r="BC190" i="279"/>
  <c r="G194" i="187"/>
  <c r="BE265" i="277"/>
  <c r="BA144" i="279"/>
  <c r="BA203" i="277"/>
  <c r="AJ22" i="257"/>
  <c r="AY370" i="276"/>
  <c r="AY370" i="279"/>
  <c r="AY121" i="276"/>
  <c r="AY180" i="277"/>
  <c r="AY121" i="279"/>
  <c r="BB117"/>
  <c r="BB365"/>
  <c r="AY119" i="276"/>
  <c r="AY366"/>
  <c r="AY119" i="279"/>
  <c r="AY176" i="277"/>
  <c r="AY365" i="279"/>
  <c r="BB111" i="276"/>
  <c r="BB111" i="279"/>
  <c r="BB170" i="277"/>
  <c r="AY369" i="276"/>
  <c r="AY369" i="279"/>
  <c r="BB119"/>
  <c r="BB366" i="276"/>
  <c r="BB178" i="277"/>
  <c r="AY120" i="276"/>
  <c r="AY367"/>
  <c r="AY120" i="279"/>
  <c r="BA170" i="277"/>
  <c r="BA111" i="276"/>
  <c r="BA360" i="279"/>
  <c r="BA119" i="276"/>
  <c r="BA366" i="279"/>
  <c r="BE170" i="277"/>
  <c r="BB364" i="279"/>
  <c r="BB116"/>
  <c r="BA368" i="276"/>
  <c r="BA180" i="277"/>
  <c r="BA121" i="279"/>
  <c r="BA365" i="276"/>
  <c r="BA365" i="279"/>
  <c r="AY175" i="277"/>
  <c r="AY364" i="276"/>
  <c r="AY364" i="279"/>
  <c r="BA179" i="277"/>
  <c r="BA120" i="276"/>
  <c r="BA120" i="279"/>
  <c r="BC364" i="276"/>
  <c r="BC175" i="277"/>
  <c r="BA175"/>
  <c r="BA364" i="276"/>
  <c r="BA116" i="279"/>
  <c r="BE58" i="277"/>
  <c r="AY368" i="279"/>
  <c r="AY368" i="276"/>
  <c r="BB176" i="277"/>
  <c r="BB365" i="276"/>
  <c r="BB117"/>
  <c r="AY366" i="279"/>
  <c r="AY178" i="277"/>
  <c r="AY117" i="279"/>
  <c r="AY365" i="276"/>
  <c r="AY117"/>
  <c r="AY367" i="279"/>
  <c r="AY179" i="277"/>
  <c r="BA111" i="279"/>
  <c r="BA360" i="276"/>
  <c r="BA368" i="279"/>
  <c r="BA121" i="276"/>
  <c r="AY116" i="279"/>
  <c r="AY116" i="276"/>
  <c r="BE311" i="277" l="1"/>
  <c r="AY44" i="280"/>
  <c r="AY315" i="277"/>
  <c r="AY256" i="276"/>
  <c r="BA47" i="280"/>
  <c r="BA329" s="1"/>
  <c r="BA86"/>
  <c r="AY312" i="277"/>
  <c r="AY253" i="276"/>
  <c r="AY39" i="280"/>
  <c r="AY325" s="1"/>
  <c r="BI311" i="277"/>
  <c r="BB88" i="280"/>
  <c r="BH312" i="277"/>
  <c r="AY86" i="280"/>
  <c r="BH315" i="277"/>
  <c r="BF310"/>
  <c r="BG311"/>
  <c r="BC310"/>
  <c r="BA92" i="280"/>
  <c r="AY310" i="277"/>
  <c r="AY251" i="276"/>
  <c r="AY37" i="280"/>
  <c r="AY323" s="1"/>
  <c r="BI310" i="277"/>
  <c r="BD315"/>
  <c r="BA37" i="280"/>
  <c r="BA323" s="1"/>
  <c r="BA310" i="277"/>
  <c r="BA251" i="276"/>
  <c r="BA88" i="280"/>
  <c r="BB311" i="277"/>
  <c r="BB252" i="276"/>
  <c r="BB38" i="280"/>
  <c r="BB324" s="1"/>
  <c r="BE315" i="277"/>
  <c r="BD310"/>
  <c r="BF312"/>
  <c r="AY252" i="276"/>
  <c r="AY311" i="277"/>
  <c r="AY38" i="280"/>
  <c r="AY324" s="1"/>
  <c r="BD311" i="277"/>
  <c r="BC311"/>
  <c r="BG310"/>
  <c r="BH310"/>
  <c r="AY47" i="280"/>
  <c r="AY329" s="1"/>
  <c r="BE312" i="277"/>
  <c r="AY88" i="280"/>
  <c r="BG312" i="277"/>
  <c r="BA39" i="280"/>
  <c r="BA325" s="1"/>
  <c r="BA253" i="276"/>
  <c r="BA312" i="277"/>
  <c r="F479" i="271"/>
  <c r="BA123" i="280"/>
  <c r="BA127"/>
  <c r="AY123"/>
  <c r="BA124"/>
  <c r="BA118" i="279"/>
  <c r="BA125" i="280" s="1"/>
  <c r="BA118" i="276"/>
  <c r="BA177" i="277"/>
  <c r="BA128" i="280"/>
  <c r="BB123"/>
  <c r="BA126"/>
  <c r="BA118"/>
  <c r="AY127"/>
  <c r="BB126"/>
  <c r="AY129"/>
  <c r="BB118"/>
  <c r="AY118" i="279"/>
  <c r="AY125" i="280" s="1"/>
  <c r="AY124"/>
  <c r="AY177" i="277"/>
  <c r="AY118" i="276"/>
  <c r="AY126" i="280"/>
  <c r="BB177" i="277"/>
  <c r="BB118" i="279"/>
  <c r="BB125" i="280" s="1"/>
  <c r="BB124"/>
  <c r="BB118" i="276"/>
  <c r="AY128" i="280"/>
  <c r="AY130"/>
  <c r="BA151"/>
  <c r="AL45" i="255"/>
  <c r="G243" i="187"/>
  <c r="BC148" i="280"/>
  <c r="BC198"/>
  <c r="R16" i="256"/>
  <c r="BG40" i="255"/>
  <c r="AE8" i="231"/>
  <c r="AL38" i="258"/>
  <c r="W11" i="231"/>
  <c r="AS11" s="1"/>
  <c r="BB315" i="277"/>
  <c r="BB44" i="280"/>
  <c r="BB256" i="276"/>
  <c r="BG38" i="256"/>
  <c r="J108" i="154"/>
  <c r="J328" s="1"/>
  <c r="J329" s="1"/>
  <c r="J330" s="1"/>
  <c r="BC252" i="276"/>
  <c r="BB312" i="277"/>
  <c r="BB253" i="276"/>
  <c r="BB39" i="280"/>
  <c r="BB325" s="1"/>
  <c r="BA44"/>
  <c r="BA256" i="276"/>
  <c r="BA315" i="277"/>
  <c r="J17" i="228"/>
  <c r="BC123" i="280"/>
  <c r="BC37"/>
  <c r="BC323" s="1"/>
  <c r="BE261"/>
  <c r="DI29" i="262"/>
  <c r="BI315" i="277"/>
  <c r="DI29" i="259"/>
  <c r="X33" i="263"/>
  <c r="AL45" i="248"/>
  <c r="DI29" i="261"/>
  <c r="K17" i="256"/>
  <c r="K23" s="1"/>
  <c r="K71" s="1"/>
  <c r="K17" i="260"/>
  <c r="K23" s="1"/>
  <c r="K71" s="1"/>
  <c r="K17" i="248"/>
  <c r="K23" s="1"/>
  <c r="K71" s="1"/>
  <c r="R16" i="261"/>
  <c r="AL30" i="257"/>
  <c r="BM30" s="1"/>
  <c r="AY261" i="280"/>
  <c r="AY240" i="279"/>
  <c r="AY299" i="277"/>
  <c r="AY240" i="276"/>
  <c r="AL30" i="259"/>
  <c r="BM30" s="1"/>
  <c r="BE299" i="277"/>
  <c r="DI30" i="260"/>
  <c r="BC156" i="280"/>
  <c r="BC149"/>
  <c r="BC187"/>
  <c r="BC315" i="279"/>
  <c r="DI29" i="260"/>
  <c r="AL40" i="255"/>
  <c r="T8" i="231"/>
  <c r="BG38" i="258"/>
  <c r="BB47" i="280"/>
  <c r="BB329" s="1"/>
  <c r="AL45" i="257"/>
  <c r="BA311" i="277"/>
  <c r="BA252" i="276"/>
  <c r="BA38" i="280"/>
  <c r="BA324" s="1"/>
  <c r="BA87"/>
  <c r="BG315" i="277"/>
  <c r="BC92" i="280"/>
  <c r="BG38" i="263"/>
  <c r="R16" i="259"/>
  <c r="DI29" i="257"/>
  <c r="DI29" i="258"/>
  <c r="R16"/>
  <c r="K17"/>
  <c r="K23" s="1"/>
  <c r="K71" s="1"/>
  <c r="BP12" i="260"/>
  <c r="DI10"/>
  <c r="R15" i="257"/>
  <c r="X31" i="261"/>
  <c r="BG301" i="277"/>
  <c r="AH31" i="256"/>
  <c r="AH52" s="1"/>
  <c r="DI30" i="263"/>
  <c r="X33" i="259"/>
  <c r="F243" i="187"/>
  <c r="AL38" i="255"/>
  <c r="T11" i="231"/>
  <c r="AP11" s="1"/>
  <c r="L17" i="259"/>
  <c r="L23" s="1"/>
  <c r="L71" s="1"/>
  <c r="BC146" i="280"/>
  <c r="BC147"/>
  <c r="BC192"/>
  <c r="DI29" i="256"/>
  <c r="AL41" i="255"/>
  <c r="T20" i="231"/>
  <c r="BG38" i="257"/>
  <c r="BC240" i="276"/>
  <c r="BG41" i="257"/>
  <c r="AY44"/>
  <c r="AY52" s="1"/>
  <c r="AY71" s="1"/>
  <c r="AD20" i="231"/>
  <c r="S9"/>
  <c r="AO9" s="1"/>
  <c r="AL45" i="256"/>
  <c r="BC44" i="257"/>
  <c r="BC52" s="1"/>
  <c r="BC71" s="1"/>
  <c r="BG43"/>
  <c r="BC88" i="280"/>
  <c r="BC44"/>
  <c r="BC86"/>
  <c r="BC39"/>
  <c r="BC325" s="1"/>
  <c r="BC47"/>
  <c r="BC329" s="1"/>
  <c r="L17" i="248"/>
  <c r="L23" s="1"/>
  <c r="L71" s="1"/>
  <c r="BE263" i="280"/>
  <c r="AY92"/>
  <c r="O31" i="228"/>
  <c r="AL16" i="260"/>
  <c r="L17" i="261"/>
  <c r="L23" s="1"/>
  <c r="L71" s="1"/>
  <c r="W12" i="260"/>
  <c r="K17" i="261"/>
  <c r="K23" s="1"/>
  <c r="K71" s="1"/>
  <c r="K17" i="262"/>
  <c r="K23" s="1"/>
  <c r="K71" s="1"/>
  <c r="DI30" i="255"/>
  <c r="AL30" i="261"/>
  <c r="BM30" s="1"/>
  <c r="BG299" i="277"/>
  <c r="DI30" i="248"/>
  <c r="AL30" i="263"/>
  <c r="BM30" s="1"/>
  <c r="BI299" i="277"/>
  <c r="X31" i="248"/>
  <c r="BC301" i="277"/>
  <c r="BC263" i="280"/>
  <c r="AL30" i="262"/>
  <c r="BM30" s="1"/>
  <c r="BH299" i="277"/>
  <c r="X31" i="260"/>
  <c r="BF301" i="277"/>
  <c r="BC155" i="280"/>
  <c r="BC144"/>
  <c r="BC315" i="277"/>
  <c r="BC185" i="280"/>
  <c r="BC189"/>
  <c r="AL16" i="259"/>
  <c r="BC251" i="276"/>
  <c r="BC253"/>
  <c r="AL16" i="248"/>
  <c r="AG40" i="231"/>
  <c r="AR40" s="1"/>
  <c r="X33" i="260"/>
  <c r="AL38" i="263"/>
  <c r="AL16" i="256"/>
  <c r="AF40" i="231"/>
  <c r="AQ40" s="1"/>
  <c r="R16" i="262"/>
  <c r="R15" i="255"/>
  <c r="AL40" i="257"/>
  <c r="S8" i="231"/>
  <c r="DI29" i="263"/>
  <c r="BG42" i="257"/>
  <c r="AD21" i="231"/>
  <c r="R16" i="260"/>
  <c r="X31" i="259"/>
  <c r="BE301" i="277"/>
  <c r="AL30" i="258"/>
  <c r="BM30" s="1"/>
  <c r="BD299" i="277"/>
  <c r="BD261" i="280"/>
  <c r="X31" i="262"/>
  <c r="BH301" i="277"/>
  <c r="AH31" i="248"/>
  <c r="AH52" s="1"/>
  <c r="AL30" i="256"/>
  <c r="BM30" s="1"/>
  <c r="BB299" i="277"/>
  <c r="BB261" i="280"/>
  <c r="BB240" i="279"/>
  <c r="BB240" i="276"/>
  <c r="G106" i="244"/>
  <c r="AI40" i="231"/>
  <c r="AT40" s="1"/>
  <c r="X33" i="255"/>
  <c r="BC143" i="280"/>
  <c r="BB152"/>
  <c r="BC186"/>
  <c r="BC312" i="277"/>
  <c r="BB92" i="280"/>
  <c r="BG41" i="255"/>
  <c r="AE20" i="231"/>
  <c r="BC242" i="276"/>
  <c r="DI29" i="248"/>
  <c r="BB150" i="280"/>
  <c r="X33" i="256"/>
  <c r="BC240" i="279"/>
  <c r="BC242"/>
  <c r="BF315" i="277"/>
  <c r="AL45" i="259"/>
  <c r="AL16" i="262"/>
  <c r="R16" i="248"/>
  <c r="X33" i="262"/>
  <c r="AL42" i="257"/>
  <c r="S21" i="231"/>
  <c r="AH31" i="255"/>
  <c r="AH52" s="1"/>
  <c r="DI30" i="261"/>
  <c r="DI30" i="262"/>
  <c r="AL30" i="260"/>
  <c r="BM30" s="1"/>
  <c r="BF299" i="277"/>
  <c r="X31" i="257"/>
  <c r="AY242" i="279"/>
  <c r="AY263" i="280"/>
  <c r="AY301" i="277"/>
  <c r="AY242" i="276"/>
  <c r="BG38" i="255"/>
  <c r="L17" i="262"/>
  <c r="L23" s="1"/>
  <c r="L71" s="1"/>
  <c r="BC142" i="280"/>
  <c r="DI29" i="255"/>
  <c r="BC190" i="280"/>
  <c r="BC200"/>
  <c r="BE310" i="277"/>
  <c r="AL38" i="257"/>
  <c r="S11" i="231"/>
  <c r="AO11" s="1"/>
  <c r="AL16" i="258"/>
  <c r="AH40" i="231"/>
  <c r="AS40" s="1"/>
  <c r="K17" i="259"/>
  <c r="K23" s="1"/>
  <c r="K71" s="1"/>
  <c r="BF311" i="277"/>
  <c r="U44" i="257"/>
  <c r="BB87" i="280"/>
  <c r="AL38" i="256"/>
  <c r="U11" i="231"/>
  <c r="AQ11" s="1"/>
  <c r="BC256" i="276"/>
  <c r="AL41" i="257"/>
  <c r="BM41" s="1"/>
  <c r="BO41" s="1"/>
  <c r="S20" i="231"/>
  <c r="BI312" i="277"/>
  <c r="AL43" i="257"/>
  <c r="S10" i="231"/>
  <c r="AO10" s="1"/>
  <c r="BC87" i="280"/>
  <c r="BC38"/>
  <c r="BC324" s="1"/>
  <c r="L17" i="260"/>
  <c r="L23" s="1"/>
  <c r="L71" s="1"/>
  <c r="AY87" i="280"/>
  <c r="BG40" i="257"/>
  <c r="AD8" i="231"/>
  <c r="BB86" i="280"/>
  <c r="L17" i="256"/>
  <c r="L23" s="1"/>
  <c r="L71" s="1"/>
  <c r="L17" i="258"/>
  <c r="L23" s="1"/>
  <c r="L71" s="1"/>
  <c r="BB310" i="277"/>
  <c r="BB37" i="280"/>
  <c r="BB323" s="1"/>
  <c r="BB251" i="276"/>
  <c r="BD312" i="277"/>
  <c r="AL16" i="261"/>
  <c r="AL30" i="255"/>
  <c r="BM30" s="1"/>
  <c r="BA261" i="280"/>
  <c r="BA240" i="279"/>
  <c r="BA240" i="276"/>
  <c r="BA299" i="277"/>
  <c r="X31" i="256"/>
  <c r="BB263" i="280"/>
  <c r="BB301" i="277"/>
  <c r="BB242" i="276"/>
  <c r="BB242" i="279"/>
  <c r="DI30" i="258"/>
  <c r="X31" i="255"/>
  <c r="BA263" i="280"/>
  <c r="BA301" i="277"/>
  <c r="BA242" i="276"/>
  <c r="BA242" i="279"/>
  <c r="DI30" i="257"/>
  <c r="DI30" i="259"/>
  <c r="AL30" i="248"/>
  <c r="BM30" s="1"/>
  <c r="BC299" i="277"/>
  <c r="BC261" i="280"/>
  <c r="X31" i="258"/>
  <c r="BD301" i="277"/>
  <c r="BD263" i="280"/>
  <c r="DI30" i="256"/>
  <c r="X31" i="263"/>
  <c r="BI301" i="277"/>
  <c r="AH31" i="257"/>
  <c r="AH52" s="1"/>
  <c r="F184" i="191"/>
  <c r="F183"/>
  <c r="J532" i="270"/>
  <c r="H28" i="157"/>
  <c r="G32"/>
  <c r="G87" s="1"/>
  <c r="G38"/>
  <c r="G42" s="1"/>
  <c r="I401" i="270"/>
  <c r="I337" s="1"/>
  <c r="H148" i="133"/>
  <c r="G288"/>
  <c r="F370" i="154"/>
  <c r="F339"/>
  <c r="O233" i="187"/>
  <c r="O234" s="1"/>
  <c r="I55" i="184"/>
  <c r="H59"/>
  <c r="H173" s="1"/>
  <c r="F641" i="270"/>
  <c r="H445" i="159"/>
  <c r="H345"/>
  <c r="H28" s="1"/>
  <c r="H166" i="184"/>
  <c r="H229" s="1"/>
  <c r="H165"/>
  <c r="H228" s="1"/>
  <c r="H167"/>
  <c r="H230" s="1"/>
  <c r="H93" i="197"/>
  <c r="H126" s="1"/>
  <c r="H94"/>
  <c r="H127" s="1"/>
  <c r="H95"/>
  <c r="H128" s="1"/>
  <c r="J552" i="270"/>
  <c r="K388"/>
  <c r="M40" i="234"/>
  <c r="L89" i="196"/>
  <c r="L90"/>
  <c r="F191" i="272"/>
  <c r="F172"/>
  <c r="F273"/>
  <c r="F216"/>
  <c r="H112" i="191"/>
  <c r="H82"/>
  <c r="BE175" i="279"/>
  <c r="H147" i="133"/>
  <c r="G287"/>
  <c r="L207" i="272"/>
  <c r="L210" s="1"/>
  <c r="H199"/>
  <c r="H202" s="1"/>
  <c r="H194"/>
  <c r="H256" i="187"/>
  <c r="H271" s="1"/>
  <c r="H258"/>
  <c r="H280" s="1"/>
  <c r="G111" i="233"/>
  <c r="F149" i="194"/>
  <c r="F128"/>
  <c r="J101" i="190"/>
  <c r="H144" i="189"/>
  <c r="H148" s="1"/>
  <c r="H160" s="1"/>
  <c r="I171" s="1"/>
  <c r="I191"/>
  <c r="I193" s="1"/>
  <c r="F372" i="159"/>
  <c r="F381"/>
  <c r="F359"/>
  <c r="F350"/>
  <c r="F115" i="182"/>
  <c r="F116"/>
  <c r="L272" i="272"/>
  <c r="M160"/>
  <c r="O56" i="198"/>
  <c r="O55"/>
  <c r="J55"/>
  <c r="J56"/>
  <c r="I533" i="270"/>
  <c r="I534"/>
  <c r="N314"/>
  <c r="J571"/>
  <c r="M207" i="272"/>
  <c r="M210" s="1"/>
  <c r="K134" i="184"/>
  <c r="J172"/>
  <c r="F187" i="200"/>
  <c r="F190" s="1"/>
  <c r="K238" i="187"/>
  <c r="K241" s="1"/>
  <c r="K232"/>
  <c r="F658" i="270"/>
  <c r="F688"/>
  <c r="I246" i="154"/>
  <c r="H331"/>
  <c r="H332" s="1"/>
  <c r="G244" i="238"/>
  <c r="G246" s="1"/>
  <c r="G281"/>
  <c r="J609" i="270"/>
  <c r="G386" i="159"/>
  <c r="G377"/>
  <c r="F399"/>
  <c r="F408"/>
  <c r="M36" i="237"/>
  <c r="N118" i="244"/>
  <c r="L123" i="271"/>
  <c r="M79"/>
  <c r="M137" i="48"/>
  <c r="M113"/>
  <c r="M132" s="1"/>
  <c r="M134"/>
  <c r="M114"/>
  <c r="M112"/>
  <c r="K118" i="244"/>
  <c r="G330" i="159"/>
  <c r="G437" s="1"/>
  <c r="G339"/>
  <c r="G446" s="1"/>
  <c r="G511" s="1"/>
  <c r="K236" i="272"/>
  <c r="K235"/>
  <c r="K234"/>
  <c r="K149" i="194"/>
  <c r="K128"/>
  <c r="F369" i="154"/>
  <c r="O34" i="237"/>
  <c r="M118" i="244"/>
  <c r="K103" i="153"/>
  <c r="K126" s="1"/>
  <c r="J99"/>
  <c r="J103" s="1"/>
  <c r="J126" s="1"/>
  <c r="J127" s="1"/>
  <c r="J235" i="159"/>
  <c r="J236"/>
  <c r="K234"/>
  <c r="H137" i="48"/>
  <c r="H113"/>
  <c r="H132" s="1"/>
  <c r="H134"/>
  <c r="H114"/>
  <c r="H112"/>
  <c r="H55" i="198"/>
  <c r="H56"/>
  <c r="L91" i="234"/>
  <c r="F659" i="270"/>
  <c r="G637"/>
  <c r="G477" s="1"/>
  <c r="F565"/>
  <c r="F564"/>
  <c r="F566"/>
  <c r="K525"/>
  <c r="K526"/>
  <c r="K527"/>
  <c r="M199" i="272"/>
  <c r="M202" s="1"/>
  <c r="M194"/>
  <c r="O525" i="270"/>
  <c r="O526"/>
  <c r="O527"/>
  <c r="N519" i="271"/>
  <c r="N520"/>
  <c r="N521"/>
  <c r="H63" i="168"/>
  <c r="H111" s="1"/>
  <c r="H107"/>
  <c r="H79"/>
  <c r="H121" s="1"/>
  <c r="H122" s="1"/>
  <c r="F32" i="245"/>
  <c r="K32"/>
  <c r="L42"/>
  <c r="K33" i="237"/>
  <c r="J37"/>
  <c r="K244" i="238"/>
  <c r="K246" s="1"/>
  <c r="K281"/>
  <c r="L20" i="270"/>
  <c r="M16"/>
  <c r="L291" i="154"/>
  <c r="L292" s="1"/>
  <c r="L294" s="1"/>
  <c r="L295" s="1"/>
  <c r="H137" i="191"/>
  <c r="H83"/>
  <c r="I55" i="198"/>
  <c r="I56"/>
  <c r="L118" i="244"/>
  <c r="O143" i="153"/>
  <c r="O129"/>
  <c r="O130" s="1"/>
  <c r="I256" i="187"/>
  <c r="I271" s="1"/>
  <c r="I258"/>
  <c r="I280" s="1"/>
  <c r="H146" i="133"/>
  <c r="G150"/>
  <c r="G286"/>
  <c r="O191" i="272"/>
  <c r="O172"/>
  <c r="O216"/>
  <c r="O273"/>
  <c r="F118" i="182"/>
  <c r="K244" i="133"/>
  <c r="K290"/>
  <c r="I137" i="48"/>
  <c r="I113"/>
  <c r="I132" s="1"/>
  <c r="I134"/>
  <c r="I114"/>
  <c r="I112"/>
  <c r="F191" i="184"/>
  <c r="F192" s="1"/>
  <c r="F215" s="1"/>
  <c r="F200"/>
  <c r="F202" s="1"/>
  <c r="F336" i="270"/>
  <c r="I572"/>
  <c r="I573" s="1"/>
  <c r="I89" i="197"/>
  <c r="I104"/>
  <c r="H238" i="187"/>
  <c r="H241" s="1"/>
  <c r="H232"/>
  <c r="J100" i="182"/>
  <c r="J102" s="1"/>
  <c r="J114"/>
  <c r="F401" i="270"/>
  <c r="G31" i="157"/>
  <c r="O244" i="238"/>
  <c r="O246" s="1"/>
  <c r="O281"/>
  <c r="F256" i="187"/>
  <c r="F271" s="1"/>
  <c r="F258"/>
  <c r="F280" s="1"/>
  <c r="H512" i="159"/>
  <c r="H382"/>
  <c r="H388" s="1"/>
  <c r="H30" s="1"/>
  <c r="H403"/>
  <c r="H410" s="1"/>
  <c r="H31" s="1"/>
  <c r="H19" s="1"/>
  <c r="F341"/>
  <c r="F448" s="1"/>
  <c r="F332"/>
  <c r="F439" s="1"/>
  <c r="E120" i="269"/>
  <c r="K194" i="272"/>
  <c r="K199"/>
  <c r="K202" s="1"/>
  <c r="J494" i="270"/>
  <c r="F118" i="244"/>
  <c r="H478" i="271"/>
  <c r="H89" i="196"/>
  <c r="H90"/>
  <c r="F465" i="159"/>
  <c r="F497"/>
  <c r="N43" i="237"/>
  <c r="O43" s="1"/>
  <c r="J118" i="244"/>
  <c r="I365" i="159"/>
  <c r="I383"/>
  <c r="I363"/>
  <c r="I406"/>
  <c r="I403"/>
  <c r="I364"/>
  <c r="I405"/>
  <c r="I387"/>
  <c r="I385"/>
  <c r="I409"/>
  <c r="I382"/>
  <c r="I384"/>
  <c r="I404"/>
  <c r="I408"/>
  <c r="I381"/>
  <c r="I360"/>
  <c r="I361"/>
  <c r="I407"/>
  <c r="I362"/>
  <c r="I359"/>
  <c r="I366" s="1"/>
  <c r="I29" s="1"/>
  <c r="I386"/>
  <c r="I339"/>
  <c r="I446" s="1"/>
  <c r="I511" s="1"/>
  <c r="I343"/>
  <c r="I450" s="1"/>
  <c r="I344"/>
  <c r="I451" s="1"/>
  <c r="I341"/>
  <c r="I448" s="1"/>
  <c r="I342"/>
  <c r="I449" s="1"/>
  <c r="I340"/>
  <c r="I447" s="1"/>
  <c r="I338"/>
  <c r="J137" i="48"/>
  <c r="J113"/>
  <c r="J132" s="1"/>
  <c r="J134"/>
  <c r="J114"/>
  <c r="J112"/>
  <c r="H129" i="200"/>
  <c r="G179"/>
  <c r="G161" i="191"/>
  <c r="F507" i="270"/>
  <c r="F508"/>
  <c r="F506"/>
  <c r="J199" i="272"/>
  <c r="J202" s="1"/>
  <c r="J194"/>
  <c r="L283" i="187"/>
  <c r="N525" i="270"/>
  <c r="N527"/>
  <c r="N526"/>
  <c r="M520" i="271"/>
  <c r="M521"/>
  <c r="M519"/>
  <c r="M522" s="1"/>
  <c r="L63" i="168"/>
  <c r="L111" s="1"/>
  <c r="L107"/>
  <c r="L79"/>
  <c r="L121" s="1"/>
  <c r="L122" s="1"/>
  <c r="O42" i="245"/>
  <c r="I79" i="237"/>
  <c r="I94"/>
  <c r="I112" s="1"/>
  <c r="O109" i="194"/>
  <c r="O113" s="1"/>
  <c r="L5" i="231"/>
  <c r="M144" i="189"/>
  <c r="M148" s="1"/>
  <c r="M160" s="1"/>
  <c r="N171" s="1"/>
  <c r="N191"/>
  <c r="N193" s="1"/>
  <c r="J158"/>
  <c r="J162" s="1"/>
  <c r="K172" s="1"/>
  <c r="G101" i="190"/>
  <c r="N89" i="196"/>
  <c r="N90"/>
  <c r="K89"/>
  <c r="K90"/>
  <c r="N527" i="271"/>
  <c r="N529"/>
  <c r="N528"/>
  <c r="K492"/>
  <c r="K494" s="1"/>
  <c r="F468"/>
  <c r="F446"/>
  <c r="BE134" i="279"/>
  <c r="L43" i="233"/>
  <c r="L47" s="1"/>
  <c r="L83" s="1"/>
  <c r="L90" s="1"/>
  <c r="K38"/>
  <c r="K79" s="1"/>
  <c r="K89" s="1"/>
  <c r="L34"/>
  <c r="H131" i="235"/>
  <c r="H132"/>
  <c r="K17" i="133"/>
  <c r="L50"/>
  <c r="N73" i="244"/>
  <c r="N82" s="1"/>
  <c r="N66"/>
  <c r="N74" s="1"/>
  <c r="N83" s="1"/>
  <c r="N265" i="154"/>
  <c r="N270" s="1"/>
  <c r="N272" s="1"/>
  <c r="N273" s="1"/>
  <c r="N302" s="1"/>
  <c r="N277"/>
  <c r="N278" s="1"/>
  <c r="N280" s="1"/>
  <c r="N319"/>
  <c r="N126" i="187"/>
  <c r="N174" s="1"/>
  <c r="N251" s="1"/>
  <c r="N125"/>
  <c r="N173" s="1"/>
  <c r="N250" s="1"/>
  <c r="O124"/>
  <c r="N137" i="48"/>
  <c r="N134"/>
  <c r="N113"/>
  <c r="N132" s="1"/>
  <c r="N114"/>
  <c r="N112"/>
  <c r="H535" i="270"/>
  <c r="M44" i="233"/>
  <c r="M35"/>
  <c r="H118" i="244"/>
  <c r="G104" i="237"/>
  <c r="J109" i="153"/>
  <c r="J113" s="1"/>
  <c r="K113"/>
  <c r="K124" i="271"/>
  <c r="L80"/>
  <c r="I400" i="270"/>
  <c r="I336"/>
  <c r="L173" i="184"/>
  <c r="K521" i="271"/>
  <c r="K520"/>
  <c r="K519"/>
  <c r="H236" i="272"/>
  <c r="H234"/>
  <c r="H235"/>
  <c r="F190"/>
  <c r="F209"/>
  <c r="H593" i="270"/>
  <c r="K136" i="184"/>
  <c r="J201"/>
  <c r="M36" i="233"/>
  <c r="J398" i="270"/>
  <c r="F244" i="238"/>
  <c r="F246" s="1"/>
  <c r="F281"/>
  <c r="G158" i="189"/>
  <c r="G162" s="1"/>
  <c r="H172" s="1"/>
  <c r="J95" i="197"/>
  <c r="J128" s="1"/>
  <c r="J94"/>
  <c r="J127" s="1"/>
  <c r="J93"/>
  <c r="J126" s="1"/>
  <c r="M89" i="196"/>
  <c r="M90"/>
  <c r="G394" i="159"/>
  <c r="G403"/>
  <c r="G410" s="1"/>
  <c r="G31" s="1"/>
  <c r="F338"/>
  <c r="F329"/>
  <c r="J95" i="234"/>
  <c r="J96" s="1"/>
  <c r="J99"/>
  <c r="J117" s="1"/>
  <c r="L18" i="133"/>
  <c r="L31" s="1"/>
  <c r="L155" s="1"/>
  <c r="M51"/>
  <c r="L52"/>
  <c r="L63" s="1"/>
  <c r="O291" i="154"/>
  <c r="O292" s="1"/>
  <c r="O294" s="1"/>
  <c r="O295" s="1"/>
  <c r="H465" i="159"/>
  <c r="H329"/>
  <c r="H350"/>
  <c r="H357" s="1"/>
  <c r="H38" s="1"/>
  <c r="H17" s="1"/>
  <c r="H377"/>
  <c r="H379" s="1"/>
  <c r="H39" s="1"/>
  <c r="I75" i="191"/>
  <c r="I76"/>
  <c r="I81"/>
  <c r="L137" i="48"/>
  <c r="L113"/>
  <c r="L132" s="1"/>
  <c r="L134"/>
  <c r="L114"/>
  <c r="L112"/>
  <c r="H16"/>
  <c r="G17"/>
  <c r="G30"/>
  <c r="F216" i="184"/>
  <c r="F183"/>
  <c r="F238" s="1"/>
  <c r="F182"/>
  <c r="F237" s="1"/>
  <c r="F181"/>
  <c r="F236" s="1"/>
  <c r="F56" i="198"/>
  <c r="F55"/>
  <c r="N56"/>
  <c r="N55"/>
  <c r="M179" i="272"/>
  <c r="M227" s="1"/>
  <c r="M178"/>
  <c r="M226" s="1"/>
  <c r="M180"/>
  <c r="M228" s="1"/>
  <c r="H118" i="182"/>
  <c r="I437" i="271"/>
  <c r="I539"/>
  <c r="O314" i="270"/>
  <c r="L314"/>
  <c r="G165" i="184"/>
  <c r="G228" s="1"/>
  <c r="G231" s="1"/>
  <c r="G167"/>
  <c r="G230" s="1"/>
  <c r="G166"/>
  <c r="G229" s="1"/>
  <c r="I207" i="272"/>
  <c r="I210" s="1"/>
  <c r="BF64" i="279"/>
  <c r="N39" i="234"/>
  <c r="N48" s="1"/>
  <c r="G232" i="187"/>
  <c r="G238"/>
  <c r="G241" s="1"/>
  <c r="L100" i="182"/>
  <c r="L102" s="1"/>
  <c r="L114"/>
  <c r="I238" i="187"/>
  <c r="I241" s="1"/>
  <c r="I232"/>
  <c r="J232"/>
  <c r="J238"/>
  <c r="J241" s="1"/>
  <c r="L100" i="190"/>
  <c r="L99"/>
  <c r="M100" i="182"/>
  <c r="M102" s="1"/>
  <c r="M114"/>
  <c r="H102" i="237"/>
  <c r="H103"/>
  <c r="G29" i="157"/>
  <c r="F466" i="271"/>
  <c r="F444"/>
  <c r="J41" i="235"/>
  <c r="J50" s="1"/>
  <c r="I244" i="238"/>
  <c r="I246" s="1"/>
  <c r="I281"/>
  <c r="G144" i="189"/>
  <c r="G148" s="1"/>
  <c r="G160" s="1"/>
  <c r="H171" s="1"/>
  <c r="H191"/>
  <c r="H193" s="1"/>
  <c r="J291" i="154"/>
  <c r="J292" s="1"/>
  <c r="J294" s="1"/>
  <c r="J295" s="1"/>
  <c r="I89" i="196"/>
  <c r="I90"/>
  <c r="L528" i="271"/>
  <c r="L527"/>
  <c r="L529"/>
  <c r="I492"/>
  <c r="I494" s="1"/>
  <c r="I179" i="272"/>
  <c r="I227" s="1"/>
  <c r="I178"/>
  <c r="I226" s="1"/>
  <c r="I180"/>
  <c r="I228" s="1"/>
  <c r="G355" i="159"/>
  <c r="G364"/>
  <c r="F386"/>
  <c r="F377"/>
  <c r="H437" i="271"/>
  <c r="H539"/>
  <c r="H432"/>
  <c r="H475"/>
  <c r="K116" i="182"/>
  <c r="K115"/>
  <c r="K118" s="1"/>
  <c r="G66" i="188"/>
  <c r="G67"/>
  <c r="G65"/>
  <c r="K55" i="198"/>
  <c r="K56"/>
  <c r="F10" i="35"/>
  <c r="G9"/>
  <c r="BC411" i="277"/>
  <c r="E92"/>
  <c r="BI81"/>
  <c r="H314" i="270"/>
  <c r="H334"/>
  <c r="H338" s="1"/>
  <c r="F467" i="159"/>
  <c r="M173" i="184"/>
  <c r="G511" i="271"/>
  <c r="G513"/>
  <c r="G512"/>
  <c r="H244" i="272"/>
  <c r="H243"/>
  <c r="H242"/>
  <c r="H245" s="1"/>
  <c r="I495" i="270"/>
  <c r="I496" s="1"/>
  <c r="J33" i="236"/>
  <c r="I37"/>
  <c r="I70" s="1"/>
  <c r="J399" i="270"/>
  <c r="M109" i="194"/>
  <c r="M113" s="1"/>
  <c r="L109"/>
  <c r="L113" s="1"/>
  <c r="G5" i="269"/>
  <c r="L5"/>
  <c r="F32" i="157"/>
  <c r="F87" s="1"/>
  <c r="F38"/>
  <c r="F42" s="1"/>
  <c r="M37" i="233"/>
  <c r="J144" i="189"/>
  <c r="J148" s="1"/>
  <c r="J160" s="1"/>
  <c r="K171" s="1"/>
  <c r="K191"/>
  <c r="K193" s="1"/>
  <c r="H404" i="271"/>
  <c r="H371"/>
  <c r="H149" i="133"/>
  <c r="G289"/>
  <c r="K193" i="187"/>
  <c r="H527" i="271"/>
  <c r="H530" s="1"/>
  <c r="H529"/>
  <c r="H528"/>
  <c r="J527"/>
  <c r="J530" s="1"/>
  <c r="J529"/>
  <c r="J528"/>
  <c r="K265" i="154"/>
  <c r="K270" s="1"/>
  <c r="K272" s="1"/>
  <c r="K273" s="1"/>
  <c r="K277"/>
  <c r="K278" s="1"/>
  <c r="K280" s="1"/>
  <c r="K319"/>
  <c r="I351" i="159"/>
  <c r="I378"/>
  <c r="I376"/>
  <c r="I400"/>
  <c r="I395"/>
  <c r="I356"/>
  <c r="I374"/>
  <c r="I354"/>
  <c r="I397"/>
  <c r="I373"/>
  <c r="I394"/>
  <c r="I401" s="1"/>
  <c r="I40" s="1"/>
  <c r="I355"/>
  <c r="I396"/>
  <c r="I398"/>
  <c r="I352"/>
  <c r="I353"/>
  <c r="I377"/>
  <c r="I350"/>
  <c r="I372"/>
  <c r="I379" s="1"/>
  <c r="I39" s="1"/>
  <c r="I375"/>
  <c r="I399"/>
  <c r="I333"/>
  <c r="I440" s="1"/>
  <c r="I329"/>
  <c r="I331"/>
  <c r="I438" s="1"/>
  <c r="I334"/>
  <c r="I441" s="1"/>
  <c r="I466" s="1"/>
  <c r="I335"/>
  <c r="I442" s="1"/>
  <c r="I330"/>
  <c r="I437" s="1"/>
  <c r="I332"/>
  <c r="I439" s="1"/>
  <c r="I464" s="1"/>
  <c r="O137" i="48"/>
  <c r="O134"/>
  <c r="O113"/>
  <c r="O132" s="1"/>
  <c r="O112"/>
  <c r="O114"/>
  <c r="G216" i="184"/>
  <c r="G183"/>
  <c r="G238" s="1"/>
  <c r="G247" s="1"/>
  <c r="G182"/>
  <c r="G237" s="1"/>
  <c r="G246" s="1"/>
  <c r="G181"/>
  <c r="G236" s="1"/>
  <c r="G245" s="1"/>
  <c r="L56" i="198"/>
  <c r="L55"/>
  <c r="K44" i="236"/>
  <c r="K34"/>
  <c r="O487" i="271"/>
  <c r="L179" i="272"/>
  <c r="L227" s="1"/>
  <c r="L180"/>
  <c r="L228" s="1"/>
  <c r="L178"/>
  <c r="L226" s="1"/>
  <c r="J179"/>
  <c r="J227" s="1"/>
  <c r="J180"/>
  <c r="J228" s="1"/>
  <c r="J178"/>
  <c r="J226" s="1"/>
  <c r="BF107" i="277"/>
  <c r="G314" i="270"/>
  <c r="G334"/>
  <c r="G338" s="1"/>
  <c r="F335"/>
  <c r="H141" i="191"/>
  <c r="J35" i="237"/>
  <c r="G566" i="270"/>
  <c r="G564"/>
  <c r="G565"/>
  <c r="L235" i="272"/>
  <c r="L236"/>
  <c r="L234"/>
  <c r="G487" i="271"/>
  <c r="M492"/>
  <c r="M494" s="1"/>
  <c r="M527" i="270"/>
  <c r="M525"/>
  <c r="M526"/>
  <c r="J525"/>
  <c r="J527"/>
  <c r="J526"/>
  <c r="H526"/>
  <c r="H525"/>
  <c r="H527"/>
  <c r="L521" i="271"/>
  <c r="L520"/>
  <c r="L519"/>
  <c r="K207" i="272"/>
  <c r="K210" s="1"/>
  <c r="I519" i="271"/>
  <c r="I522" s="1"/>
  <c r="I521"/>
  <c r="I520"/>
  <c r="G602" i="270"/>
  <c r="G603"/>
  <c r="G604"/>
  <c r="G526"/>
  <c r="G527"/>
  <c r="G525"/>
  <c r="G42" i="245"/>
  <c r="G63" i="168"/>
  <c r="G111" s="1"/>
  <c r="G107"/>
  <c r="G79"/>
  <c r="G121" s="1"/>
  <c r="G122" s="1"/>
  <c r="I63"/>
  <c r="I111" s="1"/>
  <c r="I107"/>
  <c r="I79"/>
  <c r="I121" s="1"/>
  <c r="I122" s="1"/>
  <c r="M32" i="245"/>
  <c r="I42"/>
  <c r="O32"/>
  <c r="F107" i="168"/>
  <c r="F63"/>
  <c r="F111" s="1"/>
  <c r="F79"/>
  <c r="F121" s="1"/>
  <c r="F122" s="1"/>
  <c r="N32" i="245"/>
  <c r="O63" i="168"/>
  <c r="O107"/>
  <c r="O79"/>
  <c r="O121" s="1"/>
  <c r="O122" s="1"/>
  <c r="F168" i="200"/>
  <c r="F164"/>
  <c r="F166" s="1"/>
  <c r="N149" i="194"/>
  <c r="N128"/>
  <c r="I351" i="271"/>
  <c r="I408" s="1"/>
  <c r="I350"/>
  <c r="I407" s="1"/>
  <c r="J244" i="238"/>
  <c r="J246" s="1"/>
  <c r="J281"/>
  <c r="O193" i="272"/>
  <c r="O189"/>
  <c r="O166"/>
  <c r="O201"/>
  <c r="J277" i="154"/>
  <c r="J278" s="1"/>
  <c r="J280" s="1"/>
  <c r="J265"/>
  <c r="J270" s="1"/>
  <c r="J272" s="1"/>
  <c r="J273" s="1"/>
  <c r="J302" s="1"/>
  <c r="J319"/>
  <c r="O468" i="271"/>
  <c r="O446"/>
  <c r="G89" i="196"/>
  <c r="G90"/>
  <c r="K375" i="270"/>
  <c r="K389" s="1"/>
  <c r="K376"/>
  <c r="K377"/>
  <c r="K391" s="1"/>
  <c r="K378"/>
  <c r="K373"/>
  <c r="K387" s="1"/>
  <c r="K374"/>
  <c r="K371"/>
  <c r="K385" s="1"/>
  <c r="K372"/>
  <c r="G529" i="271"/>
  <c r="G527"/>
  <c r="G528"/>
  <c r="M256" i="187"/>
  <c r="M271" s="1"/>
  <c r="M258"/>
  <c r="M280" s="1"/>
  <c r="G137" i="48"/>
  <c r="G113"/>
  <c r="G132" s="1"/>
  <c r="G134"/>
  <c r="G114"/>
  <c r="G112"/>
  <c r="O433" i="271"/>
  <c r="O463"/>
  <c r="O474"/>
  <c r="O477"/>
  <c r="O428"/>
  <c r="N372" i="154"/>
  <c r="K327" i="271"/>
  <c r="J324"/>
  <c r="J357" s="1"/>
  <c r="J414" s="1"/>
  <c r="J326"/>
  <c r="J325"/>
  <c r="J358" s="1"/>
  <c r="J415" s="1"/>
  <c r="M143" i="153"/>
  <c r="M129"/>
  <c r="BE107" i="277"/>
  <c r="F467" i="271"/>
  <c r="F445"/>
  <c r="F438"/>
  <c r="J256" i="187"/>
  <c r="J271" s="1"/>
  <c r="J258"/>
  <c r="J280" s="1"/>
  <c r="F243" i="133"/>
  <c r="F247" s="1"/>
  <c r="F248" s="1"/>
  <c r="F160"/>
  <c r="N244" i="238"/>
  <c r="N246" s="1"/>
  <c r="N281"/>
  <c r="G381" i="159"/>
  <c r="G388" s="1"/>
  <c r="G30" s="1"/>
  <c r="G372"/>
  <c r="N179" i="272"/>
  <c r="N227" s="1"/>
  <c r="N180"/>
  <c r="N228" s="1"/>
  <c r="N178"/>
  <c r="N226" s="1"/>
  <c r="K179"/>
  <c r="K227" s="1"/>
  <c r="K180"/>
  <c r="K228" s="1"/>
  <c r="K178"/>
  <c r="K226" s="1"/>
  <c r="K297" i="133"/>
  <c r="K259"/>
  <c r="K298" s="1"/>
  <c r="G319" i="154"/>
  <c r="G321" s="1"/>
  <c r="G329" s="1"/>
  <c r="G330" s="1"/>
  <c r="G332" s="1"/>
  <c r="G265"/>
  <c r="G270" s="1"/>
  <c r="G272" s="1"/>
  <c r="M251" i="272"/>
  <c r="M252"/>
  <c r="M250"/>
  <c r="BC107" i="277"/>
  <c r="F314" i="270"/>
  <c r="F334"/>
  <c r="F338" s="1"/>
  <c r="J314"/>
  <c r="J590"/>
  <c r="K390"/>
  <c r="N89" i="197"/>
  <c r="N104"/>
  <c r="O104"/>
  <c r="O89"/>
  <c r="N238" i="187"/>
  <c r="N241" s="1"/>
  <c r="N232"/>
  <c r="H265" i="154"/>
  <c r="H270" s="1"/>
  <c r="H272" s="1"/>
  <c r="H273" s="1"/>
  <c r="H277"/>
  <c r="H278" s="1"/>
  <c r="H280" s="1"/>
  <c r="H319"/>
  <c r="G17" i="157"/>
  <c r="G21" s="1"/>
  <c r="G81" s="1"/>
  <c r="H18"/>
  <c r="G19"/>
  <c r="G20"/>
  <c r="G18"/>
  <c r="H20"/>
  <c r="H19"/>
  <c r="G467" i="271"/>
  <c r="G445"/>
  <c r="G438"/>
  <c r="K38" i="234"/>
  <c r="N144" i="189"/>
  <c r="N148" s="1"/>
  <c r="N160" s="1"/>
  <c r="O171" s="1"/>
  <c r="O191"/>
  <c r="O193" s="1"/>
  <c r="O190" i="272"/>
  <c r="O209"/>
  <c r="J89" i="196"/>
  <c r="J90"/>
  <c r="BE4" i="279"/>
  <c r="O492" i="271"/>
  <c r="O494" s="1"/>
  <c r="I252" i="272"/>
  <c r="I250"/>
  <c r="I253" s="1"/>
  <c r="I251"/>
  <c r="F334" i="159"/>
  <c r="F441" s="1"/>
  <c r="F466" s="1"/>
  <c r="F343"/>
  <c r="F450" s="1"/>
  <c r="I107" i="235"/>
  <c r="I115" s="1"/>
  <c r="I121"/>
  <c r="I141" s="1"/>
  <c r="O101" i="190"/>
  <c r="G55" i="198"/>
  <c r="G56"/>
  <c r="F384" i="159"/>
  <c r="F375"/>
  <c r="G463"/>
  <c r="F382"/>
  <c r="F373"/>
  <c r="G351"/>
  <c r="G360"/>
  <c r="BB107" i="277"/>
  <c r="I151" i="184"/>
  <c r="I153" s="1"/>
  <c r="I160" s="1"/>
  <c r="I152"/>
  <c r="N194" i="272"/>
  <c r="N199"/>
  <c r="N202" s="1"/>
  <c r="F193"/>
  <c r="F189"/>
  <c r="F201"/>
  <c r="F166"/>
  <c r="J360" i="271"/>
  <c r="J417" s="1"/>
  <c r="J359"/>
  <c r="J416" s="1"/>
  <c r="H109" i="194"/>
  <c r="H113" s="1"/>
  <c r="H434" i="271"/>
  <c r="L142"/>
  <c r="K143"/>
  <c r="F144" i="189"/>
  <c r="F148" s="1"/>
  <c r="F160" s="1"/>
  <c r="G171" s="1"/>
  <c r="G191"/>
  <c r="G193" s="1"/>
  <c r="F512" i="159"/>
  <c r="H215" i="272"/>
  <c r="H217" s="1"/>
  <c r="O118" i="244"/>
  <c r="G256" i="187"/>
  <c r="G271" s="1"/>
  <c r="G258"/>
  <c r="G280" s="1"/>
  <c r="G192" i="272"/>
  <c r="G208"/>
  <c r="G171"/>
  <c r="M314" i="270"/>
  <c r="F185" i="191"/>
  <c r="F165"/>
  <c r="F196" s="1"/>
  <c r="F167"/>
  <c r="F198" s="1"/>
  <c r="F166"/>
  <c r="F197" s="1"/>
  <c r="N242" i="272"/>
  <c r="N244"/>
  <c r="N243"/>
  <c r="F492" i="271"/>
  <c r="F494" s="1"/>
  <c r="L194" i="272"/>
  <c r="L199"/>
  <c r="L202" s="1"/>
  <c r="O432" i="271"/>
  <c r="L526" i="270"/>
  <c r="L525"/>
  <c r="L527"/>
  <c r="F644"/>
  <c r="E673" s="1"/>
  <c r="F621"/>
  <c r="F622"/>
  <c r="F623"/>
  <c r="F583"/>
  <c r="F584"/>
  <c r="F585"/>
  <c r="J207" i="272"/>
  <c r="J210" s="1"/>
  <c r="J32" i="245"/>
  <c r="H32"/>
  <c r="J63" i="168"/>
  <c r="J111" s="1"/>
  <c r="J107"/>
  <c r="J79"/>
  <c r="J121" s="1"/>
  <c r="J122" s="1"/>
  <c r="G90" i="236"/>
  <c r="G91"/>
  <c r="H128" i="200"/>
  <c r="G161"/>
  <c r="H628" i="270"/>
  <c r="H631" s="1"/>
  <c r="H632" s="1"/>
  <c r="I392"/>
  <c r="I553"/>
  <c r="O192" i="272"/>
  <c r="O171"/>
  <c r="O208"/>
  <c r="K527" i="271"/>
  <c r="K529"/>
  <c r="K528"/>
  <c r="G492"/>
  <c r="G494" s="1"/>
  <c r="K93" i="234"/>
  <c r="K118"/>
  <c r="K137" i="48"/>
  <c r="K134"/>
  <c r="K113"/>
  <c r="K132" s="1"/>
  <c r="K114"/>
  <c r="K112"/>
  <c r="N143" i="153"/>
  <c r="N129"/>
  <c r="G335" i="270"/>
  <c r="G149" i="194"/>
  <c r="G128"/>
  <c r="G688" i="270"/>
  <c r="I144" i="189"/>
  <c r="I148" s="1"/>
  <c r="I160" s="1"/>
  <c r="J171" s="1"/>
  <c r="J191"/>
  <c r="J193" s="1"/>
  <c r="N215" i="272"/>
  <c r="N217" s="1"/>
  <c r="K215"/>
  <c r="K217" s="1"/>
  <c r="I109" i="233"/>
  <c r="I110"/>
  <c r="I118" i="244"/>
  <c r="H332" i="159"/>
  <c r="H439" s="1"/>
  <c r="H464" s="1"/>
  <c r="I335" i="270"/>
  <c r="I314"/>
  <c r="I243" i="272"/>
  <c r="I244"/>
  <c r="I242"/>
  <c r="I100" i="190"/>
  <c r="I99"/>
  <c r="F89" i="197"/>
  <c r="F104"/>
  <c r="F238" i="187"/>
  <c r="F241" s="1"/>
  <c r="F232"/>
  <c r="N99" i="190"/>
  <c r="N100"/>
  <c r="I63" i="157"/>
  <c r="H65"/>
  <c r="L158" i="189"/>
  <c r="L162" s="1"/>
  <c r="M172" s="1"/>
  <c r="I610" i="270"/>
  <c r="I611"/>
  <c r="I528" i="271"/>
  <c r="I527"/>
  <c r="I530" s="1"/>
  <c r="I529"/>
  <c r="G408" i="159"/>
  <c r="G399"/>
  <c r="G334"/>
  <c r="G441" s="1"/>
  <c r="G466" s="1"/>
  <c r="G343"/>
  <c r="G450" s="1"/>
  <c r="J43" i="235"/>
  <c r="K39"/>
  <c r="K363" i="271"/>
  <c r="K420" s="1"/>
  <c r="K361"/>
  <c r="K418" s="1"/>
  <c r="K362"/>
  <c r="K419" s="1"/>
  <c r="K364"/>
  <c r="K421" s="1"/>
  <c r="BF71" i="280"/>
  <c r="Q4" i="228"/>
  <c r="F362" i="159"/>
  <c r="F353"/>
  <c r="F351"/>
  <c r="F360"/>
  <c r="G373"/>
  <c r="G382"/>
  <c r="S189" i="272"/>
  <c r="BH107" i="277"/>
  <c r="F107" s="1"/>
  <c r="K121" i="271"/>
  <c r="L77"/>
  <c r="H573" i="270"/>
  <c r="H574" s="1"/>
  <c r="S190" i="272"/>
  <c r="I199"/>
  <c r="I202" s="1"/>
  <c r="I194"/>
  <c r="F372" i="154"/>
  <c r="H554" i="270"/>
  <c r="H555" s="1"/>
  <c r="K144" i="189"/>
  <c r="K148" s="1"/>
  <c r="K160" s="1"/>
  <c r="L171" s="1"/>
  <c r="L191"/>
  <c r="L193" s="1"/>
  <c r="K135" i="184"/>
  <c r="J189"/>
  <c r="I116" i="182"/>
  <c r="I115"/>
  <c r="H252" i="272"/>
  <c r="H251"/>
  <c r="H250"/>
  <c r="I126" i="133"/>
  <c r="I130" s="1"/>
  <c r="I129"/>
  <c r="I128"/>
  <c r="I127"/>
  <c r="O520" i="271"/>
  <c r="O519"/>
  <c r="O521"/>
  <c r="L250" i="272"/>
  <c r="L252"/>
  <c r="L251"/>
  <c r="J251"/>
  <c r="J252"/>
  <c r="J250"/>
  <c r="J253" s="1"/>
  <c r="F92" i="236"/>
  <c r="H335" i="270"/>
  <c r="N207" i="272"/>
  <c r="N210" s="1"/>
  <c r="F546" i="270"/>
  <c r="F544"/>
  <c r="F545"/>
  <c r="G521" i="271"/>
  <c r="G520"/>
  <c r="G519"/>
  <c r="M528"/>
  <c r="M529"/>
  <c r="M527"/>
  <c r="K242" i="272"/>
  <c r="K243"/>
  <c r="K244"/>
  <c r="G584" i="270"/>
  <c r="G583"/>
  <c r="G585"/>
  <c r="N487" i="271"/>
  <c r="M42" i="245"/>
  <c r="N107" i="168"/>
  <c r="N63"/>
  <c r="N111" s="1"/>
  <c r="N79"/>
  <c r="N121" s="1"/>
  <c r="N122" s="1"/>
  <c r="N42" i="245"/>
  <c r="L32"/>
  <c r="G131" i="235"/>
  <c r="G132"/>
  <c r="J42" i="237"/>
  <c r="J46" s="1"/>
  <c r="J84" s="1"/>
  <c r="J89" s="1"/>
  <c r="G127" i="200"/>
  <c r="F121"/>
  <c r="G134"/>
  <c r="G116" i="182"/>
  <c r="G115"/>
  <c r="G118" s="1"/>
  <c r="M291" i="154"/>
  <c r="M292" s="1"/>
  <c r="M294" s="1"/>
  <c r="M295" s="1"/>
  <c r="M302" s="1"/>
  <c r="I149" i="194"/>
  <c r="I128"/>
  <c r="J120" i="271"/>
  <c r="K76"/>
  <c r="G468"/>
  <c r="G446"/>
  <c r="L49" i="234"/>
  <c r="M49" s="1"/>
  <c r="M244" i="238"/>
  <c r="M246" s="1"/>
  <c r="M281"/>
  <c r="O437" i="271"/>
  <c r="N492"/>
  <c r="N494" s="1"/>
  <c r="G191" i="272"/>
  <c r="G172"/>
  <c r="G273"/>
  <c r="G216"/>
  <c r="K119" i="271"/>
  <c r="L75"/>
  <c r="L41" i="234"/>
  <c r="L83" s="1"/>
  <c r="M37"/>
  <c r="J91" i="233"/>
  <c r="J92" s="1"/>
  <c r="J120"/>
  <c r="J98"/>
  <c r="J119" s="1"/>
  <c r="J30" i="133"/>
  <c r="J19"/>
  <c r="J32" s="1"/>
  <c r="G118" i="244"/>
  <c r="K252" i="187"/>
  <c r="F17" i="48"/>
  <c r="F30"/>
  <c r="M56" i="198"/>
  <c r="M55"/>
  <c r="O344" i="154"/>
  <c r="K46" i="236"/>
  <c r="K36"/>
  <c r="F101" i="190"/>
  <c r="L143" i="153"/>
  <c r="L129"/>
  <c r="BD107" i="277"/>
  <c r="J365" i="271"/>
  <c r="J422" s="1"/>
  <c r="J367"/>
  <c r="J424" s="1"/>
  <c r="J366"/>
  <c r="J423" s="1"/>
  <c r="L242" i="272"/>
  <c r="L245" s="1"/>
  <c r="L243"/>
  <c r="L244"/>
  <c r="G190"/>
  <c r="G209"/>
  <c r="F602" i="270"/>
  <c r="F604"/>
  <c r="F603"/>
  <c r="L45" i="233"/>
  <c r="M45" s="1"/>
  <c r="F208" i="133"/>
  <c r="F256" s="1"/>
  <c r="J149" i="194"/>
  <c r="J128"/>
  <c r="K40" i="235"/>
  <c r="K49"/>
  <c r="E144" i="189"/>
  <c r="E148" s="1"/>
  <c r="E160" s="1"/>
  <c r="F171" s="1"/>
  <c r="F191"/>
  <c r="F193" s="1"/>
  <c r="H101" i="190"/>
  <c r="I302" i="154"/>
  <c r="G359" i="159"/>
  <c r="G350"/>
  <c r="G357" s="1"/>
  <c r="G38" s="1"/>
  <c r="F403"/>
  <c r="F394"/>
  <c r="G338"/>
  <c r="G329"/>
  <c r="H612" i="270"/>
  <c r="N250" i="272"/>
  <c r="N251"/>
  <c r="N252"/>
  <c r="K250"/>
  <c r="K252"/>
  <c r="K251"/>
  <c r="L84" i="154"/>
  <c r="BE4" i="276"/>
  <c r="I95" i="234"/>
  <c r="I96" s="1"/>
  <c r="I99"/>
  <c r="I117" s="1"/>
  <c r="F104" i="237"/>
  <c r="H330" i="159"/>
  <c r="H437" s="1"/>
  <c r="H463"/>
  <c r="M60" i="191"/>
  <c r="N60" s="1"/>
  <c r="O60" s="1"/>
  <c r="J74"/>
  <c r="O100" i="182"/>
  <c r="O102" s="1"/>
  <c r="O114"/>
  <c r="H130" i="133"/>
  <c r="M215" i="272"/>
  <c r="M217" s="1"/>
  <c r="H116" i="182"/>
  <c r="H115"/>
  <c r="G336" i="270"/>
  <c r="F167" i="184"/>
  <c r="F230" s="1"/>
  <c r="F166"/>
  <c r="F229" s="1"/>
  <c r="F165"/>
  <c r="F228" s="1"/>
  <c r="M244" i="272"/>
  <c r="M242"/>
  <c r="M245" s="1"/>
  <c r="M243"/>
  <c r="I591" i="270"/>
  <c r="I476" i="271"/>
  <c r="H109" i="233"/>
  <c r="H110"/>
  <c r="M238" i="187"/>
  <c r="M241" s="1"/>
  <c r="M232"/>
  <c r="N114" i="182"/>
  <c r="N100"/>
  <c r="N102" s="1"/>
  <c r="L232" i="187"/>
  <c r="L238"/>
  <c r="L241" s="1"/>
  <c r="M100" i="190"/>
  <c r="M99"/>
  <c r="K99"/>
  <c r="K100"/>
  <c r="M89" i="197"/>
  <c r="M104"/>
  <c r="L89"/>
  <c r="L104"/>
  <c r="F133" i="235"/>
  <c r="G30" i="157"/>
  <c r="G184" i="191"/>
  <c r="G183"/>
  <c r="J47" i="234"/>
  <c r="K47" s="1"/>
  <c r="L244" i="238"/>
  <c r="L246" s="1"/>
  <c r="L281"/>
  <c r="L144" i="189"/>
  <c r="L148" s="1"/>
  <c r="L160" s="1"/>
  <c r="M171" s="1"/>
  <c r="M191"/>
  <c r="M193" s="1"/>
  <c r="H158"/>
  <c r="H162" s="1"/>
  <c r="I172" s="1"/>
  <c r="O528" i="271"/>
  <c r="O529"/>
  <c r="O527"/>
  <c r="L492"/>
  <c r="L494" s="1"/>
  <c r="I215" i="272"/>
  <c r="I217" s="1"/>
  <c r="F364" i="159"/>
  <c r="F355"/>
  <c r="BG4" i="280"/>
  <c r="L35" i="236"/>
  <c r="L45" s="1"/>
  <c r="J323" i="271"/>
  <c r="I320"/>
  <c r="I353" s="1"/>
  <c r="I410" s="1"/>
  <c r="I322"/>
  <c r="I355" s="1"/>
  <c r="I412" s="1"/>
  <c r="I435" s="1"/>
  <c r="I319"/>
  <c r="I352" s="1"/>
  <c r="I409" s="1"/>
  <c r="I321"/>
  <c r="I354" s="1"/>
  <c r="I411" s="1"/>
  <c r="J50" i="234"/>
  <c r="J87" s="1"/>
  <c r="K46"/>
  <c r="K94" i="197"/>
  <c r="K127" s="1"/>
  <c r="K93"/>
  <c r="K126" s="1"/>
  <c r="K95"/>
  <c r="K128" s="1"/>
  <c r="K97" i="188"/>
  <c r="F137" i="48"/>
  <c r="F113"/>
  <c r="F132" s="1"/>
  <c r="F134"/>
  <c r="F114"/>
  <c r="F112"/>
  <c r="G115" i="188"/>
  <c r="I59"/>
  <c r="G397" i="159"/>
  <c r="G406"/>
  <c r="F406"/>
  <c r="F397"/>
  <c r="G362"/>
  <c r="G353"/>
  <c r="G384"/>
  <c r="G375"/>
  <c r="G341"/>
  <c r="G448" s="1"/>
  <c r="G512" s="1"/>
  <c r="G332"/>
  <c r="G439" s="1"/>
  <c r="L302" i="154"/>
  <c r="F404" i="159"/>
  <c r="F395"/>
  <c r="G395"/>
  <c r="G404"/>
  <c r="F339"/>
  <c r="F446" s="1"/>
  <c r="F511" s="1"/>
  <c r="F330"/>
  <c r="F437" s="1"/>
  <c r="J23" i="184"/>
  <c r="J149" s="1"/>
  <c r="K19"/>
  <c r="K314" i="270"/>
  <c r="N234" i="272"/>
  <c r="N236"/>
  <c r="N235"/>
  <c r="I234"/>
  <c r="I237" s="1"/>
  <c r="I235"/>
  <c r="I236"/>
  <c r="G193"/>
  <c r="G189"/>
  <c r="G166"/>
  <c r="G201"/>
  <c r="G479" i="271"/>
  <c r="H207" i="272"/>
  <c r="H210" s="1"/>
  <c r="K122" i="271"/>
  <c r="L78"/>
  <c r="H78" i="236"/>
  <c r="H80" s="1"/>
  <c r="H81" s="1"/>
  <c r="H100"/>
  <c r="F111" i="233"/>
  <c r="F17" i="157"/>
  <c r="F21" s="1"/>
  <c r="F81" s="1"/>
  <c r="F20"/>
  <c r="F19"/>
  <c r="F18"/>
  <c r="J18" i="271"/>
  <c r="J22" s="1"/>
  <c r="J21"/>
  <c r="J20"/>
  <c r="J19"/>
  <c r="O42" i="235"/>
  <c r="O51" s="1"/>
  <c r="H244" i="238"/>
  <c r="H246" s="1"/>
  <c r="H281"/>
  <c r="K158" i="189"/>
  <c r="K162" s="1"/>
  <c r="L172" s="1"/>
  <c r="J316" i="271"/>
  <c r="I314"/>
  <c r="I347" s="1"/>
  <c r="I315"/>
  <c r="I348" s="1"/>
  <c r="I405" s="1"/>
  <c r="O265" i="154"/>
  <c r="O270" s="1"/>
  <c r="O272" s="1"/>
  <c r="O273" s="1"/>
  <c r="O277"/>
  <c r="O278" s="1"/>
  <c r="O280" s="1"/>
  <c r="O319"/>
  <c r="O89" i="196"/>
  <c r="O90"/>
  <c r="F89"/>
  <c r="F90"/>
  <c r="H492" i="271"/>
  <c r="H494" s="1"/>
  <c r="H179" i="272"/>
  <c r="H227" s="1"/>
  <c r="H180"/>
  <c r="H228" s="1"/>
  <c r="H178"/>
  <c r="H226" s="1"/>
  <c r="J492" i="271"/>
  <c r="J494" s="1"/>
  <c r="L127" i="153"/>
  <c r="O127"/>
  <c r="H171" i="184"/>
  <c r="G188"/>
  <c r="G130" i="133"/>
  <c r="G105" i="197"/>
  <c r="G94"/>
  <c r="G127" s="1"/>
  <c r="G93"/>
  <c r="G126" s="1"/>
  <c r="G95"/>
  <c r="G128" s="1"/>
  <c r="G90"/>
  <c r="L215" i="272"/>
  <c r="L217" s="1"/>
  <c r="J215"/>
  <c r="J217" s="1"/>
  <c r="G466" i="271"/>
  <c r="G444"/>
  <c r="BG107" i="277"/>
  <c r="F192" i="272"/>
  <c r="F171"/>
  <c r="F208"/>
  <c r="F337" i="270"/>
  <c r="F525"/>
  <c r="F527"/>
  <c r="F526"/>
  <c r="F529" i="271"/>
  <c r="F528"/>
  <c r="F527"/>
  <c r="H496" i="270"/>
  <c r="H497" s="1"/>
  <c r="I44" i="237"/>
  <c r="J44" s="1"/>
  <c r="H521" i="271"/>
  <c r="H519"/>
  <c r="H522" s="1"/>
  <c r="H520"/>
  <c r="G507" i="270"/>
  <c r="G506"/>
  <c r="G508"/>
  <c r="G638"/>
  <c r="G544"/>
  <c r="G546"/>
  <c r="G545"/>
  <c r="G621"/>
  <c r="G623"/>
  <c r="G622"/>
  <c r="G644"/>
  <c r="J234" i="272"/>
  <c r="J237" s="1"/>
  <c r="J235"/>
  <c r="J236"/>
  <c r="I525" i="270"/>
  <c r="I526"/>
  <c r="I527"/>
  <c r="J521" i="271"/>
  <c r="J519"/>
  <c r="J520"/>
  <c r="F520"/>
  <c r="F519"/>
  <c r="F522" s="1"/>
  <c r="F521"/>
  <c r="M235" i="272"/>
  <c r="M234"/>
  <c r="M236"/>
  <c r="F511" i="271"/>
  <c r="F512"/>
  <c r="F513"/>
  <c r="J242" i="272"/>
  <c r="J243"/>
  <c r="J244"/>
  <c r="G32" i="245"/>
  <c r="J42"/>
  <c r="F42"/>
  <c r="K42"/>
  <c r="I32"/>
  <c r="K63" i="168"/>
  <c r="K111" s="1"/>
  <c r="K107"/>
  <c r="K79"/>
  <c r="K121" s="1"/>
  <c r="K122" s="1"/>
  <c r="H42" i="245"/>
  <c r="M63" i="168"/>
  <c r="M107"/>
  <c r="M79"/>
  <c r="M121" s="1"/>
  <c r="M122" s="1"/>
  <c r="BC13" i="276"/>
  <c r="BC13" i="277"/>
  <c r="BF13"/>
  <c r="F86" i="244"/>
  <c r="BD301" i="279"/>
  <c r="BD192"/>
  <c r="I98" i="188"/>
  <c r="U57" i="258"/>
  <c r="BA206" i="277"/>
  <c r="AN35" i="261"/>
  <c r="G28" i="231"/>
  <c r="AH28" i="263"/>
  <c r="H6" i="231"/>
  <c r="Z36" i="256"/>
  <c r="V26" i="260"/>
  <c r="K8" i="231"/>
  <c r="E57"/>
  <c r="BD137" i="279"/>
  <c r="H194" i="187"/>
  <c r="Y35" i="260"/>
  <c r="BR16" i="261"/>
  <c r="G22" i="231"/>
  <c r="BP16" i="248"/>
  <c r="J194" i="187"/>
  <c r="F53" i="231"/>
  <c r="AR57" i="260"/>
  <c r="V26" i="255"/>
  <c r="V26" i="257"/>
  <c r="AO36" i="255"/>
  <c r="M352" i="154"/>
  <c r="E48" i="231"/>
  <c r="BP10" i="258"/>
  <c r="BH147" i="276"/>
  <c r="BP16" i="259"/>
  <c r="W15" i="255"/>
  <c r="BD31" i="279"/>
  <c r="BD117"/>
  <c r="BD373"/>
  <c r="BD201"/>
  <c r="K16" i="228"/>
  <c r="E49" i="231"/>
  <c r="BP10" i="255"/>
  <c r="BP26" i="258"/>
  <c r="AN35" i="259"/>
  <c r="U40" i="248"/>
  <c r="U38"/>
  <c r="P10" i="228"/>
  <c r="V26" i="262"/>
  <c r="U43" i="255"/>
  <c r="AW45"/>
  <c r="L352" i="154"/>
  <c r="K16" i="255"/>
  <c r="BD127" i="276"/>
  <c r="BD39"/>
  <c r="BD83"/>
  <c r="BD208"/>
  <c r="U38" i="259"/>
  <c r="BF258" i="280"/>
  <c r="BF212"/>
  <c r="BQ47" i="259"/>
  <c r="W16" i="255"/>
  <c r="BR16" i="256"/>
  <c r="AY274" i="276"/>
  <c r="AY333" i="277"/>
  <c r="AY274" i="279"/>
  <c r="V26" i="259"/>
  <c r="K28" i="231"/>
  <c r="BD147" i="279"/>
  <c r="U43" i="256"/>
  <c r="U57" i="262"/>
  <c r="G20" i="231"/>
  <c r="J26"/>
  <c r="J28"/>
  <c r="BR21" i="255"/>
  <c r="AN35"/>
  <c r="BD235" i="279"/>
  <c r="P6" i="228"/>
  <c r="BC43" i="255"/>
  <c r="BF256" i="280"/>
  <c r="AN35" i="257"/>
  <c r="BC12" i="279"/>
  <c r="AY28" i="276"/>
  <c r="AY28" i="279"/>
  <c r="BB13" i="276"/>
  <c r="BB13" i="277"/>
  <c r="AY278" i="276"/>
  <c r="AY278" i="279"/>
  <c r="T22" i="257"/>
  <c r="Z36" i="260"/>
  <c r="BD184" i="279"/>
  <c r="W10" i="256"/>
  <c r="V35" i="261"/>
  <c r="E30" i="231"/>
  <c r="AY247" i="280"/>
  <c r="W27" i="257"/>
  <c r="AR57" i="256"/>
  <c r="H28" i="231"/>
  <c r="L16" i="263"/>
  <c r="E43" i="231"/>
  <c r="AY336" i="277"/>
  <c r="AY349" i="280"/>
  <c r="U47" i="248"/>
  <c r="BI206" i="277"/>
  <c r="G8" i="231"/>
  <c r="BI26" i="260"/>
  <c r="BD135" i="279"/>
  <c r="BP47" i="258"/>
  <c r="BC206" i="277"/>
  <c r="Z36" i="248"/>
  <c r="V35" i="263"/>
  <c r="BQ16" i="258"/>
  <c r="BD147" i="276"/>
  <c r="BP16" i="262"/>
  <c r="J16" i="257"/>
  <c r="P11" i="228"/>
  <c r="BD31" i="276"/>
  <c r="BP47" i="259"/>
  <c r="BR47" i="255"/>
  <c r="AY32" i="276"/>
  <c r="AY32" i="279"/>
  <c r="AF29" i="255"/>
  <c r="BD13" i="277"/>
  <c r="BR47" i="256"/>
  <c r="BD182" i="279"/>
  <c r="BP10" i="256"/>
  <c r="AW45" i="257"/>
  <c r="Y35" i="261"/>
  <c r="AR57" i="248"/>
  <c r="E56" i="231"/>
  <c r="I6"/>
  <c r="BP26" i="260"/>
  <c r="K13" i="231"/>
  <c r="K6"/>
  <c r="BD139" i="279"/>
  <c r="BC43" i="256"/>
  <c r="K16" i="257"/>
  <c r="AN35" i="260"/>
  <c r="W21" i="257"/>
  <c r="BQ16" i="261"/>
  <c r="H8" i="231"/>
  <c r="AR57" i="259"/>
  <c r="BQ16" i="260"/>
  <c r="BP26" i="255"/>
  <c r="W16" i="263"/>
  <c r="BQ16" i="259"/>
  <c r="U47" i="263"/>
  <c r="AO36" i="258"/>
  <c r="BD13" i="279"/>
  <c r="BD82"/>
  <c r="BD204"/>
  <c r="BQ22" i="257"/>
  <c r="U42" i="255"/>
  <c r="AH28" i="262"/>
  <c r="BC38"/>
  <c r="P29" i="228"/>
  <c r="X15" i="255"/>
  <c r="L14" i="228"/>
  <c r="BD12" i="276"/>
  <c r="BD207"/>
  <c r="BD202"/>
  <c r="BD30"/>
  <c r="BD117"/>
  <c r="G18" i="231"/>
  <c r="U45" i="262"/>
  <c r="O22" i="255"/>
  <c r="BF251" i="280"/>
  <c r="V35" i="257"/>
  <c r="BB147" i="276"/>
  <c r="Z36" i="263"/>
  <c r="V26" i="261"/>
  <c r="BD12" i="279"/>
  <c r="BD83"/>
  <c r="BA333" i="277"/>
  <c r="BA346" i="280"/>
  <c r="T16" i="255"/>
  <c r="H26" i="231"/>
  <c r="BD82" i="276"/>
  <c r="BF206" i="277"/>
  <c r="BB144" i="279"/>
  <c r="BB203" i="277"/>
  <c r="BA332"/>
  <c r="BA273" i="279"/>
  <c r="T15" i="255"/>
  <c r="BB12" i="276"/>
  <c r="BB12" i="277"/>
  <c r="BG13"/>
  <c r="BD190" i="279"/>
  <c r="U57" i="263"/>
  <c r="G6" i="231"/>
  <c r="BA283" i="276"/>
  <c r="BA342" i="277"/>
  <c r="BA355" i="280"/>
  <c r="BP26" i="256"/>
  <c r="BE206" i="277"/>
  <c r="W10" i="248"/>
  <c r="V35" i="258"/>
  <c r="K49" i="231"/>
  <c r="K29"/>
  <c r="AO36" i="259"/>
  <c r="BD149" i="279"/>
  <c r="BD148"/>
  <c r="AY147" i="276"/>
  <c r="AY147" i="279"/>
  <c r="AO36" i="261"/>
  <c r="E28" i="231"/>
  <c r="BP16" i="261"/>
  <c r="U45"/>
  <c r="AY273" i="276"/>
  <c r="AY273" i="279"/>
  <c r="T15" i="257"/>
  <c r="AN35" i="263"/>
  <c r="BR16" i="260"/>
  <c r="V26" i="248"/>
  <c r="BP26" i="263"/>
  <c r="Z36" i="255"/>
  <c r="Y35"/>
  <c r="AF27" i="262"/>
  <c r="I56" i="231"/>
  <c r="BQ16" i="262"/>
  <c r="K16" i="263"/>
  <c r="BD222" i="279"/>
  <c r="BD127"/>
  <c r="BD230"/>
  <c r="BD360"/>
  <c r="BD202"/>
  <c r="U57" i="255"/>
  <c r="W10"/>
  <c r="W22" i="257"/>
  <c r="F21" i="231"/>
  <c r="BI274" i="276"/>
  <c r="BI346" i="280"/>
  <c r="T16" i="263"/>
  <c r="BE141" i="276"/>
  <c r="AX40" i="248"/>
  <c r="P20" i="228"/>
  <c r="BI45" i="255"/>
  <c r="BG147" i="276"/>
  <c r="BD235"/>
  <c r="BD199"/>
  <c r="BD201"/>
  <c r="BD360"/>
  <c r="K13" i="228"/>
  <c r="G26" i="231"/>
  <c r="G19"/>
  <c r="U38" i="261"/>
  <c r="BF210" i="280"/>
  <c r="BF213"/>
  <c r="J98" i="188"/>
  <c r="AO36" i="263"/>
  <c r="BQ47" i="255"/>
  <c r="X15" i="263"/>
  <c r="BE195" i="277"/>
  <c r="BR13" i="257"/>
  <c r="P28" i="228"/>
  <c r="F88" i="244"/>
  <c r="BD201" i="277"/>
  <c r="K91" i="154"/>
  <c r="BD36" i="276"/>
  <c r="BA278"/>
  <c r="BA337" i="277"/>
  <c r="BA350" i="280"/>
  <c r="BF207"/>
  <c r="E8" i="231"/>
  <c r="BP16" i="256"/>
  <c r="BI26" i="258"/>
  <c r="BC120" i="276"/>
  <c r="BC367" i="279"/>
  <c r="BC179" i="277"/>
  <c r="BC365" i="276"/>
  <c r="BC365" i="279"/>
  <c r="BA182" i="277"/>
  <c r="BA370" i="276"/>
  <c r="BA123" i="279"/>
  <c r="BB370" i="276"/>
  <c r="BB123"/>
  <c r="BB182" i="277"/>
  <c r="BC111" i="279"/>
  <c r="BC360"/>
  <c r="BA181" i="277"/>
  <c r="BA369" i="276"/>
  <c r="BA122" i="279"/>
  <c r="BG175" i="277"/>
  <c r="BA186"/>
  <c r="BA373" i="279"/>
  <c r="BG176" i="277"/>
  <c r="BF12"/>
  <c r="BC13" i="279"/>
  <c r="BH13" i="277"/>
  <c r="AG27" i="257"/>
  <c r="BP47" i="256"/>
  <c r="BD177" i="279"/>
  <c r="BD181"/>
  <c r="I28" i="231"/>
  <c r="BA147" i="279"/>
  <c r="BA147" i="276"/>
  <c r="V35" i="256"/>
  <c r="U57"/>
  <c r="BP10" i="248"/>
  <c r="AN35"/>
  <c r="Y35" i="258"/>
  <c r="K38" i="231"/>
  <c r="Z36" i="262"/>
  <c r="X15" i="257"/>
  <c r="BD136" i="279"/>
  <c r="BQ47" i="258"/>
  <c r="AR57" i="262"/>
  <c r="BC38" i="260"/>
  <c r="U41" i="256"/>
  <c r="BI45" i="259"/>
  <c r="Y35" i="263"/>
  <c r="W21" i="255"/>
  <c r="BP16" i="260"/>
  <c r="BP26" i="248"/>
  <c r="F8" i="231"/>
  <c r="BP10" i="261"/>
  <c r="AH28"/>
  <c r="W15" i="257"/>
  <c r="BH206" i="277"/>
  <c r="BR16" i="262"/>
  <c r="F48" i="231"/>
  <c r="BD39" i="279"/>
  <c r="BD111"/>
  <c r="BD87"/>
  <c r="BD207"/>
  <c r="BD206"/>
  <c r="AR57" i="255"/>
  <c r="W16" i="257"/>
  <c r="BP22"/>
  <c r="J6" i="231"/>
  <c r="H19"/>
  <c r="H25"/>
  <c r="P21" i="228"/>
  <c r="BI45" i="248"/>
  <c r="F24" i="231"/>
  <c r="F26"/>
  <c r="O352" i="154"/>
  <c r="AH28" i="260"/>
  <c r="F98" i="188"/>
  <c r="BD204" i="276"/>
  <c r="BD237"/>
  <c r="BD111"/>
  <c r="J25" i="231"/>
  <c r="I194" i="187"/>
  <c r="BF214" i="280"/>
  <c r="BF216"/>
  <c r="F49" i="231"/>
  <c r="Z36" i="257"/>
  <c r="BP47" i="255"/>
  <c r="E38" i="231"/>
  <c r="AY346" i="280"/>
  <c r="T16" i="257"/>
  <c r="BP26" i="261"/>
  <c r="AO36" i="262"/>
  <c r="G24" i="231"/>
  <c r="L13" i="228"/>
  <c r="U38" i="260"/>
  <c r="BF176" i="277" s="1"/>
  <c r="AY41" i="256"/>
  <c r="AW45" i="259"/>
  <c r="U57"/>
  <c r="F6" i="231"/>
  <c r="Z36" i="258"/>
  <c r="BR22" i="257"/>
  <c r="BI26" i="262"/>
  <c r="BD206" i="276"/>
  <c r="E6" i="231"/>
  <c r="BC12" i="276"/>
  <c r="BC12" i="277"/>
  <c r="AY56"/>
  <c r="BG12"/>
  <c r="BB13" i="279"/>
  <c r="E44" i="231"/>
  <c r="AY337" i="277"/>
  <c r="AY350" i="280"/>
  <c r="BQ47" i="256"/>
  <c r="BD179" i="279"/>
  <c r="G56" i="231"/>
  <c r="AR57" i="258"/>
  <c r="AY226" i="276"/>
  <c r="AY285" i="277"/>
  <c r="AY226" i="279"/>
  <c r="Y35" i="256"/>
  <c r="V26"/>
  <c r="U57" i="248"/>
  <c r="V35"/>
  <c r="AY277" i="276"/>
  <c r="AY277" i="279"/>
  <c r="T21" i="257"/>
  <c r="U45" i="258"/>
  <c r="BI147" i="276"/>
  <c r="AO36" i="256"/>
  <c r="K15" i="228"/>
  <c r="AN35" i="262"/>
  <c r="BC147" i="279"/>
  <c r="BC147" i="276"/>
  <c r="BR16" i="248"/>
  <c r="U57" i="260"/>
  <c r="BF186" i="277" s="1"/>
  <c r="BI26" i="255"/>
  <c r="BD206" i="277"/>
  <c r="BD36" i="279"/>
  <c r="Y35" i="259"/>
  <c r="BD13" i="276"/>
  <c r="BF243" i="280"/>
  <c r="X47" i="255"/>
  <c r="BE13" i="277"/>
  <c r="AY60"/>
  <c r="BH12"/>
  <c r="BE12"/>
  <c r="O22" i="257"/>
  <c r="AO36" i="260"/>
  <c r="BD178" i="279"/>
  <c r="E26" i="231"/>
  <c r="AR57" i="263"/>
  <c r="BI26" i="256"/>
  <c r="Y35" i="248"/>
  <c r="W10" i="257"/>
  <c r="AN35" i="258"/>
  <c r="K31" i="231"/>
  <c r="K25"/>
  <c r="Z36" i="259"/>
  <c r="BD140" i="279"/>
  <c r="Y35" i="262"/>
  <c r="Z36" i="261"/>
  <c r="E53" i="231"/>
  <c r="AR57" i="257"/>
  <c r="H98" i="188"/>
  <c r="AO36" i="248"/>
  <c r="BQ21" i="255"/>
  <c r="BR16" i="258"/>
  <c r="V26" i="263"/>
  <c r="V35" i="255"/>
  <c r="M7" i="228"/>
  <c r="I8" i="231"/>
  <c r="BD29" i="279"/>
  <c r="BD365"/>
  <c r="BD199"/>
  <c r="G98" i="188"/>
  <c r="F23" i="231"/>
  <c r="V35" i="259"/>
  <c r="U47" i="257"/>
  <c r="P19" i="228"/>
  <c r="F57" i="231"/>
  <c r="L16" i="255"/>
  <c r="U57" i="261"/>
  <c r="BG186" i="277" s="1"/>
  <c r="BD230" i="276"/>
  <c r="BD373"/>
  <c r="BD81"/>
  <c r="BD29"/>
  <c r="BI45" i="256"/>
  <c r="AX40"/>
  <c r="BC38" i="261"/>
  <c r="BF211" i="280"/>
  <c r="BR47" i="259"/>
  <c r="BB147" i="279"/>
  <c r="BB206" i="277"/>
  <c r="BP26" i="259"/>
  <c r="U47" i="262"/>
  <c r="BH170" i="277" s="1"/>
  <c r="BD116" i="279"/>
  <c r="F38" i="231"/>
  <c r="BA274" i="276"/>
  <c r="BA274" i="279"/>
  <c r="U38" i="262"/>
  <c r="AW45" i="248"/>
  <c r="BD364" i="276"/>
  <c r="U47" i="260"/>
  <c r="BF170" i="277" s="1"/>
  <c r="BF147" i="276"/>
  <c r="BB144"/>
  <c r="F37" i="231"/>
  <c r="BA273" i="276"/>
  <c r="BA345" i="280"/>
  <c r="BI26" i="259"/>
  <c r="BB12" i="279"/>
  <c r="BD12" i="277"/>
  <c r="L16" i="257"/>
  <c r="BI45"/>
  <c r="I13" i="255"/>
  <c r="AN35" i="256"/>
  <c r="F39" i="231"/>
  <c r="BA283" i="279"/>
  <c r="T13" i="255"/>
  <c r="BE147" i="276"/>
  <c r="H56" i="231"/>
  <c r="BP10" i="257"/>
  <c r="K56" i="231"/>
  <c r="K14"/>
  <c r="J8"/>
  <c r="BD141" i="279"/>
  <c r="BD142"/>
  <c r="V35" i="262"/>
  <c r="AY206" i="277"/>
  <c r="BR47" i="258"/>
  <c r="V35" i="260"/>
  <c r="U57" i="257"/>
  <c r="U45" i="260"/>
  <c r="E37" i="231"/>
  <c r="AY332" i="277"/>
  <c r="AY345" i="280"/>
  <c r="BQ16" i="248"/>
  <c r="BP21" i="255"/>
  <c r="BP16" i="258"/>
  <c r="BP26" i="257"/>
  <c r="J16" i="263"/>
  <c r="W10" i="261"/>
  <c r="J15" i="263"/>
  <c r="N88" i="244"/>
  <c r="W10" i="258"/>
  <c r="BR16" i="259"/>
  <c r="BD30" i="279"/>
  <c r="BD237"/>
  <c r="BD81"/>
  <c r="BD203"/>
  <c r="BD208"/>
  <c r="F28" i="231"/>
  <c r="F56"/>
  <c r="E54"/>
  <c r="V26" i="258"/>
  <c r="AY42" i="255"/>
  <c r="BI333" i="277"/>
  <c r="BI274" i="279"/>
  <c r="BE200" i="277"/>
  <c r="H18" i="231"/>
  <c r="BC38" i="248"/>
  <c r="BP26" i="262"/>
  <c r="BG206" i="277"/>
  <c r="N352" i="154"/>
  <c r="BD365" i="276"/>
  <c r="BD203"/>
  <c r="BD205"/>
  <c r="BD87"/>
  <c r="U45" i="263"/>
  <c r="BI175" i="277" s="1"/>
  <c r="AW45" i="256"/>
  <c r="U40"/>
  <c r="U47" i="261"/>
  <c r="BF215" i="280"/>
  <c r="BF209"/>
  <c r="Y35" i="257"/>
  <c r="BQ16" i="256"/>
  <c r="BI26" i="257"/>
  <c r="BE136" i="276"/>
  <c r="BD205" i="279"/>
  <c r="P8" i="228"/>
  <c r="AF27" i="257"/>
  <c r="BD142" i="276"/>
  <c r="AR57" i="261"/>
  <c r="BD222" i="276"/>
  <c r="BC38" i="259"/>
  <c r="F44" i="231"/>
  <c r="BA278" i="279"/>
  <c r="T22" i="255"/>
  <c r="J16"/>
  <c r="AO36" i="257"/>
  <c r="BI26" i="248"/>
  <c r="BD186" i="277"/>
  <c r="BB373" i="276"/>
  <c r="BB373" i="279"/>
  <c r="BB121" i="276"/>
  <c r="BB368"/>
  <c r="BB180" i="277"/>
  <c r="BC367" i="276"/>
  <c r="BC120" i="279"/>
  <c r="BC117" i="276"/>
  <c r="BC117" i="279"/>
  <c r="BC176" i="277"/>
  <c r="BA123" i="276"/>
  <c r="BA370" i="279"/>
  <c r="BE176" i="277"/>
  <c r="BB370" i="279"/>
  <c r="BB123"/>
  <c r="BH186" i="277"/>
  <c r="BE186"/>
  <c r="BC373" i="279"/>
  <c r="BC373" i="276"/>
  <c r="BC360"/>
  <c r="BC111"/>
  <c r="BC170" i="277"/>
  <c r="BD175"/>
  <c r="BI170"/>
  <c r="BA122" i="276"/>
  <c r="BA369" i="279"/>
  <c r="AY111" i="276"/>
  <c r="AY360"/>
  <c r="AY111" i="279"/>
  <c r="BH175" i="277"/>
  <c r="BH176"/>
  <c r="BI186"/>
  <c r="AY373" i="276"/>
  <c r="AY373" i="279"/>
  <c r="BF175" i="277"/>
  <c r="BA127" i="276"/>
  <c r="BA373"/>
  <c r="BA127" i="279"/>
  <c r="BB120" i="276"/>
  <c r="BB120" i="279"/>
  <c r="BB179" i="277"/>
  <c r="BG170"/>
  <c r="BB186"/>
  <c r="BB127" i="276"/>
  <c r="BB127" i="279"/>
  <c r="BB368"/>
  <c r="BB121"/>
  <c r="BC186" i="277"/>
  <c r="BC127" i="279"/>
  <c r="BC127" i="276"/>
  <c r="BD364" i="279"/>
  <c r="BD116" i="276"/>
  <c r="AY360" i="279"/>
  <c r="AY170" i="277"/>
  <c r="AY127" i="279"/>
  <c r="AY186" i="277"/>
  <c r="AY127" i="276"/>
  <c r="BB367"/>
  <c r="BB367" i="279"/>
  <c r="BM38" i="257" l="1"/>
  <c r="BO38" s="1"/>
  <c r="BM38" i="263"/>
  <c r="BO38" s="1"/>
  <c r="BM16" i="248"/>
  <c r="AP20" i="231"/>
  <c r="AO8"/>
  <c r="BM16" i="260"/>
  <c r="BM16" i="258"/>
  <c r="AO21" i="231"/>
  <c r="BM16" i="259"/>
  <c r="BM16" i="261"/>
  <c r="BM41" i="255"/>
  <c r="BO41" s="1"/>
  <c r="BG177" i="277"/>
  <c r="BB127" i="280"/>
  <c r="BI177" i="277"/>
  <c r="BA134" i="280"/>
  <c r="AY134"/>
  <c r="BH177" i="277"/>
  <c r="AY118" i="280"/>
  <c r="BA129"/>
  <c r="BD177" i="277"/>
  <c r="BC118" i="280"/>
  <c r="BC134"/>
  <c r="BF177" i="277"/>
  <c r="BB130" i="280"/>
  <c r="BE177" i="277"/>
  <c r="BA130" i="280"/>
  <c r="BC177" i="277"/>
  <c r="BC118" i="279"/>
  <c r="BC125" i="280" s="1"/>
  <c r="BC124"/>
  <c r="BC118" i="276"/>
  <c r="BC127" i="280"/>
  <c r="BB128"/>
  <c r="BB134"/>
  <c r="BK26" i="258"/>
  <c r="BI31"/>
  <c r="BK31" s="1"/>
  <c r="BK26" i="248"/>
  <c r="BI31"/>
  <c r="BK31" s="1"/>
  <c r="DI16" i="256"/>
  <c r="AO37" i="257"/>
  <c r="AO52" s="1"/>
  <c r="AO71" s="1"/>
  <c r="BG36"/>
  <c r="S16" i="231"/>
  <c r="AO16" s="1"/>
  <c r="S25"/>
  <c r="AO25" s="1"/>
  <c r="R16" i="255"/>
  <c r="J17"/>
  <c r="BA364" i="280"/>
  <c r="BA292" i="279"/>
  <c r="BA351" i="277"/>
  <c r="BA292" i="276"/>
  <c r="BG38" i="259"/>
  <c r="BD256" i="276"/>
  <c r="BD242"/>
  <c r="K108" i="154"/>
  <c r="K328" s="1"/>
  <c r="K329" s="1"/>
  <c r="K330" s="1"/>
  <c r="AR61" i="261"/>
  <c r="BG57"/>
  <c r="F106" i="244"/>
  <c r="P31" i="228"/>
  <c r="BR14" i="257"/>
  <c r="X17" i="263"/>
  <c r="BK26" i="257"/>
  <c r="BI31"/>
  <c r="BK31" s="1"/>
  <c r="BG36" i="263"/>
  <c r="AO37"/>
  <c r="AO52" s="1"/>
  <c r="AO71" s="1"/>
  <c r="Y37" i="257"/>
  <c r="Y52" s="1"/>
  <c r="J158" i="188"/>
  <c r="J132"/>
  <c r="AL38" i="261"/>
  <c r="AL40" i="256"/>
  <c r="U8" i="231"/>
  <c r="BG45" i="256"/>
  <c r="AW52"/>
  <c r="AW71" s="1"/>
  <c r="U12" i="231"/>
  <c r="AQ12" s="1"/>
  <c r="AL45" i="263"/>
  <c r="K17" i="228"/>
  <c r="N353" i="154"/>
  <c r="N373"/>
  <c r="BK45" i="255"/>
  <c r="DI26" i="262"/>
  <c r="BP31"/>
  <c r="BG38" i="248"/>
  <c r="BG40"/>
  <c r="AG8" i="231"/>
  <c r="AL16" i="263"/>
  <c r="BG42" i="255"/>
  <c r="AY44"/>
  <c r="AY52" s="1"/>
  <c r="AY71" s="1"/>
  <c r="AE21" i="231"/>
  <c r="T9"/>
  <c r="AP9" s="1"/>
  <c r="V31" i="258"/>
  <c r="W12" i="255"/>
  <c r="AL57"/>
  <c r="T13" i="231"/>
  <c r="AP13" s="1"/>
  <c r="BD240" i="279"/>
  <c r="BD86" i="280"/>
  <c r="BD134"/>
  <c r="BD242" i="279"/>
  <c r="BD38" i="280"/>
  <c r="BD324" s="1"/>
  <c r="K17" i="263"/>
  <c r="K23" s="1"/>
  <c r="K71" s="1"/>
  <c r="W12" i="258"/>
  <c r="N106" i="244"/>
  <c r="J17" i="263"/>
  <c r="R15"/>
  <c r="Y37" i="255"/>
  <c r="Y52" s="1"/>
  <c r="W12" i="261"/>
  <c r="Z37" i="255"/>
  <c r="Z52" s="1"/>
  <c r="AL36"/>
  <c r="R16" i="263"/>
  <c r="DI26"/>
  <c r="BP31"/>
  <c r="DI26" i="257"/>
  <c r="BP31"/>
  <c r="V31" i="248"/>
  <c r="DI16" i="258"/>
  <c r="DI21" i="255"/>
  <c r="BG35" i="263"/>
  <c r="AN37"/>
  <c r="T17" i="257"/>
  <c r="AL15"/>
  <c r="BM15" s="1"/>
  <c r="AY359" i="280"/>
  <c r="AY287" i="279"/>
  <c r="AY346" i="277"/>
  <c r="AY287" i="276"/>
  <c r="AD39" i="231"/>
  <c r="AO39" s="1"/>
  <c r="AL45" i="261"/>
  <c r="AL45" i="260"/>
  <c r="DI16" i="261"/>
  <c r="AL57" i="257"/>
  <c r="S13" i="231"/>
  <c r="AO13" s="1"/>
  <c r="V37" i="260"/>
  <c r="AL35"/>
  <c r="BG36" i="261"/>
  <c r="AO37"/>
  <c r="AO52" s="1"/>
  <c r="AO71" s="1"/>
  <c r="AY154" i="280"/>
  <c r="AL35" i="262"/>
  <c r="V37"/>
  <c r="BD155" i="280"/>
  <c r="BD149"/>
  <c r="BD156"/>
  <c r="BD148"/>
  <c r="AO37" i="259"/>
  <c r="AO52" s="1"/>
  <c r="AO71" s="1"/>
  <c r="BG36"/>
  <c r="X16" i="231"/>
  <c r="AT16" s="1"/>
  <c r="X25"/>
  <c r="AT25" s="1"/>
  <c r="AL35" i="258"/>
  <c r="V37"/>
  <c r="BP12" i="257"/>
  <c r="DI10"/>
  <c r="W12" i="248"/>
  <c r="DI26" i="256"/>
  <c r="BP31"/>
  <c r="T14" i="255"/>
  <c r="BA360" i="280"/>
  <c r="BA288" i="279"/>
  <c r="BA347" i="277"/>
  <c r="BA288" i="276"/>
  <c r="BG35" i="256"/>
  <c r="AN37"/>
  <c r="U14" i="231"/>
  <c r="AQ14" s="1"/>
  <c r="I14" i="255"/>
  <c r="R13"/>
  <c r="AL57" i="263"/>
  <c r="BK45" i="257"/>
  <c r="BD198" i="280"/>
  <c r="L17" i="257"/>
  <c r="L23" s="1"/>
  <c r="L71" s="1"/>
  <c r="BB12" i="280"/>
  <c r="BK26" i="259"/>
  <c r="BI31"/>
  <c r="BK31" s="1"/>
  <c r="T17" i="255"/>
  <c r="AL15"/>
  <c r="BM15" s="1"/>
  <c r="BA359" i="280"/>
  <c r="BA287" i="279"/>
  <c r="BA287" i="276"/>
  <c r="BA346" i="277"/>
  <c r="AE39" i="231"/>
  <c r="AP39" s="1"/>
  <c r="BB151" i="280"/>
  <c r="BG45" i="248"/>
  <c r="AW52"/>
  <c r="AW71" s="1"/>
  <c r="V12" i="231"/>
  <c r="AR12" s="1"/>
  <c r="AL38" i="262"/>
  <c r="AL16" i="255"/>
  <c r="AE40" i="231"/>
  <c r="AP40" s="1"/>
  <c r="BD88" i="280"/>
  <c r="BD123"/>
  <c r="BD12"/>
  <c r="V31" i="261"/>
  <c r="DI26" i="259"/>
  <c r="BP31"/>
  <c r="AL36" i="263"/>
  <c r="Z37"/>
  <c r="Z52" s="1"/>
  <c r="BB154" i="280"/>
  <c r="V37" i="257"/>
  <c r="AL35"/>
  <c r="BF261" i="280"/>
  <c r="R22" i="255"/>
  <c r="O23"/>
  <c r="O71" s="1"/>
  <c r="BG38" i="261"/>
  <c r="AL45" i="262"/>
  <c r="BG40" i="256"/>
  <c r="AF8" i="231"/>
  <c r="BK45" i="256"/>
  <c r="BD118" i="276"/>
  <c r="BD251"/>
  <c r="BD252"/>
  <c r="BD240"/>
  <c r="AL57" i="261"/>
  <c r="L17" i="255"/>
  <c r="L23" s="1"/>
  <c r="L71" s="1"/>
  <c r="X17"/>
  <c r="BG38" i="262"/>
  <c r="AL28"/>
  <c r="AL35" i="259"/>
  <c r="V37"/>
  <c r="AL42" i="255"/>
  <c r="U44"/>
  <c r="T21" i="231"/>
  <c r="G158" i="188"/>
  <c r="G132"/>
  <c r="BD87" i="280"/>
  <c r="BD13"/>
  <c r="BD37"/>
  <c r="BD323" s="1"/>
  <c r="AO37" i="258"/>
  <c r="AO52" s="1"/>
  <c r="AO71" s="1"/>
  <c r="BG36"/>
  <c r="W25" i="231"/>
  <c r="AS25" s="1"/>
  <c r="W16"/>
  <c r="AS16" s="1"/>
  <c r="AL35" i="255"/>
  <c r="V37"/>
  <c r="V31" i="263"/>
  <c r="DI26" i="255"/>
  <c r="BP31"/>
  <c r="AR61" i="259"/>
  <c r="BG57"/>
  <c r="AO37" i="248"/>
  <c r="AO52" s="1"/>
  <c r="AO71" s="1"/>
  <c r="BG36"/>
  <c r="V25" i="231"/>
  <c r="AR25" s="1"/>
  <c r="V16"/>
  <c r="AR16" s="1"/>
  <c r="H158" i="188"/>
  <c r="H132"/>
  <c r="AR61" i="257"/>
  <c r="BG57"/>
  <c r="BG35" i="260"/>
  <c r="AN37"/>
  <c r="AL36" i="261"/>
  <c r="Z37"/>
  <c r="Z52" s="1"/>
  <c r="K17" i="257"/>
  <c r="K23" s="1"/>
  <c r="K71" s="1"/>
  <c r="Y37" i="262"/>
  <c r="Y52" s="1"/>
  <c r="BG43" i="256"/>
  <c r="BC44"/>
  <c r="BC52" s="1"/>
  <c r="BC71" s="1"/>
  <c r="BD147" i="280"/>
  <c r="BD146"/>
  <c r="Z37" i="259"/>
  <c r="Z52" s="1"/>
  <c r="AL36"/>
  <c r="Y14" i="231"/>
  <c r="AU14" s="1"/>
  <c r="Y11"/>
  <c r="AU11" s="1"/>
  <c r="DI26" i="260"/>
  <c r="BP31"/>
  <c r="BG35" i="258"/>
  <c r="AN37"/>
  <c r="W14" i="231"/>
  <c r="AS14" s="1"/>
  <c r="W12" i="257"/>
  <c r="Y37" i="248"/>
  <c r="Y52" s="1"/>
  <c r="AR61"/>
  <c r="BG57"/>
  <c r="BK26" i="256"/>
  <c r="BI31"/>
  <c r="BK31" s="1"/>
  <c r="Y37" i="261"/>
  <c r="Y52" s="1"/>
  <c r="AR61" i="263"/>
  <c r="BG57"/>
  <c r="BG45" i="257"/>
  <c r="AW52"/>
  <c r="AW71" s="1"/>
  <c r="S12" i="231"/>
  <c r="AO12" s="1"/>
  <c r="BP12" i="256"/>
  <c r="DI10"/>
  <c r="BD186" i="280"/>
  <c r="BD190"/>
  <c r="BG36" i="260"/>
  <c r="AO37"/>
  <c r="AO52" s="1"/>
  <c r="AO71" s="1"/>
  <c r="R22" i="257"/>
  <c r="O23"/>
  <c r="O71" s="1"/>
  <c r="AF31" i="255"/>
  <c r="AF52" s="1"/>
  <c r="AY251" i="279"/>
  <c r="AY40" i="280"/>
  <c r="AY326" s="1"/>
  <c r="AY313" i="277"/>
  <c r="AY254" i="276"/>
  <c r="AL47" i="255"/>
  <c r="DI47" i="259"/>
  <c r="BF263" i="280"/>
  <c r="BD253" i="276"/>
  <c r="Y37" i="259"/>
  <c r="Y52" s="1"/>
  <c r="R16" i="257"/>
  <c r="J17"/>
  <c r="BD44" i="280"/>
  <c r="DI16" i="262"/>
  <c r="BK26" i="255"/>
  <c r="BI31"/>
  <c r="BK31" s="1"/>
  <c r="AL57" i="260"/>
  <c r="V37" i="263"/>
  <c r="AL35"/>
  <c r="Z37" i="248"/>
  <c r="Z52" s="1"/>
  <c r="AL36"/>
  <c r="BC154" i="280"/>
  <c r="DI47" i="258"/>
  <c r="BG35" i="262"/>
  <c r="AN37"/>
  <c r="BD142" i="280"/>
  <c r="BK26" i="260"/>
  <c r="BI31"/>
  <c r="BK31" s="1"/>
  <c r="AO37" i="256"/>
  <c r="AO52" s="1"/>
  <c r="AO71" s="1"/>
  <c r="BG36"/>
  <c r="U16" i="231"/>
  <c r="AQ16" s="1"/>
  <c r="U25"/>
  <c r="AQ25" s="1"/>
  <c r="AL45" i="258"/>
  <c r="AY363" i="280"/>
  <c r="AY291" i="279"/>
  <c r="AY350" i="277"/>
  <c r="AY291" i="276"/>
  <c r="AL35" i="248"/>
  <c r="V37"/>
  <c r="L17" i="263"/>
  <c r="L23" s="1"/>
  <c r="L71" s="1"/>
  <c r="AL57" i="248"/>
  <c r="V13" i="231"/>
  <c r="AR13" s="1"/>
  <c r="V31" i="256"/>
  <c r="AR61"/>
  <c r="BG57"/>
  <c r="Y37"/>
  <c r="Y52" s="1"/>
  <c r="W31" i="257"/>
  <c r="W52" s="1"/>
  <c r="AY241" i="279"/>
  <c r="AY262" i="280"/>
  <c r="AY300" i="277"/>
  <c r="S22" i="231"/>
  <c r="AY241" i="276"/>
  <c r="AL35" i="261"/>
  <c r="V37"/>
  <c r="AR61" i="258"/>
  <c r="BG57"/>
  <c r="W12" i="256"/>
  <c r="BD192" i="280"/>
  <c r="BD187"/>
  <c r="AL36" i="260"/>
  <c r="Z37"/>
  <c r="Z52" s="1"/>
  <c r="AL22" i="257"/>
  <c r="AY364" i="280"/>
  <c r="AY292" i="279"/>
  <c r="AY351" i="277"/>
  <c r="AY292" i="276"/>
  <c r="AD45" i="231"/>
  <c r="AO45" s="1"/>
  <c r="BB13" i="280"/>
  <c r="AY250" i="279"/>
  <c r="AY36" i="280"/>
  <c r="AY322" s="1"/>
  <c r="AY309" i="277"/>
  <c r="AY250" i="276"/>
  <c r="BC12" i="280"/>
  <c r="BG35" i="257"/>
  <c r="AN37"/>
  <c r="S14" i="231"/>
  <c r="AO14" s="1"/>
  <c r="BG43" i="255"/>
  <c r="BC44"/>
  <c r="BC52" s="1"/>
  <c r="BC71" s="1"/>
  <c r="BK26" i="262"/>
  <c r="BI31"/>
  <c r="BK31" s="1"/>
  <c r="AL36" i="258"/>
  <c r="Z37"/>
  <c r="Z52" s="1"/>
  <c r="BG35" i="255"/>
  <c r="AN37"/>
  <c r="T14" i="231"/>
  <c r="AP14" s="1"/>
  <c r="AL57" i="259"/>
  <c r="X13" i="231"/>
  <c r="AT13" s="1"/>
  <c r="BG45" i="259"/>
  <c r="AW52"/>
  <c r="AW71" s="1"/>
  <c r="X12" i="231"/>
  <c r="AT12" s="1"/>
  <c r="BG41" i="256"/>
  <c r="AF20" i="231"/>
  <c r="AL38" i="260"/>
  <c r="AL57" i="262"/>
  <c r="AL43" i="256"/>
  <c r="U10" i="231"/>
  <c r="AQ10" s="1"/>
  <c r="BD154" i="280"/>
  <c r="BG36" i="262"/>
  <c r="AO37"/>
  <c r="AO52" s="1"/>
  <c r="AO71" s="1"/>
  <c r="Y13" i="231"/>
  <c r="AU13" s="1"/>
  <c r="DI26" i="261"/>
  <c r="BP31"/>
  <c r="V31" i="259"/>
  <c r="AL16" i="257"/>
  <c r="AD40" i="231"/>
  <c r="AO40" s="1"/>
  <c r="DI47" i="255"/>
  <c r="AL36" i="257"/>
  <c r="Z37"/>
  <c r="Z52" s="1"/>
  <c r="I243" i="187"/>
  <c r="I245" s="1"/>
  <c r="I270" s="1"/>
  <c r="AL38" i="259"/>
  <c r="BM38" s="1"/>
  <c r="BO38" s="1"/>
  <c r="X11" i="231"/>
  <c r="AT11" s="1"/>
  <c r="F158" i="188"/>
  <c r="F132"/>
  <c r="K17" i="255"/>
  <c r="K23" s="1"/>
  <c r="K71" s="1"/>
  <c r="AL28" i="260"/>
  <c r="L353" i="154"/>
  <c r="L373"/>
  <c r="O353"/>
  <c r="O373"/>
  <c r="BG45" i="255"/>
  <c r="AW52"/>
  <c r="AW71" s="1"/>
  <c r="T12" i="231"/>
  <c r="AP12" s="1"/>
  <c r="AL43" i="255"/>
  <c r="T10" i="231"/>
  <c r="AP10" s="1"/>
  <c r="V31" i="262"/>
  <c r="BK45" i="248"/>
  <c r="AL38"/>
  <c r="V11" i="231"/>
  <c r="AR11" s="1"/>
  <c r="AL40" i="248"/>
  <c r="BM40" s="1"/>
  <c r="BO40" s="1"/>
  <c r="V8" i="231"/>
  <c r="BG35" i="259"/>
  <c r="AN37"/>
  <c r="X14" i="231"/>
  <c r="AT14" s="1"/>
  <c r="DI26" i="258"/>
  <c r="BP31"/>
  <c r="DI22" i="257"/>
  <c r="BP12" i="255"/>
  <c r="DI10"/>
  <c r="AR61"/>
  <c r="BG57"/>
  <c r="BD92" i="280"/>
  <c r="BD124"/>
  <c r="BD118" i="279"/>
  <c r="BD125" i="280" s="1"/>
  <c r="BD118"/>
  <c r="BD39"/>
  <c r="BD325" s="1"/>
  <c r="BD47"/>
  <c r="BD329" s="1"/>
  <c r="W17" i="255"/>
  <c r="DI16" i="259"/>
  <c r="BP12" i="258"/>
  <c r="DI10"/>
  <c r="W17" i="257"/>
  <c r="AL28" i="261"/>
  <c r="M353" i="154"/>
  <c r="M373"/>
  <c r="BP12" i="261"/>
  <c r="DI10"/>
  <c r="AO37" i="255"/>
  <c r="AO52" s="1"/>
  <c r="AO71" s="1"/>
  <c r="BG36"/>
  <c r="T25" i="231"/>
  <c r="AP25" s="1"/>
  <c r="T16"/>
  <c r="AP16" s="1"/>
  <c r="V31" i="257"/>
  <c r="DI26" i="248"/>
  <c r="BP31"/>
  <c r="V31" i="255"/>
  <c r="DI16" i="260"/>
  <c r="AR61"/>
  <c r="BG57"/>
  <c r="Y37" i="263"/>
  <c r="Y52" s="1"/>
  <c r="J243" i="187"/>
  <c r="J245" s="1"/>
  <c r="J270" s="1"/>
  <c r="BK45" i="259"/>
  <c r="DI16" i="248"/>
  <c r="AL41" i="256"/>
  <c r="U20" i="231"/>
  <c r="BG38" i="260"/>
  <c r="AR61" i="262"/>
  <c r="BG57"/>
  <c r="Y37" i="260"/>
  <c r="Y52" s="1"/>
  <c r="H243" i="187"/>
  <c r="H245" s="1"/>
  <c r="H270" s="1"/>
  <c r="BD143" i="280"/>
  <c r="BD144"/>
  <c r="X17" i="257"/>
  <c r="Z37" i="262"/>
  <c r="Z52" s="1"/>
  <c r="AL36"/>
  <c r="Y25" i="231"/>
  <c r="AU25" s="1"/>
  <c r="Y16"/>
  <c r="AU16" s="1"/>
  <c r="AJ40"/>
  <c r="AU40" s="1"/>
  <c r="V31" i="260"/>
  <c r="Y37" i="258"/>
  <c r="Y52" s="1"/>
  <c r="AL36" i="256"/>
  <c r="Z37"/>
  <c r="Z52" s="1"/>
  <c r="BG35" i="248"/>
  <c r="AN37"/>
  <c r="V14" i="231"/>
  <c r="AR14" s="1"/>
  <c r="BP12" i="248"/>
  <c r="DI10"/>
  <c r="AL28" i="263"/>
  <c r="AL57" i="256"/>
  <c r="U13" i="231"/>
  <c r="AQ13" s="1"/>
  <c r="AL35" i="256"/>
  <c r="BM35" s="1"/>
  <c r="V37"/>
  <c r="BG35" i="261"/>
  <c r="AN37"/>
  <c r="BA154" i="280"/>
  <c r="AL57" i="258"/>
  <c r="BM57" s="1"/>
  <c r="W13" i="231"/>
  <c r="AS13" s="1"/>
  <c r="I158" i="188"/>
  <c r="I132"/>
  <c r="BD189" i="280"/>
  <c r="BD200"/>
  <c r="BD185"/>
  <c r="BD315" i="279"/>
  <c r="DI47" i="256"/>
  <c r="F107" i="244"/>
  <c r="F103"/>
  <c r="BC13" i="280"/>
  <c r="H561" i="270"/>
  <c r="H562"/>
  <c r="H560"/>
  <c r="H559"/>
  <c r="M372" i="154"/>
  <c r="H503" i="270"/>
  <c r="H501"/>
  <c r="H504"/>
  <c r="H502"/>
  <c r="L389"/>
  <c r="K571"/>
  <c r="H580"/>
  <c r="H578"/>
  <c r="H581"/>
  <c r="H579"/>
  <c r="I167" i="184"/>
  <c r="I230" s="1"/>
  <c r="I166"/>
  <c r="I229" s="1"/>
  <c r="I165"/>
  <c r="I228" s="1"/>
  <c r="I231" s="1"/>
  <c r="H18" i="159"/>
  <c r="K532" i="270"/>
  <c r="K494"/>
  <c r="L391"/>
  <c r="K609"/>
  <c r="K399"/>
  <c r="M109" i="168"/>
  <c r="M65"/>
  <c r="G478" i="270"/>
  <c r="H229" i="272"/>
  <c r="G194"/>
  <c r="G199"/>
  <c r="G202" s="1"/>
  <c r="F462" i="159"/>
  <c r="F530" s="1"/>
  <c r="F496"/>
  <c r="BA111" i="277"/>
  <c r="E111" s="1"/>
  <c r="M233" i="187"/>
  <c r="M234"/>
  <c r="H462" i="159"/>
  <c r="H530" s="1"/>
  <c r="H496"/>
  <c r="G436"/>
  <c r="G336"/>
  <c r="G37" s="1"/>
  <c r="G41" s="1"/>
  <c r="G242" i="272"/>
  <c r="G244"/>
  <c r="G243"/>
  <c r="G251"/>
  <c r="G252"/>
  <c r="G250"/>
  <c r="G253" s="1"/>
  <c r="K43" i="235"/>
  <c r="L39"/>
  <c r="H149" i="194"/>
  <c r="H128"/>
  <c r="G454" i="271"/>
  <c r="G505" s="1"/>
  <c r="G452"/>
  <c r="G503" s="1"/>
  <c r="G453"/>
  <c r="G504" s="1"/>
  <c r="M111" i="168"/>
  <c r="K109"/>
  <c r="K112" s="1"/>
  <c r="K65"/>
  <c r="J245" i="272"/>
  <c r="O302" i="154"/>
  <c r="F96" i="157"/>
  <c r="F97"/>
  <c r="F114" s="1"/>
  <c r="F131" s="1"/>
  <c r="F99"/>
  <c r="L122" i="271"/>
  <c r="M78"/>
  <c r="G235" i="272"/>
  <c r="G236"/>
  <c r="G234"/>
  <c r="K23" i="184"/>
  <c r="K149" s="1"/>
  <c r="L19"/>
  <c r="J59" i="188"/>
  <c r="H115"/>
  <c r="K323" i="271"/>
  <c r="J319"/>
  <c r="J352" s="1"/>
  <c r="J409" s="1"/>
  <c r="J322"/>
  <c r="J355" s="1"/>
  <c r="J412" s="1"/>
  <c r="J435" s="1"/>
  <c r="J320"/>
  <c r="J353" s="1"/>
  <c r="J410" s="1"/>
  <c r="J321"/>
  <c r="J354" s="1"/>
  <c r="J411" s="1"/>
  <c r="O530"/>
  <c r="H30" i="157"/>
  <c r="G40"/>
  <c r="M101" i="190"/>
  <c r="N116" i="182"/>
  <c r="N115"/>
  <c r="I593" i="270"/>
  <c r="F231" i="184"/>
  <c r="N253" i="272"/>
  <c r="F401" i="159"/>
  <c r="F40" s="1"/>
  <c r="F18" i="48"/>
  <c r="F32" s="1"/>
  <c r="F31"/>
  <c r="J126" i="133"/>
  <c r="J129"/>
  <c r="J128"/>
  <c r="J127"/>
  <c r="M41" i="234"/>
  <c r="M83" s="1"/>
  <c r="N37"/>
  <c r="L119" i="271"/>
  <c r="M75"/>
  <c r="G179" i="272"/>
  <c r="G227" s="1"/>
  <c r="G180"/>
  <c r="G228" s="1"/>
  <c r="G178"/>
  <c r="G226" s="1"/>
  <c r="H127" i="200"/>
  <c r="G143"/>
  <c r="G130"/>
  <c r="M530" i="271"/>
  <c r="L121"/>
  <c r="M77"/>
  <c r="K48" i="235"/>
  <c r="K52" s="1"/>
  <c r="K111" s="1"/>
  <c r="K116" s="1"/>
  <c r="J63" i="157"/>
  <c r="I65"/>
  <c r="I334" i="270"/>
  <c r="I338" s="1"/>
  <c r="I111" i="233"/>
  <c r="N130" i="153"/>
  <c r="I628" i="270"/>
  <c r="I631" s="1"/>
  <c r="J392"/>
  <c r="N245" i="272"/>
  <c r="G57" i="198"/>
  <c r="I117" i="235"/>
  <c r="I119" s="1"/>
  <c r="I142"/>
  <c r="O207" i="272"/>
  <c r="O210" s="1"/>
  <c r="O93" i="197"/>
  <c r="O126" s="1"/>
  <c r="O94"/>
  <c r="O127" s="1"/>
  <c r="O95"/>
  <c r="O128" s="1"/>
  <c r="K590" i="270"/>
  <c r="M253" i="272"/>
  <c r="N247" i="238"/>
  <c r="N268"/>
  <c r="J372" i="154"/>
  <c r="O199" i="272"/>
  <c r="O202" s="1"/>
  <c r="O194"/>
  <c r="G109" i="168"/>
  <c r="G65"/>
  <c r="L522" i="271"/>
  <c r="J229" i="272"/>
  <c r="L34" i="236"/>
  <c r="N37" i="233"/>
  <c r="N46"/>
  <c r="G10" i="35"/>
  <c r="F11"/>
  <c r="BD411" i="277"/>
  <c r="F125" i="188"/>
  <c r="F126" s="1"/>
  <c r="F151"/>
  <c r="F153" s="1"/>
  <c r="G164" s="1"/>
  <c r="F164" s="1"/>
  <c r="H466" i="271"/>
  <c r="H444"/>
  <c r="M229" i="272"/>
  <c r="F57" i="198"/>
  <c r="F247" i="184"/>
  <c r="I16" i="48"/>
  <c r="H30"/>
  <c r="L140"/>
  <c r="I112" i="191"/>
  <c r="I82"/>
  <c r="H497" i="159"/>
  <c r="M18" i="133"/>
  <c r="M31" s="1"/>
  <c r="M155" s="1"/>
  <c r="N51"/>
  <c r="M52"/>
  <c r="M63" s="1"/>
  <c r="F436" i="159"/>
  <c r="F336"/>
  <c r="F37" s="1"/>
  <c r="F41" s="1"/>
  <c r="F244" i="272"/>
  <c r="F243"/>
  <c r="F242"/>
  <c r="J400" i="270"/>
  <c r="J143" i="153"/>
  <c r="J129"/>
  <c r="J130" s="1"/>
  <c r="N140" i="48"/>
  <c r="N252" i="187"/>
  <c r="K30" i="133"/>
  <c r="K19"/>
  <c r="K32" s="1"/>
  <c r="K91" i="233"/>
  <c r="K92" s="1"/>
  <c r="K120"/>
  <c r="K98"/>
  <c r="K119" s="1"/>
  <c r="M5" i="231"/>
  <c r="L109" i="168"/>
  <c r="L112" s="1"/>
  <c r="L65"/>
  <c r="I129" i="200"/>
  <c r="H179"/>
  <c r="J140" i="48"/>
  <c r="I512" i="159"/>
  <c r="G41" i="157"/>
  <c r="H31"/>
  <c r="H233" i="187"/>
  <c r="H234"/>
  <c r="O250" i="272"/>
  <c r="O251"/>
  <c r="O252"/>
  <c r="G243" i="133"/>
  <c r="G247" s="1"/>
  <c r="G248" s="1"/>
  <c r="G160"/>
  <c r="H145" i="191"/>
  <c r="H148" s="1"/>
  <c r="H152"/>
  <c r="H156" s="1"/>
  <c r="K42" i="237"/>
  <c r="K46" s="1"/>
  <c r="K84" s="1"/>
  <c r="K89" s="1"/>
  <c r="BA108" i="277"/>
  <c r="E108" s="1"/>
  <c r="I372" i="154"/>
  <c r="K189" i="194"/>
  <c r="K188"/>
  <c r="M123" i="271"/>
  <c r="N79"/>
  <c r="N123" s="1"/>
  <c r="N36" i="237"/>
  <c r="N45"/>
  <c r="G247" i="238"/>
  <c r="G268"/>
  <c r="F689" i="270"/>
  <c r="F203" i="200"/>
  <c r="F191"/>
  <c r="O57" i="198"/>
  <c r="F388" i="159"/>
  <c r="F30" s="1"/>
  <c r="F18" s="1"/>
  <c r="I147" i="133"/>
  <c r="H287"/>
  <c r="H116" i="191"/>
  <c r="H161" s="1"/>
  <c r="H120"/>
  <c r="H123" s="1"/>
  <c r="H127"/>
  <c r="H131" s="1"/>
  <c r="F215" i="272"/>
  <c r="F217" s="1"/>
  <c r="BM40" i="257"/>
  <c r="BO40" s="1"/>
  <c r="F245" i="187"/>
  <c r="F270" s="1"/>
  <c r="AH71" i="256"/>
  <c r="AH63"/>
  <c r="G245" i="187"/>
  <c r="G270" s="1"/>
  <c r="BA106" i="277"/>
  <c r="E106" s="1"/>
  <c r="R463" i="271"/>
  <c r="I171" i="184"/>
  <c r="H174"/>
  <c r="H175" s="1"/>
  <c r="H188"/>
  <c r="H247" i="238"/>
  <c r="H268"/>
  <c r="K50" i="234"/>
  <c r="K87" s="1"/>
  <c r="L46"/>
  <c r="N101" i="190"/>
  <c r="O467" i="271"/>
  <c r="O445"/>
  <c r="O438"/>
  <c r="BA107" i="277"/>
  <c r="E107" s="1"/>
  <c r="R189" i="272"/>
  <c r="N233" i="187"/>
  <c r="N234" s="1"/>
  <c r="M112" i="168"/>
  <c r="M237" i="272"/>
  <c r="F530" i="271"/>
  <c r="H90" i="197"/>
  <c r="F90"/>
  <c r="F105" s="1"/>
  <c r="G106"/>
  <c r="G107" s="1"/>
  <c r="G191" i="184"/>
  <c r="G192" s="1"/>
  <c r="G215" s="1"/>
  <c r="G200"/>
  <c r="G202" s="1"/>
  <c r="I478" i="271"/>
  <c r="K360"/>
  <c r="K417" s="1"/>
  <c r="N237" i="272"/>
  <c r="J151" i="184"/>
  <c r="J152"/>
  <c r="J153" s="1"/>
  <c r="J160" s="1"/>
  <c r="G464" i="159"/>
  <c r="G531" s="1"/>
  <c r="G497"/>
  <c r="F140" i="48"/>
  <c r="I432" i="271"/>
  <c r="I475"/>
  <c r="M95" i="197"/>
  <c r="M128" s="1"/>
  <c r="M94"/>
  <c r="M127" s="1"/>
  <c r="M93"/>
  <c r="M126" s="1"/>
  <c r="N118" i="182"/>
  <c r="H111" i="233"/>
  <c r="O115" i="182"/>
  <c r="O116"/>
  <c r="I106" i="234"/>
  <c r="BF4" i="276"/>
  <c r="M84" i="154"/>
  <c r="K253" i="272"/>
  <c r="H618" i="270"/>
  <c r="H619"/>
  <c r="H617"/>
  <c r="H616"/>
  <c r="F410" i="159"/>
  <c r="F31" s="1"/>
  <c r="L40" i="235"/>
  <c r="L36" i="236"/>
  <c r="L46"/>
  <c r="M57" i="198"/>
  <c r="K256" i="187"/>
  <c r="K271" s="1"/>
  <c r="K258"/>
  <c r="K280" s="1"/>
  <c r="K349" i="271"/>
  <c r="K406" s="1"/>
  <c r="G215" i="272"/>
  <c r="G217" s="1"/>
  <c r="M247" i="238"/>
  <c r="M268"/>
  <c r="R465" i="271"/>
  <c r="I189" i="194"/>
  <c r="I188"/>
  <c r="N109" i="168"/>
  <c r="N65"/>
  <c r="O522" i="271"/>
  <c r="L135" i="184"/>
  <c r="K189"/>
  <c r="K356" i="271"/>
  <c r="K413" s="1"/>
  <c r="I612" i="270"/>
  <c r="I245" i="272"/>
  <c r="G189" i="194"/>
  <c r="G188"/>
  <c r="N144" i="153"/>
  <c r="N145"/>
  <c r="K140" i="48"/>
  <c r="K95" i="234"/>
  <c r="K96" s="1"/>
  <c r="K99"/>
  <c r="K117" s="1"/>
  <c r="K530" i="271"/>
  <c r="I632" i="270"/>
  <c r="H633"/>
  <c r="G92" i="236"/>
  <c r="H468" i="271"/>
  <c r="H446"/>
  <c r="F236" i="272"/>
  <c r="F234"/>
  <c r="F235"/>
  <c r="BF4" i="279"/>
  <c r="H302" i="154"/>
  <c r="J591" i="270"/>
  <c r="G379" i="159"/>
  <c r="G39" s="1"/>
  <c r="G18" s="1"/>
  <c r="G140" i="48"/>
  <c r="G530" i="271"/>
  <c r="I434"/>
  <c r="F169" i="200"/>
  <c r="F172" s="1"/>
  <c r="F173" s="1"/>
  <c r="F174" s="1"/>
  <c r="F109" i="168"/>
  <c r="F65"/>
  <c r="I463" i="159"/>
  <c r="I499"/>
  <c r="I149" i="133"/>
  <c r="H289"/>
  <c r="L149" i="194"/>
  <c r="L128"/>
  <c r="I78" i="236"/>
  <c r="I80" s="1"/>
  <c r="I81" s="1"/>
  <c r="I100"/>
  <c r="I497" i="270"/>
  <c r="J356" i="271"/>
  <c r="J413" s="1"/>
  <c r="J476" s="1"/>
  <c r="F116" i="188"/>
  <c r="F143"/>
  <c r="F145" s="1"/>
  <c r="G39" i="157"/>
  <c r="H29"/>
  <c r="M116" i="182"/>
  <c r="M115"/>
  <c r="J233" i="187"/>
  <c r="J234" s="1"/>
  <c r="L116" i="182"/>
  <c r="L115"/>
  <c r="O39" i="234"/>
  <c r="O48" s="1"/>
  <c r="I466" i="271"/>
  <c r="I444"/>
  <c r="H531" i="159"/>
  <c r="L244" i="133"/>
  <c r="L290"/>
  <c r="F445" i="159"/>
  <c r="F345"/>
  <c r="F28" s="1"/>
  <c r="F247" i="238"/>
  <c r="F268"/>
  <c r="F207" i="272"/>
  <c r="F210" s="1"/>
  <c r="K522" i="271"/>
  <c r="L124"/>
  <c r="M80"/>
  <c r="H541" i="270"/>
  <c r="H542"/>
  <c r="H540"/>
  <c r="H539"/>
  <c r="BF134" i="279"/>
  <c r="O149" i="194"/>
  <c r="O128"/>
  <c r="F469" i="271"/>
  <c r="G185" i="191"/>
  <c r="G165"/>
  <c r="G196" s="1"/>
  <c r="G167"/>
  <c r="G198" s="1"/>
  <c r="I410" i="159"/>
  <c r="I31" s="1"/>
  <c r="I19" s="1"/>
  <c r="E658" i="270"/>
  <c r="E688"/>
  <c r="I574"/>
  <c r="F203" i="184"/>
  <c r="F217" s="1"/>
  <c r="F214"/>
  <c r="O179" i="272"/>
  <c r="O227" s="1"/>
  <c r="O180"/>
  <c r="O228" s="1"/>
  <c r="O178"/>
  <c r="O226" s="1"/>
  <c r="G208" i="133"/>
  <c r="G256" s="1"/>
  <c r="K247" i="238"/>
  <c r="K268"/>
  <c r="M91" i="234"/>
  <c r="K235" i="159"/>
  <c r="K236"/>
  <c r="L234"/>
  <c r="K127" i="153"/>
  <c r="I118" i="182"/>
  <c r="K237" i="272"/>
  <c r="G462" i="159"/>
  <c r="G530" s="1"/>
  <c r="G496"/>
  <c r="L363" i="271"/>
  <c r="L420" s="1"/>
  <c r="L364"/>
  <c r="L421" s="1"/>
  <c r="L361"/>
  <c r="L418" s="1"/>
  <c r="L362"/>
  <c r="L419" s="1"/>
  <c r="H370" i="154"/>
  <c r="H339"/>
  <c r="K233" i="187"/>
  <c r="K234"/>
  <c r="J572" i="270"/>
  <c r="I535"/>
  <c r="F379" i="159"/>
  <c r="F39" s="1"/>
  <c r="H283" i="187"/>
  <c r="F250" i="272"/>
  <c r="F251"/>
  <c r="F252"/>
  <c r="N40" i="234"/>
  <c r="H32" i="159"/>
  <c r="H16"/>
  <c r="H20" s="1"/>
  <c r="G640" i="270"/>
  <c r="I148" i="133"/>
  <c r="H288"/>
  <c r="I28" i="157"/>
  <c r="H32"/>
  <c r="H87" s="1"/>
  <c r="H38"/>
  <c r="H42" s="1"/>
  <c r="L187" i="191"/>
  <c r="K187"/>
  <c r="N187"/>
  <c r="G187"/>
  <c r="I187"/>
  <c r="J187"/>
  <c r="F187"/>
  <c r="O187"/>
  <c r="M187"/>
  <c r="H187"/>
  <c r="AH71" i="255"/>
  <c r="AH63"/>
  <c r="AO20" i="231"/>
  <c r="BM16" i="256"/>
  <c r="F660" i="270"/>
  <c r="I404" i="271"/>
  <c r="I371"/>
  <c r="K129" i="197"/>
  <c r="J75" i="191"/>
  <c r="J76"/>
  <c r="J81"/>
  <c r="L93" i="234"/>
  <c r="L118"/>
  <c r="BG71" i="280"/>
  <c r="F106" i="197"/>
  <c r="F95"/>
  <c r="F128" s="1"/>
  <c r="F94"/>
  <c r="F127" s="1"/>
  <c r="F93"/>
  <c r="F126" s="1"/>
  <c r="G164" i="200"/>
  <c r="G166" s="1"/>
  <c r="G162"/>
  <c r="G168" s="1"/>
  <c r="J109" i="168"/>
  <c r="J65"/>
  <c r="K18" i="271"/>
  <c r="K22" s="1"/>
  <c r="K21"/>
  <c r="K19"/>
  <c r="K20"/>
  <c r="F194" i="272"/>
  <c r="F199"/>
  <c r="F202" s="1"/>
  <c r="G96" i="157"/>
  <c r="G97"/>
  <c r="G114" s="1"/>
  <c r="G131" s="1"/>
  <c r="G99"/>
  <c r="G104" s="1"/>
  <c r="N229" i="272"/>
  <c r="F454" i="271"/>
  <c r="F505" s="1"/>
  <c r="F452"/>
  <c r="F503" s="1"/>
  <c r="F453"/>
  <c r="F504" s="1"/>
  <c r="M130" i="153"/>
  <c r="I109" i="168"/>
  <c r="I112" s="1"/>
  <c r="I65"/>
  <c r="K35" i="237"/>
  <c r="L57" i="198"/>
  <c r="O140" i="48"/>
  <c r="I233" i="187"/>
  <c r="I234" s="1"/>
  <c r="F245" i="184"/>
  <c r="N239"/>
  <c r="K239"/>
  <c r="O239"/>
  <c r="J239"/>
  <c r="L239"/>
  <c r="G239"/>
  <c r="H239"/>
  <c r="I239"/>
  <c r="F239"/>
  <c r="M239"/>
  <c r="J129" i="197"/>
  <c r="L136" i="184"/>
  <c r="K201"/>
  <c r="I445" i="159"/>
  <c r="I345"/>
  <c r="I28" s="1"/>
  <c r="J495" i="270"/>
  <c r="J496"/>
  <c r="I140" i="48"/>
  <c r="O215" i="272"/>
  <c r="O217" s="1"/>
  <c r="I57" i="198"/>
  <c r="M20" i="270"/>
  <c r="N16"/>
  <c r="N20" s="1"/>
  <c r="J79" i="237"/>
  <c r="J94"/>
  <c r="J112" s="1"/>
  <c r="J405" i="159"/>
  <c r="J407"/>
  <c r="J385"/>
  <c r="J363"/>
  <c r="J362"/>
  <c r="J360"/>
  <c r="J404"/>
  <c r="J381"/>
  <c r="J409"/>
  <c r="J384"/>
  <c r="J364"/>
  <c r="J359"/>
  <c r="J386"/>
  <c r="J383"/>
  <c r="J403"/>
  <c r="J408"/>
  <c r="J382"/>
  <c r="J387"/>
  <c r="J406"/>
  <c r="J365"/>
  <c r="J340"/>
  <c r="J447" s="1"/>
  <c r="J343"/>
  <c r="J450" s="1"/>
  <c r="J361"/>
  <c r="J342"/>
  <c r="J449" s="1"/>
  <c r="J512" s="1"/>
  <c r="J344"/>
  <c r="J451" s="1"/>
  <c r="J339"/>
  <c r="J446" s="1"/>
  <c r="J511" s="1"/>
  <c r="J341"/>
  <c r="J448" s="1"/>
  <c r="J338"/>
  <c r="M140" i="48"/>
  <c r="J610" i="270"/>
  <c r="J246" i="154"/>
  <c r="I331"/>
  <c r="I332" s="1"/>
  <c r="L134" i="184"/>
  <c r="K172"/>
  <c r="M272" i="272"/>
  <c r="N160"/>
  <c r="F357" i="159"/>
  <c r="F38" s="1"/>
  <c r="K552" i="270"/>
  <c r="K398"/>
  <c r="H452" i="159"/>
  <c r="H514"/>
  <c r="H513"/>
  <c r="J55" i="184"/>
  <c r="J59" s="1"/>
  <c r="J173" s="1"/>
  <c r="I59"/>
  <c r="I173" s="1"/>
  <c r="F371" i="154"/>
  <c r="F377" s="1"/>
  <c r="F360"/>
  <c r="F396" s="1"/>
  <c r="H688" i="270"/>
  <c r="BM38" i="256"/>
  <c r="BO38" s="1"/>
  <c r="AH63" i="248"/>
  <c r="AH71"/>
  <c r="BM38" i="258"/>
  <c r="BO38" s="1"/>
  <c r="M35" i="236"/>
  <c r="BH4" i="280"/>
  <c r="K120" i="271"/>
  <c r="L76"/>
  <c r="F253" i="133"/>
  <c r="F291"/>
  <c r="O512" i="271"/>
  <c r="O511"/>
  <c r="O513"/>
  <c r="O236" i="272"/>
  <c r="O234"/>
  <c r="O237" s="1"/>
  <c r="O235"/>
  <c r="O109" i="168"/>
  <c r="O65"/>
  <c r="I462" i="159"/>
  <c r="I530" s="1"/>
  <c r="I496"/>
  <c r="I436"/>
  <c r="I336"/>
  <c r="I37" s="1"/>
  <c r="I41" s="1"/>
  <c r="L193" i="187"/>
  <c r="M149" i="194"/>
  <c r="M128"/>
  <c r="K43" i="236"/>
  <c r="K47" s="1"/>
  <c r="K74" s="1"/>
  <c r="K79" s="1"/>
  <c r="J37"/>
  <c r="J70" s="1"/>
  <c r="K33"/>
  <c r="K57" i="198"/>
  <c r="K41" i="235"/>
  <c r="L101" i="190"/>
  <c r="N57" i="198"/>
  <c r="G19" i="159"/>
  <c r="J401" i="270"/>
  <c r="K366" i="271"/>
  <c r="K423" s="1"/>
  <c r="K367"/>
  <c r="K424" s="1"/>
  <c r="K365"/>
  <c r="K422" s="1"/>
  <c r="H133" i="235"/>
  <c r="I146" i="133"/>
  <c r="H150"/>
  <c r="H208"/>
  <c r="H256" s="1"/>
  <c r="H286"/>
  <c r="F514" i="271"/>
  <c r="J522"/>
  <c r="F673" i="270"/>
  <c r="G129" i="197"/>
  <c r="L91" i="196"/>
  <c r="M91"/>
  <c r="O91"/>
  <c r="H91"/>
  <c r="J91"/>
  <c r="F91"/>
  <c r="K91"/>
  <c r="G91"/>
  <c r="I91"/>
  <c r="N91"/>
  <c r="K316" i="271"/>
  <c r="J314"/>
  <c r="J347" s="1"/>
  <c r="J315"/>
  <c r="J348" s="1"/>
  <c r="J405" s="1"/>
  <c r="H91" i="236"/>
  <c r="H90"/>
  <c r="R190" i="272"/>
  <c r="L97" i="188"/>
  <c r="L247" i="238"/>
  <c r="L268"/>
  <c r="G339" i="154"/>
  <c r="G370"/>
  <c r="L93" i="197"/>
  <c r="L126" s="1"/>
  <c r="L94"/>
  <c r="L127" s="1"/>
  <c r="L95"/>
  <c r="L128" s="1"/>
  <c r="K101" i="190"/>
  <c r="L233" i="187"/>
  <c r="L234"/>
  <c r="I592" i="270"/>
  <c r="K74" i="191"/>
  <c r="G445" i="159"/>
  <c r="G345"/>
  <c r="G28" s="1"/>
  <c r="G366"/>
  <c r="G29" s="1"/>
  <c r="G17" s="1"/>
  <c r="J189" i="194"/>
  <c r="J188"/>
  <c r="G207" i="272"/>
  <c r="G210" s="1"/>
  <c r="L144" i="153"/>
  <c r="L145"/>
  <c r="J109" i="233"/>
  <c r="J110"/>
  <c r="O466" i="271"/>
  <c r="O444"/>
  <c r="J351"/>
  <c r="J408" s="1"/>
  <c r="J434" s="1"/>
  <c r="J350"/>
  <c r="J407" s="1"/>
  <c r="F134" i="200"/>
  <c r="F144"/>
  <c r="G133" i="235"/>
  <c r="K245" i="272"/>
  <c r="G522" i="271"/>
  <c r="L253" i="272"/>
  <c r="H253"/>
  <c r="J107" i="235"/>
  <c r="J115" s="1"/>
  <c r="J121"/>
  <c r="J141" s="1"/>
  <c r="H17" i="157"/>
  <c r="H21" s="1"/>
  <c r="H81" s="1"/>
  <c r="I19"/>
  <c r="I18"/>
  <c r="I20"/>
  <c r="F234" i="187"/>
  <c r="F233"/>
  <c r="I101" i="190"/>
  <c r="I554" i="270"/>
  <c r="I555" s="1"/>
  <c r="I128" i="200"/>
  <c r="H161"/>
  <c r="F199" i="191"/>
  <c r="G283" i="187"/>
  <c r="L143" i="271"/>
  <c r="M142"/>
  <c r="G469"/>
  <c r="O244" i="272"/>
  <c r="O242"/>
  <c r="O245" s="1"/>
  <c r="O243"/>
  <c r="L38" i="234"/>
  <c r="L47"/>
  <c r="R464" i="271"/>
  <c r="N95" i="197"/>
  <c r="N128" s="1"/>
  <c r="N94"/>
  <c r="N127" s="1"/>
  <c r="N93"/>
  <c r="N126" s="1"/>
  <c r="L372" i="154"/>
  <c r="K229" i="272"/>
  <c r="J283" i="187"/>
  <c r="M144" i="153"/>
  <c r="M145"/>
  <c r="L327" i="271"/>
  <c r="K324"/>
  <c r="K357" s="1"/>
  <c r="K414" s="1"/>
  <c r="K325"/>
  <c r="K358" s="1"/>
  <c r="K415" s="1"/>
  <c r="K326"/>
  <c r="K359" s="1"/>
  <c r="K416" s="1"/>
  <c r="O479"/>
  <c r="M283" i="187"/>
  <c r="J349" i="271"/>
  <c r="J406" s="1"/>
  <c r="J247" i="238"/>
  <c r="J268"/>
  <c r="N189" i="194"/>
  <c r="N188"/>
  <c r="O111" i="168"/>
  <c r="G112"/>
  <c r="L237" i="272"/>
  <c r="L229"/>
  <c r="I467" i="159"/>
  <c r="I465"/>
  <c r="I531" s="1"/>
  <c r="I497"/>
  <c r="I357"/>
  <c r="I38" s="1"/>
  <c r="I17" s="1"/>
  <c r="K302" i="154"/>
  <c r="H433" i="271"/>
  <c r="H467" s="1"/>
  <c r="H463"/>
  <c r="H477"/>
  <c r="H428"/>
  <c r="H474"/>
  <c r="M46" i="233"/>
  <c r="J43" i="236"/>
  <c r="J47" s="1"/>
  <c r="J74" s="1"/>
  <c r="J79" s="1"/>
  <c r="G514" i="271"/>
  <c r="F121" i="188"/>
  <c r="F122" s="1"/>
  <c r="F147"/>
  <c r="F149" s="1"/>
  <c r="G163" s="1"/>
  <c r="F163" s="1"/>
  <c r="I229" i="272"/>
  <c r="L530" i="271"/>
  <c r="I247" i="238"/>
  <c r="I268"/>
  <c r="H104" i="237"/>
  <c r="G233" i="187"/>
  <c r="G234" s="1"/>
  <c r="BG64" i="279"/>
  <c r="F246" i="184"/>
  <c r="H17" i="48"/>
  <c r="G18"/>
  <c r="G31"/>
  <c r="I137" i="191"/>
  <c r="I83"/>
  <c r="H436" i="159"/>
  <c r="H336"/>
  <c r="H37" s="1"/>
  <c r="H41" s="1"/>
  <c r="L297" i="133"/>
  <c r="L259"/>
  <c r="L298" s="1"/>
  <c r="J106" i="234"/>
  <c r="G401" i="159"/>
  <c r="G40" s="1"/>
  <c r="N36" i="233"/>
  <c r="N45"/>
  <c r="H599" i="270"/>
  <c r="H597"/>
  <c r="H600"/>
  <c r="H598"/>
  <c r="H237" i="272"/>
  <c r="K143" i="153"/>
  <c r="K129"/>
  <c r="K130" s="1"/>
  <c r="N44" i="233"/>
  <c r="N35"/>
  <c r="O126" i="187"/>
  <c r="O174" s="1"/>
  <c r="O251" s="1"/>
  <c r="O125"/>
  <c r="O173" s="1"/>
  <c r="O250" s="1"/>
  <c r="O252" s="1"/>
  <c r="L17" i="133"/>
  <c r="M50"/>
  <c r="L38" i="233"/>
  <c r="L79" s="1"/>
  <c r="L89" s="1"/>
  <c r="M34"/>
  <c r="N530" i="271"/>
  <c r="I88" i="237"/>
  <c r="I90" s="1"/>
  <c r="I91" s="1"/>
  <c r="I113"/>
  <c r="G479" i="270"/>
  <c r="F661"/>
  <c r="G180" i="200"/>
  <c r="G186" s="1"/>
  <c r="G182"/>
  <c r="G184" s="1"/>
  <c r="I388" i="159"/>
  <c r="I30" s="1"/>
  <c r="I18" s="1"/>
  <c r="F464"/>
  <c r="F531" s="1"/>
  <c r="O247" i="238"/>
  <c r="O268"/>
  <c r="J116" i="182"/>
  <c r="J115"/>
  <c r="I95" i="197"/>
  <c r="I128" s="1"/>
  <c r="I93"/>
  <c r="I126" s="1"/>
  <c r="I94"/>
  <c r="I127" s="1"/>
  <c r="I283" i="187"/>
  <c r="O144" i="153"/>
  <c r="O145"/>
  <c r="L373" i="270"/>
  <c r="L387" s="1"/>
  <c r="L374"/>
  <c r="L388" s="1"/>
  <c r="L375"/>
  <c r="L377"/>
  <c r="L371"/>
  <c r="L385" s="1"/>
  <c r="L376"/>
  <c r="L390" s="1"/>
  <c r="L378"/>
  <c r="L372"/>
  <c r="K37" i="237"/>
  <c r="L33"/>
  <c r="H109" i="168"/>
  <c r="H65"/>
  <c r="N522" i="271"/>
  <c r="H477" i="270"/>
  <c r="F477"/>
  <c r="F637" s="1"/>
  <c r="E659" s="1"/>
  <c r="H57" i="198"/>
  <c r="H140" i="48"/>
  <c r="J374" i="159"/>
  <c r="J400"/>
  <c r="J375"/>
  <c r="J377"/>
  <c r="J396"/>
  <c r="J398"/>
  <c r="J376"/>
  <c r="J354"/>
  <c r="J372"/>
  <c r="J399"/>
  <c r="J356"/>
  <c r="J378"/>
  <c r="J397"/>
  <c r="J350"/>
  <c r="J394"/>
  <c r="J401" s="1"/>
  <c r="J40" s="1"/>
  <c r="J351"/>
  <c r="J373"/>
  <c r="J395"/>
  <c r="J352"/>
  <c r="J353"/>
  <c r="J333"/>
  <c r="J440" s="1"/>
  <c r="J335"/>
  <c r="J442" s="1"/>
  <c r="J467" s="1"/>
  <c r="J355"/>
  <c r="J331"/>
  <c r="J438" s="1"/>
  <c r="J330"/>
  <c r="J437" s="1"/>
  <c r="J329"/>
  <c r="J332"/>
  <c r="J439" s="1"/>
  <c r="J464" s="1"/>
  <c r="J334"/>
  <c r="J441" s="1"/>
  <c r="M45" i="237"/>
  <c r="J57" i="198"/>
  <c r="F366" i="159"/>
  <c r="F29" s="1"/>
  <c r="F17" s="1"/>
  <c r="F189" i="194"/>
  <c r="F188"/>
  <c r="F179" i="272"/>
  <c r="F227" s="1"/>
  <c r="F180"/>
  <c r="F228" s="1"/>
  <c r="F178"/>
  <c r="F226" s="1"/>
  <c r="J553" i="270"/>
  <c r="J554"/>
  <c r="H129" i="197"/>
  <c r="H231" i="184"/>
  <c r="J534" i="270"/>
  <c r="J533"/>
  <c r="AH71" i="257"/>
  <c r="AH63"/>
  <c r="BM43"/>
  <c r="BO43" s="1"/>
  <c r="BM42"/>
  <c r="BO42" s="1"/>
  <c r="BM16" i="262"/>
  <c r="BM38" i="255"/>
  <c r="BO38" s="1"/>
  <c r="DI12" i="260"/>
  <c r="BM40" i="255"/>
  <c r="BO40" s="1"/>
  <c r="AP8" i="231"/>
  <c r="AH27" i="262"/>
  <c r="BG72" i="277"/>
  <c r="BD44" i="276"/>
  <c r="BD72" i="277"/>
  <c r="BB32" i="279"/>
  <c r="F15" i="201"/>
  <c r="AY26" i="276"/>
  <c r="BB44" i="279"/>
  <c r="BB72" i="277"/>
  <c r="BA32" i="279"/>
  <c r="BA60" i="277"/>
  <c r="K15" i="201"/>
  <c r="AH27" i="261"/>
  <c r="AF27"/>
  <c r="BI26"/>
  <c r="BR16" i="255"/>
  <c r="G37" i="231"/>
  <c r="BB332" i="277"/>
  <c r="BB345" i="280"/>
  <c r="M14" i="228"/>
  <c r="L29" i="231"/>
  <c r="F45"/>
  <c r="W15" i="263"/>
  <c r="F43" i="231"/>
  <c r="BA277" i="279"/>
  <c r="T21" i="255"/>
  <c r="BI45" i="263"/>
  <c r="BE12" i="276"/>
  <c r="BE29"/>
  <c r="BE87"/>
  <c r="BE44"/>
  <c r="BP10" i="259"/>
  <c r="AP34" i="248"/>
  <c r="BE39" i="279"/>
  <c r="BE222"/>
  <c r="BE127"/>
  <c r="BE36"/>
  <c r="BE204"/>
  <c r="BE206"/>
  <c r="BC144"/>
  <c r="BC144" i="276"/>
  <c r="K26" i="231"/>
  <c r="E15"/>
  <c r="BE135" i="279"/>
  <c r="F54" i="231"/>
  <c r="F97" i="234"/>
  <c r="AJ21" i="257"/>
  <c r="BA275" i="276"/>
  <c r="F40" i="231"/>
  <c r="BA347" i="280"/>
  <c r="BE192" i="279"/>
  <c r="F64" i="231"/>
  <c r="BF200" i="277"/>
  <c r="BQ47" i="257"/>
  <c r="BC85" i="276"/>
  <c r="BC144" i="277"/>
  <c r="BG209" i="280"/>
  <c r="G23" i="231"/>
  <c r="BR47" i="260"/>
  <c r="U40" i="258"/>
  <c r="Q11" i="228"/>
  <c r="BP47" i="262"/>
  <c r="AA34"/>
  <c r="V18" i="248"/>
  <c r="BR47"/>
  <c r="BR16" i="257"/>
  <c r="BF361" i="277"/>
  <c r="BF244"/>
  <c r="BF302" i="279"/>
  <c r="BB26" i="276"/>
  <c r="H15" i="201"/>
  <c r="AH27" i="260"/>
  <c r="BQ47" i="263"/>
  <c r="L56" i="231"/>
  <c r="L8"/>
  <c r="AP34" i="259"/>
  <c r="BB85" i="279"/>
  <c r="BR47" i="261"/>
  <c r="BE373" i="276"/>
  <c r="BE202"/>
  <c r="G57" i="231"/>
  <c r="BE12" i="279"/>
  <c r="BE111"/>
  <c r="BE83"/>
  <c r="BE141"/>
  <c r="BR22" i="255"/>
  <c r="H86" i="244"/>
  <c r="F60" i="231"/>
  <c r="CZ27" i="257"/>
  <c r="I10" i="231"/>
  <c r="Q29" i="228"/>
  <c r="N7"/>
  <c r="BC202" i="277"/>
  <c r="AA34" i="257"/>
  <c r="BF72" i="277"/>
  <c r="BA12" i="276"/>
  <c r="AY307"/>
  <c r="AY250" i="277"/>
  <c r="AY191" i="279"/>
  <c r="G45" i="231"/>
  <c r="BQ15" i="255"/>
  <c r="AH28" i="258"/>
  <c r="L49" i="231"/>
  <c r="G15"/>
  <c r="BI47" i="255"/>
  <c r="BE222" i="276"/>
  <c r="BE81"/>
  <c r="J56" i="231"/>
  <c r="F10"/>
  <c r="BE203" i="279"/>
  <c r="BC273" i="276"/>
  <c r="BC273" i="279"/>
  <c r="T15" i="248"/>
  <c r="BE140" i="279"/>
  <c r="U32" i="259"/>
  <c r="BA85" i="276"/>
  <c r="BA85" i="279"/>
  <c r="BG258" i="280"/>
  <c r="H40" i="231"/>
  <c r="BC275" i="276"/>
  <c r="BC347" i="280"/>
  <c r="K194" i="187"/>
  <c r="G86" i="244"/>
  <c r="I18" i="231"/>
  <c r="Q21" i="228"/>
  <c r="AF29" i="257"/>
  <c r="AY13" i="279"/>
  <c r="AY13" i="276"/>
  <c r="AY12" i="277"/>
  <c r="AY17" i="279"/>
  <c r="AY17" i="276"/>
  <c r="M10" i="248"/>
  <c r="M10" i="258"/>
  <c r="E40" i="231"/>
  <c r="AY334" i="277"/>
  <c r="AY347" i="280"/>
  <c r="BR15" i="255"/>
  <c r="AW45" i="262"/>
  <c r="BC145" i="279"/>
  <c r="BC145" i="276"/>
  <c r="L31" i="231"/>
  <c r="L26"/>
  <c r="AF27" i="248"/>
  <c r="F15" i="231"/>
  <c r="E45"/>
  <c r="BE237" i="276"/>
  <c r="BE82"/>
  <c r="BE127"/>
  <c r="BE205"/>
  <c r="AA34" i="248"/>
  <c r="M13" i="228"/>
  <c r="BE237" i="279"/>
  <c r="BE87"/>
  <c r="BE208"/>
  <c r="BE230"/>
  <c r="G65" i="231"/>
  <c r="BE139" i="279"/>
  <c r="BP22" i="255"/>
  <c r="N21" i="257"/>
  <c r="BE182" i="279"/>
  <c r="U26" i="258"/>
  <c r="U26" i="248"/>
  <c r="AE27" i="257"/>
  <c r="BG211" i="280"/>
  <c r="BG214"/>
  <c r="K15" i="231"/>
  <c r="BF28" i="260"/>
  <c r="BI273" i="276"/>
  <c r="BI345" i="280"/>
  <c r="Q19" i="228"/>
  <c r="AF27" i="260"/>
  <c r="BI26" i="263"/>
  <c r="H15" i="231"/>
  <c r="BQ21" i="257"/>
  <c r="BF195" i="277"/>
  <c r="AH28" i="259"/>
  <c r="W13" i="255"/>
  <c r="AW45" i="258"/>
  <c r="U26" i="256"/>
  <c r="AY283" i="276"/>
  <c r="AY283" i="279"/>
  <c r="T13" i="257"/>
  <c r="AP34"/>
  <c r="AY85" i="276"/>
  <c r="AY85" i="279"/>
  <c r="BA28" i="276"/>
  <c r="BA17" i="277"/>
  <c r="BA17" i="279"/>
  <c r="G15" i="201"/>
  <c r="BA26" i="276"/>
  <c r="G40" i="231"/>
  <c r="BB275" i="279"/>
  <c r="T18" i="256"/>
  <c r="X19" i="257"/>
  <c r="H17" i="231"/>
  <c r="BE364" i="276"/>
  <c r="BE31"/>
  <c r="L91" i="154"/>
  <c r="BE29" i="279"/>
  <c r="BE360"/>
  <c r="BE149"/>
  <c r="BE301"/>
  <c r="BP15" i="257"/>
  <c r="BG212" i="280"/>
  <c r="K98" i="188"/>
  <c r="L16" i="228"/>
  <c r="U32" i="258"/>
  <c r="AY44" i="276"/>
  <c r="AY44" i="279"/>
  <c r="BA306" i="276"/>
  <c r="BA365" i="277"/>
  <c r="BA306" i="279"/>
  <c r="BC26" i="276"/>
  <c r="BC54" i="277"/>
  <c r="BA13" i="279"/>
  <c r="BC44"/>
  <c r="BC72" i="277"/>
  <c r="BA44" i="276"/>
  <c r="BF29" i="257"/>
  <c r="AF27" i="258"/>
  <c r="U26" i="255"/>
  <c r="BE201" i="277"/>
  <c r="L6" i="231"/>
  <c r="F65"/>
  <c r="BQ47" i="261"/>
  <c r="BE117" i="276"/>
  <c r="BE360"/>
  <c r="BE30" i="279"/>
  <c r="BE364"/>
  <c r="BE202"/>
  <c r="BI45" i="261"/>
  <c r="BR16" i="263"/>
  <c r="BE179" i="279"/>
  <c r="BG251" i="280"/>
  <c r="G21" i="231"/>
  <c r="BQ47" i="260"/>
  <c r="Q6" i="228"/>
  <c r="AP34" i="262"/>
  <c r="U39" i="258"/>
  <c r="E32" i="231"/>
  <c r="E65"/>
  <c r="G48"/>
  <c r="BD120" i="276"/>
  <c r="BD367" i="279"/>
  <c r="BE125"/>
  <c r="BE125" i="276"/>
  <c r="BD371" i="279"/>
  <c r="BD124" i="276"/>
  <c r="BD183" i="277"/>
  <c r="BC371" i="276"/>
  <c r="BC371" i="279"/>
  <c r="BB124" i="276"/>
  <c r="BB371"/>
  <c r="BD125" i="279"/>
  <c r="BD372" i="276"/>
  <c r="BD184" i="277"/>
  <c r="BA371" i="276"/>
  <c r="BA371" i="279"/>
  <c r="BD119" i="276"/>
  <c r="BD119" i="279"/>
  <c r="AF29" i="262"/>
  <c r="BE72" i="277"/>
  <c r="BD44" i="279"/>
  <c r="BB32" i="276"/>
  <c r="BB60" i="277"/>
  <c r="AY54"/>
  <c r="AY26" i="279"/>
  <c r="BB44" i="276"/>
  <c r="BI13" i="277"/>
  <c r="BA32" i="276"/>
  <c r="BE54" i="277"/>
  <c r="AH27" i="263"/>
  <c r="AG29" i="257"/>
  <c r="M88" i="244"/>
  <c r="BI45" i="262"/>
  <c r="U32"/>
  <c r="BH184" i="277" s="1"/>
  <c r="BB273" i="276"/>
  <c r="BB273" i="279"/>
  <c r="T15" i="256"/>
  <c r="L38" i="231"/>
  <c r="X48" i="257"/>
  <c r="M10" i="255"/>
  <c r="BA336" i="277"/>
  <c r="BA277" i="276"/>
  <c r="BA349" i="280"/>
  <c r="BP47" i="261"/>
  <c r="BE13" i="276"/>
  <c r="BE116"/>
  <c r="BE365"/>
  <c r="BE230"/>
  <c r="BE207"/>
  <c r="H10" i="231"/>
  <c r="AA34" i="255"/>
  <c r="BE26" i="279"/>
  <c r="BE13"/>
  <c r="BE81"/>
  <c r="BE373"/>
  <c r="BE201"/>
  <c r="BE207"/>
  <c r="BC203" i="277"/>
  <c r="AW45" i="261"/>
  <c r="AW45" i="260"/>
  <c r="U32" i="257"/>
  <c r="BE137" i="279"/>
  <c r="W22" i="255"/>
  <c r="E61" i="231"/>
  <c r="BP16" i="263"/>
  <c r="BA334" i="277"/>
  <c r="BA275" i="279"/>
  <c r="T18" i="255"/>
  <c r="BE177" i="279"/>
  <c r="V13" i="255"/>
  <c r="BF141" i="276"/>
  <c r="L15" i="228"/>
  <c r="BC85" i="279"/>
  <c r="BG207" i="280"/>
  <c r="BR13" i="255"/>
  <c r="U42" i="256"/>
  <c r="I19" i="231"/>
  <c r="Q28" i="228"/>
  <c r="Q10"/>
  <c r="BF28" i="261"/>
  <c r="H65" i="231"/>
  <c r="BI45" i="258"/>
  <c r="BF28" i="263"/>
  <c r="BF185" i="276"/>
  <c r="BF302"/>
  <c r="BF185" i="279"/>
  <c r="BB26"/>
  <c r="BB54" i="277"/>
  <c r="BH72"/>
  <c r="BP15" i="255"/>
  <c r="BR21" i="257"/>
  <c r="L14" i="231"/>
  <c r="J10"/>
  <c r="BB85" i="276"/>
  <c r="BB144" i="277"/>
  <c r="BE83" i="276"/>
  <c r="BE206"/>
  <c r="U26" i="262"/>
  <c r="BH183" i="277" s="1"/>
  <c r="X15" i="256"/>
  <c r="BE116" i="279"/>
  <c r="BE365"/>
  <c r="BE199"/>
  <c r="BE147"/>
  <c r="AG27" i="256"/>
  <c r="BI47" i="257"/>
  <c r="X19" i="255"/>
  <c r="BG215" i="280"/>
  <c r="AP34" i="258"/>
  <c r="BR47" i="262"/>
  <c r="BC143" i="279"/>
  <c r="BC143" i="276"/>
  <c r="BI72" i="277"/>
  <c r="BA12" i="279"/>
  <c r="BA12" i="277"/>
  <c r="AY366"/>
  <c r="AY191" i="276"/>
  <c r="AY307" i="279"/>
  <c r="M10" i="256"/>
  <c r="BR47" i="263"/>
  <c r="J352" i="154"/>
  <c r="L25" i="231"/>
  <c r="U32" i="256"/>
  <c r="AW45" i="263"/>
  <c r="BE208" i="276"/>
  <c r="BE111"/>
  <c r="W10" i="259"/>
  <c r="AP34" i="255"/>
  <c r="H37" i="231"/>
  <c r="BC332" i="277"/>
  <c r="BC345" i="280"/>
  <c r="BE148" i="279"/>
  <c r="J15" i="231"/>
  <c r="BE190" i="279"/>
  <c r="BA144" i="277"/>
  <c r="BQ15" i="257"/>
  <c r="BG213" i="280"/>
  <c r="BC334" i="277"/>
  <c r="BC275" i="279"/>
  <c r="T18" i="248"/>
  <c r="AG27" i="255"/>
  <c r="AA34" i="258"/>
  <c r="AX40"/>
  <c r="U32" i="263"/>
  <c r="BI184" i="277" s="1"/>
  <c r="BI12"/>
  <c r="AY13"/>
  <c r="AY12" i="279"/>
  <c r="AY12" i="276"/>
  <c r="AY17" i="277"/>
  <c r="H45" i="231"/>
  <c r="I45"/>
  <c r="U26" i="261"/>
  <c r="AY275" i="276"/>
  <c r="AY275" i="279"/>
  <c r="T18" i="257"/>
  <c r="U26" i="259"/>
  <c r="BP16" i="255"/>
  <c r="BC204" i="277"/>
  <c r="BP47" i="263"/>
  <c r="L13" i="231"/>
  <c r="U26" i="260"/>
  <c r="BF183" i="277" s="1"/>
  <c r="I88" i="244"/>
  <c r="U32" i="255"/>
  <c r="M10" i="257"/>
  <c r="BE371" i="276"/>
  <c r="BE235"/>
  <c r="BE30"/>
  <c r="BE39"/>
  <c r="BE36"/>
  <c r="BF28" i="262"/>
  <c r="BE31" i="279"/>
  <c r="BE117"/>
  <c r="BE372"/>
  <c r="BE205"/>
  <c r="BE235"/>
  <c r="V18" i="256"/>
  <c r="BE142" i="279"/>
  <c r="I13" i="257"/>
  <c r="BE184" i="279"/>
  <c r="BP47" i="257"/>
  <c r="BR15"/>
  <c r="BP21"/>
  <c r="F87" i="244"/>
  <c r="BG256" i="280"/>
  <c r="U26" i="263"/>
  <c r="BI183" i="277" s="1"/>
  <c r="U32" i="260"/>
  <c r="BI332" i="277"/>
  <c r="BI273" i="279"/>
  <c r="T15" i="263"/>
  <c r="Q8" i="228"/>
  <c r="L88" i="244"/>
  <c r="J15" i="256"/>
  <c r="U32" i="248"/>
  <c r="BF136" i="276"/>
  <c r="K352" i="154"/>
  <c r="F50" i="231"/>
  <c r="I26"/>
  <c r="BP47" i="248"/>
  <c r="AY342" i="277"/>
  <c r="E39" i="231"/>
  <c r="AY355" i="280"/>
  <c r="E10" i="231"/>
  <c r="BP16" i="257"/>
  <c r="AY144" i="277"/>
  <c r="BA28" i="279"/>
  <c r="BA56" i="277"/>
  <c r="BA17" i="276"/>
  <c r="BA26" i="279"/>
  <c r="BA54" i="277"/>
  <c r="BB334"/>
  <c r="BB275" i="276"/>
  <c r="BB347" i="280"/>
  <c r="E60" i="231"/>
  <c r="L15"/>
  <c r="U39" i="248"/>
  <c r="BE199" i="276"/>
  <c r="BE203"/>
  <c r="U32" i="261"/>
  <c r="BE44" i="279"/>
  <c r="BE136"/>
  <c r="BQ16" i="263"/>
  <c r="BE178" i="279"/>
  <c r="BG243" i="280"/>
  <c r="BG210"/>
  <c r="BP47" i="260"/>
  <c r="I15" i="231"/>
  <c r="BQ47" i="248"/>
  <c r="AY72" i="277"/>
  <c r="BA189" i="276"/>
  <c r="BA248" i="277"/>
  <c r="BA189" i="279"/>
  <c r="BC26"/>
  <c r="I15" i="201"/>
  <c r="BA13" i="277"/>
  <c r="BA13" i="276"/>
  <c r="BC44"/>
  <c r="BA44" i="279"/>
  <c r="BA72" i="277"/>
  <c r="BQ16" i="255"/>
  <c r="J88" i="244"/>
  <c r="BE142" i="276"/>
  <c r="L28" i="231"/>
  <c r="AA34" i="259"/>
  <c r="V18" i="255"/>
  <c r="BE204" i="276"/>
  <c r="BE26"/>
  <c r="BE201"/>
  <c r="BE124" i="279"/>
  <c r="BE82"/>
  <c r="U26" i="257"/>
  <c r="BI45" i="260"/>
  <c r="BE181" i="279"/>
  <c r="BR47" i="257"/>
  <c r="BG216" i="280"/>
  <c r="AY42" i="256"/>
  <c r="Q20" i="228"/>
  <c r="BQ47" i="262"/>
  <c r="I17" i="231"/>
  <c r="BQ16" i="257"/>
  <c r="X47"/>
  <c r="V18"/>
  <c r="W15" i="256"/>
  <c r="AY125" i="276"/>
  <c r="AY372"/>
  <c r="AY125" i="279"/>
  <c r="BB369"/>
  <c r="BB122"/>
  <c r="BD120"/>
  <c r="BD367" i="276"/>
  <c r="BD179" i="277"/>
  <c r="BB125" i="276"/>
  <c r="BB372"/>
  <c r="BB184" i="277"/>
  <c r="BE372" i="276"/>
  <c r="BE184" i="277"/>
  <c r="BG183"/>
  <c r="BE183"/>
  <c r="BA184"/>
  <c r="BA125" i="276"/>
  <c r="BA125" i="279"/>
  <c r="BD124"/>
  <c r="BD371" i="276"/>
  <c r="BC124" i="279"/>
  <c r="BC124" i="276"/>
  <c r="BC183" i="277"/>
  <c r="BF184"/>
  <c r="BC372" i="276"/>
  <c r="BC372" i="279"/>
  <c r="BB371"/>
  <c r="BB124"/>
  <c r="BB183" i="277"/>
  <c r="BC366" i="279"/>
  <c r="BC119"/>
  <c r="BG184" i="277"/>
  <c r="BD372" i="279"/>
  <c r="BD125" i="276"/>
  <c r="BA124"/>
  <c r="BA183" i="277"/>
  <c r="BA124" i="279"/>
  <c r="AY124" i="276"/>
  <c r="AY371" i="279"/>
  <c r="BD366" i="276"/>
  <c r="BD366" i="279"/>
  <c r="BD178" i="277"/>
  <c r="AY372" i="279"/>
  <c r="AY184" i="277"/>
  <c r="BB181"/>
  <c r="BB369" i="276"/>
  <c r="BB122"/>
  <c r="BB372" i="279"/>
  <c r="BB125"/>
  <c r="BE371"/>
  <c r="BE124" i="276"/>
  <c r="BA372" i="279"/>
  <c r="BA372" i="276"/>
  <c r="BC184" i="277"/>
  <c r="BC125" i="276"/>
  <c r="BC125" i="279"/>
  <c r="BC178" i="277"/>
  <c r="BC366" i="276"/>
  <c r="BC119"/>
  <c r="AY124" i="279"/>
  <c r="AY183" i="277"/>
  <c r="AY371" i="276"/>
  <c r="BM45" i="255" l="1"/>
  <c r="BM45" i="257"/>
  <c r="AQ8" i="231"/>
  <c r="BM38" i="248"/>
  <c r="BO38" s="1"/>
  <c r="BM42" i="255"/>
  <c r="BO42" s="1"/>
  <c r="BM36" i="258"/>
  <c r="BM57" i="248"/>
  <c r="BM36" i="259"/>
  <c r="BM16" i="263"/>
  <c r="BM36" i="248"/>
  <c r="H162" i="191"/>
  <c r="H186" s="1"/>
  <c r="BM36" i="257"/>
  <c r="BM45" i="256"/>
  <c r="BM36" i="262"/>
  <c r="BM35" i="263"/>
  <c r="BM36"/>
  <c r="BM36" i="256"/>
  <c r="BM36" i="261"/>
  <c r="O112" i="168"/>
  <c r="H438" i="271"/>
  <c r="BM45" i="259"/>
  <c r="BM35" i="257"/>
  <c r="BM45" i="248"/>
  <c r="AP21" i="231"/>
  <c r="BM35" i="260"/>
  <c r="BM36" i="255"/>
  <c r="BD126" i="280"/>
  <c r="AY131"/>
  <c r="AY126" i="279"/>
  <c r="AY185" i="277"/>
  <c r="AY126" i="276"/>
  <c r="BA131" i="280"/>
  <c r="BA126" i="279"/>
  <c r="BA185" i="277"/>
  <c r="BA126" i="276"/>
  <c r="BD132" i="280"/>
  <c r="BC126"/>
  <c r="BB131"/>
  <c r="BC132"/>
  <c r="BC131"/>
  <c r="BD131"/>
  <c r="BA132"/>
  <c r="BE132"/>
  <c r="BB132"/>
  <c r="BD127"/>
  <c r="BB185" i="277"/>
  <c r="BB129" i="280"/>
  <c r="BB126" i="279"/>
  <c r="BB126" i="276"/>
  <c r="AY132" i="280"/>
  <c r="W17" i="256"/>
  <c r="V20" i="257"/>
  <c r="X51"/>
  <c r="X52" s="1"/>
  <c r="AL47"/>
  <c r="AP37" i="262"/>
  <c r="AP52" s="1"/>
  <c r="AP71" s="1"/>
  <c r="BG34"/>
  <c r="BG42" i="256"/>
  <c r="AY44"/>
  <c r="AY52" s="1"/>
  <c r="AY71" s="1"/>
  <c r="AF21" i="231"/>
  <c r="U9"/>
  <c r="AQ9" s="1"/>
  <c r="BG261" i="280"/>
  <c r="BE187"/>
  <c r="BE189"/>
  <c r="BK45" i="260"/>
  <c r="BK45" i="261"/>
  <c r="U31" i="257"/>
  <c r="AL26"/>
  <c r="BM26" s="1"/>
  <c r="BE87" i="280"/>
  <c r="BE131"/>
  <c r="BE38"/>
  <c r="BE324" s="1"/>
  <c r="BE248" i="276"/>
  <c r="BE118"/>
  <c r="V20" i="255"/>
  <c r="AA37" i="259"/>
  <c r="AA52" s="1"/>
  <c r="AL34"/>
  <c r="Z14" i="231"/>
  <c r="AV14" s="1"/>
  <c r="Z13"/>
  <c r="AV13" s="1"/>
  <c r="U31" i="255"/>
  <c r="AL26"/>
  <c r="BM26" s="1"/>
  <c r="J106" i="244"/>
  <c r="BF31" i="257"/>
  <c r="BA380" i="276"/>
  <c r="BA52" i="280"/>
  <c r="BC380" i="276"/>
  <c r="BC52" i="280"/>
  <c r="BA13"/>
  <c r="BC307" i="277"/>
  <c r="BC248" i="276"/>
  <c r="BC248" i="279"/>
  <c r="BC34" i="280"/>
  <c r="BA320" i="279"/>
  <c r="BA197" i="280"/>
  <c r="AY169" s="1"/>
  <c r="BC169" s="1"/>
  <c r="BA379" i="277"/>
  <c r="BA320" i="276"/>
  <c r="AY52" i="280"/>
  <c r="AY380" i="276"/>
  <c r="U33" i="258"/>
  <c r="AL32"/>
  <c r="W24" i="231"/>
  <c r="AS24" s="1"/>
  <c r="DI47" i="260"/>
  <c r="K158" i="188"/>
  <c r="K132"/>
  <c r="BG263" i="280"/>
  <c r="BP17" i="257"/>
  <c r="DI15"/>
  <c r="BE186" i="280"/>
  <c r="BE315" i="279"/>
  <c r="BE156" i="280"/>
  <c r="BE143"/>
  <c r="BE52"/>
  <c r="BE37"/>
  <c r="BE323" s="1"/>
  <c r="U33" i="261"/>
  <c r="AL32"/>
  <c r="L108" i="154"/>
  <c r="L328" s="1"/>
  <c r="L329" s="1"/>
  <c r="L330" s="1"/>
  <c r="BE253" i="276"/>
  <c r="T20" i="256"/>
  <c r="BB361" i="280"/>
  <c r="BB289" i="279"/>
  <c r="BB289" i="276"/>
  <c r="BB348" i="277"/>
  <c r="BA248" i="276"/>
  <c r="BA307" i="277"/>
  <c r="BA248" i="279"/>
  <c r="BA34" i="280"/>
  <c r="BA17"/>
  <c r="BA309" i="277"/>
  <c r="BA250" i="276"/>
  <c r="BA250" i="279"/>
  <c r="BA36" i="280"/>
  <c r="BA322" s="1"/>
  <c r="AY90"/>
  <c r="DI16" i="257"/>
  <c r="AP37"/>
  <c r="AP52" s="1"/>
  <c r="AP71" s="1"/>
  <c r="BG34"/>
  <c r="S18" i="231"/>
  <c r="AO18" s="1"/>
  <c r="T14" i="257"/>
  <c r="AY360" i="280"/>
  <c r="AY288" i="279"/>
  <c r="AY288" i="276"/>
  <c r="AY347" i="277"/>
  <c r="U31" i="256"/>
  <c r="AL26"/>
  <c r="BM26" s="1"/>
  <c r="DI47" i="248"/>
  <c r="BG45" i="258"/>
  <c r="AW52"/>
  <c r="AW71" s="1"/>
  <c r="W12" i="231"/>
  <c r="AS12" s="1"/>
  <c r="W14" i="255"/>
  <c r="AL28" i="259"/>
  <c r="K353" i="154"/>
  <c r="K373"/>
  <c r="U33" i="248"/>
  <c r="AL32"/>
  <c r="V24" i="231"/>
  <c r="AR24" s="1"/>
  <c r="J17" i="256"/>
  <c r="R15"/>
  <c r="BK26" i="263"/>
  <c r="BI31"/>
  <c r="BK31" s="1"/>
  <c r="L106" i="244"/>
  <c r="T17" i="263"/>
  <c r="AL15"/>
  <c r="BM15" s="1"/>
  <c r="BI359" i="280"/>
  <c r="BI287" i="279"/>
  <c r="BI287" i="276"/>
  <c r="BI346" i="277"/>
  <c r="BG28" i="260"/>
  <c r="BM28" s="1"/>
  <c r="U33"/>
  <c r="AL32"/>
  <c r="Y24" i="231"/>
  <c r="AU24" s="1"/>
  <c r="U31" i="263"/>
  <c r="AL26"/>
  <c r="F105" i="244"/>
  <c r="F108"/>
  <c r="AL27" i="257"/>
  <c r="BM27" s="1"/>
  <c r="DI21"/>
  <c r="U31" i="248"/>
  <c r="AL26"/>
  <c r="BM26" s="1"/>
  <c r="BR17" i="257"/>
  <c r="U31" i="258"/>
  <c r="AL26"/>
  <c r="BM26" s="1"/>
  <c r="DI47" i="257"/>
  <c r="BE190" i="280"/>
  <c r="BE192"/>
  <c r="R21" i="257"/>
  <c r="N23"/>
  <c r="N71" s="1"/>
  <c r="I14"/>
  <c r="R13"/>
  <c r="DI22" i="255"/>
  <c r="BE149" i="280"/>
  <c r="BE146"/>
  <c r="V20" i="256"/>
  <c r="BE240" i="279"/>
  <c r="BE92" i="280"/>
  <c r="BE124"/>
  <c r="BE118" i="279"/>
  <c r="BE125" i="280" s="1"/>
  <c r="BE39"/>
  <c r="BE325" s="1"/>
  <c r="BG28" i="262"/>
  <c r="BM28" s="1"/>
  <c r="AA37" i="248"/>
  <c r="AA52" s="1"/>
  <c r="AL34"/>
  <c r="BE256" i="276"/>
  <c r="BE252"/>
  <c r="U33" i="255"/>
  <c r="AL32"/>
  <c r="T24" i="231"/>
  <c r="AP24" s="1"/>
  <c r="I106" i="244"/>
  <c r="U31" i="260"/>
  <c r="AL26"/>
  <c r="BM26" s="1"/>
  <c r="Z12" i="231"/>
  <c r="AV12" s="1"/>
  <c r="Z24"/>
  <c r="AV24" s="1"/>
  <c r="DI47" i="263"/>
  <c r="BC152" i="280"/>
  <c r="DI16" i="255"/>
  <c r="BG45" i="262"/>
  <c r="AW52"/>
  <c r="AW71" s="1"/>
  <c r="U31" i="259"/>
  <c r="AL26"/>
  <c r="BM26" s="1"/>
  <c r="BR17" i="255"/>
  <c r="T20" i="257"/>
  <c r="AY361" i="280"/>
  <c r="AY289" i="279"/>
  <c r="AY348" i="277"/>
  <c r="AY289" i="276"/>
  <c r="U31" i="261"/>
  <c r="AL26"/>
  <c r="AY17" i="280"/>
  <c r="AY12"/>
  <c r="AY13"/>
  <c r="AF31" i="257"/>
  <c r="AF52" s="1"/>
  <c r="U33" i="263"/>
  <c r="AL32"/>
  <c r="BG40" i="258"/>
  <c r="AH8" i="231"/>
  <c r="AA37" i="258"/>
  <c r="AA52" s="1"/>
  <c r="AL34"/>
  <c r="G107" i="244"/>
  <c r="G103"/>
  <c r="K243" i="187"/>
  <c r="K245" s="1"/>
  <c r="K270" s="1"/>
  <c r="T20" i="248"/>
  <c r="BC361" i="280"/>
  <c r="BC289" i="279"/>
  <c r="BC289" i="276"/>
  <c r="BC348" i="277"/>
  <c r="BQ17" i="257"/>
  <c r="BA90" i="280"/>
  <c r="BE198"/>
  <c r="U33" i="259"/>
  <c r="AL32"/>
  <c r="X24" i="231"/>
  <c r="AT24" s="1"/>
  <c r="BE147" i="280"/>
  <c r="BE155"/>
  <c r="T17" i="248"/>
  <c r="BC359" i="280"/>
  <c r="BC287" i="279"/>
  <c r="BC346" i="277"/>
  <c r="BC287" i="276"/>
  <c r="AP37" i="255"/>
  <c r="AP52" s="1"/>
  <c r="AP71" s="1"/>
  <c r="BG34"/>
  <c r="T18" i="231"/>
  <c r="AP18" s="1"/>
  <c r="W12" i="259"/>
  <c r="BE242" i="276"/>
  <c r="BG45" i="263"/>
  <c r="AW52"/>
  <c r="AW71" s="1"/>
  <c r="BK47" i="255"/>
  <c r="BM47" s="1"/>
  <c r="U33" i="256"/>
  <c r="AL32"/>
  <c r="U24" i="231"/>
  <c r="AQ24" s="1"/>
  <c r="Z11"/>
  <c r="AV11" s="1"/>
  <c r="J353" i="154"/>
  <c r="J373"/>
  <c r="AL28" i="258"/>
  <c r="BQ17" i="255"/>
  <c r="AY321" i="279"/>
  <c r="AY199" i="280"/>
  <c r="AY380" i="277"/>
  <c r="AY321" i="276"/>
  <c r="BA12" i="280"/>
  <c r="AA37" i="257"/>
  <c r="AA52" s="1"/>
  <c r="AL34"/>
  <c r="BC150" i="280"/>
  <c r="AP37" i="258"/>
  <c r="AP52" s="1"/>
  <c r="AP71" s="1"/>
  <c r="BG34"/>
  <c r="W18" i="231"/>
  <c r="AS18" s="1"/>
  <c r="DI27" i="257"/>
  <c r="CZ31"/>
  <c r="DI31" s="1"/>
  <c r="BK47"/>
  <c r="H107" i="244"/>
  <c r="H103"/>
  <c r="BE154" i="280"/>
  <c r="BE148"/>
  <c r="BE88"/>
  <c r="BE118"/>
  <c r="BE123"/>
  <c r="BE12"/>
  <c r="X17" i="256"/>
  <c r="U31" i="262"/>
  <c r="AL26"/>
  <c r="BM26" s="1"/>
  <c r="BB90" i="280"/>
  <c r="AP37" i="259"/>
  <c r="AP52" s="1"/>
  <c r="AP71" s="1"/>
  <c r="BG34"/>
  <c r="X18" i="231"/>
  <c r="AT18" s="1"/>
  <c r="Z16"/>
  <c r="AV16" s="1"/>
  <c r="Z25"/>
  <c r="AV25" s="1"/>
  <c r="BP17" i="255"/>
  <c r="DI15"/>
  <c r="AH31" i="260"/>
  <c r="AH52" s="1"/>
  <c r="BB307" i="277"/>
  <c r="BB248" i="276"/>
  <c r="BB248" i="279"/>
  <c r="BB34" i="280"/>
  <c r="BF316" i="279"/>
  <c r="BF193" i="280"/>
  <c r="BF316" i="276"/>
  <c r="BF375" i="277"/>
  <c r="BG28" i="263"/>
  <c r="BM28" s="1"/>
  <c r="BK45" i="258"/>
  <c r="V20" i="248"/>
  <c r="AA37" i="262"/>
  <c r="AA52" s="1"/>
  <c r="AL34"/>
  <c r="BM34" s="1"/>
  <c r="BG28" i="261"/>
  <c r="BM28" s="1"/>
  <c r="DI47" i="262"/>
  <c r="Q31" i="228"/>
  <c r="AL40" i="258"/>
  <c r="W8" i="231"/>
  <c r="AL42" i="256"/>
  <c r="U44"/>
  <c r="U21" i="231"/>
  <c r="BR14" i="255"/>
  <c r="BC90" i="280"/>
  <c r="L17" i="228"/>
  <c r="V14" i="255"/>
  <c r="BE185" i="280"/>
  <c r="BE200"/>
  <c r="T20" i="255"/>
  <c r="BA361" i="280"/>
  <c r="BA289" i="279"/>
  <c r="BA348" i="277"/>
  <c r="BA289" i="276"/>
  <c r="DI16" i="263"/>
  <c r="AJ23" i="257"/>
  <c r="AL21"/>
  <c r="S34" i="231"/>
  <c r="AD44"/>
  <c r="AO44" s="1"/>
  <c r="F107" i="234"/>
  <c r="F108"/>
  <c r="AL22" i="255"/>
  <c r="BM22" s="1"/>
  <c r="AE45" i="231"/>
  <c r="AP45" s="1"/>
  <c r="BE144" i="280"/>
  <c r="BE142"/>
  <c r="U33" i="257"/>
  <c r="AL32"/>
  <c r="S24" i="231"/>
  <c r="AO24" s="1"/>
  <c r="BG45" i="260"/>
  <c r="AW52"/>
  <c r="AW71" s="1"/>
  <c r="Y12" i="231"/>
  <c r="AU12" s="1"/>
  <c r="BG45" i="261"/>
  <c r="AW52"/>
  <c r="AW71" s="1"/>
  <c r="BC151" i="280"/>
  <c r="BE44"/>
  <c r="BE86"/>
  <c r="BE134"/>
  <c r="BE13"/>
  <c r="BE242" i="279"/>
  <c r="BE248"/>
  <c r="BE34" i="280"/>
  <c r="BE47"/>
  <c r="BE329" s="1"/>
  <c r="AA37" i="255"/>
  <c r="AA52" s="1"/>
  <c r="AL34"/>
  <c r="AP37" i="248"/>
  <c r="AP52" s="1"/>
  <c r="AP71" s="1"/>
  <c r="BG34"/>
  <c r="V18" i="231"/>
  <c r="AR18" s="1"/>
  <c r="BP12" i="259"/>
  <c r="DI10"/>
  <c r="BE380" i="276"/>
  <c r="BE240"/>
  <c r="BE251"/>
  <c r="BK45" i="263"/>
  <c r="DI47" i="261"/>
  <c r="BA363" i="280"/>
  <c r="BA291" i="279"/>
  <c r="BA291" i="276"/>
  <c r="BA350" i="277"/>
  <c r="W17" i="263"/>
  <c r="AK40" i="231"/>
  <c r="AV40" s="1"/>
  <c r="T17" i="256"/>
  <c r="AL15"/>
  <c r="BB359" i="280"/>
  <c r="BB287" i="279"/>
  <c r="BB346" i="277"/>
  <c r="BB287" i="276"/>
  <c r="AF39" i="231"/>
  <c r="AQ39" s="1"/>
  <c r="U33" i="262"/>
  <c r="AL32"/>
  <c r="BK45"/>
  <c r="BK26" i="261"/>
  <c r="BI31"/>
  <c r="BK31" s="1"/>
  <c r="M106" i="244"/>
  <c r="AG31" i="257"/>
  <c r="AG52" s="1"/>
  <c r="AH31" i="261"/>
  <c r="AH52" s="1"/>
  <c r="AH31" i="263"/>
  <c r="AH52" s="1"/>
  <c r="BE307" i="277"/>
  <c r="BA313"/>
  <c r="BA254" i="276"/>
  <c r="BA251" i="279"/>
  <c r="BA40" i="280"/>
  <c r="BA326" s="1"/>
  <c r="BB380" i="276"/>
  <c r="BB52" i="280"/>
  <c r="AY248" i="279"/>
  <c r="AY34" i="280"/>
  <c r="AY248" i="276"/>
  <c r="AY307" i="277"/>
  <c r="BB313"/>
  <c r="BB251" i="279"/>
  <c r="BB40" i="280"/>
  <c r="BB326" s="1"/>
  <c r="BB254" i="276"/>
  <c r="BD52" i="280"/>
  <c r="BD380" i="276"/>
  <c r="AF31" i="262"/>
  <c r="AF52" s="1"/>
  <c r="AH31"/>
  <c r="AH52" s="1"/>
  <c r="L494" i="270"/>
  <c r="L532"/>
  <c r="I561"/>
  <c r="I562"/>
  <c r="I560"/>
  <c r="I559"/>
  <c r="H185" i="191"/>
  <c r="H167"/>
  <c r="H198" s="1"/>
  <c r="H165"/>
  <c r="H196" s="1"/>
  <c r="I269" i="187"/>
  <c r="I247"/>
  <c r="I255" s="1"/>
  <c r="L590" i="270"/>
  <c r="L552"/>
  <c r="L398"/>
  <c r="G269" i="187"/>
  <c r="G247"/>
  <c r="G255" s="1"/>
  <c r="J167" i="184"/>
  <c r="J230" s="1"/>
  <c r="J166"/>
  <c r="J229" s="1"/>
  <c r="J165"/>
  <c r="J228" s="1"/>
  <c r="F107" i="197"/>
  <c r="K79" i="237"/>
  <c r="K94"/>
  <c r="K112" s="1"/>
  <c r="N34" i="233"/>
  <c r="M38"/>
  <c r="M79" s="1"/>
  <c r="M89" s="1"/>
  <c r="H603" i="270"/>
  <c r="H602"/>
  <c r="H604"/>
  <c r="K372" i="154"/>
  <c r="L18" i="271"/>
  <c r="L22" s="1"/>
  <c r="L19"/>
  <c r="L20"/>
  <c r="L21"/>
  <c r="J128" i="200"/>
  <c r="I161"/>
  <c r="F269" i="187"/>
  <c r="F247"/>
  <c r="F255" s="1"/>
  <c r="M97" i="188"/>
  <c r="L41" i="235"/>
  <c r="N272" i="272"/>
  <c r="O160"/>
  <c r="O272" s="1"/>
  <c r="I452" i="159"/>
  <c r="I514"/>
  <c r="I513"/>
  <c r="L35" i="237"/>
  <c r="BH71" i="280"/>
  <c r="L95" i="234"/>
  <c r="L96" s="1"/>
  <c r="L99"/>
  <c r="L117" s="1"/>
  <c r="G480" i="270"/>
  <c r="F662"/>
  <c r="H545"/>
  <c r="H546"/>
  <c r="H544"/>
  <c r="G117" i="188"/>
  <c r="H117" s="1"/>
  <c r="F117"/>
  <c r="F118" s="1"/>
  <c r="J149" i="133"/>
  <c r="I289"/>
  <c r="I633" i="270"/>
  <c r="N130" i="168"/>
  <c r="N91"/>
  <c r="N129" s="1"/>
  <c r="M40" i="235"/>
  <c r="M49"/>
  <c r="J171" i="184"/>
  <c r="I174"/>
  <c r="I175" s="1"/>
  <c r="I188"/>
  <c r="K194" i="194"/>
  <c r="G253" i="133"/>
  <c r="G291"/>
  <c r="M297"/>
  <c r="M259"/>
  <c r="M298" s="1"/>
  <c r="J16" i="48"/>
  <c r="I30"/>
  <c r="L118" i="182"/>
  <c r="M34" i="236"/>
  <c r="N272" i="238"/>
  <c r="N271"/>
  <c r="J628" i="270"/>
  <c r="J631" s="1"/>
  <c r="J632" s="1"/>
  <c r="K392"/>
  <c r="H189" i="194"/>
  <c r="H188"/>
  <c r="H478" i="270"/>
  <c r="I478" s="1"/>
  <c r="J478" s="1"/>
  <c r="K478" s="1"/>
  <c r="L478" s="1"/>
  <c r="M478" s="1"/>
  <c r="N478" s="1"/>
  <c r="O478" s="1"/>
  <c r="F478"/>
  <c r="F638" s="1"/>
  <c r="K610"/>
  <c r="K611"/>
  <c r="K533"/>
  <c r="BG61" i="258"/>
  <c r="AN52" i="256"/>
  <c r="J555" i="270"/>
  <c r="O272" i="238"/>
  <c r="O271"/>
  <c r="O256" i="187"/>
  <c r="O258"/>
  <c r="O280" s="1"/>
  <c r="O36" i="233"/>
  <c r="O45"/>
  <c r="F112" i="168"/>
  <c r="M327" i="271"/>
  <c r="L326"/>
  <c r="L325"/>
  <c r="L358" s="1"/>
  <c r="L415" s="1"/>
  <c r="L324"/>
  <c r="L129" i="197"/>
  <c r="H243" i="133"/>
  <c r="H247" s="1"/>
  <c r="H248" s="1"/>
  <c r="H160"/>
  <c r="N371" i="270"/>
  <c r="N373"/>
  <c r="N376"/>
  <c r="N378"/>
  <c r="N374"/>
  <c r="N375"/>
  <c r="N377"/>
  <c r="N372"/>
  <c r="F506" i="271"/>
  <c r="J130" i="168"/>
  <c r="O66"/>
  <c r="O67" s="1"/>
  <c r="J91"/>
  <c r="J129" s="1"/>
  <c r="J67"/>
  <c r="F32" i="159"/>
  <c r="F16"/>
  <c r="F20" s="1"/>
  <c r="J269" i="187"/>
  <c r="J247"/>
  <c r="J255" s="1"/>
  <c r="H39" i="157"/>
  <c r="I29"/>
  <c r="K476" i="271"/>
  <c r="H272" i="238"/>
  <c r="H271"/>
  <c r="K109" i="233"/>
  <c r="K110"/>
  <c r="N256" i="187"/>
  <c r="N271" s="1"/>
  <c r="N258"/>
  <c r="N280" s="1"/>
  <c r="N52" i="133"/>
  <c r="N63" s="1"/>
  <c r="O51"/>
  <c r="M118" i="182"/>
  <c r="I17" i="157"/>
  <c r="I21" s="1"/>
  <c r="I81" s="1"/>
  <c r="J20"/>
  <c r="J18"/>
  <c r="J19"/>
  <c r="L356" i="271"/>
  <c r="L413" s="1"/>
  <c r="I127" i="200"/>
  <c r="H143"/>
  <c r="H130"/>
  <c r="M119" i="271"/>
  <c r="N75"/>
  <c r="N119" s="1"/>
  <c r="M93" i="234"/>
  <c r="M118"/>
  <c r="L323" i="271"/>
  <c r="K320"/>
  <c r="K353" s="1"/>
  <c r="K410" s="1"/>
  <c r="K322"/>
  <c r="K355" s="1"/>
  <c r="K412" s="1"/>
  <c r="K435" s="1"/>
  <c r="K319"/>
  <c r="K352" s="1"/>
  <c r="K409" s="1"/>
  <c r="K321"/>
  <c r="K354" s="1"/>
  <c r="K411" s="1"/>
  <c r="K130" i="168"/>
  <c r="K91"/>
  <c r="K129" s="1"/>
  <c r="M39" i="235"/>
  <c r="L43"/>
  <c r="H506" i="270"/>
  <c r="H507"/>
  <c r="H508"/>
  <c r="BG61" i="260"/>
  <c r="BM43" i="256"/>
  <c r="BO43" s="1"/>
  <c r="R17" i="257"/>
  <c r="J23"/>
  <c r="J71" s="1"/>
  <c r="AN52" i="258"/>
  <c r="AN52" i="260"/>
  <c r="BM57" i="261"/>
  <c r="DI12" i="257"/>
  <c r="BM35" i="262"/>
  <c r="R17" i="263"/>
  <c r="J23"/>
  <c r="J71" s="1"/>
  <c r="F229" i="272"/>
  <c r="J462" i="159"/>
  <c r="J530" s="1"/>
  <c r="J496"/>
  <c r="J465"/>
  <c r="J531" s="1"/>
  <c r="J497"/>
  <c r="J379"/>
  <c r="J39" s="1"/>
  <c r="I129" i="197"/>
  <c r="I102" i="237"/>
  <c r="I103"/>
  <c r="M43" i="233"/>
  <c r="M47" s="1"/>
  <c r="M83" s="1"/>
  <c r="M90" s="1"/>
  <c r="K144" i="153"/>
  <c r="K145"/>
  <c r="I145" i="191"/>
  <c r="I148" s="1"/>
  <c r="I152"/>
  <c r="I156" s="1"/>
  <c r="I141"/>
  <c r="H469" i="271"/>
  <c r="I520" i="159"/>
  <c r="I521"/>
  <c r="J272" i="238"/>
  <c r="J271"/>
  <c r="M38" i="234"/>
  <c r="M47"/>
  <c r="J117" i="235"/>
  <c r="J119" s="1"/>
  <c r="J142"/>
  <c r="L74" i="191"/>
  <c r="J404" i="271"/>
  <c r="J371"/>
  <c r="J146" i="133"/>
  <c r="I150"/>
  <c r="I208" s="1"/>
  <c r="I256" s="1"/>
  <c r="I286"/>
  <c r="L33" i="236"/>
  <c r="K37"/>
  <c r="K70" s="1"/>
  <c r="M189" i="194"/>
  <c r="M188"/>
  <c r="I461" i="159"/>
  <c r="I443"/>
  <c r="I529" s="1"/>
  <c r="I498"/>
  <c r="I519" s="1"/>
  <c r="F254" i="133"/>
  <c r="F279" s="1"/>
  <c r="BI4" i="280"/>
  <c r="J445" i="159"/>
  <c r="J345"/>
  <c r="J28" s="1"/>
  <c r="J366"/>
  <c r="J29" s="1"/>
  <c r="J388"/>
  <c r="J30" s="1"/>
  <c r="H112" i="168"/>
  <c r="M375" i="270"/>
  <c r="M376"/>
  <c r="M390" s="1"/>
  <c r="M377"/>
  <c r="M378"/>
  <c r="M373"/>
  <c r="M387" s="1"/>
  <c r="M374"/>
  <c r="M388" s="1"/>
  <c r="M371"/>
  <c r="M385" s="1"/>
  <c r="M372"/>
  <c r="M136" i="184"/>
  <c r="L201"/>
  <c r="F248"/>
  <c r="I248"/>
  <c r="N248"/>
  <c r="H248"/>
  <c r="M248"/>
  <c r="J248"/>
  <c r="L248"/>
  <c r="G248"/>
  <c r="K248"/>
  <c r="O248"/>
  <c r="H445" i="271"/>
  <c r="G113" i="157"/>
  <c r="G127"/>
  <c r="F129" i="197"/>
  <c r="J137" i="191"/>
  <c r="J83"/>
  <c r="I433" i="271"/>
  <c r="I467" s="1"/>
  <c r="I463"/>
  <c r="I477"/>
  <c r="I474"/>
  <c r="I428"/>
  <c r="K269" i="187"/>
  <c r="N91" i="234"/>
  <c r="F218" i="184"/>
  <c r="E689" i="270"/>
  <c r="G199" i="191"/>
  <c r="O189" i="194"/>
  <c r="O188"/>
  <c r="BG134" i="279"/>
  <c r="F452" i="159"/>
  <c r="F513"/>
  <c r="F514"/>
  <c r="I503" i="270"/>
  <c r="I501"/>
  <c r="I504"/>
  <c r="I502"/>
  <c r="L189" i="194"/>
  <c r="L188"/>
  <c r="I533" i="159"/>
  <c r="H369" i="154"/>
  <c r="H372"/>
  <c r="BG4" i="279"/>
  <c r="F237" i="272"/>
  <c r="L189" i="184"/>
  <c r="M135"/>
  <c r="I194" i="194"/>
  <c r="M272" i="238"/>
  <c r="M273" s="1"/>
  <c r="M271"/>
  <c r="F19" i="159"/>
  <c r="G214" i="184"/>
  <c r="G203"/>
  <c r="G217" s="1"/>
  <c r="I90" i="197"/>
  <c r="H105"/>
  <c r="H106"/>
  <c r="O454" i="271"/>
  <c r="O505" s="1"/>
  <c r="O452"/>
  <c r="O503" s="1"/>
  <c r="O453"/>
  <c r="O504" s="1"/>
  <c r="L50" i="234"/>
  <c r="L87" s="1"/>
  <c r="M46"/>
  <c r="H191" i="184"/>
  <c r="H192" s="1"/>
  <c r="H215" s="1"/>
  <c r="H200"/>
  <c r="H202" s="1"/>
  <c r="F192" i="200"/>
  <c r="N361" i="271"/>
  <c r="N418" s="1"/>
  <c r="N364"/>
  <c r="N421" s="1"/>
  <c r="N362"/>
  <c r="N419" s="1"/>
  <c r="N363"/>
  <c r="N420" s="1"/>
  <c r="H160" i="191"/>
  <c r="H41" i="157"/>
  <c r="I31"/>
  <c r="N5" i="231"/>
  <c r="K400" i="270"/>
  <c r="M244" i="133"/>
  <c r="M290"/>
  <c r="N155"/>
  <c r="O37" i="233"/>
  <c r="O46" s="1"/>
  <c r="O469" i="271"/>
  <c r="K591" i="270"/>
  <c r="K592" s="1"/>
  <c r="O129" i="197"/>
  <c r="K63" i="157"/>
  <c r="J65"/>
  <c r="G229" i="272"/>
  <c r="K151" i="184"/>
  <c r="K153" s="1"/>
  <c r="K160" s="1"/>
  <c r="K152"/>
  <c r="M122" i="271"/>
  <c r="N78"/>
  <c r="N122" s="1"/>
  <c r="F113" i="157"/>
  <c r="F127"/>
  <c r="K107" i="235"/>
  <c r="K115" s="1"/>
  <c r="K121"/>
  <c r="K141" s="1"/>
  <c r="M269" i="187"/>
  <c r="G643" i="270"/>
  <c r="F672" s="1"/>
  <c r="H564"/>
  <c r="H566"/>
  <c r="H565"/>
  <c r="DI12" i="261"/>
  <c r="AN52" i="259"/>
  <c r="BM35" i="261"/>
  <c r="BM16" i="257"/>
  <c r="BG61" i="263"/>
  <c r="BG61" i="259"/>
  <c r="BM35"/>
  <c r="BM38" i="262"/>
  <c r="BO38" s="1"/>
  <c r="AL17" i="255"/>
  <c r="BM57" i="257"/>
  <c r="AN52" i="263"/>
  <c r="BM40" i="256"/>
  <c r="BO40" s="1"/>
  <c r="BM16" i="255"/>
  <c r="O273" i="238"/>
  <c r="L30" i="133"/>
  <c r="L19"/>
  <c r="L32" s="1"/>
  <c r="H461" i="159"/>
  <c r="H443"/>
  <c r="H529" s="1"/>
  <c r="BB109" i="277" s="1"/>
  <c r="H498" i="159"/>
  <c r="H519" s="1"/>
  <c r="H499"/>
  <c r="H18" i="48"/>
  <c r="G32"/>
  <c r="H96" i="157"/>
  <c r="H97"/>
  <c r="H114" s="1"/>
  <c r="H131" s="1"/>
  <c r="H99"/>
  <c r="H100" s="1"/>
  <c r="J468" i="271"/>
  <c r="J446"/>
  <c r="J111" i="233"/>
  <c r="J194" i="194"/>
  <c r="G452" i="159"/>
  <c r="G513"/>
  <c r="G514"/>
  <c r="L269" i="187"/>
  <c r="BC109" i="277"/>
  <c r="K350" i="271"/>
  <c r="K407" s="1"/>
  <c r="K351"/>
  <c r="K408" s="1"/>
  <c r="N35" i="236"/>
  <c r="K401" i="270"/>
  <c r="I370" i="154"/>
  <c r="I339"/>
  <c r="J88" i="237"/>
  <c r="J90" s="1"/>
  <c r="J91" s="1"/>
  <c r="J113"/>
  <c r="H104" i="157"/>
  <c r="G105"/>
  <c r="O40" i="234"/>
  <c r="H371" i="154"/>
  <c r="H360"/>
  <c r="H396" s="1"/>
  <c r="K383" i="159"/>
  <c r="K384"/>
  <c r="K364"/>
  <c r="K386"/>
  <c r="K361"/>
  <c r="K385"/>
  <c r="K359"/>
  <c r="K381"/>
  <c r="K363"/>
  <c r="K387"/>
  <c r="K365"/>
  <c r="K362"/>
  <c r="K382"/>
  <c r="K360"/>
  <c r="K408"/>
  <c r="K405"/>
  <c r="K403"/>
  <c r="K409"/>
  <c r="K407"/>
  <c r="K406"/>
  <c r="K404"/>
  <c r="K341"/>
  <c r="K448" s="1"/>
  <c r="K340"/>
  <c r="K447" s="1"/>
  <c r="K339"/>
  <c r="K446" s="1"/>
  <c r="K511" s="1"/>
  <c r="K343"/>
  <c r="K450" s="1"/>
  <c r="K344"/>
  <c r="K451" s="1"/>
  <c r="K342"/>
  <c r="K449" s="1"/>
  <c r="K338"/>
  <c r="I580" i="270"/>
  <c r="I578"/>
  <c r="I581"/>
  <c r="I579"/>
  <c r="L366" i="271"/>
  <c r="L423" s="1"/>
  <c r="L365"/>
  <c r="L422" s="1"/>
  <c r="L367"/>
  <c r="L424" s="1"/>
  <c r="F272" i="238"/>
  <c r="F271"/>
  <c r="F273" s="1"/>
  <c r="I91" i="236"/>
  <c r="I90"/>
  <c r="H644" i="270"/>
  <c r="G673" s="1"/>
  <c r="H621"/>
  <c r="H622"/>
  <c r="H623"/>
  <c r="N84" i="154"/>
  <c r="BG4" i="276"/>
  <c r="H273" i="238"/>
  <c r="H269" i="187"/>
  <c r="H247"/>
  <c r="H255" s="1"/>
  <c r="J129" i="200"/>
  <c r="I179"/>
  <c r="J144" i="153"/>
  <c r="J145"/>
  <c r="M121" i="271"/>
  <c r="N77"/>
  <c r="N121" s="1"/>
  <c r="G144" i="200"/>
  <c r="G150" s="1"/>
  <c r="J432" i="271"/>
  <c r="J475"/>
  <c r="L571" i="270"/>
  <c r="M389"/>
  <c r="AN52" i="255"/>
  <c r="AN52" i="257"/>
  <c r="BG61"/>
  <c r="R14" i="255"/>
  <c r="I23"/>
  <c r="I71" s="1"/>
  <c r="AR8" i="231"/>
  <c r="F194" i="194"/>
  <c r="J436" i="159"/>
  <c r="J336"/>
  <c r="J37" s="1"/>
  <c r="J41" s="1"/>
  <c r="J357"/>
  <c r="J38" s="1"/>
  <c r="H130" i="168"/>
  <c r="H91"/>
  <c r="H129" s="1"/>
  <c r="M66"/>
  <c r="M67" s="1"/>
  <c r="H67"/>
  <c r="L42" i="237"/>
  <c r="L46" s="1"/>
  <c r="L84" s="1"/>
  <c r="L89" s="1"/>
  <c r="G204" i="200"/>
  <c r="G187"/>
  <c r="G190" s="1"/>
  <c r="L91" i="233"/>
  <c r="L92" s="1"/>
  <c r="L120"/>
  <c r="L98"/>
  <c r="L119" s="1"/>
  <c r="I17" i="48"/>
  <c r="H31"/>
  <c r="BH64" i="279"/>
  <c r="H511" i="271"/>
  <c r="H513"/>
  <c r="H512"/>
  <c r="F150" i="200"/>
  <c r="F146"/>
  <c r="F148" s="1"/>
  <c r="F201" s="1"/>
  <c r="K76" i="191"/>
  <c r="K75"/>
  <c r="K81"/>
  <c r="G371" i="154"/>
  <c r="G360"/>
  <c r="G396" s="1"/>
  <c r="G369"/>
  <c r="J478" i="271"/>
  <c r="O130" i="168"/>
  <c r="O91"/>
  <c r="O129" s="1"/>
  <c r="L130" i="153"/>
  <c r="F399" i="154"/>
  <c r="K553" i="270"/>
  <c r="K246" i="154"/>
  <c r="J331"/>
  <c r="J332" s="1"/>
  <c r="J497" i="270"/>
  <c r="I130" i="168"/>
  <c r="I67"/>
  <c r="N66"/>
  <c r="N67" s="1"/>
  <c r="I91"/>
  <c r="I129" s="1"/>
  <c r="J28" i="157"/>
  <c r="I32"/>
  <c r="I87" s="1"/>
  <c r="I38"/>
  <c r="I42" s="1"/>
  <c r="J573" i="270"/>
  <c r="J574" s="1"/>
  <c r="K351" i="159"/>
  <c r="K376"/>
  <c r="K396"/>
  <c r="K350"/>
  <c r="K372"/>
  <c r="K375"/>
  <c r="K374"/>
  <c r="K352"/>
  <c r="K395"/>
  <c r="K400"/>
  <c r="K398"/>
  <c r="K397"/>
  <c r="K394"/>
  <c r="K353"/>
  <c r="K355"/>
  <c r="K377"/>
  <c r="K356"/>
  <c r="K399"/>
  <c r="K354"/>
  <c r="K378"/>
  <c r="K373"/>
  <c r="K329"/>
  <c r="K333"/>
  <c r="K440" s="1"/>
  <c r="K335"/>
  <c r="K442" s="1"/>
  <c r="K467" s="1"/>
  <c r="K330"/>
  <c r="K437" s="1"/>
  <c r="K332"/>
  <c r="K439" s="1"/>
  <c r="K334"/>
  <c r="K441" s="1"/>
  <c r="K466" s="1"/>
  <c r="K331"/>
  <c r="K438" s="1"/>
  <c r="K272" i="238"/>
  <c r="K271"/>
  <c r="K273" s="1"/>
  <c r="J437" i="271"/>
  <c r="J539"/>
  <c r="K437"/>
  <c r="K539"/>
  <c r="L49" i="235"/>
  <c r="O36" i="237"/>
  <c r="O45" s="1"/>
  <c r="L130" i="168"/>
  <c r="L91"/>
  <c r="L129" s="1"/>
  <c r="I116" i="191"/>
  <c r="I120"/>
  <c r="I123" s="1"/>
  <c r="I127"/>
  <c r="I131" s="1"/>
  <c r="G126" i="188"/>
  <c r="H126" s="1"/>
  <c r="I126" s="1"/>
  <c r="F127"/>
  <c r="J130" i="133"/>
  <c r="I599" i="270"/>
  <c r="I597"/>
  <c r="I598"/>
  <c r="I600"/>
  <c r="L23" i="184"/>
  <c r="L149" s="1"/>
  <c r="M19"/>
  <c r="G506" i="271"/>
  <c r="G245" i="272"/>
  <c r="M130" i="168"/>
  <c r="M91"/>
  <c r="M129" s="1"/>
  <c r="L609" i="270"/>
  <c r="M391"/>
  <c r="L399"/>
  <c r="AN52" i="261"/>
  <c r="DI12" i="258"/>
  <c r="BG61" i="255"/>
  <c r="BM38" i="260"/>
  <c r="BO38" s="1"/>
  <c r="BG61" i="256"/>
  <c r="BM35" i="248"/>
  <c r="AF71" i="255"/>
  <c r="AF63"/>
  <c r="DI12" i="256"/>
  <c r="BM57" i="263"/>
  <c r="AL17" i="257"/>
  <c r="BG61" i="261"/>
  <c r="R17" i="255"/>
  <c r="J23"/>
  <c r="J71" s="1"/>
  <c r="J535" i="270"/>
  <c r="J466" i="159"/>
  <c r="J463"/>
  <c r="J499"/>
  <c r="I477" i="270"/>
  <c r="M33" i="237"/>
  <c r="M42"/>
  <c r="M46" s="1"/>
  <c r="M84" s="1"/>
  <c r="M89" s="1"/>
  <c r="L37"/>
  <c r="H479" i="270"/>
  <c r="I479" s="1"/>
  <c r="J479" s="1"/>
  <c r="K479" s="1"/>
  <c r="L479" s="1"/>
  <c r="M479" s="1"/>
  <c r="N479" s="1"/>
  <c r="O479" s="1"/>
  <c r="F479"/>
  <c r="F639" s="1"/>
  <c r="E661" s="1"/>
  <c r="M17" i="133"/>
  <c r="N50"/>
  <c r="O35" i="233"/>
  <c r="O44" s="1"/>
  <c r="I272" i="238"/>
  <c r="I271"/>
  <c r="G122" i="188"/>
  <c r="H122" s="1"/>
  <c r="I122" s="1"/>
  <c r="F123"/>
  <c r="H479" i="271"/>
  <c r="N194" i="194"/>
  <c r="N129" i="197"/>
  <c r="N142" i="271"/>
  <c r="M143"/>
  <c r="H162" i="200"/>
  <c r="H168" s="1"/>
  <c r="H164"/>
  <c r="H166" s="1"/>
  <c r="N112" i="168"/>
  <c r="G32" i="159"/>
  <c r="G16"/>
  <c r="G20" s="1"/>
  <c r="L272" i="238"/>
  <c r="L271"/>
  <c r="H92" i="236"/>
  <c r="L316" i="271"/>
  <c r="K314"/>
  <c r="K347" s="1"/>
  <c r="K315"/>
  <c r="K348" s="1"/>
  <c r="K405" s="1"/>
  <c r="I688" i="270"/>
  <c r="J334"/>
  <c r="J338" s="1"/>
  <c r="J337"/>
  <c r="J336"/>
  <c r="J335"/>
  <c r="K50" i="235"/>
  <c r="L50" s="1"/>
  <c r="J78" i="236"/>
  <c r="J80" s="1"/>
  <c r="J81" s="1"/>
  <c r="J100"/>
  <c r="M193" i="187"/>
  <c r="O514" i="271"/>
  <c r="L120"/>
  <c r="M76"/>
  <c r="M45" i="236"/>
  <c r="N45" s="1"/>
  <c r="M134" i="184"/>
  <c r="L172"/>
  <c r="J611" i="270"/>
  <c r="J612" s="1"/>
  <c r="J410" i="159"/>
  <c r="J31" s="1"/>
  <c r="J19" s="1"/>
  <c r="J118" i="182"/>
  <c r="I32" i="159"/>
  <c r="I16"/>
  <c r="I20" s="1"/>
  <c r="K44" i="237"/>
  <c r="L44" s="1"/>
  <c r="G169" i="200"/>
  <c r="G172" s="1"/>
  <c r="G173" s="1"/>
  <c r="G174" s="1"/>
  <c r="J112" i="191"/>
  <c r="J82"/>
  <c r="J148" i="133"/>
  <c r="I288"/>
  <c r="N49" i="234"/>
  <c r="O49" s="1"/>
  <c r="F253" i="272"/>
  <c r="I541" i="270"/>
  <c r="I542"/>
  <c r="I540"/>
  <c r="I539"/>
  <c r="L236" i="159"/>
  <c r="L235"/>
  <c r="M234"/>
  <c r="O229" i="272"/>
  <c r="M124" i="271"/>
  <c r="N80"/>
  <c r="N124" s="1"/>
  <c r="F155" i="188"/>
  <c r="G159" s="1"/>
  <c r="G167" s="1"/>
  <c r="G176" s="1"/>
  <c r="G162"/>
  <c r="F162" s="1"/>
  <c r="F130" i="168"/>
  <c r="F91"/>
  <c r="F129" s="1"/>
  <c r="K66"/>
  <c r="K67" s="1"/>
  <c r="I468" i="271"/>
  <c r="I446"/>
  <c r="J592" i="270"/>
  <c r="J593" s="1"/>
  <c r="H637"/>
  <c r="K106" i="234"/>
  <c r="G194" i="194"/>
  <c r="I618" i="270"/>
  <c r="I619"/>
  <c r="I617"/>
  <c r="I616"/>
  <c r="K283" i="187"/>
  <c r="M46" i="236"/>
  <c r="M36"/>
  <c r="M129" i="197"/>
  <c r="G521" i="159"/>
  <c r="BA110" i="277"/>
  <c r="E110" s="1"/>
  <c r="H216" i="184"/>
  <c r="H181"/>
  <c r="H236" s="1"/>
  <c r="H245" s="1"/>
  <c r="H183"/>
  <c r="H238" s="1"/>
  <c r="H247" s="1"/>
  <c r="H182"/>
  <c r="H237" s="1"/>
  <c r="H246" s="1"/>
  <c r="J147" i="133"/>
  <c r="I287"/>
  <c r="G272" i="238"/>
  <c r="G271"/>
  <c r="M363" i="271"/>
  <c r="M420" s="1"/>
  <c r="M361"/>
  <c r="M418" s="1"/>
  <c r="M364"/>
  <c r="M421" s="1"/>
  <c r="M362"/>
  <c r="M419" s="1"/>
  <c r="O253" i="272"/>
  <c r="H180" i="200"/>
  <c r="H186" s="1"/>
  <c r="H182"/>
  <c r="H184" s="1"/>
  <c r="K128" i="133"/>
  <c r="K127"/>
  <c r="K126"/>
  <c r="K129"/>
  <c r="F245" i="272"/>
  <c r="F461" i="159"/>
  <c r="F443"/>
  <c r="F529" s="1"/>
  <c r="F498"/>
  <c r="F499"/>
  <c r="H505"/>
  <c r="H520"/>
  <c r="H506"/>
  <c r="H504"/>
  <c r="H521"/>
  <c r="BB106" i="277"/>
  <c r="G11" i="35"/>
  <c r="F12"/>
  <c r="BE411" i="277"/>
  <c r="L44" i="236"/>
  <c r="M44" s="1"/>
  <c r="G130" i="168"/>
  <c r="L66"/>
  <c r="L67" s="1"/>
  <c r="G67"/>
  <c r="G91"/>
  <c r="G129" s="1"/>
  <c r="N273" i="238"/>
  <c r="I131" i="235"/>
  <c r="I132"/>
  <c r="J112" i="168"/>
  <c r="O37" i="234"/>
  <c r="O41" s="1"/>
  <c r="O83" s="1"/>
  <c r="N41"/>
  <c r="N83" s="1"/>
  <c r="O118" i="182"/>
  <c r="I30" i="157"/>
  <c r="H40"/>
  <c r="I115" i="188"/>
  <c r="K59"/>
  <c r="G237" i="272"/>
  <c r="L357" i="271"/>
  <c r="L414" s="1"/>
  <c r="L360"/>
  <c r="L417" s="1"/>
  <c r="L359"/>
  <c r="L416" s="1"/>
  <c r="O372" i="154"/>
  <c r="L48" i="235"/>
  <c r="L52" s="1"/>
  <c r="L111" s="1"/>
  <c r="L116" s="1"/>
  <c r="G461" i="159"/>
  <c r="G443"/>
  <c r="G529" s="1"/>
  <c r="BA109" i="277" s="1"/>
  <c r="E109" s="1"/>
  <c r="G498" i="159"/>
  <c r="G519" s="1"/>
  <c r="G499"/>
  <c r="G642" i="270"/>
  <c r="F671" s="1"/>
  <c r="K495"/>
  <c r="H585"/>
  <c r="H583"/>
  <c r="H584"/>
  <c r="K572"/>
  <c r="K573"/>
  <c r="G659"/>
  <c r="BM57" i="256"/>
  <c r="DI12" i="248"/>
  <c r="AN52"/>
  <c r="BG61" i="262"/>
  <c r="BM41" i="256"/>
  <c r="BO41" s="1"/>
  <c r="DI12" i="255"/>
  <c r="BM43"/>
  <c r="BO43" s="1"/>
  <c r="BM57" i="262"/>
  <c r="AQ20" i="231"/>
  <c r="BM57" i="259"/>
  <c r="BM36" i="260"/>
  <c r="AN52" i="262"/>
  <c r="BM57" i="260"/>
  <c r="BM22" i="257"/>
  <c r="BG61" i="248"/>
  <c r="BM35" i="255"/>
  <c r="BM35" i="258"/>
  <c r="BM57" i="255"/>
  <c r="BM38" i="261"/>
  <c r="BO38" s="1"/>
  <c r="AJ22" i="256"/>
  <c r="BH76" i="277"/>
  <c r="BB28" i="279"/>
  <c r="AF29" i="248"/>
  <c r="BI54" i="277"/>
  <c r="AH27" i="258"/>
  <c r="E27" i="231"/>
  <c r="BR22" i="256"/>
  <c r="G10" i="257"/>
  <c r="X13" i="255"/>
  <c r="J19" i="231"/>
  <c r="M18" i="228"/>
  <c r="BF32" i="258"/>
  <c r="BH207" i="280"/>
  <c r="BF142" i="279"/>
  <c r="BF141"/>
  <c r="K10" i="231"/>
  <c r="AF27" i="256"/>
  <c r="BF30" i="279"/>
  <c r="BF44"/>
  <c r="BF39"/>
  <c r="BF124"/>
  <c r="BF230"/>
  <c r="BF203"/>
  <c r="BP15" i="263"/>
  <c r="BB277" i="276"/>
  <c r="BB277" i="279"/>
  <c r="T21" i="256"/>
  <c r="M56" i="231"/>
  <c r="G10" i="261"/>
  <c r="I57" i="231"/>
  <c r="AE27" i="256"/>
  <c r="BF203" i="276"/>
  <c r="BF116"/>
  <c r="BF81"/>
  <c r="G10" i="256"/>
  <c r="BA285" i="277"/>
  <c r="F30" i="231"/>
  <c r="BA247" i="280"/>
  <c r="BC146" i="279"/>
  <c r="BC205" i="277"/>
  <c r="E50" i="231"/>
  <c r="BI32" i="260"/>
  <c r="X15" i="248"/>
  <c r="W21" i="256"/>
  <c r="AF27" i="263"/>
  <c r="BC302" i="279"/>
  <c r="BC244" i="277"/>
  <c r="BC185" i="276"/>
  <c r="BH54" i="277"/>
  <c r="BA76"/>
  <c r="BA48" i="279"/>
  <c r="W22" i="256"/>
  <c r="J18" i="231"/>
  <c r="BE146" i="279"/>
  <c r="BE205" i="277"/>
  <c r="BJ46" i="257"/>
  <c r="BH214" i="280"/>
  <c r="J15" i="248"/>
  <c r="BF140" i="279"/>
  <c r="BB226"/>
  <c r="BB285" i="277"/>
  <c r="W27" i="256"/>
  <c r="M6" i="231"/>
  <c r="G10" i="260"/>
  <c r="BF222" i="276"/>
  <c r="BF26"/>
  <c r="BA10" i="279"/>
  <c r="N14" i="228"/>
  <c r="J17" i="231"/>
  <c r="P18" i="255"/>
  <c r="AF29" i="260"/>
  <c r="AY189" i="276"/>
  <c r="AY306"/>
  <c r="AY189" i="279"/>
  <c r="AG29" i="255"/>
  <c r="E16" i="231"/>
  <c r="BC48" i="276"/>
  <c r="BC76" i="277"/>
  <c r="BP22" i="256"/>
  <c r="AF27" i="259"/>
  <c r="P18" i="228"/>
  <c r="G10" i="231"/>
  <c r="BF32" i="263"/>
  <c r="BD205" i="277"/>
  <c r="BF32" i="256"/>
  <c r="BG200" i="277"/>
  <c r="AY11" i="279"/>
  <c r="AY11" i="276"/>
  <c r="I65" i="231"/>
  <c r="H22"/>
  <c r="BI32" i="258"/>
  <c r="BD145" i="276"/>
  <c r="P18" i="248"/>
  <c r="BH251" i="280"/>
  <c r="BH215"/>
  <c r="BF137" i="279"/>
  <c r="AA34" i="260"/>
  <c r="BF31" i="279"/>
  <c r="BF111"/>
  <c r="BF371"/>
  <c r="BF36"/>
  <c r="BF202"/>
  <c r="BF204"/>
  <c r="BQ15" i="263"/>
  <c r="M28" i="231"/>
  <c r="CZ27" i="256"/>
  <c r="AY42" i="248"/>
  <c r="BF12" i="276"/>
  <c r="BF127"/>
  <c r="BF365"/>
  <c r="BF201"/>
  <c r="BF360"/>
  <c r="BF87"/>
  <c r="BI32" i="259"/>
  <c r="BF146" i="276"/>
  <c r="BB185" i="279"/>
  <c r="BB244" i="277"/>
  <c r="BB302" i="276"/>
  <c r="BA11"/>
  <c r="BF32" i="248"/>
  <c r="BD144" i="276"/>
  <c r="AY205" i="277"/>
  <c r="AY146" i="279"/>
  <c r="P18" i="257"/>
  <c r="BA361" i="277"/>
  <c r="BA302" i="276"/>
  <c r="BA185" i="279"/>
  <c r="J45" i="231"/>
  <c r="BD48" i="279"/>
  <c r="BD76" i="277"/>
  <c r="BF146" i="279"/>
  <c r="BF372"/>
  <c r="BF32" i="261"/>
  <c r="M49" i="231"/>
  <c r="BG185" i="276"/>
  <c r="BG244" i="277"/>
  <c r="BG302" i="279"/>
  <c r="AG27" i="248"/>
  <c r="BI32" i="257"/>
  <c r="J18" i="228"/>
  <c r="CZ27" i="255"/>
  <c r="H24" i="231"/>
  <c r="AF29" i="258"/>
  <c r="AY48" i="279"/>
  <c r="BD26" i="276"/>
  <c r="BD54" i="277"/>
  <c r="E12" i="231"/>
  <c r="BA307" i="279"/>
  <c r="BA250" i="277"/>
  <c r="BA191" i="276"/>
  <c r="BE48" i="279"/>
  <c r="BE76" i="277"/>
  <c r="M15" i="201"/>
  <c r="L98" i="188"/>
  <c r="BG136" i="276"/>
  <c r="BI32" i="262"/>
  <c r="BI32" i="263"/>
  <c r="BP10" i="262"/>
  <c r="AY244" i="277"/>
  <c r="AY185" i="276"/>
  <c r="AY302" i="279"/>
  <c r="AY41" i="248"/>
  <c r="AP34" i="261"/>
  <c r="BH209" i="280"/>
  <c r="Q19" i="255"/>
  <c r="BF135" i="279"/>
  <c r="X18" i="248"/>
  <c r="BF127" i="279"/>
  <c r="BF87"/>
  <c r="BF365"/>
  <c r="BF206"/>
  <c r="N21" i="255"/>
  <c r="M13" i="231"/>
  <c r="M25"/>
  <c r="BQ13" i="255"/>
  <c r="X19" i="256"/>
  <c r="BD143" i="276"/>
  <c r="BF32" i="257"/>
  <c r="U42" i="248"/>
  <c r="BF117" i="276"/>
  <c r="BF204"/>
  <c r="BF31"/>
  <c r="BF39"/>
  <c r="BF111"/>
  <c r="BB146" i="279"/>
  <c r="BB146" i="276"/>
  <c r="BF201" i="277"/>
  <c r="AE27" i="255"/>
  <c r="BI205" i="277"/>
  <c r="N18" i="228"/>
  <c r="BG146" i="276"/>
  <c r="BD185" i="279"/>
  <c r="BD302" i="276"/>
  <c r="BD361" i="277"/>
  <c r="L194" i="187"/>
  <c r="BR21" i="256"/>
  <c r="BA146" i="279"/>
  <c r="BA205" i="277"/>
  <c r="BB342"/>
  <c r="BB283" i="276"/>
  <c r="BB355" i="280"/>
  <c r="AY16" i="279"/>
  <c r="AY16" i="276"/>
  <c r="BF54" i="277"/>
  <c r="BH205"/>
  <c r="I40" i="231"/>
  <c r="BD275" i="276"/>
  <c r="BD347" i="280"/>
  <c r="AP34" i="263"/>
  <c r="BF82" i="279"/>
  <c r="BF199"/>
  <c r="F61" i="231"/>
  <c r="BR15" i="263"/>
  <c r="BF364" i="276"/>
  <c r="BF207"/>
  <c r="Q18" i="228"/>
  <c r="O18"/>
  <c r="AY239" i="277"/>
  <c r="AY367"/>
  <c r="AY180" i="279"/>
  <c r="F46" i="231"/>
  <c r="H48"/>
  <c r="BC369" i="276"/>
  <c r="BC122" i="279"/>
  <c r="BC181" i="277"/>
  <c r="G62" i="231"/>
  <c r="BB28" i="276"/>
  <c r="BB56" i="277"/>
  <c r="BF29" i="255"/>
  <c r="O15" i="201"/>
  <c r="BF29" i="256"/>
  <c r="AJ39" i="257"/>
  <c r="M15" i="228"/>
  <c r="F58" i="231"/>
  <c r="BP10" i="263"/>
  <c r="U40" i="259"/>
  <c r="BF28"/>
  <c r="BH243" i="280"/>
  <c r="AA34" i="263"/>
  <c r="BF136" i="279"/>
  <c r="BF149"/>
  <c r="AP34" i="260"/>
  <c r="H88" i="244"/>
  <c r="BF222" i="279"/>
  <c r="BF12"/>
  <c r="BF116"/>
  <c r="BF360"/>
  <c r="BF83"/>
  <c r="BI32" i="261"/>
  <c r="G43" i="231"/>
  <c r="BB336" i="277"/>
  <c r="BB349" i="280"/>
  <c r="M10" i="231"/>
  <c r="M31"/>
  <c r="P18" i="256"/>
  <c r="X15" i="258"/>
  <c r="H87" i="244"/>
  <c r="BF237" i="276"/>
  <c r="BF230"/>
  <c r="BF82"/>
  <c r="BF28" i="258"/>
  <c r="BA226" i="276"/>
  <c r="BA226" i="279"/>
  <c r="W27" i="255"/>
  <c r="BC146" i="276"/>
  <c r="BF32" i="259"/>
  <c r="W13" i="257"/>
  <c r="H57" i="231"/>
  <c r="G53"/>
  <c r="BC43" i="248"/>
  <c r="O88" i="244"/>
  <c r="BC185" i="279"/>
  <c r="BC361" i="277"/>
  <c r="BC302" i="276"/>
  <c r="N15" i="201"/>
  <c r="BA48" i="276"/>
  <c r="G54" i="231"/>
  <c r="G10" i="258"/>
  <c r="AX40" i="259"/>
  <c r="BE146" i="276"/>
  <c r="AA34" i="261"/>
  <c r="BH213" i="280"/>
  <c r="BH210"/>
  <c r="G10" i="259"/>
  <c r="BB226" i="276"/>
  <c r="BB247" i="280"/>
  <c r="G30" i="231"/>
  <c r="M8"/>
  <c r="M16" i="228"/>
  <c r="BF124" i="276"/>
  <c r="BF371"/>
  <c r="BA10" i="277"/>
  <c r="BA10" i="276"/>
  <c r="BF32" i="260"/>
  <c r="U39" i="259"/>
  <c r="AH27"/>
  <c r="AE29" i="257"/>
  <c r="AY248" i="277"/>
  <c r="AY365"/>
  <c r="AY306" i="279"/>
  <c r="AG29" i="256"/>
  <c r="AX39" i="257"/>
  <c r="BC48" i="279"/>
  <c r="AF29" i="261"/>
  <c r="G10" i="255"/>
  <c r="K88" i="244"/>
  <c r="BF32" i="262"/>
  <c r="AP34" i="256"/>
  <c r="BD146" i="279"/>
  <c r="BD146" i="276"/>
  <c r="W10" i="262"/>
  <c r="BG141" i="276"/>
  <c r="AY11" i="277"/>
  <c r="BI11"/>
  <c r="V18" i="258"/>
  <c r="U41" i="248"/>
  <c r="BD145" i="279"/>
  <c r="BD204" i="277"/>
  <c r="BH212" i="280"/>
  <c r="BH256"/>
  <c r="BH211"/>
  <c r="BF148" i="279"/>
  <c r="BF26"/>
  <c r="BF13"/>
  <c r="BF81"/>
  <c r="BF364"/>
  <c r="BF201"/>
  <c r="BF207"/>
  <c r="X47" i="256"/>
  <c r="M26" i="231"/>
  <c r="Q19" i="257"/>
  <c r="H21" i="231"/>
  <c r="BF13" i="276"/>
  <c r="BF83"/>
  <c r="BF372"/>
  <c r="BF36"/>
  <c r="BF373"/>
  <c r="BF125"/>
  <c r="BF30"/>
  <c r="BF205" i="277"/>
  <c r="BB302" i="279"/>
  <c r="BB185" i="276"/>
  <c r="BB361" i="277"/>
  <c r="BA11"/>
  <c r="BA11" i="279"/>
  <c r="BD144"/>
  <c r="BD203" i="277"/>
  <c r="AY146" i="276"/>
  <c r="BP21" i="256"/>
  <c r="I18" i="228"/>
  <c r="BA185" i="276"/>
  <c r="BA244" i="277"/>
  <c r="BA302" i="279"/>
  <c r="M10" i="259"/>
  <c r="BD48" i="276"/>
  <c r="L18" i="228"/>
  <c r="BF29" i="279"/>
  <c r="BF235"/>
  <c r="M15" i="231"/>
  <c r="M14"/>
  <c r="BG302" i="276"/>
  <c r="BG361" i="277"/>
  <c r="BG185" i="279"/>
  <c r="I86" i="244"/>
  <c r="BR13" i="256"/>
  <c r="BJ48" i="255"/>
  <c r="BI32"/>
  <c r="U43" i="248"/>
  <c r="AY76" i="277"/>
  <c r="AY48" i="276"/>
  <c r="BD26" i="279"/>
  <c r="J15" i="201"/>
  <c r="BE29" i="257"/>
  <c r="BA307" i="276"/>
  <c r="BA366" i="277"/>
  <c r="BA191" i="279"/>
  <c r="BE48" i="276"/>
  <c r="BG54" i="277"/>
  <c r="G10" i="248"/>
  <c r="N13" i="228"/>
  <c r="BG195" i="277"/>
  <c r="AA34" i="256"/>
  <c r="BI32"/>
  <c r="AY302" i="276"/>
  <c r="AY361" i="277"/>
  <c r="AY185" i="279"/>
  <c r="H20" i="231"/>
  <c r="L10"/>
  <c r="BH216" i="280"/>
  <c r="BH258"/>
  <c r="BF147" i="279"/>
  <c r="H59" i="231"/>
  <c r="BF237" i="279"/>
  <c r="BF125"/>
  <c r="BF117"/>
  <c r="BF205"/>
  <c r="BF208"/>
  <c r="BI47" i="256"/>
  <c r="M38" i="231"/>
  <c r="M29"/>
  <c r="G60"/>
  <c r="BD143" i="279"/>
  <c r="BD202" i="277"/>
  <c r="H23" i="231"/>
  <c r="BF199" i="276"/>
  <c r="BF235"/>
  <c r="BF208"/>
  <c r="BF44"/>
  <c r="BF205"/>
  <c r="BF29"/>
  <c r="BB205" i="277"/>
  <c r="BF142" i="276"/>
  <c r="U48" i="257"/>
  <c r="G87" i="244"/>
  <c r="BI146" i="276"/>
  <c r="BG205" i="277"/>
  <c r="BD302" i="279"/>
  <c r="BD244" i="277"/>
  <c r="BD185" i="276"/>
  <c r="BI32" i="248"/>
  <c r="H18" i="228"/>
  <c r="BF32" i="255"/>
  <c r="BA146" i="276"/>
  <c r="BP13" i="255"/>
  <c r="G39" i="231"/>
  <c r="BB283" i="279"/>
  <c r="T13" i="256"/>
  <c r="AY16" i="277"/>
  <c r="L15" i="201"/>
  <c r="BH146" i="276"/>
  <c r="O7" i="228"/>
  <c r="BD334" i="277"/>
  <c r="BD275" i="279"/>
  <c r="T18" i="258"/>
  <c r="BF139" i="279"/>
  <c r="BF373"/>
  <c r="G97" i="234"/>
  <c r="AJ21" i="255"/>
  <c r="M91" i="154"/>
  <c r="BF202" i="276"/>
  <c r="BF206"/>
  <c r="K18" i="228"/>
  <c r="BQ21" i="256"/>
  <c r="AY180" i="276"/>
  <c r="AY308"/>
  <c r="AY308" i="279"/>
  <c r="M11" i="255"/>
  <c r="W15" i="248"/>
  <c r="BE120" i="279"/>
  <c r="BE367" i="276"/>
  <c r="BE119" i="279"/>
  <c r="BE366"/>
  <c r="BE178" i="277"/>
  <c r="BC368" i="276"/>
  <c r="BC121" i="279"/>
  <c r="BC123" i="276"/>
  <c r="BC370"/>
  <c r="BC182" i="277"/>
  <c r="BC122" i="276"/>
  <c r="BC369" i="279"/>
  <c r="AY362" i="276"/>
  <c r="AY172" i="277"/>
  <c r="BE179"/>
  <c r="BE120" i="276"/>
  <c r="BE367" i="279"/>
  <c r="BE119" i="276"/>
  <c r="BE366"/>
  <c r="BC180" i="277"/>
  <c r="BC121" i="276"/>
  <c r="BC368" i="279"/>
  <c r="BC370"/>
  <c r="BC123"/>
  <c r="AY113"/>
  <c r="AY362"/>
  <c r="AY113" i="276"/>
  <c r="BG37" i="259" l="1"/>
  <c r="BM45" i="262"/>
  <c r="AL37" i="258"/>
  <c r="AL37" i="257"/>
  <c r="BG37" i="262"/>
  <c r="AL37"/>
  <c r="AL37" i="259"/>
  <c r="BM37" s="1"/>
  <c r="BM45" i="260"/>
  <c r="BG37" i="248"/>
  <c r="BG37" i="258"/>
  <c r="BM45" i="263"/>
  <c r="F109" i="244"/>
  <c r="I162" i="191"/>
  <c r="I186" s="1"/>
  <c r="AL37" i="255"/>
  <c r="AL37" i="248"/>
  <c r="AL17" i="256"/>
  <c r="BG37" i="257"/>
  <c r="BM34" i="255"/>
  <c r="BM45" i="258"/>
  <c r="BM40"/>
  <c r="BO40" s="1"/>
  <c r="K434" i="271"/>
  <c r="I438"/>
  <c r="BM34" i="258"/>
  <c r="BM17" i="255"/>
  <c r="BM26" i="261"/>
  <c r="AL17" i="263"/>
  <c r="BM17" s="1"/>
  <c r="BM34" i="248"/>
  <c r="BM45" i="261"/>
  <c r="AY120" i="280"/>
  <c r="BC129"/>
  <c r="BC130"/>
  <c r="BC185" i="277"/>
  <c r="BC128" i="280"/>
  <c r="BC126" i="279"/>
  <c r="BC126" i="276"/>
  <c r="BE126" i="280"/>
  <c r="BE127"/>
  <c r="W17" i="248"/>
  <c r="AL15"/>
  <c r="AG39" i="231"/>
  <c r="AR39" s="1"/>
  <c r="M12" i="255"/>
  <c r="M23" s="1"/>
  <c r="M71" s="1"/>
  <c r="T29" i="231"/>
  <c r="AP29" s="1"/>
  <c r="AY322" i="279"/>
  <c r="AY188" i="280"/>
  <c r="AY322" i="276"/>
  <c r="AY381" i="277"/>
  <c r="O22" i="228"/>
  <c r="K22"/>
  <c r="Q22"/>
  <c r="M108" i="154"/>
  <c r="M328" s="1"/>
  <c r="M329" s="1"/>
  <c r="M330" s="1"/>
  <c r="BR17" i="263"/>
  <c r="AJ23" i="255"/>
  <c r="AL21"/>
  <c r="T34" i="231"/>
  <c r="AE44"/>
  <c r="AP44" s="1"/>
  <c r="G107" i="234"/>
  <c r="G108"/>
  <c r="BF87" i="280"/>
  <c r="BF146"/>
  <c r="AP37" i="263"/>
  <c r="BG34"/>
  <c r="T20" i="258"/>
  <c r="BD361" i="280"/>
  <c r="BD289" i="279"/>
  <c r="BD289" i="276"/>
  <c r="BD348" i="277"/>
  <c r="BF307"/>
  <c r="AY16" i="280"/>
  <c r="T14" i="256"/>
  <c r="BB360" i="280"/>
  <c r="BB288" i="279"/>
  <c r="BB288" i="276"/>
  <c r="BB347" i="277"/>
  <c r="DI13" i="255"/>
  <c r="BP14"/>
  <c r="BA153" i="280"/>
  <c r="BF33" i="255"/>
  <c r="BG32"/>
  <c r="H22" i="228"/>
  <c r="L243" i="187"/>
  <c r="L245" s="1"/>
  <c r="BI33" i="248"/>
  <c r="BK32"/>
  <c r="BD375" i="277"/>
  <c r="BD316" i="276"/>
  <c r="BD193" i="280"/>
  <c r="BD316" i="279"/>
  <c r="N22" i="228"/>
  <c r="G105" i="244"/>
  <c r="G108"/>
  <c r="BB153" i="280"/>
  <c r="BF251" i="276"/>
  <c r="BF380"/>
  <c r="BF253"/>
  <c r="BF118"/>
  <c r="AL42" i="248"/>
  <c r="V21" i="231"/>
  <c r="BF33" i="257"/>
  <c r="BG32"/>
  <c r="BD150" i="280"/>
  <c r="BQ14" i="255"/>
  <c r="AA11" i="231"/>
  <c r="AW11" s="1"/>
  <c r="AL40"/>
  <c r="AW40" s="1"/>
  <c r="AA24"/>
  <c r="AW24" s="1"/>
  <c r="BK47" i="256"/>
  <c r="R21" i="255"/>
  <c r="BM21" s="1"/>
  <c r="N23"/>
  <c r="N71" s="1"/>
  <c r="BF118" i="279"/>
  <c r="BF125" i="280" s="1"/>
  <c r="BF124"/>
  <c r="BF92"/>
  <c r="BF132"/>
  <c r="BF134"/>
  <c r="BF142"/>
  <c r="BF154"/>
  <c r="Q20" i="255"/>
  <c r="Q23" s="1"/>
  <c r="Q71" s="1"/>
  <c r="R19"/>
  <c r="AP37" i="261"/>
  <c r="BG34"/>
  <c r="Z18" i="231"/>
  <c r="AV18" s="1"/>
  <c r="AY44" i="248"/>
  <c r="AY52" s="1"/>
  <c r="AY71" s="1"/>
  <c r="BG41"/>
  <c r="V9" i="231"/>
  <c r="AR9" s="1"/>
  <c r="AG20"/>
  <c r="AY316" i="279"/>
  <c r="AY193" i="280"/>
  <c r="AY375" i="277"/>
  <c r="AY316" i="276"/>
  <c r="BP12" i="262"/>
  <c r="DI10"/>
  <c r="BI33" i="256"/>
  <c r="BK32"/>
  <c r="BI33" i="263"/>
  <c r="BK32"/>
  <c r="AA37" i="256"/>
  <c r="AL34"/>
  <c r="BI33" i="262"/>
  <c r="BK32"/>
  <c r="L158" i="188"/>
  <c r="L132"/>
  <c r="G12" i="248"/>
  <c r="R10"/>
  <c r="BG307" i="277"/>
  <c r="BE383" i="276"/>
  <c r="BE56" i="280"/>
  <c r="BE332" s="1"/>
  <c r="BA199"/>
  <c r="AY170" s="1"/>
  <c r="BC170" s="1"/>
  <c r="BA380" i="277"/>
  <c r="BA321" i="276"/>
  <c r="BA321" i="279"/>
  <c r="BE31" i="257"/>
  <c r="BG29"/>
  <c r="AD22" i="231"/>
  <c r="AO22" s="1"/>
  <c r="S23"/>
  <c r="AO23" s="1"/>
  <c r="BD307" i="277"/>
  <c r="BD248" i="279"/>
  <c r="BD34" i="280"/>
  <c r="BD248" i="276"/>
  <c r="AY383"/>
  <c r="AY56" i="280"/>
  <c r="AY332" s="1"/>
  <c r="AF31" i="258"/>
  <c r="AF52" s="1"/>
  <c r="AL43" i="248"/>
  <c r="V10" i="231"/>
  <c r="AR10" s="1"/>
  <c r="BI33" i="255"/>
  <c r="BK32"/>
  <c r="DI27"/>
  <c r="CZ31"/>
  <c r="DI31" s="1"/>
  <c r="J22" i="228"/>
  <c r="BR14" i="256"/>
  <c r="BI33" i="257"/>
  <c r="BK32"/>
  <c r="I107" i="244"/>
  <c r="I103"/>
  <c r="BG193" i="280"/>
  <c r="BG316" i="279"/>
  <c r="BG375" i="277"/>
  <c r="BG316" i="276"/>
  <c r="BF33" i="261"/>
  <c r="BG32"/>
  <c r="BF37" i="280"/>
  <c r="BF323" s="1"/>
  <c r="BF153"/>
  <c r="L22" i="228"/>
  <c r="BD383" i="276"/>
  <c r="BD56" i="280"/>
  <c r="BD332" s="1"/>
  <c r="BA316" i="279"/>
  <c r="BA193" i="280"/>
  <c r="AY165" s="1"/>
  <c r="BC165" s="1"/>
  <c r="BA316" i="276"/>
  <c r="BA375" i="277"/>
  <c r="I22" i="228"/>
  <c r="R18" i="257"/>
  <c r="P20"/>
  <c r="DI21" i="256"/>
  <c r="AY153" i="280"/>
  <c r="BD151"/>
  <c r="BF33" i="248"/>
  <c r="BG32"/>
  <c r="BA14" i="279"/>
  <c r="BA14" i="280" s="1"/>
  <c r="BA11"/>
  <c r="BA14" i="276"/>
  <c r="BA14" i="277"/>
  <c r="BB316" i="276"/>
  <c r="BB375" i="277"/>
  <c r="BB193" i="280"/>
  <c r="BB316" i="279"/>
  <c r="BI33" i="259"/>
  <c r="BK32"/>
  <c r="BF252" i="276"/>
  <c r="BF256"/>
  <c r="BG42" i="248"/>
  <c r="AG21" i="231"/>
  <c r="CZ31" i="256"/>
  <c r="DI31" s="1"/>
  <c r="DI27"/>
  <c r="Q20" i="257"/>
  <c r="Q23" s="1"/>
  <c r="Q71" s="1"/>
  <c r="R19"/>
  <c r="AA13" i="231"/>
  <c r="AW13" s="1"/>
  <c r="AA12"/>
  <c r="AW12" s="1"/>
  <c r="BQ17" i="263"/>
  <c r="AL47" i="256"/>
  <c r="BF44" i="280"/>
  <c r="BF86"/>
  <c r="BF118"/>
  <c r="BF13"/>
  <c r="BF39"/>
  <c r="BF325" s="1"/>
  <c r="BF248" i="279"/>
  <c r="BF34" i="280"/>
  <c r="AA37" i="260"/>
  <c r="AL34"/>
  <c r="BF155" i="280"/>
  <c r="BF144"/>
  <c r="BH261"/>
  <c r="R18" i="248"/>
  <c r="P20"/>
  <c r="BD152" i="280"/>
  <c r="BI33" i="258"/>
  <c r="BK32"/>
  <c r="AL41" i="248"/>
  <c r="U44"/>
  <c r="U58" s="1"/>
  <c r="V20" i="231"/>
  <c r="V20" i="258"/>
  <c r="BI14" i="277"/>
  <c r="AY14" i="276"/>
  <c r="AY14" i="277"/>
  <c r="AY14" i="279"/>
  <c r="AY14" i="280" s="1"/>
  <c r="AY11"/>
  <c r="W12" i="262"/>
  <c r="BF33" i="256"/>
  <c r="BG32"/>
  <c r="BD153" i="280"/>
  <c r="BF33" i="263"/>
  <c r="BG32"/>
  <c r="AP37" i="256"/>
  <c r="BG34"/>
  <c r="U18" i="231"/>
  <c r="AQ18" s="1"/>
  <c r="BF33" i="262"/>
  <c r="BG32"/>
  <c r="BM32" s="1"/>
  <c r="P22" i="228"/>
  <c r="K39" s="1"/>
  <c r="L39" s="1"/>
  <c r="K106" i="244"/>
  <c r="G12" i="255"/>
  <c r="R10"/>
  <c r="DI22" i="256"/>
  <c r="AF31" i="261"/>
  <c r="AF52" s="1"/>
  <c r="BC56" i="280"/>
  <c r="BC332" s="1"/>
  <c r="BC383" i="276"/>
  <c r="AX44" i="257"/>
  <c r="AX52" s="1"/>
  <c r="AX71" s="1"/>
  <c r="BG39"/>
  <c r="BG44" s="1"/>
  <c r="S6" i="231"/>
  <c r="AO6" s="1"/>
  <c r="AD7"/>
  <c r="AG31" i="256"/>
  <c r="AG52" s="1"/>
  <c r="AG31" i="255"/>
  <c r="AG52" s="1"/>
  <c r="AY320" i="279"/>
  <c r="AY197" i="280"/>
  <c r="AY379" i="277"/>
  <c r="AY320" i="276"/>
  <c r="AL29" i="257"/>
  <c r="AE31"/>
  <c r="AE52" s="1"/>
  <c r="AF31" i="260"/>
  <c r="AF52" s="1"/>
  <c r="AH31" i="259"/>
  <c r="AH52" s="1"/>
  <c r="R18" i="255"/>
  <c r="P20"/>
  <c r="BF33" i="260"/>
  <c r="BG32"/>
  <c r="BA10" i="280"/>
  <c r="BF248" i="276"/>
  <c r="BF242"/>
  <c r="G12" i="260"/>
  <c r="AA14" i="231"/>
  <c r="AW14" s="1"/>
  <c r="AA16"/>
  <c r="AW16" s="1"/>
  <c r="AA25"/>
  <c r="AW25" s="1"/>
  <c r="W31" i="256"/>
  <c r="W52" s="1"/>
  <c r="AL27"/>
  <c r="BM27" s="1"/>
  <c r="U22" i="231"/>
  <c r="BB300" i="277"/>
  <c r="BB262" i="280"/>
  <c r="BB241" i="279"/>
  <c r="BB241" i="276"/>
  <c r="BF147" i="280"/>
  <c r="G12" i="259"/>
  <c r="R10"/>
  <c r="J17" i="248"/>
  <c r="R15"/>
  <c r="AA37" i="261"/>
  <c r="AL34"/>
  <c r="BE153" i="280"/>
  <c r="BG40" i="259"/>
  <c r="AI8" i="231"/>
  <c r="G12" i="258"/>
  <c r="R10"/>
  <c r="BA56" i="280"/>
  <c r="BA332" s="1"/>
  <c r="BA383" i="276"/>
  <c r="BH307" i="277"/>
  <c r="BC316" i="276"/>
  <c r="BC375" i="277"/>
  <c r="BC193" i="280"/>
  <c r="BC316" i="279"/>
  <c r="O106" i="244"/>
  <c r="BC44" i="248"/>
  <c r="BC52" s="1"/>
  <c r="BC71" s="1"/>
  <c r="BG43"/>
  <c r="X17"/>
  <c r="BI33" i="260"/>
  <c r="BK32"/>
  <c r="W14" i="257"/>
  <c r="BF33" i="259"/>
  <c r="BG32"/>
  <c r="BC153" i="280"/>
  <c r="AL27" i="255"/>
  <c r="BM27" s="1"/>
  <c r="W31"/>
  <c r="W52" s="1"/>
  <c r="BA262" i="280"/>
  <c r="BA241" i="279"/>
  <c r="T22" i="231"/>
  <c r="BA241" i="276"/>
  <c r="BA300" i="277"/>
  <c r="BG28" i="258"/>
  <c r="BM28" s="1"/>
  <c r="G12" i="256"/>
  <c r="R10"/>
  <c r="BF240" i="276"/>
  <c r="H105" i="244"/>
  <c r="X17" i="258"/>
  <c r="P20" i="256"/>
  <c r="R18"/>
  <c r="G12" i="261"/>
  <c r="AA18" i="231"/>
  <c r="AW18" s="1"/>
  <c r="BB363" i="280"/>
  <c r="BB291" i="279"/>
  <c r="BB350" i="277"/>
  <c r="BB291" i="276"/>
  <c r="BP17" i="263"/>
  <c r="DI15"/>
  <c r="BI33" i="261"/>
  <c r="BK32"/>
  <c r="BF88" i="280"/>
  <c r="BF240" i="279"/>
  <c r="BF131" i="280"/>
  <c r="BF123"/>
  <c r="BF47"/>
  <c r="BF329" s="1"/>
  <c r="BF12"/>
  <c r="BF52"/>
  <c r="BF242" i="279"/>
  <c r="BF38" i="280"/>
  <c r="BF324" s="1"/>
  <c r="H108" i="244"/>
  <c r="H106"/>
  <c r="AP37" i="260"/>
  <c r="BG34"/>
  <c r="Y18" i="231"/>
  <c r="AU18" s="1"/>
  <c r="BF156" i="280"/>
  <c r="BF148"/>
  <c r="BF143"/>
  <c r="BF149"/>
  <c r="AA37" i="263"/>
  <c r="AL34"/>
  <c r="BH263" i="280"/>
  <c r="BF33" i="258"/>
  <c r="BG32"/>
  <c r="BG28" i="259"/>
  <c r="BM28" s="1"/>
  <c r="M22" i="228"/>
  <c r="AL40" i="259"/>
  <c r="X8" i="231"/>
  <c r="BP12" i="263"/>
  <c r="DI10"/>
  <c r="X14" i="255"/>
  <c r="AL13"/>
  <c r="BM13" s="1"/>
  <c r="AE41" i="231"/>
  <c r="AP41" s="1"/>
  <c r="G12" i="257"/>
  <c r="R10"/>
  <c r="M17" i="228"/>
  <c r="AJ44" i="257"/>
  <c r="AL39"/>
  <c r="AD34" i="231"/>
  <c r="AO34" s="1"/>
  <c r="S7"/>
  <c r="BF31" i="256"/>
  <c r="AH31" i="258"/>
  <c r="AH52" s="1"/>
  <c r="BI307" i="277"/>
  <c r="BF31" i="255"/>
  <c r="AF31" i="248"/>
  <c r="AF52" s="1"/>
  <c r="BB309" i="277"/>
  <c r="BB250" i="279"/>
  <c r="BB36" i="280"/>
  <c r="BB322" s="1"/>
  <c r="BB250" i="276"/>
  <c r="BC106" i="277"/>
  <c r="J618" i="270"/>
  <c r="J619"/>
  <c r="J617"/>
  <c r="J616"/>
  <c r="J580"/>
  <c r="J578"/>
  <c r="J581"/>
  <c r="J579"/>
  <c r="N388"/>
  <c r="M552"/>
  <c r="M398"/>
  <c r="M590"/>
  <c r="N390"/>
  <c r="N387"/>
  <c r="M532"/>
  <c r="J633"/>
  <c r="M494"/>
  <c r="N385"/>
  <c r="J599"/>
  <c r="J597"/>
  <c r="J600"/>
  <c r="J598"/>
  <c r="K165" i="184"/>
  <c r="K228" s="1"/>
  <c r="K167"/>
  <c r="K230" s="1"/>
  <c r="K166"/>
  <c r="K229" s="1"/>
  <c r="K357" i="159"/>
  <c r="K38" s="1"/>
  <c r="J503" i="270"/>
  <c r="J501"/>
  <c r="J504"/>
  <c r="J502"/>
  <c r="K137" i="191"/>
  <c r="K83"/>
  <c r="I180" i="200"/>
  <c r="I186" s="1"/>
  <c r="I506" i="270"/>
  <c r="I508"/>
  <c r="I507"/>
  <c r="BH134" i="279"/>
  <c r="L539" i="271"/>
  <c r="I162" i="200"/>
  <c r="I168" s="1"/>
  <c r="M91" i="233"/>
  <c r="M92" s="1"/>
  <c r="M120"/>
  <c r="M98"/>
  <c r="M119" s="1"/>
  <c r="L534" i="270"/>
  <c r="L533"/>
  <c r="AL33" i="260"/>
  <c r="AN71" i="262"/>
  <c r="F674" i="270"/>
  <c r="G532" i="159"/>
  <c r="G468"/>
  <c r="G533"/>
  <c r="J30" i="157"/>
  <c r="I40"/>
  <c r="O93" i="234"/>
  <c r="O118"/>
  <c r="F519" i="159"/>
  <c r="F505"/>
  <c r="F520"/>
  <c r="F521"/>
  <c r="F506"/>
  <c r="F504"/>
  <c r="G504"/>
  <c r="G547" s="1"/>
  <c r="G550" s="1"/>
  <c r="G505"/>
  <c r="M235"/>
  <c r="M236"/>
  <c r="N234"/>
  <c r="M120" i="271"/>
  <c r="N76"/>
  <c r="N120" s="1"/>
  <c r="M316"/>
  <c r="L314"/>
  <c r="L347" s="1"/>
  <c r="L315"/>
  <c r="L348" s="1"/>
  <c r="L405" s="1"/>
  <c r="H169" i="200"/>
  <c r="H172" s="1"/>
  <c r="H173" s="1"/>
  <c r="H174" s="1"/>
  <c r="N17" i="133"/>
  <c r="O50"/>
  <c r="O17" s="1"/>
  <c r="L79" i="237"/>
  <c r="L94"/>
  <c r="L112" s="1"/>
  <c r="J477" i="270"/>
  <c r="J541"/>
  <c r="J542"/>
  <c r="J540"/>
  <c r="J539"/>
  <c r="N391"/>
  <c r="M609"/>
  <c r="M399"/>
  <c r="L153" i="184"/>
  <c r="L160" s="1"/>
  <c r="L151"/>
  <c r="L152"/>
  <c r="J466" i="271"/>
  <c r="J444"/>
  <c r="K465" i="159"/>
  <c r="K497"/>
  <c r="J370" i="154"/>
  <c r="J339"/>
  <c r="H514" i="271"/>
  <c r="J461" i="159"/>
  <c r="J443"/>
  <c r="J498"/>
  <c r="J519" s="1"/>
  <c r="AN71" i="255"/>
  <c r="K129" i="200"/>
  <c r="J179"/>
  <c r="I92" i="236"/>
  <c r="I583" i="270"/>
  <c r="I585"/>
  <c r="I584"/>
  <c r="K410" i="159"/>
  <c r="K31" s="1"/>
  <c r="K19" s="1"/>
  <c r="J688" i="270"/>
  <c r="K335"/>
  <c r="K337"/>
  <c r="K334"/>
  <c r="K338" s="1"/>
  <c r="K336"/>
  <c r="AN71" i="259"/>
  <c r="K117" i="235"/>
  <c r="K119" s="1"/>
  <c r="K142"/>
  <c r="M360" i="271"/>
  <c r="M417" s="1"/>
  <c r="J17" i="157"/>
  <c r="J21" s="1"/>
  <c r="J81" s="1"/>
  <c r="K19"/>
  <c r="K18"/>
  <c r="K20"/>
  <c r="O155" i="133"/>
  <c r="N244"/>
  <c r="N290"/>
  <c r="H183" i="191"/>
  <c r="H184"/>
  <c r="G218" i="184"/>
  <c r="O91" i="234"/>
  <c r="G132" i="157"/>
  <c r="J18" i="159"/>
  <c r="M74" i="191"/>
  <c r="N38" i="234"/>
  <c r="N47" s="1"/>
  <c r="I505" i="159"/>
  <c r="I160" i="191"/>
  <c r="J520" i="159"/>
  <c r="J505"/>
  <c r="J506"/>
  <c r="J504"/>
  <c r="J521"/>
  <c r="M48" i="235"/>
  <c r="M52" s="1"/>
  <c r="M111" s="1"/>
  <c r="M116" s="1"/>
  <c r="L319" i="271"/>
  <c r="L352" s="1"/>
  <c r="L409" s="1"/>
  <c r="M323"/>
  <c r="M356" s="1"/>
  <c r="M413" s="1"/>
  <c r="L320"/>
  <c r="L353" s="1"/>
  <c r="L410" s="1"/>
  <c r="L322"/>
  <c r="L355" s="1"/>
  <c r="L412" s="1"/>
  <c r="L435" s="1"/>
  <c r="L321"/>
  <c r="L354" s="1"/>
  <c r="L411" s="1"/>
  <c r="M349"/>
  <c r="M406" s="1"/>
  <c r="I96" i="157"/>
  <c r="I97"/>
  <c r="I114" s="1"/>
  <c r="I131" s="1"/>
  <c r="I99"/>
  <c r="I100" s="1"/>
  <c r="N283" i="187"/>
  <c r="I445" i="271"/>
  <c r="I39" i="157"/>
  <c r="J29"/>
  <c r="H253" i="133"/>
  <c r="H291"/>
  <c r="H194" i="194"/>
  <c r="I191" i="184"/>
  <c r="I192" s="1"/>
  <c r="I215" s="1"/>
  <c r="I200"/>
  <c r="I202" s="1"/>
  <c r="N40" i="235"/>
  <c r="N49"/>
  <c r="I639" i="270"/>
  <c r="I638"/>
  <c r="I637"/>
  <c r="K149" i="133"/>
  <c r="J289"/>
  <c r="K128" i="200"/>
  <c r="J161"/>
  <c r="N38" i="233"/>
  <c r="N79" s="1"/>
  <c r="N89" s="1"/>
  <c r="O34"/>
  <c r="O38" s="1"/>
  <c r="O79" s="1"/>
  <c r="O89" s="1"/>
  <c r="I272" i="187"/>
  <c r="DI12" i="259"/>
  <c r="AL33" i="257"/>
  <c r="AH71" i="260"/>
  <c r="AH63"/>
  <c r="AL33" i="256"/>
  <c r="AL33" i="259"/>
  <c r="AL33" i="263"/>
  <c r="BM21" i="257"/>
  <c r="U58" i="256"/>
  <c r="BA320" i="280"/>
  <c r="DI17" i="257"/>
  <c r="AL33" i="258"/>
  <c r="BM47" i="257"/>
  <c r="AN71" i="248"/>
  <c r="N93" i="234"/>
  <c r="N118"/>
  <c r="I133" i="235"/>
  <c r="G12" i="35"/>
  <c r="F13"/>
  <c r="BF411" i="277"/>
  <c r="M23" i="184"/>
  <c r="M149" s="1"/>
  <c r="N19"/>
  <c r="K463" i="159"/>
  <c r="G399" i="154"/>
  <c r="BI64" i="279"/>
  <c r="I104" i="157"/>
  <c r="H105"/>
  <c r="I18" i="48"/>
  <c r="H32"/>
  <c r="H532" i="159"/>
  <c r="H468"/>
  <c r="H533"/>
  <c r="K593" i="270"/>
  <c r="M50" i="234"/>
  <c r="M87" s="1"/>
  <c r="N46"/>
  <c r="J127" i="200"/>
  <c r="I143"/>
  <c r="I130"/>
  <c r="O271" i="187"/>
  <c r="O269"/>
  <c r="N34" i="236"/>
  <c r="H480" i="270"/>
  <c r="F480"/>
  <c r="F640" s="1"/>
  <c r="E662" s="1"/>
  <c r="M35" i="237"/>
  <c r="M44"/>
  <c r="N97" i="188"/>
  <c r="K88" i="237"/>
  <c r="K90" s="1"/>
  <c r="K91" s="1"/>
  <c r="K113"/>
  <c r="AF71" i="262"/>
  <c r="AF63"/>
  <c r="AY320" i="280"/>
  <c r="AG63" i="257"/>
  <c r="AG71"/>
  <c r="AL33" i="255"/>
  <c r="U58"/>
  <c r="BB133" i="280"/>
  <c r="L476" i="271"/>
  <c r="J115" i="188"/>
  <c r="L59"/>
  <c r="F534" i="159"/>
  <c r="K130" i="133"/>
  <c r="H187" i="200"/>
  <c r="H190" s="1"/>
  <c r="G520" i="159"/>
  <c r="H638" i="270"/>
  <c r="N365" i="271"/>
  <c r="N422" s="1"/>
  <c r="N366"/>
  <c r="N423" s="1"/>
  <c r="N367"/>
  <c r="N424" s="1"/>
  <c r="L398" i="159"/>
  <c r="L376"/>
  <c r="L397"/>
  <c r="L394"/>
  <c r="L372"/>
  <c r="L373"/>
  <c r="L395"/>
  <c r="L377"/>
  <c r="L351"/>
  <c r="L399"/>
  <c r="L378"/>
  <c r="L355"/>
  <c r="L400"/>
  <c r="L353"/>
  <c r="L352"/>
  <c r="L396"/>
  <c r="L374"/>
  <c r="L375"/>
  <c r="L350"/>
  <c r="L335"/>
  <c r="L442" s="1"/>
  <c r="L329"/>
  <c r="L333"/>
  <c r="L440" s="1"/>
  <c r="L331"/>
  <c r="L438" s="1"/>
  <c r="L334"/>
  <c r="L441" s="1"/>
  <c r="L466" s="1"/>
  <c r="L354"/>
  <c r="L356"/>
  <c r="L332"/>
  <c r="L439" s="1"/>
  <c r="L330"/>
  <c r="L437" s="1"/>
  <c r="I545" i="270"/>
  <c r="I544"/>
  <c r="I546"/>
  <c r="J116" i="191"/>
  <c r="J127"/>
  <c r="J131" s="1"/>
  <c r="J120"/>
  <c r="J123" s="1"/>
  <c r="L351" i="271"/>
  <c r="L408" s="1"/>
  <c r="L434" s="1"/>
  <c r="L350"/>
  <c r="L407" s="1"/>
  <c r="M18"/>
  <c r="M22" s="1"/>
  <c r="M21"/>
  <c r="M20"/>
  <c r="M19"/>
  <c r="M30" i="133"/>
  <c r="M19"/>
  <c r="M32" s="1"/>
  <c r="AN71" i="261"/>
  <c r="L610" i="270"/>
  <c r="K464" i="159"/>
  <c r="K436"/>
  <c r="K336"/>
  <c r="K37" s="1"/>
  <c r="K41" s="1"/>
  <c r="L246" i="154"/>
  <c r="K331"/>
  <c r="K332" s="1"/>
  <c r="F151" i="200"/>
  <c r="F154" s="1"/>
  <c r="F204"/>
  <c r="L110" i="233"/>
  <c r="L109"/>
  <c r="G481" i="270"/>
  <c r="BG37" i="255"/>
  <c r="N389" i="270"/>
  <c r="M571"/>
  <c r="K445" i="159"/>
  <c r="K345"/>
  <c r="K28" s="1"/>
  <c r="K388"/>
  <c r="K30" s="1"/>
  <c r="H399" i="154"/>
  <c r="J102" i="237"/>
  <c r="J103"/>
  <c r="O35" i="236"/>
  <c r="O45"/>
  <c r="H113" i="157"/>
  <c r="H127"/>
  <c r="H547" i="159"/>
  <c r="H550" s="1"/>
  <c r="L128" i="133"/>
  <c r="L126"/>
  <c r="L127"/>
  <c r="L129"/>
  <c r="F132" i="157"/>
  <c r="L349" i="271"/>
  <c r="L406" s="1"/>
  <c r="L437" s="1"/>
  <c r="L63" i="157"/>
  <c r="K65"/>
  <c r="L400" i="270"/>
  <c r="G273" i="238"/>
  <c r="H214" i="184"/>
  <c r="H203"/>
  <c r="H217" s="1"/>
  <c r="H107" i="197"/>
  <c r="N135" i="184"/>
  <c r="N189" s="1"/>
  <c r="M189"/>
  <c r="L194" i="194"/>
  <c r="H659" i="270"/>
  <c r="I479" i="271"/>
  <c r="G130" i="157"/>
  <c r="G120"/>
  <c r="G143" s="1"/>
  <c r="G119"/>
  <c r="G142" s="1"/>
  <c r="G121"/>
  <c r="G144" s="1"/>
  <c r="J17" i="159"/>
  <c r="K78" i="236"/>
  <c r="K80" s="1"/>
  <c r="K81" s="1"/>
  <c r="K100"/>
  <c r="J433" i="271"/>
  <c r="J467" s="1"/>
  <c r="J463"/>
  <c r="J428"/>
  <c r="J477"/>
  <c r="J474"/>
  <c r="I504" i="159"/>
  <c r="I547" s="1"/>
  <c r="I550" s="1"/>
  <c r="I273" i="238"/>
  <c r="I104" i="237"/>
  <c r="K432" i="271"/>
  <c r="K475"/>
  <c r="N327"/>
  <c r="M324"/>
  <c r="M357" s="1"/>
  <c r="M414" s="1"/>
  <c r="M326"/>
  <c r="M359" s="1"/>
  <c r="M416" s="1"/>
  <c r="M325"/>
  <c r="M358" s="1"/>
  <c r="M415" s="1"/>
  <c r="K612" i="270"/>
  <c r="I216" i="184"/>
  <c r="I182"/>
  <c r="I237" s="1"/>
  <c r="I246" s="1"/>
  <c r="I181"/>
  <c r="I236" s="1"/>
  <c r="I245" s="1"/>
  <c r="I183"/>
  <c r="I238" s="1"/>
  <c r="I247" s="1"/>
  <c r="F129" i="188"/>
  <c r="L106" i="234"/>
  <c r="BI71" i="280"/>
  <c r="M50" i="235"/>
  <c r="M41"/>
  <c r="N43" i="233"/>
  <c r="N47" s="1"/>
  <c r="N83" s="1"/>
  <c r="N90" s="1"/>
  <c r="J231" i="184"/>
  <c r="G272" i="187"/>
  <c r="H199" i="191"/>
  <c r="N269" i="187"/>
  <c r="L496" i="270"/>
  <c r="L495"/>
  <c r="AH71" i="263"/>
  <c r="AH63"/>
  <c r="BE320" i="280"/>
  <c r="BM42" i="256"/>
  <c r="BO42" s="1"/>
  <c r="AS8" i="231"/>
  <c r="AF71" i="257"/>
  <c r="AF63"/>
  <c r="BM15" i="256"/>
  <c r="AL33" i="261"/>
  <c r="BM34" i="259"/>
  <c r="AQ21" i="231"/>
  <c r="BA133" i="280"/>
  <c r="AY133"/>
  <c r="G534" i="159"/>
  <c r="G165" i="188"/>
  <c r="G160"/>
  <c r="K148" i="133"/>
  <c r="J288"/>
  <c r="N193" i="187"/>
  <c r="K404" i="271"/>
  <c r="K371"/>
  <c r="J122" i="188"/>
  <c r="J126"/>
  <c r="K468" i="271"/>
  <c r="K446"/>
  <c r="AN71" i="263"/>
  <c r="BB105" i="277"/>
  <c r="H377" i="154"/>
  <c r="K272" i="187"/>
  <c r="K273" s="1"/>
  <c r="I469" i="271"/>
  <c r="J452" i="159"/>
  <c r="J514"/>
  <c r="J513"/>
  <c r="M194" i="194"/>
  <c r="L37" i="236"/>
  <c r="L70" s="1"/>
  <c r="M33"/>
  <c r="K146" i="133"/>
  <c r="J150"/>
  <c r="J208"/>
  <c r="J256" s="1"/>
  <c r="J286"/>
  <c r="L75" i="191"/>
  <c r="L76"/>
  <c r="L81"/>
  <c r="N39" i="235"/>
  <c r="M43"/>
  <c r="N297" i="133"/>
  <c r="N259"/>
  <c r="N298" s="1"/>
  <c r="K111" i="233"/>
  <c r="J272" i="187"/>
  <c r="J273" s="1"/>
  <c r="L554" i="270"/>
  <c r="L553"/>
  <c r="I565"/>
  <c r="I566"/>
  <c r="I564"/>
  <c r="AL33" i="262"/>
  <c r="K574" i="270"/>
  <c r="K496"/>
  <c r="K497" s="1"/>
  <c r="F532" i="159"/>
  <c r="F468"/>
  <c r="F533"/>
  <c r="K147" i="133"/>
  <c r="J287"/>
  <c r="G506" i="159"/>
  <c r="N36" i="236"/>
  <c r="N46"/>
  <c r="I622" i="270"/>
  <c r="I621"/>
  <c r="I623"/>
  <c r="I644"/>
  <c r="H639"/>
  <c r="G661" s="1"/>
  <c r="M366" i="271"/>
  <c r="M423" s="1"/>
  <c r="M365"/>
  <c r="M422" s="1"/>
  <c r="M367"/>
  <c r="M424" s="1"/>
  <c r="L407" i="159"/>
  <c r="L365"/>
  <c r="L383"/>
  <c r="L386"/>
  <c r="L385"/>
  <c r="L406"/>
  <c r="L360"/>
  <c r="L403"/>
  <c r="L359"/>
  <c r="L382"/>
  <c r="L405"/>
  <c r="L387"/>
  <c r="L409"/>
  <c r="L384"/>
  <c r="L362"/>
  <c r="L404"/>
  <c r="L364"/>
  <c r="L381"/>
  <c r="L388" s="1"/>
  <c r="L30" s="1"/>
  <c r="L408"/>
  <c r="L361"/>
  <c r="L363"/>
  <c r="L344"/>
  <c r="L451" s="1"/>
  <c r="L341"/>
  <c r="L448" s="1"/>
  <c r="L342"/>
  <c r="L449" s="1"/>
  <c r="L512" s="1"/>
  <c r="L343"/>
  <c r="L450" s="1"/>
  <c r="L340"/>
  <c r="L447" s="1"/>
  <c r="L339"/>
  <c r="L446" s="1"/>
  <c r="L511" s="1"/>
  <c r="L338"/>
  <c r="N134" i="184"/>
  <c r="N172" s="1"/>
  <c r="M172"/>
  <c r="J91" i="236"/>
  <c r="J90"/>
  <c r="K478" i="271"/>
  <c r="N143"/>
  <c r="O142"/>
  <c r="O143" s="1"/>
  <c r="M37" i="237"/>
  <c r="N33"/>
  <c r="N42" s="1"/>
  <c r="N46" s="1"/>
  <c r="N84" s="1"/>
  <c r="N89" s="1"/>
  <c r="I604" i="270"/>
  <c r="I602"/>
  <c r="I603"/>
  <c r="K466" i="271"/>
  <c r="K444"/>
  <c r="K462" i="159"/>
  <c r="K530" s="1"/>
  <c r="K496"/>
  <c r="K401"/>
  <c r="K40" s="1"/>
  <c r="K379"/>
  <c r="K39" s="1"/>
  <c r="K28" i="157"/>
  <c r="J32"/>
  <c r="J87" s="1"/>
  <c r="J38"/>
  <c r="J42" s="1"/>
  <c r="K554" i="270"/>
  <c r="K555" s="1"/>
  <c r="G377" i="154"/>
  <c r="BA105" i="277"/>
  <c r="E105" s="1"/>
  <c r="K112" i="191"/>
  <c r="K82"/>
  <c r="J17" i="48"/>
  <c r="I31"/>
  <c r="G203" i="200"/>
  <c r="G191"/>
  <c r="AN71" i="257"/>
  <c r="L572" i="270"/>
  <c r="G146" i="200"/>
  <c r="G148" s="1"/>
  <c r="G201" s="1"/>
  <c r="H272" i="187"/>
  <c r="H273" s="1"/>
  <c r="BH4" i="276"/>
  <c r="O84" i="154"/>
  <c r="K512" i="159"/>
  <c r="K366"/>
  <c r="K29" s="1"/>
  <c r="K17" s="1"/>
  <c r="G106" i="157"/>
  <c r="H106"/>
  <c r="I371" i="154"/>
  <c r="I360"/>
  <c r="I396" s="1"/>
  <c r="I369"/>
  <c r="F159" i="188"/>
  <c r="F167" s="1"/>
  <c r="F176" s="1"/>
  <c r="F130" i="157"/>
  <c r="F119"/>
  <c r="F142" s="1"/>
  <c r="F120"/>
  <c r="F143" s="1"/>
  <c r="F121"/>
  <c r="F144" s="1"/>
  <c r="J31"/>
  <c r="I41"/>
  <c r="BB110" i="277"/>
  <c r="O506" i="271"/>
  <c r="J90" i="197"/>
  <c r="I106"/>
  <c r="I105"/>
  <c r="BH4" i="279"/>
  <c r="H661" i="270"/>
  <c r="O194" i="194"/>
  <c r="K247" i="187"/>
  <c r="K255" s="1"/>
  <c r="I511" i="271"/>
  <c r="I513"/>
  <c r="I512"/>
  <c r="J145" i="191"/>
  <c r="J148" s="1"/>
  <c r="J160" s="1"/>
  <c r="J152"/>
  <c r="J156" s="1"/>
  <c r="J162" s="1"/>
  <c r="J186" s="1"/>
  <c r="J141"/>
  <c r="H454" i="271"/>
  <c r="H505" s="1"/>
  <c r="H452"/>
  <c r="H503" s="1"/>
  <c r="H453"/>
  <c r="H504" s="1"/>
  <c r="M201" i="184"/>
  <c r="N136"/>
  <c r="N201" s="1"/>
  <c r="J32" i="159"/>
  <c r="J16"/>
  <c r="J20" s="1"/>
  <c r="F255" i="133"/>
  <c r="I532" i="159"/>
  <c r="I468"/>
  <c r="L43" i="236"/>
  <c r="L47" s="1"/>
  <c r="L74" s="1"/>
  <c r="L79" s="1"/>
  <c r="I243" i="133"/>
  <c r="I247" s="1"/>
  <c r="I248" s="1"/>
  <c r="I160"/>
  <c r="L273" i="238"/>
  <c r="J131" i="235"/>
  <c r="J132"/>
  <c r="I506" i="159"/>
  <c r="I161" i="191"/>
  <c r="AN71" i="260"/>
  <c r="AN71" i="258"/>
  <c r="BM17" i="257"/>
  <c r="L107" i="235"/>
  <c r="L115" s="1"/>
  <c r="L121"/>
  <c r="L141" s="1"/>
  <c r="M95" i="234"/>
  <c r="M96" s="1"/>
  <c r="M99"/>
  <c r="M117" s="1"/>
  <c r="H146" i="200"/>
  <c r="H148" s="1"/>
  <c r="H201" s="1"/>
  <c r="H144"/>
  <c r="H150" s="1"/>
  <c r="H204" s="1"/>
  <c r="J273" i="238"/>
  <c r="O283" i="187"/>
  <c r="J561" i="270"/>
  <c r="J562"/>
  <c r="J560"/>
  <c r="J559"/>
  <c r="AN71" i="256"/>
  <c r="K534" i="270"/>
  <c r="K535" s="1"/>
  <c r="F643"/>
  <c r="E672" s="1"/>
  <c r="F642"/>
  <c r="E671" s="1"/>
  <c r="E660"/>
  <c r="K628"/>
  <c r="K631" s="1"/>
  <c r="K632" s="1"/>
  <c r="L392"/>
  <c r="K16" i="48"/>
  <c r="J30"/>
  <c r="G254" i="133"/>
  <c r="G279" s="1"/>
  <c r="K171" i="184"/>
  <c r="J174"/>
  <c r="J175" s="1"/>
  <c r="J188"/>
  <c r="I117" i="188"/>
  <c r="J117" s="1"/>
  <c r="F663" i="270"/>
  <c r="F272" i="187"/>
  <c r="F273" s="1"/>
  <c r="L591" i="270"/>
  <c r="L592"/>
  <c r="AH71" i="262"/>
  <c r="AH63"/>
  <c r="AH71" i="261"/>
  <c r="AH63"/>
  <c r="F109" i="234"/>
  <c r="V23" i="255"/>
  <c r="BB320" i="280"/>
  <c r="DI17" i="255"/>
  <c r="BM34" i="257"/>
  <c r="I23"/>
  <c r="I71" s="1"/>
  <c r="R14"/>
  <c r="BM26" i="263"/>
  <c r="R17" i="256"/>
  <c r="J23"/>
  <c r="J71" s="1"/>
  <c r="AL33" i="248"/>
  <c r="BC320" i="280"/>
  <c r="U58" i="257"/>
  <c r="H62" i="231"/>
  <c r="BA15" i="277"/>
  <c r="F16" i="231"/>
  <c r="F12"/>
  <c r="BA16" i="276"/>
  <c r="BA16" i="279"/>
  <c r="BA19" i="276"/>
  <c r="BF29" i="248"/>
  <c r="BB306" i="279"/>
  <c r="BB365" i="277"/>
  <c r="BB248"/>
  <c r="BB308" i="279"/>
  <c r="BB180" i="276"/>
  <c r="BB308"/>
  <c r="BB191" i="279"/>
  <c r="BB366" i="277"/>
  <c r="BB191" i="276"/>
  <c r="AY55" i="277"/>
  <c r="AY27" i="279"/>
  <c r="BG139"/>
  <c r="F59" i="231"/>
  <c r="BI141" i="276"/>
  <c r="BA70" i="277"/>
  <c r="BA42" i="279"/>
  <c r="BC336" i="277"/>
  <c r="BC277" i="279"/>
  <c r="T21" i="248"/>
  <c r="AY304" i="276"/>
  <c r="AY246" i="277"/>
  <c r="AY304" i="279"/>
  <c r="BH141" i="276"/>
  <c r="E58" i="231"/>
  <c r="AY143" i="277"/>
  <c r="AY84" i="279"/>
  <c r="I22" i="231"/>
  <c r="N57"/>
  <c r="N25"/>
  <c r="BR19" i="255"/>
  <c r="BE144" i="276"/>
  <c r="H53" i="231"/>
  <c r="BI209" i="280"/>
  <c r="BI207"/>
  <c r="X18" i="257"/>
  <c r="AY42" i="258"/>
  <c r="BE273" i="276"/>
  <c r="BE273" i="279"/>
  <c r="T15" i="259"/>
  <c r="X48" i="255"/>
  <c r="AY42" i="279"/>
  <c r="BB330" i="277"/>
  <c r="BB271" i="276"/>
  <c r="BB343" i="280"/>
  <c r="BG42" i="276"/>
  <c r="BG208"/>
  <c r="BG125"/>
  <c r="BG371"/>
  <c r="BG44"/>
  <c r="BG31"/>
  <c r="BC226" i="279"/>
  <c r="BC247" i="280"/>
  <c r="H30" i="231"/>
  <c r="BR19" i="257"/>
  <c r="BG31" i="279"/>
  <c r="BG85"/>
  <c r="BG372"/>
  <c r="BG199"/>
  <c r="BP15" i="256"/>
  <c r="BQ13" i="257"/>
  <c r="BC28" i="276"/>
  <c r="BA308" i="279"/>
  <c r="BA239" i="277"/>
  <c r="BA180" i="276"/>
  <c r="AF29" i="256"/>
  <c r="BG146" i="279"/>
  <c r="X19" i="248"/>
  <c r="BC271" i="276"/>
  <c r="BC271" i="279"/>
  <c r="T10" i="248"/>
  <c r="BC283" i="276"/>
  <c r="BC342" i="277"/>
  <c r="BC355" i="280"/>
  <c r="BR21" i="248"/>
  <c r="P7" i="228"/>
  <c r="BG206" i="276"/>
  <c r="BG205"/>
  <c r="CZ27" i="248"/>
  <c r="BG117" i="279"/>
  <c r="BG373"/>
  <c r="BR15" i="256"/>
  <c r="AY10" i="276"/>
  <c r="AG29" i="248"/>
  <c r="BG142" i="279"/>
  <c r="N15" i="228"/>
  <c r="BE145" i="276"/>
  <c r="BC42" i="279"/>
  <c r="BC70" i="277"/>
  <c r="X18" i="256"/>
  <c r="U40" i="260"/>
  <c r="AY41" i="258"/>
  <c r="N8" i="231"/>
  <c r="N6"/>
  <c r="N21" i="256"/>
  <c r="W19" i="255"/>
  <c r="K17" i="231"/>
  <c r="BI144" i="277"/>
  <c r="X15" i="259"/>
  <c r="BI210" i="280"/>
  <c r="BI215"/>
  <c r="BD330" i="277"/>
  <c r="BD271" i="279"/>
  <c r="T10" i="258"/>
  <c r="U42"/>
  <c r="BG29" i="276"/>
  <c r="BG117"/>
  <c r="BG26"/>
  <c r="O91" i="154"/>
  <c r="W19" i="257"/>
  <c r="BG124" i="279"/>
  <c r="BG83"/>
  <c r="BG230"/>
  <c r="AJ22" i="258"/>
  <c r="I24" i="231"/>
  <c r="BD42" i="279"/>
  <c r="BD70" i="277"/>
  <c r="BB42" i="276"/>
  <c r="BP13" i="257"/>
  <c r="BB11" i="279"/>
  <c r="F27" i="231"/>
  <c r="AE29" i="256"/>
  <c r="O14" i="228"/>
  <c r="BE42" i="276"/>
  <c r="BE70" i="277"/>
  <c r="BB337"/>
  <c r="BB278" i="279"/>
  <c r="T22" i="256"/>
  <c r="M98" i="188"/>
  <c r="N56" i="231"/>
  <c r="BI243" i="280"/>
  <c r="BG365" i="276"/>
  <c r="BG30" i="279"/>
  <c r="BG39"/>
  <c r="BG36"/>
  <c r="BG208"/>
  <c r="BF42" i="276"/>
  <c r="U48" i="256"/>
  <c r="BH144" i="277"/>
  <c r="AY19" i="279"/>
  <c r="AY19" i="277"/>
  <c r="BE29" i="256"/>
  <c r="BG148" i="279"/>
  <c r="BG142" i="276"/>
  <c r="F51" i="231"/>
  <c r="I37"/>
  <c r="BD273" i="276"/>
  <c r="BD345" i="280"/>
  <c r="AG27" i="258"/>
  <c r="O22" i="256"/>
  <c r="BE185" i="279"/>
  <c r="BE361" i="277"/>
  <c r="BE244"/>
  <c r="BF85" i="276"/>
  <c r="BE143" i="279"/>
  <c r="BE202" i="277"/>
  <c r="AX40" i="260"/>
  <c r="N26" i="231"/>
  <c r="N38"/>
  <c r="H97" i="234"/>
  <c r="AJ21" i="256"/>
  <c r="J15" i="258"/>
  <c r="G10" i="262"/>
  <c r="J41" i="231"/>
  <c r="BE330" i="277"/>
  <c r="BE343" i="280"/>
  <c r="BI214"/>
  <c r="BI256"/>
  <c r="BH195" i="277"/>
  <c r="W18" i="257"/>
  <c r="W13" i="256"/>
  <c r="BE275" i="276"/>
  <c r="BE275" i="279"/>
  <c r="T18" i="259"/>
  <c r="BG127" i="276"/>
  <c r="BG201"/>
  <c r="BG36"/>
  <c r="BG360"/>
  <c r="BG237"/>
  <c r="BG83"/>
  <c r="AE27" i="248"/>
  <c r="E46" i="231"/>
  <c r="BP19" i="257"/>
  <c r="BG29" i="279"/>
  <c r="BG222"/>
  <c r="BG116"/>
  <c r="BG371"/>
  <c r="BG365"/>
  <c r="BG204"/>
  <c r="W13" i="248"/>
  <c r="O13" i="228"/>
  <c r="V13" i="257"/>
  <c r="AY271" i="276"/>
  <c r="AY271" i="279"/>
  <c r="T10" i="257"/>
  <c r="BA304" i="276"/>
  <c r="BA363" i="277"/>
  <c r="BA304" i="279"/>
  <c r="BC32"/>
  <c r="BC60" i="277"/>
  <c r="W18" i="256"/>
  <c r="BP19" i="255"/>
  <c r="F41" i="231"/>
  <c r="BA271" i="279"/>
  <c r="T10" i="255"/>
  <c r="BI216" i="280"/>
  <c r="BG30" i="276"/>
  <c r="BQ19" i="257"/>
  <c r="BG360" i="279"/>
  <c r="W18" i="248"/>
  <c r="I48" i="231"/>
  <c r="BF120" i="276"/>
  <c r="BF367"/>
  <c r="BF179" i="277"/>
  <c r="BD122" i="279"/>
  <c r="BD369" i="276"/>
  <c r="BD181" i="277"/>
  <c r="BB113" i="276"/>
  <c r="BB362" i="279"/>
  <c r="AJ22" i="248"/>
  <c r="BA15" i="276"/>
  <c r="BA15" i="279"/>
  <c r="AX39" i="255"/>
  <c r="BE29"/>
  <c r="BA16" i="277"/>
  <c r="BA19" i="279"/>
  <c r="BA19" i="277"/>
  <c r="BB189" i="279"/>
  <c r="BB306" i="276"/>
  <c r="BB189"/>
  <c r="BB180" i="279"/>
  <c r="BB239" i="277"/>
  <c r="BB367"/>
  <c r="AF29" i="259"/>
  <c r="BB307" i="279"/>
  <c r="BB250" i="277"/>
  <c r="BB307" i="276"/>
  <c r="AY27"/>
  <c r="BG140" i="279"/>
  <c r="BG149"/>
  <c r="X18" i="255"/>
  <c r="BI200" i="277"/>
  <c r="BA42" i="276"/>
  <c r="H43" i="231"/>
  <c r="BC277" i="276"/>
  <c r="BC349" i="280"/>
  <c r="AY187" i="276"/>
  <c r="AY363" i="277"/>
  <c r="AY187" i="279"/>
  <c r="BH200" i="277"/>
  <c r="G10" i="263"/>
  <c r="X13" i="257"/>
  <c r="AY84" i="276"/>
  <c r="BJ48" i="257"/>
  <c r="U41" i="258"/>
  <c r="N28" i="231"/>
  <c r="N13"/>
  <c r="BE144" i="279"/>
  <c r="BE203" i="277"/>
  <c r="W21" i="248"/>
  <c r="BI211" i="280"/>
  <c r="E59" i="231"/>
  <c r="I21"/>
  <c r="J37"/>
  <c r="BE332" i="277"/>
  <c r="BE345" i="280"/>
  <c r="F32" i="231"/>
  <c r="AY70" i="277"/>
  <c r="AY42" i="276"/>
  <c r="G41" i="231"/>
  <c r="BB271" i="279"/>
  <c r="T10" i="256"/>
  <c r="BG12" i="276"/>
  <c r="BG124"/>
  <c r="BG364"/>
  <c r="BG85"/>
  <c r="BG111"/>
  <c r="N91" i="154"/>
  <c r="BC226" i="276"/>
  <c r="BC285" i="277"/>
  <c r="W27" i="248"/>
  <c r="BG26" i="279"/>
  <c r="BG87"/>
  <c r="BG235"/>
  <c r="BG125"/>
  <c r="BG205"/>
  <c r="N16" i="228"/>
  <c r="BC28" i="279"/>
  <c r="BC56" i="277"/>
  <c r="BA308" i="276"/>
  <c r="BA367" i="277"/>
  <c r="BA180" i="279"/>
  <c r="BG147"/>
  <c r="H60" i="231"/>
  <c r="H41"/>
  <c r="BC330" i="277"/>
  <c r="BC343" i="280"/>
  <c r="N37" i="231"/>
  <c r="H39"/>
  <c r="BC283" i="279"/>
  <c r="T13" i="248"/>
  <c r="BI251" i="280"/>
  <c r="U48" i="255"/>
  <c r="BG373" i="276"/>
  <c r="BG81"/>
  <c r="BG237" i="279"/>
  <c r="BG364"/>
  <c r="BG201"/>
  <c r="AY10"/>
  <c r="AY10" i="277"/>
  <c r="AF29" i="263"/>
  <c r="BG136" i="279"/>
  <c r="BE145"/>
  <c r="BE204" i="277"/>
  <c r="BC42" i="276"/>
  <c r="G59" i="231"/>
  <c r="K19"/>
  <c r="I20"/>
  <c r="Q19" i="256"/>
  <c r="N29" i="231"/>
  <c r="N31"/>
  <c r="F52"/>
  <c r="BQ21" i="248"/>
  <c r="U39" i="260"/>
  <c r="J57" i="231"/>
  <c r="BI213" i="280"/>
  <c r="BI258"/>
  <c r="I41" i="231"/>
  <c r="BD271" i="276"/>
  <c r="BD343" i="280"/>
  <c r="I23" i="231"/>
  <c r="BG39" i="276"/>
  <c r="BG116"/>
  <c r="BG87"/>
  <c r="BG199"/>
  <c r="E52" i="231"/>
  <c r="BG13" i="279"/>
  <c r="BG127"/>
  <c r="BG203"/>
  <c r="I62" i="231"/>
  <c r="BQ15" i="256"/>
  <c r="U43" i="258"/>
  <c r="BD42" i="276"/>
  <c r="BB42" i="279"/>
  <c r="BB70" i="277"/>
  <c r="BB11" i="276"/>
  <c r="BB11" i="277"/>
  <c r="AJ39" i="255"/>
  <c r="BG135" i="279"/>
  <c r="BH70" i="277"/>
  <c r="BE42" i="279"/>
  <c r="BB278" i="276"/>
  <c r="G44" i="231"/>
  <c r="BB350" i="280"/>
  <c r="W10" i="263"/>
  <c r="BG70" i="277"/>
  <c r="N48" i="231"/>
  <c r="BG230" i="276"/>
  <c r="X47" i="248"/>
  <c r="BG44" i="279"/>
  <c r="BG111"/>
  <c r="BG206"/>
  <c r="BF42"/>
  <c r="BF70" i="277"/>
  <c r="BJ46" i="255"/>
  <c r="BG144" i="277"/>
  <c r="AY19" i="276"/>
  <c r="G12" i="231"/>
  <c r="BG137" i="279"/>
  <c r="BG141"/>
  <c r="BG201" i="277"/>
  <c r="W18" i="255"/>
  <c r="BD332" i="277"/>
  <c r="BD273" i="279"/>
  <c r="T15" i="258"/>
  <c r="J86" i="244"/>
  <c r="BE302" i="279"/>
  <c r="BE302" i="276"/>
  <c r="BE185"/>
  <c r="BF85" i="279"/>
  <c r="BF144" i="277"/>
  <c r="BE143" i="276"/>
  <c r="K18" i="231"/>
  <c r="N15"/>
  <c r="N49"/>
  <c r="N10"/>
  <c r="G61"/>
  <c r="BQ19" i="255"/>
  <c r="BP21" i="248"/>
  <c r="BI70" i="277"/>
  <c r="BE271" i="276"/>
  <c r="BE271" i="279"/>
  <c r="T10" i="259"/>
  <c r="BI212" i="280"/>
  <c r="BH136" i="276"/>
  <c r="E51" i="231"/>
  <c r="G50"/>
  <c r="J40"/>
  <c r="BE334" i="277"/>
  <c r="BE347" i="280"/>
  <c r="BG13" i="276"/>
  <c r="BG202"/>
  <c r="BG235"/>
  <c r="BG207"/>
  <c r="BG204"/>
  <c r="BG82"/>
  <c r="BG372"/>
  <c r="I87" i="244"/>
  <c r="M11" i="257"/>
  <c r="BI47" i="248"/>
  <c r="BG42" i="279"/>
  <c r="BG12"/>
  <c r="BG82"/>
  <c r="BG202"/>
  <c r="BG207"/>
  <c r="H50" i="231"/>
  <c r="BC43" i="258"/>
  <c r="E64" i="231"/>
  <c r="E41"/>
  <c r="AY330" i="277"/>
  <c r="AY343" i="280"/>
  <c r="BA187" i="276"/>
  <c r="BA246" i="277"/>
  <c r="BA187" i="279"/>
  <c r="AE29" i="255"/>
  <c r="BC32" i="276"/>
  <c r="G51" i="231"/>
  <c r="N14"/>
  <c r="BA330" i="277"/>
  <c r="BA271" i="276"/>
  <c r="BA343" i="280"/>
  <c r="M194" i="187"/>
  <c r="BG222" i="276"/>
  <c r="BG203"/>
  <c r="BG81" i="279"/>
  <c r="H51" i="231"/>
  <c r="BJ48" i="256"/>
  <c r="W15" i="258"/>
  <c r="BD121" i="276"/>
  <c r="BD368" i="279"/>
  <c r="BA362" i="276"/>
  <c r="BA172" i="277"/>
  <c r="BA113" i="279"/>
  <c r="BF120"/>
  <c r="BF367"/>
  <c r="BF119"/>
  <c r="BF366"/>
  <c r="BF178" i="277"/>
  <c r="BD369" i="279"/>
  <c r="BD122" i="276"/>
  <c r="BD370" i="279"/>
  <c r="BD123" i="276"/>
  <c r="BD182" i="277"/>
  <c r="BB362" i="276"/>
  <c r="BB113" i="279"/>
  <c r="BB172" i="277"/>
  <c r="BD180"/>
  <c r="BD121" i="279"/>
  <c r="BD368" i="276"/>
  <c r="BA362" i="279"/>
  <c r="BA113" i="276"/>
  <c r="BF366"/>
  <c r="BF119"/>
  <c r="BD370"/>
  <c r="BD123" i="279"/>
  <c r="BM32" i="248" l="1"/>
  <c r="BM37" i="258"/>
  <c r="BM37" i="257"/>
  <c r="BM37" i="262"/>
  <c r="BM37" i="248"/>
  <c r="BM32" i="258"/>
  <c r="BM41" i="248"/>
  <c r="BO41" s="1"/>
  <c r="BM32" i="263"/>
  <c r="BM47" i="256"/>
  <c r="AR21" i="231"/>
  <c r="BM37" i="255"/>
  <c r="BM34" i="263"/>
  <c r="BM32" i="261"/>
  <c r="BM32" i="259"/>
  <c r="BM17" i="256"/>
  <c r="BM32" i="255"/>
  <c r="AL17" i="248"/>
  <c r="BM15"/>
  <c r="BM40" i="259"/>
  <c r="BO40" s="1"/>
  <c r="J438" i="271"/>
  <c r="AT8" i="231"/>
  <c r="BM32" i="260"/>
  <c r="AO7" i="231"/>
  <c r="BM32" i="256"/>
  <c r="BM32" i="257"/>
  <c r="BM39"/>
  <c r="BO39" s="1"/>
  <c r="DI17" i="263"/>
  <c r="BB120" i="280"/>
  <c r="BD130"/>
  <c r="BD129"/>
  <c r="BF126"/>
  <c r="BF127"/>
  <c r="BA120"/>
  <c r="BD185" i="277"/>
  <c r="BD128" i="280"/>
  <c r="BD126" i="279"/>
  <c r="BD126" i="276"/>
  <c r="W17" i="258"/>
  <c r="AL18" i="248"/>
  <c r="BM18" s="1"/>
  <c r="AG42" i="231"/>
  <c r="AR42" s="1"/>
  <c r="BG86" i="280"/>
  <c r="BQ20" i="257"/>
  <c r="BG252" i="276"/>
  <c r="BG242"/>
  <c r="M243" i="187"/>
  <c r="M245" s="1"/>
  <c r="AL10" i="255"/>
  <c r="BM10" s="1"/>
  <c r="AE46" i="231"/>
  <c r="AP46" s="1"/>
  <c r="BP20" i="255"/>
  <c r="BP23" s="1"/>
  <c r="DI19"/>
  <c r="AL18" i="256"/>
  <c r="BM18" s="1"/>
  <c r="AF42" i="231"/>
  <c r="AQ42" s="1"/>
  <c r="BC313" i="277"/>
  <c r="BC254" i="276"/>
  <c r="BC251" i="279"/>
  <c r="BC40" i="280"/>
  <c r="BC326" s="1"/>
  <c r="AL29" i="255"/>
  <c r="AE31"/>
  <c r="AE52" s="1"/>
  <c r="BA318" i="279"/>
  <c r="BA195" i="280"/>
  <c r="AY167" s="1"/>
  <c r="BC167" s="1"/>
  <c r="BA377" i="277"/>
  <c r="BA318" i="276"/>
  <c r="AL10" i="257"/>
  <c r="BM10" s="1"/>
  <c r="AD46" i="231"/>
  <c r="AO46" s="1"/>
  <c r="V14" i="257"/>
  <c r="AL13"/>
  <c r="BM13" s="1"/>
  <c r="BC44" i="258"/>
  <c r="BC52" s="1"/>
  <c r="BC71" s="1"/>
  <c r="BG43"/>
  <c r="W14" i="248"/>
  <c r="BG87" i="280"/>
  <c r="BG123"/>
  <c r="BG12"/>
  <c r="BG242" i="279"/>
  <c r="BG50" i="280"/>
  <c r="BG330" s="1"/>
  <c r="BG37"/>
  <c r="BG323" s="1"/>
  <c r="BK47" i="248"/>
  <c r="BP20" i="257"/>
  <c r="DI19"/>
  <c r="M12"/>
  <c r="M23" s="1"/>
  <c r="M71" s="1"/>
  <c r="S29" i="231"/>
  <c r="AO29" s="1"/>
  <c r="I105" i="244"/>
  <c r="I108"/>
  <c r="BG256" i="276"/>
  <c r="T20" i="259"/>
  <c r="BE361" i="280"/>
  <c r="BE289" i="279"/>
  <c r="BE348" i="277"/>
  <c r="BE289" i="276"/>
  <c r="W14" i="256"/>
  <c r="AL18" i="257"/>
  <c r="BM18" s="1"/>
  <c r="AD42" i="231"/>
  <c r="AO42" s="1"/>
  <c r="AL10" i="259"/>
  <c r="AI46" i="231"/>
  <c r="AT46" s="1"/>
  <c r="G12" i="262"/>
  <c r="DI21" i="248"/>
  <c r="J17" i="258"/>
  <c r="R15"/>
  <c r="BQ20" i="255"/>
  <c r="BQ23" s="1"/>
  <c r="AJ23" i="256"/>
  <c r="AL21"/>
  <c r="U34" i="231"/>
  <c r="AF44"/>
  <c r="AQ44" s="1"/>
  <c r="H107" i="234"/>
  <c r="H108"/>
  <c r="AB18" i="231"/>
  <c r="AX18" s="1"/>
  <c r="AM40"/>
  <c r="AX40" s="1"/>
  <c r="AB12"/>
  <c r="AX12" s="1"/>
  <c r="BG40" i="260"/>
  <c r="AJ8" i="231"/>
  <c r="BE150" i="280"/>
  <c r="BF90"/>
  <c r="BE375" i="277"/>
  <c r="BE316" i="276"/>
  <c r="BE193" i="280"/>
  <c r="BE316" i="279"/>
  <c r="R22" i="256"/>
  <c r="O23"/>
  <c r="O71" s="1"/>
  <c r="J107" i="244"/>
  <c r="J103"/>
  <c r="T17" i="258"/>
  <c r="AL15"/>
  <c r="BD359" i="280"/>
  <c r="BD287" i="279"/>
  <c r="BD287" i="276"/>
  <c r="BD346" i="277"/>
  <c r="AH39" i="231"/>
  <c r="AS39" s="1"/>
  <c r="AL18" i="255"/>
  <c r="BM18" s="1"/>
  <c r="AE42" i="231"/>
  <c r="AP42" s="1"/>
  <c r="BG148" i="280"/>
  <c r="BG155"/>
  <c r="BG144"/>
  <c r="BE31" i="256"/>
  <c r="BG29"/>
  <c r="U23" i="231"/>
  <c r="AQ23" s="1"/>
  <c r="AF22"/>
  <c r="AQ22" s="1"/>
  <c r="AY19" i="280"/>
  <c r="BF379" i="276"/>
  <c r="BF50" i="280"/>
  <c r="BF330" s="1"/>
  <c r="BG44"/>
  <c r="BG118"/>
  <c r="BG47"/>
  <c r="BG329" s="1"/>
  <c r="BG52"/>
  <c r="BG38"/>
  <c r="BG324" s="1"/>
  <c r="AL47" i="248"/>
  <c r="BM47" s="1"/>
  <c r="BG240" i="276"/>
  <c r="BI263" i="280"/>
  <c r="M158" i="188"/>
  <c r="M132"/>
  <c r="W12" i="263"/>
  <c r="AL22" i="256"/>
  <c r="BB364" i="280"/>
  <c r="BB292" i="279"/>
  <c r="AF45" i="231"/>
  <c r="AQ45" s="1"/>
  <c r="BB351" i="277"/>
  <c r="BB292" i="276"/>
  <c r="BE50" i="280"/>
  <c r="BE330" s="1"/>
  <c r="BE379" i="276"/>
  <c r="BG142" i="280"/>
  <c r="AL29" i="256"/>
  <c r="AE31"/>
  <c r="AJ44" i="255"/>
  <c r="AL39"/>
  <c r="AE34" i="231"/>
  <c r="AP34" s="1"/>
  <c r="T7"/>
  <c r="BB14" i="277"/>
  <c r="BB14" i="279"/>
  <c r="BB14" i="280" s="1"/>
  <c r="BB11"/>
  <c r="BB14" i="276"/>
  <c r="BP14" i="257"/>
  <c r="DI13"/>
  <c r="BB379" i="276"/>
  <c r="BB50" i="280"/>
  <c r="BB330" s="1"/>
  <c r="BD379" i="276"/>
  <c r="BD50" i="280"/>
  <c r="BD330" s="1"/>
  <c r="AL43" i="258"/>
  <c r="W10" i="231"/>
  <c r="AS10" s="1"/>
  <c r="BQ17" i="256"/>
  <c r="BG240" i="279"/>
  <c r="BG88" i="280"/>
  <c r="BG134"/>
  <c r="BG131"/>
  <c r="BG13"/>
  <c r="W20" i="257"/>
  <c r="W23" s="1"/>
  <c r="AL19"/>
  <c r="BM19" s="1"/>
  <c r="AD43" i="231"/>
  <c r="AO43" s="1"/>
  <c r="O108" i="154"/>
  <c r="O328" s="1"/>
  <c r="O329" s="1"/>
  <c r="O330" s="1"/>
  <c r="O332" s="1"/>
  <c r="BG248" i="276"/>
  <c r="BG118"/>
  <c r="BG251"/>
  <c r="AL42" i="258"/>
  <c r="W21" i="231"/>
  <c r="AL10" i="258"/>
  <c r="BM10" s="1"/>
  <c r="AH46" i="231"/>
  <c r="AS46" s="1"/>
  <c r="X17" i="259"/>
  <c r="W20" i="255"/>
  <c r="AL19"/>
  <c r="BM19" s="1"/>
  <c r="AE43" i="231"/>
  <c r="AP43" s="1"/>
  <c r="R21" i="256"/>
  <c r="N23"/>
  <c r="N71" s="1"/>
  <c r="AB14" i="231"/>
  <c r="AX14" s="1"/>
  <c r="AB16"/>
  <c r="AX16" s="1"/>
  <c r="AB25"/>
  <c r="AX25" s="1"/>
  <c r="Q20" i="256"/>
  <c r="Q23" s="1"/>
  <c r="Q71" s="1"/>
  <c r="R19"/>
  <c r="BG41" i="258"/>
  <c r="AY44"/>
  <c r="AY52" s="1"/>
  <c r="AY71" s="1"/>
  <c r="W9" i="231"/>
  <c r="AS9" s="1"/>
  <c r="AH20"/>
  <c r="AL40" i="260"/>
  <c r="Y8" i="231"/>
  <c r="X20" i="256"/>
  <c r="BC379" i="276"/>
  <c r="BC50" i="280"/>
  <c r="BC330" s="1"/>
  <c r="BE152"/>
  <c r="N17" i="228"/>
  <c r="BG143" i="280"/>
  <c r="BG149"/>
  <c r="AF31" i="263"/>
  <c r="AF52" s="1"/>
  <c r="AG31" i="248"/>
  <c r="AG52" s="1"/>
  <c r="AY10" i="280"/>
  <c r="BR17" i="256"/>
  <c r="BG118" i="279"/>
  <c r="BG125" i="280" s="1"/>
  <c r="BG124"/>
  <c r="DI27" i="248"/>
  <c r="CZ31"/>
  <c r="DI31" s="1"/>
  <c r="BI261" i="280"/>
  <c r="T14" i="248"/>
  <c r="BC360" i="280"/>
  <c r="BC288" i="279"/>
  <c r="BC347" i="277"/>
  <c r="BC288" i="276"/>
  <c r="AM39" i="231"/>
  <c r="AX39" s="1"/>
  <c r="AL10" i="248"/>
  <c r="BM10" s="1"/>
  <c r="AG46" i="231"/>
  <c r="AR46" s="1"/>
  <c r="X20" i="248"/>
  <c r="BG153" i="280"/>
  <c r="BG154"/>
  <c r="AF31" i="256"/>
  <c r="AF52" s="1"/>
  <c r="BA188" i="280"/>
  <c r="AY171" s="1"/>
  <c r="BC171" s="1"/>
  <c r="BA381" i="277"/>
  <c r="BA322" i="276"/>
  <c r="BA322" i="279"/>
  <c r="BC309" i="277"/>
  <c r="BC250" i="276"/>
  <c r="BC250" i="279"/>
  <c r="BC36" i="280"/>
  <c r="BC322" s="1"/>
  <c r="BQ14" i="257"/>
  <c r="BQ23" s="1"/>
  <c r="BP17" i="256"/>
  <c r="DI15"/>
  <c r="BG132" i="280"/>
  <c r="BG90"/>
  <c r="BG92"/>
  <c r="BG39"/>
  <c r="BG325" s="1"/>
  <c r="BG248" i="279"/>
  <c r="BG34" i="280"/>
  <c r="BR20" i="257"/>
  <c r="BR23" s="1"/>
  <c r="W31" i="248"/>
  <c r="AL27"/>
  <c r="BM27" s="1"/>
  <c r="V22" i="231"/>
  <c r="BC300" i="277"/>
  <c r="BC262" i="280"/>
  <c r="BC241" i="276"/>
  <c r="BC241" i="279"/>
  <c r="N108" i="154"/>
  <c r="N328" s="1"/>
  <c r="N329" s="1"/>
  <c r="N330" s="1"/>
  <c r="BG253" i="276"/>
  <c r="BG380"/>
  <c r="BG379"/>
  <c r="AL10" i="256"/>
  <c r="BM10" s="1"/>
  <c r="AF46" i="231"/>
  <c r="AQ46" s="1"/>
  <c r="AY379" i="276"/>
  <c r="AY50" i="280"/>
  <c r="AY330" s="1"/>
  <c r="X51" i="255"/>
  <c r="X52" s="1"/>
  <c r="T17" i="259"/>
  <c r="BE359" i="280"/>
  <c r="BE287" i="279"/>
  <c r="BE346" i="277"/>
  <c r="BE287" i="276"/>
  <c r="BG42" i="258"/>
  <c r="AH21" i="231"/>
  <c r="AS21" s="1"/>
  <c r="X20" i="257"/>
  <c r="BE151" i="280"/>
  <c r="BR20" i="255"/>
  <c r="BR23" s="1"/>
  <c r="AB24" i="231"/>
  <c r="AX24" s="1"/>
  <c r="AB11"/>
  <c r="AX11" s="1"/>
  <c r="AB13"/>
  <c r="AX13" s="1"/>
  <c r="AL41" i="258"/>
  <c r="U44"/>
  <c r="W20" i="231"/>
  <c r="AY89" i="280"/>
  <c r="X14" i="257"/>
  <c r="AD41" i="231"/>
  <c r="AO41" s="1"/>
  <c r="G12" i="263"/>
  <c r="AY318" i="279"/>
  <c r="AY195" i="280"/>
  <c r="AY377" i="277"/>
  <c r="AY318" i="276"/>
  <c r="BC363" i="280"/>
  <c r="BC291" i="279"/>
  <c r="BC291" i="276"/>
  <c r="BC350" i="277"/>
  <c r="BA50" i="280"/>
  <c r="BA330" s="1"/>
  <c r="BA379" i="276"/>
  <c r="X20" i="255"/>
  <c r="X23" s="1"/>
  <c r="BG156" i="280"/>
  <c r="BG146"/>
  <c r="BG147"/>
  <c r="AY249" i="279"/>
  <c r="AY35" i="280"/>
  <c r="AY321" s="1"/>
  <c r="AY34" i="279"/>
  <c r="AY42" i="280" s="1"/>
  <c r="AY249" i="276"/>
  <c r="AY34"/>
  <c r="AY308" i="277"/>
  <c r="AY62"/>
  <c r="BB321" i="276"/>
  <c r="BB380" i="277"/>
  <c r="BB321" i="279"/>
  <c r="BB199" i="280"/>
  <c r="AF31" i="259"/>
  <c r="AF52" s="1"/>
  <c r="BB322" i="276"/>
  <c r="BB381" i="277"/>
  <c r="BB322" i="279"/>
  <c r="BB188" i="280"/>
  <c r="BB379" i="277"/>
  <c r="BB320" i="276"/>
  <c r="BB320" i="279"/>
  <c r="BB197" i="280"/>
  <c r="BF31" i="248"/>
  <c r="BF52" s="1"/>
  <c r="BF71" s="1"/>
  <c r="BA19" i="280"/>
  <c r="BA16"/>
  <c r="BG29" i="255"/>
  <c r="BE31"/>
  <c r="AE22" i="231"/>
  <c r="AP22" s="1"/>
  <c r="T23"/>
  <c r="AP23" s="1"/>
  <c r="AX44" i="255"/>
  <c r="AX52" s="1"/>
  <c r="BG39"/>
  <c r="BG44" s="1"/>
  <c r="AE7" i="231"/>
  <c r="AP7" s="1"/>
  <c r="T6"/>
  <c r="AP6" s="1"/>
  <c r="BA15" i="280"/>
  <c r="K561" i="270"/>
  <c r="K562"/>
  <c r="K560"/>
  <c r="K559"/>
  <c r="L466" i="271"/>
  <c r="L444"/>
  <c r="M437"/>
  <c r="M539"/>
  <c r="K633" i="270"/>
  <c r="K541"/>
  <c r="K542"/>
  <c r="K540"/>
  <c r="K539"/>
  <c r="K503"/>
  <c r="K501"/>
  <c r="K504"/>
  <c r="K502"/>
  <c r="N18" i="271"/>
  <c r="N22" s="1"/>
  <c r="N21"/>
  <c r="N20"/>
  <c r="N19"/>
  <c r="N43" i="235"/>
  <c r="O39"/>
  <c r="O43" s="1"/>
  <c r="G151" i="200"/>
  <c r="G154" s="1"/>
  <c r="K461" i="159"/>
  <c r="K443"/>
  <c r="K498"/>
  <c r="K519" s="1"/>
  <c r="L401"/>
  <c r="L40" s="1"/>
  <c r="I480" i="270"/>
  <c r="H640"/>
  <c r="H641" s="1"/>
  <c r="I105" i="157"/>
  <c r="I106" s="1"/>
  <c r="J104"/>
  <c r="F14" i="35"/>
  <c r="G13"/>
  <c r="BG411" i="277"/>
  <c r="J162" i="200"/>
  <c r="J168" s="1"/>
  <c r="M476" i="271"/>
  <c r="J371" i="154"/>
  <c r="J369"/>
  <c r="L166" i="184"/>
  <c r="L229" s="1"/>
  <c r="L165"/>
  <c r="L228" s="1"/>
  <c r="L167"/>
  <c r="L230" s="1"/>
  <c r="O30" i="133"/>
  <c r="O19"/>
  <c r="O32" s="1"/>
  <c r="L404" i="271"/>
  <c r="L371"/>
  <c r="N235" i="159"/>
  <c r="N236"/>
  <c r="O234"/>
  <c r="I660" i="270"/>
  <c r="J506"/>
  <c r="J507"/>
  <c r="J508"/>
  <c r="J639"/>
  <c r="J638"/>
  <c r="J637"/>
  <c r="M554"/>
  <c r="M553"/>
  <c r="AL14" i="255"/>
  <c r="BM14" s="1"/>
  <c r="AA52" i="261"/>
  <c r="AL37"/>
  <c r="BM10" i="259"/>
  <c r="P23" i="255"/>
  <c r="P71" s="1"/>
  <c r="R20"/>
  <c r="DI12" i="262"/>
  <c r="J216" i="184"/>
  <c r="J183"/>
  <c r="J238" s="1"/>
  <c r="J247" s="1"/>
  <c r="J182"/>
  <c r="J237" s="1"/>
  <c r="J246" s="1"/>
  <c r="J181"/>
  <c r="J236" s="1"/>
  <c r="J245" s="1"/>
  <c r="E663" i="270"/>
  <c r="J565"/>
  <c r="J564"/>
  <c r="J566"/>
  <c r="I253" i="133"/>
  <c r="I291"/>
  <c r="F276"/>
  <c r="F257"/>
  <c r="J161" i="191"/>
  <c r="J31" i="48"/>
  <c r="K17"/>
  <c r="L28" i="157"/>
  <c r="K32"/>
  <c r="K87" s="1"/>
  <c r="K38"/>
  <c r="K42" s="1"/>
  <c r="M79" i="237"/>
  <c r="M94"/>
  <c r="M112" s="1"/>
  <c r="L366" i="159"/>
  <c r="L29" s="1"/>
  <c r="L78" i="236"/>
  <c r="L80" s="1"/>
  <c r="L81" s="1"/>
  <c r="L100"/>
  <c r="G175" i="188"/>
  <c r="F165"/>
  <c r="F175" s="1"/>
  <c r="J469" i="271"/>
  <c r="I534" i="159"/>
  <c r="K17" i="157"/>
  <c r="K21" s="1"/>
  <c r="K81" s="1"/>
  <c r="L19"/>
  <c r="L20"/>
  <c r="L18"/>
  <c r="K18" i="159"/>
  <c r="M572" i="270"/>
  <c r="M573" s="1"/>
  <c r="L111" i="233"/>
  <c r="K370" i="154"/>
  <c r="K339"/>
  <c r="L468" i="271"/>
  <c r="L446"/>
  <c r="L464" i="159"/>
  <c r="L463"/>
  <c r="L357"/>
  <c r="L38" s="1"/>
  <c r="H203" i="200"/>
  <c r="H191"/>
  <c r="M59" i="188"/>
  <c r="K115"/>
  <c r="H54"/>
  <c r="O34" i="236"/>
  <c r="K599" i="270"/>
  <c r="K597"/>
  <c r="K598"/>
  <c r="K600"/>
  <c r="M152" i="184"/>
  <c r="M153"/>
  <c r="M160" s="1"/>
  <c r="M151"/>
  <c r="O120" i="233"/>
  <c r="O98"/>
  <c r="O119" s="1"/>
  <c r="L128" i="200"/>
  <c r="K161"/>
  <c r="O40" i="235"/>
  <c r="O49" s="1"/>
  <c r="I454" i="271"/>
  <c r="I505" s="1"/>
  <c r="I452"/>
  <c r="I503" s="1"/>
  <c r="I453"/>
  <c r="I504" s="1"/>
  <c r="I113" i="157"/>
  <c r="I127"/>
  <c r="L432" i="271"/>
  <c r="L475"/>
  <c r="M75" i="191"/>
  <c r="M76"/>
  <c r="M81"/>
  <c r="O244" i="133"/>
  <c r="O290"/>
  <c r="J96" i="157"/>
  <c r="J97"/>
  <c r="J114" s="1"/>
  <c r="J131" s="1"/>
  <c r="J99"/>
  <c r="J100" s="1"/>
  <c r="J180" i="200"/>
  <c r="J186" s="1"/>
  <c r="J445" i="271"/>
  <c r="BD106" i="277"/>
  <c r="J544" i="270"/>
  <c r="J545"/>
  <c r="J546"/>
  <c r="K477"/>
  <c r="N30" i="133"/>
  <c r="N19"/>
  <c r="N32" s="1"/>
  <c r="M314" i="271"/>
  <c r="M347" s="1"/>
  <c r="N316"/>
  <c r="M315"/>
  <c r="M348" s="1"/>
  <c r="M405" s="1"/>
  <c r="M383" i="159"/>
  <c r="M361"/>
  <c r="M405"/>
  <c r="M387"/>
  <c r="M365"/>
  <c r="M362"/>
  <c r="M382"/>
  <c r="M386"/>
  <c r="M360"/>
  <c r="M409"/>
  <c r="M363"/>
  <c r="M364"/>
  <c r="M385"/>
  <c r="M384"/>
  <c r="M406"/>
  <c r="M359"/>
  <c r="M403"/>
  <c r="M381"/>
  <c r="M407"/>
  <c r="M408"/>
  <c r="M404"/>
  <c r="M344"/>
  <c r="M451" s="1"/>
  <c r="M338"/>
  <c r="M343"/>
  <c r="M450" s="1"/>
  <c r="M342"/>
  <c r="M449" s="1"/>
  <c r="M340"/>
  <c r="M447" s="1"/>
  <c r="M341"/>
  <c r="M448" s="1"/>
  <c r="M339"/>
  <c r="M446" s="1"/>
  <c r="M511" s="1"/>
  <c r="H660" i="270"/>
  <c r="K231" i="184"/>
  <c r="N590" i="270"/>
  <c r="O390"/>
  <c r="O590" s="1"/>
  <c r="N552"/>
  <c r="O388"/>
  <c r="N398"/>
  <c r="AH71" i="258"/>
  <c r="AH63"/>
  <c r="G23" i="257"/>
  <c r="BG33" i="258"/>
  <c r="P23" i="256"/>
  <c r="P71" s="1"/>
  <c r="BK33" i="260"/>
  <c r="G23" i="259"/>
  <c r="BM29" i="257"/>
  <c r="G23" i="255"/>
  <c r="BF52" i="256"/>
  <c r="BF71" s="1"/>
  <c r="BG33"/>
  <c r="BM34" i="260"/>
  <c r="BK33" i="257"/>
  <c r="BM43" i="248"/>
  <c r="BO43" s="1"/>
  <c r="BE52" i="257"/>
  <c r="BG31"/>
  <c r="G23" i="248"/>
  <c r="BM34" i="256"/>
  <c r="AR20" i="231"/>
  <c r="AP52" i="261"/>
  <c r="BG37"/>
  <c r="BM42" i="248"/>
  <c r="BO42" s="1"/>
  <c r="DI14" i="255"/>
  <c r="BI4" i="279"/>
  <c r="I107" i="197"/>
  <c r="K122" i="188"/>
  <c r="K618" i="270"/>
  <c r="K619"/>
  <c r="K617"/>
  <c r="K616"/>
  <c r="N324" i="271"/>
  <c r="N357" s="1"/>
  <c r="N414" s="1"/>
  <c r="N325"/>
  <c r="N358" s="1"/>
  <c r="N415" s="1"/>
  <c r="N326"/>
  <c r="N359" s="1"/>
  <c r="N416" s="1"/>
  <c r="K91" i="236"/>
  <c r="K90"/>
  <c r="F202" i="200"/>
  <c r="F155"/>
  <c r="L462" i="159"/>
  <c r="L530" s="1"/>
  <c r="L496"/>
  <c r="L467"/>
  <c r="N360" i="271"/>
  <c r="N417" s="1"/>
  <c r="N95" i="234"/>
  <c r="N96" s="1"/>
  <c r="N99"/>
  <c r="N117" s="1"/>
  <c r="I183" i="191"/>
  <c r="I184"/>
  <c r="BB111" i="277"/>
  <c r="O95" i="234"/>
  <c r="O96" s="1"/>
  <c r="O99"/>
  <c r="O117" s="1"/>
  <c r="BG33" i="259"/>
  <c r="AE63" i="257"/>
  <c r="AE71"/>
  <c r="L270" i="187"/>
  <c r="L247"/>
  <c r="L255" s="1"/>
  <c r="AP52" i="263"/>
  <c r="BG37"/>
  <c r="G109" i="234"/>
  <c r="L593" i="270"/>
  <c r="L171" i="184"/>
  <c r="K174"/>
  <c r="K175" s="1"/>
  <c r="K188"/>
  <c r="L16" i="48"/>
  <c r="K30"/>
  <c r="E674" i="270"/>
  <c r="O52" i="133"/>
  <c r="O63" s="1"/>
  <c r="M106" i="234"/>
  <c r="J133" i="235"/>
  <c r="I514" i="271"/>
  <c r="K90" i="197"/>
  <c r="J105"/>
  <c r="J106"/>
  <c r="K31" i="157"/>
  <c r="J41"/>
  <c r="H534" i="159"/>
  <c r="BI4" i="276"/>
  <c r="L573" i="270"/>
  <c r="L574" s="1"/>
  <c r="G192" i="200"/>
  <c r="J92" i="236"/>
  <c r="L445" i="159"/>
  <c r="L345"/>
  <c r="L28" s="1"/>
  <c r="L410"/>
  <c r="L31" s="1"/>
  <c r="L19" s="1"/>
  <c r="H673" i="270"/>
  <c r="L147" i="133"/>
  <c r="K287"/>
  <c r="M107" i="235"/>
  <c r="M115" s="1"/>
  <c r="M121"/>
  <c r="M141" s="1"/>
  <c r="L137" i="191"/>
  <c r="L83"/>
  <c r="J243" i="133"/>
  <c r="J247" s="1"/>
  <c r="J248" s="1"/>
  <c r="J160"/>
  <c r="M43" i="236"/>
  <c r="M47" s="1"/>
  <c r="M74" s="1"/>
  <c r="M79" s="1"/>
  <c r="K433" i="271"/>
  <c r="K467" s="1"/>
  <c r="K463"/>
  <c r="K477"/>
  <c r="K474"/>
  <c r="K428"/>
  <c r="L148" i="133"/>
  <c r="K288"/>
  <c r="G109" i="244"/>
  <c r="H109"/>
  <c r="K445" i="271"/>
  <c r="J479"/>
  <c r="H218" i="184"/>
  <c r="M63" i="157"/>
  <c r="L65"/>
  <c r="K32" i="159"/>
  <c r="K16"/>
  <c r="K20" s="1"/>
  <c r="N571" i="270"/>
  <c r="O389"/>
  <c r="O571" s="1"/>
  <c r="M246" i="154"/>
  <c r="L331"/>
  <c r="L332" s="1"/>
  <c r="L465" i="159"/>
  <c r="L531" s="1"/>
  <c r="L497"/>
  <c r="K102" i="237"/>
  <c r="K103"/>
  <c r="N35"/>
  <c r="N44" i="236"/>
  <c r="O44" s="1"/>
  <c r="I144" i="200"/>
  <c r="I150" s="1"/>
  <c r="I32" i="48"/>
  <c r="J18"/>
  <c r="K499" i="159"/>
  <c r="K504" s="1"/>
  <c r="H481" i="270"/>
  <c r="N91" i="233"/>
  <c r="N92" s="1"/>
  <c r="N120"/>
  <c r="N98"/>
  <c r="N119" s="1"/>
  <c r="I214" i="184"/>
  <c r="I203"/>
  <c r="I217" s="1"/>
  <c r="H254" i="133"/>
  <c r="H279" s="1"/>
  <c r="L129" i="200"/>
  <c r="K179"/>
  <c r="J547" i="159"/>
  <c r="J550" s="1"/>
  <c r="K505"/>
  <c r="K506"/>
  <c r="M611" i="270"/>
  <c r="M610"/>
  <c r="N351" i="271"/>
  <c r="N408" s="1"/>
  <c r="N350"/>
  <c r="N407" s="1"/>
  <c r="M400" i="159"/>
  <c r="M354"/>
  <c r="M395"/>
  <c r="M355"/>
  <c r="M396"/>
  <c r="M378"/>
  <c r="M356"/>
  <c r="M353"/>
  <c r="M351"/>
  <c r="M350"/>
  <c r="M373"/>
  <c r="M374"/>
  <c r="M398"/>
  <c r="M399"/>
  <c r="M376"/>
  <c r="M352"/>
  <c r="M397"/>
  <c r="M377"/>
  <c r="M372"/>
  <c r="M379" s="1"/>
  <c r="M39" s="1"/>
  <c r="M375"/>
  <c r="M394"/>
  <c r="M401" s="1"/>
  <c r="M40" s="1"/>
  <c r="M330"/>
  <c r="M437" s="1"/>
  <c r="M333"/>
  <c r="M440" s="1"/>
  <c r="M332"/>
  <c r="M439" s="1"/>
  <c r="M464" s="1"/>
  <c r="M335"/>
  <c r="M442" s="1"/>
  <c r="M467" s="1"/>
  <c r="M331"/>
  <c r="M438" s="1"/>
  <c r="M334"/>
  <c r="M441" s="1"/>
  <c r="M466" s="1"/>
  <c r="M329"/>
  <c r="F547"/>
  <c r="F550" s="1"/>
  <c r="K30" i="157"/>
  <c r="J40"/>
  <c r="L535" i="270"/>
  <c r="M110" i="233"/>
  <c r="M109"/>
  <c r="I182" i="200"/>
  <c r="I184" s="1"/>
  <c r="K145" i="191"/>
  <c r="K148" s="1"/>
  <c r="K152"/>
  <c r="K156" s="1"/>
  <c r="K141"/>
  <c r="I659" i="270"/>
  <c r="J602"/>
  <c r="J604"/>
  <c r="J603"/>
  <c r="O385"/>
  <c r="O494" s="1"/>
  <c r="N494"/>
  <c r="M534"/>
  <c r="M533"/>
  <c r="M591"/>
  <c r="J584"/>
  <c r="J585"/>
  <c r="J583"/>
  <c r="AJ52" i="257"/>
  <c r="AJ71" s="1"/>
  <c r="AL44"/>
  <c r="BM44" s="1"/>
  <c r="DI12" i="263"/>
  <c r="AP52" i="260"/>
  <c r="BG37"/>
  <c r="BK33" i="261"/>
  <c r="AH63" i="259"/>
  <c r="AH71"/>
  <c r="AG71" i="255"/>
  <c r="AG63"/>
  <c r="AF63" i="261"/>
  <c r="AF71"/>
  <c r="BG33" i="263"/>
  <c r="BK33" i="258"/>
  <c r="AA52" i="260"/>
  <c r="AL37"/>
  <c r="BK33" i="259"/>
  <c r="BG33" i="261"/>
  <c r="AF63" i="258"/>
  <c r="AF71"/>
  <c r="BD320" i="280"/>
  <c r="AA52" i="256"/>
  <c r="AL37"/>
  <c r="BK33"/>
  <c r="BC133" i="280"/>
  <c r="J200" i="184"/>
  <c r="J202" s="1"/>
  <c r="J191"/>
  <c r="J192" s="1"/>
  <c r="J215" s="1"/>
  <c r="L117" i="235"/>
  <c r="L119" s="1"/>
  <c r="L142"/>
  <c r="I399" i="154"/>
  <c r="O33" i="237"/>
  <c r="O37" s="1"/>
  <c r="N37"/>
  <c r="K580" i="270"/>
  <c r="K578"/>
  <c r="K581"/>
  <c r="K579"/>
  <c r="N33" i="236"/>
  <c r="M37"/>
  <c r="M70" s="1"/>
  <c r="M400" i="270"/>
  <c r="N23" i="184"/>
  <c r="N149" s="1"/>
  <c r="O19"/>
  <c r="O23" s="1"/>
  <c r="O149" s="1"/>
  <c r="N323" i="271"/>
  <c r="M320"/>
  <c r="M353" s="1"/>
  <c r="M410" s="1"/>
  <c r="M322"/>
  <c r="M355" s="1"/>
  <c r="M412" s="1"/>
  <c r="M435" s="1"/>
  <c r="M319"/>
  <c r="M352" s="1"/>
  <c r="M409" s="1"/>
  <c r="M321"/>
  <c r="M354" s="1"/>
  <c r="M411" s="1"/>
  <c r="N74" i="191"/>
  <c r="O74"/>
  <c r="J532" i="159"/>
  <c r="J468"/>
  <c r="AA52" i="263"/>
  <c r="AL37"/>
  <c r="AP52" i="256"/>
  <c r="BG37"/>
  <c r="P23" i="248"/>
  <c r="P71" s="1"/>
  <c r="BG33"/>
  <c r="R20" i="257"/>
  <c r="P23"/>
  <c r="P71" s="1"/>
  <c r="BK33" i="262"/>
  <c r="BK33" i="263"/>
  <c r="AL31" i="257"/>
  <c r="L401" i="270"/>
  <c r="K117" i="188"/>
  <c r="G255" i="133"/>
  <c r="L628" i="270"/>
  <c r="L631" s="1"/>
  <c r="L632" s="1"/>
  <c r="M392"/>
  <c r="H151" i="200"/>
  <c r="H154" s="1"/>
  <c r="I185" i="191"/>
  <c r="I165"/>
  <c r="I196" s="1"/>
  <c r="I167"/>
  <c r="I198" s="1"/>
  <c r="H506" i="271"/>
  <c r="J183" i="191"/>
  <c r="J184"/>
  <c r="I377" i="154"/>
  <c r="BC105" i="277"/>
  <c r="K116" i="191"/>
  <c r="K120"/>
  <c r="K123" s="1"/>
  <c r="K127"/>
  <c r="K131" s="1"/>
  <c r="J533" i="159"/>
  <c r="O19" i="271"/>
  <c r="O18"/>
  <c r="O22" s="1"/>
  <c r="O21"/>
  <c r="O20"/>
  <c r="O36" i="236"/>
  <c r="O46"/>
  <c r="J360" i="154"/>
  <c r="J396" s="1"/>
  <c r="L555" i="270"/>
  <c r="N48" i="235"/>
  <c r="N52" s="1"/>
  <c r="N111" s="1"/>
  <c r="N116" s="1"/>
  <c r="L112" i="191"/>
  <c r="L82"/>
  <c r="L146" i="133"/>
  <c r="K150"/>
  <c r="K208"/>
  <c r="K256" s="1"/>
  <c r="K286"/>
  <c r="K126" i="188"/>
  <c r="O193" i="187"/>
  <c r="F160" i="188"/>
  <c r="L497" i="270"/>
  <c r="G273" i="187"/>
  <c r="N41" i="235"/>
  <c r="N50" s="1"/>
  <c r="F133" i="188"/>
  <c r="F134" s="1"/>
  <c r="G133"/>
  <c r="G134" s="1"/>
  <c r="J512" i="271"/>
  <c r="J511"/>
  <c r="J513"/>
  <c r="L130" i="133"/>
  <c r="H130" i="157"/>
  <c r="H119"/>
  <c r="H142" s="1"/>
  <c r="H120"/>
  <c r="H143" s="1"/>
  <c r="H121"/>
  <c r="H144" s="1"/>
  <c r="J104" i="237"/>
  <c r="K452" i="159"/>
  <c r="K513"/>
  <c r="K514"/>
  <c r="L611" i="270"/>
  <c r="L612" s="1"/>
  <c r="M127" i="133"/>
  <c r="M129"/>
  <c r="M128"/>
  <c r="M126"/>
  <c r="L436" i="159"/>
  <c r="L499" s="1"/>
  <c r="L336"/>
  <c r="L37" s="1"/>
  <c r="L41" s="1"/>
  <c r="L379"/>
  <c r="L39" s="1"/>
  <c r="L18" s="1"/>
  <c r="H642" i="270"/>
  <c r="G671" s="1"/>
  <c r="H643"/>
  <c r="G672" s="1"/>
  <c r="G660"/>
  <c r="O97" i="188"/>
  <c r="K127" i="200"/>
  <c r="J143"/>
  <c r="J130"/>
  <c r="N50" i="234"/>
  <c r="N87" s="1"/>
  <c r="O46"/>
  <c r="O50" s="1"/>
  <c r="O87" s="1"/>
  <c r="K533" i="159"/>
  <c r="I273" i="187"/>
  <c r="O43" i="233"/>
  <c r="O47" s="1"/>
  <c r="O83" s="1"/>
  <c r="O90" s="1"/>
  <c r="O91" s="1"/>
  <c r="O92" s="1"/>
  <c r="L149" i="133"/>
  <c r="K289"/>
  <c r="BC110" i="277"/>
  <c r="J39" i="157"/>
  <c r="K29"/>
  <c r="O38" i="234"/>
  <c r="O47" s="1"/>
  <c r="K131" i="235"/>
  <c r="K132"/>
  <c r="J529" i="159"/>
  <c r="K531"/>
  <c r="N609" i="270"/>
  <c r="O391"/>
  <c r="N399"/>
  <c r="L88" i="237"/>
  <c r="L90" s="1"/>
  <c r="L91" s="1"/>
  <c r="L113"/>
  <c r="L478" i="271"/>
  <c r="M351"/>
  <c r="M408" s="1"/>
  <c r="M350"/>
  <c r="M407" s="1"/>
  <c r="I164" i="200"/>
  <c r="I166" s="1"/>
  <c r="I169" s="1"/>
  <c r="I172" s="1"/>
  <c r="I173" s="1"/>
  <c r="I174" s="1"/>
  <c r="BI134" i="279"/>
  <c r="I204" i="200"/>
  <c r="I187"/>
  <c r="I190" s="1"/>
  <c r="I661" i="270"/>
  <c r="M495"/>
  <c r="M496" s="1"/>
  <c r="O387"/>
  <c r="O532" s="1"/>
  <c r="N532"/>
  <c r="M401"/>
  <c r="J644"/>
  <c r="I673" s="1"/>
  <c r="J623"/>
  <c r="J621"/>
  <c r="J622"/>
  <c r="AF71" i="248"/>
  <c r="AF63"/>
  <c r="G23" i="261"/>
  <c r="G23" i="256"/>
  <c r="G23" i="258"/>
  <c r="BM34" i="261"/>
  <c r="J23" i="248"/>
  <c r="J71" s="1"/>
  <c r="R17"/>
  <c r="G23" i="260"/>
  <c r="BG33"/>
  <c r="AF71"/>
  <c r="AF63"/>
  <c r="AG63" i="256"/>
  <c r="AG71"/>
  <c r="BG33" i="262"/>
  <c r="BF320" i="280"/>
  <c r="BK33" i="255"/>
  <c r="BF52" i="257"/>
  <c r="BF71" s="1"/>
  <c r="BG33"/>
  <c r="BK33" i="248"/>
  <c r="BF52" i="255"/>
  <c r="BF71" s="1"/>
  <c r="BG33"/>
  <c r="BI246" i="277"/>
  <c r="BI363"/>
  <c r="BI304" i="279"/>
  <c r="AY15" i="277"/>
  <c r="G16" i="231"/>
  <c r="BB17" i="276"/>
  <c r="BB17" i="277"/>
  <c r="J87" i="244"/>
  <c r="V13" i="258"/>
  <c r="W21"/>
  <c r="BF144" i="276"/>
  <c r="AG27" i="259"/>
  <c r="G32" i="231"/>
  <c r="H64"/>
  <c r="BB37" i="279"/>
  <c r="BB65" i="277"/>
  <c r="BH237" i="279"/>
  <c r="BH42"/>
  <c r="BH30"/>
  <c r="BH117"/>
  <c r="BH125"/>
  <c r="BH235"/>
  <c r="BH201"/>
  <c r="BH206"/>
  <c r="P13" i="228"/>
  <c r="AY147" i="277"/>
  <c r="X47" i="258"/>
  <c r="BH364" i="276"/>
  <c r="BH365"/>
  <c r="BH203"/>
  <c r="BH87"/>
  <c r="AY145" i="277"/>
  <c r="AY86" i="279"/>
  <c r="BE85" i="276"/>
  <c r="BF145" i="279"/>
  <c r="BF204" i="277"/>
  <c r="W18" i="258"/>
  <c r="BC37" i="276"/>
  <c r="BR22" i="248"/>
  <c r="BP19" i="256"/>
  <c r="N98" i="188"/>
  <c r="BF143" i="279"/>
  <c r="BF202" i="277"/>
  <c r="BH136" i="279"/>
  <c r="BC11"/>
  <c r="BF29" i="258"/>
  <c r="BA69" i="280"/>
  <c r="BA62" i="276"/>
  <c r="BD226" i="279"/>
  <c r="I30" i="231"/>
  <c r="W27" i="258"/>
  <c r="BA18" i="279"/>
  <c r="BR21" i="258"/>
  <c r="BI142" i="276"/>
  <c r="BR15" i="248"/>
  <c r="BB18" i="276"/>
  <c r="BB18" i="277"/>
  <c r="BH31" i="279"/>
  <c r="BH365"/>
  <c r="BH199"/>
  <c r="BH36"/>
  <c r="O22" i="248"/>
  <c r="BH48" i="276"/>
  <c r="BH31"/>
  <c r="BH125"/>
  <c r="BH201"/>
  <c r="BH202"/>
  <c r="BH85"/>
  <c r="U41" i="259"/>
  <c r="L19" i="231"/>
  <c r="BA143" i="277"/>
  <c r="BA84" i="279"/>
  <c r="BQ19" i="256"/>
  <c r="V13"/>
  <c r="J59" i="231"/>
  <c r="BH139" i="279"/>
  <c r="BH140"/>
  <c r="BR13" i="258"/>
  <c r="BB84" i="276"/>
  <c r="AY65" i="277"/>
  <c r="AY37" i="276"/>
  <c r="BA37" i="279"/>
  <c r="AE29" i="248"/>
  <c r="BB16" i="276"/>
  <c r="BB16" i="277"/>
  <c r="BD28" i="276"/>
  <c r="BC180" i="279"/>
  <c r="BC308" i="276"/>
  <c r="BC180"/>
  <c r="BQ21" i="258"/>
  <c r="H11" i="255"/>
  <c r="X15" i="260"/>
  <c r="BP15" i="248"/>
  <c r="BH39" i="279"/>
  <c r="BH116"/>
  <c r="BH203"/>
  <c r="J21" i="231"/>
  <c r="BC337" i="277"/>
  <c r="BC278" i="276"/>
  <c r="BC350" i="280"/>
  <c r="Q13" i="228"/>
  <c r="U39" i="261"/>
  <c r="BH26" i="276"/>
  <c r="BH127"/>
  <c r="BH205"/>
  <c r="BH237"/>
  <c r="J15" i="259"/>
  <c r="AY41"/>
  <c r="H61" i="231"/>
  <c r="L18"/>
  <c r="BI185" i="279"/>
  <c r="BI244" i="277"/>
  <c r="BI302" i="276"/>
  <c r="I43" i="231"/>
  <c r="BD277" i="276"/>
  <c r="BD349" i="280"/>
  <c r="BC18" i="279"/>
  <c r="BC18" i="277"/>
  <c r="W22" i="248"/>
  <c r="CZ27" i="258"/>
  <c r="P18"/>
  <c r="BH149" i="279"/>
  <c r="BH135"/>
  <c r="BD32" i="276"/>
  <c r="H12" i="231"/>
  <c r="BC189" i="279"/>
  <c r="BC248" i="277"/>
  <c r="BC189" i="276"/>
  <c r="G27" i="231"/>
  <c r="BB19" i="279"/>
  <c r="BB19" i="277"/>
  <c r="BF332"/>
  <c r="BF273" i="279"/>
  <c r="T15" i="260"/>
  <c r="BH244" i="277"/>
  <c r="BH302" i="276"/>
  <c r="BH302" i="279"/>
  <c r="H11" i="257"/>
  <c r="I60" i="231"/>
  <c r="BD85" i="276"/>
  <c r="BD144" i="277"/>
  <c r="BA245"/>
  <c r="BA303" i="276"/>
  <c r="BA303" i="279"/>
  <c r="BH29"/>
  <c r="BH83"/>
  <c r="BH371"/>
  <c r="BH204"/>
  <c r="J23" i="231"/>
  <c r="K40"/>
  <c r="BF334" i="277"/>
  <c r="BF347" i="280"/>
  <c r="K45" i="231"/>
  <c r="BH13" i="276"/>
  <c r="BH116"/>
  <c r="BH222"/>
  <c r="BH371"/>
  <c r="BH199"/>
  <c r="BH82"/>
  <c r="BH372"/>
  <c r="O16" i="228"/>
  <c r="V18" i="260"/>
  <c r="BH201" i="277"/>
  <c r="I39" i="231"/>
  <c r="BD342" i="277"/>
  <c r="BD355" i="280"/>
  <c r="AY18" i="279"/>
  <c r="AY18" i="276"/>
  <c r="I44" i="231"/>
  <c r="BD278" i="276"/>
  <c r="BD350" i="280"/>
  <c r="I59" i="231"/>
  <c r="G52"/>
  <c r="BP13" i="256"/>
  <c r="U43" i="259"/>
  <c r="V18"/>
  <c r="BH148" i="279"/>
  <c r="W13" i="258"/>
  <c r="AY61" i="279"/>
  <c r="AY68" i="280"/>
  <c r="W15" i="259"/>
  <c r="BE121" i="279"/>
  <c r="BE368" i="276"/>
  <c r="BG119"/>
  <c r="BG366" i="279"/>
  <c r="BG178" i="277"/>
  <c r="BE123" i="276"/>
  <c r="BE370" i="279"/>
  <c r="BE182" i="277"/>
  <c r="BI187" i="276"/>
  <c r="BI304"/>
  <c r="BI187" i="279"/>
  <c r="AY15"/>
  <c r="AY15" i="276"/>
  <c r="AX39" i="256"/>
  <c r="BB17" i="279"/>
  <c r="AE27" i="258"/>
  <c r="I64" i="231"/>
  <c r="I53"/>
  <c r="BF144" i="279"/>
  <c r="BF203" i="277"/>
  <c r="K86" i="244"/>
  <c r="X48" i="256"/>
  <c r="V13" i="248"/>
  <c r="BB37" i="276"/>
  <c r="BH44" i="279"/>
  <c r="BH48"/>
  <c r="BH12"/>
  <c r="BH111"/>
  <c r="BH127"/>
  <c r="BH87"/>
  <c r="BH208"/>
  <c r="BH360"/>
  <c r="V48" i="257"/>
  <c r="AY88" i="276"/>
  <c r="AY88" i="279"/>
  <c r="BH42" i="276"/>
  <c r="BH208"/>
  <c r="BH204"/>
  <c r="BH207"/>
  <c r="P14" i="228"/>
  <c r="AY86" i="276"/>
  <c r="BE85" i="279"/>
  <c r="BE144" i="277"/>
  <c r="BF145" i="276"/>
  <c r="I51" i="231"/>
  <c r="BC37" i="279"/>
  <c r="BC65" i="277"/>
  <c r="N194" i="187"/>
  <c r="BQ13" i="256"/>
  <c r="BC43" i="259"/>
  <c r="BF143" i="276"/>
  <c r="BH147" i="279"/>
  <c r="BC11" i="276"/>
  <c r="BC11" i="277"/>
  <c r="BA121"/>
  <c r="BA62" i="279"/>
  <c r="BD226" i="276"/>
  <c r="BD247" i="280"/>
  <c r="BD285" i="277"/>
  <c r="BA18" i="276"/>
  <c r="BA18" i="277"/>
  <c r="O15" i="228"/>
  <c r="BI201" i="277"/>
  <c r="Q19" i="248"/>
  <c r="BB18" i="279"/>
  <c r="BH26"/>
  <c r="BH85"/>
  <c r="BH230"/>
  <c r="BH364"/>
  <c r="BH205"/>
  <c r="BI47" i="258"/>
  <c r="BH235" i="276"/>
  <c r="BH124"/>
  <c r="BH39"/>
  <c r="BH230"/>
  <c r="BH206"/>
  <c r="J22" i="231"/>
  <c r="N21" i="248"/>
  <c r="U40" i="261"/>
  <c r="BA84" i="276"/>
  <c r="O194" i="187"/>
  <c r="G64" i="231"/>
  <c r="O98" i="188"/>
  <c r="X18" i="259"/>
  <c r="BH146" i="279"/>
  <c r="BJ48" i="248"/>
  <c r="BB84" i="279"/>
  <c r="BB143" i="277"/>
  <c r="AY37" i="279"/>
  <c r="BA65" i="277"/>
  <c r="BA37" i="276"/>
  <c r="AG29" i="258"/>
  <c r="BB16" i="279"/>
  <c r="BD28"/>
  <c r="BD56" i="277"/>
  <c r="BC308" i="279"/>
  <c r="BC367" i="277"/>
  <c r="BC239"/>
  <c r="U46" i="257"/>
  <c r="K57" i="231"/>
  <c r="Q14" i="228"/>
  <c r="BH13" i="279"/>
  <c r="BH124"/>
  <c r="BH81"/>
  <c r="BH372"/>
  <c r="AY42" i="259"/>
  <c r="H44" i="231"/>
  <c r="BC278" i="279"/>
  <c r="T22" i="248"/>
  <c r="L17" i="231"/>
  <c r="BH373" i="276"/>
  <c r="BH117"/>
  <c r="BH44"/>
  <c r="BH360"/>
  <c r="BH81"/>
  <c r="J20" i="231"/>
  <c r="I97" i="234"/>
  <c r="AJ21" i="248"/>
  <c r="AX40" i="261"/>
  <c r="BI302" i="279"/>
  <c r="BI185" i="276"/>
  <c r="BI361" i="277"/>
  <c r="BD336"/>
  <c r="BD277" i="279"/>
  <c r="T21" i="258"/>
  <c r="BC18" i="276"/>
  <c r="H54" i="231"/>
  <c r="O22" i="258"/>
  <c r="BR19" i="256"/>
  <c r="BH141" i="279"/>
  <c r="BH142"/>
  <c r="BD32"/>
  <c r="BD60" i="277"/>
  <c r="BE29" i="248"/>
  <c r="BC306" i="279"/>
  <c r="BC306" i="276"/>
  <c r="BC365" i="277"/>
  <c r="AJ39" i="256"/>
  <c r="BB19" i="276"/>
  <c r="K37" i="231"/>
  <c r="BF273" i="276"/>
  <c r="BF345" i="280"/>
  <c r="BH185" i="276"/>
  <c r="BH361" i="277"/>
  <c r="BH185" i="279"/>
  <c r="BP21" i="258"/>
  <c r="BQ15" i="248"/>
  <c r="X19" i="258"/>
  <c r="BD85" i="279"/>
  <c r="BA186"/>
  <c r="BA362" i="277"/>
  <c r="BA186" i="276"/>
  <c r="BH222" i="279"/>
  <c r="BH82"/>
  <c r="BH373"/>
  <c r="BH207"/>
  <c r="BH202"/>
  <c r="U42" i="259"/>
  <c r="BF275" i="276"/>
  <c r="BF275" i="279"/>
  <c r="T18" i="260"/>
  <c r="M10"/>
  <c r="BH12" i="276"/>
  <c r="BH83"/>
  <c r="BH29"/>
  <c r="BH30"/>
  <c r="BH36"/>
  <c r="BH111"/>
  <c r="BR13" i="248"/>
  <c r="K65" i="231"/>
  <c r="BH142" i="276"/>
  <c r="BJ46" i="256"/>
  <c r="BD283" i="276"/>
  <c r="BD283" i="279"/>
  <c r="T13" i="258"/>
  <c r="AY18" i="277"/>
  <c r="BP22" i="248"/>
  <c r="BD337" i="277"/>
  <c r="BD278" i="279"/>
  <c r="T22" i="258"/>
  <c r="X18"/>
  <c r="W19" i="256"/>
  <c r="J24" i="231"/>
  <c r="J65"/>
  <c r="BH137" i="279"/>
  <c r="I50" i="231"/>
  <c r="AY120" i="277"/>
  <c r="AY61" i="276"/>
  <c r="J48" i="231"/>
  <c r="BE121" i="276"/>
  <c r="BE368" i="279"/>
  <c r="BE180" i="277"/>
  <c r="BG120" i="276"/>
  <c r="BG120" i="279"/>
  <c r="AY361" i="276"/>
  <c r="AY112"/>
  <c r="AY112" i="279"/>
  <c r="BG366" i="276"/>
  <c r="BG119" i="279"/>
  <c r="BE369"/>
  <c r="BE122" i="276"/>
  <c r="BE181" i="277"/>
  <c r="BE123" i="279"/>
  <c r="BE370" i="276"/>
  <c r="BG179" i="277"/>
  <c r="BG367" i="279"/>
  <c r="BG367" i="276"/>
  <c r="AY361" i="279"/>
  <c r="AY171" i="277"/>
  <c r="BE369" i="276"/>
  <c r="BE122" i="279"/>
  <c r="BM17" i="248" l="1"/>
  <c r="BM33" i="262"/>
  <c r="BM21" i="256"/>
  <c r="BM40" i="260"/>
  <c r="BO40" s="1"/>
  <c r="BM41" i="258"/>
  <c r="BO41" s="1"/>
  <c r="BM33" i="259"/>
  <c r="BM33" i="256"/>
  <c r="R20"/>
  <c r="AL17" i="258"/>
  <c r="BM33" i="257"/>
  <c r="X23"/>
  <c r="X63" s="1"/>
  <c r="BM33" i="255"/>
  <c r="M434" i="271"/>
  <c r="K479"/>
  <c r="BM33" i="258"/>
  <c r="BM33" i="248"/>
  <c r="I109" i="244"/>
  <c r="BE130" i="280"/>
  <c r="BE129"/>
  <c r="BG127"/>
  <c r="BE185" i="277"/>
  <c r="BE126" i="276"/>
  <c r="BI318" i="279"/>
  <c r="BI195" i="280"/>
  <c r="BI377" i="277"/>
  <c r="BI318" i="276"/>
  <c r="BM33" i="263"/>
  <c r="AL31" i="255"/>
  <c r="BM33" i="260"/>
  <c r="DI17" i="256"/>
  <c r="BM31" i="257"/>
  <c r="BM37" i="263"/>
  <c r="BM33" i="261"/>
  <c r="BM43" i="258"/>
  <c r="BO43" s="1"/>
  <c r="BM29" i="256"/>
  <c r="BG126" i="280"/>
  <c r="AY119"/>
  <c r="BE128"/>
  <c r="BE126" i="279"/>
  <c r="W17" i="259"/>
  <c r="AL17" s="1"/>
  <c r="AL15"/>
  <c r="AI39" i="231"/>
  <c r="AT39" s="1"/>
  <c r="W14" i="258"/>
  <c r="BH155" i="280"/>
  <c r="BH144"/>
  <c r="V20" i="259"/>
  <c r="AL43"/>
  <c r="X10" i="231"/>
  <c r="AT10" s="1"/>
  <c r="BP14" i="256"/>
  <c r="DI13"/>
  <c r="W20"/>
  <c r="AL20" s="1"/>
  <c r="AL19"/>
  <c r="AF43" i="231"/>
  <c r="AQ43" s="1"/>
  <c r="BD364" i="280"/>
  <c r="BD292" i="279"/>
  <c r="BD292" i="276"/>
  <c r="BD351" i="277"/>
  <c r="DI22" i="248"/>
  <c r="AY20" i="276"/>
  <c r="AY20" i="277"/>
  <c r="AY20" i="279"/>
  <c r="AY20" i="280" s="1"/>
  <c r="AY18"/>
  <c r="T14" i="258"/>
  <c r="BD360" i="280"/>
  <c r="BD288" i="279"/>
  <c r="BD347" i="277"/>
  <c r="BD288" i="276"/>
  <c r="V20" i="260"/>
  <c r="BR14" i="248"/>
  <c r="BH256" i="276"/>
  <c r="BH252"/>
  <c r="BH251"/>
  <c r="BH242"/>
  <c r="R10" i="260"/>
  <c r="T20"/>
  <c r="BF361" i="280"/>
  <c r="BF289" i="279"/>
  <c r="BF348" i="277"/>
  <c r="BF289" i="276"/>
  <c r="AL42" i="259"/>
  <c r="X21" i="231"/>
  <c r="BH88" i="280"/>
  <c r="BH87"/>
  <c r="BH37"/>
  <c r="BH323" s="1"/>
  <c r="BH242" i="279"/>
  <c r="BA317"/>
  <c r="BA317" i="276"/>
  <c r="BA376" i="277"/>
  <c r="BA194" i="280"/>
  <c r="AY166" s="1"/>
  <c r="BC166" s="1"/>
  <c r="BD90"/>
  <c r="X20" i="258"/>
  <c r="BQ17" i="248"/>
  <c r="R11" i="257"/>
  <c r="H12"/>
  <c r="DI21" i="258"/>
  <c r="BH316" i="279"/>
  <c r="BH193" i="280"/>
  <c r="BB165" s="1"/>
  <c r="BD165" s="1"/>
  <c r="BH316" i="276"/>
  <c r="BH375" i="277"/>
  <c r="T17" i="260"/>
  <c r="BF359" i="280"/>
  <c r="BF287" i="279"/>
  <c r="BF287" i="276"/>
  <c r="BF346" i="277"/>
  <c r="BB19" i="280"/>
  <c r="AJ44" i="256"/>
  <c r="AL39"/>
  <c r="AF34" i="231"/>
  <c r="AQ34" s="1"/>
  <c r="U7"/>
  <c r="BC379" i="277"/>
  <c r="BC320" i="276"/>
  <c r="BC320" i="279"/>
  <c r="BC197" i="280"/>
  <c r="BE31" i="248"/>
  <c r="BG29"/>
  <c r="V23" i="231"/>
  <c r="AR23" s="1"/>
  <c r="AG22"/>
  <c r="AR22" s="1"/>
  <c r="BD313" i="277"/>
  <c r="BD254" i="276"/>
  <c r="BD251" i="279"/>
  <c r="BD40" i="280"/>
  <c r="BD326" s="1"/>
  <c r="BH142"/>
  <c r="BH149"/>
  <c r="BH156"/>
  <c r="BH148"/>
  <c r="P20" i="258"/>
  <c r="R18"/>
  <c r="BR20" i="256"/>
  <c r="BR23" s="1"/>
  <c r="CZ31" i="258"/>
  <c r="DI31" s="1"/>
  <c r="DI27"/>
  <c r="R22"/>
  <c r="O23"/>
  <c r="O71" s="1"/>
  <c r="BC18" i="280"/>
  <c r="BD363"/>
  <c r="BD291" i="279"/>
  <c r="BD291" i="276"/>
  <c r="BD350" i="277"/>
  <c r="BI375"/>
  <c r="BI316" i="276"/>
  <c r="BI316" i="279"/>
  <c r="BI193" i="280"/>
  <c r="BG40" i="261"/>
  <c r="AK8" i="231"/>
  <c r="AJ23" i="248"/>
  <c r="AL21"/>
  <c r="V34" i="231"/>
  <c r="AG44"/>
  <c r="AR44" s="1"/>
  <c r="I107" i="234"/>
  <c r="I108"/>
  <c r="AY44" i="259"/>
  <c r="AY52" s="1"/>
  <c r="AY71" s="1"/>
  <c r="BG41"/>
  <c r="AI20" i="231"/>
  <c r="X9"/>
  <c r="AT9" s="1"/>
  <c r="J17" i="259"/>
  <c r="R15"/>
  <c r="BH380" i="276"/>
  <c r="BH118"/>
  <c r="BH248"/>
  <c r="AL22" i="248"/>
  <c r="BC364" i="280"/>
  <c r="BC292" i="279"/>
  <c r="BC292" i="276"/>
  <c r="AG45" i="231"/>
  <c r="AR45" s="1"/>
  <c r="BC351" i="277"/>
  <c r="BG42" i="259"/>
  <c r="AI21" i="231"/>
  <c r="BH86" i="280"/>
  <c r="BH123"/>
  <c r="BH131"/>
  <c r="BH47"/>
  <c r="BH329" s="1"/>
  <c r="BH13"/>
  <c r="BP17" i="248"/>
  <c r="DI15"/>
  <c r="X17" i="260"/>
  <c r="H12" i="255"/>
  <c r="R11"/>
  <c r="BC381" i="277"/>
  <c r="BC322" i="276"/>
  <c r="BC322" i="279"/>
  <c r="BC188" i="280"/>
  <c r="BD309" i="277"/>
  <c r="BD250" i="276"/>
  <c r="BD250" i="279"/>
  <c r="BD36" i="280"/>
  <c r="BD322" s="1"/>
  <c r="BB16"/>
  <c r="AG31" i="258"/>
  <c r="AG52" s="1"/>
  <c r="AL29" i="248"/>
  <c r="BM29" s="1"/>
  <c r="AE31"/>
  <c r="AE52" s="1"/>
  <c r="BA45" i="280"/>
  <c r="AY45"/>
  <c r="BB89"/>
  <c r="BR14" i="258"/>
  <c r="BH147" i="280"/>
  <c r="BH153"/>
  <c r="BH146"/>
  <c r="O158" i="188"/>
  <c r="O132"/>
  <c r="V14" i="256"/>
  <c r="BQ20"/>
  <c r="O243" i="187"/>
  <c r="O245" s="1"/>
  <c r="BA89" i="280"/>
  <c r="AL40" i="261"/>
  <c r="BM40" s="1"/>
  <c r="BO40" s="1"/>
  <c r="Z8" i="231"/>
  <c r="R21" i="248"/>
  <c r="N23"/>
  <c r="N71" s="1"/>
  <c r="AL41" i="259"/>
  <c r="U44"/>
  <c r="X20" i="231"/>
  <c r="BH240" i="276"/>
  <c r="BH253"/>
  <c r="BH383"/>
  <c r="BK47" i="258"/>
  <c r="R22" i="248"/>
  <c r="O23"/>
  <c r="O71" s="1"/>
  <c r="BH44" i="280"/>
  <c r="BH240" i="279"/>
  <c r="BH90" i="280"/>
  <c r="BH39"/>
  <c r="BH325" s="1"/>
  <c r="BH248" i="279"/>
  <c r="BH34" i="280"/>
  <c r="BB20" i="277"/>
  <c r="BB20" i="279"/>
  <c r="BB20" i="280" s="1"/>
  <c r="BB18"/>
  <c r="BB20" i="276"/>
  <c r="Q20" i="248"/>
  <c r="R19"/>
  <c r="BR17"/>
  <c r="O17" i="228"/>
  <c r="BA20" i="277"/>
  <c r="BA20" i="279"/>
  <c r="BA20" i="280" s="1"/>
  <c r="BA18"/>
  <c r="BA20" i="276"/>
  <c r="W31" i="258"/>
  <c r="AL27"/>
  <c r="BM27" s="1"/>
  <c r="BD300" i="277"/>
  <c r="W22" i="231"/>
  <c r="BD262" i="280"/>
  <c r="BD241" i="279"/>
  <c r="BD241" i="276"/>
  <c r="BF31" i="258"/>
  <c r="BF52" s="1"/>
  <c r="BF71" s="1"/>
  <c r="BC14" i="277"/>
  <c r="BA34" s="1"/>
  <c r="BC14" i="279"/>
  <c r="BC14" i="280" s="1"/>
  <c r="BC11"/>
  <c r="BC14" i="276"/>
  <c r="BH143" i="280"/>
  <c r="BH154"/>
  <c r="BF150"/>
  <c r="BC44" i="259"/>
  <c r="BC52" s="1"/>
  <c r="BC71" s="1"/>
  <c r="BG43"/>
  <c r="N158" i="188"/>
  <c r="N132"/>
  <c r="BQ14" i="256"/>
  <c r="BP20"/>
  <c r="DI19"/>
  <c r="N243" i="187"/>
  <c r="N245" s="1"/>
  <c r="BC45" i="280"/>
  <c r="AL18" i="258"/>
  <c r="AH42" i="231"/>
  <c r="AS42" s="1"/>
  <c r="BF152" i="280"/>
  <c r="BE90"/>
  <c r="AY91"/>
  <c r="BH379" i="276"/>
  <c r="AL47" i="258"/>
  <c r="AY93" i="280"/>
  <c r="AL48" i="257"/>
  <c r="BH92" i="280"/>
  <c r="BH132"/>
  <c r="BH134"/>
  <c r="BH124"/>
  <c r="BH118" i="279"/>
  <c r="BH125" i="280" s="1"/>
  <c r="BH118"/>
  <c r="BH38"/>
  <c r="BH324" s="1"/>
  <c r="BH12"/>
  <c r="BH50"/>
  <c r="BH330" s="1"/>
  <c r="BH56"/>
  <c r="BH332" s="1"/>
  <c r="BH52"/>
  <c r="BB45"/>
  <c r="V14" i="248"/>
  <c r="V23" s="1"/>
  <c r="X51" i="256"/>
  <c r="X52" s="1"/>
  <c r="K107" i="244"/>
  <c r="K103"/>
  <c r="BF151" i="280"/>
  <c r="V14" i="258"/>
  <c r="V23" s="1"/>
  <c r="J105" i="244"/>
  <c r="J108"/>
  <c r="BB17" i="280"/>
  <c r="AX44" i="256"/>
  <c r="AX52" s="1"/>
  <c r="AX71" s="1"/>
  <c r="BG39"/>
  <c r="BG44" s="1"/>
  <c r="AF7" i="231"/>
  <c r="AQ7" s="1"/>
  <c r="U6"/>
  <c r="AQ6" s="1"/>
  <c r="AY15" i="280"/>
  <c r="BE106" i="277"/>
  <c r="L580" i="270"/>
  <c r="L581"/>
  <c r="L579"/>
  <c r="L578"/>
  <c r="L633"/>
  <c r="O109" i="233"/>
  <c r="O110"/>
  <c r="L618" i="270"/>
  <c r="L616"/>
  <c r="L619"/>
  <c r="L617"/>
  <c r="W64" i="257"/>
  <c r="W63"/>
  <c r="G71" i="261"/>
  <c r="N533" i="270"/>
  <c r="L102" i="237"/>
  <c r="L103"/>
  <c r="K133" i="235"/>
  <c r="G674" i="270"/>
  <c r="M130" i="133"/>
  <c r="L503" i="270"/>
  <c r="L504"/>
  <c r="L502"/>
  <c r="L501"/>
  <c r="M146" i="133"/>
  <c r="L150"/>
  <c r="L208"/>
  <c r="L256" s="1"/>
  <c r="L286"/>
  <c r="L561" i="270"/>
  <c r="L562"/>
  <c r="L560"/>
  <c r="L559"/>
  <c r="BD111" i="277"/>
  <c r="I199" i="191"/>
  <c r="O76"/>
  <c r="O75"/>
  <c r="O81"/>
  <c r="O152" i="184"/>
  <c r="O151"/>
  <c r="O153" s="1"/>
  <c r="O160" s="1"/>
  <c r="L131" i="235"/>
  <c r="L132"/>
  <c r="BM37" i="260"/>
  <c r="O495" i="270"/>
  <c r="O496" s="1"/>
  <c r="M465" i="159"/>
  <c r="M531" s="1"/>
  <c r="M497"/>
  <c r="O35" i="237"/>
  <c r="O572" i="270"/>
  <c r="O573" s="1"/>
  <c r="H132" i="157"/>
  <c r="K511" i="271"/>
  <c r="K512"/>
  <c r="K513"/>
  <c r="L90" i="197"/>
  <c r="K105"/>
  <c r="K106"/>
  <c r="K216" i="184"/>
  <c r="K183"/>
  <c r="K238" s="1"/>
  <c r="K247" s="1"/>
  <c r="K182"/>
  <c r="K237" s="1"/>
  <c r="K246" s="1"/>
  <c r="K181"/>
  <c r="K236" s="1"/>
  <c r="K245" s="1"/>
  <c r="L272" i="187"/>
  <c r="L273" s="1"/>
  <c r="N106" i="234"/>
  <c r="K92" i="236"/>
  <c r="BE71" i="257"/>
  <c r="BG52"/>
  <c r="O591" i="270"/>
  <c r="O592"/>
  <c r="M512" i="159"/>
  <c r="M410"/>
  <c r="M31" s="1"/>
  <c r="M19" s="1"/>
  <c r="J454" i="271"/>
  <c r="J505" s="1"/>
  <c r="J452"/>
  <c r="J503" s="1"/>
  <c r="J453"/>
  <c r="J504" s="1"/>
  <c r="M128" i="200"/>
  <c r="L161"/>
  <c r="F177" i="188"/>
  <c r="F178" s="1"/>
  <c r="L90" i="236"/>
  <c r="L91"/>
  <c r="L17" i="48"/>
  <c r="K31"/>
  <c r="F277" i="133"/>
  <c r="F266"/>
  <c r="F314" s="1"/>
  <c r="F264"/>
  <c r="F312" s="1"/>
  <c r="F265"/>
  <c r="F313" s="1"/>
  <c r="BM37" i="261"/>
  <c r="X64" i="255"/>
  <c r="X63"/>
  <c r="O236" i="159"/>
  <c r="O235"/>
  <c r="L433" i="271"/>
  <c r="L463"/>
  <c r="L474"/>
  <c r="L428"/>
  <c r="L477"/>
  <c r="L231" i="184"/>
  <c r="G662" i="270"/>
  <c r="G658"/>
  <c r="K529" i="159"/>
  <c r="N107" i="235"/>
  <c r="N115" s="1"/>
  <c r="N121"/>
  <c r="N141" s="1"/>
  <c r="K544" i="270"/>
  <c r="K546"/>
  <c r="K545"/>
  <c r="BE52" i="255"/>
  <c r="BE71" s="1"/>
  <c r="BG31"/>
  <c r="X64" i="257"/>
  <c r="AF71" i="263"/>
  <c r="AF63"/>
  <c r="AE52" i="256"/>
  <c r="AL31"/>
  <c r="BM22"/>
  <c r="H109" i="234"/>
  <c r="BM29" i="255"/>
  <c r="BD133" i="280"/>
  <c r="G71" i="260"/>
  <c r="O533" i="270"/>
  <c r="O534" s="1"/>
  <c r="I203" i="200"/>
  <c r="I191"/>
  <c r="M468" i="271"/>
  <c r="M446"/>
  <c r="J534" i="159"/>
  <c r="BD109" i="277"/>
  <c r="J399" i="154"/>
  <c r="G276" i="133"/>
  <c r="G257"/>
  <c r="AP71" i="256"/>
  <c r="N76" i="191"/>
  <c r="N75"/>
  <c r="N81"/>
  <c r="N152" i="184"/>
  <c r="N151"/>
  <c r="N153" s="1"/>
  <c r="N160" s="1"/>
  <c r="M78" i="236"/>
  <c r="M80" s="1"/>
  <c r="M81" s="1"/>
  <c r="M100"/>
  <c r="K584" i="270"/>
  <c r="K583"/>
  <c r="K585"/>
  <c r="N79" i="237"/>
  <c r="N94"/>
  <c r="N112" s="1"/>
  <c r="M535" i="270"/>
  <c r="K161" i="191"/>
  <c r="M111" i="233"/>
  <c r="K40" i="157"/>
  <c r="L30"/>
  <c r="M463" i="159"/>
  <c r="M462"/>
  <c r="M530" s="1"/>
  <c r="M496"/>
  <c r="M357"/>
  <c r="M38" s="1"/>
  <c r="M612" i="270"/>
  <c r="K520" i="159"/>
  <c r="K180" i="200"/>
  <c r="K186" s="1"/>
  <c r="N110" i="233"/>
  <c r="N109"/>
  <c r="I146" i="200"/>
  <c r="I148" s="1"/>
  <c r="I201" s="1"/>
  <c r="N572" i="270"/>
  <c r="L17" i="157"/>
  <c r="L21" s="1"/>
  <c r="L81" s="1"/>
  <c r="M19"/>
  <c r="M18"/>
  <c r="M20"/>
  <c r="K438" i="271"/>
  <c r="M148" i="133"/>
  <c r="L288"/>
  <c r="K469" i="271"/>
  <c r="J253" i="133"/>
  <c r="J291"/>
  <c r="M117" i="235"/>
  <c r="M119" s="1"/>
  <c r="M142"/>
  <c r="K41" i="157"/>
  <c r="L31"/>
  <c r="M171" i="184"/>
  <c r="L174"/>
  <c r="L175" s="1"/>
  <c r="L188"/>
  <c r="BC111" i="277"/>
  <c r="AP71" i="261"/>
  <c r="G71" i="255"/>
  <c r="N591" i="270"/>
  <c r="N592" s="1"/>
  <c r="M366" i="159"/>
  <c r="M29" s="1"/>
  <c r="M17" s="1"/>
  <c r="M478" i="271"/>
  <c r="N127" i="133"/>
  <c r="N129"/>
  <c r="N126"/>
  <c r="N128"/>
  <c r="J182" i="200"/>
  <c r="J184" s="1"/>
  <c r="J113" i="157"/>
  <c r="J127"/>
  <c r="L467" i="271"/>
  <c r="BF106" i="277" s="1"/>
  <c r="L445" i="271"/>
  <c r="L438"/>
  <c r="I506"/>
  <c r="L115" i="188"/>
  <c r="L122" s="1"/>
  <c r="N59"/>
  <c r="G177"/>
  <c r="G178" s="1"/>
  <c r="L17" i="159"/>
  <c r="N387"/>
  <c r="N365"/>
  <c r="N383"/>
  <c r="N361"/>
  <c r="N362"/>
  <c r="N360"/>
  <c r="N408"/>
  <c r="N409"/>
  <c r="N404"/>
  <c r="N405"/>
  <c r="N386"/>
  <c r="N406"/>
  <c r="N385"/>
  <c r="N363"/>
  <c r="N382"/>
  <c r="N407"/>
  <c r="N384"/>
  <c r="N403"/>
  <c r="N410" s="1"/>
  <c r="N31" s="1"/>
  <c r="N381"/>
  <c r="N364"/>
  <c r="N339"/>
  <c r="N446" s="1"/>
  <c r="N511" s="1"/>
  <c r="N344"/>
  <c r="N451" s="1"/>
  <c r="N343"/>
  <c r="N450" s="1"/>
  <c r="N359"/>
  <c r="N342"/>
  <c r="N449" s="1"/>
  <c r="N512" s="1"/>
  <c r="N340"/>
  <c r="N447" s="1"/>
  <c r="N341"/>
  <c r="N448" s="1"/>
  <c r="N338"/>
  <c r="J164" i="200"/>
  <c r="J166" s="1"/>
  <c r="G14" i="35"/>
  <c r="F15"/>
  <c r="G15" s="1"/>
  <c r="BH411" i="277"/>
  <c r="J480" i="270"/>
  <c r="I640"/>
  <c r="I641" s="1"/>
  <c r="I481"/>
  <c r="K532" i="159"/>
  <c r="K468"/>
  <c r="O48" i="235"/>
  <c r="O52" s="1"/>
  <c r="O111" s="1"/>
  <c r="O116" s="1"/>
  <c r="AX71" i="255"/>
  <c r="AF71" i="259"/>
  <c r="AF63"/>
  <c r="G23" i="263"/>
  <c r="U58" i="258"/>
  <c r="W52" i="248"/>
  <c r="AL31"/>
  <c r="W23" i="255"/>
  <c r="AL20"/>
  <c r="BM20" s="1"/>
  <c r="AL20" i="257"/>
  <c r="BM20" s="1"/>
  <c r="J109" i="244"/>
  <c r="DI20" i="257"/>
  <c r="DI20" i="255"/>
  <c r="M270" i="187"/>
  <c r="M247"/>
  <c r="M255" s="1"/>
  <c r="G71" i="258"/>
  <c r="G71" i="256"/>
  <c r="O609" i="270"/>
  <c r="O399"/>
  <c r="J144" i="200"/>
  <c r="J150" s="1"/>
  <c r="O41" i="235"/>
  <c r="O50" s="1"/>
  <c r="L116" i="191"/>
  <c r="L120"/>
  <c r="L123" s="1"/>
  <c r="L127"/>
  <c r="L131" s="1"/>
  <c r="H202" i="200"/>
  <c r="H155"/>
  <c r="H156" s="1"/>
  <c r="L117" i="188"/>
  <c r="N319" i="271"/>
  <c r="N352" s="1"/>
  <c r="N409" s="1"/>
  <c r="N320"/>
  <c r="N353" s="1"/>
  <c r="N410" s="1"/>
  <c r="N322"/>
  <c r="N355" s="1"/>
  <c r="N412" s="1"/>
  <c r="N435" s="1"/>
  <c r="N321"/>
  <c r="N354" s="1"/>
  <c r="N411" s="1"/>
  <c r="N356"/>
  <c r="N413" s="1"/>
  <c r="N476" s="1"/>
  <c r="N37" i="236"/>
  <c r="N70" s="1"/>
  <c r="O33"/>
  <c r="O37" s="1"/>
  <c r="O70" s="1"/>
  <c r="O79" i="237"/>
  <c r="O94"/>
  <c r="O112" s="1"/>
  <c r="J214" i="184"/>
  <c r="J203"/>
  <c r="J217" s="1"/>
  <c r="BD110" i="277" s="1"/>
  <c r="BM37" i="256"/>
  <c r="K162" i="191"/>
  <c r="K186" s="1"/>
  <c r="M129" i="200"/>
  <c r="L179"/>
  <c r="I218" i="184"/>
  <c r="K18" i="48"/>
  <c r="J32"/>
  <c r="K104" i="237"/>
  <c r="L370" i="154"/>
  <c r="L339"/>
  <c r="N63" i="157"/>
  <c r="M65"/>
  <c r="K454" i="271"/>
  <c r="K505" s="1"/>
  <c r="K452"/>
  <c r="K503" s="1"/>
  <c r="K453"/>
  <c r="K504" s="1"/>
  <c r="L32" i="159"/>
  <c r="L16"/>
  <c r="L20" s="1"/>
  <c r="O297" i="133"/>
  <c r="O259"/>
  <c r="O298" s="1"/>
  <c r="L30" i="48"/>
  <c r="M16"/>
  <c r="L599" i="270"/>
  <c r="L597"/>
  <c r="L600"/>
  <c r="L598"/>
  <c r="AP71" i="263"/>
  <c r="O106" i="234"/>
  <c r="F156" i="200"/>
  <c r="F218" s="1"/>
  <c r="F215"/>
  <c r="K621" i="270"/>
  <c r="K623"/>
  <c r="K622"/>
  <c r="K644"/>
  <c r="G71" i="248"/>
  <c r="G71" i="259"/>
  <c r="G71" i="257"/>
  <c r="O552" i="270"/>
  <c r="O398"/>
  <c r="M445" i="159"/>
  <c r="M345"/>
  <c r="M28" s="1"/>
  <c r="N314" i="271"/>
  <c r="N347" s="1"/>
  <c r="N315"/>
  <c r="N348" s="1"/>
  <c r="N405" s="1"/>
  <c r="N478" s="1"/>
  <c r="N349"/>
  <c r="N406" s="1"/>
  <c r="J204" i="200"/>
  <c r="J187"/>
  <c r="J190" s="1"/>
  <c r="M137" i="191"/>
  <c r="M83"/>
  <c r="K603" i="270"/>
  <c r="K604"/>
  <c r="K602"/>
  <c r="H192" i="200"/>
  <c r="H218" s="1"/>
  <c r="H215"/>
  <c r="K371" i="154"/>
  <c r="K369"/>
  <c r="K360"/>
  <c r="K396" s="1"/>
  <c r="M574" i="270"/>
  <c r="M555"/>
  <c r="N400" i="159"/>
  <c r="N396"/>
  <c r="N372"/>
  <c r="N378"/>
  <c r="N356"/>
  <c r="N374"/>
  <c r="N352"/>
  <c r="N350"/>
  <c r="N399"/>
  <c r="N398"/>
  <c r="N375"/>
  <c r="N395"/>
  <c r="N377"/>
  <c r="N394"/>
  <c r="N401" s="1"/>
  <c r="N40" s="1"/>
  <c r="N373"/>
  <c r="N397"/>
  <c r="N376"/>
  <c r="N354"/>
  <c r="N351"/>
  <c r="N329"/>
  <c r="N335"/>
  <c r="N442" s="1"/>
  <c r="N467" s="1"/>
  <c r="N353"/>
  <c r="N330"/>
  <c r="N437" s="1"/>
  <c r="N332"/>
  <c r="N439" s="1"/>
  <c r="N464" s="1"/>
  <c r="N331"/>
  <c r="N438" s="1"/>
  <c r="N355"/>
  <c r="N334"/>
  <c r="N441" s="1"/>
  <c r="N466" s="1"/>
  <c r="N333"/>
  <c r="N440" s="1"/>
  <c r="O129" i="133"/>
  <c r="O126"/>
  <c r="O128"/>
  <c r="O127"/>
  <c r="BD105" i="277"/>
  <c r="J377" i="154"/>
  <c r="J169" i="200"/>
  <c r="J172" s="1"/>
  <c r="J173" s="1"/>
  <c r="J174" s="1"/>
  <c r="K104" i="157"/>
  <c r="J105"/>
  <c r="J106" s="1"/>
  <c r="G202" i="200"/>
  <c r="G155"/>
  <c r="M466" i="271"/>
  <c r="M444"/>
  <c r="K564" i="270"/>
  <c r="K565"/>
  <c r="K566"/>
  <c r="O370" i="154"/>
  <c r="O339"/>
  <c r="BM39" i="255"/>
  <c r="BO39" s="1"/>
  <c r="BG31" i="256"/>
  <c r="BE52"/>
  <c r="BE71" s="1"/>
  <c r="BM15" i="258"/>
  <c r="G23" i="262"/>
  <c r="L688" i="270"/>
  <c r="M335"/>
  <c r="M334"/>
  <c r="M338" s="1"/>
  <c r="M336"/>
  <c r="M337"/>
  <c r="M497"/>
  <c r="N610"/>
  <c r="N611" s="1"/>
  <c r="K39" i="157"/>
  <c r="L29"/>
  <c r="M149" i="133"/>
  <c r="L289"/>
  <c r="L127" i="200"/>
  <c r="K143"/>
  <c r="K130"/>
  <c r="L461" i="159"/>
  <c r="L533" s="1"/>
  <c r="L443"/>
  <c r="L498"/>
  <c r="L519" s="1"/>
  <c r="J514" i="271"/>
  <c r="K243" i="133"/>
  <c r="K247" s="1"/>
  <c r="K248" s="1"/>
  <c r="K160"/>
  <c r="M628" i="270"/>
  <c r="M631" s="1"/>
  <c r="M632" s="1"/>
  <c r="N392"/>
  <c r="K688"/>
  <c r="L337"/>
  <c r="L336"/>
  <c r="L334"/>
  <c r="L338" s="1"/>
  <c r="L335"/>
  <c r="M432" i="271"/>
  <c r="M475"/>
  <c r="N400" i="270"/>
  <c r="N401" s="1"/>
  <c r="N43" i="236"/>
  <c r="N47" s="1"/>
  <c r="N74" s="1"/>
  <c r="N79" s="1"/>
  <c r="O42" i="237"/>
  <c r="O46" s="1"/>
  <c r="O84" s="1"/>
  <c r="O89" s="1"/>
  <c r="AP71" i="260"/>
  <c r="M592" i="270"/>
  <c r="M593" s="1"/>
  <c r="N495"/>
  <c r="N496" s="1"/>
  <c r="K160" i="191"/>
  <c r="L541" i="270"/>
  <c r="L539"/>
  <c r="L540"/>
  <c r="L542"/>
  <c r="M436" i="159"/>
  <c r="M499" s="1"/>
  <c r="M336"/>
  <c r="M37" s="1"/>
  <c r="M41" s="1"/>
  <c r="K521"/>
  <c r="H255" i="133"/>
  <c r="N44" i="237"/>
  <c r="O44" s="1"/>
  <c r="L521" i="159"/>
  <c r="L506"/>
  <c r="L505"/>
  <c r="L504"/>
  <c r="L520"/>
  <c r="N246" i="154"/>
  <c r="N331" s="1"/>
  <c r="N332" s="1"/>
  <c r="M331"/>
  <c r="M332" s="1"/>
  <c r="L152" i="191"/>
  <c r="L156" s="1"/>
  <c r="L145"/>
  <c r="L148" s="1"/>
  <c r="L160" s="1"/>
  <c r="L141"/>
  <c r="L161" s="1"/>
  <c r="M147" i="133"/>
  <c r="L287"/>
  <c r="L452" i="159"/>
  <c r="L514"/>
  <c r="L513"/>
  <c r="J107" i="197"/>
  <c r="K191" i="184"/>
  <c r="K192" s="1"/>
  <c r="K215" s="1"/>
  <c r="K200"/>
  <c r="K202" s="1"/>
  <c r="F205" i="200"/>
  <c r="F206"/>
  <c r="DI23" i="255"/>
  <c r="N554" i="270"/>
  <c r="N553"/>
  <c r="M388" i="159"/>
  <c r="M30" s="1"/>
  <c r="M18" s="1"/>
  <c r="M404" i="271"/>
  <c r="M371"/>
  <c r="L477" i="270"/>
  <c r="M112" i="191"/>
  <c r="M82"/>
  <c r="I130" i="157"/>
  <c r="I132" s="1"/>
  <c r="I119"/>
  <c r="I142" s="1"/>
  <c r="I121"/>
  <c r="I144" s="1"/>
  <c r="I120"/>
  <c r="I143" s="1"/>
  <c r="K162" i="200"/>
  <c r="K168" s="1"/>
  <c r="K164"/>
  <c r="K166" s="1"/>
  <c r="M167" i="184"/>
  <c r="M230" s="1"/>
  <c r="M166"/>
  <c r="M229" s="1"/>
  <c r="M165"/>
  <c r="M228" s="1"/>
  <c r="K96" i="157"/>
  <c r="K97" s="1"/>
  <c r="K114" s="1"/>
  <c r="K131" s="1"/>
  <c r="K99"/>
  <c r="K100" s="1"/>
  <c r="M88" i="237"/>
  <c r="M90" s="1"/>
  <c r="M91" s="1"/>
  <c r="M113"/>
  <c r="M28" i="157"/>
  <c r="L32"/>
  <c r="L87" s="1"/>
  <c r="L38"/>
  <c r="L42" s="1"/>
  <c r="J185" i="191"/>
  <c r="J165"/>
  <c r="J196" s="1"/>
  <c r="J167"/>
  <c r="J198" s="1"/>
  <c r="I254" i="133"/>
  <c r="I279" s="1"/>
  <c r="K547" i="159"/>
  <c r="O107" i="235"/>
  <c r="O115" s="1"/>
  <c r="O121"/>
  <c r="O141" s="1"/>
  <c r="K507" i="270"/>
  <c r="K506"/>
  <c r="K508"/>
  <c r="K639"/>
  <c r="J661" s="1"/>
  <c r="K637"/>
  <c r="J659" s="1"/>
  <c r="K638"/>
  <c r="J660" s="1"/>
  <c r="AY257" i="279"/>
  <c r="BG320" i="280"/>
  <c r="AF71" i="256"/>
  <c r="AF63"/>
  <c r="AG71" i="248"/>
  <c r="AG63"/>
  <c r="AS20" i="231"/>
  <c r="BM19" i="256"/>
  <c r="BM42" i="258"/>
  <c r="BO42" s="1"/>
  <c r="DI14" i="257"/>
  <c r="BP23"/>
  <c r="AJ52" i="255"/>
  <c r="AJ71" s="1"/>
  <c r="AL44"/>
  <c r="BM44" s="1"/>
  <c r="AU8" i="231"/>
  <c r="J23" i="258"/>
  <c r="J71" s="1"/>
  <c r="R17"/>
  <c r="BM17" s="1"/>
  <c r="V23" i="257"/>
  <c r="AL14"/>
  <c r="BM14" s="1"/>
  <c r="AE71" i="255"/>
  <c r="AE63"/>
  <c r="AY62" i="276"/>
  <c r="AY121" i="277"/>
  <c r="BR15" i="258"/>
  <c r="G11" i="203"/>
  <c r="F11"/>
  <c r="BI140" i="279"/>
  <c r="P15" i="228"/>
  <c r="BI146" i="279"/>
  <c r="BR15" i="259"/>
  <c r="BB363" i="277"/>
  <c r="BB187" i="276"/>
  <c r="BB187" i="279"/>
  <c r="F10" i="203"/>
  <c r="BI47" i="259"/>
  <c r="BQ15" i="258"/>
  <c r="BI136" i="279"/>
  <c r="BI149"/>
  <c r="Q15" i="228"/>
  <c r="BI42" i="276"/>
  <c r="AE29" i="258"/>
  <c r="BI137" i="279"/>
  <c r="Q7" i="228"/>
  <c r="BI116" i="276"/>
  <c r="BI230"/>
  <c r="BI237"/>
  <c r="BI85"/>
  <c r="BI30" i="279"/>
  <c r="BI42"/>
  <c r="BI127"/>
  <c r="BI360"/>
  <c r="BI205"/>
  <c r="BP19" i="248"/>
  <c r="BI31" i="276"/>
  <c r="BI372"/>
  <c r="BI235"/>
  <c r="BI82"/>
  <c r="BI360"/>
  <c r="BI202"/>
  <c r="BI48" i="257"/>
  <c r="BI12" i="279"/>
  <c r="BI237"/>
  <c r="BI83"/>
  <c r="BI36"/>
  <c r="BI204"/>
  <c r="BI199"/>
  <c r="DD48" i="257"/>
  <c r="BI39" i="276"/>
  <c r="BI373"/>
  <c r="BI125"/>
  <c r="BI204"/>
  <c r="BI48" i="279"/>
  <c r="BI29"/>
  <c r="BI116"/>
  <c r="BI208"/>
  <c r="BI202"/>
  <c r="BQ19" i="248"/>
  <c r="BI29" i="276"/>
  <c r="BI12"/>
  <c r="BI206"/>
  <c r="BI364"/>
  <c r="BI205"/>
  <c r="BI26" i="279"/>
  <c r="BI39"/>
  <c r="BI87"/>
  <c r="BI365"/>
  <c r="BI206"/>
  <c r="BJ46" i="248"/>
  <c r="BC191" i="279"/>
  <c r="BC307" i="276"/>
  <c r="BC366" i="277"/>
  <c r="BD189" i="279"/>
  <c r="BD306" i="276"/>
  <c r="BD248" i="277"/>
  <c r="BD308" i="279"/>
  <c r="BD367" i="277"/>
  <c r="BD239"/>
  <c r="BD17" i="276"/>
  <c r="BD17" i="277"/>
  <c r="AJ39" i="248"/>
  <c r="AX39"/>
  <c r="BE28" i="276"/>
  <c r="BC16"/>
  <c r="BC16" i="277"/>
  <c r="BC17" i="276"/>
  <c r="BD37"/>
  <c r="BD65" i="277"/>
  <c r="BE32" i="276"/>
  <c r="AG29" i="259"/>
  <c r="BE29" i="258"/>
  <c r="BB27" i="279"/>
  <c r="N18" i="231"/>
  <c r="N19"/>
  <c r="BG7" i="279"/>
  <c r="BG7" i="277"/>
  <c r="U41" i="260"/>
  <c r="AY41"/>
  <c r="U43"/>
  <c r="V18" i="261"/>
  <c r="J53" i="231"/>
  <c r="K41"/>
  <c r="BF271" i="276"/>
  <c r="BF343" i="280"/>
  <c r="M17" i="231"/>
  <c r="AY38" i="276"/>
  <c r="AY38" i="279"/>
  <c r="AY272" i="276"/>
  <c r="AY331" i="277"/>
  <c r="AY272" i="279"/>
  <c r="K23" i="231"/>
  <c r="K21"/>
  <c r="V46" i="257"/>
  <c r="J15" i="260"/>
  <c r="X13" i="256"/>
  <c r="P18" i="259"/>
  <c r="BA66" i="277"/>
  <c r="BF7" i="276"/>
  <c r="BF7" i="277"/>
  <c r="X48" i="248"/>
  <c r="X15" i="261"/>
  <c r="BB48" i="276"/>
  <c r="BB76" i="277"/>
  <c r="BG144" i="276"/>
  <c r="L40" i="231"/>
  <c r="BG334" i="277"/>
  <c r="BG347" i="280"/>
  <c r="M19" i="231"/>
  <c r="M18"/>
  <c r="U48" i="248"/>
  <c r="BG204" i="277"/>
  <c r="BG48" i="276"/>
  <c r="BG76" i="277"/>
  <c r="BA7"/>
  <c r="Q19" i="258"/>
  <c r="W15" i="260"/>
  <c r="F42" i="231"/>
  <c r="BA344" i="280"/>
  <c r="T11" i="255"/>
  <c r="W18" i="259"/>
  <c r="BE342" i="277"/>
  <c r="BE283" i="279"/>
  <c r="T13" i="259"/>
  <c r="BA27" i="276"/>
  <c r="BA120" i="277"/>
  <c r="BA61" i="276"/>
  <c r="AY247" i="277"/>
  <c r="AY188" i="276"/>
  <c r="AY188" i="279"/>
  <c r="BA305"/>
  <c r="BA247" i="277"/>
  <c r="BA305" i="276"/>
  <c r="L45" i="231"/>
  <c r="BD7" i="279"/>
  <c r="BD7" i="277"/>
  <c r="BB7" i="276"/>
  <c r="V48" i="256"/>
  <c r="J97" i="234"/>
  <c r="AJ21" i="258"/>
  <c r="AJ22" i="259"/>
  <c r="L86" i="244"/>
  <c r="BI136" i="276"/>
  <c r="BI76" i="277"/>
  <c r="U39" i="263"/>
  <c r="BC7" i="276"/>
  <c r="BC7" i="277"/>
  <c r="BE7" i="276"/>
  <c r="AY7" i="279"/>
  <c r="AY7" i="276"/>
  <c r="K59" i="231"/>
  <c r="AE27" i="259"/>
  <c r="BE226" i="276"/>
  <c r="J30" i="231"/>
  <c r="BE285" i="277"/>
  <c r="CZ27" i="259"/>
  <c r="J50" i="231"/>
  <c r="L37"/>
  <c r="BG273" i="276"/>
  <c r="BG345" i="280"/>
  <c r="AG27" i="263"/>
  <c r="BB38" i="276"/>
  <c r="BB66" i="277"/>
  <c r="BF48" i="276"/>
  <c r="J43" i="231"/>
  <c r="BE277" i="276"/>
  <c r="BE349" i="280"/>
  <c r="H52" i="231"/>
  <c r="J60"/>
  <c r="BG143" i="279"/>
  <c r="BG143" i="276"/>
  <c r="W22" i="258"/>
  <c r="BP18" i="259"/>
  <c r="V13"/>
  <c r="BC84" i="276"/>
  <c r="AY303" i="279"/>
  <c r="AY303" i="276"/>
  <c r="AY186"/>
  <c r="BA86"/>
  <c r="BA86" i="279"/>
  <c r="BD11"/>
  <c r="BA88" i="276"/>
  <c r="BA88" i="279"/>
  <c r="BF121" i="276"/>
  <c r="BF368"/>
  <c r="BF180" i="277"/>
  <c r="BF123" i="276"/>
  <c r="BF370" i="279"/>
  <c r="BC113" i="276"/>
  <c r="BC362" i="279"/>
  <c r="BC172" i="277"/>
  <c r="BI366" i="279"/>
  <c r="BI366" i="276"/>
  <c r="AY69" i="280"/>
  <c r="AY62" i="279"/>
  <c r="BR21" i="259"/>
  <c r="BR46" i="257"/>
  <c r="P16" i="228"/>
  <c r="BI135" i="279"/>
  <c r="BQ21" i="259"/>
  <c r="BI139" i="279"/>
  <c r="BI142"/>
  <c r="BB246" i="277"/>
  <c r="BB304" i="276"/>
  <c r="BB304" i="279"/>
  <c r="BF29" i="259"/>
  <c r="BC43" i="260"/>
  <c r="BP21" i="259"/>
  <c r="BQ46" i="257"/>
  <c r="BI141" i="279"/>
  <c r="BI147"/>
  <c r="BJ48" i="258"/>
  <c r="BI26" i="276"/>
  <c r="BI148" i="279"/>
  <c r="BQ15" i="259"/>
  <c r="BI30" i="276"/>
  <c r="BI199"/>
  <c r="BI36"/>
  <c r="BI203"/>
  <c r="BI371"/>
  <c r="BI13" i="279"/>
  <c r="BI117"/>
  <c r="BI125"/>
  <c r="BI81"/>
  <c r="BI235"/>
  <c r="DD48" i="256"/>
  <c r="BI11" i="276"/>
  <c r="BI124"/>
  <c r="BI117"/>
  <c r="BI83"/>
  <c r="BI87"/>
  <c r="BI111"/>
  <c r="BI44" i="279"/>
  <c r="BI31"/>
  <c r="BI85"/>
  <c r="BI364"/>
  <c r="BI373"/>
  <c r="BI371"/>
  <c r="BR19" i="248"/>
  <c r="BI48" i="276"/>
  <c r="BI13"/>
  <c r="BI201"/>
  <c r="BI365"/>
  <c r="BI208"/>
  <c r="BI11" i="279"/>
  <c r="BI124"/>
  <c r="BI111"/>
  <c r="BI230"/>
  <c r="BI203"/>
  <c r="BR22" i="258"/>
  <c r="BI44" i="276"/>
  <c r="BI222"/>
  <c r="BI127"/>
  <c r="BI81"/>
  <c r="BI207"/>
  <c r="BI222" i="279"/>
  <c r="BI82"/>
  <c r="BI372"/>
  <c r="BI201"/>
  <c r="BI207"/>
  <c r="Q16" i="228"/>
  <c r="BC307" i="279"/>
  <c r="BC250" i="277"/>
  <c r="BC191" i="276"/>
  <c r="BD306" i="279"/>
  <c r="BD189" i="276"/>
  <c r="BD365" i="277"/>
  <c r="BD180" i="279"/>
  <c r="BD308" i="276"/>
  <c r="BD180"/>
  <c r="BD17" i="279"/>
  <c r="H27" i="231"/>
  <c r="H16"/>
  <c r="BE28" i="279"/>
  <c r="BE56" i="277"/>
  <c r="BC16" i="279"/>
  <c r="BC17"/>
  <c r="BC17" i="277"/>
  <c r="BD37" i="279"/>
  <c r="BE32"/>
  <c r="BE60" i="277"/>
  <c r="I12" i="231"/>
  <c r="BB27" i="276"/>
  <c r="BB55" i="277"/>
  <c r="AX40" i="263"/>
  <c r="U40"/>
  <c r="BG7" i="276"/>
  <c r="K22" i="231"/>
  <c r="K20"/>
  <c r="K24"/>
  <c r="L65"/>
  <c r="X47" i="259"/>
  <c r="W21"/>
  <c r="BF330" i="277"/>
  <c r="BF271" i="279"/>
  <c r="T10" i="260"/>
  <c r="U39" i="262"/>
  <c r="AY66" i="277"/>
  <c r="BP15" i="258"/>
  <c r="E42" i="231"/>
  <c r="AY344" i="280"/>
  <c r="T11" i="257"/>
  <c r="U42" i="260"/>
  <c r="AY42"/>
  <c r="BP46" i="257"/>
  <c r="G58" i="231"/>
  <c r="I13" i="256"/>
  <c r="BA38" i="279"/>
  <c r="BA38" i="276"/>
  <c r="BF7" i="279"/>
  <c r="H32" i="231"/>
  <c r="L57"/>
  <c r="U46" i="255"/>
  <c r="BB48" i="279"/>
  <c r="BG144"/>
  <c r="BG203" i="277"/>
  <c r="BG275" i="276"/>
  <c r="BG275" i="279"/>
  <c r="T18" i="261"/>
  <c r="U40" i="262"/>
  <c r="AX40"/>
  <c r="BG145" i="279"/>
  <c r="BG145" i="276"/>
  <c r="BG48" i="279"/>
  <c r="BA7"/>
  <c r="BA7" i="276"/>
  <c r="K48" i="231"/>
  <c r="BA272" i="276"/>
  <c r="BA331" i="277"/>
  <c r="BA272" i="279"/>
  <c r="J51" i="231"/>
  <c r="J39"/>
  <c r="BE283" i="276"/>
  <c r="BE355" i="280"/>
  <c r="BA27" i="279"/>
  <c r="BA55" i="277"/>
  <c r="BA61" i="279"/>
  <c r="BA68" i="280"/>
  <c r="AY305" i="276"/>
  <c r="AY364" i="277"/>
  <c r="AY305" i="279"/>
  <c r="BA188" i="276"/>
  <c r="BA364" i="277"/>
  <c r="BA188" i="279"/>
  <c r="M10" i="261"/>
  <c r="BD7" i="276"/>
  <c r="BB7" i="279"/>
  <c r="BB7" i="277"/>
  <c r="N21" i="258"/>
  <c r="I61" i="231"/>
  <c r="J62"/>
  <c r="AG27" i="260"/>
  <c r="BP15" i="259"/>
  <c r="BI195" i="277"/>
  <c r="N17" i="231"/>
  <c r="BP48" i="257"/>
  <c r="BC7" i="279"/>
  <c r="BE7"/>
  <c r="BE7" i="277"/>
  <c r="AY7"/>
  <c r="BP48" i="256"/>
  <c r="X18" i="260"/>
  <c r="K87" i="244"/>
  <c r="BE226" i="279"/>
  <c r="BE247" i="280"/>
  <c r="W27" i="259"/>
  <c r="V48" i="255"/>
  <c r="W13" i="259"/>
  <c r="BG332" i="277"/>
  <c r="BG273" i="279"/>
  <c r="T15" i="261"/>
  <c r="O86" i="244"/>
  <c r="BB38" i="279"/>
  <c r="BF48"/>
  <c r="BF76" i="277"/>
  <c r="BE336"/>
  <c r="BE277" i="279"/>
  <c r="T21" i="259"/>
  <c r="W19" i="248"/>
  <c r="X19" i="259"/>
  <c r="BG202" i="277"/>
  <c r="I54" i="231"/>
  <c r="BP22" i="258"/>
  <c r="J64" i="231"/>
  <c r="BC84" i="279"/>
  <c r="BC143" i="277"/>
  <c r="AY186" i="279"/>
  <c r="AY245" i="277"/>
  <c r="AY362"/>
  <c r="BA145"/>
  <c r="BD11" i="276"/>
  <c r="BD11" i="277"/>
  <c r="BA147"/>
  <c r="BI179"/>
  <c r="BF368" i="279"/>
  <c r="BF121"/>
  <c r="BF370" i="276"/>
  <c r="BF123" i="279"/>
  <c r="BF182" i="277"/>
  <c r="BH366" i="276"/>
  <c r="BH119"/>
  <c r="BF369"/>
  <c r="BF122"/>
  <c r="BF181" i="277"/>
  <c r="BA112" i="276"/>
  <c r="BA361" i="279"/>
  <c r="BH367" i="276"/>
  <c r="BH367" i="279"/>
  <c r="BH179" i="277"/>
  <c r="BC362" i="276"/>
  <c r="BC113" i="279"/>
  <c r="BI178" i="277"/>
  <c r="BI367" i="279"/>
  <c r="BI120" i="276"/>
  <c r="BI119" i="279"/>
  <c r="BI119" i="276"/>
  <c r="BI367"/>
  <c r="BI120" i="279"/>
  <c r="BH178" i="277"/>
  <c r="BH119" i="279"/>
  <c r="BH366"/>
  <c r="BF122"/>
  <c r="BF369"/>
  <c r="BA112"/>
  <c r="BA361" i="276"/>
  <c r="BA171" i="277"/>
  <c r="BH120" i="279"/>
  <c r="BH120" i="276"/>
  <c r="BM20" i="256" l="1"/>
  <c r="BM31" i="255"/>
  <c r="BM47" i="258"/>
  <c r="W23" i="256"/>
  <c r="DI20"/>
  <c r="BM22" i="248"/>
  <c r="AT21" i="231"/>
  <c r="BM21" i="248"/>
  <c r="BG52" i="255"/>
  <c r="BM15" i="259"/>
  <c r="L162" i="191"/>
  <c r="L186" s="1"/>
  <c r="K514" i="271"/>
  <c r="BI127" i="280"/>
  <c r="BC120"/>
  <c r="BH127"/>
  <c r="BF129"/>
  <c r="BF130"/>
  <c r="BF185" i="277"/>
  <c r="BF126" i="276"/>
  <c r="BA93" i="280"/>
  <c r="BD14" i="277"/>
  <c r="BD14" i="276"/>
  <c r="BA91" i="280"/>
  <c r="AY376" i="277"/>
  <c r="AY317" i="276"/>
  <c r="AY194" i="280"/>
  <c r="AY317" i="279"/>
  <c r="BC89" i="280"/>
  <c r="V14" i="259"/>
  <c r="V23" s="1"/>
  <c r="DI18"/>
  <c r="DI22" i="258"/>
  <c r="AL22"/>
  <c r="BM22" s="1"/>
  <c r="AH45" i="231"/>
  <c r="AS45" s="1"/>
  <c r="BG150" i="280"/>
  <c r="X20" i="259"/>
  <c r="BE363" i="280"/>
  <c r="BE291" i="279"/>
  <c r="BE291" i="276"/>
  <c r="BE350" i="277"/>
  <c r="BF383" i="276"/>
  <c r="BF56" i="280"/>
  <c r="BF332" s="1"/>
  <c r="BB68" i="277"/>
  <c r="BB316" s="1"/>
  <c r="BB46" i="280"/>
  <c r="BB40" i="279"/>
  <c r="BB253" s="1"/>
  <c r="BB40" i="276"/>
  <c r="BB257" s="1"/>
  <c r="BG359" i="280"/>
  <c r="BG287" i="279"/>
  <c r="BG287" i="276"/>
  <c r="BG346" i="277"/>
  <c r="W14" i="259"/>
  <c r="AL48" i="255"/>
  <c r="BE300" i="277"/>
  <c r="BE262" i="280"/>
  <c r="BE241" i="279"/>
  <c r="BE241" i="276"/>
  <c r="DI48" i="256"/>
  <c r="DI48" i="257"/>
  <c r="AJ23" i="258"/>
  <c r="AL21"/>
  <c r="W34" i="231"/>
  <c r="AH44"/>
  <c r="AS44" s="1"/>
  <c r="AL48" i="256"/>
  <c r="R10" i="261"/>
  <c r="BA196" i="280"/>
  <c r="AY168" s="1"/>
  <c r="BC168" s="1"/>
  <c r="BA319" i="276"/>
  <c r="BA323" s="1"/>
  <c r="BA378" i="277"/>
  <c r="BA319" i="279"/>
  <c r="AY319"/>
  <c r="AY196" i="280"/>
  <c r="AY378" i="277"/>
  <c r="AY319" i="276"/>
  <c r="BE360" i="280"/>
  <c r="BE288" i="279"/>
  <c r="BE288" i="276"/>
  <c r="BE347" i="277"/>
  <c r="AL18" i="259"/>
  <c r="AI42" i="231"/>
  <c r="AT42" s="1"/>
  <c r="AE47"/>
  <c r="AP47" s="1"/>
  <c r="W17" i="260"/>
  <c r="AL15"/>
  <c r="AJ39" i="231"/>
  <c r="AU39" s="1"/>
  <c r="BG56" i="280"/>
  <c r="BG332" s="1"/>
  <c r="BG383" i="276"/>
  <c r="BG152" i="280"/>
  <c r="BG40" i="262"/>
  <c r="AL8" i="231"/>
  <c r="AA8"/>
  <c r="BG361" i="280"/>
  <c r="BG289" i="279"/>
  <c r="BG348" i="277"/>
  <c r="BG289" i="276"/>
  <c r="BG151" i="280"/>
  <c r="BB56"/>
  <c r="BB332" s="1"/>
  <c r="BB383" i="276"/>
  <c r="X17" i="261"/>
  <c r="X51" i="248"/>
  <c r="X52" s="1"/>
  <c r="BA40" i="276"/>
  <c r="BA257" s="1"/>
  <c r="BA68" i="277"/>
  <c r="BA316" s="1"/>
  <c r="BA46" i="280"/>
  <c r="BA40" i="279"/>
  <c r="BA253" s="1"/>
  <c r="X14" i="256"/>
  <c r="X23" s="1"/>
  <c r="X64" s="1"/>
  <c r="AL13"/>
  <c r="AF41" i="231"/>
  <c r="AQ41" s="1"/>
  <c r="AL46" i="257"/>
  <c r="BG42" i="260"/>
  <c r="AJ21" i="231"/>
  <c r="Y21"/>
  <c r="AD47"/>
  <c r="AO47" s="1"/>
  <c r="AY46" i="280"/>
  <c r="AY40" i="279"/>
  <c r="AY253" s="1"/>
  <c r="AY68" i="277"/>
  <c r="AY316" s="1"/>
  <c r="AY40" i="276"/>
  <c r="AY257" s="1"/>
  <c r="AJ46" i="231"/>
  <c r="AU46" s="1"/>
  <c r="V20" i="261"/>
  <c r="Y10" i="231"/>
  <c r="AU10" s="1"/>
  <c r="AB8"/>
  <c r="BG40" i="263"/>
  <c r="AM8" i="231"/>
  <c r="AG31" i="259"/>
  <c r="AG52" s="1"/>
  <c r="BE313" i="277"/>
  <c r="BE254" i="276"/>
  <c r="BA39" i="277"/>
  <c r="BC17" i="280"/>
  <c r="BA38" i="277"/>
  <c r="BC16" i="280"/>
  <c r="BE309" i="277"/>
  <c r="BE250" i="276"/>
  <c r="BD17" i="280"/>
  <c r="BD322" i="276"/>
  <c r="BD381" i="277"/>
  <c r="BD188" i="280"/>
  <c r="BD322" i="279"/>
  <c r="BD379" i="277"/>
  <c r="BD320" i="276"/>
  <c r="BD320" i="279"/>
  <c r="BD197" i="280"/>
  <c r="BC380" i="277"/>
  <c r="BC321" i="276"/>
  <c r="BC321" i="279"/>
  <c r="BC199" i="280"/>
  <c r="BI92"/>
  <c r="BI87"/>
  <c r="BI47"/>
  <c r="BI329" s="1"/>
  <c r="BI242" i="279"/>
  <c r="BI242" i="276"/>
  <c r="BI251"/>
  <c r="BQ20" i="248"/>
  <c r="BI240" i="279"/>
  <c r="BI123" i="280"/>
  <c r="BI131"/>
  <c r="BI37"/>
  <c r="BI323" s="1"/>
  <c r="BI56"/>
  <c r="BI332" s="1"/>
  <c r="BI383" i="276"/>
  <c r="DD51" i="257"/>
  <c r="DD52" s="1"/>
  <c r="DD71" s="1"/>
  <c r="BR20" i="248"/>
  <c r="BR23" s="1"/>
  <c r="BI44" i="280"/>
  <c r="BI88"/>
  <c r="BI90"/>
  <c r="BI39"/>
  <c r="BI325" s="1"/>
  <c r="BI12"/>
  <c r="BK48" i="257"/>
  <c r="BM48" s="1"/>
  <c r="BI118" i="276"/>
  <c r="BI14"/>
  <c r="BI253"/>
  <c r="DD51" i="256"/>
  <c r="DD52" s="1"/>
  <c r="DD71" s="1"/>
  <c r="BI86" i="280"/>
  <c r="BI132"/>
  <c r="BI134"/>
  <c r="BI50"/>
  <c r="BI330" s="1"/>
  <c r="BI13"/>
  <c r="BI38"/>
  <c r="BI324" s="1"/>
  <c r="BI256" i="276"/>
  <c r="BI240"/>
  <c r="BI252"/>
  <c r="BQ17" i="259"/>
  <c r="BI144" i="280"/>
  <c r="BI155"/>
  <c r="AL29" i="258"/>
  <c r="AE31"/>
  <c r="AE52" s="1"/>
  <c r="BI379" i="276"/>
  <c r="Q17" i="228"/>
  <c r="BI154" i="280"/>
  <c r="BI156"/>
  <c r="BI148"/>
  <c r="BQ17" i="258"/>
  <c r="DI21" i="259"/>
  <c r="BK47"/>
  <c r="F55" i="203"/>
  <c r="F86" s="1"/>
  <c r="BF31" i="259"/>
  <c r="BF52" s="1"/>
  <c r="BF71" s="1"/>
  <c r="BB195" i="280"/>
  <c r="BB318" i="279"/>
  <c r="BB318" i="276"/>
  <c r="BB377" i="277"/>
  <c r="BR17" i="259"/>
  <c r="BI149" i="280"/>
  <c r="BI153"/>
  <c r="BI146"/>
  <c r="P17" i="228"/>
  <c r="K38" s="1"/>
  <c r="L38" s="1"/>
  <c r="BI147" i="280"/>
  <c r="BI142"/>
  <c r="F60" i="203"/>
  <c r="F61" s="1"/>
  <c r="G60"/>
  <c r="G61" s="1"/>
  <c r="G62" s="1"/>
  <c r="G90" s="1"/>
  <c r="BR17" i="258"/>
  <c r="M231" i="184"/>
  <c r="K169" i="200"/>
  <c r="K172" s="1"/>
  <c r="K173" s="1"/>
  <c r="K174" s="1"/>
  <c r="N555" i="270"/>
  <c r="I255" i="133"/>
  <c r="L529" i="159"/>
  <c r="J146" i="200"/>
  <c r="J148" s="1"/>
  <c r="N366" i="159"/>
  <c r="N29" s="1"/>
  <c r="L479" i="271"/>
  <c r="I151" i="200"/>
  <c r="I154" s="1"/>
  <c r="AL17" i="260"/>
  <c r="BA382" i="277"/>
  <c r="BM42" i="259"/>
  <c r="BO42" s="1"/>
  <c r="N357" i="159"/>
  <c r="N38" s="1"/>
  <c r="O43" i="236"/>
  <c r="O47" s="1"/>
  <c r="O74" s="1"/>
  <c r="O79" s="1"/>
  <c r="N388" i="159"/>
  <c r="N30" s="1"/>
  <c r="N18" s="1"/>
  <c r="N593" i="270"/>
  <c r="N573"/>
  <c r="N574" s="1"/>
  <c r="K182" i="200"/>
  <c r="K184" s="1"/>
  <c r="O535" i="270"/>
  <c r="BM31" i="256"/>
  <c r="O574" i="270"/>
  <c r="N434" i="271"/>
  <c r="L126" i="188"/>
  <c r="AT20" i="231"/>
  <c r="N612" i="270"/>
  <c r="N379" i="159"/>
  <c r="N39" s="1"/>
  <c r="N19"/>
  <c r="O497" i="270"/>
  <c r="K659"/>
  <c r="AV8" i="231"/>
  <c r="N497" i="270"/>
  <c r="L547" i="159"/>
  <c r="L550" s="1"/>
  <c r="O130" i="133"/>
  <c r="O401" i="270"/>
  <c r="J673"/>
  <c r="N130" i="133"/>
  <c r="BG52" i="256"/>
  <c r="O593" i="270"/>
  <c r="N534"/>
  <c r="N535" s="1"/>
  <c r="BQ23" i="256"/>
  <c r="BM41" i="259"/>
  <c r="BO41" s="1"/>
  <c r="DI17" i="248"/>
  <c r="BM18" i="258"/>
  <c r="BM39" i="256"/>
  <c r="BO39" s="1"/>
  <c r="BM43" i="259"/>
  <c r="BO43" s="1"/>
  <c r="BA119" i="280"/>
  <c r="BH126"/>
  <c r="BF128"/>
  <c r="BF126" i="279"/>
  <c r="BD14"/>
  <c r="BD14" i="280" s="1"/>
  <c r="BD11"/>
  <c r="W20" i="248"/>
  <c r="AL19"/>
  <c r="BM19" s="1"/>
  <c r="AG43" i="231"/>
  <c r="AR43" s="1"/>
  <c r="O107" i="244"/>
  <c r="O103"/>
  <c r="T17" i="261"/>
  <c r="DI27" i="259"/>
  <c r="CZ31"/>
  <c r="DI31" s="1"/>
  <c r="AL27"/>
  <c r="BM27" s="1"/>
  <c r="W31"/>
  <c r="X22" i="231"/>
  <c r="K105" i="244"/>
  <c r="K108"/>
  <c r="AY7" i="280"/>
  <c r="BE7"/>
  <c r="BC7"/>
  <c r="BP17" i="259"/>
  <c r="DI15"/>
  <c r="L107" i="244"/>
  <c r="L103"/>
  <c r="J107" i="234"/>
  <c r="J108"/>
  <c r="R21" i="258"/>
  <c r="BM21" s="1"/>
  <c r="N23"/>
  <c r="N71" s="1"/>
  <c r="BB7" i="280"/>
  <c r="BD7"/>
  <c r="BA308" i="277"/>
  <c r="BA62"/>
  <c r="BA249" i="276"/>
  <c r="BA34"/>
  <c r="BA249" i="279"/>
  <c r="BA35" i="280"/>
  <c r="BA321" s="1"/>
  <c r="BA34" i="279"/>
  <c r="BA42" i="280" s="1"/>
  <c r="T14" i="259"/>
  <c r="AL11" i="255"/>
  <c r="BM11" s="1"/>
  <c r="T12"/>
  <c r="BA285" i="279"/>
  <c r="BA290"/>
  <c r="BA293" s="1"/>
  <c r="BA362" i="280"/>
  <c r="BA365" s="1"/>
  <c r="BA357"/>
  <c r="BA344" i="277"/>
  <c r="BA349"/>
  <c r="BA352" s="1"/>
  <c r="BA290" i="276"/>
  <c r="BA293" s="1"/>
  <c r="BA285"/>
  <c r="Q20" i="258"/>
  <c r="Q23" s="1"/>
  <c r="Q71" s="1"/>
  <c r="R19"/>
  <c r="BA7" i="280"/>
  <c r="AL40" i="262"/>
  <c r="T20" i="261"/>
  <c r="BF7" i="280"/>
  <c r="R18" i="259"/>
  <c r="P20"/>
  <c r="I14" i="256"/>
  <c r="R13"/>
  <c r="J17" i="260"/>
  <c r="R15"/>
  <c r="DI46" i="257"/>
  <c r="AL42" i="260"/>
  <c r="AL11" i="257"/>
  <c r="BM11" s="1"/>
  <c r="T12"/>
  <c r="AY290" i="279"/>
  <c r="AY293" s="1"/>
  <c r="AY285"/>
  <c r="AY357" i="280"/>
  <c r="AY362"/>
  <c r="AY365" s="1"/>
  <c r="AY344" i="277"/>
  <c r="AY349"/>
  <c r="AY352" s="1"/>
  <c r="AY285" i="276"/>
  <c r="AY290"/>
  <c r="AY293" s="1"/>
  <c r="BP17" i="258"/>
  <c r="DI15"/>
  <c r="AL10" i="260"/>
  <c r="BM10" s="1"/>
  <c r="AL47" i="259"/>
  <c r="BM47" s="1"/>
  <c r="AL43" i="260"/>
  <c r="AY44"/>
  <c r="AY52" s="1"/>
  <c r="AY71" s="1"/>
  <c r="BG41"/>
  <c r="Y9" i="231"/>
  <c r="AU9" s="1"/>
  <c r="AJ20"/>
  <c r="AL41" i="260"/>
  <c r="U44"/>
  <c r="Y20" i="231"/>
  <c r="BG7" i="280"/>
  <c r="AL40" i="263"/>
  <c r="BB308" i="277"/>
  <c r="BB62"/>
  <c r="BB249" i="279"/>
  <c r="BB35" i="280"/>
  <c r="BB321" s="1"/>
  <c r="BB34" i="279"/>
  <c r="BB42" i="280" s="1"/>
  <c r="BB249" i="276"/>
  <c r="BB34"/>
  <c r="BG29" i="258"/>
  <c r="BE31"/>
  <c r="AH22" i="231"/>
  <c r="AS22" s="1"/>
  <c r="W23"/>
  <c r="AS23" s="1"/>
  <c r="BE251" i="279"/>
  <c r="BE40" i="280"/>
  <c r="BE326" s="1"/>
  <c r="BD45"/>
  <c r="BE250" i="279"/>
  <c r="BE36" i="280"/>
  <c r="BE322" s="1"/>
  <c r="AX44" i="248"/>
  <c r="AX52" s="1"/>
  <c r="BG39"/>
  <c r="BG44" s="1"/>
  <c r="V6" i="231"/>
  <c r="AR6" s="1"/>
  <c r="AG7"/>
  <c r="AJ44" i="248"/>
  <c r="AL39"/>
  <c r="BM39" s="1"/>
  <c r="BO39" s="1"/>
  <c r="AG34" i="231"/>
  <c r="AR34" s="1"/>
  <c r="V7"/>
  <c r="DI23" i="257"/>
  <c r="O117" i="235"/>
  <c r="O119" s="1"/>
  <c r="O142"/>
  <c r="K550" i="159"/>
  <c r="I257" i="133"/>
  <c r="I276"/>
  <c r="J199" i="191"/>
  <c r="N28" i="157"/>
  <c r="M32"/>
  <c r="M87" s="1"/>
  <c r="M38"/>
  <c r="M42" s="1"/>
  <c r="M102" i="237"/>
  <c r="M103"/>
  <c r="K113" i="157"/>
  <c r="K127"/>
  <c r="BP20" i="248"/>
  <c r="DI20" s="1"/>
  <c r="DI19"/>
  <c r="M116" i="191"/>
  <c r="M127"/>
  <c r="M131" s="1"/>
  <c r="M120"/>
  <c r="M123" s="1"/>
  <c r="M477" i="270"/>
  <c r="M433" i="271"/>
  <c r="M463"/>
  <c r="M477"/>
  <c r="M474"/>
  <c r="M428"/>
  <c r="N561" i="270"/>
  <c r="N559"/>
  <c r="N560"/>
  <c r="N562"/>
  <c r="BI126" i="280"/>
  <c r="BI118"/>
  <c r="BI124"/>
  <c r="BI118" i="279"/>
  <c r="BI125" i="280" s="1"/>
  <c r="BI14" i="279"/>
  <c r="BI14" i="280" s="1"/>
  <c r="BI11"/>
  <c r="BI52"/>
  <c r="BI248" i="279"/>
  <c r="BI34" i="280"/>
  <c r="K214" i="184"/>
  <c r="K203"/>
  <c r="K217" s="1"/>
  <c r="BI380" i="276"/>
  <c r="BI248"/>
  <c r="N147" i="133"/>
  <c r="M287"/>
  <c r="L185" i="191"/>
  <c r="L167"/>
  <c r="L198" s="1"/>
  <c r="L165"/>
  <c r="L196" s="1"/>
  <c r="L183"/>
  <c r="L184"/>
  <c r="M370" i="154"/>
  <c r="M339"/>
  <c r="N370"/>
  <c r="N339"/>
  <c r="H257" i="133"/>
  <c r="H276"/>
  <c r="M461" i="159"/>
  <c r="M533" s="1"/>
  <c r="M443"/>
  <c r="M498"/>
  <c r="M519" s="1"/>
  <c r="L544" i="270"/>
  <c r="L545"/>
  <c r="L546"/>
  <c r="K183" i="191"/>
  <c r="K184"/>
  <c r="N503" i="270"/>
  <c r="N504"/>
  <c r="N502"/>
  <c r="N501"/>
  <c r="O400"/>
  <c r="M467" i="271"/>
  <c r="BG106" i="277" s="1"/>
  <c r="M445" i="271"/>
  <c r="M438"/>
  <c r="O392" i="270"/>
  <c r="O628" s="1"/>
  <c r="O631" s="1"/>
  <c r="N628"/>
  <c r="N631" s="1"/>
  <c r="K253" i="133"/>
  <c r="K291"/>
  <c r="L534" i="159"/>
  <c r="L532"/>
  <c r="L468"/>
  <c r="K146" i="200"/>
  <c r="K148" s="1"/>
  <c r="K201" s="1"/>
  <c r="K144"/>
  <c r="K150" s="1"/>
  <c r="M127"/>
  <c r="L143"/>
  <c r="L130"/>
  <c r="N149" i="133"/>
  <c r="M289"/>
  <c r="M29" i="157"/>
  <c r="L39"/>
  <c r="N617" i="270"/>
  <c r="M503"/>
  <c r="M504"/>
  <c r="M502"/>
  <c r="M501"/>
  <c r="G71" i="262"/>
  <c r="O371" i="154"/>
  <c r="O360"/>
  <c r="O396" s="1"/>
  <c r="O369"/>
  <c r="G156" i="200"/>
  <c r="G218" s="1"/>
  <c r="G215"/>
  <c r="G205"/>
  <c r="G206"/>
  <c r="K105" i="157"/>
  <c r="K106" s="1"/>
  <c r="L104"/>
  <c r="N465" i="159"/>
  <c r="N531" s="1"/>
  <c r="N497"/>
  <c r="N463"/>
  <c r="N462"/>
  <c r="N530" s="1"/>
  <c r="N496"/>
  <c r="N436"/>
  <c r="N499" s="1"/>
  <c r="N336"/>
  <c r="N37" s="1"/>
  <c r="N41" s="1"/>
  <c r="M561" i="270"/>
  <c r="M562"/>
  <c r="M560"/>
  <c r="M559"/>
  <c r="M580"/>
  <c r="M581"/>
  <c r="M579"/>
  <c r="M578"/>
  <c r="K399" i="154"/>
  <c r="BE105" i="277"/>
  <c r="K377" i="154"/>
  <c r="H219" i="200"/>
  <c r="M145" i="191"/>
  <c r="M148" s="1"/>
  <c r="M152"/>
  <c r="M156" s="1"/>
  <c r="M162" s="1"/>
  <c r="M186" s="1"/>
  <c r="M141"/>
  <c r="J203" i="200"/>
  <c r="J191"/>
  <c r="N404" i="271"/>
  <c r="N371"/>
  <c r="M16" i="159"/>
  <c r="M20" s="1"/>
  <c r="M32"/>
  <c r="M452"/>
  <c r="M514"/>
  <c r="M513"/>
  <c r="O335" i="270"/>
  <c r="O554"/>
  <c r="O553"/>
  <c r="F219" i="200"/>
  <c r="L603" i="270"/>
  <c r="L602"/>
  <c r="L604"/>
  <c r="M30" i="48"/>
  <c r="N16"/>
  <c r="K506" i="271"/>
  <c r="M17" i="157"/>
  <c r="M21" s="1"/>
  <c r="M81" s="1"/>
  <c r="N18"/>
  <c r="N19"/>
  <c r="N20"/>
  <c r="O63"/>
  <c r="O65" s="1"/>
  <c r="O17" s="1"/>
  <c r="O21" s="1"/>
  <c r="O81" s="1"/>
  <c r="N65"/>
  <c r="L371" i="154"/>
  <c r="L369"/>
  <c r="L360"/>
  <c r="L396" s="1"/>
  <c r="L18" i="48"/>
  <c r="K32"/>
  <c r="L180" i="200"/>
  <c r="L186" s="1"/>
  <c r="N129"/>
  <c r="M179"/>
  <c r="J218" i="184"/>
  <c r="O88" i="237"/>
  <c r="O90" s="1"/>
  <c r="O91" s="1"/>
  <c r="O113"/>
  <c r="O78" i="236"/>
  <c r="O80" s="1"/>
  <c r="O81" s="1"/>
  <c r="O100"/>
  <c r="N78"/>
  <c r="N80" s="1"/>
  <c r="N81" s="1"/>
  <c r="N100"/>
  <c r="N437" i="271"/>
  <c r="N539"/>
  <c r="N432"/>
  <c r="N475"/>
  <c r="H205" i="200"/>
  <c r="O611" i="270"/>
  <c r="O610"/>
  <c r="BI143" i="280"/>
  <c r="M272" i="187"/>
  <c r="M273" s="1"/>
  <c r="W64" i="256"/>
  <c r="W63"/>
  <c r="W64" i="255"/>
  <c r="W63"/>
  <c r="G71" i="263"/>
  <c r="I642" i="270"/>
  <c r="H671" s="1"/>
  <c r="I643"/>
  <c r="H672" s="1"/>
  <c r="K480"/>
  <c r="J640"/>
  <c r="J481"/>
  <c r="N445" i="159"/>
  <c r="N345"/>
  <c r="N28" s="1"/>
  <c r="M115" i="188"/>
  <c r="O59"/>
  <c r="L454" i="271"/>
  <c r="L505" s="1"/>
  <c r="L452"/>
  <c r="L503" s="1"/>
  <c r="L453"/>
  <c r="L504" s="1"/>
  <c r="J130" i="157"/>
  <c r="J132" s="1"/>
  <c r="J119"/>
  <c r="J142" s="1"/>
  <c r="J120"/>
  <c r="J143" s="1"/>
  <c r="J121"/>
  <c r="J144" s="1"/>
  <c r="N599" i="270"/>
  <c r="N600"/>
  <c r="N598"/>
  <c r="N597"/>
  <c r="M688"/>
  <c r="N335"/>
  <c r="N334"/>
  <c r="N338" s="1"/>
  <c r="N336"/>
  <c r="N337"/>
  <c r="L191" i="184"/>
  <c r="L192" s="1"/>
  <c r="L215" s="1"/>
  <c r="L200"/>
  <c r="L202" s="1"/>
  <c r="L216"/>
  <c r="L181"/>
  <c r="L236" s="1"/>
  <c r="L245" s="1"/>
  <c r="L183"/>
  <c r="L238" s="1"/>
  <c r="L247" s="1"/>
  <c r="L182"/>
  <c r="L237" s="1"/>
  <c r="L246" s="1"/>
  <c r="N171"/>
  <c r="M174"/>
  <c r="M175" s="1"/>
  <c r="M188"/>
  <c r="L41" i="157"/>
  <c r="M31"/>
  <c r="M131" i="235"/>
  <c r="M132"/>
  <c r="J254" i="133"/>
  <c r="J279" s="1"/>
  <c r="J255"/>
  <c r="N148"/>
  <c r="M288"/>
  <c r="L96" i="157"/>
  <c r="L97"/>
  <c r="L114" s="1"/>
  <c r="L131" s="1"/>
  <c r="L99"/>
  <c r="L100" s="1"/>
  <c r="N580" i="270"/>
  <c r="N581"/>
  <c r="N579"/>
  <c r="N578"/>
  <c r="N111" i="233"/>
  <c r="K204" i="200"/>
  <c r="K187"/>
  <c r="K190" s="1"/>
  <c r="M618" i="270"/>
  <c r="M616"/>
  <c r="M619"/>
  <c r="M617"/>
  <c r="M30" i="157"/>
  <c r="L40"/>
  <c r="K185" i="191"/>
  <c r="K167"/>
  <c r="K198" s="1"/>
  <c r="K165"/>
  <c r="K196" s="1"/>
  <c r="M541" i="270"/>
  <c r="M539"/>
  <c r="M542"/>
  <c r="M540"/>
  <c r="N88" i="237"/>
  <c r="N90" s="1"/>
  <c r="N91" s="1"/>
  <c r="N113"/>
  <c r="M90" i="236"/>
  <c r="M91"/>
  <c r="N167" i="184"/>
  <c r="N230" s="1"/>
  <c r="N166"/>
  <c r="N229" s="1"/>
  <c r="N165"/>
  <c r="N228" s="1"/>
  <c r="N112" i="191"/>
  <c r="N82"/>
  <c r="N137"/>
  <c r="N83"/>
  <c r="G277" i="133"/>
  <c r="G266"/>
  <c r="G314" s="1"/>
  <c r="G265"/>
  <c r="G313" s="1"/>
  <c r="G264"/>
  <c r="G312" s="1"/>
  <c r="I192" i="200"/>
  <c r="I218"/>
  <c r="O541" i="270"/>
  <c r="O539"/>
  <c r="O542"/>
  <c r="O540"/>
  <c r="AE71" i="256"/>
  <c r="AE63"/>
  <c r="N117" i="235"/>
  <c r="N119" s="1"/>
  <c r="N142"/>
  <c r="K534" i="159"/>
  <c r="BE109" i="277"/>
  <c r="G689" i="270"/>
  <c r="G663"/>
  <c r="BB108" i="277"/>
  <c r="J641" i="270"/>
  <c r="H662"/>
  <c r="H658"/>
  <c r="L512" i="271"/>
  <c r="L511"/>
  <c r="L513"/>
  <c r="L469"/>
  <c r="O400" i="159"/>
  <c r="O373"/>
  <c r="O395"/>
  <c r="O352"/>
  <c r="O372"/>
  <c r="O354"/>
  <c r="O375"/>
  <c r="O394"/>
  <c r="O398"/>
  <c r="O396"/>
  <c r="O376"/>
  <c r="O374"/>
  <c r="O356"/>
  <c r="O353"/>
  <c r="O355"/>
  <c r="O377"/>
  <c r="O350"/>
  <c r="O397"/>
  <c r="O351"/>
  <c r="O399"/>
  <c r="O378"/>
  <c r="O330"/>
  <c r="O437" s="1"/>
  <c r="O335"/>
  <c r="O442" s="1"/>
  <c r="O332"/>
  <c r="O439" s="1"/>
  <c r="O464" s="1"/>
  <c r="O331"/>
  <c r="O438" s="1"/>
  <c r="O333"/>
  <c r="O440" s="1"/>
  <c r="O334"/>
  <c r="O441" s="1"/>
  <c r="O329"/>
  <c r="O407"/>
  <c r="O363"/>
  <c r="O384"/>
  <c r="O360"/>
  <c r="O408"/>
  <c r="O409"/>
  <c r="O361"/>
  <c r="O359"/>
  <c r="O405"/>
  <c r="O387"/>
  <c r="O406"/>
  <c r="O382"/>
  <c r="O404"/>
  <c r="O403"/>
  <c r="O365"/>
  <c r="O385"/>
  <c r="O383"/>
  <c r="O364"/>
  <c r="O381"/>
  <c r="O362"/>
  <c r="O386"/>
  <c r="O342"/>
  <c r="O449" s="1"/>
  <c r="O341"/>
  <c r="O448" s="1"/>
  <c r="O343"/>
  <c r="O450" s="1"/>
  <c r="O338"/>
  <c r="O344"/>
  <c r="O451" s="1"/>
  <c r="O339"/>
  <c r="O446" s="1"/>
  <c r="O511" s="1"/>
  <c r="O340"/>
  <c r="O447" s="1"/>
  <c r="F315" i="133"/>
  <c r="F278"/>
  <c r="F280" s="1"/>
  <c r="M17" i="48"/>
  <c r="L31"/>
  <c r="L92" i="236"/>
  <c r="L164" i="200"/>
  <c r="L166" s="1"/>
  <c r="L162"/>
  <c r="L168" s="1"/>
  <c r="N128"/>
  <c r="M161"/>
  <c r="J506" i="271"/>
  <c r="O599" i="270"/>
  <c r="O597"/>
  <c r="O600"/>
  <c r="O598"/>
  <c r="K107" i="197"/>
  <c r="M90"/>
  <c r="L106"/>
  <c r="L105"/>
  <c r="O580" i="270"/>
  <c r="O579"/>
  <c r="O578"/>
  <c r="O581"/>
  <c r="I202" i="200"/>
  <c r="I205" s="1"/>
  <c r="I155"/>
  <c r="I156" s="1"/>
  <c r="N446" i="271"/>
  <c r="N468"/>
  <c r="M505" i="159"/>
  <c r="M520"/>
  <c r="M504"/>
  <c r="M521"/>
  <c r="M506"/>
  <c r="O503" i="270"/>
  <c r="O501"/>
  <c r="O502"/>
  <c r="O504"/>
  <c r="M599"/>
  <c r="M597"/>
  <c r="M600"/>
  <c r="M598"/>
  <c r="BC44" i="260"/>
  <c r="BC52" s="1"/>
  <c r="BC71" s="1"/>
  <c r="BG43"/>
  <c r="L133" i="235"/>
  <c r="O165" i="184"/>
  <c r="O228" s="1"/>
  <c r="O182"/>
  <c r="O237" s="1"/>
  <c r="O167"/>
  <c r="O230" s="1"/>
  <c r="O166"/>
  <c r="O229" s="1"/>
  <c r="O112" i="191"/>
  <c r="O82"/>
  <c r="O137"/>
  <c r="O83"/>
  <c r="L564" i="270"/>
  <c r="L566"/>
  <c r="L565"/>
  <c r="L243" i="133"/>
  <c r="L247" s="1"/>
  <c r="L248" s="1"/>
  <c r="L160"/>
  <c r="N146"/>
  <c r="M150"/>
  <c r="M208"/>
  <c r="M256" s="1"/>
  <c r="M286"/>
  <c r="L508" i="270"/>
  <c r="L506"/>
  <c r="L507"/>
  <c r="L104" i="237"/>
  <c r="N541" i="270"/>
  <c r="N539"/>
  <c r="N540"/>
  <c r="N542"/>
  <c r="F56" i="203"/>
  <c r="F57" s="1"/>
  <c r="F89" s="1"/>
  <c r="L644" i="270"/>
  <c r="L622"/>
  <c r="L623"/>
  <c r="L621"/>
  <c r="O111" i="233"/>
  <c r="L639" i="270"/>
  <c r="K661" s="1"/>
  <c r="L638"/>
  <c r="K660" s="1"/>
  <c r="L637"/>
  <c r="N632"/>
  <c r="M633"/>
  <c r="L583"/>
  <c r="L584"/>
  <c r="L585"/>
  <c r="AE71" i="258"/>
  <c r="AE63"/>
  <c r="AG63" i="259"/>
  <c r="AG71"/>
  <c r="BB48" i="280"/>
  <c r="N270" i="187"/>
  <c r="N247"/>
  <c r="N255" s="1"/>
  <c r="W52" i="258"/>
  <c r="AL31"/>
  <c r="Q23" i="248"/>
  <c r="Q71" s="1"/>
  <c r="R20"/>
  <c r="BH320" i="280"/>
  <c r="U58" i="259"/>
  <c r="O270" i="187"/>
  <c r="O247"/>
  <c r="O255" s="1"/>
  <c r="V23" i="256"/>
  <c r="AE63" i="248"/>
  <c r="AE71"/>
  <c r="AG71" i="258"/>
  <c r="AG63"/>
  <c r="H23" i="255"/>
  <c r="R12"/>
  <c r="J23" i="259"/>
  <c r="J71" s="1"/>
  <c r="R17"/>
  <c r="BM17" s="1"/>
  <c r="I109" i="234"/>
  <c r="P23" i="258"/>
  <c r="P71" s="1"/>
  <c r="BE52" i="248"/>
  <c r="BE71" s="1"/>
  <c r="BG31"/>
  <c r="BM31" s="1"/>
  <c r="AJ52" i="256"/>
  <c r="AJ71" s="1"/>
  <c r="AL44"/>
  <c r="BM44" s="1"/>
  <c r="H23" i="257"/>
  <c r="R12"/>
  <c r="DI14" i="256"/>
  <c r="BP23"/>
  <c r="BE133" i="280"/>
  <c r="BB61" i="279"/>
  <c r="BB68" i="280"/>
  <c r="BB247" i="277"/>
  <c r="BB305" i="276"/>
  <c r="BB305" i="279"/>
  <c r="K62" i="231"/>
  <c r="BB217" i="280"/>
  <c r="BB209" i="276"/>
  <c r="BE248" i="277"/>
  <c r="BE365"/>
  <c r="BE189" i="279"/>
  <c r="P18" i="260"/>
  <c r="BB121" i="277"/>
  <c r="BB62" i="279"/>
  <c r="AY209"/>
  <c r="AY209" i="276"/>
  <c r="BE37"/>
  <c r="BR13" i="259"/>
  <c r="BF29" i="260"/>
  <c r="O22" i="259"/>
  <c r="G10" i="203"/>
  <c r="BQ21" i="260"/>
  <c r="BR22" i="259"/>
  <c r="BI47" i="260"/>
  <c r="BC363" i="277"/>
  <c r="BC246"/>
  <c r="BC304" i="279"/>
  <c r="O22" i="260"/>
  <c r="BI7" i="279"/>
  <c r="BQ13" i="248"/>
  <c r="BP21" i="260"/>
  <c r="V48" i="248"/>
  <c r="H11" i="203"/>
  <c r="BI226" i="279"/>
  <c r="BI48" i="256"/>
  <c r="BR21" i="260"/>
  <c r="BR46" i="255"/>
  <c r="BF355" i="280"/>
  <c r="BF283" i="276"/>
  <c r="K39" i="231"/>
  <c r="DD48" i="255"/>
  <c r="DD48" i="248"/>
  <c r="BI145" i="279"/>
  <c r="L59" i="231"/>
  <c r="BD250" i="277"/>
  <c r="BD307" i="276"/>
  <c r="BD307" i="279"/>
  <c r="W13" i="260"/>
  <c r="BB145" i="277"/>
  <c r="BB86" i="279"/>
  <c r="BB186" i="276"/>
  <c r="BB362" i="277"/>
  <c r="BB186" i="279"/>
  <c r="BE308"/>
  <c r="BE239" i="277"/>
  <c r="BE180" i="276"/>
  <c r="J12" i="231"/>
  <c r="AG29" i="260"/>
  <c r="AJ39" i="258"/>
  <c r="AX39"/>
  <c r="BD16" i="279"/>
  <c r="BD19"/>
  <c r="BD19" i="277"/>
  <c r="BF28" i="276"/>
  <c r="BI145"/>
  <c r="U46" i="248"/>
  <c r="U41" i="261"/>
  <c r="AY41"/>
  <c r="BC188" i="279"/>
  <c r="BC364" i="277"/>
  <c r="BC188" i="276"/>
  <c r="J15" i="261"/>
  <c r="J61" i="231"/>
  <c r="K54"/>
  <c r="BP22" i="260"/>
  <c r="BF337" i="277"/>
  <c r="BF278" i="279"/>
  <c r="T22" i="260"/>
  <c r="M86" i="244"/>
  <c r="N86"/>
  <c r="J44" i="231"/>
  <c r="BE278" i="276"/>
  <c r="BE350" i="280"/>
  <c r="L48" i="231"/>
  <c r="K51"/>
  <c r="U48" i="259"/>
  <c r="BH7" i="276"/>
  <c r="AE27" i="263"/>
  <c r="CZ27"/>
  <c r="N30" i="231"/>
  <c r="W27" i="263"/>
  <c r="M65" i="231"/>
  <c r="M40"/>
  <c r="BH334" i="277"/>
  <c r="T18" i="262"/>
  <c r="L62" i="231"/>
  <c r="I32"/>
  <c r="AE27" i="260"/>
  <c r="BF226" i="276"/>
  <c r="BF247" i="280"/>
  <c r="BF285" i="277"/>
  <c r="CZ27" i="260"/>
  <c r="BI202" i="277"/>
  <c r="BI144" i="276"/>
  <c r="BH203" i="277"/>
  <c r="L41" i="231"/>
  <c r="BG271" i="276"/>
  <c r="BG343" i="280"/>
  <c r="BI7" i="277"/>
  <c r="BP15" i="260"/>
  <c r="W19" i="258"/>
  <c r="BF277" i="276"/>
  <c r="BF277" i="279"/>
  <c r="T21" i="260"/>
  <c r="W21"/>
  <c r="U43" i="261"/>
  <c r="X19" i="260"/>
  <c r="W22" i="259"/>
  <c r="BH143" i="279"/>
  <c r="BH202" i="277"/>
  <c r="U42" i="261"/>
  <c r="AY42"/>
  <c r="BP46" i="255"/>
  <c r="BB88" i="276"/>
  <c r="BH145" i="279"/>
  <c r="BH145" i="276"/>
  <c r="X13" i="248"/>
  <c r="AA65" i="255"/>
  <c r="X47" i="260"/>
  <c r="X15" i="262"/>
  <c r="BF32" i="276"/>
  <c r="K64" i="231"/>
  <c r="E71"/>
  <c r="BD88" i="279"/>
  <c r="BD147" i="277"/>
  <c r="BE84" i="279"/>
  <c r="M45" i="231"/>
  <c r="BC19" i="276"/>
  <c r="BC19" i="277"/>
  <c r="M10" i="263"/>
  <c r="BC88" i="276"/>
  <c r="BD84"/>
  <c r="BD143" i="277"/>
  <c r="BE11" i="276"/>
  <c r="BD18" i="279"/>
  <c r="BD18" i="277"/>
  <c r="BC38" i="279"/>
  <c r="BC361"/>
  <c r="BC112" i="276"/>
  <c r="BC171" i="277"/>
  <c r="BG121" i="279"/>
  <c r="BG368" i="276"/>
  <c r="BE362"/>
  <c r="BE113"/>
  <c r="BG123"/>
  <c r="BG370"/>
  <c r="BG182" i="277"/>
  <c r="BB61" i="276"/>
  <c r="BB120" i="277"/>
  <c r="BB188" i="276"/>
  <c r="BB364" i="277"/>
  <c r="BB188" i="279"/>
  <c r="AJ22" i="260"/>
  <c r="BB268" i="277"/>
  <c r="BB209" i="279"/>
  <c r="BE306" i="276"/>
  <c r="BE189"/>
  <c r="BE306" i="279"/>
  <c r="BF29" i="263"/>
  <c r="BB69" i="280"/>
  <c r="BB62" i="276"/>
  <c r="AY217" i="280"/>
  <c r="AY268" i="277"/>
  <c r="BE65"/>
  <c r="BE37" i="279"/>
  <c r="AE29" i="259"/>
  <c r="BR22" i="260"/>
  <c r="BI143" i="279"/>
  <c r="BP19" i="258"/>
  <c r="BJ46"/>
  <c r="BQ46" i="255"/>
  <c r="BC187" i="276"/>
  <c r="BC304"/>
  <c r="BC187" i="279"/>
  <c r="K97" i="234"/>
  <c r="BI144" i="279"/>
  <c r="BI7" i="276"/>
  <c r="BR19" i="258"/>
  <c r="BJ48" i="259"/>
  <c r="W65" i="257"/>
  <c r="BI226" i="276"/>
  <c r="BI48" i="255"/>
  <c r="BR15" i="260"/>
  <c r="BC43" i="261"/>
  <c r="T13" i="260"/>
  <c r="BF283" i="279"/>
  <c r="BF342" i="277"/>
  <c r="BQ19" i="258"/>
  <c r="BQ15" i="260"/>
  <c r="BI48" i="248"/>
  <c r="X18" i="261"/>
  <c r="BD366" i="277"/>
  <c r="BD191" i="276"/>
  <c r="BD191" i="279"/>
  <c r="H10" i="203"/>
  <c r="K50" i="231"/>
  <c r="BB86" i="276"/>
  <c r="BB303"/>
  <c r="BB245" i="277"/>
  <c r="BB303" i="279"/>
  <c r="AG29" i="263"/>
  <c r="BE180" i="279"/>
  <c r="BE367" i="277"/>
  <c r="BE308" i="276"/>
  <c r="BE29" i="259"/>
  <c r="I27" i="231"/>
  <c r="I16"/>
  <c r="BD16" i="276"/>
  <c r="BD16" i="277"/>
  <c r="BD19" i="276"/>
  <c r="BF28" i="279"/>
  <c r="BF56" i="277"/>
  <c r="BI204"/>
  <c r="L22" i="231"/>
  <c r="L20"/>
  <c r="Q19" i="259"/>
  <c r="BC305" i="279"/>
  <c r="BC247" i="277"/>
  <c r="BC305" i="276"/>
  <c r="N21" i="259"/>
  <c r="AJ21"/>
  <c r="W22" i="260"/>
  <c r="K44" i="231"/>
  <c r="BF278" i="276"/>
  <c r="BF350" i="280"/>
  <c r="AG27" i="261"/>
  <c r="AG27" i="262"/>
  <c r="U46" i="256"/>
  <c r="BE337" i="277"/>
  <c r="BE278" i="279"/>
  <c r="T22" i="259"/>
  <c r="W15" i="261"/>
  <c r="W18" i="260"/>
  <c r="BH7" i="279"/>
  <c r="BH7" i="277"/>
  <c r="O87" i="244"/>
  <c r="BI247" i="280"/>
  <c r="BI285" i="277"/>
  <c r="BP48" i="255"/>
  <c r="V18" i="262"/>
  <c r="BH275" i="276"/>
  <c r="BH347" i="280"/>
  <c r="BH275" i="279"/>
  <c r="AJ22" i="261"/>
  <c r="X48" i="258"/>
  <c r="L87" i="244"/>
  <c r="BF226" i="279"/>
  <c r="K30" i="231"/>
  <c r="W27" i="260"/>
  <c r="BI143" i="276"/>
  <c r="BI203" i="277"/>
  <c r="BH144" i="279"/>
  <c r="BH144" i="276"/>
  <c r="BG330" i="277"/>
  <c r="BG271" i="279"/>
  <c r="T10" i="261"/>
  <c r="BP13" i="248"/>
  <c r="I52" i="231"/>
  <c r="K43"/>
  <c r="BF336" i="277"/>
  <c r="BF349" i="280"/>
  <c r="K53" i="231"/>
  <c r="L24"/>
  <c r="K60"/>
  <c r="J54"/>
  <c r="BP22" i="259"/>
  <c r="BH143" i="276"/>
  <c r="L23" i="231"/>
  <c r="L21"/>
  <c r="V46" i="255"/>
  <c r="BB88" i="279"/>
  <c r="BB147" i="277"/>
  <c r="BH204"/>
  <c r="H58" i="231"/>
  <c r="I13" i="248"/>
  <c r="BI46" i="257"/>
  <c r="M57" i="231"/>
  <c r="BF32" i="279"/>
  <c r="BF60" i="277"/>
  <c r="V13" i="260"/>
  <c r="Z65" i="257"/>
  <c r="BD88" i="276"/>
  <c r="BE84"/>
  <c r="BE143" i="277"/>
  <c r="M10" i="262"/>
  <c r="BC19" i="279"/>
  <c r="N45" i="231"/>
  <c r="BC88" i="279"/>
  <c r="BC147" i="277"/>
  <c r="BD84" i="279"/>
  <c r="BE11"/>
  <c r="BE11" i="277"/>
  <c r="BD18" i="276"/>
  <c r="BC38"/>
  <c r="BC66" i="277"/>
  <c r="BC112" i="279"/>
  <c r="BC361" i="276"/>
  <c r="BG121"/>
  <c r="BG368" i="279"/>
  <c r="BG180" i="277"/>
  <c r="BB361" i="279"/>
  <c r="BB112"/>
  <c r="BE113"/>
  <c r="BE362"/>
  <c r="BE172" i="277"/>
  <c r="BG123" i="279"/>
  <c r="BG370"/>
  <c r="BG369"/>
  <c r="BG122" i="276"/>
  <c r="BG181" i="277"/>
  <c r="BG122" i="279"/>
  <c r="BG369" i="276"/>
  <c r="BB171" i="277"/>
  <c r="BB112" i="276"/>
  <c r="BB361"/>
  <c r="BB319" i="279" l="1"/>
  <c r="BB196" i="280"/>
  <c r="BB319" i="276"/>
  <c r="BB378" i="277"/>
  <c r="K109" i="244"/>
  <c r="F87" i="203"/>
  <c r="DI17" i="259"/>
  <c r="BM40" i="263"/>
  <c r="BO40" s="1"/>
  <c r="BM42" i="260"/>
  <c r="BO42" s="1"/>
  <c r="X63" i="256"/>
  <c r="BM40" i="262"/>
  <c r="BO40" s="1"/>
  <c r="BA48" i="280"/>
  <c r="BM15" i="260"/>
  <c r="BM18" i="259"/>
  <c r="G87" i="203"/>
  <c r="DI17" i="258"/>
  <c r="AY48" i="280"/>
  <c r="M161" i="191"/>
  <c r="R20" i="258"/>
  <c r="AL14" i="256"/>
  <c r="BM13"/>
  <c r="AU21" i="231"/>
  <c r="M479" i="271"/>
  <c r="BM41" i="260"/>
  <c r="BO41" s="1"/>
  <c r="BG129" i="280"/>
  <c r="BG130"/>
  <c r="BE120"/>
  <c r="BG185" i="277"/>
  <c r="BG128" i="280"/>
  <c r="BG126" i="279"/>
  <c r="BG126" i="276"/>
  <c r="BC68" i="277"/>
  <c r="BC46" i="280"/>
  <c r="BC40" i="279"/>
  <c r="BC40" i="276"/>
  <c r="BC257" s="1"/>
  <c r="BD20" i="277"/>
  <c r="BD20" i="276"/>
  <c r="BE14" i="277"/>
  <c r="BB34" s="1"/>
  <c r="BE14" i="276"/>
  <c r="BD89" i="280"/>
  <c r="BC93"/>
  <c r="R10" i="263"/>
  <c r="BC20" i="277"/>
  <c r="BA37" s="1"/>
  <c r="BC19" i="280"/>
  <c r="BC20" i="279"/>
  <c r="BC20" i="280" s="1"/>
  <c r="BC20" i="276"/>
  <c r="R10" i="262"/>
  <c r="BE89" i="280"/>
  <c r="BD93"/>
  <c r="V14" i="260"/>
  <c r="V23" s="1"/>
  <c r="BF313" i="277"/>
  <c r="BF254" i="276"/>
  <c r="X17" i="262"/>
  <c r="X14" i="248"/>
  <c r="AL13"/>
  <c r="AG41" i="231"/>
  <c r="AR41" s="1"/>
  <c r="BH152" i="280"/>
  <c r="BB93"/>
  <c r="AL46" i="255"/>
  <c r="BG42" i="261"/>
  <c r="AK21" i="231"/>
  <c r="Z21"/>
  <c r="BH150" i="280"/>
  <c r="DI22" i="259"/>
  <c r="X20" i="260"/>
  <c r="Z10" i="231"/>
  <c r="AV10" s="1"/>
  <c r="BF363" i="280"/>
  <c r="BF291" i="279"/>
  <c r="BF350" i="277"/>
  <c r="BF291" i="276"/>
  <c r="AH43" i="231"/>
  <c r="AS43" s="1"/>
  <c r="AK46"/>
  <c r="AV46" s="1"/>
  <c r="BH151" i="280"/>
  <c r="BF300" i="277"/>
  <c r="BF262" i="280"/>
  <c r="BF241" i="279"/>
  <c r="BF241" i="276"/>
  <c r="X51" i="258"/>
  <c r="X52" s="1"/>
  <c r="BH289" i="279"/>
  <c r="BH361" i="280"/>
  <c r="BH348" i="277"/>
  <c r="BH289" i="276"/>
  <c r="V20" i="262"/>
  <c r="DI48" i="255"/>
  <c r="BI300" i="277"/>
  <c r="BI262" i="280"/>
  <c r="AL18" i="260"/>
  <c r="AJ42" i="231"/>
  <c r="AU42" s="1"/>
  <c r="W17" i="261"/>
  <c r="AL15"/>
  <c r="AK39" i="231"/>
  <c r="AV39" s="1"/>
  <c r="AL22" i="259"/>
  <c r="BE364" i="280"/>
  <c r="BE292" i="279"/>
  <c r="BE292" i="276"/>
  <c r="BE351" i="277"/>
  <c r="AI45" i="231"/>
  <c r="AT45" s="1"/>
  <c r="AL22" i="260"/>
  <c r="BF364" i="280"/>
  <c r="BF292" i="279"/>
  <c r="BF292" i="276"/>
  <c r="BF351" i="277"/>
  <c r="AJ45" i="231"/>
  <c r="AU45" s="1"/>
  <c r="DI22" i="260"/>
  <c r="AJ23" i="259"/>
  <c r="AL21"/>
  <c r="X34" i="231"/>
  <c r="AI44"/>
  <c r="AT44" s="1"/>
  <c r="BC319" i="276"/>
  <c r="BC378" i="277"/>
  <c r="BC319" i="279"/>
  <c r="BC196" i="280"/>
  <c r="U44" i="261"/>
  <c r="Z20" i="231"/>
  <c r="BF309" i="277"/>
  <c r="BF250" i="276"/>
  <c r="BD19" i="280"/>
  <c r="BD16"/>
  <c r="AG31" i="260"/>
  <c r="AG52" s="1"/>
  <c r="BE322" i="276"/>
  <c r="BE381" i="277"/>
  <c r="BE188" i="280"/>
  <c r="BE322" i="279"/>
  <c r="AG31" i="263"/>
  <c r="AG52" s="1"/>
  <c r="BB194" i="280"/>
  <c r="BB317" i="279"/>
  <c r="BB376" i="277"/>
  <c r="BB317" i="276"/>
  <c r="BB323" s="1"/>
  <c r="BB91" i="280"/>
  <c r="W14" i="260"/>
  <c r="H55" i="203"/>
  <c r="H86" s="1"/>
  <c r="BD321" i="279"/>
  <c r="BD199" i="280"/>
  <c r="BD321" i="276"/>
  <c r="BD380" i="277"/>
  <c r="BI152" i="280"/>
  <c r="BK48" i="248"/>
  <c r="DD51"/>
  <c r="DD52" s="1"/>
  <c r="DD71" s="1"/>
  <c r="BQ17" i="260"/>
  <c r="DD51" i="255"/>
  <c r="DD52" s="1"/>
  <c r="DD71" s="1"/>
  <c r="BQ20" i="258"/>
  <c r="BF347" i="277"/>
  <c r="BF288" i="276"/>
  <c r="BF288" i="279"/>
  <c r="BF360" i="280"/>
  <c r="T14" i="260"/>
  <c r="BR17"/>
  <c r="BK48" i="256"/>
  <c r="BM48" s="1"/>
  <c r="BK48" i="255"/>
  <c r="BM48" s="1"/>
  <c r="BI241" i="279"/>
  <c r="BI241" i="276"/>
  <c r="H60" i="203"/>
  <c r="H61" s="1"/>
  <c r="W67" i="257"/>
  <c r="W68" s="1"/>
  <c r="W71" s="1"/>
  <c r="AL48" i="248"/>
  <c r="BM48" s="1"/>
  <c r="DI21" i="260"/>
  <c r="BR20" i="258"/>
  <c r="BR23" s="1"/>
  <c r="BQ14" i="248"/>
  <c r="BQ23" s="1"/>
  <c r="BI7" i="280"/>
  <c r="BI151"/>
  <c r="K108" i="234"/>
  <c r="K107"/>
  <c r="BC318" i="279"/>
  <c r="BC195" i="280"/>
  <c r="BC318" i="276"/>
  <c r="BC377" i="277"/>
  <c r="BK47" i="260"/>
  <c r="G55" i="203"/>
  <c r="G56" s="1"/>
  <c r="G91" s="1"/>
  <c r="BI150" i="280"/>
  <c r="BF31" i="260"/>
  <c r="BF52" s="1"/>
  <c r="BF71" s="1"/>
  <c r="AL29" i="259"/>
  <c r="AE31"/>
  <c r="AE52" s="1"/>
  <c r="BR14"/>
  <c r="BE45" i="280"/>
  <c r="P20" i="260"/>
  <c r="P23" s="1"/>
  <c r="P71" s="1"/>
  <c r="R18"/>
  <c r="BF31" i="263"/>
  <c r="BF52" s="1"/>
  <c r="BF71" s="1"/>
  <c r="BE197" i="280"/>
  <c r="BE320" i="279"/>
  <c r="BE379" i="277"/>
  <c r="BE320" i="276"/>
  <c r="O366" i="159"/>
  <c r="O29" s="1"/>
  <c r="O401"/>
  <c r="O40" s="1"/>
  <c r="AR7" i="231"/>
  <c r="N688" i="270"/>
  <c r="O337"/>
  <c r="O336"/>
  <c r="O334"/>
  <c r="O338" s="1"/>
  <c r="H71" i="257"/>
  <c r="R23"/>
  <c r="M122" i="188"/>
  <c r="M117"/>
  <c r="H71" i="255"/>
  <c r="R23"/>
  <c r="F91" i="203"/>
  <c r="F62"/>
  <c r="F90" s="1"/>
  <c r="BE110" i="277"/>
  <c r="N619" i="270"/>
  <c r="N618"/>
  <c r="N616"/>
  <c r="K673"/>
  <c r="O246" i="184"/>
  <c r="L169" i="200"/>
  <c r="L172" s="1"/>
  <c r="L173" s="1"/>
  <c r="L174" s="1"/>
  <c r="O512" i="159"/>
  <c r="O410"/>
  <c r="O31" s="1"/>
  <c r="O19" s="1"/>
  <c r="L514" i="271"/>
  <c r="L480" i="270"/>
  <c r="K481"/>
  <c r="K640"/>
  <c r="M160" i="191"/>
  <c r="M184" s="1"/>
  <c r="M529" i="159"/>
  <c r="O231" i="184"/>
  <c r="O357" i="159"/>
  <c r="O38" s="1"/>
  <c r="O379"/>
  <c r="O39" s="1"/>
  <c r="O612" i="270"/>
  <c r="L182" i="200"/>
  <c r="L184" s="1"/>
  <c r="O555" i="270"/>
  <c r="K151" i="200"/>
  <c r="K154" s="1"/>
  <c r="BM43" i="260"/>
  <c r="BO43" s="1"/>
  <c r="J201" i="200"/>
  <c r="J151"/>
  <c r="J154" s="1"/>
  <c r="O388" i="159"/>
  <c r="O30" s="1"/>
  <c r="O18" s="1"/>
  <c r="O466"/>
  <c r="O467"/>
  <c r="I215" i="200"/>
  <c r="N231" i="184"/>
  <c r="I206" i="200"/>
  <c r="J643" i="270"/>
  <c r="I672" s="1"/>
  <c r="J642"/>
  <c r="I671" s="1"/>
  <c r="H206" i="200"/>
  <c r="M547" i="159"/>
  <c r="M550" s="1"/>
  <c r="AU20" i="231"/>
  <c r="M126" i="188"/>
  <c r="BM29" i="258"/>
  <c r="AY382" i="277"/>
  <c r="BF109"/>
  <c r="AW8" i="231"/>
  <c r="AL17" i="261"/>
  <c r="AL20" i="248"/>
  <c r="BM20" s="1"/>
  <c r="W23"/>
  <c r="N17" i="159"/>
  <c r="AX8" i="231"/>
  <c r="AY323" i="276"/>
  <c r="BB119" i="280"/>
  <c r="BC119"/>
  <c r="BD20" i="279"/>
  <c r="BD20" i="280" s="1"/>
  <c r="BD18"/>
  <c r="BE14" i="279"/>
  <c r="BE14" i="280" s="1"/>
  <c r="BE11"/>
  <c r="Z66" i="257"/>
  <c r="AU66" s="1"/>
  <c r="AU67" s="1"/>
  <c r="AU68" s="1"/>
  <c r="AU71" s="1"/>
  <c r="BF251" i="279"/>
  <c r="BF40" i="280"/>
  <c r="BF326" s="1"/>
  <c r="AL47" i="260"/>
  <c r="BK46" i="257"/>
  <c r="BM46" s="1"/>
  <c r="AA66" i="255"/>
  <c r="AV66" s="1"/>
  <c r="AV67" s="1"/>
  <c r="AV68" s="1"/>
  <c r="AV71" s="1"/>
  <c r="I14" i="248"/>
  <c r="R13"/>
  <c r="DI46" i="255"/>
  <c r="AL42" i="261"/>
  <c r="AL43"/>
  <c r="W20" i="258"/>
  <c r="AL19"/>
  <c r="BM19" s="1"/>
  <c r="BP17" i="260"/>
  <c r="DI15"/>
  <c r="DI13" i="248"/>
  <c r="BP14"/>
  <c r="AL10" i="261"/>
  <c r="BM10" s="1"/>
  <c r="DI27" i="260"/>
  <c r="CZ31"/>
  <c r="DI31" s="1"/>
  <c r="AL27"/>
  <c r="BM27" s="1"/>
  <c r="W31"/>
  <c r="Y22" i="231"/>
  <c r="L105" i="244"/>
  <c r="L108"/>
  <c r="T20" i="262"/>
  <c r="AL27" i="263"/>
  <c r="BM27" s="1"/>
  <c r="W31"/>
  <c r="AB22" i="231"/>
  <c r="DI27" i="263"/>
  <c r="CZ31"/>
  <c r="DI31" s="1"/>
  <c r="O105" i="244"/>
  <c r="O108"/>
  <c r="BH7" i="280"/>
  <c r="N107" i="244"/>
  <c r="N103"/>
  <c r="M107"/>
  <c r="M103"/>
  <c r="R21" i="259"/>
  <c r="N23"/>
  <c r="N71" s="1"/>
  <c r="J17" i="261"/>
  <c r="R15"/>
  <c r="Q20" i="259"/>
  <c r="Q23" s="1"/>
  <c r="Q71" s="1"/>
  <c r="R19"/>
  <c r="BG41" i="261"/>
  <c r="AY44"/>
  <c r="AY52" s="1"/>
  <c r="AY71" s="1"/>
  <c r="AK20" i="231"/>
  <c r="Z9"/>
  <c r="AV9" s="1"/>
  <c r="AL41" i="261"/>
  <c r="BM41" s="1"/>
  <c r="BO41" s="1"/>
  <c r="BF250" i="279"/>
  <c r="BF36" i="280"/>
  <c r="BF322" s="1"/>
  <c r="AX44" i="258"/>
  <c r="AX52" s="1"/>
  <c r="BG39"/>
  <c r="BG44" s="1"/>
  <c r="AH7" i="231"/>
  <c r="W6"/>
  <c r="AS6" s="1"/>
  <c r="AJ44" i="258"/>
  <c r="AL39"/>
  <c r="BM39" s="1"/>
  <c r="BO39" s="1"/>
  <c r="AH34" i="231"/>
  <c r="AS34" s="1"/>
  <c r="W7"/>
  <c r="BG29" i="259"/>
  <c r="BE31"/>
  <c r="AI22" i="231"/>
  <c r="AT22" s="1"/>
  <c r="X23"/>
  <c r="AT23" s="1"/>
  <c r="DI23" i="256"/>
  <c r="O272" i="187"/>
  <c r="O273" s="1"/>
  <c r="N272"/>
  <c r="N273" s="1"/>
  <c r="M639" i="270"/>
  <c r="L661" s="1"/>
  <c r="M638"/>
  <c r="M637"/>
  <c r="L659" s="1"/>
  <c r="O632"/>
  <c r="O633" s="1"/>
  <c r="N633"/>
  <c r="N546"/>
  <c r="N544"/>
  <c r="N545"/>
  <c r="M243" i="133"/>
  <c r="M247" s="1"/>
  <c r="M248" s="1"/>
  <c r="M160"/>
  <c r="O146"/>
  <c r="N150"/>
  <c r="N208"/>
  <c r="N256" s="1"/>
  <c r="N286"/>
  <c r="L253"/>
  <c r="L291"/>
  <c r="O152" i="191"/>
  <c r="O156" s="1"/>
  <c r="O145"/>
  <c r="O148" s="1"/>
  <c r="O141"/>
  <c r="O116"/>
  <c r="O127"/>
  <c r="O131" s="1"/>
  <c r="O120"/>
  <c r="O123" s="1"/>
  <c r="M602" i="270"/>
  <c r="M603"/>
  <c r="M604"/>
  <c r="O507"/>
  <c r="O506"/>
  <c r="O508"/>
  <c r="O584"/>
  <c r="O585"/>
  <c r="O583"/>
  <c r="L107" i="197"/>
  <c r="N90"/>
  <c r="M106"/>
  <c r="M105"/>
  <c r="O602" i="270"/>
  <c r="O603"/>
  <c r="O604"/>
  <c r="M162" i="200"/>
  <c r="M168" s="1"/>
  <c r="O128"/>
  <c r="O161" s="1"/>
  <c r="N161"/>
  <c r="N17" i="48"/>
  <c r="M31"/>
  <c r="O345" i="159"/>
  <c r="O28" s="1"/>
  <c r="O445"/>
  <c r="O336"/>
  <c r="O37" s="1"/>
  <c r="O41" s="1"/>
  <c r="O436"/>
  <c r="O465"/>
  <c r="O531" s="1"/>
  <c r="O497"/>
  <c r="O463"/>
  <c r="O499"/>
  <c r="O462"/>
  <c r="O530" s="1"/>
  <c r="O496"/>
  <c r="H689" i="270"/>
  <c r="H663"/>
  <c r="BC108" i="277"/>
  <c r="K641" i="270"/>
  <c r="I662"/>
  <c r="I658"/>
  <c r="BD108" i="277" s="1"/>
  <c r="N132" i="235"/>
  <c r="N131"/>
  <c r="O546" i="270"/>
  <c r="O544"/>
  <c r="O545"/>
  <c r="I219" i="200"/>
  <c r="G315" i="133"/>
  <c r="G278"/>
  <c r="G280" s="1"/>
  <c r="N145" i="191"/>
  <c r="N148" s="1"/>
  <c r="N152"/>
  <c r="N156" s="1"/>
  <c r="N141"/>
  <c r="N116"/>
  <c r="N120"/>
  <c r="N123" s="1"/>
  <c r="N127"/>
  <c r="N131" s="1"/>
  <c r="M92" i="236"/>
  <c r="N103" i="237"/>
  <c r="N102"/>
  <c r="M545" i="270"/>
  <c r="M544"/>
  <c r="M546"/>
  <c r="K199" i="191"/>
  <c r="M40" i="157"/>
  <c r="N30"/>
  <c r="M622" i="270"/>
  <c r="M621"/>
  <c r="M623"/>
  <c r="M644"/>
  <c r="K203" i="200"/>
  <c r="K191"/>
  <c r="N583" i="270"/>
  <c r="N584"/>
  <c r="N585"/>
  <c r="L113" i="157"/>
  <c r="L127"/>
  <c r="O148" i="133"/>
  <c r="O288" s="1"/>
  <c r="N288"/>
  <c r="J257"/>
  <c r="J276"/>
  <c r="BC44" i="261"/>
  <c r="BC52" s="1"/>
  <c r="BC71" s="1"/>
  <c r="BG43"/>
  <c r="M133" i="235"/>
  <c r="M41" i="157"/>
  <c r="N31"/>
  <c r="M200" i="184"/>
  <c r="M202" s="1"/>
  <c r="M191"/>
  <c r="M192" s="1"/>
  <c r="M215" s="1"/>
  <c r="M216"/>
  <c r="M182"/>
  <c r="M237" s="1"/>
  <c r="M246" s="1"/>
  <c r="M181"/>
  <c r="M236" s="1"/>
  <c r="M245" s="1"/>
  <c r="M183"/>
  <c r="M238" s="1"/>
  <c r="M247" s="1"/>
  <c r="O171"/>
  <c r="N174"/>
  <c r="N175" s="1"/>
  <c r="N188"/>
  <c r="L214"/>
  <c r="BF110" i="277" s="1"/>
  <c r="L203" i="184"/>
  <c r="L217" s="1"/>
  <c r="N602" i="270"/>
  <c r="N604"/>
  <c r="N603"/>
  <c r="BP20" i="258"/>
  <c r="DI19"/>
  <c r="L506" i="271"/>
  <c r="P59" i="188"/>
  <c r="N115"/>
  <c r="N16" i="159"/>
  <c r="N20" s="1"/>
  <c r="N32"/>
  <c r="N452"/>
  <c r="N513"/>
  <c r="N514"/>
  <c r="H674" i="270"/>
  <c r="G86" i="203"/>
  <c r="O618" i="270"/>
  <c r="O616"/>
  <c r="O619"/>
  <c r="O617"/>
  <c r="N466" i="271"/>
  <c r="N444"/>
  <c r="N90" i="236"/>
  <c r="N91"/>
  <c r="O90"/>
  <c r="O91"/>
  <c r="O103" i="237"/>
  <c r="O102"/>
  <c r="M180" i="200"/>
  <c r="M186" s="1"/>
  <c r="O129"/>
  <c r="O179" s="1"/>
  <c r="N179"/>
  <c r="L187"/>
  <c r="L190" s="1"/>
  <c r="L32" i="48"/>
  <c r="M18"/>
  <c r="L399" i="154"/>
  <c r="BF105" i="277"/>
  <c r="L377" i="154"/>
  <c r="N17" i="157"/>
  <c r="N21" s="1"/>
  <c r="N81" s="1"/>
  <c r="O18"/>
  <c r="O20"/>
  <c r="O19"/>
  <c r="O99"/>
  <c r="M96"/>
  <c r="M97"/>
  <c r="M114" s="1"/>
  <c r="M131" s="1"/>
  <c r="M99"/>
  <c r="M100" s="1"/>
  <c r="O16" i="48"/>
  <c r="O30" s="1"/>
  <c r="N30"/>
  <c r="O561" i="270"/>
  <c r="O559"/>
  <c r="O560"/>
  <c r="O562"/>
  <c r="N433" i="271"/>
  <c r="N467" s="1"/>
  <c r="N463"/>
  <c r="N477"/>
  <c r="N428"/>
  <c r="N474"/>
  <c r="J192" i="200"/>
  <c r="M167" i="191"/>
  <c r="M198" s="1"/>
  <c r="M583" i="270"/>
  <c r="M585"/>
  <c r="M584"/>
  <c r="M564"/>
  <c r="M565"/>
  <c r="M566"/>
  <c r="N461" i="159"/>
  <c r="N533" s="1"/>
  <c r="N443"/>
  <c r="N498"/>
  <c r="N519" s="1"/>
  <c r="N520"/>
  <c r="N505"/>
  <c r="M104" i="157"/>
  <c r="L105"/>
  <c r="L106" s="1"/>
  <c r="G219" i="200"/>
  <c r="O377" i="154"/>
  <c r="O399"/>
  <c r="L660" i="270"/>
  <c r="M506"/>
  <c r="M508"/>
  <c r="M507"/>
  <c r="N644"/>
  <c r="N621"/>
  <c r="N622"/>
  <c r="N623"/>
  <c r="M39" i="157"/>
  <c r="N29"/>
  <c r="O149" i="133"/>
  <c r="O289" s="1"/>
  <c r="N289"/>
  <c r="L146" i="200"/>
  <c r="L148" s="1"/>
  <c r="L201" s="1"/>
  <c r="L144"/>
  <c r="L150" s="1"/>
  <c r="N127"/>
  <c r="M143"/>
  <c r="M130"/>
  <c r="K202"/>
  <c r="K155"/>
  <c r="K156" s="1"/>
  <c r="K205"/>
  <c r="K206"/>
  <c r="K254" i="133"/>
  <c r="K279" s="1"/>
  <c r="M454" i="271"/>
  <c r="M505" s="1"/>
  <c r="M452"/>
  <c r="M503" s="1"/>
  <c r="M453"/>
  <c r="M504" s="1"/>
  <c r="N507" i="270"/>
  <c r="N508"/>
  <c r="N506"/>
  <c r="BE111" i="277"/>
  <c r="R22" i="259"/>
  <c r="O23"/>
  <c r="O71" s="1"/>
  <c r="M532" i="159"/>
  <c r="M534" s="1"/>
  <c r="M468"/>
  <c r="H277" i="133"/>
  <c r="H265"/>
  <c r="H313" s="1"/>
  <c r="H264"/>
  <c r="H312" s="1"/>
  <c r="H266"/>
  <c r="H314" s="1"/>
  <c r="N371" i="154"/>
  <c r="N369"/>
  <c r="N360"/>
  <c r="N396" s="1"/>
  <c r="M371"/>
  <c r="M369"/>
  <c r="M360"/>
  <c r="M396" s="1"/>
  <c r="BF111" i="277"/>
  <c r="R22" i="260"/>
  <c r="O23"/>
  <c r="O71" s="1"/>
  <c r="L199" i="191"/>
  <c r="O147" i="133"/>
  <c r="O287" s="1"/>
  <c r="N287"/>
  <c r="K218" i="184"/>
  <c r="BI320" i="280"/>
  <c r="N565" i="270"/>
  <c r="N564"/>
  <c r="N566"/>
  <c r="M511" i="271"/>
  <c r="M513"/>
  <c r="M512"/>
  <c r="M469"/>
  <c r="N477" i="270"/>
  <c r="K132" i="157"/>
  <c r="K130"/>
  <c r="K120"/>
  <c r="K143" s="1"/>
  <c r="K119"/>
  <c r="K142" s="1"/>
  <c r="K121"/>
  <c r="K144" s="1"/>
  <c r="M104" i="237"/>
  <c r="O28" i="157"/>
  <c r="N32"/>
  <c r="N87" s="1"/>
  <c r="N38"/>
  <c r="N42" s="1"/>
  <c r="I277" i="133"/>
  <c r="I264"/>
  <c r="I312" s="1"/>
  <c r="I265"/>
  <c r="I313" s="1"/>
  <c r="I266"/>
  <c r="I314" s="1"/>
  <c r="O132" i="235"/>
  <c r="O131"/>
  <c r="AJ52" i="248"/>
  <c r="AJ71" s="1"/>
  <c r="AL44"/>
  <c r="BM44" s="1"/>
  <c r="AX71"/>
  <c r="BG52"/>
  <c r="BG31" i="258"/>
  <c r="BM31" s="1"/>
  <c r="BE52"/>
  <c r="BE71" s="1"/>
  <c r="BB257" i="279"/>
  <c r="U58" i="260"/>
  <c r="T23" i="257"/>
  <c r="AL12"/>
  <c r="BM12" s="1"/>
  <c r="R17" i="260"/>
  <c r="BM17" s="1"/>
  <c r="J23"/>
  <c r="J71" s="1"/>
  <c r="R14" i="256"/>
  <c r="I23"/>
  <c r="I71" s="1"/>
  <c r="P23" i="259"/>
  <c r="P71" s="1"/>
  <c r="T23" i="255"/>
  <c r="AL12"/>
  <c r="BM12" s="1"/>
  <c r="BA257" i="279"/>
  <c r="J109" i="234"/>
  <c r="W52" i="259"/>
  <c r="BF133" i="280"/>
  <c r="X65" i="257"/>
  <c r="BE187" i="276"/>
  <c r="BE363" i="277"/>
  <c r="BE187" i="279"/>
  <c r="X65" i="255"/>
  <c r="BD187" i="276"/>
  <c r="BD363" i="277"/>
  <c r="BD187" i="279"/>
  <c r="BF189"/>
  <c r="BF365" i="277"/>
  <c r="BF306" i="276"/>
  <c r="J27" i="231"/>
  <c r="BA8" i="277"/>
  <c r="P18" i="261"/>
  <c r="BP48" i="248"/>
  <c r="BC43" i="262"/>
  <c r="W65" i="255"/>
  <c r="BR15" i="261"/>
  <c r="BQ19" i="259"/>
  <c r="BA217" i="280"/>
  <c r="BA209" i="276"/>
  <c r="BI37" i="279"/>
  <c r="BI65" i="277"/>
  <c r="AE29" i="263"/>
  <c r="J32" i="231"/>
  <c r="BP21" i="261"/>
  <c r="BP19" i="259"/>
  <c r="BC86" i="279"/>
  <c r="AY79"/>
  <c r="AY79" i="276"/>
  <c r="BQ21" i="263"/>
  <c r="V48" i="259"/>
  <c r="BQ15" i="261"/>
  <c r="BR19" i="259"/>
  <c r="BE250" i="277"/>
  <c r="BE307" i="276"/>
  <c r="BE191" i="279"/>
  <c r="BF307"/>
  <c r="BF191" i="276"/>
  <c r="BF366" i="277"/>
  <c r="BC268"/>
  <c r="BC209" i="279"/>
  <c r="AX39" i="259"/>
  <c r="BF65" i="277"/>
  <c r="BF37" i="279"/>
  <c r="AY8" i="276"/>
  <c r="AA65" i="257"/>
  <c r="BQ13" i="258"/>
  <c r="BC61" i="279"/>
  <c r="BC68" i="280"/>
  <c r="BF29" i="262"/>
  <c r="L97" i="234"/>
  <c r="BR46" i="248"/>
  <c r="L50" i="231"/>
  <c r="M59"/>
  <c r="BG355" i="280"/>
  <c r="BG283" i="276"/>
  <c r="L39" i="231"/>
  <c r="E55"/>
  <c r="F10" i="201"/>
  <c r="AY45" i="276"/>
  <c r="F63" i="231"/>
  <c r="BA47" i="276"/>
  <c r="BF180"/>
  <c r="BF308"/>
  <c r="BF180" i="279"/>
  <c r="K12" i="231"/>
  <c r="BI180" i="279"/>
  <c r="BI308" i="276"/>
  <c r="BI180"/>
  <c r="N12" i="231"/>
  <c r="AG29" i="262"/>
  <c r="BE16" i="279"/>
  <c r="BE16" i="277"/>
  <c r="BE19" i="276"/>
  <c r="BG28"/>
  <c r="BG56" i="277"/>
  <c r="BI271" i="276"/>
  <c r="BI271" i="279"/>
  <c r="T10" i="263"/>
  <c r="BH330" i="277"/>
  <c r="BH343" i="280"/>
  <c r="BH271" i="279"/>
  <c r="N65" i="231"/>
  <c r="N40"/>
  <c r="BI275" i="276"/>
  <c r="BI347" i="280"/>
  <c r="I58" i="231"/>
  <c r="I13" i="258"/>
  <c r="U43" i="262"/>
  <c r="M20" i="231"/>
  <c r="M22"/>
  <c r="Q19" i="260"/>
  <c r="BG32" i="276"/>
  <c r="BG60" i="277"/>
  <c r="BG336"/>
  <c r="BG277" i="279"/>
  <c r="T21" i="261"/>
  <c r="W21"/>
  <c r="K61" i="231"/>
  <c r="M48"/>
  <c r="M37"/>
  <c r="BH273" i="276"/>
  <c r="T15" i="262"/>
  <c r="M23" i="231"/>
  <c r="M21"/>
  <c r="N23"/>
  <c r="N21"/>
  <c r="N20"/>
  <c r="N22"/>
  <c r="L60"/>
  <c r="J15" i="262"/>
  <c r="BG337" i="277"/>
  <c r="BG278" i="279"/>
  <c r="T22" i="261"/>
  <c r="V13"/>
  <c r="BP15"/>
  <c r="BE17" i="279"/>
  <c r="L51" i="231"/>
  <c r="V46" i="256"/>
  <c r="AE27" i="262"/>
  <c r="BH226" i="279"/>
  <c r="M30" i="231"/>
  <c r="BH285" i="277"/>
  <c r="CZ27" i="262"/>
  <c r="M87" i="244"/>
  <c r="BG226" i="276"/>
  <c r="BG247" i="280"/>
  <c r="W27" i="261"/>
  <c r="BF17" i="279"/>
  <c r="BF17" i="277"/>
  <c r="W19" i="259"/>
  <c r="BP46" i="248"/>
  <c r="U43" i="263"/>
  <c r="BC27" i="279"/>
  <c r="BD38"/>
  <c r="BD66" i="277"/>
  <c r="BF11" i="279"/>
  <c r="BB10" i="276"/>
  <c r="BB10" i="277"/>
  <c r="BE18" i="279"/>
  <c r="BF18"/>
  <c r="BF18" i="277"/>
  <c r="BH123" i="276"/>
  <c r="BH370" i="279"/>
  <c r="BI182" i="277"/>
  <c r="BI123" i="276"/>
  <c r="BI123" i="279"/>
  <c r="BE246" i="277"/>
  <c r="BE304" i="276"/>
  <c r="BE304" i="279"/>
  <c r="F70" i="231"/>
  <c r="BD304" i="276"/>
  <c r="BD246" i="277"/>
  <c r="BD304" i="279"/>
  <c r="BF306"/>
  <c r="BF189" i="276"/>
  <c r="BF248" i="277"/>
  <c r="AJ39" i="259"/>
  <c r="BA8" i="279"/>
  <c r="BA8" i="276"/>
  <c r="U48" i="258"/>
  <c r="BP13"/>
  <c r="BQ21" i="261"/>
  <c r="BI48" i="259"/>
  <c r="BQ46" i="256"/>
  <c r="BC43" i="263"/>
  <c r="BA209" i="279"/>
  <c r="BA268" i="277"/>
  <c r="BI37" i="276"/>
  <c r="BR13" i="260"/>
  <c r="BI47" i="261"/>
  <c r="X48" i="259"/>
  <c r="BR22" i="261"/>
  <c r="BC145" i="277"/>
  <c r="BC86" i="276"/>
  <c r="AY138" i="277"/>
  <c r="BJ65" i="257"/>
  <c r="BR21" i="261"/>
  <c r="BJ46" i="259"/>
  <c r="BR46" i="256"/>
  <c r="BQ46" i="248"/>
  <c r="BE366" i="277"/>
  <c r="BE191" i="276"/>
  <c r="BE307" i="279"/>
  <c r="BF191"/>
  <c r="BF307" i="276"/>
  <c r="BF250" i="277"/>
  <c r="BC217" i="280"/>
  <c r="BC209" i="276"/>
  <c r="J16" i="231"/>
  <c r="BF37" i="276"/>
  <c r="AY8" i="277"/>
  <c r="AY8" i="279"/>
  <c r="E70" i="231"/>
  <c r="BC61" i="276"/>
  <c r="BC120" i="277"/>
  <c r="AE29" i="260"/>
  <c r="BF29" i="261"/>
  <c r="W65" i="256"/>
  <c r="W13" i="261"/>
  <c r="X18" i="262"/>
  <c r="T13" i="261"/>
  <c r="BG283" i="279"/>
  <c r="BG342" i="277"/>
  <c r="BJ65" i="255"/>
  <c r="AY73" i="277"/>
  <c r="AY45" i="279"/>
  <c r="BA47"/>
  <c r="G11" i="201"/>
  <c r="F11" i="231" s="1"/>
  <c r="BA75" i="277"/>
  <c r="BF239"/>
  <c r="BF367"/>
  <c r="BF308" i="279"/>
  <c r="BE29" i="260"/>
  <c r="BI308" i="279"/>
  <c r="BI239" i="277"/>
  <c r="BI367"/>
  <c r="BE29" i="263"/>
  <c r="AG29" i="261"/>
  <c r="BE16" i="276"/>
  <c r="BE19" i="279"/>
  <c r="BE19" i="277"/>
  <c r="BG28" i="279"/>
  <c r="N41" i="231"/>
  <c r="BI330" i="277"/>
  <c r="BI343" i="280"/>
  <c r="M41" i="231"/>
  <c r="BH271" i="276"/>
  <c r="T10" i="262"/>
  <c r="X47" i="261"/>
  <c r="V18" i="263"/>
  <c r="BI334" i="277"/>
  <c r="BI275" i="279"/>
  <c r="T18" i="263"/>
  <c r="X13" i="258"/>
  <c r="M24" i="231"/>
  <c r="BI46" i="255"/>
  <c r="AY41" i="262"/>
  <c r="U41"/>
  <c r="U46" i="258"/>
  <c r="BG32" i="279"/>
  <c r="L43" i="231"/>
  <c r="BG277" i="276"/>
  <c r="BG349" i="280"/>
  <c r="L53" i="231"/>
  <c r="N21" i="260"/>
  <c r="AJ21"/>
  <c r="W15" i="262"/>
  <c r="BH332" i="277"/>
  <c r="BH345" i="280"/>
  <c r="BH273" i="279"/>
  <c r="U42" i="262"/>
  <c r="AY42"/>
  <c r="U42" i="263"/>
  <c r="AY42"/>
  <c r="AY41"/>
  <c r="U41"/>
  <c r="X19" i="261"/>
  <c r="L44" i="231"/>
  <c r="BG278" i="276"/>
  <c r="BG350" i="280"/>
  <c r="L64" i="231"/>
  <c r="U48" i="260"/>
  <c r="BE17" i="276"/>
  <c r="BE17" i="277"/>
  <c r="W18" i="261"/>
  <c r="BP46" i="256"/>
  <c r="N87" i="244"/>
  <c r="BH226" i="276"/>
  <c r="BH247" i="280"/>
  <c r="W27" i="262"/>
  <c r="AE27" i="261"/>
  <c r="BG226" i="279"/>
  <c r="L30" i="231"/>
  <c r="BG285" i="277"/>
  <c r="CZ27" i="261"/>
  <c r="BF17" i="276"/>
  <c r="J52" i="231"/>
  <c r="V46" i="248"/>
  <c r="N24" i="231"/>
  <c r="BC27" i="276"/>
  <c r="BC55" i="277"/>
  <c r="BD38" i="276"/>
  <c r="BF11"/>
  <c r="BF11" i="277"/>
  <c r="BB10" i="279"/>
  <c r="BE18" i="276"/>
  <c r="BE18" i="277"/>
  <c r="BF18" i="276"/>
  <c r="E9" i="231"/>
  <c r="BH123" i="279"/>
  <c r="BH370" i="276"/>
  <c r="BH182" i="277"/>
  <c r="BH121" i="279"/>
  <c r="BH368"/>
  <c r="BD112"/>
  <c r="BD361"/>
  <c r="BD171" i="277"/>
  <c r="BH369" i="279"/>
  <c r="BH122"/>
  <c r="BI181" i="277"/>
  <c r="BF113" i="279"/>
  <c r="BF362"/>
  <c r="BF172" i="277"/>
  <c r="BD172"/>
  <c r="BD362" i="279"/>
  <c r="BD113" i="276"/>
  <c r="BI369" i="279"/>
  <c r="BI369" i="276"/>
  <c r="BI121"/>
  <c r="BI368"/>
  <c r="BI370"/>
  <c r="BI370" i="279"/>
  <c r="BD362" i="276"/>
  <c r="BD113" i="279"/>
  <c r="BH180" i="277"/>
  <c r="BH368" i="276"/>
  <c r="BH121"/>
  <c r="BD112"/>
  <c r="BD361"/>
  <c r="BH181" i="277"/>
  <c r="BH122" i="276"/>
  <c r="BH369"/>
  <c r="BI122"/>
  <c r="BI122" i="279"/>
  <c r="BI368"/>
  <c r="BI121"/>
  <c r="BI180" i="277"/>
  <c r="BF113" i="276"/>
  <c r="BF362"/>
  <c r="BB382" i="277" l="1"/>
  <c r="DI20" i="258"/>
  <c r="AL31" i="259"/>
  <c r="BM14" i="256"/>
  <c r="H87" i="203"/>
  <c r="R20" i="259"/>
  <c r="K109" i="234"/>
  <c r="X67" i="257"/>
  <c r="X68" s="1"/>
  <c r="X71" s="1"/>
  <c r="BE195" i="280"/>
  <c r="BE318" i="279"/>
  <c r="BE377" i="277"/>
  <c r="BE318" i="276"/>
  <c r="H56" i="203"/>
  <c r="H57" s="1"/>
  <c r="H89" s="1"/>
  <c r="BM15" i="261"/>
  <c r="H91" i="203"/>
  <c r="O109" i="244"/>
  <c r="L109"/>
  <c r="BM13" i="248"/>
  <c r="BM47" i="260"/>
  <c r="M183" i="191"/>
  <c r="BM18" i="260"/>
  <c r="BD195" i="280"/>
  <c r="BD318" i="279"/>
  <c r="BD377" i="277"/>
  <c r="BD318" i="276"/>
  <c r="X67" i="255"/>
  <c r="X68" s="1"/>
  <c r="X71" s="1"/>
  <c r="BM22" i="260"/>
  <c r="M165" i="191"/>
  <c r="M196" s="1"/>
  <c r="M199" s="1"/>
  <c r="H62" i="203"/>
  <c r="H90" s="1"/>
  <c r="M185" i="191"/>
  <c r="AV20" i="231"/>
  <c r="BM21" i="259"/>
  <c r="BM22"/>
  <c r="DI17" i="260"/>
  <c r="BM42" i="261"/>
  <c r="BO42" s="1"/>
  <c r="N438" i="271"/>
  <c r="N445"/>
  <c r="BI130" i="280"/>
  <c r="BI126" i="276"/>
  <c r="BI128" i="280"/>
  <c r="BI126" i="279"/>
  <c r="BI129" i="280"/>
  <c r="BD120"/>
  <c r="BF120"/>
  <c r="BI185" i="277"/>
  <c r="BH129" i="280"/>
  <c r="BH185" i="277"/>
  <c r="BH128" i="280"/>
  <c r="BH126" i="279"/>
  <c r="BH126" i="276"/>
  <c r="BH130" i="280"/>
  <c r="BE20" i="277"/>
  <c r="BB37" s="1"/>
  <c r="BE20" i="276"/>
  <c r="BB10" i="280"/>
  <c r="BF14" i="277"/>
  <c r="BF14" i="276"/>
  <c r="BD68" i="277"/>
  <c r="BD40" i="276"/>
  <c r="BD257" s="1"/>
  <c r="BD46" i="280"/>
  <c r="BD40" i="279"/>
  <c r="AB10" i="231"/>
  <c r="AX10" s="1"/>
  <c r="AL46" i="248"/>
  <c r="AI43" i="231"/>
  <c r="AT43" s="1"/>
  <c r="BF17" i="280"/>
  <c r="BG300" i="277"/>
  <c r="BG262" i="280"/>
  <c r="BG241" i="276"/>
  <c r="BG241" i="279"/>
  <c r="BH300" i="277"/>
  <c r="BH262" i="280"/>
  <c r="BH241" i="276"/>
  <c r="BH241" i="279"/>
  <c r="AL46" i="256"/>
  <c r="AL18" i="261"/>
  <c r="AK42" i="231"/>
  <c r="AV42" s="1"/>
  <c r="BB39" i="277"/>
  <c r="BE17" i="280"/>
  <c r="V14" i="261"/>
  <c r="V23" s="1"/>
  <c r="BG364" i="280"/>
  <c r="BG292" i="279"/>
  <c r="BG292" i="276"/>
  <c r="BG351" i="277"/>
  <c r="X20" i="261"/>
  <c r="U44" i="263"/>
  <c r="AB20" i="231"/>
  <c r="BG42" i="263"/>
  <c r="AM21" i="231"/>
  <c r="AB21"/>
  <c r="BG42" i="262"/>
  <c r="AL21" i="231"/>
  <c r="AA21"/>
  <c r="BH287" i="279"/>
  <c r="BH359" i="280"/>
  <c r="BH287" i="276"/>
  <c r="BH346" i="277"/>
  <c r="AL39" i="231"/>
  <c r="AW39" s="1"/>
  <c r="W17" i="262"/>
  <c r="AJ23" i="260"/>
  <c r="AL21"/>
  <c r="Y34" i="231"/>
  <c r="AJ44"/>
  <c r="AU44" s="1"/>
  <c r="BG363" i="280"/>
  <c r="BG291" i="279"/>
  <c r="BG291" i="276"/>
  <c r="BG350" i="277"/>
  <c r="BG313"/>
  <c r="BG254" i="276"/>
  <c r="U44" i="262"/>
  <c r="AA20" i="231"/>
  <c r="AA10"/>
  <c r="AW10" s="1"/>
  <c r="X14" i="258"/>
  <c r="AL13"/>
  <c r="AH41" i="231"/>
  <c r="AS41" s="1"/>
  <c r="BI361" i="280"/>
  <c r="BI289" i="279"/>
  <c r="BI289" i="276"/>
  <c r="BI348" i="277"/>
  <c r="V20" i="263"/>
  <c r="AL46" i="231"/>
  <c r="AW46" s="1"/>
  <c r="AM46"/>
  <c r="AX46" s="1"/>
  <c r="BG309" i="277"/>
  <c r="BG250" i="276"/>
  <c r="BE19" i="280"/>
  <c r="BB38" i="277"/>
  <c r="BE16" i="280"/>
  <c r="AG31" i="261"/>
  <c r="AG52" s="1"/>
  <c r="AG31" i="262"/>
  <c r="AG52" s="1"/>
  <c r="BI381" i="277"/>
  <c r="BI322" i="276"/>
  <c r="BI322" i="279"/>
  <c r="BI188" i="280"/>
  <c r="BF322" i="279"/>
  <c r="BF188" i="280"/>
  <c r="BF381" i="277"/>
  <c r="BF322" i="276"/>
  <c r="T31" i="231"/>
  <c r="S33"/>
  <c r="BJ67" i="255"/>
  <c r="BK67" s="1"/>
  <c r="BK65"/>
  <c r="BG347" i="277"/>
  <c r="BG288" i="276"/>
  <c r="BG288" i="279"/>
  <c r="BG360" i="280"/>
  <c r="T14" i="261"/>
  <c r="W14"/>
  <c r="W67" i="256"/>
  <c r="W68" s="1"/>
  <c r="W71" s="1"/>
  <c r="L107" i="234"/>
  <c r="L108"/>
  <c r="BF31" i="261"/>
  <c r="BF52" s="1"/>
  <c r="BF71" s="1"/>
  <c r="BF31" i="262"/>
  <c r="BF52" s="1"/>
  <c r="BF71" s="1"/>
  <c r="AL29" i="260"/>
  <c r="AE31"/>
  <c r="AE52" s="1"/>
  <c r="BQ14" i="258"/>
  <c r="BQ23" s="1"/>
  <c r="AA66" i="257"/>
  <c r="AV66" s="1"/>
  <c r="AV67" s="1"/>
  <c r="AV68" s="1"/>
  <c r="AV71" s="1"/>
  <c r="AY8" i="280"/>
  <c r="AY9" i="279"/>
  <c r="AY9" i="276"/>
  <c r="AY21" s="1"/>
  <c r="AY9" i="277"/>
  <c r="AY21" s="1"/>
  <c r="BF45" i="280"/>
  <c r="X6" i="231"/>
  <c r="AT6" s="1"/>
  <c r="AI7"/>
  <c r="BG39" i="259"/>
  <c r="BG44" s="1"/>
  <c r="AX44"/>
  <c r="AX52" s="1"/>
  <c r="AX71" s="1"/>
  <c r="BF380" i="277"/>
  <c r="BF321" i="276"/>
  <c r="BF199" i="280"/>
  <c r="BF321" i="279"/>
  <c r="BE321"/>
  <c r="BE199" i="280"/>
  <c r="BE321" i="276"/>
  <c r="BE380" i="277"/>
  <c r="BR20" i="259"/>
  <c r="BR23" s="1"/>
  <c r="BQ17" i="261"/>
  <c r="AL48" i="259"/>
  <c r="BJ67" i="257"/>
  <c r="BK67" s="1"/>
  <c r="BK65"/>
  <c r="AY84" i="280"/>
  <c r="BC91"/>
  <c r="DI21" i="261"/>
  <c r="X51" i="259"/>
  <c r="X52" s="1"/>
  <c r="BK47" i="261"/>
  <c r="AL29" i="263"/>
  <c r="AE31"/>
  <c r="AE52" s="1"/>
  <c r="BR14" i="260"/>
  <c r="BI45" i="280"/>
  <c r="BQ20" i="259"/>
  <c r="BR17" i="261"/>
  <c r="BK48" i="259"/>
  <c r="W67" i="255"/>
  <c r="W68" s="1"/>
  <c r="W71" s="1"/>
  <c r="BP14" i="258"/>
  <c r="DI13"/>
  <c r="DI48" i="248"/>
  <c r="P20" i="261"/>
  <c r="P23" s="1"/>
  <c r="P71" s="1"/>
  <c r="R18"/>
  <c r="BM18" s="1"/>
  <c r="BA9" i="276"/>
  <c r="BA21" s="1"/>
  <c r="BA9" i="277"/>
  <c r="BA21" s="1"/>
  <c r="BA8" i="280"/>
  <c r="BA9" i="279"/>
  <c r="AI34" i="231"/>
  <c r="AT34" s="1"/>
  <c r="X7"/>
  <c r="AL39" i="259"/>
  <c r="AJ44"/>
  <c r="BF320" i="276"/>
  <c r="BF379" i="277"/>
  <c r="BF197" i="280"/>
  <c r="BF320" i="279"/>
  <c r="S465" i="271"/>
  <c r="K255" i="133"/>
  <c r="N504" i="159"/>
  <c r="N547" s="1"/>
  <c r="N550" s="1"/>
  <c r="N529"/>
  <c r="N479" i="271"/>
  <c r="M182" i="200"/>
  <c r="M184" s="1"/>
  <c r="G57" i="203"/>
  <c r="G89" s="1"/>
  <c r="N162" i="191"/>
  <c r="N186" s="1"/>
  <c r="O160"/>
  <c r="AJ52" i="258"/>
  <c r="AJ71" s="1"/>
  <c r="AL44"/>
  <c r="BM44" s="1"/>
  <c r="W64" i="248"/>
  <c r="W63"/>
  <c r="M480" i="270"/>
  <c r="L640"/>
  <c r="L481"/>
  <c r="N122" i="188"/>
  <c r="R71" i="257"/>
  <c r="AG63" i="260"/>
  <c r="AG71"/>
  <c r="X23" i="248"/>
  <c r="AL14"/>
  <c r="BC316" i="277"/>
  <c r="L151" i="200"/>
  <c r="L154" s="1"/>
  <c r="N506" i="159"/>
  <c r="N521"/>
  <c r="L204" i="200"/>
  <c r="N160" i="191"/>
  <c r="N184" s="1"/>
  <c r="O162"/>
  <c r="O186" s="1"/>
  <c r="BM43" i="261"/>
  <c r="BO43" s="1"/>
  <c r="Z67" i="257"/>
  <c r="Z68" s="1"/>
  <c r="Z71" s="1"/>
  <c r="N126" i="188"/>
  <c r="M673" i="270"/>
  <c r="AS7" i="231"/>
  <c r="AL20" i="258"/>
  <c r="BM20" s="1"/>
  <c r="W23"/>
  <c r="AA67" i="255"/>
  <c r="AA68" s="1"/>
  <c r="AA71" s="1"/>
  <c r="J155" i="200"/>
  <c r="J202"/>
  <c r="K642" i="270"/>
  <c r="J671" s="1"/>
  <c r="K643"/>
  <c r="J672" s="1"/>
  <c r="AE63" i="259"/>
  <c r="AE71"/>
  <c r="BC253" i="279"/>
  <c r="BC48" i="280"/>
  <c r="BG133"/>
  <c r="M514" i="271"/>
  <c r="L673" i="270"/>
  <c r="N161" i="191"/>
  <c r="M164" i="200"/>
  <c r="M166" s="1"/>
  <c r="M169" s="1"/>
  <c r="M172" s="1"/>
  <c r="M173" s="1"/>
  <c r="M174" s="1"/>
  <c r="O161" i="191"/>
  <c r="I674" i="270"/>
  <c r="BG109" i="277"/>
  <c r="R71" i="255"/>
  <c r="N117" i="188"/>
  <c r="O17" i="159"/>
  <c r="BM29" i="259"/>
  <c r="AG71" i="263"/>
  <c r="AG63"/>
  <c r="U58" i="261"/>
  <c r="AV21" i="231"/>
  <c r="BD119" i="280"/>
  <c r="T19" i="231"/>
  <c r="AP19" s="1"/>
  <c r="F69"/>
  <c r="AE38"/>
  <c r="S17"/>
  <c r="AO17" s="1"/>
  <c r="S26"/>
  <c r="AO26" s="1"/>
  <c r="E68"/>
  <c r="AD37"/>
  <c r="BF18" i="280"/>
  <c r="BE20" i="279"/>
  <c r="BE20" i="280" s="1"/>
  <c r="BE18"/>
  <c r="BF14" i="279"/>
  <c r="BF14" i="280" s="1"/>
  <c r="BF11"/>
  <c r="BC308" i="277"/>
  <c r="BC62"/>
  <c r="BC249" i="279"/>
  <c r="BC35" i="280"/>
  <c r="BC321" s="1"/>
  <c r="BC34" i="279"/>
  <c r="BC42" i="280" s="1"/>
  <c r="BC249" i="276"/>
  <c r="BC34"/>
  <c r="AL43" i="263"/>
  <c r="DI46" i="248"/>
  <c r="W20" i="259"/>
  <c r="AL19"/>
  <c r="BM19" s="1"/>
  <c r="CZ31" i="261"/>
  <c r="DI31" s="1"/>
  <c r="DI27"/>
  <c r="AL27"/>
  <c r="BM27" s="1"/>
  <c r="W31"/>
  <c r="Z22" i="231"/>
  <c r="M105" i="244"/>
  <c r="M108"/>
  <c r="DI27" i="262"/>
  <c r="CZ31"/>
  <c r="DI31" s="1"/>
  <c r="AL27"/>
  <c r="BM27" s="1"/>
  <c r="W31"/>
  <c r="AA22" i="231"/>
  <c r="N105" i="244"/>
  <c r="N108"/>
  <c r="DI46" i="256"/>
  <c r="BP17" i="261"/>
  <c r="DI17" s="1"/>
  <c r="DI15"/>
  <c r="J17" i="262"/>
  <c r="R15"/>
  <c r="AL41" i="263"/>
  <c r="AY44"/>
  <c r="AY52" s="1"/>
  <c r="AY71" s="1"/>
  <c r="BG41"/>
  <c r="AM20" i="231"/>
  <c r="AX20" s="1"/>
  <c r="AB9"/>
  <c r="AX9" s="1"/>
  <c r="AL42" i="263"/>
  <c r="AL42" i="262"/>
  <c r="BM42" s="1"/>
  <c r="BO42" s="1"/>
  <c r="T17"/>
  <c r="AL17" s="1"/>
  <c r="AL15"/>
  <c r="R21" i="260"/>
  <c r="N23"/>
  <c r="N71" s="1"/>
  <c r="BG251" i="279"/>
  <c r="BG40" i="280"/>
  <c r="BG326" s="1"/>
  <c r="Q20" i="260"/>
  <c r="R19"/>
  <c r="AL41" i="262"/>
  <c r="BG41"/>
  <c r="AY44"/>
  <c r="AY52" s="1"/>
  <c r="AY71" s="1"/>
  <c r="AA9" i="231"/>
  <c r="AW9" s="1"/>
  <c r="AL20"/>
  <c r="AW20" s="1"/>
  <c r="BK46" i="255"/>
  <c r="BM46" s="1"/>
  <c r="AL43" i="262"/>
  <c r="I14" i="258"/>
  <c r="R13"/>
  <c r="T20" i="263"/>
  <c r="AL47" i="261"/>
  <c r="AL10" i="262"/>
  <c r="BM10" s="1"/>
  <c r="AL10" i="263"/>
  <c r="BM10" s="1"/>
  <c r="BG250" i="279"/>
  <c r="BG36" i="280"/>
  <c r="BG322" s="1"/>
  <c r="BE31" i="263"/>
  <c r="BG29"/>
  <c r="AM22" i="231"/>
  <c r="AX22" s="1"/>
  <c r="AB23"/>
  <c r="AX23" s="1"/>
  <c r="BE31" i="260"/>
  <c r="BG29"/>
  <c r="AJ22" i="231"/>
  <c r="AU22" s="1"/>
  <c r="Y23"/>
  <c r="AU23" s="1"/>
  <c r="BA77" i="277"/>
  <c r="BA112" s="1"/>
  <c r="BA402"/>
  <c r="BA404" s="1"/>
  <c r="BA409" s="1"/>
  <c r="BA49" i="276"/>
  <c r="BA260" s="1"/>
  <c r="BA343"/>
  <c r="BA345" s="1"/>
  <c r="BA350" s="1"/>
  <c r="BA382"/>
  <c r="G30" i="201"/>
  <c r="BA49" i="279"/>
  <c r="BA67" s="1"/>
  <c r="BA74" i="280" s="1"/>
  <c r="BA71" i="279"/>
  <c r="BA55" i="280"/>
  <c r="BA343" i="279"/>
  <c r="BA345" s="1"/>
  <c r="BA350" s="1"/>
  <c r="BA380"/>
  <c r="AY339" i="276"/>
  <c r="AY341" s="1"/>
  <c r="AY349" s="1"/>
  <c r="AY381"/>
  <c r="AY46"/>
  <c r="AY259" s="1"/>
  <c r="AY53" i="280"/>
  <c r="AY331" s="1"/>
  <c r="AY339" i="279"/>
  <c r="AY341" s="1"/>
  <c r="AY349" s="1"/>
  <c r="AY379"/>
  <c r="AY46"/>
  <c r="AY255" s="1"/>
  <c r="F29" i="201"/>
  <c r="AY398" i="277"/>
  <c r="AY400" s="1"/>
  <c r="AY408" s="1"/>
  <c r="AY74"/>
  <c r="AY318" s="1"/>
  <c r="T49" i="255"/>
  <c r="T58"/>
  <c r="T64"/>
  <c r="T71"/>
  <c r="AL23"/>
  <c r="BM23" s="1"/>
  <c r="T49" i="257"/>
  <c r="T58"/>
  <c r="T64"/>
  <c r="T71"/>
  <c r="AL23"/>
  <c r="BM23" s="1"/>
  <c r="O133" i="235"/>
  <c r="BC44" i="263"/>
  <c r="BC52" s="1"/>
  <c r="BC71" s="1"/>
  <c r="BG43"/>
  <c r="I315" i="133"/>
  <c r="I278"/>
  <c r="I280" s="1"/>
  <c r="O32" i="157"/>
  <c r="O87" s="1"/>
  <c r="O96" s="1"/>
  <c r="O97" s="1"/>
  <c r="O114" s="1"/>
  <c r="O131" s="1"/>
  <c r="O38"/>
  <c r="O42" s="1"/>
  <c r="BP20" i="259"/>
  <c r="DI19"/>
  <c r="O477" i="270"/>
  <c r="M399" i="154"/>
  <c r="M377"/>
  <c r="BG105" i="277"/>
  <c r="N399" i="154"/>
  <c r="N377"/>
  <c r="BH105" i="277"/>
  <c r="F105" s="1"/>
  <c r="BB419" s="1"/>
  <c r="H315" i="133"/>
  <c r="H278"/>
  <c r="H280" s="1"/>
  <c r="M506" i="271"/>
  <c r="K257" i="133"/>
  <c r="K276"/>
  <c r="M146" i="200"/>
  <c r="M148" s="1"/>
  <c r="M201" s="1"/>
  <c r="M144"/>
  <c r="M150" s="1"/>
  <c r="O127"/>
  <c r="N143"/>
  <c r="N130"/>
  <c r="L202"/>
  <c r="L155"/>
  <c r="L156" s="1"/>
  <c r="O29" i="157"/>
  <c r="O39" s="1"/>
  <c r="N39"/>
  <c r="N104"/>
  <c r="M105"/>
  <c r="M106" s="1"/>
  <c r="N534" i="159"/>
  <c r="N532"/>
  <c r="N468"/>
  <c r="BG111" i="277"/>
  <c r="N512" i="271"/>
  <c r="N511"/>
  <c r="N513"/>
  <c r="N469"/>
  <c r="O564" i="270"/>
  <c r="O566"/>
  <c r="O565"/>
  <c r="M113" i="157"/>
  <c r="M127"/>
  <c r="O113"/>
  <c r="O127"/>
  <c r="N96"/>
  <c r="N97" s="1"/>
  <c r="N114" s="1"/>
  <c r="N131" s="1"/>
  <c r="N99"/>
  <c r="N100" s="1"/>
  <c r="N18" i="48"/>
  <c r="M32"/>
  <c r="L203" i="200"/>
  <c r="L205" s="1"/>
  <c r="L191"/>
  <c r="N180"/>
  <c r="N186" s="1"/>
  <c r="O180"/>
  <c r="O186" s="1"/>
  <c r="M204"/>
  <c r="M187"/>
  <c r="M190" s="1"/>
  <c r="O104" i="237"/>
  <c r="O92" i="236"/>
  <c r="N92"/>
  <c r="S463" i="271"/>
  <c r="BH106" i="277"/>
  <c r="F106" s="1"/>
  <c r="N454" i="271"/>
  <c r="N505" s="1"/>
  <c r="N452"/>
  <c r="N503" s="1"/>
  <c r="N453"/>
  <c r="N504" s="1"/>
  <c r="S464"/>
  <c r="O623" i="270"/>
  <c r="O622"/>
  <c r="O621"/>
  <c r="O644"/>
  <c r="Q59" i="188"/>
  <c r="O115"/>
  <c r="L218" i="184"/>
  <c r="N191"/>
  <c r="N192" s="1"/>
  <c r="N215" s="1"/>
  <c r="N200"/>
  <c r="N202" s="1"/>
  <c r="N216"/>
  <c r="N183"/>
  <c r="N238" s="1"/>
  <c r="N247" s="1"/>
  <c r="N182"/>
  <c r="N237" s="1"/>
  <c r="N246" s="1"/>
  <c r="N181"/>
  <c r="N236" s="1"/>
  <c r="N245" s="1"/>
  <c r="O174"/>
  <c r="O175" s="1"/>
  <c r="O188"/>
  <c r="BG110" i="277"/>
  <c r="M214" i="184"/>
  <c r="M203"/>
  <c r="M217" s="1"/>
  <c r="N41" i="157"/>
  <c r="O31"/>
  <c r="O41" s="1"/>
  <c r="J277" i="133"/>
  <c r="J266"/>
  <c r="J314" s="1"/>
  <c r="J265"/>
  <c r="J313" s="1"/>
  <c r="J264"/>
  <c r="J312" s="1"/>
  <c r="L130" i="157"/>
  <c r="L132" s="1"/>
  <c r="L119"/>
  <c r="L142" s="1"/>
  <c r="L120"/>
  <c r="L143" s="1"/>
  <c r="L121"/>
  <c r="L144" s="1"/>
  <c r="K192" i="200"/>
  <c r="K218" s="1"/>
  <c r="K215"/>
  <c r="N40" i="157"/>
  <c r="O30"/>
  <c r="O40" s="1"/>
  <c r="N104" i="237"/>
  <c r="N185" i="191"/>
  <c r="N165"/>
  <c r="N196" s="1"/>
  <c r="N167"/>
  <c r="N198" s="1"/>
  <c r="N183"/>
  <c r="N133" i="235"/>
  <c r="BC44" i="262"/>
  <c r="BC52" s="1"/>
  <c r="BC71" s="1"/>
  <c r="BG43"/>
  <c r="I663" i="270"/>
  <c r="I689"/>
  <c r="L641"/>
  <c r="K658" s="1"/>
  <c r="J662"/>
  <c r="J658"/>
  <c r="BE108" i="277" s="1"/>
  <c r="O520" i="159"/>
  <c r="O505"/>
  <c r="O521"/>
  <c r="O506"/>
  <c r="O461"/>
  <c r="O533" s="1"/>
  <c r="O443"/>
  <c r="O529" s="1"/>
  <c r="O498"/>
  <c r="O519" s="1"/>
  <c r="O452"/>
  <c r="O514"/>
  <c r="O513"/>
  <c r="O32"/>
  <c r="O16"/>
  <c r="O20" s="1"/>
  <c r="O17" i="48"/>
  <c r="O31" s="1"/>
  <c r="N31"/>
  <c r="N162" i="200"/>
  <c r="N168" s="1"/>
  <c r="O162"/>
  <c r="O168" s="1"/>
  <c r="O164"/>
  <c r="O166" s="1"/>
  <c r="M107" i="197"/>
  <c r="O90"/>
  <c r="N106"/>
  <c r="N105"/>
  <c r="O165" i="191"/>
  <c r="O196" s="1"/>
  <c r="O184"/>
  <c r="L254" i="133"/>
  <c r="L279" s="1"/>
  <c r="N243"/>
  <c r="N247" s="1"/>
  <c r="N248" s="1"/>
  <c r="N160"/>
  <c r="O150"/>
  <c r="O208" s="1"/>
  <c r="O256" s="1"/>
  <c r="O286"/>
  <c r="M253"/>
  <c r="M291"/>
  <c r="N639" i="270"/>
  <c r="M661" s="1"/>
  <c r="N637"/>
  <c r="M659" s="1"/>
  <c r="N638"/>
  <c r="M660" s="1"/>
  <c r="O639"/>
  <c r="N661" s="1"/>
  <c r="O638"/>
  <c r="N660" s="1"/>
  <c r="O637"/>
  <c r="N659" s="1"/>
  <c r="BE52" i="259"/>
  <c r="BE71" s="1"/>
  <c r="BG31"/>
  <c r="BM31" s="1"/>
  <c r="AX71" i="258"/>
  <c r="BG52"/>
  <c r="R17" i="261"/>
  <c r="BM17" s="1"/>
  <c r="J23"/>
  <c r="J71" s="1"/>
  <c r="W52" i="263"/>
  <c r="AL31"/>
  <c r="W52" i="260"/>
  <c r="DI14" i="248"/>
  <c r="BP23"/>
  <c r="R14"/>
  <c r="I23"/>
  <c r="I71" s="1"/>
  <c r="BD188" i="276"/>
  <c r="BD305"/>
  <c r="BD188" i="279"/>
  <c r="X65" i="256"/>
  <c r="AY80" i="276"/>
  <c r="Z65" i="256"/>
  <c r="BJ65"/>
  <c r="BA80" i="276"/>
  <c r="BA80" i="279"/>
  <c r="L54" i="231"/>
  <c r="G70"/>
  <c r="BF304" i="279"/>
  <c r="BF304" i="276"/>
  <c r="BF246" i="277"/>
  <c r="BB138"/>
  <c r="BB79" i="276"/>
  <c r="BH37"/>
  <c r="P18" i="262"/>
  <c r="F71" i="231"/>
  <c r="BF84" i="279"/>
  <c r="BJ48" i="260"/>
  <c r="BA77" i="276"/>
  <c r="BQ13" i="259"/>
  <c r="BI32" i="276"/>
  <c r="X19" i="263"/>
  <c r="V48" i="260"/>
  <c r="X48"/>
  <c r="BQ19"/>
  <c r="AJ39"/>
  <c r="AY47" i="279"/>
  <c r="E63" i="231"/>
  <c r="F11" i="201"/>
  <c r="M62" i="231"/>
  <c r="BC62" i="276"/>
  <c r="BC69" i="280"/>
  <c r="BR13" i="261"/>
  <c r="BI84" i="279"/>
  <c r="AE29" i="261"/>
  <c r="BI28" i="276"/>
  <c r="F15" i="204"/>
  <c r="M97" i="234"/>
  <c r="T13" i="262"/>
  <c r="BH355" i="280"/>
  <c r="BH342" i="277"/>
  <c r="BC362"/>
  <c r="BC245"/>
  <c r="BC186" i="279"/>
  <c r="AX39" i="260"/>
  <c r="AY76" i="279"/>
  <c r="AY135" i="277"/>
  <c r="G15" i="204"/>
  <c r="BJ48" i="261"/>
  <c r="BR46" i="258"/>
  <c r="I13" i="260"/>
  <c r="M64" i="231"/>
  <c r="BG37" i="276"/>
  <c r="BG306" i="279"/>
  <c r="BG189" i="276"/>
  <c r="BG306"/>
  <c r="BA79" i="279"/>
  <c r="BA138" i="277"/>
  <c r="BD86" i="279"/>
  <c r="AJ22" i="263"/>
  <c r="BR13" i="262"/>
  <c r="BD120" i="277"/>
  <c r="BD61" i="276"/>
  <c r="BE147" i="277"/>
  <c r="BE88" i="279"/>
  <c r="G15" i="199"/>
  <c r="BQ21" i="262"/>
  <c r="BP19" i="260"/>
  <c r="BJ46"/>
  <c r="N59" i="231"/>
  <c r="N50"/>
  <c r="M50"/>
  <c r="N64"/>
  <c r="T13" i="263"/>
  <c r="BI283" i="279"/>
  <c r="BI283" i="276"/>
  <c r="BI48" i="260"/>
  <c r="BG308" i="276"/>
  <c r="BG239" i="277"/>
  <c r="BG180" i="279"/>
  <c r="BE29" i="261"/>
  <c r="BH308" i="276"/>
  <c r="BH239" i="277"/>
  <c r="BH180" i="279"/>
  <c r="BE29" i="262"/>
  <c r="BG363" i="277"/>
  <c r="BG304" i="276"/>
  <c r="BG304" i="279"/>
  <c r="BF16"/>
  <c r="BH28" i="276"/>
  <c r="BH56" i="277"/>
  <c r="BA95" i="276"/>
  <c r="AY154" i="277"/>
  <c r="AY95" i="279"/>
  <c r="BI46" i="256"/>
  <c r="U48" i="261"/>
  <c r="W18" i="262"/>
  <c r="Q19" i="263"/>
  <c r="X19" i="262"/>
  <c r="M43" i="231"/>
  <c r="BH277" i="276"/>
  <c r="BH277" i="279"/>
  <c r="M53" i="231"/>
  <c r="N21" i="261"/>
  <c r="AJ21"/>
  <c r="BP46" i="258"/>
  <c r="W19" i="260"/>
  <c r="M54" i="231"/>
  <c r="BP22" i="262"/>
  <c r="BH337" i="277"/>
  <c r="BH350" i="280"/>
  <c r="T22" i="262"/>
  <c r="BH32" i="276"/>
  <c r="J58" i="231"/>
  <c r="I13" i="259"/>
  <c r="X47" i="262"/>
  <c r="N44" i="231"/>
  <c r="BI278" i="276"/>
  <c r="BI350" i="280"/>
  <c r="BE38" i="279"/>
  <c r="BE66" i="277"/>
  <c r="BE27" i="276"/>
  <c r="BD27"/>
  <c r="BD55" i="277"/>
  <c r="BG11" i="279"/>
  <c r="BG18" i="276"/>
  <c r="BG18" i="277"/>
  <c r="BC10" i="279"/>
  <c r="BG113"/>
  <c r="BG362" i="276"/>
  <c r="E11" i="231"/>
  <c r="BD247" i="277"/>
  <c r="BD364"/>
  <c r="BD305" i="279"/>
  <c r="AY139" i="277"/>
  <c r="AY80" i="279"/>
  <c r="G71" i="231"/>
  <c r="O22" i="261"/>
  <c r="BA139" i="277"/>
  <c r="W22" i="261"/>
  <c r="AA65" i="256"/>
  <c r="BP22" i="261"/>
  <c r="BF187" i="279"/>
  <c r="BF363" i="277"/>
  <c r="BF187" i="276"/>
  <c r="BB79" i="279"/>
  <c r="BH65" i="277"/>
  <c r="BH37" i="279"/>
  <c r="Z65" i="255"/>
  <c r="BF143" i="277"/>
  <c r="BF84" i="276"/>
  <c r="BA77" i="279"/>
  <c r="BA136" i="277"/>
  <c r="BI32" i="279"/>
  <c r="BI60" i="277"/>
  <c r="N60" i="231"/>
  <c r="K32"/>
  <c r="BP21" i="262"/>
  <c r="BI47"/>
  <c r="K27" i="231"/>
  <c r="AY47" i="276"/>
  <c r="AY75" i="277"/>
  <c r="AJ22" i="262"/>
  <c r="I10" i="203"/>
  <c r="BC62" i="279"/>
  <c r="BC121" i="277"/>
  <c r="BI84" i="276"/>
  <c r="BI143" i="277"/>
  <c r="BI28" i="279"/>
  <c r="BI56" i="277"/>
  <c r="BR15" i="262"/>
  <c r="BR19" i="260"/>
  <c r="BH283" i="279"/>
  <c r="BH283" i="276"/>
  <c r="M39" i="231"/>
  <c r="BC186" i="276"/>
  <c r="BC303"/>
  <c r="BC303" i="279"/>
  <c r="K16" i="231"/>
  <c r="AY76" i="276"/>
  <c r="V48" i="258"/>
  <c r="F15" i="199"/>
  <c r="BR21" i="262"/>
  <c r="BR22"/>
  <c r="V13"/>
  <c r="BG65" i="277"/>
  <c r="BG37" i="279"/>
  <c r="BG189"/>
  <c r="BG248" i="277"/>
  <c r="BG365"/>
  <c r="BA79" i="276"/>
  <c r="BD145" i="277"/>
  <c r="BD86" i="276"/>
  <c r="N62" i="231"/>
  <c r="BD68" i="280"/>
  <c r="BD61" i="279"/>
  <c r="BP13" i="259"/>
  <c r="BE88" i="276"/>
  <c r="AE29" i="262"/>
  <c r="BQ15"/>
  <c r="BQ46" i="258"/>
  <c r="O22" i="262"/>
  <c r="X18" i="263"/>
  <c r="W13"/>
  <c r="W13" i="262"/>
  <c r="V13" i="263"/>
  <c r="DD48" i="259"/>
  <c r="BI355" i="280"/>
  <c r="BI342" i="277"/>
  <c r="N39" i="231"/>
  <c r="BG308" i="279"/>
  <c r="BG180" i="276"/>
  <c r="BG367" i="277"/>
  <c r="L12" i="231"/>
  <c r="BH308" i="279"/>
  <c r="BH180" i="276"/>
  <c r="BH367" i="277"/>
  <c r="M12" i="231"/>
  <c r="BG187" i="276"/>
  <c r="BG246" i="277"/>
  <c r="BG187" i="279"/>
  <c r="BF16" i="276"/>
  <c r="BF16" i="277"/>
  <c r="BH28" i="279"/>
  <c r="BA154" i="277"/>
  <c r="BA95" i="279"/>
  <c r="AY95" i="276"/>
  <c r="BI46" i="248"/>
  <c r="U46" i="259"/>
  <c r="M51" i="231"/>
  <c r="Q19" i="261"/>
  <c r="M60" i="231"/>
  <c r="BP15" i="262"/>
  <c r="BH336" i="277"/>
  <c r="BH349" i="280"/>
  <c r="T21" i="262"/>
  <c r="W21"/>
  <c r="L61" i="231"/>
  <c r="V46" i="258"/>
  <c r="K52" i="231"/>
  <c r="BP48" i="259"/>
  <c r="W22" i="262"/>
  <c r="M44" i="231"/>
  <c r="BH278" i="276"/>
  <c r="BH278" i="279"/>
  <c r="BH32"/>
  <c r="BH60" i="277"/>
  <c r="X13" i="259"/>
  <c r="P18" i="263"/>
  <c r="BP22"/>
  <c r="BI337" i="277"/>
  <c r="BI278" i="279"/>
  <c r="T22" i="263"/>
  <c r="BE38" i="276"/>
  <c r="BE27" i="279"/>
  <c r="BE55" i="277"/>
  <c r="BD27" i="279"/>
  <c r="BG11" i="276"/>
  <c r="BG11" i="277"/>
  <c r="BG18" i="279"/>
  <c r="BC10" i="276"/>
  <c r="BC10" i="277"/>
  <c r="BE112" i="276"/>
  <c r="BE112" i="279"/>
  <c r="BG362"/>
  <c r="BG113" i="276"/>
  <c r="BG172" i="277"/>
  <c r="BE171"/>
  <c r="BE361" i="279"/>
  <c r="BE361" i="276"/>
  <c r="BM21" i="260" l="1"/>
  <c r="BD319" i="279"/>
  <c r="BD196" i="280"/>
  <c r="BD378" i="277"/>
  <c r="BD319" i="276"/>
  <c r="BM14" i="248"/>
  <c r="BM42" i="263"/>
  <c r="BO42" s="1"/>
  <c r="X67" i="256"/>
  <c r="X68" s="1"/>
  <c r="X71" s="1"/>
  <c r="AY85" i="280"/>
  <c r="Z66" i="256"/>
  <c r="AU66" s="1"/>
  <c r="AU67" s="1"/>
  <c r="AU68" s="1"/>
  <c r="AU71" s="1"/>
  <c r="R22" i="261"/>
  <c r="O23"/>
  <c r="O71" s="1"/>
  <c r="BK65" i="256"/>
  <c r="BJ67"/>
  <c r="BK67" s="1"/>
  <c r="M109" i="244"/>
  <c r="O183" i="191"/>
  <c r="BM39" i="259"/>
  <c r="BO39" s="1"/>
  <c r="DI22" i="261"/>
  <c r="AA66" i="256"/>
  <c r="AV66" s="1"/>
  <c r="AV67" s="1"/>
  <c r="AV68" s="1"/>
  <c r="AV71" s="1"/>
  <c r="AK45" i="231"/>
  <c r="AV45" s="1"/>
  <c r="AL22" i="261"/>
  <c r="BA85" i="280"/>
  <c r="O185" i="191"/>
  <c r="O167"/>
  <c r="O198" s="1"/>
  <c r="N109" i="244"/>
  <c r="BF377" i="277"/>
  <c r="BF318" i="276"/>
  <c r="BF195" i="280"/>
  <c r="BF318" i="279"/>
  <c r="DI20" i="259"/>
  <c r="BM13" i="258"/>
  <c r="AL31" i="260"/>
  <c r="AY125" i="277"/>
  <c r="BM47" i="261"/>
  <c r="BA53" i="279"/>
  <c r="BM41" i="262"/>
  <c r="BO41" s="1"/>
  <c r="AY70" i="279"/>
  <c r="BM15" i="262"/>
  <c r="BG52" i="259"/>
  <c r="E69" i="231"/>
  <c r="S38" s="1"/>
  <c r="AD38"/>
  <c r="S19"/>
  <c r="AO19" s="1"/>
  <c r="BG120" i="280"/>
  <c r="BA35" i="277"/>
  <c r="BC10" i="280"/>
  <c r="BG14" i="277"/>
  <c r="BC34" s="1"/>
  <c r="BG14" i="276"/>
  <c r="BE68" i="277"/>
  <c r="BE40" i="276"/>
  <c r="BE257" s="1"/>
  <c r="BE46" i="280"/>
  <c r="BE40" i="279"/>
  <c r="BI364" i="280"/>
  <c r="BI292" i="279"/>
  <c r="BI292" i="276"/>
  <c r="BI351" i="277"/>
  <c r="X14" i="259"/>
  <c r="AL13"/>
  <c r="AI41" i="231"/>
  <c r="AT41" s="1"/>
  <c r="BH313" i="277"/>
  <c r="BH254" i="276"/>
  <c r="AL22" i="262"/>
  <c r="BH292" i="279"/>
  <c r="BH364" i="280"/>
  <c r="BH292" i="276"/>
  <c r="BH351" i="277"/>
  <c r="AL45" i="231"/>
  <c r="AW45" s="1"/>
  <c r="DI22" i="262"/>
  <c r="DI48" i="259"/>
  <c r="AJ43" i="231"/>
  <c r="AU43" s="1"/>
  <c r="AL46" i="258"/>
  <c r="AJ23" i="261"/>
  <c r="AL21"/>
  <c r="Z34" i="231"/>
  <c r="AK44"/>
  <c r="AV44" s="1"/>
  <c r="BH291" i="279"/>
  <c r="BH363" i="280"/>
  <c r="BH291" i="276"/>
  <c r="BH350" i="277"/>
  <c r="X20" i="262"/>
  <c r="AL18"/>
  <c r="AL42" i="231"/>
  <c r="AW42" s="1"/>
  <c r="BH309" i="277"/>
  <c r="BH250" i="276"/>
  <c r="BF16" i="280"/>
  <c r="BG318" i="279"/>
  <c r="BG195" i="280"/>
  <c r="BG318" i="276"/>
  <c r="BG377" i="277"/>
  <c r="BH188" i="280"/>
  <c r="BB171" s="1"/>
  <c r="BD171" s="1"/>
  <c r="BH381" i="277"/>
  <c r="BH322" i="276"/>
  <c r="BH322" i="279"/>
  <c r="BG188" i="280"/>
  <c r="BG381" i="277"/>
  <c r="BG322" i="276"/>
  <c r="BG322" i="279"/>
  <c r="BK48" i="260"/>
  <c r="BI288" i="276"/>
  <c r="BI347" i="277"/>
  <c r="BI288" i="279"/>
  <c r="BI360" i="280"/>
  <c r="T14" i="263"/>
  <c r="DD51" i="259"/>
  <c r="DD52" s="1"/>
  <c r="DD71" s="1"/>
  <c r="V14" i="263"/>
  <c r="V23" s="1"/>
  <c r="W14" i="262"/>
  <c r="W14" i="263"/>
  <c r="BQ17" i="262"/>
  <c r="G53" i="199"/>
  <c r="G55" s="1"/>
  <c r="G66" s="1"/>
  <c r="AL29" i="262"/>
  <c r="AE31"/>
  <c r="AE52" s="1"/>
  <c r="BE93" i="280"/>
  <c r="BP14" i="259"/>
  <c r="DI13"/>
  <c r="BR14" i="262"/>
  <c r="BD91" i="280"/>
  <c r="BA84"/>
  <c r="BG379" i="277"/>
  <c r="BG320" i="276"/>
  <c r="BG197" i="280"/>
  <c r="BG320" i="279"/>
  <c r="BG45" i="280"/>
  <c r="V14" i="262"/>
  <c r="V23" s="1"/>
  <c r="R13" i="260"/>
  <c r="I14"/>
  <c r="F53" i="199"/>
  <c r="F55" s="1"/>
  <c r="F66" s="1"/>
  <c r="AL48" i="258"/>
  <c r="AY81" i="280"/>
  <c r="AJ7" i="231"/>
  <c r="Y6"/>
  <c r="AU6" s="1"/>
  <c r="BG39" i="260"/>
  <c r="BG44" s="1"/>
  <c r="AX44"/>
  <c r="AX52" s="1"/>
  <c r="BC317" i="279"/>
  <c r="BC194" i="280"/>
  <c r="BC317" i="276"/>
  <c r="BC323" s="1"/>
  <c r="BC376" i="277"/>
  <c r="BC382" s="1"/>
  <c r="BH347"/>
  <c r="BH288" i="276"/>
  <c r="BH360" i="280"/>
  <c r="BH288" i="279"/>
  <c r="T14" i="262"/>
  <c r="BR20" i="260"/>
  <c r="BR23" s="1"/>
  <c r="M108" i="234"/>
  <c r="M107"/>
  <c r="BR17" i="262"/>
  <c r="BI309" i="277"/>
  <c r="BI250" i="276"/>
  <c r="BI250" i="279"/>
  <c r="BI36" i="280"/>
  <c r="BI322" s="1"/>
  <c r="AL29" i="261"/>
  <c r="AE31"/>
  <c r="AE52" s="1"/>
  <c r="BI89" i="280"/>
  <c r="BR14" i="261"/>
  <c r="I55" i="203"/>
  <c r="F30" i="201"/>
  <c r="AY402" i="277"/>
  <c r="AY404" s="1"/>
  <c r="AY409" s="1"/>
  <c r="AY77"/>
  <c r="AY319" s="1"/>
  <c r="AY126"/>
  <c r="S31" i="231"/>
  <c r="AY382" i="276"/>
  <c r="AY390" s="1"/>
  <c r="AY343"/>
  <c r="AY345" s="1"/>
  <c r="AY350" s="1"/>
  <c r="AY49"/>
  <c r="AY260" s="1"/>
  <c r="AY67"/>
  <c r="AY49" i="279"/>
  <c r="AY57" i="280" s="1"/>
  <c r="AY55"/>
  <c r="AY71" i="279"/>
  <c r="AY380"/>
  <c r="AY67"/>
  <c r="AY74" i="280" s="1"/>
  <c r="AY343" i="279"/>
  <c r="AY345" s="1"/>
  <c r="AY350" s="1"/>
  <c r="AY54" i="280"/>
  <c r="AJ34" i="231"/>
  <c r="AU34" s="1"/>
  <c r="Y7"/>
  <c r="AL39" i="260"/>
  <c r="AJ44"/>
  <c r="BK47" i="262"/>
  <c r="BQ20" i="260"/>
  <c r="DI21" i="262"/>
  <c r="X51" i="260"/>
  <c r="X52" s="1"/>
  <c r="AL48"/>
  <c r="X20" i="263"/>
  <c r="BI313" i="277"/>
  <c r="BI254" i="276"/>
  <c r="BI40" i="280"/>
  <c r="BI326" s="1"/>
  <c r="BI251" i="279"/>
  <c r="BQ14" i="259"/>
  <c r="BQ23" s="1"/>
  <c r="BA82" i="280"/>
  <c r="BF89"/>
  <c r="Z66" i="255"/>
  <c r="AU66" s="1"/>
  <c r="AU67" s="1"/>
  <c r="AU68" s="1"/>
  <c r="AU71" s="1"/>
  <c r="P20" i="262"/>
  <c r="P23" s="1"/>
  <c r="P71" s="1"/>
  <c r="R18"/>
  <c r="BH45" i="280"/>
  <c r="BB84"/>
  <c r="L206" i="200"/>
  <c r="J674" i="270"/>
  <c r="W64" i="258"/>
  <c r="W63"/>
  <c r="O122" i="188"/>
  <c r="BA23" i="277"/>
  <c r="AY419" s="1"/>
  <c r="F419"/>
  <c r="BM48" i="259"/>
  <c r="AT7" i="231"/>
  <c r="AY9" i="280"/>
  <c r="AY21" i="279"/>
  <c r="X23" i="258"/>
  <c r="AL14"/>
  <c r="U58" i="262"/>
  <c r="BD316" i="277"/>
  <c r="AA67" i="256"/>
  <c r="AA68" s="1"/>
  <c r="AA71" s="1"/>
  <c r="BH133" i="280"/>
  <c r="BI133"/>
  <c r="O169" i="200"/>
  <c r="O172" s="1"/>
  <c r="O173" s="1"/>
  <c r="O174" s="1"/>
  <c r="K689" i="270"/>
  <c r="BF108" i="277"/>
  <c r="N182" i="200"/>
  <c r="N184" s="1"/>
  <c r="BA53" i="276"/>
  <c r="BM43" i="262"/>
  <c r="BO43" s="1"/>
  <c r="BM43" i="263"/>
  <c r="BO43" s="1"/>
  <c r="O100" i="157"/>
  <c r="AE63" i="260"/>
  <c r="AE71"/>
  <c r="AX21" i="231"/>
  <c r="U58" i="263"/>
  <c r="BD253" i="279"/>
  <c r="BD48" i="280"/>
  <c r="N673" i="270"/>
  <c r="N514" i="271"/>
  <c r="AY66" i="279"/>
  <c r="AY73" i="280" s="1"/>
  <c r="AY66" i="276"/>
  <c r="BA67"/>
  <c r="BA126" i="277"/>
  <c r="Q23" i="260"/>
  <c r="Q71" s="1"/>
  <c r="R20"/>
  <c r="Z67" i="256"/>
  <c r="Z68" s="1"/>
  <c r="Z71" s="1"/>
  <c r="AL20" i="259"/>
  <c r="BM20" s="1"/>
  <c r="W23"/>
  <c r="J205" i="200"/>
  <c r="J156"/>
  <c r="J215"/>
  <c r="X64" i="248"/>
  <c r="X63"/>
  <c r="L643" i="270"/>
  <c r="K672" s="1"/>
  <c r="L642"/>
  <c r="K671" s="1"/>
  <c r="J218" i="200"/>
  <c r="AJ52" i="259"/>
  <c r="AJ71" s="1"/>
  <c r="AL44"/>
  <c r="BM44" s="1"/>
  <c r="BA21" i="279"/>
  <c r="BA9" i="280"/>
  <c r="AE63" i="263"/>
  <c r="AE71"/>
  <c r="BM29" i="260"/>
  <c r="L109" i="234"/>
  <c r="AG63" i="262"/>
  <c r="AG71"/>
  <c r="AW21" i="231"/>
  <c r="E90" i="277"/>
  <c r="L255" i="133"/>
  <c r="N164" i="200"/>
  <c r="N166" s="1"/>
  <c r="N169" s="1"/>
  <c r="N172" s="1"/>
  <c r="N173" s="1"/>
  <c r="N174" s="1"/>
  <c r="O504" i="159"/>
  <c r="O547" s="1"/>
  <c r="O550" s="1"/>
  <c r="O182" i="200"/>
  <c r="O184" s="1"/>
  <c r="M151"/>
  <c r="M154" s="1"/>
  <c r="BM41" i="263"/>
  <c r="BO41" s="1"/>
  <c r="O117" i="188"/>
  <c r="J206" i="200"/>
  <c r="O126" i="188"/>
  <c r="N480" i="270"/>
  <c r="M640"/>
  <c r="M481"/>
  <c r="BH109" i="277"/>
  <c r="F109" s="1"/>
  <c r="DI14" i="258"/>
  <c r="BP23"/>
  <c r="BM29" i="263"/>
  <c r="AA67" i="257"/>
  <c r="AA68" s="1"/>
  <c r="AA71" s="1"/>
  <c r="AG71" i="261"/>
  <c r="AG63"/>
  <c r="BE119" i="280"/>
  <c r="BG18"/>
  <c r="BG14" i="279"/>
  <c r="BG14" i="280" s="1"/>
  <c r="BG11"/>
  <c r="BD308" i="277"/>
  <c r="BD62"/>
  <c r="BD249" i="279"/>
  <c r="BD35" i="280"/>
  <c r="BD321" s="1"/>
  <c r="BD34" i="279"/>
  <c r="BD42" i="280" s="1"/>
  <c r="BD249" i="276"/>
  <c r="BD34"/>
  <c r="BE308" i="277"/>
  <c r="BE62"/>
  <c r="BE249" i="276"/>
  <c r="BE34"/>
  <c r="BE249" i="279"/>
  <c r="BE35" i="280"/>
  <c r="BE321" s="1"/>
  <c r="BE34" i="279"/>
  <c r="BE42" i="280" s="1"/>
  <c r="AL47" i="262"/>
  <c r="R18" i="263"/>
  <c r="P20"/>
  <c r="I14" i="259"/>
  <c r="R13"/>
  <c r="BH251" i="279"/>
  <c r="BH40" i="280"/>
  <c r="BH326" s="1"/>
  <c r="W20" i="260"/>
  <c r="AL19"/>
  <c r="BM19" s="1"/>
  <c r="DI46" i="258"/>
  <c r="R21" i="261"/>
  <c r="BM21" s="1"/>
  <c r="N23"/>
  <c r="N71" s="1"/>
  <c r="BP17" i="262"/>
  <c r="DI15"/>
  <c r="Q20" i="263"/>
  <c r="Q23" s="1"/>
  <c r="Q71" s="1"/>
  <c r="R19"/>
  <c r="Q20" i="261"/>
  <c r="R19"/>
  <c r="BK46" i="256"/>
  <c r="BM46" s="1"/>
  <c r="BK46" i="248"/>
  <c r="BM46" s="1"/>
  <c r="AY62" i="280"/>
  <c r="AY102"/>
  <c r="BA102"/>
  <c r="BA62"/>
  <c r="BH250" i="279"/>
  <c r="BH36" i="280"/>
  <c r="BH322" s="1"/>
  <c r="BG29" i="262"/>
  <c r="BE31"/>
  <c r="AL22" i="231"/>
  <c r="AW22" s="1"/>
  <c r="AA23"/>
  <c r="AW23" s="1"/>
  <c r="BE31" i="261"/>
  <c r="BG29"/>
  <c r="Z23" i="231"/>
  <c r="AV23" s="1"/>
  <c r="AK22"/>
  <c r="AV22" s="1"/>
  <c r="DI23" i="248"/>
  <c r="M254" i="133"/>
  <c r="M279" s="1"/>
  <c r="O243"/>
  <c r="O247" s="1"/>
  <c r="O248" s="1"/>
  <c r="O160"/>
  <c r="N253"/>
  <c r="N291"/>
  <c r="L276"/>
  <c r="L257"/>
  <c r="N107" i="197"/>
  <c r="O106"/>
  <c r="O105"/>
  <c r="O534" i="159"/>
  <c r="O532"/>
  <c r="O468"/>
  <c r="J689" i="270"/>
  <c r="J663"/>
  <c r="M641"/>
  <c r="L658" s="1"/>
  <c r="K662"/>
  <c r="K663" s="1"/>
  <c r="BH111" i="277"/>
  <c r="F111" s="1"/>
  <c r="R22" i="262"/>
  <c r="O23"/>
  <c r="O71" s="1"/>
  <c r="N199" i="191"/>
  <c r="K219" i="200"/>
  <c r="BP20" i="260"/>
  <c r="DI19"/>
  <c r="J315" i="133"/>
  <c r="J278"/>
  <c r="J280" s="1"/>
  <c r="M218" i="184"/>
  <c r="O200"/>
  <c r="O202" s="1"/>
  <c r="O191"/>
  <c r="O192" s="1"/>
  <c r="O215" s="1"/>
  <c r="O216"/>
  <c r="O183"/>
  <c r="O238" s="1"/>
  <c r="O247" s="1"/>
  <c r="O181"/>
  <c r="O236" s="1"/>
  <c r="O245" s="1"/>
  <c r="N214"/>
  <c r="BH110" i="277" s="1"/>
  <c r="F110" s="1"/>
  <c r="N203" i="184"/>
  <c r="N217" s="1"/>
  <c r="P115" i="188"/>
  <c r="R59"/>
  <c r="I54"/>
  <c r="N506" i="271"/>
  <c r="M203" i="200"/>
  <c r="M191"/>
  <c r="O187"/>
  <c r="O190" s="1"/>
  <c r="N187"/>
  <c r="N190" s="1"/>
  <c r="L218"/>
  <c r="L192"/>
  <c r="L215"/>
  <c r="O18" i="48"/>
  <c r="O32" s="1"/>
  <c r="N32"/>
  <c r="N113" i="157"/>
  <c r="N127"/>
  <c r="O130"/>
  <c r="O132" s="1"/>
  <c r="O119"/>
  <c r="O142" s="1"/>
  <c r="O121"/>
  <c r="O144" s="1"/>
  <c r="O120"/>
  <c r="O143" s="1"/>
  <c r="M132"/>
  <c r="M130"/>
  <c r="M120"/>
  <c r="M143" s="1"/>
  <c r="M119"/>
  <c r="M142" s="1"/>
  <c r="M121"/>
  <c r="M144" s="1"/>
  <c r="O104"/>
  <c r="N105"/>
  <c r="N106" s="1"/>
  <c r="N144" i="200"/>
  <c r="N150" s="1"/>
  <c r="N146"/>
  <c r="N148" s="1"/>
  <c r="N201" s="1"/>
  <c r="O143"/>
  <c r="O130"/>
  <c r="M202"/>
  <c r="M155"/>
  <c r="M156" s="1"/>
  <c r="K277" i="133"/>
  <c r="K266"/>
  <c r="K314" s="1"/>
  <c r="K265"/>
  <c r="K313" s="1"/>
  <c r="K264"/>
  <c r="K312" s="1"/>
  <c r="AY389" i="276"/>
  <c r="AY388"/>
  <c r="BA256" i="279"/>
  <c r="BA57" i="280"/>
  <c r="BA391" i="276"/>
  <c r="BA390"/>
  <c r="BA319" i="277"/>
  <c r="BG31" i="260"/>
  <c r="BE52"/>
  <c r="BE71" s="1"/>
  <c r="BE52" i="263"/>
  <c r="BE71" s="1"/>
  <c r="BG31"/>
  <c r="BM31" s="1"/>
  <c r="I23" i="258"/>
  <c r="I71" s="1"/>
  <c r="R14"/>
  <c r="R17" i="262"/>
  <c r="BM17" s="1"/>
  <c r="J23"/>
  <c r="J71" s="1"/>
  <c r="W52"/>
  <c r="W52" i="261"/>
  <c r="BC257" i="279"/>
  <c r="S37" i="231"/>
  <c r="AO37" s="1"/>
  <c r="AD33"/>
  <c r="AO33" s="1"/>
  <c r="T38"/>
  <c r="AP38" s="1"/>
  <c r="AE31"/>
  <c r="AP31" s="1"/>
  <c r="BB80" i="279"/>
  <c r="G55" i="231"/>
  <c r="BB73" i="277"/>
  <c r="BB45" i="276"/>
  <c r="BG17"/>
  <c r="O22" i="263"/>
  <c r="BG250" i="277"/>
  <c r="BG191" i="276"/>
  <c r="BG191" i="279"/>
  <c r="BB47" i="276"/>
  <c r="BB75" i="277"/>
  <c r="W22" i="263"/>
  <c r="BR22"/>
  <c r="BE188" i="276"/>
  <c r="BE247" i="277"/>
  <c r="BE305" i="279"/>
  <c r="BH191"/>
  <c r="BH250" i="277"/>
  <c r="BH307" i="276"/>
  <c r="L16" i="231"/>
  <c r="BH189" i="279"/>
  <c r="BH365" i="277"/>
  <c r="BH248"/>
  <c r="BI19" i="279"/>
  <c r="BI19" i="277"/>
  <c r="BP19" i="263"/>
  <c r="AJ39" i="261"/>
  <c r="G10" i="201"/>
  <c r="BA45" i="279"/>
  <c r="BA73" i="277"/>
  <c r="BD62" i="279"/>
  <c r="BD121" i="277"/>
  <c r="BF19"/>
  <c r="BF19" i="276"/>
  <c r="BE68" i="280"/>
  <c r="BE61" i="279"/>
  <c r="BE145" i="277"/>
  <c r="BE86" i="276"/>
  <c r="BH84" i="279"/>
  <c r="BG143" i="277"/>
  <c r="BG84" i="276"/>
  <c r="BR21" i="263"/>
  <c r="X48" i="261"/>
  <c r="BQ19"/>
  <c r="BE268" i="277"/>
  <c r="BE209" i="276"/>
  <c r="BF147" i="277"/>
  <c r="BF88" i="276"/>
  <c r="BQ13" i="260"/>
  <c r="BI88" i="276"/>
  <c r="BD186" i="279"/>
  <c r="BD362" i="277"/>
  <c r="BD186" i="276"/>
  <c r="BJ46" i="261"/>
  <c r="BP21" i="263"/>
  <c r="BP19" i="261"/>
  <c r="BI38" i="279"/>
  <c r="BI66" i="277"/>
  <c r="BB77" i="276"/>
  <c r="BB135" i="277"/>
  <c r="BB76" i="279"/>
  <c r="I11" i="203"/>
  <c r="AY77" i="279"/>
  <c r="AY77" i="276"/>
  <c r="BR19" i="261"/>
  <c r="BG16" i="276"/>
  <c r="U46" i="260"/>
  <c r="N51" i="231"/>
  <c r="K58"/>
  <c r="BH17" i="276"/>
  <c r="BH17" i="277"/>
  <c r="N43" i="231"/>
  <c r="BI336" i="277"/>
  <c r="BI349" i="280"/>
  <c r="N53" i="231"/>
  <c r="N21" i="262"/>
  <c r="AJ21"/>
  <c r="Q19"/>
  <c r="W19" i="263"/>
  <c r="W19" i="261"/>
  <c r="V46" i="259"/>
  <c r="E36" i="231"/>
  <c r="F36"/>
  <c r="BF38" i="279"/>
  <c r="BF66" i="277"/>
  <c r="BD10" i="279"/>
  <c r="BH11" i="276"/>
  <c r="BH11" i="277"/>
  <c r="BH18" i="279"/>
  <c r="BF361" i="276"/>
  <c r="BF361" i="279"/>
  <c r="BF171" i="277"/>
  <c r="F9" i="231"/>
  <c r="BB80" i="276"/>
  <c r="BB139" i="277"/>
  <c r="H10" i="201"/>
  <c r="G9" i="231" s="1"/>
  <c r="BB45" i="279"/>
  <c r="BG17" i="277"/>
  <c r="BG17" i="279"/>
  <c r="BG307"/>
  <c r="BG307" i="276"/>
  <c r="BG366" i="277"/>
  <c r="BB47" i="279"/>
  <c r="H11" i="201"/>
  <c r="G63" i="231"/>
  <c r="N54"/>
  <c r="BE305" i="276"/>
  <c r="BE364" i="277"/>
  <c r="BE188" i="279"/>
  <c r="BH307"/>
  <c r="BH191" i="276"/>
  <c r="BH366" i="277"/>
  <c r="AX39" i="261"/>
  <c r="BH306" i="279"/>
  <c r="BH306" i="276"/>
  <c r="BH189"/>
  <c r="DD48" i="258"/>
  <c r="BI19" i="276"/>
  <c r="N97" i="234"/>
  <c r="BR46" i="259"/>
  <c r="L27" i="231"/>
  <c r="F55"/>
  <c r="BA45" i="276"/>
  <c r="J10" i="203"/>
  <c r="BD62" i="276"/>
  <c r="BD69" i="280"/>
  <c r="BF19" i="279"/>
  <c r="BE120" i="277"/>
  <c r="BE61" i="276"/>
  <c r="BP48" i="258"/>
  <c r="BE86" i="279"/>
  <c r="BH143" i="277"/>
  <c r="BH84" i="276"/>
  <c r="BG84" i="279"/>
  <c r="BI47" i="263"/>
  <c r="L32" i="231"/>
  <c r="BR19" i="263"/>
  <c r="BQ46" i="259"/>
  <c r="BE217" i="280"/>
  <c r="BE209" i="279"/>
  <c r="BF88"/>
  <c r="BR13" i="263"/>
  <c r="BI88" i="279"/>
  <c r="BI147" i="277"/>
  <c r="BD303" i="279"/>
  <c r="BD245" i="277"/>
  <c r="BD303" i="276"/>
  <c r="I13" i="261"/>
  <c r="BQ19" i="263"/>
  <c r="V48" i="261"/>
  <c r="BI38" i="276"/>
  <c r="BB136" i="277"/>
  <c r="BB77" i="279"/>
  <c r="BB76" i="276"/>
  <c r="BI48" i="258"/>
  <c r="BP13" i="260"/>
  <c r="AY136" i="277"/>
  <c r="DD48" i="260"/>
  <c r="BG16" i="279"/>
  <c r="BG16" i="277"/>
  <c r="X47" i="263"/>
  <c r="W18"/>
  <c r="X13" i="260"/>
  <c r="BH17" i="279"/>
  <c r="BI46" i="258"/>
  <c r="BI277" i="276"/>
  <c r="BI277" i="279"/>
  <c r="T21" i="263"/>
  <c r="W21"/>
  <c r="M61" i="231"/>
  <c r="BP48" i="260"/>
  <c r="N52" i="231"/>
  <c r="L52"/>
  <c r="U48" i="262"/>
  <c r="BP46" i="259"/>
  <c r="U59" i="257"/>
  <c r="U59" i="255"/>
  <c r="BF38" i="276"/>
  <c r="BD10"/>
  <c r="BD10" i="277"/>
  <c r="BH11" i="279"/>
  <c r="BH18" i="276"/>
  <c r="BH18" i="277"/>
  <c r="BF112" i="276"/>
  <c r="BF112" i="279"/>
  <c r="BH362" i="276"/>
  <c r="BH113" i="279"/>
  <c r="BH172" i="277"/>
  <c r="AY158"/>
  <c r="BA99" i="276"/>
  <c r="G11" i="231"/>
  <c r="BH113" i="276"/>
  <c r="BH362" i="279"/>
  <c r="AY99"/>
  <c r="AY99" i="276"/>
  <c r="BA99" i="279"/>
  <c r="BA158" i="277"/>
  <c r="BM22" i="261" l="1"/>
  <c r="BB85" i="280"/>
  <c r="F57" i="199"/>
  <c r="F67" s="1"/>
  <c r="BM48" i="260"/>
  <c r="AD31" i="231"/>
  <c r="AO31" s="1"/>
  <c r="BM31" i="260"/>
  <c r="AY391" i="276"/>
  <c r="G57" i="199"/>
  <c r="G67" s="1"/>
  <c r="G68" s="1"/>
  <c r="G68" i="231"/>
  <c r="U37" s="1"/>
  <c r="U26"/>
  <c r="AQ26" s="1"/>
  <c r="U17"/>
  <c r="AQ17" s="1"/>
  <c r="AF37"/>
  <c r="BB381" i="276"/>
  <c r="BB389" s="1"/>
  <c r="BB46"/>
  <c r="BB259" s="1"/>
  <c r="BB339"/>
  <c r="BB341" s="1"/>
  <c r="BB349" s="1"/>
  <c r="BB339" i="279"/>
  <c r="BB341" s="1"/>
  <c r="BB349" s="1"/>
  <c r="BB46"/>
  <c r="BB66" s="1"/>
  <c r="BB73" i="280" s="1"/>
  <c r="BB379" i="279"/>
  <c r="BB53" i="280"/>
  <c r="BB331" s="1"/>
  <c r="BB398" i="277"/>
  <c r="BB400" s="1"/>
  <c r="BB408" s="1"/>
  <c r="BB74"/>
  <c r="BB125" s="1"/>
  <c r="H29" i="201"/>
  <c r="U33" i="231"/>
  <c r="O23" i="263"/>
  <c r="O71" s="1"/>
  <c r="R22"/>
  <c r="BG17" i="280"/>
  <c r="BC39" i="277"/>
  <c r="U19" i="231"/>
  <c r="AQ19" s="1"/>
  <c r="AF38"/>
  <c r="G69"/>
  <c r="DI22" i="263"/>
  <c r="AM45" i="231"/>
  <c r="AX45" s="1"/>
  <c r="AL22" i="263"/>
  <c r="U31" i="231"/>
  <c r="BB402" i="277"/>
  <c r="BB404" s="1"/>
  <c r="BB409" s="1"/>
  <c r="BB77"/>
  <c r="BB112" s="1"/>
  <c r="H30" i="201"/>
  <c r="BB382" i="276"/>
  <c r="BB49"/>
  <c r="BB260" s="1"/>
  <c r="BB343"/>
  <c r="BB345" s="1"/>
  <c r="BB350" s="1"/>
  <c r="BB55" i="280"/>
  <c r="BB380" i="279"/>
  <c r="BB49"/>
  <c r="BB67" s="1"/>
  <c r="BB74" i="280" s="1"/>
  <c r="BB71" i="279"/>
  <c r="BB343"/>
  <c r="BB345" s="1"/>
  <c r="BB350" s="1"/>
  <c r="BG199" i="280"/>
  <c r="BG380" i="277"/>
  <c r="BG321" i="276"/>
  <c r="BG321" i="279"/>
  <c r="BM14" i="258"/>
  <c r="BM22" i="262"/>
  <c r="O199" i="191"/>
  <c r="AL31" i="262"/>
  <c r="AL31" i="261"/>
  <c r="BM39" i="260"/>
  <c r="BO39" s="1"/>
  <c r="BM13" i="259"/>
  <c r="BE319" i="279"/>
  <c r="BE196" i="280"/>
  <c r="BE378" i="277"/>
  <c r="BE319" i="276"/>
  <c r="AY256" i="279"/>
  <c r="DI17" i="262"/>
  <c r="BM47"/>
  <c r="BM18"/>
  <c r="DI20" i="260"/>
  <c r="BB66" i="276"/>
  <c r="Z67" i="255"/>
  <c r="Z68" s="1"/>
  <c r="Z71" s="1"/>
  <c r="T17" i="231"/>
  <c r="AP17" s="1"/>
  <c r="AE37"/>
  <c r="F68"/>
  <c r="T37" s="1"/>
  <c r="T26"/>
  <c r="AP26" s="1"/>
  <c r="BA106" i="280"/>
  <c r="BA100" i="279"/>
  <c r="BA107" i="280" s="1"/>
  <c r="BA159" i="277"/>
  <c r="BA100" i="276"/>
  <c r="AY106" i="280"/>
  <c r="AY100" i="279"/>
  <c r="AY107" i="280" s="1"/>
  <c r="AY159" i="277"/>
  <c r="AY100" i="276"/>
  <c r="BH120" i="280"/>
  <c r="BH14" i="277"/>
  <c r="BD34" s="1"/>
  <c r="BH14" i="276"/>
  <c r="BD10" i="280"/>
  <c r="BF68" i="277"/>
  <c r="BF40" i="276"/>
  <c r="BF257" s="1"/>
  <c r="BF46" i="280"/>
  <c r="BF40" i="279"/>
  <c r="AL46" i="259"/>
  <c r="AK43" i="231"/>
  <c r="AV43" s="1"/>
  <c r="AM43"/>
  <c r="AX43" s="1"/>
  <c r="DI48" i="260"/>
  <c r="AJ23" i="262"/>
  <c r="AL21"/>
  <c r="AA34" i="231"/>
  <c r="AL44"/>
  <c r="AW44" s="1"/>
  <c r="BI363" i="280"/>
  <c r="BI291" i="279"/>
  <c r="BI350" i="277"/>
  <c r="BI291" i="276"/>
  <c r="BH17" i="280"/>
  <c r="X14" i="260"/>
  <c r="AL13"/>
  <c r="BM13" s="1"/>
  <c r="AJ41" i="231"/>
  <c r="AU41" s="1"/>
  <c r="AL18" i="263"/>
  <c r="BM18" s="1"/>
  <c r="AM42" i="231"/>
  <c r="AX42" s="1"/>
  <c r="BC38" i="277"/>
  <c r="BG16" i="280"/>
  <c r="BR20" i="261"/>
  <c r="BR23" s="1"/>
  <c r="DD51" i="260"/>
  <c r="DD52" s="1"/>
  <c r="DD71" s="1"/>
  <c r="AY82" i="280"/>
  <c r="BP14" i="260"/>
  <c r="DI13"/>
  <c r="I60" i="203"/>
  <c r="BK48" i="258"/>
  <c r="BM48" s="1"/>
  <c r="BB81" i="280"/>
  <c r="BB82"/>
  <c r="BI68" i="277"/>
  <c r="BI316" s="1"/>
  <c r="BI40" i="276"/>
  <c r="BI257" s="1"/>
  <c r="BI46" i="280"/>
  <c r="BI40" i="279"/>
  <c r="AL48" i="261"/>
  <c r="BQ20" i="263"/>
  <c r="DI21"/>
  <c r="R13" i="261"/>
  <c r="I14"/>
  <c r="BD317" i="276"/>
  <c r="BD323" s="1"/>
  <c r="BD376" i="277"/>
  <c r="BD382" s="1"/>
  <c r="BD317" i="279"/>
  <c r="BD194" i="280"/>
  <c r="BI93"/>
  <c r="BQ14" i="260"/>
  <c r="BQ23" s="1"/>
  <c r="BR14" i="263"/>
  <c r="BF93" i="280"/>
  <c r="BQ20" i="261"/>
  <c r="BR20" i="263"/>
  <c r="X51" i="261"/>
  <c r="X52" s="1"/>
  <c r="BK47" i="263"/>
  <c r="BG89" i="280"/>
  <c r="BH89"/>
  <c r="BE91"/>
  <c r="DI48" i="258"/>
  <c r="BF20" i="276"/>
  <c r="BF19" i="280"/>
  <c r="BF20" i="279"/>
  <c r="BF20" i="280" s="1"/>
  <c r="BF20" i="277"/>
  <c r="J55" i="203"/>
  <c r="BA74" i="277"/>
  <c r="BA125" s="1"/>
  <c r="BA398"/>
  <c r="BA400" s="1"/>
  <c r="BA408" s="1"/>
  <c r="BA46" i="276"/>
  <c r="BA259" s="1"/>
  <c r="BA381"/>
  <c r="BA389" s="1"/>
  <c r="BA339"/>
  <c r="BA341" s="1"/>
  <c r="BA349" s="1"/>
  <c r="BA53" i="280"/>
  <c r="BA331" s="1"/>
  <c r="BA46" i="279"/>
  <c r="BA66" s="1"/>
  <c r="BA73" i="280" s="1"/>
  <c r="BA379" i="279"/>
  <c r="BA339"/>
  <c r="BA341" s="1"/>
  <c r="BA349" s="1"/>
  <c r="T33" i="231"/>
  <c r="G29" i="201"/>
  <c r="AK34" i="231"/>
  <c r="AV34" s="1"/>
  <c r="Z7"/>
  <c r="AJ44" i="261"/>
  <c r="AL39"/>
  <c r="N107" i="234"/>
  <c r="N108"/>
  <c r="BI19" i="280"/>
  <c r="DD51" i="258"/>
  <c r="DD52" s="1"/>
  <c r="DD71" s="1"/>
  <c r="BH379" i="277"/>
  <c r="BH320" i="276"/>
  <c r="BH197" i="280"/>
  <c r="BB169" s="1"/>
  <c r="BD169" s="1"/>
  <c r="BH320" i="279"/>
  <c r="AK7" i="231"/>
  <c r="Z6"/>
  <c r="AV6" s="1"/>
  <c r="AX44" i="261"/>
  <c r="AX52" s="1"/>
  <c r="BG39"/>
  <c r="BG44" s="1"/>
  <c r="BH321" i="276"/>
  <c r="BH380" i="277"/>
  <c r="BH199" i="280"/>
  <c r="BB170" s="1"/>
  <c r="BD170" s="1"/>
  <c r="BH321" i="279"/>
  <c r="DI23" i="258"/>
  <c r="M642" i="270"/>
  <c r="L671" s="1"/>
  <c r="M643"/>
  <c r="L672" s="1"/>
  <c r="BA21" i="280"/>
  <c r="BA25" s="1"/>
  <c r="K674" i="270"/>
  <c r="BB391" i="276"/>
  <c r="BB390"/>
  <c r="AX71" i="260"/>
  <c r="BG52"/>
  <c r="DI14" i="259"/>
  <c r="BP23"/>
  <c r="U38" i="231"/>
  <c r="AQ38" s="1"/>
  <c r="AF31"/>
  <c r="AQ31" s="1"/>
  <c r="N151" i="200"/>
  <c r="N154" s="1"/>
  <c r="N204"/>
  <c r="L689" i="270"/>
  <c r="BG108" i="277"/>
  <c r="Q23" i="261"/>
  <c r="Q71" s="1"/>
  <c r="R20"/>
  <c r="O480" i="270"/>
  <c r="N481"/>
  <c r="N640"/>
  <c r="P117" i="188"/>
  <c r="R14" i="260"/>
  <c r="I23"/>
  <c r="I71" s="1"/>
  <c r="M255" i="133"/>
  <c r="M276" s="1"/>
  <c r="J219" i="200"/>
  <c r="W63" i="259"/>
  <c r="W64"/>
  <c r="X64" i="258"/>
  <c r="X63"/>
  <c r="AJ52" i="260"/>
  <c r="AJ71" s="1"/>
  <c r="AL44"/>
  <c r="BM44" s="1"/>
  <c r="AE63" i="261"/>
  <c r="AE71"/>
  <c r="M109" i="234"/>
  <c r="AE63" i="262"/>
  <c r="AE71"/>
  <c r="BE316" i="277"/>
  <c r="AO38" i="231"/>
  <c r="M205" i="200"/>
  <c r="AL20" i="260"/>
  <c r="BM20" s="1"/>
  <c r="W23"/>
  <c r="P126" i="188"/>
  <c r="AY21" i="280"/>
  <c r="P122" i="188"/>
  <c r="I56" i="203"/>
  <c r="I57" s="1"/>
  <c r="I89" s="1"/>
  <c r="I86"/>
  <c r="BM29" i="261"/>
  <c r="AU7" i="231"/>
  <c r="BM29" i="262"/>
  <c r="X23" i="259"/>
  <c r="AL14"/>
  <c r="BE48" i="280"/>
  <c r="BE253" i="279"/>
  <c r="BF119" i="280"/>
  <c r="BH18"/>
  <c r="BH14" i="279"/>
  <c r="BH14" i="280" s="1"/>
  <c r="BH11"/>
  <c r="AL59" i="255"/>
  <c r="U61"/>
  <c r="U49" s="1"/>
  <c r="AE48" i="231"/>
  <c r="AP48" s="1"/>
  <c r="AL59" i="257"/>
  <c r="U61"/>
  <c r="U49" s="1"/>
  <c r="AD48" i="231"/>
  <c r="AO48" s="1"/>
  <c r="DI46" i="259"/>
  <c r="W20" i="261"/>
  <c r="AL19"/>
  <c r="BM19" s="1"/>
  <c r="W20" i="263"/>
  <c r="AL20" s="1"/>
  <c r="AL19"/>
  <c r="BM19" s="1"/>
  <c r="Q20" i="262"/>
  <c r="R19"/>
  <c r="R21"/>
  <c r="N23"/>
  <c r="N71" s="1"/>
  <c r="BK46" i="258"/>
  <c r="BM46" s="1"/>
  <c r="E31" i="277"/>
  <c r="BD39"/>
  <c r="AL47" i="263"/>
  <c r="AY333" i="280"/>
  <c r="BA333"/>
  <c r="F68" i="199"/>
  <c r="K315" i="133"/>
  <c r="K278"/>
  <c r="K280" s="1"/>
  <c r="O146" i="200"/>
  <c r="O148" s="1"/>
  <c r="O201" s="1"/>
  <c r="O144"/>
  <c r="O150" s="1"/>
  <c r="N202"/>
  <c r="N206" s="1"/>
  <c r="N155"/>
  <c r="N156" s="1"/>
  <c r="P104" i="157"/>
  <c r="O105"/>
  <c r="O106" s="1"/>
  <c r="BP20" i="261"/>
  <c r="DI19"/>
  <c r="BP20" i="263"/>
  <c r="DI19"/>
  <c r="N132" i="157"/>
  <c r="N130"/>
  <c r="N119"/>
  <c r="N142" s="1"/>
  <c r="N120"/>
  <c r="N143" s="1"/>
  <c r="N121"/>
  <c r="N144" s="1"/>
  <c r="L219" i="200"/>
  <c r="N203"/>
  <c r="N205" s="1"/>
  <c r="N191"/>
  <c r="O203"/>
  <c r="O191"/>
  <c r="M192"/>
  <c r="M218" s="1"/>
  <c r="M215"/>
  <c r="Q115" i="188"/>
  <c r="S59"/>
  <c r="N218" i="184"/>
  <c r="O203"/>
  <c r="O217" s="1"/>
  <c r="O214"/>
  <c r="N641" i="270"/>
  <c r="M658" s="1"/>
  <c r="L662"/>
  <c r="L663" s="1"/>
  <c r="O107" i="197"/>
  <c r="L277" i="133"/>
  <c r="L265"/>
  <c r="L313" s="1"/>
  <c r="L264"/>
  <c r="L312" s="1"/>
  <c r="L266"/>
  <c r="L314" s="1"/>
  <c r="N254"/>
  <c r="N279" s="1"/>
  <c r="N255"/>
  <c r="O253"/>
  <c r="O291"/>
  <c r="M257"/>
  <c r="BG31" i="261"/>
  <c r="BE52"/>
  <c r="BE71" s="1"/>
  <c r="BE52" i="262"/>
  <c r="BE71" s="1"/>
  <c r="BG31"/>
  <c r="BM31" s="1"/>
  <c r="BB54" i="280"/>
  <c r="I23" i="259"/>
  <c r="I71" s="1"/>
  <c r="R14"/>
  <c r="P23" i="263"/>
  <c r="P71" s="1"/>
  <c r="R20"/>
  <c r="BE257" i="279"/>
  <c r="BD257"/>
  <c r="BJ59" i="255"/>
  <c r="BI17" i="279"/>
  <c r="BI191"/>
  <c r="BI366" i="277"/>
  <c r="BI307" i="276"/>
  <c r="BH304" i="279"/>
  <c r="BH246" i="277"/>
  <c r="BH304" i="276"/>
  <c r="BF305" i="279"/>
  <c r="BF305" i="276"/>
  <c r="BF364" i="277"/>
  <c r="BA76" i="276"/>
  <c r="BA76" i="279"/>
  <c r="BI306" i="276"/>
  <c r="BI189"/>
  <c r="BI306" i="279"/>
  <c r="M16" i="231"/>
  <c r="BE303" i="279"/>
  <c r="BE186" i="276"/>
  <c r="BE303"/>
  <c r="BG19" i="277"/>
  <c r="BG19" i="276"/>
  <c r="BF10"/>
  <c r="V48" i="262"/>
  <c r="N32" i="231"/>
  <c r="BF55" i="277"/>
  <c r="BF27" i="279"/>
  <c r="BF86" i="276"/>
  <c r="Z65" i="248"/>
  <c r="BP19" i="262"/>
  <c r="BG88" i="276"/>
  <c r="BF61"/>
  <c r="BF68" i="280"/>
  <c r="BE62" i="276"/>
  <c r="BE69" i="280"/>
  <c r="O97" i="234"/>
  <c r="BJ46" i="262"/>
  <c r="BF217" i="280"/>
  <c r="BF209" i="279"/>
  <c r="F16" i="204"/>
  <c r="X48" i="262"/>
  <c r="M27" i="231"/>
  <c r="J11" i="203"/>
  <c r="BH88" i="276"/>
  <c r="BI48" i="261"/>
  <c r="G16" i="204"/>
  <c r="I13" i="262"/>
  <c r="BI18" i="276"/>
  <c r="BI18" i="277"/>
  <c r="BD217" i="280"/>
  <c r="BD209" i="276"/>
  <c r="BI48" i="262"/>
  <c r="BH16" i="279"/>
  <c r="BH16" i="277"/>
  <c r="U48" i="263"/>
  <c r="W19" i="262"/>
  <c r="N61" i="231"/>
  <c r="N21" i="263"/>
  <c r="X13" i="261"/>
  <c r="BP46" i="260"/>
  <c r="BG38" i="279"/>
  <c r="BG66" i="277"/>
  <c r="BH38" i="276"/>
  <c r="BE10"/>
  <c r="BE10" i="277"/>
  <c r="BI362" i="276"/>
  <c r="BI113"/>
  <c r="BJ59" i="257"/>
  <c r="BI17" i="277"/>
  <c r="BI17" i="276"/>
  <c r="BI307" i="279"/>
  <c r="BI191" i="276"/>
  <c r="BI250" i="277"/>
  <c r="BH187" i="279"/>
  <c r="BH187" i="276"/>
  <c r="BH363" i="277"/>
  <c r="BF188" i="279"/>
  <c r="BF188" i="276"/>
  <c r="BF247" i="277"/>
  <c r="BA135"/>
  <c r="BI248"/>
  <c r="BI365"/>
  <c r="BI189" i="279"/>
  <c r="AX39" i="262"/>
  <c r="BE186" i="279"/>
  <c r="BE362" i="277"/>
  <c r="BE245"/>
  <c r="BJ48" i="262"/>
  <c r="BG19" i="279"/>
  <c r="BF10" i="277"/>
  <c r="BF10" i="279"/>
  <c r="BR19" i="262"/>
  <c r="X48" i="263"/>
  <c r="BF27" i="276"/>
  <c r="BF145" i="277"/>
  <c r="BF86" i="279"/>
  <c r="H71" i="231"/>
  <c r="BG147" i="277"/>
  <c r="BG88" i="279"/>
  <c r="BF120" i="277"/>
  <c r="BF61" i="279"/>
  <c r="BE62"/>
  <c r="BE121" i="277"/>
  <c r="BQ46" i="260"/>
  <c r="BF268" i="277"/>
  <c r="BF209" i="276"/>
  <c r="K10" i="203"/>
  <c r="M32" i="231"/>
  <c r="AJ39" i="262"/>
  <c r="BQ13" i="261"/>
  <c r="BH147" i="277"/>
  <c r="BH88" i="279"/>
  <c r="W65" i="248"/>
  <c r="BQ19" i="262"/>
  <c r="BR46" i="260"/>
  <c r="BI18" i="279"/>
  <c r="BD268" i="277"/>
  <c r="BD209" i="279"/>
  <c r="BP13" i="261"/>
  <c r="DD48"/>
  <c r="BH16" i="276"/>
  <c r="BI46" i="259"/>
  <c r="M52" i="231"/>
  <c r="BP48" i="261"/>
  <c r="AJ21" i="263"/>
  <c r="L58" i="231"/>
  <c r="V46" i="260"/>
  <c r="U46" i="261"/>
  <c r="BG38" i="276"/>
  <c r="BH38" i="279"/>
  <c r="BH66" i="277"/>
  <c r="BE10" i="279"/>
  <c r="BI172" i="277"/>
  <c r="BG361" i="276"/>
  <c r="BG112"/>
  <c r="BI362" i="279"/>
  <c r="BI113"/>
  <c r="BG171" i="277"/>
  <c r="BG361" i="279"/>
  <c r="BG112"/>
  <c r="BM22" i="263" l="1"/>
  <c r="AQ37" i="231"/>
  <c r="BB255" i="279"/>
  <c r="AV7" i="231"/>
  <c r="BB70" i="279"/>
  <c r="AF33" i="231"/>
  <c r="AQ33" s="1"/>
  <c r="BA318" i="277"/>
  <c r="BB388" i="276"/>
  <c r="BB318" i="277"/>
  <c r="BA388" i="276"/>
  <c r="BM14" i="259"/>
  <c r="DI20" i="261"/>
  <c r="BK59" i="257"/>
  <c r="BM59" s="1"/>
  <c r="BJ61"/>
  <c r="BJ61" i="255"/>
  <c r="BK61" s="1"/>
  <c r="BK59"/>
  <c r="BB319" i="277"/>
  <c r="AE33" i="231"/>
  <c r="AP33" s="1"/>
  <c r="BA59" i="280"/>
  <c r="BI17"/>
  <c r="BM20" i="263"/>
  <c r="BB126" i="277"/>
  <c r="BI321" i="276"/>
  <c r="BI380" i="277"/>
  <c r="BI321" i="279"/>
  <c r="BI199" i="280"/>
  <c r="BM31" i="261"/>
  <c r="BB57" i="280"/>
  <c r="BB333" s="1"/>
  <c r="BB256" i="279"/>
  <c r="BB67" i="276"/>
  <c r="BB53"/>
  <c r="BB53" i="279"/>
  <c r="BA255"/>
  <c r="BA54" i="280"/>
  <c r="DI20" i="263"/>
  <c r="BM47"/>
  <c r="BF378" i="277"/>
  <c r="BF319" i="276"/>
  <c r="BF196" i="280"/>
  <c r="BF319" i="279"/>
  <c r="BH377" i="277"/>
  <c r="BH318" i="276"/>
  <c r="BH195" i="280"/>
  <c r="BB167" s="1"/>
  <c r="BD167" s="1"/>
  <c r="BH318" i="279"/>
  <c r="BM21" i="262"/>
  <c r="E26" i="277"/>
  <c r="BA81" i="280"/>
  <c r="BA70" i="279"/>
  <c r="BA66" i="276"/>
  <c r="W23" i="263"/>
  <c r="W64" s="1"/>
  <c r="BI120" i="280"/>
  <c r="BB35" i="277"/>
  <c r="BE10" i="280"/>
  <c r="BH68" i="277"/>
  <c r="BH40" i="276"/>
  <c r="BH257" s="1"/>
  <c r="BH46" i="280"/>
  <c r="BH40" i="279"/>
  <c r="BG68" i="277"/>
  <c r="BG40" i="276"/>
  <c r="BG257" s="1"/>
  <c r="BG46" i="280"/>
  <c r="BG40" i="279"/>
  <c r="AL46" i="260"/>
  <c r="X14" i="261"/>
  <c r="AL13"/>
  <c r="BM13" s="1"/>
  <c r="AK41" i="231"/>
  <c r="AV41" s="1"/>
  <c r="AJ23" i="263"/>
  <c r="AL21"/>
  <c r="AB34" i="231"/>
  <c r="AM44"/>
  <c r="AX44" s="1"/>
  <c r="DI48" i="261"/>
  <c r="AL43" i="231"/>
  <c r="AW43" s="1"/>
  <c r="BD38" i="277"/>
  <c r="BH16" i="280"/>
  <c r="DD51" i="261"/>
  <c r="DD52" s="1"/>
  <c r="DD71" s="1"/>
  <c r="BK48" i="262"/>
  <c r="DI13" i="261"/>
  <c r="BP14"/>
  <c r="BI20" i="277"/>
  <c r="BI20" i="279"/>
  <c r="BI20" i="280" s="1"/>
  <c r="BI18"/>
  <c r="BI20" i="276"/>
  <c r="R13" i="262"/>
  <c r="I14"/>
  <c r="BQ20"/>
  <c r="G133" i="204"/>
  <c r="G135" s="1"/>
  <c r="W67" i="248"/>
  <c r="W68" s="1"/>
  <c r="W71" s="1"/>
  <c r="BK48" i="261"/>
  <c r="BM48" s="1"/>
  <c r="BH93" i="280"/>
  <c r="J60" i="203"/>
  <c r="BQ14" i="261"/>
  <c r="BQ23" s="1"/>
  <c r="AL34" i="231"/>
  <c r="AW34" s="1"/>
  <c r="AA7"/>
  <c r="AJ44" i="262"/>
  <c r="AL39"/>
  <c r="X51"/>
  <c r="X52" s="1"/>
  <c r="F133" i="204"/>
  <c r="F135" s="1"/>
  <c r="K55" i="203"/>
  <c r="O107" i="234"/>
  <c r="O108"/>
  <c r="BG93" i="280"/>
  <c r="Z66" i="248"/>
  <c r="AU66" s="1"/>
  <c r="AU67" s="1"/>
  <c r="AU68" s="1"/>
  <c r="AU71" s="1"/>
  <c r="BF91" i="280"/>
  <c r="BF34" i="279"/>
  <c r="BF42" i="280" s="1"/>
  <c r="BF249" i="279"/>
  <c r="BF35" i="280"/>
  <c r="BF321" s="1"/>
  <c r="BF34" i="276"/>
  <c r="BF249"/>
  <c r="BF62" i="277"/>
  <c r="BF308"/>
  <c r="X51" i="263"/>
  <c r="X52" s="1"/>
  <c r="BR20" i="262"/>
  <c r="BR23" s="1"/>
  <c r="AL48"/>
  <c r="BF10" i="280"/>
  <c r="BG20" i="276"/>
  <c r="BG19" i="280"/>
  <c r="BG20" i="279"/>
  <c r="BG20" i="280" s="1"/>
  <c r="BG20" i="277"/>
  <c r="BC37" s="1"/>
  <c r="BE317" i="276"/>
  <c r="BE323" s="1"/>
  <c r="BE376" i="277"/>
  <c r="BE382" s="1"/>
  <c r="BE317" i="279"/>
  <c r="BE194" i="280"/>
  <c r="AA6" i="231"/>
  <c r="AW6" s="1"/>
  <c r="AL7"/>
  <c r="AW7" s="1"/>
  <c r="AX44" i="262"/>
  <c r="AX52" s="1"/>
  <c r="BG39"/>
  <c r="BG44" s="1"/>
  <c r="BI320" i="279"/>
  <c r="BI197" i="280"/>
  <c r="BI379" i="277"/>
  <c r="BI320" i="276"/>
  <c r="Q126" i="188"/>
  <c r="L674" i="270"/>
  <c r="J86" i="203"/>
  <c r="J56"/>
  <c r="J57" s="1"/>
  <c r="J89" s="1"/>
  <c r="I61"/>
  <c r="I91" s="1"/>
  <c r="I87"/>
  <c r="M689" i="270"/>
  <c r="BH108" i="277"/>
  <c r="F108" s="1"/>
  <c r="N109" i="234"/>
  <c r="BR23" i="263"/>
  <c r="X23" i="260"/>
  <c r="AL14"/>
  <c r="BM14" s="1"/>
  <c r="AY26" i="280"/>
  <c r="AY30"/>
  <c r="AY29"/>
  <c r="AY27"/>
  <c r="AY28"/>
  <c r="O640" i="270"/>
  <c r="O481"/>
  <c r="R14" i="261"/>
  <c r="I23"/>
  <c r="I71" s="1"/>
  <c r="BF316" i="277"/>
  <c r="O151" i="200"/>
  <c r="O154" s="1"/>
  <c r="O155" s="1"/>
  <c r="O204"/>
  <c r="AY59" i="280"/>
  <c r="Q23" i="262"/>
  <c r="Q71" s="1"/>
  <c r="R20"/>
  <c r="AL20" i="261"/>
  <c r="BM20" s="1"/>
  <c r="W23"/>
  <c r="X63" i="259"/>
  <c r="X64"/>
  <c r="W64" i="260"/>
  <c r="W63"/>
  <c r="M206" i="200"/>
  <c r="Q117" i="188"/>
  <c r="R117" s="1"/>
  <c r="DI23" i="259"/>
  <c r="BA28" i="280"/>
  <c r="BA30"/>
  <c r="BA26"/>
  <c r="BA29"/>
  <c r="BA27"/>
  <c r="AX71" i="261"/>
  <c r="BG52"/>
  <c r="BM39"/>
  <c r="BO39" s="1"/>
  <c r="BI48" i="280"/>
  <c r="BI253" i="279"/>
  <c r="BF253"/>
  <c r="BF48" i="280"/>
  <c r="AP37" i="231"/>
  <c r="BM59" i="255"/>
  <c r="Q122" i="188"/>
  <c r="N643" i="270"/>
  <c r="M672" s="1"/>
  <c r="N642"/>
  <c r="M671" s="1"/>
  <c r="AY25" i="280"/>
  <c r="AJ52" i="261"/>
  <c r="AJ71" s="1"/>
  <c r="AL44"/>
  <c r="BM44" s="1"/>
  <c r="DI14" i="260"/>
  <c r="BP23"/>
  <c r="BG119" i="280"/>
  <c r="DI46" i="260"/>
  <c r="R21" i="263"/>
  <c r="N23"/>
  <c r="N71" s="1"/>
  <c r="W20" i="262"/>
  <c r="AL19"/>
  <c r="BM19" s="1"/>
  <c r="BK46" i="259"/>
  <c r="BM46" s="1"/>
  <c r="M277" i="133"/>
  <c r="M264"/>
  <c r="M312" s="1"/>
  <c r="M265"/>
  <c r="M313" s="1"/>
  <c r="M266"/>
  <c r="M314" s="1"/>
  <c r="O254"/>
  <c r="O279" s="1"/>
  <c r="N276"/>
  <c r="N257"/>
  <c r="L315"/>
  <c r="L278"/>
  <c r="L280" s="1"/>
  <c r="O641" i="270"/>
  <c r="M662"/>
  <c r="M663" s="1"/>
  <c r="O218" i="184"/>
  <c r="T59" i="188"/>
  <c r="R115"/>
  <c r="M219" i="200"/>
  <c r="O192"/>
  <c r="N215"/>
  <c r="N192"/>
  <c r="N218"/>
  <c r="BP20" i="262"/>
  <c r="DI19"/>
  <c r="Q104" i="157"/>
  <c r="P105"/>
  <c r="P106" s="1"/>
  <c r="O202" i="200"/>
  <c r="BJ68" i="257"/>
  <c r="BK68" s="1"/>
  <c r="BK61"/>
  <c r="AL61"/>
  <c r="AL61" i="255"/>
  <c r="BG364" i="277"/>
  <c r="BG247"/>
  <c r="BG305" i="279"/>
  <c r="BI305" i="276"/>
  <c r="BI188"/>
  <c r="BI188" i="279"/>
  <c r="BI68" i="280"/>
  <c r="BI61" i="276"/>
  <c r="BC79"/>
  <c r="AJ39" i="263"/>
  <c r="I10" i="201"/>
  <c r="BC73" i="277"/>
  <c r="BC45" i="279"/>
  <c r="BP13" i="262"/>
  <c r="BH19" i="279"/>
  <c r="BG55" i="277"/>
  <c r="BG27" i="276"/>
  <c r="BI16"/>
  <c r="DD48" i="262"/>
  <c r="O10" i="203"/>
  <c r="AX39" i="263"/>
  <c r="X65" i="248"/>
  <c r="BG120" i="277"/>
  <c r="BG61" i="276"/>
  <c r="BF362" i="277"/>
  <c r="BF303" i="276"/>
  <c r="BF303" i="279"/>
  <c r="BJ46" i="263"/>
  <c r="K11" i="203"/>
  <c r="BG86" i="276"/>
  <c r="BR46" i="261"/>
  <c r="BG217" i="280"/>
  <c r="BG209" i="279"/>
  <c r="BF62" i="276"/>
  <c r="BF69" i="280"/>
  <c r="BG10" i="277"/>
  <c r="BG10" i="276"/>
  <c r="I71" i="231"/>
  <c r="V46" i="261"/>
  <c r="U46" i="262"/>
  <c r="M58" i="231"/>
  <c r="BP48" i="262"/>
  <c r="BH112" i="276"/>
  <c r="BH361" i="279"/>
  <c r="H9" i="231"/>
  <c r="BG188" i="279"/>
  <c r="BG188" i="276"/>
  <c r="BG305"/>
  <c r="BI247" i="277"/>
  <c r="BI364"/>
  <c r="BI305" i="279"/>
  <c r="BI61"/>
  <c r="BI120" i="277"/>
  <c r="BC138"/>
  <c r="BC79" i="279"/>
  <c r="N27" i="231"/>
  <c r="H55"/>
  <c r="BC45" i="276"/>
  <c r="BJ48" i="263"/>
  <c r="BH19" i="277"/>
  <c r="BH19" i="276"/>
  <c r="BG27" i="279"/>
  <c r="BI16"/>
  <c r="BI16" i="277"/>
  <c r="L10" i="203"/>
  <c r="BQ13" i="262"/>
  <c r="N16" i="231"/>
  <c r="BG61" i="279"/>
  <c r="BG68" i="280"/>
  <c r="BF245" i="277"/>
  <c r="BF186" i="276"/>
  <c r="BF186" i="279"/>
  <c r="BQ46" i="261"/>
  <c r="W65" i="258"/>
  <c r="BG145" i="277"/>
  <c r="BG86" i="279"/>
  <c r="BG268" i="277"/>
  <c r="BG209" i="276"/>
  <c r="BJ65" i="248"/>
  <c r="BF62" i="279"/>
  <c r="BF121" i="277"/>
  <c r="BG10" i="279"/>
  <c r="Z65" i="258"/>
  <c r="V48" i="263"/>
  <c r="BP46" i="261"/>
  <c r="BI46" i="260"/>
  <c r="X13" i="262"/>
  <c r="BH112" i="279"/>
  <c r="BH361" i="276"/>
  <c r="BH171" i="277"/>
  <c r="BJ68" i="255" l="1"/>
  <c r="BK68" s="1"/>
  <c r="BG319" i="279"/>
  <c r="BG319" i="276"/>
  <c r="BG378" i="277"/>
  <c r="BG196" i="280"/>
  <c r="Z67" i="248"/>
  <c r="Z68" s="1"/>
  <c r="Z71" s="1"/>
  <c r="W63" i="263"/>
  <c r="BM61" i="257"/>
  <c r="DI20" i="262"/>
  <c r="BI196" i="280"/>
  <c r="BI319" i="279"/>
  <c r="BI378" i="277"/>
  <c r="BI319" i="276"/>
  <c r="BM48" i="262"/>
  <c r="V26" i="231"/>
  <c r="AR26" s="1"/>
  <c r="H68"/>
  <c r="AG37"/>
  <c r="V17"/>
  <c r="AR17" s="1"/>
  <c r="BH119" i="280"/>
  <c r="DI48" i="262"/>
  <c r="X14"/>
  <c r="AL13"/>
  <c r="BM13" s="1"/>
  <c r="AL41" i="231"/>
  <c r="AW41" s="1"/>
  <c r="AL46" i="261"/>
  <c r="AL48" i="263"/>
  <c r="Z66" i="258"/>
  <c r="AU66" s="1"/>
  <c r="AU67" s="1"/>
  <c r="AU68" s="1"/>
  <c r="AU71" s="1"/>
  <c r="BG10" i="280"/>
  <c r="BC35" i="277"/>
  <c r="BJ67" i="248"/>
  <c r="BK67" s="1"/>
  <c r="BK65"/>
  <c r="BG91" i="280"/>
  <c r="K60" i="203"/>
  <c r="W67" i="258"/>
  <c r="W68" s="1"/>
  <c r="W71" s="1"/>
  <c r="BF317" i="279"/>
  <c r="BF194" i="280"/>
  <c r="BF317" i="276"/>
  <c r="BF323" s="1"/>
  <c r="BF376" i="277"/>
  <c r="BF382" s="1"/>
  <c r="X67" i="248"/>
  <c r="X68" s="1"/>
  <c r="X71" s="1"/>
  <c r="AB6" i="231"/>
  <c r="AX6" s="1"/>
  <c r="AM7"/>
  <c r="AX44" i="263"/>
  <c r="AX52" s="1"/>
  <c r="BG39"/>
  <c r="BG44" s="1"/>
  <c r="BQ14" i="262"/>
  <c r="BQ23" s="1"/>
  <c r="O55" i="203"/>
  <c r="L55"/>
  <c r="DD51" i="262"/>
  <c r="DD52" s="1"/>
  <c r="DD71" s="1"/>
  <c r="E30" i="277"/>
  <c r="BI16" i="280"/>
  <c r="BG249" i="276"/>
  <c r="BG34"/>
  <c r="BG249" i="279"/>
  <c r="BG35" i="280"/>
  <c r="BG321" s="1"/>
  <c r="BG34" i="279"/>
  <c r="BG42" i="280" s="1"/>
  <c r="BG308" i="277"/>
  <c r="BG62"/>
  <c r="BH20" i="276"/>
  <c r="BH19" i="280"/>
  <c r="BH20" i="279"/>
  <c r="BH20" i="280" s="1"/>
  <c r="BH20" i="277"/>
  <c r="BP14" i="262"/>
  <c r="DI13"/>
  <c r="BC46" i="279"/>
  <c r="BC70" s="1"/>
  <c r="BC53" i="280"/>
  <c r="BC331" s="1"/>
  <c r="BC339" i="279"/>
  <c r="BC341" s="1"/>
  <c r="BC349" s="1"/>
  <c r="BC379"/>
  <c r="BC339" i="276"/>
  <c r="BC341" s="1"/>
  <c r="BC349" s="1"/>
  <c r="BC46"/>
  <c r="BC259" s="1"/>
  <c r="BC381"/>
  <c r="BC398" i="277"/>
  <c r="BC400" s="1"/>
  <c r="BC408" s="1"/>
  <c r="BC74"/>
  <c r="V33" i="231"/>
  <c r="I29" i="201"/>
  <c r="AM34" i="231"/>
  <c r="AX34" s="1"/>
  <c r="AB7"/>
  <c r="AJ44" i="263"/>
  <c r="AL39"/>
  <c r="BC84" i="280"/>
  <c r="O156" i="200"/>
  <c r="O215"/>
  <c r="O205"/>
  <c r="O218"/>
  <c r="X63" i="260"/>
  <c r="X64"/>
  <c r="G136" i="204"/>
  <c r="G172" s="1"/>
  <c r="G169"/>
  <c r="BG316" i="277"/>
  <c r="BM61" i="255"/>
  <c r="X23" i="261"/>
  <c r="AL14"/>
  <c r="BM14" s="1"/>
  <c r="BH253" i="279"/>
  <c r="BH48" i="280"/>
  <c r="AL20" i="262"/>
  <c r="BM20" s="1"/>
  <c r="W23"/>
  <c r="BM21" i="263"/>
  <c r="W63" i="261"/>
  <c r="W64"/>
  <c r="K86" i="203"/>
  <c r="K56"/>
  <c r="K57" s="1"/>
  <c r="K89" s="1"/>
  <c r="R14" i="262"/>
  <c r="I23"/>
  <c r="I71" s="1"/>
  <c r="BF257" i="279"/>
  <c r="AJ52" i="262"/>
  <c r="AJ71" s="1"/>
  <c r="AL44"/>
  <c r="BM44" s="1"/>
  <c r="J61" i="203"/>
  <c r="J91" s="1"/>
  <c r="J87"/>
  <c r="E91" i="277"/>
  <c r="BH316"/>
  <c r="DI23" i="260"/>
  <c r="BP23" i="261"/>
  <c r="DI14"/>
  <c r="BG253" i="279"/>
  <c r="BG48" i="280"/>
  <c r="N662" i="270"/>
  <c r="N658"/>
  <c r="O255" i="133"/>
  <c r="M674" i="270"/>
  <c r="R122" i="188"/>
  <c r="O643" i="270"/>
  <c r="N672" s="1"/>
  <c r="O642"/>
  <c r="N671" s="1"/>
  <c r="I62" i="203"/>
  <c r="I90" s="1"/>
  <c r="R126" i="188"/>
  <c r="S126" s="1"/>
  <c r="BG52" i="262"/>
  <c r="AX71"/>
  <c r="O109" i="234"/>
  <c r="F136" i="204"/>
  <c r="F172" s="1"/>
  <c r="F169"/>
  <c r="BM39" i="262"/>
  <c r="BO39" s="1"/>
  <c r="BK46" i="260"/>
  <c r="BM46" s="1"/>
  <c r="DI46" i="261"/>
  <c r="Q105" i="157"/>
  <c r="Q106" s="1"/>
  <c r="R104"/>
  <c r="N219" i="200"/>
  <c r="O219"/>
  <c r="U59" i="188"/>
  <c r="S115"/>
  <c r="S117" s="1"/>
  <c r="N277" i="133"/>
  <c r="N266"/>
  <c r="N314" s="1"/>
  <c r="N264"/>
  <c r="N312" s="1"/>
  <c r="N265"/>
  <c r="N313" s="1"/>
  <c r="O276"/>
  <c r="O257"/>
  <c r="M315"/>
  <c r="M278"/>
  <c r="M280" s="1"/>
  <c r="BC76" i="279"/>
  <c r="BC135" i="277"/>
  <c r="BH188" i="279"/>
  <c r="BH364" i="277"/>
  <c r="BH247"/>
  <c r="BD73"/>
  <c r="BD45" i="279"/>
  <c r="BD138" i="277"/>
  <c r="BD79" i="279"/>
  <c r="BH217" i="280"/>
  <c r="BH209" i="276"/>
  <c r="BH55" i="277"/>
  <c r="BH27" i="276"/>
  <c r="BH10" i="277"/>
  <c r="BH10" i="279"/>
  <c r="BG62"/>
  <c r="BG69" i="280"/>
  <c r="BH145" i="277"/>
  <c r="BH86" i="279"/>
  <c r="BG303" i="276"/>
  <c r="BG186"/>
  <c r="BG186" i="279"/>
  <c r="X13" i="263"/>
  <c r="AA65" i="248"/>
  <c r="U50" i="257"/>
  <c r="BQ46" i="262"/>
  <c r="BC139" i="277"/>
  <c r="BC80" i="279"/>
  <c r="L11" i="203"/>
  <c r="F34" i="231"/>
  <c r="BH61" i="279"/>
  <c r="BH68" i="280"/>
  <c r="W65" i="259"/>
  <c r="BP13" i="263"/>
  <c r="BI48"/>
  <c r="Z65" i="259"/>
  <c r="V46" i="262"/>
  <c r="U46" i="263"/>
  <c r="BI171" i="277"/>
  <c r="AY114" i="279"/>
  <c r="AY114" i="276"/>
  <c r="AY173" i="277"/>
  <c r="BI112" i="279"/>
  <c r="BI112" i="276"/>
  <c r="BI361" i="279"/>
  <c r="BC76" i="276"/>
  <c r="BH305" i="279"/>
  <c r="BH305" i="276"/>
  <c r="BH188"/>
  <c r="J10" i="201"/>
  <c r="I55" i="231"/>
  <c r="BD45" i="276"/>
  <c r="BD79"/>
  <c r="BH268" i="277"/>
  <c r="BH209" i="279"/>
  <c r="BP48" i="263"/>
  <c r="BH27" i="279"/>
  <c r="BJ50" i="257"/>
  <c r="BH10" i="276"/>
  <c r="BQ13" i="263"/>
  <c r="BG62" i="276"/>
  <c r="BG121" i="277"/>
  <c r="BH86" i="276"/>
  <c r="X65" i="258"/>
  <c r="BG362" i="277"/>
  <c r="BG245"/>
  <c r="BG303" i="279"/>
  <c r="N58" i="231"/>
  <c r="H70"/>
  <c r="E34"/>
  <c r="I13" i="263"/>
  <c r="BC80" i="276"/>
  <c r="DD48" i="263"/>
  <c r="U50" i="255"/>
  <c r="BH61" i="276"/>
  <c r="BH120" i="277"/>
  <c r="M10" i="203"/>
  <c r="BJ65" i="258"/>
  <c r="BR46" i="262"/>
  <c r="BJ50" i="255"/>
  <c r="J71" i="231"/>
  <c r="BP46" i="262"/>
  <c r="BI46" i="261"/>
  <c r="I9" i="231"/>
  <c r="AY363" i="279"/>
  <c r="AY363" i="276"/>
  <c r="BA114" i="279"/>
  <c r="BA173" i="277"/>
  <c r="BI361" i="276"/>
  <c r="BA363"/>
  <c r="BA114"/>
  <c r="BA363" i="279"/>
  <c r="BC81" i="280" l="1"/>
  <c r="BH378" i="277"/>
  <c r="BH319" i="276"/>
  <c r="BH196" i="280"/>
  <c r="BB168" s="1"/>
  <c r="BD168" s="1"/>
  <c r="BH319" i="279"/>
  <c r="BM39" i="263"/>
  <c r="BO39" s="1"/>
  <c r="BC66" i="279"/>
  <c r="BC73" i="280" s="1"/>
  <c r="F137" i="204"/>
  <c r="F139" s="1"/>
  <c r="BI119" i="280"/>
  <c r="BA174" i="277"/>
  <c r="BA188" s="1"/>
  <c r="BA115" i="276"/>
  <c r="BA129" s="1"/>
  <c r="BA374"/>
  <c r="BA374" i="279"/>
  <c r="BA121" i="280"/>
  <c r="BA115" i="279"/>
  <c r="AY174" i="277"/>
  <c r="AY188" s="1"/>
  <c r="AY374" i="276"/>
  <c r="AY115"/>
  <c r="AY129" s="1"/>
  <c r="AY374" i="279"/>
  <c r="AY121" i="280"/>
  <c r="AY115" i="279"/>
  <c r="W26" i="231"/>
  <c r="AS26" s="1"/>
  <c r="I68"/>
  <c r="AH37"/>
  <c r="W17"/>
  <c r="AS17" s="1"/>
  <c r="AL46" i="262"/>
  <c r="Z66" i="259"/>
  <c r="AU66" s="1"/>
  <c r="AU67" s="1"/>
  <c r="AU68" s="1"/>
  <c r="AU71" s="1"/>
  <c r="BJ51" i="255"/>
  <c r="BJ52" s="1"/>
  <c r="BJ71" s="1"/>
  <c r="BK48" i="263"/>
  <c r="BP14"/>
  <c r="DI13"/>
  <c r="BK65" i="258"/>
  <c r="BJ67"/>
  <c r="BK67" s="1"/>
  <c r="W67" i="259"/>
  <c r="W68" s="1"/>
  <c r="W71" s="1"/>
  <c r="M55" i="203"/>
  <c r="AE28" i="231"/>
  <c r="U51" i="255"/>
  <c r="L60" i="203"/>
  <c r="DD51" i="263"/>
  <c r="DD52" s="1"/>
  <c r="DD71" s="1"/>
  <c r="BC85" i="280"/>
  <c r="R13" i="263"/>
  <c r="I14"/>
  <c r="AD28" i="231"/>
  <c r="U51" i="257"/>
  <c r="AA66" i="248"/>
  <c r="AV66" s="1"/>
  <c r="AV67" s="1"/>
  <c r="AV68" s="1"/>
  <c r="AV71" s="1"/>
  <c r="AM41" i="231"/>
  <c r="AX41" s="1"/>
  <c r="X14" i="263"/>
  <c r="AL13"/>
  <c r="BG317" i="279"/>
  <c r="BG194" i="280"/>
  <c r="BG376" i="277"/>
  <c r="BG382" s="1"/>
  <c r="BG317" i="276"/>
  <c r="BG323" s="1"/>
  <c r="X67" i="258"/>
  <c r="X68" s="1"/>
  <c r="X71" s="1"/>
  <c r="BH91" i="280"/>
  <c r="BQ14" i="263"/>
  <c r="BQ23" s="1"/>
  <c r="BH10" i="280"/>
  <c r="E27" i="277"/>
  <c r="BD35"/>
  <c r="BJ51" i="257"/>
  <c r="BJ52" s="1"/>
  <c r="BJ71" s="1"/>
  <c r="BH249" i="276"/>
  <c r="BH34"/>
  <c r="BH34" i="279"/>
  <c r="BH42" i="280" s="1"/>
  <c r="BH249" i="279"/>
  <c r="BH35" i="280"/>
  <c r="BH321" s="1"/>
  <c r="BH308" i="277"/>
  <c r="BH62"/>
  <c r="DI48" i="263"/>
  <c r="BD84" i="280"/>
  <c r="BD46" i="276"/>
  <c r="BD259" s="1"/>
  <c r="BD381"/>
  <c r="BD339"/>
  <c r="BD341" s="1"/>
  <c r="BD349" s="1"/>
  <c r="BD46" i="279"/>
  <c r="BD70" s="1"/>
  <c r="BD53" i="280"/>
  <c r="BD331" s="1"/>
  <c r="BD379" i="279"/>
  <c r="BD339"/>
  <c r="BD341" s="1"/>
  <c r="BD349" s="1"/>
  <c r="W33" i="231"/>
  <c r="BD398" i="277"/>
  <c r="BD400" s="1"/>
  <c r="BD408" s="1"/>
  <c r="BD125"/>
  <c r="BD74"/>
  <c r="J29" i="201"/>
  <c r="T126" i="188"/>
  <c r="F151" i="204"/>
  <c r="N674" i="270"/>
  <c r="W63" i="262"/>
  <c r="W64"/>
  <c r="BC318" i="277"/>
  <c r="K87" i="203"/>
  <c r="K61"/>
  <c r="K91" s="1"/>
  <c r="Z67" i="258"/>
  <c r="Z68" s="1"/>
  <c r="Z71" s="1"/>
  <c r="X23" i="262"/>
  <c r="AL14"/>
  <c r="N663" i="270"/>
  <c r="N689"/>
  <c r="BG257" i="279"/>
  <c r="AX71" i="263"/>
  <c r="BG52"/>
  <c r="BM48"/>
  <c r="S122" i="188"/>
  <c r="BM14" i="262"/>
  <c r="X63" i="261"/>
  <c r="X64"/>
  <c r="G137" i="204"/>
  <c r="O206" i="200"/>
  <c r="BC125" i="277"/>
  <c r="BC66" i="276"/>
  <c r="DI14" i="262"/>
  <c r="BP23"/>
  <c r="O56" i="203"/>
  <c r="O57" s="1"/>
  <c r="O89" s="1"/>
  <c r="O86"/>
  <c r="AX7" i="231"/>
  <c r="V37"/>
  <c r="AR37" s="1"/>
  <c r="AG33"/>
  <c r="AR33" s="1"/>
  <c r="L86" i="203"/>
  <c r="L56"/>
  <c r="L57" s="1"/>
  <c r="L89" s="1"/>
  <c r="DI23" i="261"/>
  <c r="J62" i="203"/>
  <c r="J90" s="1"/>
  <c r="AJ52" i="263"/>
  <c r="AJ71" s="1"/>
  <c r="AL44"/>
  <c r="BM44" s="1"/>
  <c r="BC389" i="276"/>
  <c r="BC388"/>
  <c r="BC255" i="279"/>
  <c r="BC54" i="280"/>
  <c r="BD37" i="277"/>
  <c r="E29"/>
  <c r="BK46" i="261"/>
  <c r="BM46" s="1"/>
  <c r="DI46" i="262"/>
  <c r="O277" i="133"/>
  <c r="O266"/>
  <c r="O314" s="1"/>
  <c r="O264"/>
  <c r="O312" s="1"/>
  <c r="O265"/>
  <c r="O313" s="1"/>
  <c r="N315"/>
  <c r="N278"/>
  <c r="N280" s="1"/>
  <c r="T115" i="188"/>
  <c r="T117" s="1"/>
  <c r="V59"/>
  <c r="S104" i="157"/>
  <c r="R105"/>
  <c r="R106" s="1"/>
  <c r="BD80" i="279"/>
  <c r="BJ65" i="259"/>
  <c r="BI86" i="279"/>
  <c r="BR46" i="263"/>
  <c r="BE73" i="277"/>
  <c r="BE45" i="276"/>
  <c r="BI268" i="277"/>
  <c r="BI209" i="276"/>
  <c r="BI27"/>
  <c r="BI55" i="277"/>
  <c r="Z65" i="263"/>
  <c r="W65" i="260"/>
  <c r="Z65"/>
  <c r="BE138" i="277"/>
  <c r="BE79" i="279"/>
  <c r="AY56" i="276"/>
  <c r="N10" i="203"/>
  <c r="BD76" i="279"/>
  <c r="BQ46" i="263"/>
  <c r="BA56" i="276"/>
  <c r="I11" i="201"/>
  <c r="H63" i="231"/>
  <c r="BC47" i="279"/>
  <c r="BH62"/>
  <c r="BH69" i="280"/>
  <c r="BH245" i="277"/>
  <c r="BH303" i="276"/>
  <c r="BH186" i="279"/>
  <c r="V46" i="263"/>
  <c r="BI46" i="262"/>
  <c r="BD139" i="277"/>
  <c r="BD80" i="276"/>
  <c r="BI86"/>
  <c r="BI145" i="277"/>
  <c r="K10" i="201"/>
  <c r="J55" i="231"/>
  <c r="BE45" i="279"/>
  <c r="BI217" i="280"/>
  <c r="BI209" i="279"/>
  <c r="BI27"/>
  <c r="M11" i="203"/>
  <c r="N71" i="231"/>
  <c r="W65" i="263"/>
  <c r="K71" i="231"/>
  <c r="BE79" i="276"/>
  <c r="AY56" i="279"/>
  <c r="AY115" i="277"/>
  <c r="BD135"/>
  <c r="BD76" i="276"/>
  <c r="BA115" i="277"/>
  <c r="BA56" i="279"/>
  <c r="BC75" i="277"/>
  <c r="BC47" i="276"/>
  <c r="X65" i="259"/>
  <c r="BH62" i="276"/>
  <c r="BH121" i="277"/>
  <c r="BH362"/>
  <c r="BH186" i="276"/>
  <c r="BH303" i="279"/>
  <c r="I70" i="231"/>
  <c r="BP46" i="263"/>
  <c r="J9" i="231"/>
  <c r="AA65" i="258"/>
  <c r="H11" i="231"/>
  <c r="BD66" i="279" l="1"/>
  <c r="BD73" i="280" s="1"/>
  <c r="K62" i="203"/>
  <c r="K90" s="1"/>
  <c r="AG38" i="231"/>
  <c r="H69"/>
  <c r="V19"/>
  <c r="AR19" s="1"/>
  <c r="X17"/>
  <c r="AT17" s="1"/>
  <c r="AI37"/>
  <c r="J68"/>
  <c r="X26"/>
  <c r="AT26" s="1"/>
  <c r="AL46" i="263"/>
  <c r="AA66" i="258"/>
  <c r="AV66" s="1"/>
  <c r="AV67" s="1"/>
  <c r="AV68" s="1"/>
  <c r="AV71" s="1"/>
  <c r="BH317" i="279"/>
  <c r="BH194" i="280"/>
  <c r="BB166" s="1"/>
  <c r="BD166" s="1"/>
  <c r="BH317" i="276"/>
  <c r="BH323" s="1"/>
  <c r="BH376" i="277"/>
  <c r="BH382" s="1"/>
  <c r="X67" i="259"/>
  <c r="X68" s="1"/>
  <c r="X71" s="1"/>
  <c r="BC380" i="279"/>
  <c r="BC49"/>
  <c r="BC53" s="1"/>
  <c r="BC71"/>
  <c r="BC55" i="280"/>
  <c r="BC343" i="279"/>
  <c r="BC345" s="1"/>
  <c r="BC350" s="1"/>
  <c r="BC49" i="276"/>
  <c r="BC260" s="1"/>
  <c r="BC382"/>
  <c r="BC343"/>
  <c r="BC345" s="1"/>
  <c r="BC350" s="1"/>
  <c r="V31" i="231"/>
  <c r="BC402" i="277"/>
  <c r="BC404" s="1"/>
  <c r="BC409" s="1"/>
  <c r="BC77"/>
  <c r="BC112" s="1"/>
  <c r="I30" i="201"/>
  <c r="BD81" i="280"/>
  <c r="N55" i="203"/>
  <c r="BE84" i="280"/>
  <c r="Z66" i="260"/>
  <c r="AU66" s="1"/>
  <c r="AU67" s="1"/>
  <c r="AU68" s="1"/>
  <c r="AU71" s="1"/>
  <c r="W67" i="263"/>
  <c r="W68" s="1"/>
  <c r="W71" s="1"/>
  <c r="W67" i="260"/>
  <c r="W68" s="1"/>
  <c r="W71" s="1"/>
  <c r="Z66" i="263"/>
  <c r="AU66" s="1"/>
  <c r="AU67" s="1"/>
  <c r="AU68" s="1"/>
  <c r="AU71" s="1"/>
  <c r="M60" i="203"/>
  <c r="BI308" i="277"/>
  <c r="BI62"/>
  <c r="BI249" i="279"/>
  <c r="BI35" i="280"/>
  <c r="BI321" s="1"/>
  <c r="BI34" i="279"/>
  <c r="BI42" i="280" s="1"/>
  <c r="BI249" i="276"/>
  <c r="BI34"/>
  <c r="BE379" i="279"/>
  <c r="BE339"/>
  <c r="BE341" s="1"/>
  <c r="BE349" s="1"/>
  <c r="BE53" i="280"/>
  <c r="BE331" s="1"/>
  <c r="BE46" i="279"/>
  <c r="BE66" s="1"/>
  <c r="BE73" i="280" s="1"/>
  <c r="BE339" i="276"/>
  <c r="BE341" s="1"/>
  <c r="BE349" s="1"/>
  <c r="BE46"/>
  <c r="BE259" s="1"/>
  <c r="BE381"/>
  <c r="X33" i="231"/>
  <c r="BE74" i="277"/>
  <c r="BE125" s="1"/>
  <c r="BE398"/>
  <c r="BE400" s="1"/>
  <c r="BE408" s="1"/>
  <c r="K29" i="201"/>
  <c r="BI91" i="280"/>
  <c r="BK65" i="259"/>
  <c r="BJ67"/>
  <c r="BK67" s="1"/>
  <c r="BD85" i="280"/>
  <c r="X64" i="262"/>
  <c r="X63"/>
  <c r="BM13" i="263"/>
  <c r="AY160" i="277"/>
  <c r="AY189"/>
  <c r="T122" i="188"/>
  <c r="F170" i="204"/>
  <c r="F143"/>
  <c r="F184" s="1"/>
  <c r="F144"/>
  <c r="F185" s="1"/>
  <c r="F142"/>
  <c r="F183" s="1"/>
  <c r="BD66" i="276"/>
  <c r="X23" i="263"/>
  <c r="AL14"/>
  <c r="AA67" i="248"/>
  <c r="AA68" s="1"/>
  <c r="AA71" s="1"/>
  <c r="U52" i="255"/>
  <c r="DI14" i="263"/>
  <c r="BP23"/>
  <c r="Z67" i="259"/>
  <c r="Z68" s="1"/>
  <c r="Z71" s="1"/>
  <c r="W37" i="231"/>
  <c r="AS37" s="1"/>
  <c r="AH33"/>
  <c r="AS33" s="1"/>
  <c r="BA129" i="279"/>
  <c r="BA122" i="280"/>
  <c r="BA130" i="276"/>
  <c r="BA101"/>
  <c r="G139" i="204"/>
  <c r="G151"/>
  <c r="I152"/>
  <c r="H152"/>
  <c r="M152"/>
  <c r="G152"/>
  <c r="F156"/>
  <c r="F203" s="1"/>
  <c r="F202"/>
  <c r="L152"/>
  <c r="K152"/>
  <c r="N152"/>
  <c r="J152"/>
  <c r="AY101" i="276"/>
  <c r="AY130"/>
  <c r="BA160" i="277"/>
  <c r="BA189"/>
  <c r="BA104" s="1"/>
  <c r="E104" s="1"/>
  <c r="M56" i="203"/>
  <c r="M57" s="1"/>
  <c r="M89" s="1"/>
  <c r="M86"/>
  <c r="DI23" i="262"/>
  <c r="BD318" i="277"/>
  <c r="BD255" i="279"/>
  <c r="BD54" i="280"/>
  <c r="BD389" i="276"/>
  <c r="BD388"/>
  <c r="BH257" i="279"/>
  <c r="U52" i="257"/>
  <c r="R14" i="263"/>
  <c r="I23"/>
  <c r="I71" s="1"/>
  <c r="L61" i="203"/>
  <c r="L91" s="1"/>
  <c r="L87"/>
  <c r="AY122" i="280"/>
  <c r="AY129" i="279"/>
  <c r="BK46" i="262"/>
  <c r="BM46" s="1"/>
  <c r="DI46" i="263"/>
  <c r="S105" i="157"/>
  <c r="S106" s="1"/>
  <c r="T104"/>
  <c r="U115" i="188"/>
  <c r="U117" s="1"/>
  <c r="W59"/>
  <c r="J54"/>
  <c r="O315" i="133"/>
  <c r="O278"/>
  <c r="O280" s="1"/>
  <c r="J70" i="231"/>
  <c r="BI79" i="279"/>
  <c r="BI138" i="277"/>
  <c r="AY138" i="279"/>
  <c r="AY197" i="277"/>
  <c r="BI10" i="276"/>
  <c r="BF138" i="277"/>
  <c r="BF79" i="279"/>
  <c r="BI62"/>
  <c r="BI69" i="280"/>
  <c r="BE135" i="277"/>
  <c r="BE76" i="276"/>
  <c r="BD75" i="277"/>
  <c r="BD47" i="279"/>
  <c r="N11" i="203"/>
  <c r="W65" i="261"/>
  <c r="BE139" i="277"/>
  <c r="BE80" i="276"/>
  <c r="BF73" i="277"/>
  <c r="BF45" i="276"/>
  <c r="O10" i="201"/>
  <c r="N55" i="231"/>
  <c r="BI45" i="279"/>
  <c r="E33" i="231"/>
  <c r="BC77" i="276"/>
  <c r="BI186" i="279"/>
  <c r="BI303" i="276"/>
  <c r="BI245" i="277"/>
  <c r="H9" i="228"/>
  <c r="Z65" i="261"/>
  <c r="BI46" i="263"/>
  <c r="L71" i="231"/>
  <c r="N9"/>
  <c r="AA65" i="259"/>
  <c r="BI79" i="276"/>
  <c r="BQ50" i="257"/>
  <c r="AY138" i="276"/>
  <c r="BI10" i="279"/>
  <c r="BI10" i="277"/>
  <c r="BF79" i="276"/>
  <c r="BR50" i="257"/>
  <c r="BI62" i="276"/>
  <c r="BI121" i="277"/>
  <c r="BE76" i="279"/>
  <c r="J11" i="201"/>
  <c r="I63" i="231"/>
  <c r="BD47" i="276"/>
  <c r="BP50" i="257"/>
  <c r="BJ65" i="260"/>
  <c r="BE80" i="279"/>
  <c r="L10" i="201"/>
  <c r="K9" i="231" s="1"/>
  <c r="K55"/>
  <c r="BF45" i="279"/>
  <c r="BI73" i="277"/>
  <c r="BI45" i="276"/>
  <c r="V50" i="257"/>
  <c r="BC136" i="277"/>
  <c r="BC77" i="279"/>
  <c r="BI303"/>
  <c r="BI362" i="277"/>
  <c r="BI186" i="276"/>
  <c r="X65" i="260"/>
  <c r="I11" i="231"/>
  <c r="BC67" i="279" l="1"/>
  <c r="BC74" i="280" s="1"/>
  <c r="AA66" i="259"/>
  <c r="AV66" s="1"/>
  <c r="AV67" s="1"/>
  <c r="AV68" s="1"/>
  <c r="AV71" s="1"/>
  <c r="Z67" i="263"/>
  <c r="Z68" s="1"/>
  <c r="Z71" s="1"/>
  <c r="Z67" i="260"/>
  <c r="Z68" s="1"/>
  <c r="Z71" s="1"/>
  <c r="BC67" i="276"/>
  <c r="BM14" i="263"/>
  <c r="AA67" i="259"/>
  <c r="AA68" s="1"/>
  <c r="AA71" s="1"/>
  <c r="BC126" i="277"/>
  <c r="BC53" i="276"/>
  <c r="AB17" i="231"/>
  <c r="AX17" s="1"/>
  <c r="N68"/>
  <c r="AM37"/>
  <c r="AB26"/>
  <c r="AX26" s="1"/>
  <c r="Y26"/>
  <c r="AU26" s="1"/>
  <c r="AJ37"/>
  <c r="K68"/>
  <c r="Y17"/>
  <c r="AU17" s="1"/>
  <c r="W19"/>
  <c r="AS19" s="1"/>
  <c r="I69"/>
  <c r="AH38"/>
  <c r="Z66" i="261"/>
  <c r="AU66" s="1"/>
  <c r="AU67" s="1"/>
  <c r="AU68" s="1"/>
  <c r="AU71" s="1"/>
  <c r="X67" i="260"/>
  <c r="X68" s="1"/>
  <c r="X71" s="1"/>
  <c r="H12" i="228"/>
  <c r="H23" s="1"/>
  <c r="BI376" i="277"/>
  <c r="BI382" s="1"/>
  <c r="BI317" i="276"/>
  <c r="BI323" s="1"/>
  <c r="BI317" i="279"/>
  <c r="BI194" i="280"/>
  <c r="BC82"/>
  <c r="AD27" i="231"/>
  <c r="V51" i="257"/>
  <c r="AL50"/>
  <c r="BI53" i="280"/>
  <c r="BI331" s="1"/>
  <c r="BI46" i="279"/>
  <c r="BI379"/>
  <c r="BI339"/>
  <c r="BI341" s="1"/>
  <c r="BI349" s="1"/>
  <c r="BI339" i="276"/>
  <c r="BI341" s="1"/>
  <c r="BI349" s="1"/>
  <c r="BI46"/>
  <c r="BI259" s="1"/>
  <c r="BI381"/>
  <c r="AB33" i="231"/>
  <c r="BI74" i="277"/>
  <c r="BI318" s="1"/>
  <c r="O29" i="201"/>
  <c r="BF379" i="279"/>
  <c r="BF46"/>
  <c r="BF66" s="1"/>
  <c r="BF73" i="280" s="1"/>
  <c r="BF53"/>
  <c r="BF331" s="1"/>
  <c r="BF339" i="279"/>
  <c r="BF341" s="1"/>
  <c r="BF349" s="1"/>
  <c r="BF381" i="276"/>
  <c r="BF339"/>
  <c r="BF341" s="1"/>
  <c r="BF349" s="1"/>
  <c r="BF46"/>
  <c r="BF259" s="1"/>
  <c r="Y33" i="231"/>
  <c r="BF398" i="277"/>
  <c r="BF400" s="1"/>
  <c r="BF408" s="1"/>
  <c r="BF74"/>
  <c r="BF125" s="1"/>
  <c r="L29" i="201"/>
  <c r="BE85" i="280"/>
  <c r="BJ67" i="260"/>
  <c r="BK67" s="1"/>
  <c r="BK65"/>
  <c r="W67" i="261"/>
  <c r="W68" s="1"/>
  <c r="W71" s="1"/>
  <c r="DI50" i="257"/>
  <c r="BP51"/>
  <c r="N60" i="203"/>
  <c r="BD49" i="276"/>
  <c r="BD260" s="1"/>
  <c r="BD343"/>
  <c r="BD345" s="1"/>
  <c r="BD350" s="1"/>
  <c r="BD382"/>
  <c r="BD49" i="279"/>
  <c r="BD67" s="1"/>
  <c r="BD74" i="280" s="1"/>
  <c r="BD55"/>
  <c r="BD380" i="279"/>
  <c r="BD71"/>
  <c r="BD343"/>
  <c r="BD345" s="1"/>
  <c r="BD350" s="1"/>
  <c r="W31" i="231"/>
  <c r="BD77" i="277"/>
  <c r="BD112" s="1"/>
  <c r="BD402"/>
  <c r="BD404" s="1"/>
  <c r="BD409" s="1"/>
  <c r="J30" i="201"/>
  <c r="BE81" i="280"/>
  <c r="BR51" i="257"/>
  <c r="BR52" s="1"/>
  <c r="BR71" s="1"/>
  <c r="BF84" i="280"/>
  <c r="BI10"/>
  <c r="AY209" i="277"/>
  <c r="AY150" i="276"/>
  <c r="AY150" i="279"/>
  <c r="AY157" i="280" s="1"/>
  <c r="AY145"/>
  <c r="BQ51" i="257"/>
  <c r="BQ52" s="1"/>
  <c r="BQ71" s="1"/>
  <c r="BI84" i="280"/>
  <c r="AY101" i="279"/>
  <c r="AY108" i="280" s="1"/>
  <c r="AY130" i="279"/>
  <c r="AY137" i="280" s="1"/>
  <c r="AY136"/>
  <c r="F171" i="204"/>
  <c r="F175" s="1"/>
  <c r="BC57" i="280"/>
  <c r="BC256" i="279"/>
  <c r="U64" i="257"/>
  <c r="U66" s="1"/>
  <c r="U64" i="255"/>
  <c r="U66" s="1"/>
  <c r="F186" i="204"/>
  <c r="U122" i="188"/>
  <c r="V122" s="1"/>
  <c r="BE66" i="276"/>
  <c r="BE255" i="279"/>
  <c r="BE54" i="280"/>
  <c r="BC319" i="277"/>
  <c r="BC391" i="276"/>
  <c r="BC390"/>
  <c r="L62" i="203"/>
  <c r="L90" s="1"/>
  <c r="G202" i="204"/>
  <c r="G153"/>
  <c r="O152" s="1"/>
  <c r="G156"/>
  <c r="G203" s="1"/>
  <c r="X64" i="263"/>
  <c r="X63"/>
  <c r="U126" i="188"/>
  <c r="BE318" i="277"/>
  <c r="BE389" i="276"/>
  <c r="BE388"/>
  <c r="BE70" i="279"/>
  <c r="BI257"/>
  <c r="AA67" i="258"/>
  <c r="AA68" s="1"/>
  <c r="AA71" s="1"/>
  <c r="X37" i="231"/>
  <c r="AT37" s="1"/>
  <c r="AI33"/>
  <c r="AT33" s="1"/>
  <c r="AG31"/>
  <c r="AR31" s="1"/>
  <c r="V38"/>
  <c r="AR38" s="1"/>
  <c r="G143" i="204"/>
  <c r="G184" s="1"/>
  <c r="G144"/>
  <c r="G185" s="1"/>
  <c r="G142"/>
  <c r="G183" s="1"/>
  <c r="G170"/>
  <c r="BA130" i="279"/>
  <c r="BA137" i="280" s="1"/>
  <c r="BA136"/>
  <c r="BA101" i="279"/>
  <c r="BA108" i="280" s="1"/>
  <c r="DI23" i="263"/>
  <c r="M87" i="203"/>
  <c r="M61"/>
  <c r="M91" s="1"/>
  <c r="N86"/>
  <c r="N56"/>
  <c r="N57" s="1"/>
  <c r="N89" s="1"/>
  <c r="BK46" i="263"/>
  <c r="BM46" s="1"/>
  <c r="X59" i="188"/>
  <c r="V115"/>
  <c r="V117" s="1"/>
  <c r="U104" i="157"/>
  <c r="T105"/>
  <c r="T106" s="1"/>
  <c r="BE47" i="279"/>
  <c r="J63" i="231"/>
  <c r="BE75" i="277"/>
  <c r="BI76" i="279"/>
  <c r="BF76" i="276"/>
  <c r="BF135" i="277"/>
  <c r="BE77" i="276"/>
  <c r="BF139" i="277"/>
  <c r="BF80" i="279"/>
  <c r="BI50" i="257"/>
  <c r="BA197" i="277"/>
  <c r="BR50" i="255"/>
  <c r="AA65" i="260"/>
  <c r="BG138" i="277"/>
  <c r="BG79" i="279"/>
  <c r="Z65" i="262"/>
  <c r="W65"/>
  <c r="BG73" i="277"/>
  <c r="BG45" i="279"/>
  <c r="I9" i="228"/>
  <c r="BD77" i="279"/>
  <c r="V50" i="255"/>
  <c r="BJ65" i="261"/>
  <c r="BQ50" i="255"/>
  <c r="BE47" i="276"/>
  <c r="K11" i="201"/>
  <c r="BI135" i="277"/>
  <c r="BI76" i="276"/>
  <c r="BF76" i="279"/>
  <c r="BE77"/>
  <c r="BE136" i="277"/>
  <c r="BF80" i="276"/>
  <c r="E35" i="231"/>
  <c r="BA138" i="276"/>
  <c r="BA138" i="279"/>
  <c r="X65" i="261"/>
  <c r="K70" i="231"/>
  <c r="BG79" i="276"/>
  <c r="BP50" i="255"/>
  <c r="M71" i="231"/>
  <c r="M10" i="201"/>
  <c r="L55" i="231"/>
  <c r="BG45" i="276"/>
  <c r="BD136" i="277"/>
  <c r="BD77" i="276"/>
  <c r="F33" i="231"/>
  <c r="O11" i="203"/>
  <c r="L9" i="231"/>
  <c r="J11"/>
  <c r="X19" l="1"/>
  <c r="AT19" s="1"/>
  <c r="J69"/>
  <c r="AI38"/>
  <c r="BE77" i="277"/>
  <c r="BE112" s="1"/>
  <c r="BE402"/>
  <c r="BE404" s="1"/>
  <c r="BE409" s="1"/>
  <c r="K30" i="201"/>
  <c r="X31" i="231"/>
  <c r="BE343" i="276"/>
  <c r="BE345" s="1"/>
  <c r="BE350" s="1"/>
  <c r="BE382"/>
  <c r="BE49"/>
  <c r="BE260" s="1"/>
  <c r="BE380" i="279"/>
  <c r="BE71"/>
  <c r="BE343"/>
  <c r="BE345" s="1"/>
  <c r="BE350" s="1"/>
  <c r="BE49"/>
  <c r="BE53" s="1"/>
  <c r="BE55" i="280"/>
  <c r="BE67" i="279"/>
  <c r="BE74" i="280" s="1"/>
  <c r="BF81"/>
  <c r="BI81"/>
  <c r="Z67" i="261"/>
  <c r="Z68" s="1"/>
  <c r="Z71" s="1"/>
  <c r="BE82" i="280"/>
  <c r="M62" i="203"/>
  <c r="M90" s="1"/>
  <c r="BD126" i="277"/>
  <c r="BD53" i="279"/>
  <c r="BF66" i="276"/>
  <c r="BI125" i="277"/>
  <c r="Z26" i="231"/>
  <c r="AV26" s="1"/>
  <c r="AK37"/>
  <c r="L68"/>
  <c r="Z17"/>
  <c r="AV17" s="1"/>
  <c r="BQ51" i="255"/>
  <c r="BQ52" s="1"/>
  <c r="BQ71" s="1"/>
  <c r="O60" i="203"/>
  <c r="BJ67" i="261"/>
  <c r="BK67" s="1"/>
  <c r="BK65"/>
  <c r="AE27" i="231"/>
  <c r="V51" i="255"/>
  <c r="AL50"/>
  <c r="BD82" i="280"/>
  <c r="I12" i="228"/>
  <c r="I23" s="1"/>
  <c r="BG339" i="276"/>
  <c r="BG341" s="1"/>
  <c r="BG349" s="1"/>
  <c r="BG46"/>
  <c r="BG259" s="1"/>
  <c r="BG381"/>
  <c r="BG379" i="279"/>
  <c r="BG46"/>
  <c r="BG66" s="1"/>
  <c r="BG73" i="280" s="1"/>
  <c r="BG53"/>
  <c r="BG331" s="1"/>
  <c r="BG339" i="279"/>
  <c r="BG341" s="1"/>
  <c r="BG349" s="1"/>
  <c r="Z33" i="231"/>
  <c r="BG398" i="277"/>
  <c r="BG400" s="1"/>
  <c r="BG408" s="1"/>
  <c r="BG74"/>
  <c r="BG125" s="1"/>
  <c r="M29" i="201"/>
  <c r="W67" i="262"/>
  <c r="W68" s="1"/>
  <c r="W71" s="1"/>
  <c r="Z66"/>
  <c r="AU66" s="1"/>
  <c r="AU67" s="1"/>
  <c r="AU68" s="1"/>
  <c r="AU71" s="1"/>
  <c r="DI50" i="255"/>
  <c r="BP51"/>
  <c r="BG84" i="280"/>
  <c r="AA66" i="260"/>
  <c r="AV66" s="1"/>
  <c r="AV67" s="1"/>
  <c r="AV68" s="1"/>
  <c r="AV71" s="1"/>
  <c r="X67" i="261"/>
  <c r="X68" s="1"/>
  <c r="X71" s="1"/>
  <c r="BR51" i="255"/>
  <c r="BR52" s="1"/>
  <c r="BR71" s="1"/>
  <c r="BA145" i="280"/>
  <c r="BA150" i="279"/>
  <c r="BA157" i="280" s="1"/>
  <c r="BA209" i="277"/>
  <c r="BA150" i="276"/>
  <c r="BK50" i="257"/>
  <c r="BM50" s="1"/>
  <c r="BI51"/>
  <c r="AD30" i="231"/>
  <c r="AO30" s="1"/>
  <c r="S27"/>
  <c r="AO27" s="1"/>
  <c r="BF85" i="280"/>
  <c r="BI255" i="279"/>
  <c r="BI54" i="280"/>
  <c r="G171" i="204"/>
  <c r="G175" s="1"/>
  <c r="V126" i="188"/>
  <c r="AR66" i="257"/>
  <c r="U67"/>
  <c r="BC333" i="280"/>
  <c r="BD67" i="276"/>
  <c r="BF54" i="280"/>
  <c r="BF255" i="279"/>
  <c r="BI389" i="276"/>
  <c r="BI388"/>
  <c r="BI70" i="279"/>
  <c r="BI66"/>
  <c r="BI73" i="280" s="1"/>
  <c r="BE53" i="276"/>
  <c r="BE67"/>
  <c r="G186" i="204"/>
  <c r="BF389" i="276"/>
  <c r="BF388"/>
  <c r="BF70" i="279"/>
  <c r="BI66" i="276"/>
  <c r="BE391"/>
  <c r="BE390"/>
  <c r="BE57" i="280"/>
  <c r="BE256" i="279"/>
  <c r="V52" i="257"/>
  <c r="AL51"/>
  <c r="Y37" i="231"/>
  <c r="AU37" s="1"/>
  <c r="AJ33"/>
  <c r="AU33" s="1"/>
  <c r="AI31"/>
  <c r="X38"/>
  <c r="U67" i="255"/>
  <c r="AR66"/>
  <c r="BD390" i="276"/>
  <c r="BD391"/>
  <c r="BP52" i="257"/>
  <c r="DI51"/>
  <c r="BD319" i="277"/>
  <c r="BD57" i="280"/>
  <c r="BD256" i="279"/>
  <c r="BD53" i="276"/>
  <c r="N61" i="203"/>
  <c r="N91" s="1"/>
  <c r="N87"/>
  <c r="BF318" i="277"/>
  <c r="AH31" i="231"/>
  <c r="AS31" s="1"/>
  <c r="W38"/>
  <c r="AS38" s="1"/>
  <c r="AB37"/>
  <c r="AX37" s="1"/>
  <c r="AM33"/>
  <c r="AX33" s="1"/>
  <c r="U105" i="157"/>
  <c r="U106" s="1"/>
  <c r="V104"/>
  <c r="Y59" i="188"/>
  <c r="W115"/>
  <c r="W122" s="1"/>
  <c r="BG76" i="276"/>
  <c r="L70" i="231"/>
  <c r="N10" i="201"/>
  <c r="M55" i="231"/>
  <c r="BH45" i="276"/>
  <c r="BG80" i="279"/>
  <c r="X65" i="262"/>
  <c r="AY60" i="279"/>
  <c r="AY60" i="276"/>
  <c r="L11" i="201"/>
  <c r="BF47" i="276"/>
  <c r="F35" i="231"/>
  <c r="AY300" i="279"/>
  <c r="AY300" i="276"/>
  <c r="AY176"/>
  <c r="BJ65" i="262"/>
  <c r="BH79" i="279"/>
  <c r="M9" i="231"/>
  <c r="BG80" i="276"/>
  <c r="AY119" i="277"/>
  <c r="K63" i="231"/>
  <c r="BI50" i="255"/>
  <c r="AY359" i="277"/>
  <c r="BH79" i="276"/>
  <c r="BG76" i="279"/>
  <c r="BG135" i="277"/>
  <c r="AA65" i="261"/>
  <c r="BH73" i="277"/>
  <c r="BH45" i="279"/>
  <c r="BG139" i="277"/>
  <c r="AY67" i="280"/>
  <c r="BF75" i="277"/>
  <c r="BF47" i="279"/>
  <c r="AY176"/>
  <c r="AY235" i="277"/>
  <c r="BH138"/>
  <c r="K11" i="231"/>
  <c r="AA67" i="260" l="1"/>
  <c r="AA68" s="1"/>
  <c r="AA71" s="1"/>
  <c r="AT38" i="231"/>
  <c r="AT31"/>
  <c r="BE126" i="277"/>
  <c r="BE319"/>
  <c r="BG81" i="280"/>
  <c r="BG66" i="276"/>
  <c r="AA66" i="261"/>
  <c r="AV66" s="1"/>
  <c r="AV67" s="1"/>
  <c r="AV68" s="1"/>
  <c r="AV71" s="1"/>
  <c r="N62" i="203"/>
  <c r="N90" s="1"/>
  <c r="Y19" i="231"/>
  <c r="AU19" s="1"/>
  <c r="K69"/>
  <c r="AJ38"/>
  <c r="M68"/>
  <c r="AL37"/>
  <c r="AA26"/>
  <c r="AW26" s="1"/>
  <c r="AA17"/>
  <c r="AW17" s="1"/>
  <c r="BH84" i="280"/>
  <c r="BK65" i="262"/>
  <c r="BJ67"/>
  <c r="BK67" s="1"/>
  <c r="AY252" i="277"/>
  <c r="AY193" i="276"/>
  <c r="AY373" i="277"/>
  <c r="AY368"/>
  <c r="AY314" i="276"/>
  <c r="AY309"/>
  <c r="AY193" i="279"/>
  <c r="AY184" i="280"/>
  <c r="AY314" i="279"/>
  <c r="AY323" s="1"/>
  <c r="AY309"/>
  <c r="BK50" i="255"/>
  <c r="BI51"/>
  <c r="AE30" i="231"/>
  <c r="AP30" s="1"/>
  <c r="T27"/>
  <c r="AP27" s="1"/>
  <c r="BF49" i="279"/>
  <c r="BF67" s="1"/>
  <c r="BF74" i="280" s="1"/>
  <c r="BF343" i="279"/>
  <c r="BF345" s="1"/>
  <c r="BF350" s="1"/>
  <c r="BF380"/>
  <c r="BF55" i="280"/>
  <c r="BF71" i="279"/>
  <c r="BF343" i="276"/>
  <c r="BF345" s="1"/>
  <c r="BF350" s="1"/>
  <c r="BF49"/>
  <c r="BF260" s="1"/>
  <c r="BF382"/>
  <c r="Y31" i="231"/>
  <c r="L30" i="201"/>
  <c r="BF77" i="277"/>
  <c r="BF112" s="1"/>
  <c r="BF402"/>
  <c r="BF404" s="1"/>
  <c r="BF409" s="1"/>
  <c r="X67" i="262"/>
  <c r="X68" s="1"/>
  <c r="X71" s="1"/>
  <c r="BG85" i="280"/>
  <c r="BH46" i="276"/>
  <c r="BH259" s="1"/>
  <c r="BH381"/>
  <c r="BH339"/>
  <c r="BH341" s="1"/>
  <c r="BH349" s="1"/>
  <c r="BH46" i="279"/>
  <c r="BH66" s="1"/>
  <c r="BH73" i="280" s="1"/>
  <c r="BH379" i="279"/>
  <c r="BH53" i="280"/>
  <c r="BH331" s="1"/>
  <c r="BH339" i="279"/>
  <c r="BH341" s="1"/>
  <c r="BH349" s="1"/>
  <c r="AA33" i="231"/>
  <c r="BH74" i="277"/>
  <c r="BH125" s="1"/>
  <c r="BH398"/>
  <c r="BH400" s="1"/>
  <c r="BH408" s="1"/>
  <c r="N29" i="201"/>
  <c r="AR67" i="255"/>
  <c r="Z37" i="231"/>
  <c r="AV37" s="1"/>
  <c r="AK33"/>
  <c r="AV33" s="1"/>
  <c r="BD333" i="280"/>
  <c r="DI74" i="257"/>
  <c r="BE333" i="280"/>
  <c r="W117" i="188"/>
  <c r="X117" s="1"/>
  <c r="BK51" i="257"/>
  <c r="BM51" s="1"/>
  <c r="BI52"/>
  <c r="Z67" i="262"/>
  <c r="Z68" s="1"/>
  <c r="Z71" s="1"/>
  <c r="V52" i="255"/>
  <c r="AL51"/>
  <c r="BG255" i="279"/>
  <c r="BG54" i="280"/>
  <c r="BG389" i="276"/>
  <c r="BG388"/>
  <c r="U68" i="255"/>
  <c r="V63" i="257"/>
  <c r="V64"/>
  <c r="AL52"/>
  <c r="W126" i="188"/>
  <c r="X126" s="1"/>
  <c r="BG70" i="279"/>
  <c r="O87" i="203"/>
  <c r="O61"/>
  <c r="O91" s="1"/>
  <c r="DI52" i="257"/>
  <c r="BP71"/>
  <c r="AR67"/>
  <c r="U68"/>
  <c r="BP52" i="255"/>
  <c r="DI51"/>
  <c r="BG318" i="277"/>
  <c r="BM50" i="255"/>
  <c r="X115" i="188"/>
  <c r="X122" s="1"/>
  <c r="Z59"/>
  <c r="W104" i="157"/>
  <c r="V105"/>
  <c r="V106" s="1"/>
  <c r="BF77" i="276"/>
  <c r="BG47"/>
  <c r="L63" i="231"/>
  <c r="M11" i="201"/>
  <c r="AA65" i="262"/>
  <c r="BH76" i="279"/>
  <c r="BA300"/>
  <c r="BA300" i="276"/>
  <c r="BA176"/>
  <c r="BH139" i="277"/>
  <c r="BJ65" i="263"/>
  <c r="BA67" i="280"/>
  <c r="BF77" i="279"/>
  <c r="BF136" i="277"/>
  <c r="BG47" i="279"/>
  <c r="BG75" i="277"/>
  <c r="M70" i="231"/>
  <c r="BH135" i="277"/>
  <c r="BH76" i="276"/>
  <c r="BA176" i="279"/>
  <c r="BA359" i="277"/>
  <c r="BA235"/>
  <c r="BH80" i="276"/>
  <c r="F9" i="203"/>
  <c r="AY206" i="280"/>
  <c r="AY257" i="277"/>
  <c r="X65" i="263"/>
  <c r="BA60" i="276"/>
  <c r="BA119" i="277"/>
  <c r="BH80" i="279"/>
  <c r="AY198"/>
  <c r="AY198" i="276"/>
  <c r="BA60" i="279"/>
  <c r="L11" i="231"/>
  <c r="BF82" i="280" l="1"/>
  <c r="BH70" i="279"/>
  <c r="BF126" i="277"/>
  <c r="AA67" i="261"/>
  <c r="AA68" s="1"/>
  <c r="AA71" s="1"/>
  <c r="L69" i="231"/>
  <c r="Z38" s="1"/>
  <c r="AK38"/>
  <c r="Z19"/>
  <c r="AV19" s="1"/>
  <c r="AA66" i="262"/>
  <c r="AV66" s="1"/>
  <c r="AV67" s="1"/>
  <c r="AV68" s="1"/>
  <c r="AV71" s="1"/>
  <c r="M30" i="201"/>
  <c r="BG77" i="277"/>
  <c r="BG112" s="1"/>
  <c r="BG402"/>
  <c r="BG404" s="1"/>
  <c r="BG409" s="1"/>
  <c r="Z31" i="231"/>
  <c r="BG380" i="279"/>
  <c r="BG49"/>
  <c r="BG67" s="1"/>
  <c r="BG74" i="280" s="1"/>
  <c r="BG55"/>
  <c r="BG71" i="279"/>
  <c r="BG343"/>
  <c r="BG345" s="1"/>
  <c r="BG350" s="1"/>
  <c r="BG49" i="276"/>
  <c r="BG260" s="1"/>
  <c r="BG382"/>
  <c r="BG390" s="1"/>
  <c r="BG343"/>
  <c r="BG345" s="1"/>
  <c r="BG350" s="1"/>
  <c r="BF67"/>
  <c r="BF53"/>
  <c r="X67" i="263"/>
  <c r="X68" s="1"/>
  <c r="X71" s="1"/>
  <c r="AY200" i="276"/>
  <c r="AY210" s="1"/>
  <c r="AY259" i="277"/>
  <c r="AY269" s="1"/>
  <c r="AY200" i="279"/>
  <c r="AY210" s="1"/>
  <c r="AY208" i="280"/>
  <c r="AY218" s="1"/>
  <c r="BJ67" i="263"/>
  <c r="BK67" s="1"/>
  <c r="BK65"/>
  <c r="F54" i="203"/>
  <c r="BH85" i="280"/>
  <c r="BA252" i="277"/>
  <c r="BA253" s="1"/>
  <c r="BA193" i="276"/>
  <c r="BA194" s="1"/>
  <c r="BA195" s="1"/>
  <c r="BA368" i="277"/>
  <c r="BA373"/>
  <c r="BA314" i="276"/>
  <c r="BA309"/>
  <c r="BA184" i="280"/>
  <c r="AY164" s="1"/>
  <c r="BA193" i="279"/>
  <c r="BA194" s="1"/>
  <c r="BA309"/>
  <c r="BA314"/>
  <c r="BA323" s="1"/>
  <c r="BH81" i="280"/>
  <c r="V64" i="255"/>
  <c r="V63"/>
  <c r="AL52"/>
  <c r="U71" i="257"/>
  <c r="O62" i="203"/>
  <c r="O90" s="1"/>
  <c r="BI71" i="257"/>
  <c r="BK52"/>
  <c r="BM52" s="1"/>
  <c r="BH66" i="276"/>
  <c r="BG53" i="279"/>
  <c r="BF319" i="277"/>
  <c r="BF391" i="276"/>
  <c r="BF390"/>
  <c r="AK31" i="231"/>
  <c r="BF256" i="279"/>
  <c r="BF57" i="280"/>
  <c r="BK51" i="255"/>
  <c r="BM51" s="1"/>
  <c r="BI52"/>
  <c r="Y38" i="231"/>
  <c r="AU38" s="1"/>
  <c r="AJ31"/>
  <c r="AU31" s="1"/>
  <c r="DI71" i="257"/>
  <c r="AA37" i="231"/>
  <c r="AW37" s="1"/>
  <c r="AL33"/>
  <c r="AW33" s="1"/>
  <c r="DI74" i="255"/>
  <c r="AR68"/>
  <c r="BH389" i="276"/>
  <c r="BH388"/>
  <c r="DI52" i="255"/>
  <c r="BP71"/>
  <c r="AR68" i="257"/>
  <c r="U71" i="255"/>
  <c r="BH318" i="277"/>
  <c r="E88"/>
  <c r="BH255" i="279"/>
  <c r="BH54" i="280"/>
  <c r="BF53" i="279"/>
  <c r="AY201" i="280"/>
  <c r="W105" i="157"/>
  <c r="W106" s="1"/>
  <c r="X104"/>
  <c r="Y115" i="188"/>
  <c r="Y126" s="1"/>
  <c r="AA59"/>
  <c r="BG77" i="279"/>
  <c r="BH47" i="276"/>
  <c r="M63" i="231"/>
  <c r="N11" i="201"/>
  <c r="BI80" i="279"/>
  <c r="BI139" i="277"/>
  <c r="AY96" i="276"/>
  <c r="AA65" i="263"/>
  <c r="BA206" i="280"/>
  <c r="BA198" i="276"/>
  <c r="AY55" i="279"/>
  <c r="AY55" i="276"/>
  <c r="BA96"/>
  <c r="M11" i="231"/>
  <c r="BA198" i="279"/>
  <c r="BA257" i="277"/>
  <c r="BA96" i="279"/>
  <c r="BA155" i="277"/>
  <c r="BG77" i="276"/>
  <c r="BG136" i="277"/>
  <c r="BH47" i="279"/>
  <c r="BH75" i="277"/>
  <c r="G9" i="203"/>
  <c r="BI80" i="276"/>
  <c r="AY96" i="279"/>
  <c r="AY155" i="277"/>
  <c r="N70" i="231"/>
  <c r="AY114" i="277"/>
  <c r="AV31" i="231" l="1"/>
  <c r="BG391" i="276"/>
  <c r="AV38" i="231"/>
  <c r="AA67" i="262"/>
  <c r="AA68" s="1"/>
  <c r="AA71" s="1"/>
  <c r="BG256" i="279"/>
  <c r="BG67" i="276"/>
  <c r="BG53"/>
  <c r="BG319" i="277"/>
  <c r="BG57" i="280"/>
  <c r="BG333" s="1"/>
  <c r="BG82"/>
  <c r="BG126" i="277"/>
  <c r="AL38" i="231"/>
  <c r="AA19"/>
  <c r="AW19" s="1"/>
  <c r="M69"/>
  <c r="N30" i="201"/>
  <c r="BH77" i="277"/>
  <c r="BH126" s="1"/>
  <c r="BH402"/>
  <c r="BH404" s="1"/>
  <c r="BH409" s="1"/>
  <c r="AA31" i="231"/>
  <c r="BH71" i="279"/>
  <c r="BH343"/>
  <c r="BH345" s="1"/>
  <c r="BH350" s="1"/>
  <c r="BH55" i="280"/>
  <c r="BH380" i="279"/>
  <c r="BH49"/>
  <c r="BH53" s="1"/>
  <c r="BH49" i="276"/>
  <c r="BH260" s="1"/>
  <c r="BH382"/>
  <c r="BH391" s="1"/>
  <c r="BH343"/>
  <c r="BH345" s="1"/>
  <c r="BH350" s="1"/>
  <c r="BA156" i="277"/>
  <c r="BA97" i="276"/>
  <c r="BA103" i="280"/>
  <c r="BA63"/>
  <c r="BA336" s="1"/>
  <c r="BA97" i="279"/>
  <c r="AY264" i="276"/>
  <c r="AY323" i="277"/>
  <c r="AY260" i="279"/>
  <c r="BA259" i="277"/>
  <c r="BA269" s="1"/>
  <c r="BA200" i="276"/>
  <c r="BA210" s="1"/>
  <c r="BA200" i="279"/>
  <c r="BA210" s="1"/>
  <c r="BA208" i="280"/>
  <c r="BA218" s="1"/>
  <c r="AA66" i="263"/>
  <c r="AV66" s="1"/>
  <c r="AV67" s="1"/>
  <c r="AV68" s="1"/>
  <c r="AV71" s="1"/>
  <c r="AY156" i="277"/>
  <c r="AY97" i="276"/>
  <c r="AY103" i="280"/>
  <c r="AY63"/>
  <c r="AY336" s="1"/>
  <c r="AY97" i="279"/>
  <c r="BI85" i="280"/>
  <c r="G54" i="203"/>
  <c r="Z126" i="188"/>
  <c r="BA195" i="279"/>
  <c r="BA203" i="280" s="1"/>
  <c r="BA202"/>
  <c r="DI75" i="255"/>
  <c r="DI76" s="1"/>
  <c r="BF333" i="280"/>
  <c r="BK71" i="257"/>
  <c r="Y122" i="188"/>
  <c r="BA201" i="280"/>
  <c r="DI71" i="255"/>
  <c r="AR71"/>
  <c r="BC164" i="280"/>
  <c r="AY172"/>
  <c r="BC172" s="1"/>
  <c r="BI71" i="255"/>
  <c r="BK52"/>
  <c r="BM52" s="1"/>
  <c r="Y117" i="188"/>
  <c r="DI75" i="257"/>
  <c r="DI76" s="1"/>
  <c r="F85" i="203"/>
  <c r="F88"/>
  <c r="AA38" i="231"/>
  <c r="AL31"/>
  <c r="AR71" i="257"/>
  <c r="BA254" i="277"/>
  <c r="BE419"/>
  <c r="AB59" i="188"/>
  <c r="Z115"/>
  <c r="K54"/>
  <c r="Y104" i="157"/>
  <c r="X105"/>
  <c r="X106" s="1"/>
  <c r="BH77" i="279"/>
  <c r="BA114" i="277"/>
  <c r="BA55" i="279"/>
  <c r="O11" i="201"/>
  <c r="N63" i="231"/>
  <c r="BI47" i="279"/>
  <c r="BA33" i="276"/>
  <c r="F47" i="231"/>
  <c r="AY33" i="279"/>
  <c r="N11" i="231"/>
  <c r="BH136" i="277"/>
  <c r="BH77" i="276"/>
  <c r="BA55"/>
  <c r="V65" i="257"/>
  <c r="BI75" i="277"/>
  <c r="BI47" i="276"/>
  <c r="BA61" i="277"/>
  <c r="BA33" i="279"/>
  <c r="Y65" i="257"/>
  <c r="AY33" i="276"/>
  <c r="E47" i="231"/>
  <c r="AY61" i="277"/>
  <c r="AW38" i="231" l="1"/>
  <c r="BH256" i="279"/>
  <c r="BH82" i="280"/>
  <c r="AW31" i="231"/>
  <c r="BH390" i="276"/>
  <c r="BH67"/>
  <c r="E89" i="277"/>
  <c r="BH319"/>
  <c r="BH112"/>
  <c r="BH67" i="279"/>
  <c r="BH74" i="280" s="1"/>
  <c r="BH57"/>
  <c r="BH333" s="1"/>
  <c r="BH53" i="276"/>
  <c r="AM38" i="231"/>
  <c r="N69"/>
  <c r="AB19"/>
  <c r="AX19" s="1"/>
  <c r="S28"/>
  <c r="AO28" s="1"/>
  <c r="AY190" i="277"/>
  <c r="AY191" s="1"/>
  <c r="AY314"/>
  <c r="AY63"/>
  <c r="AY255" i="276"/>
  <c r="AY131"/>
  <c r="AY132" s="1"/>
  <c r="AY35"/>
  <c r="AY131" i="279"/>
  <c r="AY41" i="280"/>
  <c r="AY252" i="279"/>
  <c r="AY35"/>
  <c r="Y66" i="257"/>
  <c r="Y67" s="1"/>
  <c r="Y68" s="1"/>
  <c r="Y71" s="1"/>
  <c r="T28" i="231"/>
  <c r="AP28" s="1"/>
  <c r="BA35" i="279"/>
  <c r="BA252"/>
  <c r="BA131"/>
  <c r="BA41" i="280"/>
  <c r="BA35" i="276"/>
  <c r="BA255"/>
  <c r="BA131"/>
  <c r="BA132" s="1"/>
  <c r="BA63" i="277"/>
  <c r="BA190"/>
  <c r="BA191" s="1"/>
  <c r="BA314"/>
  <c r="BI49" i="279"/>
  <c r="BI67" s="1"/>
  <c r="BI74" i="280" s="1"/>
  <c r="BI380" i="279"/>
  <c r="BI55" i="280"/>
  <c r="BI71" i="279"/>
  <c r="BI343"/>
  <c r="BI345" s="1"/>
  <c r="BI350" s="1"/>
  <c r="BI343" i="276"/>
  <c r="BI345" s="1"/>
  <c r="BI350" s="1"/>
  <c r="BI49"/>
  <c r="BI260" s="1"/>
  <c r="BI382"/>
  <c r="AB31" i="231"/>
  <c r="BI77" i="277"/>
  <c r="BI319" s="1"/>
  <c r="O30" i="201"/>
  <c r="V67" i="257"/>
  <c r="AL65"/>
  <c r="BM65" s="1"/>
  <c r="BA260" i="279"/>
  <c r="BA264" i="276"/>
  <c r="BA323" i="277"/>
  <c r="Z127" i="188"/>
  <c r="Z122"/>
  <c r="Z117"/>
  <c r="AY104" i="280"/>
  <c r="AY64"/>
  <c r="F92" i="203"/>
  <c r="BK71" i="255"/>
  <c r="G88" i="203"/>
  <c r="G85"/>
  <c r="AA67" i="263"/>
  <c r="AA68" s="1"/>
  <c r="AA71" s="1"/>
  <c r="BA64" i="280"/>
  <c r="BA104"/>
  <c r="Z104" i="157"/>
  <c r="Y105"/>
  <c r="Y106" s="1"/>
  <c r="AC59" i="188"/>
  <c r="AA115"/>
  <c r="AA126" s="1"/>
  <c r="BI77" i="276"/>
  <c r="AY75" i="279"/>
  <c r="AY134" i="277"/>
  <c r="V65" i="255"/>
  <c r="AY75" i="276"/>
  <c r="BI77" i="279"/>
  <c r="BI136" i="277"/>
  <c r="Y65" i="255"/>
  <c r="V67" l="1"/>
  <c r="AL65"/>
  <c r="BM65" s="1"/>
  <c r="Y66"/>
  <c r="Y67" s="1"/>
  <c r="Y68" s="1"/>
  <c r="Y71" s="1"/>
  <c r="AY80" i="280"/>
  <c r="BI82"/>
  <c r="AA127" i="188"/>
  <c r="AA153" s="1"/>
  <c r="G92" i="203"/>
  <c r="BI126" i="277"/>
  <c r="BI67" i="276"/>
  <c r="BI57" i="280"/>
  <c r="BI256" i="279"/>
  <c r="AT66" i="257"/>
  <c r="AL66"/>
  <c r="Z118" i="188"/>
  <c r="AA117"/>
  <c r="Z153"/>
  <c r="G127"/>
  <c r="H127" s="1"/>
  <c r="I127" s="1"/>
  <c r="J127" s="1"/>
  <c r="K127" s="1"/>
  <c r="L127" s="1"/>
  <c r="M127" s="1"/>
  <c r="N127" s="1"/>
  <c r="O127" s="1"/>
  <c r="P127" s="1"/>
  <c r="Q127" s="1"/>
  <c r="R127" s="1"/>
  <c r="S127" s="1"/>
  <c r="T127" s="1"/>
  <c r="U127" s="1"/>
  <c r="V127" s="1"/>
  <c r="W127" s="1"/>
  <c r="X127" s="1"/>
  <c r="Y127" s="1"/>
  <c r="BA327" i="280"/>
  <c r="BA334"/>
  <c r="BA43"/>
  <c r="BA328" s="1"/>
  <c r="AY327"/>
  <c r="AY334"/>
  <c r="Z123" i="188"/>
  <c r="AA122"/>
  <c r="V68" i="257"/>
  <c r="AL67"/>
  <c r="AY43" i="280"/>
  <c r="AY328" s="1"/>
  <c r="AY138"/>
  <c r="AY132" i="279"/>
  <c r="AY139" i="280" s="1"/>
  <c r="AB38" i="231"/>
  <c r="AX38" s="1"/>
  <c r="AM31"/>
  <c r="AX31" s="1"/>
  <c r="BI391" i="276"/>
  <c r="BI390"/>
  <c r="BA132" i="279"/>
  <c r="BA139" i="280" s="1"/>
  <c r="BA138"/>
  <c r="AB115" i="188"/>
  <c r="AB126" s="1"/>
  <c r="AD59"/>
  <c r="AA104" i="157"/>
  <c r="Z105"/>
  <c r="Z106" s="1"/>
  <c r="BA75" i="279"/>
  <c r="BA134" i="277"/>
  <c r="BA75" i="276"/>
  <c r="BA80" i="280" l="1"/>
  <c r="AB127" i="188"/>
  <c r="AB153" s="1"/>
  <c r="G123"/>
  <c r="H123"/>
  <c r="I123" s="1"/>
  <c r="J123" s="1"/>
  <c r="K123" s="1"/>
  <c r="L123" s="1"/>
  <c r="M123" s="1"/>
  <c r="N123" s="1"/>
  <c r="O123" s="1"/>
  <c r="P123" s="1"/>
  <c r="Q123" s="1"/>
  <c r="R123" s="1"/>
  <c r="S123" s="1"/>
  <c r="T123" s="1"/>
  <c r="U123" s="1"/>
  <c r="V123" s="1"/>
  <c r="W123" s="1"/>
  <c r="X123" s="1"/>
  <c r="Y123" s="1"/>
  <c r="Z149"/>
  <c r="Z145"/>
  <c r="G118"/>
  <c r="G129" s="1"/>
  <c r="H118"/>
  <c r="Z129"/>
  <c r="I118"/>
  <c r="BI333" i="280"/>
  <c r="AA123" i="188"/>
  <c r="AA149" s="1"/>
  <c r="AB122"/>
  <c r="AB117"/>
  <c r="AA118"/>
  <c r="AT67" i="257"/>
  <c r="BG66"/>
  <c r="BM66" s="1"/>
  <c r="AT66" i="255"/>
  <c r="AL66"/>
  <c r="V71" i="257"/>
  <c r="AL68"/>
  <c r="G153" i="188"/>
  <c r="H153" s="1"/>
  <c r="I153" s="1"/>
  <c r="J153" s="1"/>
  <c r="K153" s="1"/>
  <c r="K164"/>
  <c r="V68" i="255"/>
  <c r="AL67"/>
  <c r="AB104" i="157"/>
  <c r="AA105"/>
  <c r="AA106" s="1"/>
  <c r="AC115" i="188"/>
  <c r="AC126" s="1"/>
  <c r="AE59"/>
  <c r="AY78" i="279"/>
  <c r="AY78" i="276"/>
  <c r="AY137" i="277"/>
  <c r="AY89" i="276" l="1"/>
  <c r="AY148" i="277"/>
  <c r="AY83" i="280"/>
  <c r="AY89" i="279"/>
  <c r="AY94" i="280" s="1"/>
  <c r="AC127" i="188"/>
  <c r="AC153" s="1"/>
  <c r="H164"/>
  <c r="L153"/>
  <c r="M153" s="1"/>
  <c r="N153" s="1"/>
  <c r="O153" s="1"/>
  <c r="P153" s="1"/>
  <c r="I129"/>
  <c r="AT67" i="255"/>
  <c r="BG66"/>
  <c r="BM66" s="1"/>
  <c r="AB118" i="188"/>
  <c r="AC117"/>
  <c r="J118"/>
  <c r="H129"/>
  <c r="AL71" i="257"/>
  <c r="AC122" i="188"/>
  <c r="AB123"/>
  <c r="AB149" s="1"/>
  <c r="V71" i="255"/>
  <c r="AL68"/>
  <c r="AT68" i="257"/>
  <c r="BG67"/>
  <c r="BM67" s="1"/>
  <c r="K133" i="188"/>
  <c r="K134" s="1"/>
  <c r="G149"/>
  <c r="K163"/>
  <c r="H149"/>
  <c r="I149" s="1"/>
  <c r="J149" s="1"/>
  <c r="K149" s="1"/>
  <c r="Z155"/>
  <c r="G145"/>
  <c r="G155" s="1"/>
  <c r="K162"/>
  <c r="AA129"/>
  <c r="AA145"/>
  <c r="AA155" s="1"/>
  <c r="AF59"/>
  <c r="AD115"/>
  <c r="AD126" s="1"/>
  <c r="AC104" i="157"/>
  <c r="AB105"/>
  <c r="AB106" s="1"/>
  <c r="BA137" i="277"/>
  <c r="BA78" i="279"/>
  <c r="BA78" i="276"/>
  <c r="BA89" l="1"/>
  <c r="BA148" i="277"/>
  <c r="BA83" i="280"/>
  <c r="BA89" i="279"/>
  <c r="BA94" i="280" s="1"/>
  <c r="AD127" i="188"/>
  <c r="AD153" s="1"/>
  <c r="AE126"/>
  <c r="H163"/>
  <c r="L149"/>
  <c r="M149" s="1"/>
  <c r="N149" s="1"/>
  <c r="O149" s="1"/>
  <c r="P149" s="1"/>
  <c r="H145"/>
  <c r="J129"/>
  <c r="K118"/>
  <c r="AT68" i="255"/>
  <c r="BG67"/>
  <c r="BM67" s="1"/>
  <c r="AL71"/>
  <c r="AT71" i="257"/>
  <c r="BG68"/>
  <c r="BM68" s="1"/>
  <c r="AC123" i="188"/>
  <c r="AC149" s="1"/>
  <c r="AD122"/>
  <c r="AD117"/>
  <c r="AC118"/>
  <c r="I164"/>
  <c r="Q153"/>
  <c r="R153" s="1"/>
  <c r="S153" s="1"/>
  <c r="T153" s="1"/>
  <c r="U153" s="1"/>
  <c r="K159"/>
  <c r="K167" s="1"/>
  <c r="K176" s="1"/>
  <c r="K165"/>
  <c r="K175" s="1"/>
  <c r="AB145"/>
  <c r="AB155" s="1"/>
  <c r="AB129"/>
  <c r="AC105" i="157"/>
  <c r="AC106" s="1"/>
  <c r="AD104"/>
  <c r="AG59" i="188"/>
  <c r="AE115"/>
  <c r="L54"/>
  <c r="H11" i="259"/>
  <c r="AY69" i="277"/>
  <c r="F9" i="201"/>
  <c r="M11" i="259"/>
  <c r="E7" i="231"/>
  <c r="AY41" i="279"/>
  <c r="E66" i="231"/>
  <c r="AY41" i="276"/>
  <c r="J46" i="231"/>
  <c r="S15" l="1"/>
  <c r="AO15" s="1"/>
  <c r="AD36"/>
  <c r="E67"/>
  <c r="X29"/>
  <c r="AT29" s="1"/>
  <c r="M12" i="259"/>
  <c r="M23" s="1"/>
  <c r="M71" s="1"/>
  <c r="AY378" i="276"/>
  <c r="AY43"/>
  <c r="AY65" s="1"/>
  <c r="AY335"/>
  <c r="AY337" s="1"/>
  <c r="AY348" s="1"/>
  <c r="AY262"/>
  <c r="F28" i="201"/>
  <c r="S32" i="231"/>
  <c r="AD35"/>
  <c r="AO35" s="1"/>
  <c r="AY394" i="277"/>
  <c r="AY396" s="1"/>
  <c r="AY407" s="1"/>
  <c r="AY410" s="1"/>
  <c r="AY412" s="1"/>
  <c r="AY71"/>
  <c r="AY321"/>
  <c r="AY335" i="279"/>
  <c r="AY337" s="1"/>
  <c r="AY348" s="1"/>
  <c r="AY351" s="1"/>
  <c r="AY49" i="280"/>
  <c r="AY43" i="279"/>
  <c r="AY65" s="1"/>
  <c r="AY378"/>
  <c r="AY381" s="1"/>
  <c r="AY259"/>
  <c r="R11" i="259"/>
  <c r="H12"/>
  <c r="J164" i="188"/>
  <c r="V153"/>
  <c r="W153" s="1"/>
  <c r="X153" s="1"/>
  <c r="Y153" s="1"/>
  <c r="AE122"/>
  <c r="AD123"/>
  <c r="AD149" s="1"/>
  <c r="AC129"/>
  <c r="AC145"/>
  <c r="AC155" s="1"/>
  <c r="AT71" i="255"/>
  <c r="BG68"/>
  <c r="BM68" s="1"/>
  <c r="I163" i="188"/>
  <c r="Q149"/>
  <c r="R149" s="1"/>
  <c r="S149" s="1"/>
  <c r="T149" s="1"/>
  <c r="U149" s="1"/>
  <c r="K160"/>
  <c r="AD118"/>
  <c r="AE117"/>
  <c r="BG71" i="257"/>
  <c r="BM71" s="1"/>
  <c r="K129" i="188"/>
  <c r="L118"/>
  <c r="AE127"/>
  <c r="AE153" s="1"/>
  <c r="L164" s="1"/>
  <c r="K177"/>
  <c r="H155"/>
  <c r="I145"/>
  <c r="AF115"/>
  <c r="AF126" s="1"/>
  <c r="AH59"/>
  <c r="AE104" i="157"/>
  <c r="AD105"/>
  <c r="AD106" s="1"/>
  <c r="BE15" i="276"/>
  <c r="G9" i="201"/>
  <c r="BA41" i="276"/>
  <c r="BA41" i="279"/>
  <c r="AY163" i="277"/>
  <c r="T11" i="259"/>
  <c r="BE344" i="280"/>
  <c r="BE331" i="277"/>
  <c r="BE15"/>
  <c r="BE15" i="279"/>
  <c r="F66" i="231"/>
  <c r="BA69" i="277"/>
  <c r="AY104" i="279"/>
  <c r="AY104" i="276"/>
  <c r="BE272" i="279"/>
  <c r="BE272" i="276"/>
  <c r="J42" i="231"/>
  <c r="F7"/>
  <c r="T15" l="1"/>
  <c r="AP15" s="1"/>
  <c r="F67"/>
  <c r="AE36"/>
  <c r="AI47"/>
  <c r="AT47" s="1"/>
  <c r="BE344" i="277"/>
  <c r="BE349"/>
  <c r="BE352" s="1"/>
  <c r="BE290" i="276"/>
  <c r="BE293" s="1"/>
  <c r="BE285"/>
  <c r="BE362" i="280"/>
  <c r="BE365" s="1"/>
  <c r="BE357"/>
  <c r="BE290" i="279"/>
  <c r="BE293" s="1"/>
  <c r="BE285"/>
  <c r="AL11" i="259"/>
  <c r="T12"/>
  <c r="AY111" i="280"/>
  <c r="BA43" i="279"/>
  <c r="BA69" s="1"/>
  <c r="BA335"/>
  <c r="BA337" s="1"/>
  <c r="BA348" s="1"/>
  <c r="BA351" s="1"/>
  <c r="BA49" i="280"/>
  <c r="BA378" i="279"/>
  <c r="BA381" s="1"/>
  <c r="BA259"/>
  <c r="BA71" i="277"/>
  <c r="BA124" s="1"/>
  <c r="BA394"/>
  <c r="BA396" s="1"/>
  <c r="BA407" s="1"/>
  <c r="BA410" s="1"/>
  <c r="BA412" s="1"/>
  <c r="BA321"/>
  <c r="BA378" i="276"/>
  <c r="BA43"/>
  <c r="BA65" s="1"/>
  <c r="BA335"/>
  <c r="BA337" s="1"/>
  <c r="BA348" s="1"/>
  <c r="BA262"/>
  <c r="T32" i="231"/>
  <c r="AE35"/>
  <c r="AP35" s="1"/>
  <c r="G28" i="201"/>
  <c r="BE15" i="280"/>
  <c r="AF127" i="188"/>
  <c r="AF153" s="1"/>
  <c r="AY72" i="280"/>
  <c r="AD145" i="188"/>
  <c r="AD155" s="1"/>
  <c r="AD129"/>
  <c r="J163"/>
  <c r="V149"/>
  <c r="W149" s="1"/>
  <c r="X149" s="1"/>
  <c r="Y149" s="1"/>
  <c r="AY317" i="277"/>
  <c r="AY78"/>
  <c r="L129" i="188"/>
  <c r="M118"/>
  <c r="AY387" i="276"/>
  <c r="AY386"/>
  <c r="K178" i="188"/>
  <c r="AF117"/>
  <c r="AE118"/>
  <c r="AY124" i="277"/>
  <c r="AY258" i="276"/>
  <c r="AY50"/>
  <c r="AY68" s="1"/>
  <c r="AD32" i="231"/>
  <c r="AO32" s="1"/>
  <c r="S36"/>
  <c r="AO36" s="1"/>
  <c r="R12" i="259"/>
  <c r="H23"/>
  <c r="AY51" i="280"/>
  <c r="AY254" i="279"/>
  <c r="AY258" s="1"/>
  <c r="AY50"/>
  <c r="AY57" s="1"/>
  <c r="AY91" s="1"/>
  <c r="AY69"/>
  <c r="I155" i="188"/>
  <c r="J145"/>
  <c r="H133"/>
  <c r="H134" s="1"/>
  <c r="BG71" i="255"/>
  <c r="BM71" s="1"/>
  <c r="AF122" i="188"/>
  <c r="AE123"/>
  <c r="AE149" s="1"/>
  <c r="L163" s="1"/>
  <c r="BM11" i="259"/>
  <c r="AF104" i="157"/>
  <c r="AE105"/>
  <c r="AE106" s="1"/>
  <c r="AG115" i="188"/>
  <c r="AG126" s="1"/>
  <c r="AI59"/>
  <c r="BA104" i="276"/>
  <c r="BA163" i="277"/>
  <c r="BA104" i="279"/>
  <c r="AY72" l="1"/>
  <c r="BA65"/>
  <c r="BA72" i="280" s="1"/>
  <c r="BA111"/>
  <c r="AG127" i="188"/>
  <c r="AG153" s="1"/>
  <c r="AY320" i="277"/>
  <c r="AY116"/>
  <c r="AY150" s="1"/>
  <c r="AY165" s="1"/>
  <c r="T23" i="259"/>
  <c r="AL12"/>
  <c r="BM12" s="1"/>
  <c r="AY96" i="280"/>
  <c r="AY106" i="279"/>
  <c r="AY113" i="280" s="1"/>
  <c r="BA258" i="276"/>
  <c r="BA50"/>
  <c r="BA254" i="279"/>
  <c r="BA258" s="1"/>
  <c r="BA51" i="280"/>
  <c r="BA50" i="279"/>
  <c r="BA57" s="1"/>
  <c r="BA91" s="1"/>
  <c r="AG122" i="188"/>
  <c r="AF123"/>
  <c r="AF149" s="1"/>
  <c r="J155"/>
  <c r="K145"/>
  <c r="AY127" i="277"/>
  <c r="AY68" i="279"/>
  <c r="AY75" i="280" s="1"/>
  <c r="BA387" i="276"/>
  <c r="BA386"/>
  <c r="BA317" i="277"/>
  <c r="BA78"/>
  <c r="BA97" s="1"/>
  <c r="AE129" i="188"/>
  <c r="AE145"/>
  <c r="AE32" i="231"/>
  <c r="AP32" s="1"/>
  <c r="T36"/>
  <c r="AP36" s="1"/>
  <c r="H71" i="259"/>
  <c r="R23"/>
  <c r="AY261" i="276"/>
  <c r="AY57"/>
  <c r="AY91" s="1"/>
  <c r="AY106" s="1"/>
  <c r="AG117" i="188"/>
  <c r="AF118"/>
  <c r="M129"/>
  <c r="N118"/>
  <c r="AJ59"/>
  <c r="AH115"/>
  <c r="AH126" s="1"/>
  <c r="AF105" i="157"/>
  <c r="AF106" s="1"/>
  <c r="AG104"/>
  <c r="BE8" i="277"/>
  <c r="BE8" i="279"/>
  <c r="BE8" i="276"/>
  <c r="BA72" i="279" l="1"/>
  <c r="BA68"/>
  <c r="BA75" i="280" s="1"/>
  <c r="BE8"/>
  <c r="BE9" i="279"/>
  <c r="BE9" i="276"/>
  <c r="BE21" s="1"/>
  <c r="BE9" i="277"/>
  <c r="AH127" i="188"/>
  <c r="AH153" s="1"/>
  <c r="BA96" i="280"/>
  <c r="BA106" i="279"/>
  <c r="BA113" i="280" s="1"/>
  <c r="N129" i="188"/>
  <c r="O118"/>
  <c r="AE155"/>
  <c r="L162"/>
  <c r="AH117"/>
  <c r="AG118"/>
  <c r="R71" i="259"/>
  <c r="BA101" i="277"/>
  <c r="BA83"/>
  <c r="BA100"/>
  <c r="BA116"/>
  <c r="BA150" s="1"/>
  <c r="BA165" s="1"/>
  <c r="BA320"/>
  <c r="BA99"/>
  <c r="BA98"/>
  <c r="BA261" i="276"/>
  <c r="BA57"/>
  <c r="BA91" s="1"/>
  <c r="BA106" s="1"/>
  <c r="L133" i="188"/>
  <c r="L134" s="1"/>
  <c r="AG123"/>
  <c r="AG149" s="1"/>
  <c r="AH122"/>
  <c r="T64" i="259"/>
  <c r="T71"/>
  <c r="T49"/>
  <c r="AL23"/>
  <c r="BM23" s="1"/>
  <c r="T58"/>
  <c r="AF145" i="188"/>
  <c r="AF155" s="1"/>
  <c r="AF129"/>
  <c r="K155"/>
  <c r="H162"/>
  <c r="L145"/>
  <c r="BA68" i="276"/>
  <c r="BA127" i="277"/>
  <c r="AG105" i="157"/>
  <c r="AG106" s="1"/>
  <c r="AH104"/>
  <c r="AK59" i="188"/>
  <c r="AI115"/>
  <c r="AI126" s="1"/>
  <c r="BE154" i="277"/>
  <c r="BE95" i="279"/>
  <c r="BE95" i="276"/>
  <c r="K15" i="204"/>
  <c r="K15" i="199"/>
  <c r="BE62" i="280" l="1"/>
  <c r="BE102"/>
  <c r="K53" i="199"/>
  <c r="K55" s="1"/>
  <c r="AI127" i="188"/>
  <c r="AI153" s="1"/>
  <c r="AI122"/>
  <c r="AH123"/>
  <c r="AH149" s="1"/>
  <c r="BE21" i="277"/>
  <c r="L155" i="188"/>
  <c r="M145"/>
  <c r="L165"/>
  <c r="L175" s="1"/>
  <c r="L159"/>
  <c r="L167" s="1"/>
  <c r="L176" s="1"/>
  <c r="AG145"/>
  <c r="AG155" s="1"/>
  <c r="AG129"/>
  <c r="O129"/>
  <c r="P118"/>
  <c r="BE21" i="279"/>
  <c r="BE9" i="280"/>
  <c r="H159" i="188"/>
  <c r="H167" s="1"/>
  <c r="H176" s="1"/>
  <c r="H165"/>
  <c r="H175" s="1"/>
  <c r="AI117"/>
  <c r="AH118"/>
  <c r="AJ115"/>
  <c r="AJ126" s="1"/>
  <c r="AL59"/>
  <c r="M54"/>
  <c r="AH105" i="157"/>
  <c r="AH106" s="1"/>
  <c r="AI104"/>
  <c r="H11" i="256"/>
  <c r="M11"/>
  <c r="M11" i="260"/>
  <c r="H11"/>
  <c r="G46" i="231"/>
  <c r="K46"/>
  <c r="Y29" l="1"/>
  <c r="AU29" s="1"/>
  <c r="M12" i="260"/>
  <c r="M23" s="1"/>
  <c r="M71" s="1"/>
  <c r="U29" i="231"/>
  <c r="AQ29" s="1"/>
  <c r="M12" i="256"/>
  <c r="M23" s="1"/>
  <c r="M71" s="1"/>
  <c r="R11" i="260"/>
  <c r="H12"/>
  <c r="H12" i="256"/>
  <c r="R11"/>
  <c r="AJ127" i="188"/>
  <c r="AJ153" s="1"/>
  <c r="M164" s="1"/>
  <c r="BE21" i="280"/>
  <c r="BE25" s="1"/>
  <c r="AJ122" i="188"/>
  <c r="AI123"/>
  <c r="AI149" s="1"/>
  <c r="AH129"/>
  <c r="AH145"/>
  <c r="AH155" s="1"/>
  <c r="L177"/>
  <c r="L178" s="1"/>
  <c r="BE23" i="277"/>
  <c r="AI118" i="188"/>
  <c r="AJ117"/>
  <c r="M155"/>
  <c r="N145"/>
  <c r="H177"/>
  <c r="H178" s="1"/>
  <c r="K57" i="199"/>
  <c r="K67" s="1"/>
  <c r="K66"/>
  <c r="H160" i="188"/>
  <c r="P129"/>
  <c r="Q118"/>
  <c r="L160"/>
  <c r="AI105" i="157"/>
  <c r="AI106" s="1"/>
  <c r="AJ104"/>
  <c r="AK115" i="188"/>
  <c r="AK126" s="1"/>
  <c r="AM59"/>
  <c r="T11" i="256"/>
  <c r="BB344" i="280"/>
  <c r="G42" i="231"/>
  <c r="BF15" i="277"/>
  <c r="BF15" i="276"/>
  <c r="BF272" i="279"/>
  <c r="BF331" i="277"/>
  <c r="K42" i="231"/>
  <c r="BB15" i="277"/>
  <c r="BB15" i="276"/>
  <c r="J36" i="231"/>
  <c r="BB272" i="279"/>
  <c r="BB272" i="276"/>
  <c r="T11" i="260"/>
  <c r="BF344" i="280"/>
  <c r="BJ59" i="259"/>
  <c r="BB331" i="277"/>
  <c r="BF15" i="279"/>
  <c r="BF272" i="276"/>
  <c r="BB15" i="279"/>
  <c r="U59" i="259"/>
  <c r="BE99" i="279"/>
  <c r="BE158" i="277"/>
  <c r="BE99" i="276"/>
  <c r="BE106" i="280" l="1"/>
  <c r="BE100" i="279"/>
  <c r="BE107" i="280" s="1"/>
  <c r="BE100" i="276"/>
  <c r="BE159" i="277"/>
  <c r="AI48" i="231"/>
  <c r="AT48" s="1"/>
  <c r="U61" i="259"/>
  <c r="AL59"/>
  <c r="BB15" i="280"/>
  <c r="BJ61" i="259"/>
  <c r="BK59"/>
  <c r="AJ47" i="231"/>
  <c r="AU47" s="1"/>
  <c r="BF290" i="276"/>
  <c r="BF293" s="1"/>
  <c r="BF285"/>
  <c r="BF344" i="277"/>
  <c r="BF349"/>
  <c r="BF352" s="1"/>
  <c r="BF362" i="280"/>
  <c r="BF365" s="1"/>
  <c r="BF357"/>
  <c r="BF285" i="279"/>
  <c r="BF290"/>
  <c r="BF293" s="1"/>
  <c r="AL11" i="260"/>
  <c r="T12"/>
  <c r="BF15" i="280"/>
  <c r="BB285" i="276"/>
  <c r="BB290"/>
  <c r="BB293" s="1"/>
  <c r="AF47" i="231"/>
  <c r="AQ47" s="1"/>
  <c r="BB349" i="277"/>
  <c r="BB352" s="1"/>
  <c r="BB344"/>
  <c r="BB357" i="280"/>
  <c r="BB362"/>
  <c r="BB365" s="1"/>
  <c r="BB290" i="279"/>
  <c r="BB293" s="1"/>
  <c r="BB285"/>
  <c r="AL11" i="256"/>
  <c r="T12"/>
  <c r="AK127" i="188"/>
  <c r="AK153" s="1"/>
  <c r="K68" i="199"/>
  <c r="N155" i="188"/>
  <c r="O145"/>
  <c r="AI145"/>
  <c r="AI155" s="1"/>
  <c r="AI129"/>
  <c r="BM11" i="256"/>
  <c r="Q129" i="188"/>
  <c r="R118"/>
  <c r="H23" i="256"/>
  <c r="R12"/>
  <c r="I133" i="188"/>
  <c r="I134" s="1"/>
  <c r="AK122"/>
  <c r="AJ123"/>
  <c r="AJ149" s="1"/>
  <c r="M163" s="1"/>
  <c r="H23" i="260"/>
  <c r="R12"/>
  <c r="AK117" i="188"/>
  <c r="AJ118"/>
  <c r="BE27" i="280"/>
  <c r="BE28"/>
  <c r="BE29"/>
  <c r="BE30"/>
  <c r="BE26"/>
  <c r="BE59"/>
  <c r="BM11" i="260"/>
  <c r="AN59" i="188"/>
  <c r="AL115"/>
  <c r="AL126" s="1"/>
  <c r="AK104" i="157"/>
  <c r="AJ105"/>
  <c r="AJ106" s="1"/>
  <c r="AL127" i="188" l="1"/>
  <c r="AL153" s="1"/>
  <c r="T23" i="260"/>
  <c r="AL12"/>
  <c r="BM12" s="1"/>
  <c r="R129" i="188"/>
  <c r="S118"/>
  <c r="BM59" i="259"/>
  <c r="T23" i="256"/>
  <c r="AL12"/>
  <c r="BM12" s="1"/>
  <c r="BJ68" i="259"/>
  <c r="BK68" s="1"/>
  <c r="BK61"/>
  <c r="H71" i="260"/>
  <c r="R23"/>
  <c r="O155" i="188"/>
  <c r="P145"/>
  <c r="U49" i="259"/>
  <c r="AL61"/>
  <c r="AJ145" i="188"/>
  <c r="AJ129"/>
  <c r="AK118"/>
  <c r="AL117"/>
  <c r="AK123"/>
  <c r="AK149" s="1"/>
  <c r="AL122"/>
  <c r="H71" i="256"/>
  <c r="R23"/>
  <c r="AL104" i="157"/>
  <c r="AK105"/>
  <c r="AK106" s="1"/>
  <c r="AO59" i="188"/>
  <c r="AM115"/>
  <c r="AM126" s="1"/>
  <c r="BB8" i="277"/>
  <c r="BB8" i="276"/>
  <c r="BF8"/>
  <c r="BB8" i="279"/>
  <c r="BF8" i="277"/>
  <c r="K16" i="204"/>
  <c r="BF8" i="279"/>
  <c r="BM61" i="259" l="1"/>
  <c r="BF8" i="280"/>
  <c r="BF9" i="279"/>
  <c r="BF9" i="276"/>
  <c r="BF21" s="1"/>
  <c r="BF9" i="277"/>
  <c r="BF21" s="1"/>
  <c r="BB9" i="276"/>
  <c r="BB21" s="1"/>
  <c r="BB8" i="280"/>
  <c r="BB9" i="279"/>
  <c r="BB9" i="277"/>
  <c r="BB21" s="1"/>
  <c r="K133" i="204"/>
  <c r="K135" s="1"/>
  <c r="AM127" i="188"/>
  <c r="AM153" s="1"/>
  <c r="AM122"/>
  <c r="AL123"/>
  <c r="AL149" s="1"/>
  <c r="AM117"/>
  <c r="AL118"/>
  <c r="M133"/>
  <c r="M134" s="1"/>
  <c r="R71" i="260"/>
  <c r="R71" i="256"/>
  <c r="AK129" i="188"/>
  <c r="AK145"/>
  <c r="AK155" s="1"/>
  <c r="S129"/>
  <c r="T118"/>
  <c r="T71" i="260"/>
  <c r="T49"/>
  <c r="AL23"/>
  <c r="BM23" s="1"/>
  <c r="T58"/>
  <c r="T64"/>
  <c r="T71" i="256"/>
  <c r="T49"/>
  <c r="AL23"/>
  <c r="BM23" s="1"/>
  <c r="T58"/>
  <c r="T64"/>
  <c r="AJ155" i="188"/>
  <c r="M162"/>
  <c r="I162"/>
  <c r="P155"/>
  <c r="Q145"/>
  <c r="AN115"/>
  <c r="AN126" s="1"/>
  <c r="AP59"/>
  <c r="AM104" i="157"/>
  <c r="AL105"/>
  <c r="AL106" s="1"/>
  <c r="L15" i="199"/>
  <c r="BF95" i="276"/>
  <c r="H15" i="199"/>
  <c r="BB95" i="279"/>
  <c r="BF154" i="277"/>
  <c r="BF95" i="279"/>
  <c r="H15" i="204"/>
  <c r="BB154" i="277"/>
  <c r="BB95" i="276"/>
  <c r="L15" i="204"/>
  <c r="BB62" i="280" l="1"/>
  <c r="BB102"/>
  <c r="H53" i="199"/>
  <c r="H55" s="1"/>
  <c r="BF62" i="280"/>
  <c r="BF102"/>
  <c r="L53" i="199"/>
  <c r="L55" s="1"/>
  <c r="AN127" i="188"/>
  <c r="AN153" s="1"/>
  <c r="Q155"/>
  <c r="R145"/>
  <c r="M159"/>
  <c r="M167" s="1"/>
  <c r="M176" s="1"/>
  <c r="M165"/>
  <c r="M175" s="1"/>
  <c r="BB23" i="277"/>
  <c r="I165" i="188"/>
  <c r="I175" s="1"/>
  <c r="I159"/>
  <c r="I167" s="1"/>
  <c r="I176" s="1"/>
  <c r="AN117"/>
  <c r="AM118"/>
  <c r="BB9" i="280"/>
  <c r="BB21" i="279"/>
  <c r="AL145" i="188"/>
  <c r="AL155" s="1"/>
  <c r="AL129"/>
  <c r="AM123"/>
  <c r="AM149" s="1"/>
  <c r="AN122"/>
  <c r="BF23" i="277"/>
  <c r="BF21" i="279"/>
  <c r="BF9" i="280"/>
  <c r="T129" i="188"/>
  <c r="U118"/>
  <c r="K136" i="204"/>
  <c r="K172" s="1"/>
  <c r="K169"/>
  <c r="AN104" i="157"/>
  <c r="AM105"/>
  <c r="AM106" s="1"/>
  <c r="AO115" i="188"/>
  <c r="AO126" s="1"/>
  <c r="AQ59"/>
  <c r="N54"/>
  <c r="L46" i="231"/>
  <c r="H46"/>
  <c r="J34"/>
  <c r="H11" i="248"/>
  <c r="M11" i="261"/>
  <c r="M11" i="248"/>
  <c r="U50" i="259"/>
  <c r="H11" i="261"/>
  <c r="BJ50" i="259"/>
  <c r="BE114" i="276"/>
  <c r="BE114" i="279"/>
  <c r="BE363"/>
  <c r="BE363" i="276"/>
  <c r="BE173" i="277"/>
  <c r="M160" i="188" l="1"/>
  <c r="K137" i="204"/>
  <c r="I160" i="188"/>
  <c r="BE374" i="276"/>
  <c r="BE121" i="280"/>
  <c r="BE115" i="279"/>
  <c r="BE374"/>
  <c r="BE115" i="276"/>
  <c r="BE129" s="1"/>
  <c r="BE174" i="277"/>
  <c r="BE188" s="1"/>
  <c r="BJ51" i="259"/>
  <c r="BJ52" s="1"/>
  <c r="BJ71" s="1"/>
  <c r="H12" i="248"/>
  <c r="R11"/>
  <c r="H12" i="261"/>
  <c r="R11"/>
  <c r="AI28" i="231"/>
  <c r="U51" i="259"/>
  <c r="V29" i="231"/>
  <c r="AR29" s="1"/>
  <c r="M12" i="248"/>
  <c r="M23" s="1"/>
  <c r="M71" s="1"/>
  <c r="Z29" i="231"/>
  <c r="AV29" s="1"/>
  <c r="M12" i="261"/>
  <c r="M23" s="1"/>
  <c r="M71" s="1"/>
  <c r="AO127" i="188"/>
  <c r="AO153" s="1"/>
  <c r="N164" s="1"/>
  <c r="K151" i="204"/>
  <c r="K139"/>
  <c r="BF21" i="280"/>
  <c r="BB21"/>
  <c r="I177" i="188"/>
  <c r="I178" s="1"/>
  <c r="H57" i="199"/>
  <c r="H67" s="1"/>
  <c r="H66"/>
  <c r="L66"/>
  <c r="L57"/>
  <c r="L67" s="1"/>
  <c r="U129" i="188"/>
  <c r="V118"/>
  <c r="AN123"/>
  <c r="AN149" s="1"/>
  <c r="AO122"/>
  <c r="BB25" i="280"/>
  <c r="M177" i="188"/>
  <c r="M178" s="1"/>
  <c r="AN118"/>
  <c r="AO117"/>
  <c r="R155"/>
  <c r="S145"/>
  <c r="AM129"/>
  <c r="AM145"/>
  <c r="AM155" s="1"/>
  <c r="AR59"/>
  <c r="AP115"/>
  <c r="AP126" s="1"/>
  <c r="AN105" i="157"/>
  <c r="AN106" s="1"/>
  <c r="AO104"/>
  <c r="BC15" i="279"/>
  <c r="U59" i="256"/>
  <c r="T11" i="248"/>
  <c r="BC344" i="280"/>
  <c r="BC331" i="277"/>
  <c r="U59" i="260"/>
  <c r="T11" i="261"/>
  <c r="BG344" i="280"/>
  <c r="BG272" i="276"/>
  <c r="BE115" i="277"/>
  <c r="BE56" i="279"/>
  <c r="BG15" i="276"/>
  <c r="BJ59" i="260"/>
  <c r="BB158" i="277"/>
  <c r="BB99" i="279"/>
  <c r="BF99"/>
  <c r="BJ59" i="256"/>
  <c r="BF158" i="277"/>
  <c r="BC15"/>
  <c r="BC15" i="276"/>
  <c r="G36" i="231"/>
  <c r="BC272" i="279"/>
  <c r="H42" i="231"/>
  <c r="BC272" i="276"/>
  <c r="K36" i="231"/>
  <c r="BG272" i="279"/>
  <c r="BG331" i="277"/>
  <c r="L42" i="231"/>
  <c r="BE56" i="276"/>
  <c r="BG15" i="277"/>
  <c r="BG15" i="279"/>
  <c r="BB99" i="276"/>
  <c r="BF99"/>
  <c r="BF100" l="1"/>
  <c r="BF106" i="280"/>
  <c r="BF100" i="279"/>
  <c r="BF107" i="280" s="1"/>
  <c r="BF159" i="277"/>
  <c r="BB106" i="280"/>
  <c r="BB100" i="279"/>
  <c r="BB107" i="280" s="1"/>
  <c r="BB100" i="276"/>
  <c r="BB159" i="277"/>
  <c r="BJ61" i="256"/>
  <c r="BK59"/>
  <c r="BJ61" i="260"/>
  <c r="BK59"/>
  <c r="BG15" i="280"/>
  <c r="AK47" i="231"/>
  <c r="AV47" s="1"/>
  <c r="BG285" i="276"/>
  <c r="BG290"/>
  <c r="BG293" s="1"/>
  <c r="BG344" i="277"/>
  <c r="BG349"/>
  <c r="BG352" s="1"/>
  <c r="BG357" i="280"/>
  <c r="BG362"/>
  <c r="BG365" s="1"/>
  <c r="BG290" i="279"/>
  <c r="BG293" s="1"/>
  <c r="BG285"/>
  <c r="AL11" i="261"/>
  <c r="BM11" s="1"/>
  <c r="T12"/>
  <c r="AJ48" i="231"/>
  <c r="AU48" s="1"/>
  <c r="AL59" i="260"/>
  <c r="U61"/>
  <c r="BC290" i="276"/>
  <c r="BC293" s="1"/>
  <c r="BC285"/>
  <c r="BC349" i="277"/>
  <c r="BC352" s="1"/>
  <c r="BC344"/>
  <c r="AG47" i="231"/>
  <c r="AR47" s="1"/>
  <c r="BC362" i="280"/>
  <c r="BC365" s="1"/>
  <c r="BC357"/>
  <c r="BC285" i="279"/>
  <c r="BC290"/>
  <c r="BC293" s="1"/>
  <c r="T12" i="248"/>
  <c r="AL11"/>
  <c r="AF48" i="231"/>
  <c r="AQ48" s="1"/>
  <c r="U61" i="256"/>
  <c r="AL59"/>
  <c r="BC15" i="280"/>
  <c r="AP127" i="188"/>
  <c r="AP153" s="1"/>
  <c r="AN129"/>
  <c r="AN145"/>
  <c r="AN155" s="1"/>
  <c r="BB27" i="280"/>
  <c r="BB28"/>
  <c r="BB29"/>
  <c r="BB30"/>
  <c r="BB26"/>
  <c r="BB59"/>
  <c r="BF27"/>
  <c r="BF29"/>
  <c r="BF28"/>
  <c r="BF30"/>
  <c r="BF26"/>
  <c r="BF59"/>
  <c r="H23" i="248"/>
  <c r="R12"/>
  <c r="S155" i="188"/>
  <c r="T145"/>
  <c r="BF25" i="280"/>
  <c r="AP122" i="188"/>
  <c r="AO123"/>
  <c r="AO149" s="1"/>
  <c r="N163" s="1"/>
  <c r="K142" i="204"/>
  <c r="K183" s="1"/>
  <c r="K144"/>
  <c r="K185" s="1"/>
  <c r="K170"/>
  <c r="K143"/>
  <c r="K184" s="1"/>
  <c r="BE129" i="279"/>
  <c r="BE122" i="280"/>
  <c r="L68" i="199"/>
  <c r="K156" i="204"/>
  <c r="K203" s="1"/>
  <c r="K202"/>
  <c r="U52" i="259"/>
  <c r="R12" i="261"/>
  <c r="H23"/>
  <c r="BE160" i="277"/>
  <c r="BE189"/>
  <c r="BE104" s="1"/>
  <c r="J133" i="188"/>
  <c r="J134" s="1"/>
  <c r="AO118"/>
  <c r="AP117"/>
  <c r="V129"/>
  <c r="W118"/>
  <c r="H68" i="199"/>
  <c r="BM11" i="248"/>
  <c r="BE101" i="276"/>
  <c r="BE130"/>
  <c r="AP104" i="157"/>
  <c r="AO105"/>
  <c r="AO106" s="1"/>
  <c r="AS59" i="188"/>
  <c r="AQ115"/>
  <c r="AQ126" s="1"/>
  <c r="BQ50" i="259"/>
  <c r="M9" i="228"/>
  <c r="BE197" i="277"/>
  <c r="BR50" i="259"/>
  <c r="BP50"/>
  <c r="J33" i="231"/>
  <c r="BE138" i="276"/>
  <c r="V50" i="259"/>
  <c r="BE138" i="279"/>
  <c r="BM59" i="260" l="1"/>
  <c r="BE150" i="279"/>
  <c r="BE157" i="280" s="1"/>
  <c r="BE145"/>
  <c r="BE150" i="276"/>
  <c r="BE209" i="277"/>
  <c r="AI27" i="231"/>
  <c r="V51" i="259"/>
  <c r="AL50"/>
  <c r="DI50"/>
  <c r="BP51"/>
  <c r="M12" i="228"/>
  <c r="M23" s="1"/>
  <c r="BR51" i="259"/>
  <c r="BR52" s="1"/>
  <c r="BR71" s="1"/>
  <c r="BQ51"/>
  <c r="BQ52" s="1"/>
  <c r="BQ71" s="1"/>
  <c r="AQ127" i="188"/>
  <c r="AQ153" s="1"/>
  <c r="U64" i="259"/>
  <c r="U66" s="1"/>
  <c r="AO145" i="188"/>
  <c r="AO129"/>
  <c r="W129"/>
  <c r="X118"/>
  <c r="H71" i="261"/>
  <c r="R23"/>
  <c r="K171" i="204"/>
  <c r="K175" s="1"/>
  <c r="AP123" i="188"/>
  <c r="AP149" s="1"/>
  <c r="AQ122"/>
  <c r="U49" i="260"/>
  <c r="AL61"/>
  <c r="AL12" i="261"/>
  <c r="BM12" s="1"/>
  <c r="T23"/>
  <c r="K186" i="204"/>
  <c r="U49" i="256"/>
  <c r="AL61"/>
  <c r="AL12" i="248"/>
  <c r="BM12" s="1"/>
  <c r="T23"/>
  <c r="BE130" i="279"/>
  <c r="BE137" i="280" s="1"/>
  <c r="BE136"/>
  <c r="BE101" i="279"/>
  <c r="BE108" i="280" s="1"/>
  <c r="H71" i="248"/>
  <c r="R23"/>
  <c r="BM59" i="256"/>
  <c r="BK61" i="260"/>
  <c r="BJ68"/>
  <c r="BK68" s="1"/>
  <c r="AP118" i="188"/>
  <c r="AQ117"/>
  <c r="T155"/>
  <c r="U145"/>
  <c r="BJ68" i="256"/>
  <c r="BK68" s="1"/>
  <c r="BK61"/>
  <c r="AR115" i="188"/>
  <c r="AR126" s="1"/>
  <c r="AT59"/>
  <c r="AP105" i="157"/>
  <c r="AP106" s="1"/>
  <c r="AQ104"/>
  <c r="J35" i="231"/>
  <c r="BG8" i="276"/>
  <c r="BI50" i="259"/>
  <c r="BC8" i="276"/>
  <c r="BG8" i="277"/>
  <c r="BG8" i="279"/>
  <c r="H16" i="204"/>
  <c r="BC8" i="277"/>
  <c r="BC8" i="279"/>
  <c r="L16" i="204"/>
  <c r="H133" l="1"/>
  <c r="H135" s="1"/>
  <c r="L133"/>
  <c r="L135" s="1"/>
  <c r="BG8" i="280"/>
  <c r="BG9" i="279"/>
  <c r="BG9" i="276"/>
  <c r="BG21" s="1"/>
  <c r="BG9" i="277"/>
  <c r="BC8" i="280"/>
  <c r="BC9" i="279"/>
  <c r="BC9" i="276"/>
  <c r="BC21" s="1"/>
  <c r="BC9" i="277"/>
  <c r="BK50" i="259"/>
  <c r="BM50" s="1"/>
  <c r="BI51"/>
  <c r="AI30" i="231"/>
  <c r="AT30" s="1"/>
  <c r="X27"/>
  <c r="AT27" s="1"/>
  <c r="AR127" i="188"/>
  <c r="AR153" s="1"/>
  <c r="T58" i="248"/>
  <c r="T71"/>
  <c r="T49"/>
  <c r="AL23"/>
  <c r="BM23" s="1"/>
  <c r="T64"/>
  <c r="BM61" i="260"/>
  <c r="AR122" i="188"/>
  <c r="AQ123"/>
  <c r="AQ149" s="1"/>
  <c r="N133"/>
  <c r="N134" s="1"/>
  <c r="AR117"/>
  <c r="AQ118"/>
  <c r="AO155"/>
  <c r="N162"/>
  <c r="AP145"/>
  <c r="AP155" s="1"/>
  <c r="AP129"/>
  <c r="BM61" i="256"/>
  <c r="T71" i="261"/>
  <c r="T49"/>
  <c r="AL23"/>
  <c r="BM23" s="1"/>
  <c r="T58"/>
  <c r="T64"/>
  <c r="X129" i="188"/>
  <c r="Y118"/>
  <c r="Y129" s="1"/>
  <c r="BP52" i="259"/>
  <c r="DI51"/>
  <c r="R71" i="261"/>
  <c r="V52" i="259"/>
  <c r="AL51"/>
  <c r="U155" i="188"/>
  <c r="J162"/>
  <c r="V145"/>
  <c r="R71" i="248"/>
  <c r="AR66" i="259"/>
  <c r="U67"/>
  <c r="AQ105" i="157"/>
  <c r="AQ106" s="1"/>
  <c r="AR104"/>
  <c r="AS115" i="188"/>
  <c r="AS126" s="1"/>
  <c r="AU59"/>
  <c r="I15" i="199"/>
  <c r="BG95" i="279"/>
  <c r="BE359" i="277"/>
  <c r="BE300" i="276"/>
  <c r="BE176" i="279"/>
  <c r="I15" i="204"/>
  <c r="BE119" i="277"/>
  <c r="BE60" i="279"/>
  <c r="BC154" i="277"/>
  <c r="BC95" i="279"/>
  <c r="BG154" i="277"/>
  <c r="BG95" i="276"/>
  <c r="BE235" i="277"/>
  <c r="BE176" i="276"/>
  <c r="BE300" i="279"/>
  <c r="M15" i="199"/>
  <c r="BE67" i="280"/>
  <c r="BE60" i="276"/>
  <c r="BC95"/>
  <c r="M15" i="204"/>
  <c r="BC62" i="280" l="1"/>
  <c r="BC102"/>
  <c r="M53" i="199"/>
  <c r="M55" s="1"/>
  <c r="BE314" i="279"/>
  <c r="BE323" s="1"/>
  <c r="BE309"/>
  <c r="BE193"/>
  <c r="BE184" i="280"/>
  <c r="BE193" i="276"/>
  <c r="BE314"/>
  <c r="BE309"/>
  <c r="BE252" i="277"/>
  <c r="BE253" s="1"/>
  <c r="BE373"/>
  <c r="BE368"/>
  <c r="BG62" i="280"/>
  <c r="BG102"/>
  <c r="I53" i="199"/>
  <c r="I55" s="1"/>
  <c r="AS127" i="188"/>
  <c r="AS153" s="1"/>
  <c r="L136" i="204"/>
  <c r="L172" s="1"/>
  <c r="L169"/>
  <c r="U68" i="259"/>
  <c r="V155" i="188"/>
  <c r="W145"/>
  <c r="V64" i="259"/>
  <c r="V63"/>
  <c r="AL52"/>
  <c r="DI52"/>
  <c r="BP71"/>
  <c r="BK51"/>
  <c r="BM51" s="1"/>
  <c r="BI52"/>
  <c r="BC9" i="280"/>
  <c r="BC21" i="279"/>
  <c r="BG21"/>
  <c r="BG9" i="280"/>
  <c r="AR67" i="259"/>
  <c r="J165" i="188"/>
  <c r="J175" s="1"/>
  <c r="J160"/>
  <c r="J159"/>
  <c r="J167" s="1"/>
  <c r="J176" s="1"/>
  <c r="AQ129"/>
  <c r="AQ145"/>
  <c r="AQ155" s="1"/>
  <c r="BC36" i="277"/>
  <c r="BG21"/>
  <c r="N159" i="188"/>
  <c r="N167" s="1"/>
  <c r="N176" s="1"/>
  <c r="N165"/>
  <c r="N175" s="1"/>
  <c r="AS122"/>
  <c r="AR123"/>
  <c r="AR149" s="1"/>
  <c r="BA36" i="277"/>
  <c r="BC21"/>
  <c r="BB36"/>
  <c r="DI74" i="259"/>
  <c r="AR118" i="188"/>
  <c r="AS117"/>
  <c r="H136" i="204"/>
  <c r="H172" s="1"/>
  <c r="H169"/>
  <c r="AT115" i="188"/>
  <c r="AT126" s="1"/>
  <c r="AT127" s="1"/>
  <c r="AT153" s="1"/>
  <c r="O164" s="1"/>
  <c r="O54"/>
  <c r="AS104" i="157"/>
  <c r="AR105"/>
  <c r="AR106" s="1"/>
  <c r="K9" i="203"/>
  <c r="I46" i="231"/>
  <c r="BJ50" i="256"/>
  <c r="K34" i="231"/>
  <c r="BE206" i="280"/>
  <c r="BE198" i="279"/>
  <c r="H11" i="258"/>
  <c r="M46" i="231"/>
  <c r="G34"/>
  <c r="M11" i="258"/>
  <c r="H11" i="262"/>
  <c r="U50" i="260"/>
  <c r="BE257" i="277"/>
  <c r="BE198" i="276"/>
  <c r="BJ50" i="260"/>
  <c r="M11" i="262"/>
  <c r="U50" i="256"/>
  <c r="BF173" i="277"/>
  <c r="BF114" i="276"/>
  <c r="BF363"/>
  <c r="BB114" i="279"/>
  <c r="BB363"/>
  <c r="BF114"/>
  <c r="BF363"/>
  <c r="BB114" i="276"/>
  <c r="BB363"/>
  <c r="BB173" i="277"/>
  <c r="N160" i="188" l="1"/>
  <c r="BB115" i="276"/>
  <c r="BB129" s="1"/>
  <c r="BB374" i="279"/>
  <c r="BB374" i="276"/>
  <c r="BB121" i="280"/>
  <c r="BB115" i="279"/>
  <c r="BB174" i="277"/>
  <c r="BB188" s="1"/>
  <c r="BF374" i="276"/>
  <c r="BF121" i="280"/>
  <c r="BF115" i="279"/>
  <c r="BF115" i="276"/>
  <c r="BF129" s="1"/>
  <c r="BF374" i="279"/>
  <c r="BF174" i="277"/>
  <c r="BF188" s="1"/>
  <c r="AF28" i="231"/>
  <c r="U51" i="256"/>
  <c r="AA29" i="231"/>
  <c r="AW29" s="1"/>
  <c r="M12" i="262"/>
  <c r="M23" s="1"/>
  <c r="M71" s="1"/>
  <c r="H12" i="258"/>
  <c r="R11"/>
  <c r="BJ51" i="260"/>
  <c r="BJ52" s="1"/>
  <c r="BJ71" s="1"/>
  <c r="BE200" i="279"/>
  <c r="BE210" s="1"/>
  <c r="BE200" i="276"/>
  <c r="BE210" s="1"/>
  <c r="BE208" i="280"/>
  <c r="BE218" s="1"/>
  <c r="BE259" i="277"/>
  <c r="BE269" s="1"/>
  <c r="AJ28" i="231"/>
  <c r="U51" i="260"/>
  <c r="BJ51" i="256"/>
  <c r="BJ52" s="1"/>
  <c r="BJ71" s="1"/>
  <c r="R11" i="262"/>
  <c r="H12"/>
  <c r="W29" i="231"/>
  <c r="AS29" s="1"/>
  <c r="M12" i="258"/>
  <c r="M23" s="1"/>
  <c r="M71" s="1"/>
  <c r="K54" i="203"/>
  <c r="W155" i="188"/>
  <c r="X145"/>
  <c r="AR145"/>
  <c r="AR155" s="1"/>
  <c r="AR129"/>
  <c r="J177"/>
  <c r="BG21" i="280"/>
  <c r="BG25" s="1"/>
  <c r="AS118" i="188"/>
  <c r="AT117"/>
  <c r="AT118" s="1"/>
  <c r="H137" i="204"/>
  <c r="AS123" i="188"/>
  <c r="AS149" s="1"/>
  <c r="AT122"/>
  <c r="AT123" s="1"/>
  <c r="AT149" s="1"/>
  <c r="O163" s="1"/>
  <c r="AR68" i="259"/>
  <c r="BC21" i="280"/>
  <c r="BC25" s="1"/>
  <c r="DI71" i="259"/>
  <c r="U71"/>
  <c r="L137" i="204"/>
  <c r="I66" i="199"/>
  <c r="I57"/>
  <c r="I67" s="1"/>
  <c r="BE201" i="280"/>
  <c r="M66" i="199"/>
  <c r="M57"/>
  <c r="M67" s="1"/>
  <c r="BI71" i="259"/>
  <c r="BK52"/>
  <c r="BM52" s="1"/>
  <c r="BC23" i="277"/>
  <c r="BA40"/>
  <c r="BB40"/>
  <c r="BB45" s="1"/>
  <c r="N177" i="188"/>
  <c r="BG23" i="277"/>
  <c r="BC40"/>
  <c r="AT104" i="157"/>
  <c r="AS105"/>
  <c r="AS106" s="1"/>
  <c r="BF115" i="277"/>
  <c r="BF56" i="276"/>
  <c r="BJ59" i="261"/>
  <c r="BH15" i="276"/>
  <c r="BB115" i="277"/>
  <c r="BB56" i="279"/>
  <c r="BD15" i="276"/>
  <c r="BE155" i="277"/>
  <c r="BE96" i="279"/>
  <c r="BE55" i="276"/>
  <c r="T11" i="258"/>
  <c r="BD344" i="280"/>
  <c r="BD331" i="277"/>
  <c r="U59" i="261"/>
  <c r="BH344" i="280"/>
  <c r="BG99" i="276"/>
  <c r="BF56" i="279"/>
  <c r="BJ59" i="248"/>
  <c r="BH15" i="277"/>
  <c r="BH15" i="279"/>
  <c r="BB56" i="276"/>
  <c r="BD15" i="277"/>
  <c r="BD15" i="279"/>
  <c r="BE96" i="276"/>
  <c r="BE114" i="277"/>
  <c r="BE55" i="279"/>
  <c r="BD272"/>
  <c r="BD272" i="276"/>
  <c r="I42" i="231"/>
  <c r="H36"/>
  <c r="L36"/>
  <c r="BH272" i="279"/>
  <c r="BH272" i="276"/>
  <c r="M42" i="231"/>
  <c r="BG158" i="277"/>
  <c r="BG99" i="279"/>
  <c r="U59" i="248"/>
  <c r="T11" i="262"/>
  <c r="BH331" i="277"/>
  <c r="BC99" i="276"/>
  <c r="BC99" i="279"/>
  <c r="BC158" i="277"/>
  <c r="BG106" i="280" l="1"/>
  <c r="BG100" i="279"/>
  <c r="BG107" i="280" s="1"/>
  <c r="BG100" i="276"/>
  <c r="BG159" i="277"/>
  <c r="BC100" i="276"/>
  <c r="BC106" i="280"/>
  <c r="BC100" i="279"/>
  <c r="BC107" i="280" s="1"/>
  <c r="BC159" i="277"/>
  <c r="AL47" i="231"/>
  <c r="AW47" s="1"/>
  <c r="BH344" i="277"/>
  <c r="BH349"/>
  <c r="BH352" s="1"/>
  <c r="BH290" i="276"/>
  <c r="BH293" s="1"/>
  <c r="F402" s="1"/>
  <c r="BH285"/>
  <c r="BH357" i="280"/>
  <c r="BH362"/>
  <c r="BH365" s="1"/>
  <c r="BH285" i="279"/>
  <c r="BH290"/>
  <c r="BH293" s="1"/>
  <c r="F402" s="1"/>
  <c r="AL11" i="262"/>
  <c r="BM11" s="1"/>
  <c r="T12"/>
  <c r="AK48" i="231"/>
  <c r="AV48" s="1"/>
  <c r="AL59" i="261"/>
  <c r="U61"/>
  <c r="AG48" i="231"/>
  <c r="AR48" s="1"/>
  <c r="AL59" i="248"/>
  <c r="U61"/>
  <c r="AH47" i="231"/>
  <c r="AS47" s="1"/>
  <c r="BD344" i="277"/>
  <c r="BD349"/>
  <c r="BD352" s="1"/>
  <c r="BD290" i="276"/>
  <c r="BD293" s="1"/>
  <c r="BD285"/>
  <c r="BD357" i="280"/>
  <c r="BD362"/>
  <c r="BD365" s="1"/>
  <c r="BD285" i="279"/>
  <c r="BD290"/>
  <c r="BD293" s="1"/>
  <c r="T12" i="258"/>
  <c r="AL11"/>
  <c r="BM11" s="1"/>
  <c r="BE260" i="279"/>
  <c r="BE264" i="276"/>
  <c r="BE323" i="277"/>
  <c r="BE63" i="280"/>
  <c r="BE336" s="1"/>
  <c r="BE103"/>
  <c r="BE97" i="279"/>
  <c r="BE97" i="276"/>
  <c r="BE156" i="277"/>
  <c r="BD15" i="280"/>
  <c r="BH15"/>
  <c r="BK59" i="261"/>
  <c r="BJ61"/>
  <c r="BJ61" i="248"/>
  <c r="BK59"/>
  <c r="BC48" i="277"/>
  <c r="BC43"/>
  <c r="BC47"/>
  <c r="BC46"/>
  <c r="BC44"/>
  <c r="BA43"/>
  <c r="BA48"/>
  <c r="BA47"/>
  <c r="BA46"/>
  <c r="BA44"/>
  <c r="M68" i="199"/>
  <c r="I68"/>
  <c r="BC45" i="277"/>
  <c r="BA45"/>
  <c r="H23" i="262"/>
  <c r="R12"/>
  <c r="BF160" i="277"/>
  <c r="BF189"/>
  <c r="BF104" s="1"/>
  <c r="N178" i="188"/>
  <c r="L151" i="204"/>
  <c r="L139"/>
  <c r="AR71" i="259"/>
  <c r="H151" i="204"/>
  <c r="H139"/>
  <c r="AT129" i="188"/>
  <c r="AT145"/>
  <c r="BG27" i="280"/>
  <c r="BG29"/>
  <c r="BG28"/>
  <c r="BG30"/>
  <c r="BG26"/>
  <c r="BG59"/>
  <c r="X155" i="188"/>
  <c r="Y145"/>
  <c r="Y155" s="1"/>
  <c r="K88" i="203"/>
  <c r="K85"/>
  <c r="H23" i="258"/>
  <c r="R12"/>
  <c r="U52" i="256"/>
  <c r="BB43" i="277"/>
  <c r="BB48"/>
  <c r="BB47"/>
  <c r="BB46"/>
  <c r="BB44"/>
  <c r="BK71" i="259"/>
  <c r="DI75"/>
  <c r="DI76" s="1"/>
  <c r="BC27" i="280"/>
  <c r="BC29"/>
  <c r="BC28"/>
  <c r="BC30"/>
  <c r="BC26"/>
  <c r="BC59"/>
  <c r="AS129" i="188"/>
  <c r="AS145"/>
  <c r="AS155" s="1"/>
  <c r="BF101" i="276"/>
  <c r="BF130"/>
  <c r="BB160" i="277"/>
  <c r="BB189"/>
  <c r="BB104" s="1"/>
  <c r="J178" i="188"/>
  <c r="U52" i="260"/>
  <c r="BF129" i="279"/>
  <c r="BF122" i="280"/>
  <c r="BB122"/>
  <c r="BB129" i="279"/>
  <c r="BB101" i="276"/>
  <c r="BB130"/>
  <c r="AT105" i="157"/>
  <c r="AT106" s="1"/>
  <c r="AU104"/>
  <c r="AU105" s="1"/>
  <c r="AU106" s="1"/>
  <c r="BE33" i="279"/>
  <c r="Y65" i="259"/>
  <c r="BE33" i="276"/>
  <c r="J47" i="231"/>
  <c r="BE61" i="277"/>
  <c r="V65" i="259"/>
  <c r="V67" l="1"/>
  <c r="AL65"/>
  <c r="BM65" s="1"/>
  <c r="X28" i="231"/>
  <c r="AT28" s="1"/>
  <c r="BE35" i="279"/>
  <c r="BE131"/>
  <c r="BE41" i="280"/>
  <c r="BE252" i="279"/>
  <c r="BE35" i="276"/>
  <c r="BE255"/>
  <c r="BE131"/>
  <c r="BE132" s="1"/>
  <c r="BE63" i="277"/>
  <c r="BE190"/>
  <c r="BE191" s="1"/>
  <c r="BE314"/>
  <c r="Y66" i="259"/>
  <c r="O162" i="188"/>
  <c r="AT155"/>
  <c r="BF130" i="279"/>
  <c r="BF137" i="280" s="1"/>
  <c r="BF101" i="279"/>
  <c r="BF108" i="280" s="1"/>
  <c r="BF136"/>
  <c r="K92" i="203"/>
  <c r="O133" i="188"/>
  <c r="O134" s="1"/>
  <c r="H71" i="262"/>
  <c r="R23"/>
  <c r="BK61" i="248"/>
  <c r="BJ68"/>
  <c r="BK68" s="1"/>
  <c r="U49"/>
  <c r="AL61"/>
  <c r="U49" i="261"/>
  <c r="AL61"/>
  <c r="AL12" i="262"/>
  <c r="BM12" s="1"/>
  <c r="T23"/>
  <c r="BE104" i="280"/>
  <c r="BE64"/>
  <c r="BB130" i="279"/>
  <c r="BB137" i="280" s="1"/>
  <c r="BB136"/>
  <c r="BB101" i="279"/>
  <c r="BB108" i="280" s="1"/>
  <c r="U64" i="260"/>
  <c r="U66" s="1"/>
  <c r="H71" i="258"/>
  <c r="R23"/>
  <c r="H144" i="204"/>
  <c r="H185" s="1"/>
  <c r="H142"/>
  <c r="H183" s="1"/>
  <c r="H170"/>
  <c r="H143"/>
  <c r="H184" s="1"/>
  <c r="L143"/>
  <c r="L184" s="1"/>
  <c r="L144"/>
  <c r="L185" s="1"/>
  <c r="L170"/>
  <c r="L142"/>
  <c r="L183" s="1"/>
  <c r="BK61" i="261"/>
  <c r="BJ68"/>
  <c r="BK68" s="1"/>
  <c r="BM59" i="248"/>
  <c r="BM59" i="261"/>
  <c r="U64" i="256"/>
  <c r="U66" s="1"/>
  <c r="H156" i="204"/>
  <c r="H203" s="1"/>
  <c r="H202"/>
  <c r="H153"/>
  <c r="L156"/>
  <c r="L203" s="1"/>
  <c r="L153"/>
  <c r="L202"/>
  <c r="AL12" i="258"/>
  <c r="BM12" s="1"/>
  <c r="T23"/>
  <c r="BR50" i="256"/>
  <c r="BB138" i="276"/>
  <c r="BB138" i="279"/>
  <c r="BF197" i="277"/>
  <c r="BH8"/>
  <c r="BH8" i="279"/>
  <c r="BP50" i="256"/>
  <c r="BD8" i="277"/>
  <c r="BD8" i="276"/>
  <c r="G33" i="231"/>
  <c r="K33"/>
  <c r="BQ50" i="256"/>
  <c r="J9" i="228"/>
  <c r="BD8" i="279"/>
  <c r="V50" i="260"/>
  <c r="BP50"/>
  <c r="M16" i="204"/>
  <c r="BQ50" i="260"/>
  <c r="BB197" i="277"/>
  <c r="BF138" i="276"/>
  <c r="BF138" i="279"/>
  <c r="BH8" i="276"/>
  <c r="I16" i="204"/>
  <c r="BR50" i="260"/>
  <c r="V50" i="256"/>
  <c r="N9" i="228"/>
  <c r="J12" l="1"/>
  <c r="J23" s="1"/>
  <c r="DI50" i="260"/>
  <c r="BP51"/>
  <c r="BQ51" i="256"/>
  <c r="BQ52" s="1"/>
  <c r="BQ71" s="1"/>
  <c r="N12" i="228"/>
  <c r="N23" s="1"/>
  <c r="AJ27" i="231"/>
  <c r="V51" i="260"/>
  <c r="AL50"/>
  <c r="AF27" i="231"/>
  <c r="V51" i="256"/>
  <c r="AL50"/>
  <c r="BD9" i="276"/>
  <c r="BD21" s="1"/>
  <c r="BD8" i="280"/>
  <c r="BD9" i="279"/>
  <c r="BD9" i="277"/>
  <c r="BD21" s="1"/>
  <c r="BR51" i="260"/>
  <c r="BR52" s="1"/>
  <c r="BR71" s="1"/>
  <c r="DI50" i="256"/>
  <c r="BP51"/>
  <c r="I133" i="204"/>
  <c r="I135" s="1"/>
  <c r="BH8" i="280"/>
  <c r="BH9" i="279"/>
  <c r="BH9" i="276"/>
  <c r="BH21" s="1"/>
  <c r="BH9" i="277"/>
  <c r="BF145" i="280"/>
  <c r="BF150" i="279"/>
  <c r="BF157" i="280" s="1"/>
  <c r="BF209" i="277"/>
  <c r="BF150" i="276"/>
  <c r="BB145" i="280"/>
  <c r="BB150" i="279"/>
  <c r="BB157" i="280" s="1"/>
  <c r="BB209" i="277"/>
  <c r="BB150" i="276"/>
  <c r="BQ51" i="260"/>
  <c r="BQ52" s="1"/>
  <c r="BQ71" s="1"/>
  <c r="BR51" i="256"/>
  <c r="BR52" s="1"/>
  <c r="BR71" s="1"/>
  <c r="M133" i="204"/>
  <c r="M135" s="1"/>
  <c r="L186"/>
  <c r="T58" i="258"/>
  <c r="AL23"/>
  <c r="BM23" s="1"/>
  <c r="T49"/>
  <c r="T64"/>
  <c r="T71"/>
  <c r="L171" i="204"/>
  <c r="L175" s="1"/>
  <c r="H171"/>
  <c r="H175" s="1"/>
  <c r="R71" i="258"/>
  <c r="BM61" i="248"/>
  <c r="AT66" i="259"/>
  <c r="AL66"/>
  <c r="BE327" i="280"/>
  <c r="BE334"/>
  <c r="H186" i="204"/>
  <c r="BM61" i="261"/>
  <c r="R71" i="262"/>
  <c r="Y67" i="259"/>
  <c r="Y68" s="1"/>
  <c r="Y71" s="1"/>
  <c r="BE138" i="280"/>
  <c r="BE132" i="279"/>
  <c r="BE139" i="280" s="1"/>
  <c r="U67" i="256"/>
  <c r="AR66"/>
  <c r="AR66" i="260"/>
  <c r="U67"/>
  <c r="T64" i="262"/>
  <c r="T49"/>
  <c r="T71"/>
  <c r="T58"/>
  <c r="AL23"/>
  <c r="BM23" s="1"/>
  <c r="O159" i="188"/>
  <c r="O167" s="1"/>
  <c r="O176" s="1"/>
  <c r="O165"/>
  <c r="O175" s="1"/>
  <c r="BE43" i="280"/>
  <c r="BE328" s="1"/>
  <c r="V68" i="259"/>
  <c r="K35" i="231"/>
  <c r="N15" i="199"/>
  <c r="G35" i="231"/>
  <c r="BE134" i="277"/>
  <c r="M11" i="263"/>
  <c r="BH154" i="277"/>
  <c r="BI50" i="260"/>
  <c r="J15" i="204"/>
  <c r="BI50" i="256"/>
  <c r="BE75" i="276"/>
  <c r="N15" i="204"/>
  <c r="N46" i="231"/>
  <c r="BD154" i="277"/>
  <c r="BD95" i="276"/>
  <c r="BH95"/>
  <c r="H11" i="263"/>
  <c r="BE75" i="279"/>
  <c r="J15" i="199"/>
  <c r="BD95" i="279"/>
  <c r="BH95"/>
  <c r="R11" i="263" l="1"/>
  <c r="H12"/>
  <c r="BH102" i="280"/>
  <c r="BH62"/>
  <c r="BD62"/>
  <c r="BD102"/>
  <c r="J53" i="199"/>
  <c r="J55" s="1"/>
  <c r="AB29" i="231"/>
  <c r="AX29" s="1"/>
  <c r="M12" i="263"/>
  <c r="M23" s="1"/>
  <c r="M71" s="1"/>
  <c r="BE80" i="280"/>
  <c r="BK50" i="256"/>
  <c r="BI51"/>
  <c r="AF30" i="231"/>
  <c r="AQ30" s="1"/>
  <c r="U27"/>
  <c r="AQ27" s="1"/>
  <c r="N53" i="199"/>
  <c r="N55" s="1"/>
  <c r="BK50" i="260"/>
  <c r="BM50" s="1"/>
  <c r="BI51"/>
  <c r="AJ30" i="231"/>
  <c r="AU30" s="1"/>
  <c r="Y27"/>
  <c r="AU27" s="1"/>
  <c r="V71" i="259"/>
  <c r="AL68"/>
  <c r="O177" i="188"/>
  <c r="O178" s="1"/>
  <c r="AT67" i="259"/>
  <c r="BG66"/>
  <c r="BM66" s="1"/>
  <c r="M169" i="204"/>
  <c r="M136"/>
  <c r="M172" s="1"/>
  <c r="DI51" i="256"/>
  <c r="BP52"/>
  <c r="BD21" i="279"/>
  <c r="BD9" i="280"/>
  <c r="V52" i="256"/>
  <c r="AL51"/>
  <c r="V52" i="260"/>
  <c r="AL51"/>
  <c r="AR67"/>
  <c r="BH21" i="279"/>
  <c r="BH9" i="280"/>
  <c r="DI51" i="260"/>
  <c r="BP52"/>
  <c r="AR67" i="256"/>
  <c r="AL67" i="259"/>
  <c r="O160" i="188"/>
  <c r="U68" i="260"/>
  <c r="U68" i="256"/>
  <c r="BH21" i="277"/>
  <c r="BD36"/>
  <c r="E28"/>
  <c r="I169" i="204"/>
  <c r="I136"/>
  <c r="I172" s="1"/>
  <c r="BD23" i="277"/>
  <c r="BM50" i="256"/>
  <c r="BI15" i="276"/>
  <c r="BI15" i="277"/>
  <c r="BE78" i="279"/>
  <c r="U50" i="261"/>
  <c r="BB359" i="277"/>
  <c r="BB176" i="276"/>
  <c r="BB176" i="279"/>
  <c r="BB60" i="276"/>
  <c r="BB119" i="277"/>
  <c r="U50" i="248"/>
  <c r="T11" i="263"/>
  <c r="BI344" i="280"/>
  <c r="BI331" i="277"/>
  <c r="BJ50" i="261"/>
  <c r="BF67" i="280"/>
  <c r="BF60" i="276"/>
  <c r="BF176" i="279"/>
  <c r="BF359" i="277"/>
  <c r="BF300" i="276"/>
  <c r="BG173" i="277"/>
  <c r="BG363" i="279"/>
  <c r="BG114"/>
  <c r="BC363"/>
  <c r="BC114" i="276"/>
  <c r="BC363"/>
  <c r="BI15" i="279"/>
  <c r="BE137" i="277"/>
  <c r="BE78" i="276"/>
  <c r="L34" i="231"/>
  <c r="BB235" i="277"/>
  <c r="BB300" i="276"/>
  <c r="BB300" i="279"/>
  <c r="BB67" i="280"/>
  <c r="BB60" i="279"/>
  <c r="H34" i="231"/>
  <c r="BI272" i="279"/>
  <c r="BI272" i="276"/>
  <c r="N42" i="231"/>
  <c r="BF119" i="277"/>
  <c r="BF60" i="279"/>
  <c r="BF300"/>
  <c r="BF235" i="277"/>
  <c r="BF176" i="276"/>
  <c r="BJ50" i="248"/>
  <c r="BG114" i="276"/>
  <c r="BG363"/>
  <c r="BC173" i="277"/>
  <c r="BC114" i="279"/>
  <c r="I137" i="204" l="1"/>
  <c r="I139" s="1"/>
  <c r="BC374" i="276"/>
  <c r="BC115"/>
  <c r="BC129" s="1"/>
  <c r="BC121" i="280"/>
  <c r="BC115" i="279"/>
  <c r="BC374"/>
  <c r="BC174" i="277"/>
  <c r="BC188" s="1"/>
  <c r="BG121" i="280"/>
  <c r="BG115" i="279"/>
  <c r="BG374" i="276"/>
  <c r="BG374" i="279"/>
  <c r="BG115" i="276"/>
  <c r="BG129" s="1"/>
  <c r="BG174" i="277"/>
  <c r="BG188" s="1"/>
  <c r="BJ51" i="248"/>
  <c r="BJ52" s="1"/>
  <c r="BJ71" s="1"/>
  <c r="BF314" i="276"/>
  <c r="BF309"/>
  <c r="BF193"/>
  <c r="BF373" i="277"/>
  <c r="BF368"/>
  <c r="BF252"/>
  <c r="BF253" s="1"/>
  <c r="BF184" i="280"/>
  <c r="BF193" i="279"/>
  <c r="BF314"/>
  <c r="BF323" s="1"/>
  <c r="BF309"/>
  <c r="BJ51" i="261"/>
  <c r="BJ52" s="1"/>
  <c r="BJ71" s="1"/>
  <c r="AM47" i="231"/>
  <c r="AX47" s="1"/>
  <c r="BI349" i="277"/>
  <c r="BI352" s="1"/>
  <c r="BI344"/>
  <c r="BI290" i="276"/>
  <c r="BI293" s="1"/>
  <c r="BI285"/>
  <c r="BI362" i="280"/>
  <c r="BI365" s="1"/>
  <c r="BI357"/>
  <c r="BI285" i="279"/>
  <c r="BI290"/>
  <c r="BI293" s="1"/>
  <c r="AL11" i="263"/>
  <c r="BM11" s="1"/>
  <c r="T12"/>
  <c r="AG28" i="231"/>
  <c r="U51" i="248"/>
  <c r="BB309" i="279"/>
  <c r="BB314"/>
  <c r="BB323" s="1"/>
  <c r="BB184" i="280"/>
  <c r="BB193" i="279"/>
  <c r="BB314" i="276"/>
  <c r="BB309"/>
  <c r="BB193"/>
  <c r="BB252" i="277"/>
  <c r="BB253" s="1"/>
  <c r="BB254" s="1"/>
  <c r="BB373"/>
  <c r="BB368"/>
  <c r="AK28" i="231"/>
  <c r="U51" i="261"/>
  <c r="BE89" i="276"/>
  <c r="BE83" i="280"/>
  <c r="BE89" i="279"/>
  <c r="BE94" i="280" s="1"/>
  <c r="BE148" i="277"/>
  <c r="BI15" i="280"/>
  <c r="U71" i="256"/>
  <c r="DI74" i="260"/>
  <c r="BH21" i="280"/>
  <c r="BH25" s="1"/>
  <c r="V64" i="260"/>
  <c r="V63"/>
  <c r="AL52"/>
  <c r="BD21" i="280"/>
  <c r="BD25" s="1"/>
  <c r="N57" i="199"/>
  <c r="N67" s="1"/>
  <c r="N66"/>
  <c r="BK51" i="256"/>
  <c r="BM51" s="1"/>
  <c r="BI52"/>
  <c r="AX419" i="277"/>
  <c r="E25"/>
  <c r="BD40"/>
  <c r="BD45" s="1"/>
  <c r="BH23"/>
  <c r="AZ419" s="1"/>
  <c r="AR68" i="260"/>
  <c r="DI52" i="256"/>
  <c r="BP71"/>
  <c r="J66" i="199"/>
  <c r="J57"/>
  <c r="J67" s="1"/>
  <c r="U71" i="260"/>
  <c r="AR68" i="256"/>
  <c r="V64"/>
  <c r="V63"/>
  <c r="AL52"/>
  <c r="DI74"/>
  <c r="M137" i="204"/>
  <c r="AT68" i="259"/>
  <c r="BG67"/>
  <c r="BM67" s="1"/>
  <c r="BI52" i="260"/>
  <c r="BK51"/>
  <c r="BM51" s="1"/>
  <c r="H23" i="263"/>
  <c r="R12"/>
  <c r="DI52" i="260"/>
  <c r="BP71"/>
  <c r="AL71" i="259"/>
  <c r="BC115" i="277"/>
  <c r="BC56" i="279"/>
  <c r="BB96"/>
  <c r="BJ59" i="262"/>
  <c r="BG56" i="276"/>
  <c r="BF257" i="277"/>
  <c r="BF198" i="279"/>
  <c r="L9" i="203"/>
  <c r="M36" i="231"/>
  <c r="BB206" i="280"/>
  <c r="BB198" i="279"/>
  <c r="U59" i="258"/>
  <c r="BF155" i="277"/>
  <c r="BF96" i="279"/>
  <c r="BD99" i="276"/>
  <c r="BC56"/>
  <c r="BB155" i="277"/>
  <c r="BB96" i="276"/>
  <c r="BG115" i="277"/>
  <c r="BG56" i="279"/>
  <c r="BF206" i="280"/>
  <c r="BF198" i="276"/>
  <c r="U59" i="262"/>
  <c r="BH158" i="277" s="1"/>
  <c r="BB257"/>
  <c r="BB198" i="276"/>
  <c r="H9" i="203"/>
  <c r="I36" i="231"/>
  <c r="BF96" i="276"/>
  <c r="BJ59" i="258"/>
  <c r="BH99" i="279"/>
  <c r="BD158" i="277"/>
  <c r="BD99" i="279"/>
  <c r="BH99" i="276"/>
  <c r="I151" i="204" l="1"/>
  <c r="BD106" i="280"/>
  <c r="BD100" i="279"/>
  <c r="BD107" i="280" s="1"/>
  <c r="BD100" i="276"/>
  <c r="BD159" i="277"/>
  <c r="BH100" i="276"/>
  <c r="BH106" i="280"/>
  <c r="BH100" i="279"/>
  <c r="BH107" i="280" s="1"/>
  <c r="BH159" i="277"/>
  <c r="BK59" i="258"/>
  <c r="BJ61"/>
  <c r="BF63" i="280"/>
  <c r="BF336" s="1"/>
  <c r="BF103"/>
  <c r="BF97" i="279"/>
  <c r="BF97" i="276"/>
  <c r="BF156" i="277"/>
  <c r="AH48" i="231"/>
  <c r="AS48" s="1"/>
  <c r="U61" i="258"/>
  <c r="AL59"/>
  <c r="BM59" s="1"/>
  <c r="H54" i="203"/>
  <c r="BB200" i="279"/>
  <c r="BB210" s="1"/>
  <c r="BB200" i="276"/>
  <c r="BB210" s="1"/>
  <c r="BB208" i="280"/>
  <c r="BB218" s="1"/>
  <c r="BB259" i="277"/>
  <c r="BB269" s="1"/>
  <c r="AL48" i="231"/>
  <c r="AW48" s="1"/>
  <c r="AL59" i="262"/>
  <c r="U61"/>
  <c r="L54" i="203"/>
  <c r="BF200" i="276"/>
  <c r="BF210" s="1"/>
  <c r="BF200" i="279"/>
  <c r="BF210" s="1"/>
  <c r="BF208" i="280"/>
  <c r="BF218" s="1"/>
  <c r="BF259" i="277"/>
  <c r="BF269" s="1"/>
  <c r="BK59" i="262"/>
  <c r="BJ61"/>
  <c r="BB97" i="276"/>
  <c r="BB103" i="280"/>
  <c r="BB63"/>
  <c r="BB336" s="1"/>
  <c r="BB97" i="279"/>
  <c r="BB156" i="277"/>
  <c r="AT71" i="259"/>
  <c r="BG68"/>
  <c r="BM68" s="1"/>
  <c r="U52" i="261"/>
  <c r="BG129" i="279"/>
  <c r="BG122" i="280"/>
  <c r="BI71" i="260"/>
  <c r="BK52"/>
  <c r="M139" i="204"/>
  <c r="M151"/>
  <c r="DI75" i="260"/>
  <c r="DI76" s="1"/>
  <c r="J68" i="199"/>
  <c r="BD27" i="280"/>
  <c r="BD29"/>
  <c r="BD28"/>
  <c r="BD30"/>
  <c r="BD26"/>
  <c r="BD59"/>
  <c r="BH29"/>
  <c r="BH27"/>
  <c r="BH28"/>
  <c r="BH30"/>
  <c r="BH26"/>
  <c r="BH59"/>
  <c r="BB201"/>
  <c r="BB194" i="279"/>
  <c r="T23" i="263"/>
  <c r="AL12"/>
  <c r="BM12" s="1"/>
  <c r="BG101" i="276"/>
  <c r="BG130"/>
  <c r="AR71" i="256"/>
  <c r="BG160" i="277"/>
  <c r="BG189"/>
  <c r="BG104" s="1"/>
  <c r="DI71" i="256"/>
  <c r="AR71" i="260"/>
  <c r="BD48" i="277"/>
  <c r="BD43"/>
  <c r="BD47"/>
  <c r="BD46"/>
  <c r="BD44"/>
  <c r="I202" i="204"/>
  <c r="I156"/>
  <c r="I203" s="1"/>
  <c r="I153"/>
  <c r="N68" i="199"/>
  <c r="BB194" i="276"/>
  <c r="BB195" s="1"/>
  <c r="U52" i="248"/>
  <c r="BC160" i="277"/>
  <c r="BC189"/>
  <c r="BC104" s="1"/>
  <c r="BC101" i="276"/>
  <c r="BC130"/>
  <c r="DI71" i="260"/>
  <c r="BI71" i="256"/>
  <c r="BK52"/>
  <c r="BM52" s="1"/>
  <c r="BF194" i="276"/>
  <c r="BC122" i="280"/>
  <c r="BC129" i="279"/>
  <c r="H71" i="263"/>
  <c r="R23"/>
  <c r="I170" i="204"/>
  <c r="I142"/>
  <c r="I183" s="1"/>
  <c r="I144"/>
  <c r="I185" s="1"/>
  <c r="I143"/>
  <c r="I184" s="1"/>
  <c r="BM52" i="260"/>
  <c r="DI75" i="256"/>
  <c r="DI76" s="1"/>
  <c r="BF201" i="280"/>
  <c r="BF194" i="279"/>
  <c r="K9" i="201"/>
  <c r="BE41" i="276"/>
  <c r="BB61" i="277"/>
  <c r="BB33" i="276"/>
  <c r="BB114" i="277"/>
  <c r="BB55" i="279"/>
  <c r="BF114" i="277"/>
  <c r="BF55" i="276"/>
  <c r="BC197" i="277"/>
  <c r="V50" i="248"/>
  <c r="BQ50"/>
  <c r="K47" i="231"/>
  <c r="BF33" i="276"/>
  <c r="BI8" i="279"/>
  <c r="BI8" i="277"/>
  <c r="J7" i="231"/>
  <c r="BP50" i="248"/>
  <c r="BE69" i="277"/>
  <c r="J66" i="231"/>
  <c r="BE41" i="279"/>
  <c r="BB33"/>
  <c r="G47" i="231"/>
  <c r="BB55" i="276"/>
  <c r="BR50" i="248"/>
  <c r="BF55" i="279"/>
  <c r="BC138" i="276"/>
  <c r="BC138" i="279"/>
  <c r="H33" i="231"/>
  <c r="BF61" i="277"/>
  <c r="BF33" i="279"/>
  <c r="K9" i="228"/>
  <c r="BI8" i="276"/>
  <c r="BM59" i="262" l="1"/>
  <c r="X15" i="231"/>
  <c r="AT15" s="1"/>
  <c r="AI36"/>
  <c r="J67"/>
  <c r="DI50" i="248"/>
  <c r="BP51"/>
  <c r="BI9" i="277"/>
  <c r="BI21" s="1"/>
  <c r="BI9" i="276"/>
  <c r="BI21" s="1"/>
  <c r="BI8" i="280"/>
  <c r="BI9" i="279"/>
  <c r="K12" i="228"/>
  <c r="K23" s="1"/>
  <c r="BF35" i="276"/>
  <c r="BF255"/>
  <c r="BF131"/>
  <c r="BF132" s="1"/>
  <c r="BF35" i="279"/>
  <c r="BF131"/>
  <c r="BF41" i="280"/>
  <c r="BF252" i="279"/>
  <c r="Y28" i="231"/>
  <c r="AU28" s="1"/>
  <c r="BF63" i="277"/>
  <c r="BF314"/>
  <c r="BF190"/>
  <c r="BF191" s="1"/>
  <c r="BQ51" i="248"/>
  <c r="BQ52" s="1"/>
  <c r="BQ71" s="1"/>
  <c r="AG27" i="231"/>
  <c r="V51" i="248"/>
  <c r="AL50"/>
  <c r="BC145" i="280"/>
  <c r="BC150" i="279"/>
  <c r="BC157" i="280" s="1"/>
  <c r="BC209" i="277"/>
  <c r="BC150" i="276"/>
  <c r="BF264"/>
  <c r="BF260" i="279"/>
  <c r="BF323" i="277"/>
  <c r="BR51" i="248"/>
  <c r="BR52" s="1"/>
  <c r="BR71" s="1"/>
  <c r="BB260" i="279"/>
  <c r="BB264" i="276"/>
  <c r="BB323" i="277"/>
  <c r="U28" i="231"/>
  <c r="AQ28" s="1"/>
  <c r="BB35" i="276"/>
  <c r="BB131"/>
  <c r="BB132" s="1"/>
  <c r="BB255"/>
  <c r="BB35" i="279"/>
  <c r="BB131"/>
  <c r="BB41" i="280"/>
  <c r="BB252" i="279"/>
  <c r="BB63" i="277"/>
  <c r="BB190"/>
  <c r="BB191" s="1"/>
  <c r="BB314"/>
  <c r="BE378" i="279"/>
  <c r="BE381" s="1"/>
  <c r="BE43"/>
  <c r="BE65" s="1"/>
  <c r="BE49" i="280"/>
  <c r="BE335" i="279"/>
  <c r="BE337" s="1"/>
  <c r="BE348" s="1"/>
  <c r="BE351" s="1"/>
  <c r="BE259"/>
  <c r="BE43" i="276"/>
  <c r="BE65" s="1"/>
  <c r="BE335"/>
  <c r="BE337" s="1"/>
  <c r="BE348" s="1"/>
  <c r="BE378"/>
  <c r="BE262"/>
  <c r="X32" i="231"/>
  <c r="AI35"/>
  <c r="AT35" s="1"/>
  <c r="K28" i="201"/>
  <c r="BE394" i="277"/>
  <c r="BE396" s="1"/>
  <c r="BE407" s="1"/>
  <c r="BE410" s="1"/>
  <c r="BE412" s="1"/>
  <c r="BE71"/>
  <c r="BE321"/>
  <c r="I186" i="204"/>
  <c r="R71" i="263"/>
  <c r="T49"/>
  <c r="T71"/>
  <c r="T64"/>
  <c r="T58"/>
  <c r="AL23"/>
  <c r="BM23" s="1"/>
  <c r="U64" i="261"/>
  <c r="U66" s="1"/>
  <c r="U49" i="262"/>
  <c r="AL61"/>
  <c r="H85" i="203"/>
  <c r="H88"/>
  <c r="U64" i="248"/>
  <c r="U66" s="1"/>
  <c r="BK61" i="262"/>
  <c r="BJ68"/>
  <c r="BK68" s="1"/>
  <c r="BC136" i="280"/>
  <c r="BC101" i="279"/>
  <c r="BC108" i="280" s="1"/>
  <c r="BC130" i="279"/>
  <c r="BC137" i="280" s="1"/>
  <c r="M202" i="204"/>
  <c r="M153"/>
  <c r="M156"/>
  <c r="M203" s="1"/>
  <c r="U49" i="258"/>
  <c r="AL61"/>
  <c r="BJ68"/>
  <c r="BK68" s="1"/>
  <c r="BK61"/>
  <c r="I171" i="204"/>
  <c r="I175"/>
  <c r="BB195" i="279"/>
  <c r="BB203" i="280" s="1"/>
  <c r="BB202"/>
  <c r="BK71" i="260"/>
  <c r="BB104" i="280"/>
  <c r="BB64"/>
  <c r="BF202"/>
  <c r="BK71" i="256"/>
  <c r="M170" i="204"/>
  <c r="M144"/>
  <c r="M185" s="1"/>
  <c r="M143"/>
  <c r="M184" s="1"/>
  <c r="M142"/>
  <c r="M183" s="1"/>
  <c r="BG130" i="279"/>
  <c r="BG137" i="280" s="1"/>
  <c r="BG101" i="279"/>
  <c r="BG108" i="280" s="1"/>
  <c r="BG136"/>
  <c r="BG71" i="259"/>
  <c r="BM71" s="1"/>
  <c r="L88" i="203"/>
  <c r="L85"/>
  <c r="BF64" i="280"/>
  <c r="BF104"/>
  <c r="BI154" i="277"/>
  <c r="BI95" i="276"/>
  <c r="BG197" i="277"/>
  <c r="H35" i="231"/>
  <c r="V50" i="261"/>
  <c r="Y65" i="260"/>
  <c r="BR50" i="261"/>
  <c r="O9" i="228"/>
  <c r="N16" i="204"/>
  <c r="J16"/>
  <c r="BE163" i="277"/>
  <c r="BE104" i="279"/>
  <c r="BQ50" i="261"/>
  <c r="V65" i="256"/>
  <c r="BI95" i="279"/>
  <c r="BG138" i="276"/>
  <c r="BG138" i="279"/>
  <c r="BI50" i="248"/>
  <c r="L33" i="231"/>
  <c r="O15" i="199"/>
  <c r="V65" i="260"/>
  <c r="O15" i="204"/>
  <c r="Y65" i="256"/>
  <c r="BP50" i="261"/>
  <c r="BE104" i="276"/>
  <c r="BM61" i="258" l="1"/>
  <c r="BM61" i="262"/>
  <c r="BE69" i="279"/>
  <c r="BQ51" i="261"/>
  <c r="BQ52" s="1"/>
  <c r="BQ71" s="1"/>
  <c r="AL65" i="256"/>
  <c r="BM65" s="1"/>
  <c r="V67"/>
  <c r="BE111" i="280"/>
  <c r="DI50" i="261"/>
  <c r="BP51"/>
  <c r="J133" i="204"/>
  <c r="J135" s="1"/>
  <c r="Y66" i="256"/>
  <c r="Y67" s="1"/>
  <c r="Y68" s="1"/>
  <c r="Y71" s="1"/>
  <c r="N133" i="204"/>
  <c r="N135" s="1"/>
  <c r="O12" i="228"/>
  <c r="O23" s="1"/>
  <c r="AL65" i="260"/>
  <c r="BM65" s="1"/>
  <c r="V67"/>
  <c r="BR51" i="261"/>
  <c r="BR52" s="1"/>
  <c r="BR71" s="1"/>
  <c r="O53" i="199"/>
  <c r="O55" s="1"/>
  <c r="Y66" i="260"/>
  <c r="Y67" s="1"/>
  <c r="Y68" s="1"/>
  <c r="Y71" s="1"/>
  <c r="AK27" i="231"/>
  <c r="V51" i="261"/>
  <c r="AL50"/>
  <c r="BK50" i="248"/>
  <c r="BM50" s="1"/>
  <c r="BI51"/>
  <c r="AG30" i="231"/>
  <c r="AR30" s="1"/>
  <c r="V27"/>
  <c r="AR27" s="1"/>
  <c r="BG145" i="280"/>
  <c r="BG150" i="279"/>
  <c r="BG157" i="280" s="1"/>
  <c r="BG209" i="277"/>
  <c r="BG150" i="276"/>
  <c r="BI62" i="280"/>
  <c r="BI102"/>
  <c r="BE72"/>
  <c r="H92" i="203"/>
  <c r="M186" i="204"/>
  <c r="BE258" i="276"/>
  <c r="BE50"/>
  <c r="BB43" i="280"/>
  <c r="BB328" s="1"/>
  <c r="BF132" i="279"/>
  <c r="BF139" i="280" s="1"/>
  <c r="BF138"/>
  <c r="L92" i="203"/>
  <c r="BE317" i="277"/>
  <c r="BE78"/>
  <c r="BE97" s="1"/>
  <c r="BE254" i="279"/>
  <c r="BE258" s="1"/>
  <c r="BE51" i="280"/>
  <c r="BE50" i="279"/>
  <c r="BE57" s="1"/>
  <c r="BE91" s="1"/>
  <c r="BB327" i="280"/>
  <c r="BB334"/>
  <c r="BE387" i="276"/>
  <c r="BE386"/>
  <c r="BF43" i="280"/>
  <c r="BF328" s="1"/>
  <c r="AI32" i="231"/>
  <c r="AT32" s="1"/>
  <c r="X36"/>
  <c r="AT36" s="1"/>
  <c r="M171" i="204"/>
  <c r="M175" s="1"/>
  <c r="U67" i="248"/>
  <c r="AR66"/>
  <c r="AR66" i="261"/>
  <c r="U67"/>
  <c r="BE124" i="277"/>
  <c r="BB132" i="279"/>
  <c r="BB139" i="280" s="1"/>
  <c r="BB138"/>
  <c r="V52" i="248"/>
  <c r="AL51"/>
  <c r="BF327" i="280"/>
  <c r="BF334"/>
  <c r="BI21" i="279"/>
  <c r="BI9" i="280"/>
  <c r="DI51" i="248"/>
  <c r="BP52"/>
  <c r="BF75" i="276"/>
  <c r="L35" i="231"/>
  <c r="BC176" i="276"/>
  <c r="BC300"/>
  <c r="BC176" i="279"/>
  <c r="BC60"/>
  <c r="BC67" i="280"/>
  <c r="BB134" i="277"/>
  <c r="BB75" i="276"/>
  <c r="BI50" i="261"/>
  <c r="BC359" i="277"/>
  <c r="BC119"/>
  <c r="BB75" i="279"/>
  <c r="BF134" i="277"/>
  <c r="BF75" i="279"/>
  <c r="BC235" i="277"/>
  <c r="BC300" i="279"/>
  <c r="BC60" i="276"/>
  <c r="BE127" i="277" l="1"/>
  <c r="BB80" i="280"/>
  <c r="BC309" i="279"/>
  <c r="BC314"/>
  <c r="BC323" s="1"/>
  <c r="BC184" i="280"/>
  <c r="BC193" i="279"/>
  <c r="BC373" i="277"/>
  <c r="BC368"/>
  <c r="BC309" i="276"/>
  <c r="BC314"/>
  <c r="BC252" i="277"/>
  <c r="BC253" s="1"/>
  <c r="BC254" s="1"/>
  <c r="BC193" i="276"/>
  <c r="BK50" i="261"/>
  <c r="BI51"/>
  <c r="AK30" i="231"/>
  <c r="AV30" s="1"/>
  <c r="Z27"/>
  <c r="AV27" s="1"/>
  <c r="BF80" i="280"/>
  <c r="BE261" i="276"/>
  <c r="BE57"/>
  <c r="BE91" s="1"/>
  <c r="BE106" s="1"/>
  <c r="DI52" i="248"/>
  <c r="BP71"/>
  <c r="AR67" i="261"/>
  <c r="BE72" i="279"/>
  <c r="BE68"/>
  <c r="BE75" i="280" s="1"/>
  <c r="J136" i="204"/>
  <c r="J172" s="1"/>
  <c r="J169"/>
  <c r="J137"/>
  <c r="V68" i="256"/>
  <c r="AL67"/>
  <c r="V64" i="248"/>
  <c r="V63"/>
  <c r="AL52"/>
  <c r="DI74"/>
  <c r="AR67"/>
  <c r="BE96" i="280"/>
  <c r="BE106" i="279"/>
  <c r="BE113" i="280" s="1"/>
  <c r="BE68" i="276"/>
  <c r="BM50" i="261"/>
  <c r="AT66" i="260"/>
  <c r="AL66"/>
  <c r="V68"/>
  <c r="AL67"/>
  <c r="N169" i="204"/>
  <c r="N136"/>
  <c r="N172" s="1"/>
  <c r="DI51" i="261"/>
  <c r="BP52"/>
  <c r="BI21" i="280"/>
  <c r="BK51" i="248"/>
  <c r="BM51" s="1"/>
  <c r="BI52"/>
  <c r="O66" i="199"/>
  <c r="O57"/>
  <c r="O67" s="1"/>
  <c r="BI25" i="280"/>
  <c r="U68" i="261"/>
  <c r="U68" i="248"/>
  <c r="BE320" i="277"/>
  <c r="BE101"/>
  <c r="BE83"/>
  <c r="BE100"/>
  <c r="BE116"/>
  <c r="BE150" s="1"/>
  <c r="BE165" s="1"/>
  <c r="BE98"/>
  <c r="BE99"/>
  <c r="V52" i="261"/>
  <c r="AL51"/>
  <c r="AT66" i="256"/>
  <c r="AL66"/>
  <c r="I9" i="203"/>
  <c r="BG67" i="280"/>
  <c r="BG60" i="276"/>
  <c r="BC206" i="280"/>
  <c r="BC198" i="276"/>
  <c r="U59" i="263"/>
  <c r="BJ50" i="258"/>
  <c r="BG176" i="279"/>
  <c r="BG176" i="276"/>
  <c r="BG235" i="277"/>
  <c r="U50" i="258"/>
  <c r="U50" i="262"/>
  <c r="BI158" i="277"/>
  <c r="BI99" i="276"/>
  <c r="BD114" i="279"/>
  <c r="BD114" i="276"/>
  <c r="BH173" i="277"/>
  <c r="BH114" i="276"/>
  <c r="BH114" i="279"/>
  <c r="BG119" i="277"/>
  <c r="BG60" i="279"/>
  <c r="BC257" i="277"/>
  <c r="BC198" i="279"/>
  <c r="BJ50" i="262"/>
  <c r="N36" i="231"/>
  <c r="BG300" i="279"/>
  <c r="BG359" i="277"/>
  <c r="BG300" i="276"/>
  <c r="BJ59" i="263"/>
  <c r="I34" i="231"/>
  <c r="M34"/>
  <c r="BI99" i="279"/>
  <c r="BD173" i="277"/>
  <c r="BD363" i="279"/>
  <c r="BD363" i="276"/>
  <c r="BH363"/>
  <c r="BH363" i="279"/>
  <c r="N137" i="204" l="1"/>
  <c r="BH121" i="280"/>
  <c r="BH115" i="279"/>
  <c r="BH374"/>
  <c r="BH115" i="276"/>
  <c r="BH129" s="1"/>
  <c r="BH374"/>
  <c r="BH174" i="277"/>
  <c r="BH188" s="1"/>
  <c r="BD374" i="276"/>
  <c r="BD115"/>
  <c r="BD129" s="1"/>
  <c r="BD374" i="279"/>
  <c r="BD121" i="280"/>
  <c r="BD115" i="279"/>
  <c r="BD174" i="277"/>
  <c r="BD188" s="1"/>
  <c r="BI100" i="276"/>
  <c r="BI106" i="280"/>
  <c r="BI100" i="279"/>
  <c r="BI107" i="280" s="1"/>
  <c r="BI159" i="277"/>
  <c r="AL28" i="231"/>
  <c r="U51" i="262"/>
  <c r="AH28" i="231"/>
  <c r="U51" i="258"/>
  <c r="BK59" i="263"/>
  <c r="BJ61"/>
  <c r="BG252" i="277"/>
  <c r="BG253" s="1"/>
  <c r="BG309" i="276"/>
  <c r="BG314"/>
  <c r="BG193"/>
  <c r="BG373" i="277"/>
  <c r="BG368"/>
  <c r="BG193" i="279"/>
  <c r="BG184" i="280"/>
  <c r="BG314" i="279"/>
  <c r="BG323" s="1"/>
  <c r="BG309"/>
  <c r="BJ51" i="258"/>
  <c r="BJ52" s="1"/>
  <c r="BJ71" s="1"/>
  <c r="AM48" i="231"/>
  <c r="AX48" s="1"/>
  <c r="AL59" i="263"/>
  <c r="U61"/>
  <c r="BJ51" i="262"/>
  <c r="BJ52" s="1"/>
  <c r="BJ71" s="1"/>
  <c r="BC200" i="276"/>
  <c r="BC210" s="1"/>
  <c r="BC200" i="279"/>
  <c r="BC210" s="1"/>
  <c r="BC208" i="280"/>
  <c r="BC218" s="1"/>
  <c r="BC259" i="277"/>
  <c r="BC269" s="1"/>
  <c r="I54" i="203"/>
  <c r="DI52" i="261"/>
  <c r="BP71"/>
  <c r="AT67" i="260"/>
  <c r="BG66"/>
  <c r="BM66" s="1"/>
  <c r="AR68" i="261"/>
  <c r="BK51"/>
  <c r="BI52"/>
  <c r="BC201" i="280"/>
  <c r="BC194" i="279"/>
  <c r="AT67" i="256"/>
  <c r="BG66"/>
  <c r="BM66" s="1"/>
  <c r="U71" i="261"/>
  <c r="DI74"/>
  <c r="BM51"/>
  <c r="O68" i="199"/>
  <c r="BI27" i="280"/>
  <c r="BI29"/>
  <c r="BI30"/>
  <c r="BI28"/>
  <c r="BI26"/>
  <c r="BI59"/>
  <c r="AL68" i="260"/>
  <c r="V71"/>
  <c r="AR68" i="248"/>
  <c r="V71" i="256"/>
  <c r="AL68"/>
  <c r="DI71" i="248"/>
  <c r="BC194" i="276"/>
  <c r="BC195" s="1"/>
  <c r="V63" i="261"/>
  <c r="V64"/>
  <c r="AL52"/>
  <c r="U71" i="248"/>
  <c r="BI71"/>
  <c r="BK52"/>
  <c r="BM52" s="1"/>
  <c r="N139" i="204"/>
  <c r="N151"/>
  <c r="J139"/>
  <c r="J151"/>
  <c r="BD115" i="277"/>
  <c r="BG96" i="276"/>
  <c r="BC96" i="279"/>
  <c r="BG257" i="277"/>
  <c r="M9" i="203"/>
  <c r="BB78" i="279"/>
  <c r="BD56"/>
  <c r="BG155" i="277"/>
  <c r="BG96" i="279"/>
  <c r="BC96" i="276"/>
  <c r="BH115" i="277"/>
  <c r="BH56" i="279"/>
  <c r="BG206" i="280"/>
  <c r="BG198" i="279"/>
  <c r="BC114" i="277"/>
  <c r="BC55" i="276"/>
  <c r="BB78"/>
  <c r="BF137" i="277"/>
  <c r="BF78" i="276"/>
  <c r="BD56"/>
  <c r="BC155" i="277"/>
  <c r="BH56" i="276"/>
  <c r="BG198"/>
  <c r="BC55" i="279"/>
  <c r="BB137" i="277"/>
  <c r="BF78" i="279"/>
  <c r="BF89" i="276" l="1"/>
  <c r="BF83" i="280"/>
  <c r="BF89" i="279"/>
  <c r="BF94" i="280" s="1"/>
  <c r="BF148" i="277"/>
  <c r="BB83" i="280"/>
  <c r="BB89" i="279"/>
  <c r="BB94" i="280" s="1"/>
  <c r="BB89" i="276"/>
  <c r="BB148" i="277"/>
  <c r="BC264" i="276"/>
  <c r="BC260" i="279"/>
  <c r="BC323" i="277"/>
  <c r="M54" i="203"/>
  <c r="BG200" i="279"/>
  <c r="BG210" s="1"/>
  <c r="BG200" i="276"/>
  <c r="BG210" s="1"/>
  <c r="BG208" i="280"/>
  <c r="BG218" s="1"/>
  <c r="BG259" i="277"/>
  <c r="BG269" s="1"/>
  <c r="BC103" i="280"/>
  <c r="BC63"/>
  <c r="BC336" s="1"/>
  <c r="BC97" i="279"/>
  <c r="BC97" i="276"/>
  <c r="BC156" i="277"/>
  <c r="BG63" i="280"/>
  <c r="BG336" s="1"/>
  <c r="BG103"/>
  <c r="BG97" i="279"/>
  <c r="BG97" i="276"/>
  <c r="BG156" i="277"/>
  <c r="J170" i="204"/>
  <c r="J144"/>
  <c r="J185" s="1"/>
  <c r="J143"/>
  <c r="J184" s="1"/>
  <c r="J142"/>
  <c r="J183" s="1"/>
  <c r="N170"/>
  <c r="N142"/>
  <c r="N183" s="1"/>
  <c r="N144"/>
  <c r="N185" s="1"/>
  <c r="N143"/>
  <c r="N184" s="1"/>
  <c r="AL71" i="260"/>
  <c r="AT68"/>
  <c r="BG67"/>
  <c r="BM67" s="1"/>
  <c r="BM59" i="263"/>
  <c r="BD160" i="277"/>
  <c r="BD189"/>
  <c r="BD104" s="1"/>
  <c r="BD101" i="276"/>
  <c r="BD130"/>
  <c r="BH101"/>
  <c r="BH130"/>
  <c r="AL71" i="256"/>
  <c r="AR71" i="261"/>
  <c r="I88" i="203"/>
  <c r="I85"/>
  <c r="U52" i="258"/>
  <c r="U52" i="262"/>
  <c r="BD129" i="279"/>
  <c r="BD122" i="280"/>
  <c r="BK71" i="248"/>
  <c r="AT68" i="256"/>
  <c r="BG67"/>
  <c r="BM67" s="1"/>
  <c r="BK52" i="261"/>
  <c r="BM52" s="1"/>
  <c r="BI71"/>
  <c r="DI71"/>
  <c r="BG194" i="276"/>
  <c r="BJ68" i="263"/>
  <c r="BK68" s="1"/>
  <c r="BK61"/>
  <c r="BH189" i="277"/>
  <c r="BH160"/>
  <c r="E95"/>
  <c r="BH129" i="279"/>
  <c r="BH122" i="280"/>
  <c r="J156" i="204"/>
  <c r="J203" s="1"/>
  <c r="J202"/>
  <c r="J153"/>
  <c r="K153"/>
  <c r="N153"/>
  <c r="N202"/>
  <c r="N156"/>
  <c r="N203" s="1"/>
  <c r="DI75" i="248"/>
  <c r="DI76" s="1"/>
  <c r="AR71"/>
  <c r="DI75" i="261"/>
  <c r="DI76" s="1"/>
  <c r="BC202" i="280"/>
  <c r="BC195" i="279"/>
  <c r="BC203" i="280" s="1"/>
  <c r="U49" i="263"/>
  <c r="AL61"/>
  <c r="BG201" i="280"/>
  <c r="BG194" i="279"/>
  <c r="BR50" i="262"/>
  <c r="BG55" i="279"/>
  <c r="L9" i="228"/>
  <c r="V50" i="262"/>
  <c r="P9" i="228"/>
  <c r="BQ50" i="262"/>
  <c r="L47" i="231"/>
  <c r="BG33" i="279"/>
  <c r="BD138" i="276"/>
  <c r="BH138"/>
  <c r="BH138" i="279"/>
  <c r="BC33"/>
  <c r="H47" i="231"/>
  <c r="BR50" i="258"/>
  <c r="BQ50"/>
  <c r="BG114" i="277"/>
  <c r="BG55" i="276"/>
  <c r="O16" i="204"/>
  <c r="M33" i="231"/>
  <c r="BP50" i="258"/>
  <c r="BG61" i="277"/>
  <c r="BG33" i="276"/>
  <c r="BD197" i="277"/>
  <c r="BD138" i="279"/>
  <c r="BH197" i="277"/>
  <c r="BC61"/>
  <c r="BC33" i="276"/>
  <c r="V50" i="258"/>
  <c r="Y65" i="248"/>
  <c r="BP50" i="262"/>
  <c r="I33" i="231"/>
  <c r="V65" i="248"/>
  <c r="BM61" i="263" l="1"/>
  <c r="V67" i="248"/>
  <c r="AL65"/>
  <c r="BM65" s="1"/>
  <c r="DI50" i="262"/>
  <c r="BP51"/>
  <c r="BR51" i="258"/>
  <c r="BR52" s="1"/>
  <c r="BR71" s="1"/>
  <c r="Y66" i="248"/>
  <c r="Y67" s="1"/>
  <c r="Y68" s="1"/>
  <c r="Y71" s="1"/>
  <c r="AH27" i="231"/>
  <c r="V51" i="258"/>
  <c r="AL50"/>
  <c r="V28" i="231"/>
  <c r="AR28" s="1"/>
  <c r="BC35" i="276"/>
  <c r="BC131"/>
  <c r="BC132" s="1"/>
  <c r="BC255"/>
  <c r="BC35" i="279"/>
  <c r="BC252"/>
  <c r="BC131"/>
  <c r="BC41" i="280"/>
  <c r="BC63" i="277"/>
  <c r="BC314"/>
  <c r="BC190"/>
  <c r="BC191" s="1"/>
  <c r="BH145" i="280"/>
  <c r="BH150" i="279"/>
  <c r="BH157" i="280" s="1"/>
  <c r="BH209" i="277"/>
  <c r="BH150" i="276"/>
  <c r="BD145" i="280"/>
  <c r="BD150" i="279"/>
  <c r="BD157" i="280" s="1"/>
  <c r="BD150" i="276"/>
  <c r="BD209" i="277"/>
  <c r="BG35" i="279"/>
  <c r="BG41" i="280"/>
  <c r="BG252" i="279"/>
  <c r="BG131"/>
  <c r="BG131" i="276"/>
  <c r="BG132" s="1"/>
  <c r="BG35"/>
  <c r="BG255"/>
  <c r="Z28" i="231"/>
  <c r="AV28" s="1"/>
  <c r="BG314" i="277"/>
  <c r="BG190"/>
  <c r="BG191" s="1"/>
  <c r="BG63"/>
  <c r="BQ51" i="262"/>
  <c r="BQ52" s="1"/>
  <c r="BQ71" s="1"/>
  <c r="DI50" i="258"/>
  <c r="BP51"/>
  <c r="P12" i="228"/>
  <c r="AL27" i="231"/>
  <c r="V51" i="262"/>
  <c r="AL50"/>
  <c r="O133" i="204"/>
  <c r="O135" s="1"/>
  <c r="L12" i="228"/>
  <c r="L23" s="1"/>
  <c r="BG264" i="276"/>
  <c r="BG260" i="279"/>
  <c r="BG323" i="277"/>
  <c r="BR51" i="262"/>
  <c r="BR52" s="1"/>
  <c r="BR71" s="1"/>
  <c r="BQ51" i="258"/>
  <c r="BQ52" s="1"/>
  <c r="BQ71" s="1"/>
  <c r="U64"/>
  <c r="U66" s="1"/>
  <c r="BH104" i="277"/>
  <c r="F104" s="1"/>
  <c r="BA419"/>
  <c r="I92" i="203"/>
  <c r="N186" i="204"/>
  <c r="BG104" i="280"/>
  <c r="BG64"/>
  <c r="M88" i="203"/>
  <c r="M85"/>
  <c r="J171" i="204"/>
  <c r="J175" s="1"/>
  <c r="AT71" i="256"/>
  <c r="BG68"/>
  <c r="BM68" s="1"/>
  <c r="BD130" i="279"/>
  <c r="BD137" i="280" s="1"/>
  <c r="BD101" i="279"/>
  <c r="BD108" i="280" s="1"/>
  <c r="BD136"/>
  <c r="J186" i="204"/>
  <c r="BH101" i="279"/>
  <c r="BH108" i="280" s="1"/>
  <c r="BH136"/>
  <c r="BH130" i="279"/>
  <c r="BH137" i="280" s="1"/>
  <c r="N171" i="204"/>
  <c r="N175" s="1"/>
  <c r="BC104" i="280"/>
  <c r="BC64"/>
  <c r="BG202"/>
  <c r="BK71" i="261"/>
  <c r="U64" i="262"/>
  <c r="U66" s="1"/>
  <c r="AT71" i="260"/>
  <c r="BG68"/>
  <c r="BM68" s="1"/>
  <c r="V65" i="261"/>
  <c r="G66" i="231"/>
  <c r="BB41" i="279"/>
  <c r="BC134" i="277"/>
  <c r="BC75" i="276"/>
  <c r="BI50" i="258"/>
  <c r="BF69" i="277"/>
  <c r="BF41" i="276"/>
  <c r="Y65" i="261"/>
  <c r="BI50" i="262"/>
  <c r="H9" i="201"/>
  <c r="BB41" i="276"/>
  <c r="I35" i="231"/>
  <c r="BF41" i="279"/>
  <c r="G7" i="231"/>
  <c r="BB69" i="277"/>
  <c r="BC75" i="279"/>
  <c r="L9" i="201"/>
  <c r="K7" i="231" s="1"/>
  <c r="K66"/>
  <c r="M35"/>
  <c r="K67" l="1"/>
  <c r="AJ36"/>
  <c r="Y15"/>
  <c r="AU15" s="1"/>
  <c r="U15"/>
  <c r="AQ15" s="1"/>
  <c r="G67"/>
  <c r="AF36"/>
  <c r="BK50" i="262"/>
  <c r="BM50" s="1"/>
  <c r="BI51"/>
  <c r="AL30" i="231"/>
  <c r="AW30" s="1"/>
  <c r="AA27"/>
  <c r="AW27" s="1"/>
  <c r="Y66" i="261"/>
  <c r="Y67" s="1"/>
  <c r="Y68" s="1"/>
  <c r="Y71" s="1"/>
  <c r="BF43" i="279"/>
  <c r="BF69" s="1"/>
  <c r="BF378"/>
  <c r="BF381" s="1"/>
  <c r="BF335"/>
  <c r="BF337" s="1"/>
  <c r="BF348" s="1"/>
  <c r="BF351" s="1"/>
  <c r="BF49" i="280"/>
  <c r="BF259" i="279"/>
  <c r="BF43" i="276"/>
  <c r="BF65" s="1"/>
  <c r="BF378"/>
  <c r="BF335"/>
  <c r="BF337" s="1"/>
  <c r="BF348" s="1"/>
  <c r="BF262"/>
  <c r="Y32" i="231"/>
  <c r="AJ35"/>
  <c r="AU35" s="1"/>
  <c r="BF71" i="277"/>
  <c r="BF124" s="1"/>
  <c r="BF394"/>
  <c r="BF396" s="1"/>
  <c r="BF407" s="1"/>
  <c r="BF410" s="1"/>
  <c r="BF412" s="1"/>
  <c r="BF321"/>
  <c r="L28" i="201"/>
  <c r="BK50" i="258"/>
  <c r="BM50" s="1"/>
  <c r="BI51"/>
  <c r="AH30" i="231"/>
  <c r="AS30" s="1"/>
  <c r="W27"/>
  <c r="AS27" s="1"/>
  <c r="BC80" i="280"/>
  <c r="BB335" i="276"/>
  <c r="BB337" s="1"/>
  <c r="BB348" s="1"/>
  <c r="BB43"/>
  <c r="BB65" s="1"/>
  <c r="BB378"/>
  <c r="BB262"/>
  <c r="BB43" i="279"/>
  <c r="BB69" s="1"/>
  <c r="BB378"/>
  <c r="BB381" s="1"/>
  <c r="BB335"/>
  <c r="BB337" s="1"/>
  <c r="BB348" s="1"/>
  <c r="BB351" s="1"/>
  <c r="BB49" i="280"/>
  <c r="BB259" i="279"/>
  <c r="H28" i="201"/>
  <c r="U32" i="231"/>
  <c r="AF35"/>
  <c r="AQ35" s="1"/>
  <c r="BB71" i="277"/>
  <c r="BB124" s="1"/>
  <c r="BB394"/>
  <c r="BB396" s="1"/>
  <c r="BB407" s="1"/>
  <c r="BB410" s="1"/>
  <c r="BB412" s="1"/>
  <c r="BB321"/>
  <c r="AL65" i="261"/>
  <c r="BM65" s="1"/>
  <c r="V67"/>
  <c r="V52" i="262"/>
  <c r="AL51"/>
  <c r="DI51" i="258"/>
  <c r="BP52"/>
  <c r="BG327" i="280"/>
  <c r="BG334"/>
  <c r="DI51" i="262"/>
  <c r="BP52"/>
  <c r="BG132" i="279"/>
  <c r="BG139" i="280" s="1"/>
  <c r="BG138"/>
  <c r="BG43"/>
  <c r="BG328" s="1"/>
  <c r="AT66" i="248"/>
  <c r="AL66"/>
  <c r="BG71" i="260"/>
  <c r="BM71" s="1"/>
  <c r="O169" i="204"/>
  <c r="O136"/>
  <c r="O172" s="1"/>
  <c r="BC327" i="280"/>
  <c r="BC334"/>
  <c r="BC43"/>
  <c r="BC328" s="1"/>
  <c r="V52" i="258"/>
  <c r="AL51"/>
  <c r="U67" i="262"/>
  <c r="AR66"/>
  <c r="BG71" i="256"/>
  <c r="BM71" s="1"/>
  <c r="M92" i="203"/>
  <c r="U67" i="258"/>
  <c r="AR66"/>
  <c r="K37" i="228"/>
  <c r="P23"/>
  <c r="BC132" i="279"/>
  <c r="BC139" i="280" s="1"/>
  <c r="BC138"/>
  <c r="V68" i="248"/>
  <c r="AL67"/>
  <c r="BH119" i="277"/>
  <c r="BH60" i="279"/>
  <c r="BH176"/>
  <c r="BH359" i="277"/>
  <c r="BH300" i="276"/>
  <c r="N34" i="231"/>
  <c r="BD67" i="280"/>
  <c r="BD60" i="279"/>
  <c r="BD300" i="276"/>
  <c r="BD359" i="277"/>
  <c r="BD176" i="279"/>
  <c r="BJ50" i="263"/>
  <c r="BB104" i="279"/>
  <c r="BF163" i="277"/>
  <c r="BG75" i="276"/>
  <c r="BH67" i="280"/>
  <c r="BH60" i="276"/>
  <c r="BH300" i="279"/>
  <c r="BH235" i="277"/>
  <c r="BH176" i="276"/>
  <c r="U50" i="263"/>
  <c r="BI363" i="276" s="1"/>
  <c r="BD119" i="277"/>
  <c r="BD60" i="276"/>
  <c r="BD235" i="277"/>
  <c r="BD176" i="276"/>
  <c r="BD300" i="279"/>
  <c r="BB163" i="277"/>
  <c r="BB104" i="276"/>
  <c r="BF104"/>
  <c r="BG134" i="277"/>
  <c r="BG75" i="279"/>
  <c r="BI114" i="276"/>
  <c r="BI363" i="279"/>
  <c r="BF104"/>
  <c r="BI173" i="277"/>
  <c r="BI114" i="279"/>
  <c r="BF65" l="1"/>
  <c r="BB65"/>
  <c r="BB72" i="280" s="1"/>
  <c r="BI121"/>
  <c r="BI115" i="279"/>
  <c r="BI374"/>
  <c r="BI374" i="276"/>
  <c r="BI115"/>
  <c r="BI129" s="1"/>
  <c r="BI174" i="277"/>
  <c r="BI188" s="1"/>
  <c r="BG80" i="280"/>
  <c r="BF111"/>
  <c r="BB111"/>
  <c r="BJ51" i="263"/>
  <c r="BJ52" s="1"/>
  <c r="BJ71" s="1"/>
  <c r="BD309" i="279"/>
  <c r="BD314"/>
  <c r="BD323" s="1"/>
  <c r="BD193"/>
  <c r="BD184" i="280"/>
  <c r="BD193" i="276"/>
  <c r="BD373" i="277"/>
  <c r="BD368"/>
  <c r="BD252"/>
  <c r="BD253" s="1"/>
  <c r="BD254" s="1"/>
  <c r="BE254" s="1"/>
  <c r="BF254" s="1"/>
  <c r="BG254" s="1"/>
  <c r="BD314" i="276"/>
  <c r="BD309"/>
  <c r="U51" i="263"/>
  <c r="AM28" i="231"/>
  <c r="BH193" i="276"/>
  <c r="BH314"/>
  <c r="BH309"/>
  <c r="BH252" i="277"/>
  <c r="BH253" s="1"/>
  <c r="BH373"/>
  <c r="BH368"/>
  <c r="BH309" i="279"/>
  <c r="BH314"/>
  <c r="BH323" s="1"/>
  <c r="BH184" i="280"/>
  <c r="BB164" s="1"/>
  <c r="BH193" i="279"/>
  <c r="U68" i="258"/>
  <c r="DI52" i="262"/>
  <c r="BP71"/>
  <c r="U68"/>
  <c r="DI52" i="258"/>
  <c r="BP71"/>
  <c r="V68" i="261"/>
  <c r="AL67"/>
  <c r="BF258" i="276"/>
  <c r="BF50"/>
  <c r="BF68" s="1"/>
  <c r="BI52" i="262"/>
  <c r="BK51"/>
  <c r="BM51" s="1"/>
  <c r="BB258" i="276"/>
  <c r="BB50"/>
  <c r="BB68" s="1"/>
  <c r="V71" i="248"/>
  <c r="AL68"/>
  <c r="AR67" i="258"/>
  <c r="DI74"/>
  <c r="BB317" i="277"/>
  <c r="BB78"/>
  <c r="BB127" s="1"/>
  <c r="BB387" i="276"/>
  <c r="BB386"/>
  <c r="BF317" i="277"/>
  <c r="BF78"/>
  <c r="BF127" s="1"/>
  <c r="BF72" i="280"/>
  <c r="AT66" i="261"/>
  <c r="AL66"/>
  <c r="V64" i="258"/>
  <c r="V63"/>
  <c r="AL52"/>
  <c r="AT67" i="248"/>
  <c r="BG66"/>
  <c r="BM66" s="1"/>
  <c r="L37" i="228"/>
  <c r="K40"/>
  <c r="AR67" i="262"/>
  <c r="O137" i="204"/>
  <c r="DI74" i="262"/>
  <c r="V63"/>
  <c r="V64"/>
  <c r="AL52"/>
  <c r="BB254" i="279"/>
  <c r="BB258" s="1"/>
  <c r="BB51" i="280"/>
  <c r="BB50" i="279"/>
  <c r="BB57" s="1"/>
  <c r="BB91" s="1"/>
  <c r="BI52" i="258"/>
  <c r="BK51"/>
  <c r="BM51" s="1"/>
  <c r="BF387" i="276"/>
  <c r="BF386"/>
  <c r="BF254" i="279"/>
  <c r="BF258" s="1"/>
  <c r="BF51" i="280"/>
  <c r="BF50" i="279"/>
  <c r="BF57" s="1"/>
  <c r="BF91" s="1"/>
  <c r="U36" i="231"/>
  <c r="AQ36" s="1"/>
  <c r="AF32"/>
  <c r="AQ32" s="1"/>
  <c r="AJ32"/>
  <c r="AU32" s="1"/>
  <c r="Y36"/>
  <c r="AU36" s="1"/>
  <c r="BI56" i="276"/>
  <c r="J9" i="203"/>
  <c r="BC137" i="277"/>
  <c r="BC78" i="276"/>
  <c r="BH206" i="280"/>
  <c r="BH198" i="276"/>
  <c r="BD206" i="280"/>
  <c r="BD198" i="276"/>
  <c r="BI56" i="279"/>
  <c r="BI115" i="277"/>
  <c r="N9" i="203"/>
  <c r="BC78" i="279"/>
  <c r="BH257" i="277"/>
  <c r="BH198" i="279"/>
  <c r="BD257" i="277"/>
  <c r="BD198" i="279"/>
  <c r="BB97" i="277" l="1"/>
  <c r="BD200" i="276"/>
  <c r="BD210" s="1"/>
  <c r="BD200" i="279"/>
  <c r="BD210" s="1"/>
  <c r="BD208" i="280"/>
  <c r="BD218" s="1"/>
  <c r="BD259" i="277"/>
  <c r="BD269" s="1"/>
  <c r="BH200" i="276"/>
  <c r="BH210" s="1"/>
  <c r="BH200" i="279"/>
  <c r="BH210" s="1"/>
  <c r="BH208" i="280"/>
  <c r="BH218" s="1"/>
  <c r="BH259" i="277"/>
  <c r="BH269" s="1"/>
  <c r="BC89" i="276"/>
  <c r="BC83" i="280"/>
  <c r="BC89" i="279"/>
  <c r="BC94" i="280" s="1"/>
  <c r="BC148" i="277"/>
  <c r="N54" i="203"/>
  <c r="J54"/>
  <c r="BI71" i="258"/>
  <c r="BK52"/>
  <c r="BM52" s="1"/>
  <c r="L40" i="228"/>
  <c r="K42"/>
  <c r="BG419" i="277" s="1"/>
  <c r="BF68" i="279"/>
  <c r="BF75" i="280" s="1"/>
  <c r="BB101" i="277"/>
  <c r="BB100"/>
  <c r="BB83"/>
  <c r="BB320"/>
  <c r="BB116"/>
  <c r="BB150" s="1"/>
  <c r="BB165" s="1"/>
  <c r="BB99"/>
  <c r="BB98"/>
  <c r="BF261" i="276"/>
  <c r="BF57"/>
  <c r="BF91" s="1"/>
  <c r="BF106" s="1"/>
  <c r="DI71" i="258"/>
  <c r="DI71" i="262"/>
  <c r="BD164" i="280"/>
  <c r="BB172"/>
  <c r="BD172" s="1"/>
  <c r="BH194" i="276"/>
  <c r="BE194" i="279"/>
  <c r="BD201" i="280"/>
  <c r="BD194" i="279"/>
  <c r="BF96" i="280"/>
  <c r="BF106" i="279"/>
  <c r="BF113" i="280" s="1"/>
  <c r="O151" i="204"/>
  <c r="O139"/>
  <c r="AL71" i="248"/>
  <c r="AR68" i="262"/>
  <c r="AT67" i="261"/>
  <c r="BG66"/>
  <c r="BM66" s="1"/>
  <c r="AR68" i="258"/>
  <c r="BI71" i="262"/>
  <c r="BK52"/>
  <c r="BM52" s="1"/>
  <c r="U71"/>
  <c r="U71" i="258"/>
  <c r="BB72" i="279"/>
  <c r="BE194" i="276"/>
  <c r="BD194"/>
  <c r="BD195" s="1"/>
  <c r="BI189" i="277"/>
  <c r="BI160"/>
  <c r="BK188"/>
  <c r="BI122" i="280"/>
  <c r="BI129" i="279"/>
  <c r="BB96" i="280"/>
  <c r="BB106" i="279"/>
  <c r="BB113" i="280" s="1"/>
  <c r="BF116" i="277"/>
  <c r="BF150" s="1"/>
  <c r="BF165" s="1"/>
  <c r="BF320"/>
  <c r="BF83"/>
  <c r="BF101"/>
  <c r="BF100"/>
  <c r="BF98"/>
  <c r="BF99"/>
  <c r="BH254"/>
  <c r="BF419"/>
  <c r="AT68" i="248"/>
  <c r="BG67"/>
  <c r="BM67" s="1"/>
  <c r="BF97" i="277"/>
  <c r="BB68" i="279"/>
  <c r="BB75" i="280" s="1"/>
  <c r="BB57" i="276"/>
  <c r="BB91" s="1"/>
  <c r="BB106" s="1"/>
  <c r="BB261"/>
  <c r="BF72" i="279"/>
  <c r="AL68" i="261"/>
  <c r="V71"/>
  <c r="BH201" i="280"/>
  <c r="BH194" i="279"/>
  <c r="U52" i="263"/>
  <c r="BK129" i="276"/>
  <c r="BI101"/>
  <c r="BI130"/>
  <c r="BD96"/>
  <c r="BG137" i="277"/>
  <c r="BG78" i="279"/>
  <c r="BH55"/>
  <c r="BH155" i="277"/>
  <c r="BH96" i="276"/>
  <c r="BD55"/>
  <c r="BD155" i="277"/>
  <c r="BD96" i="279"/>
  <c r="BG78" i="276"/>
  <c r="BH114" i="277"/>
  <c r="BH55" i="276"/>
  <c r="BH96" i="279"/>
  <c r="BD114" i="277"/>
  <c r="BD55" i="279"/>
  <c r="BD260" l="1"/>
  <c r="BD264" i="276"/>
  <c r="BD323" i="277"/>
  <c r="BH97" i="276"/>
  <c r="BH63" i="280"/>
  <c r="BH336" s="1"/>
  <c r="BH103"/>
  <c r="BH97" i="279"/>
  <c r="BH156" i="277"/>
  <c r="BH264" i="276"/>
  <c r="BH260" i="279"/>
  <c r="BH323" i="277"/>
  <c r="BG83" i="280"/>
  <c r="BG89" i="279"/>
  <c r="BG94" i="280" s="1"/>
  <c r="BG89" i="276"/>
  <c r="BG148" i="277"/>
  <c r="BD63" i="280"/>
  <c r="BD336" s="1"/>
  <c r="BD103"/>
  <c r="BD97" i="279"/>
  <c r="BD97" i="276"/>
  <c r="BD156" i="277"/>
  <c r="BK71" i="258"/>
  <c r="U64" i="263"/>
  <c r="U66" s="1"/>
  <c r="BE195" i="276"/>
  <c r="BF195" s="1"/>
  <c r="BG195" s="1"/>
  <c r="BH195" s="1"/>
  <c r="DI75" i="262"/>
  <c r="DI76" s="1"/>
  <c r="BK71"/>
  <c r="AT68" i="261"/>
  <c r="BG67"/>
  <c r="BM67" s="1"/>
  <c r="BE202" i="280"/>
  <c r="AL71" i="261"/>
  <c r="AR71" i="258"/>
  <c r="AR71" i="262"/>
  <c r="J85" i="203"/>
  <c r="J88"/>
  <c r="O153" i="204"/>
  <c r="O156"/>
  <c r="O203" s="1"/>
  <c r="O202"/>
  <c r="BH202" i="280"/>
  <c r="AT71" i="248"/>
  <c r="BG68"/>
  <c r="BM68" s="1"/>
  <c r="BK129" i="279"/>
  <c r="BI136" i="280"/>
  <c r="BK136" s="1"/>
  <c r="BI101" i="279"/>
  <c r="BI108" i="280" s="1"/>
  <c r="BI130" i="279"/>
  <c r="BI137" i="280" s="1"/>
  <c r="DI75" i="258"/>
  <c r="DI76" s="1"/>
  <c r="O144" i="204"/>
  <c r="O185" s="1"/>
  <c r="O142"/>
  <c r="O183" s="1"/>
  <c r="O170"/>
  <c r="O143"/>
  <c r="O184" s="1"/>
  <c r="BD195" i="279"/>
  <c r="BD203" i="280" s="1"/>
  <c r="BD202"/>
  <c r="N88" i="203"/>
  <c r="N85"/>
  <c r="BP50" i="263"/>
  <c r="BQ50"/>
  <c r="M47" i="231"/>
  <c r="BH33" i="276"/>
  <c r="N33" i="231"/>
  <c r="V65" i="262"/>
  <c r="BD33" i="276"/>
  <c r="I47" i="231"/>
  <c r="BI138" i="276"/>
  <c r="BI138" i="279"/>
  <c r="H66" i="231"/>
  <c r="BC41" i="276"/>
  <c r="Y65" i="258"/>
  <c r="Q9" i="228"/>
  <c r="BH61" i="277"/>
  <c r="BH33" i="279"/>
  <c r="V50" i="263"/>
  <c r="Y65" i="262"/>
  <c r="BD61" i="277"/>
  <c r="BD33" i="279"/>
  <c r="V65" i="258"/>
  <c r="BI197" i="277"/>
  <c r="BC69"/>
  <c r="I9" i="201"/>
  <c r="BC41" i="279"/>
  <c r="H7" i="231"/>
  <c r="BR50" i="263"/>
  <c r="V15" i="231" l="1"/>
  <c r="AR15" s="1"/>
  <c r="H67"/>
  <c r="AG36"/>
  <c r="BR51" i="263"/>
  <c r="BR52" s="1"/>
  <c r="BR71" s="1"/>
  <c r="BC49" i="280"/>
  <c r="BC43" i="279"/>
  <c r="BC69" s="1"/>
  <c r="BC335"/>
  <c r="BC337" s="1"/>
  <c r="BC348" s="1"/>
  <c r="BC351" s="1"/>
  <c r="BC378"/>
  <c r="BC381" s="1"/>
  <c r="BC259"/>
  <c r="BC378" i="276"/>
  <c r="BC43"/>
  <c r="BC65" s="1"/>
  <c r="BC335"/>
  <c r="BC337" s="1"/>
  <c r="BC348" s="1"/>
  <c r="BC262"/>
  <c r="I28" i="201"/>
  <c r="V32" i="231"/>
  <c r="AG35"/>
  <c r="AR35" s="1"/>
  <c r="BC394" i="277"/>
  <c r="BC396" s="1"/>
  <c r="BC407" s="1"/>
  <c r="BC410" s="1"/>
  <c r="BC412" s="1"/>
  <c r="BC71"/>
  <c r="BC124" s="1"/>
  <c r="BC321"/>
  <c r="BI145" i="280"/>
  <c r="BI150" i="279"/>
  <c r="BI157" i="280" s="1"/>
  <c r="BI209" i="277"/>
  <c r="BI150" i="276"/>
  <c r="AL65" i="258"/>
  <c r="BM65" s="1"/>
  <c r="V67"/>
  <c r="W28" i="231"/>
  <c r="AS28" s="1"/>
  <c r="BD35" i="279"/>
  <c r="BD252"/>
  <c r="BD131"/>
  <c r="BD41" i="280"/>
  <c r="BD35" i="276"/>
  <c r="BD131"/>
  <c r="BD132" s="1"/>
  <c r="BD255"/>
  <c r="BD63" i="277"/>
  <c r="BD190"/>
  <c r="BD191" s="1"/>
  <c r="BD314"/>
  <c r="AL65" i="262"/>
  <c r="BM65" s="1"/>
  <c r="V67"/>
  <c r="Y66"/>
  <c r="Y67" s="1"/>
  <c r="Y68" s="1"/>
  <c r="Y71" s="1"/>
  <c r="AM27" i="231"/>
  <c r="V51" i="263"/>
  <c r="AL50"/>
  <c r="BH255" i="276"/>
  <c r="BH35"/>
  <c r="BH131"/>
  <c r="BH132" s="1"/>
  <c r="BH252" i="279"/>
  <c r="BH35"/>
  <c r="BH131"/>
  <c r="BH41" i="280"/>
  <c r="AA28" i="231"/>
  <c r="AW28" s="1"/>
  <c r="BH63" i="277"/>
  <c r="BH314"/>
  <c r="BH190"/>
  <c r="BH191" s="1"/>
  <c r="BQ51" i="263"/>
  <c r="BQ52" s="1"/>
  <c r="BQ71" s="1"/>
  <c r="Q12" i="228"/>
  <c r="Q23" s="1"/>
  <c r="DI50" i="263"/>
  <c r="BP51"/>
  <c r="Y66" i="258"/>
  <c r="Y67" s="1"/>
  <c r="Y68" s="1"/>
  <c r="Y71" s="1"/>
  <c r="BG71" i="248"/>
  <c r="BM71" s="1"/>
  <c r="J92" i="203"/>
  <c r="BE195" i="279"/>
  <c r="N92" i="203"/>
  <c r="U67" i="263"/>
  <c r="AR66"/>
  <c r="BH64" i="280"/>
  <c r="BH104"/>
  <c r="O171" i="204"/>
  <c r="O175" s="1"/>
  <c r="BD104" i="280"/>
  <c r="BD64"/>
  <c r="O186" i="204"/>
  <c r="AT71" i="261"/>
  <c r="BG68"/>
  <c r="BM68" s="1"/>
  <c r="BC104" i="279"/>
  <c r="M9" i="201"/>
  <c r="L66" i="231"/>
  <c r="BG41" i="276"/>
  <c r="BI50" i="263"/>
  <c r="BH75" i="279"/>
  <c r="BD134" i="277"/>
  <c r="BD75" i="279"/>
  <c r="BC163" i="277"/>
  <c r="BC104" i="276"/>
  <c r="BG69" i="277"/>
  <c r="BG41" i="279"/>
  <c r="N35" i="231"/>
  <c r="BH134" i="277"/>
  <c r="BH75" i="276"/>
  <c r="BD75"/>
  <c r="L7" i="231"/>
  <c r="BC65" i="279" l="1"/>
  <c r="L67" i="231"/>
  <c r="Z15"/>
  <c r="AV15" s="1"/>
  <c r="AK36"/>
  <c r="BD80" i="280"/>
  <c r="BH80"/>
  <c r="BK50" i="263"/>
  <c r="BI51"/>
  <c r="AM30" i="231"/>
  <c r="AX30" s="1"/>
  <c r="AB27"/>
  <c r="AX27" s="1"/>
  <c r="BG378" i="276"/>
  <c r="BG43"/>
  <c r="BG335"/>
  <c r="BG337" s="1"/>
  <c r="BG348" s="1"/>
  <c r="BG262"/>
  <c r="BG378" i="279"/>
  <c r="BG381" s="1"/>
  <c r="BG49" i="280"/>
  <c r="BG43" i="279"/>
  <c r="BG335"/>
  <c r="BG337" s="1"/>
  <c r="BG348" s="1"/>
  <c r="BG351" s="1"/>
  <c r="BG259"/>
  <c r="Z32" i="231"/>
  <c r="AK35"/>
  <c r="AV35" s="1"/>
  <c r="BG394" i="277"/>
  <c r="BG396" s="1"/>
  <c r="BG407" s="1"/>
  <c r="BG410" s="1"/>
  <c r="BG412" s="1"/>
  <c r="BG71"/>
  <c r="BG124" s="1"/>
  <c r="BG321"/>
  <c r="M28" i="201"/>
  <c r="BC111" i="280"/>
  <c r="DI51" i="263"/>
  <c r="BP52"/>
  <c r="BD132" i="279"/>
  <c r="BD139" i="280" s="1"/>
  <c r="BD138"/>
  <c r="AR67" i="263"/>
  <c r="BH132" i="279"/>
  <c r="BH139" i="280" s="1"/>
  <c r="BH138"/>
  <c r="BM50" i="263"/>
  <c r="AT66" i="262"/>
  <c r="AL66"/>
  <c r="BD334" i="280"/>
  <c r="BD327"/>
  <c r="BD43"/>
  <c r="BD328" s="1"/>
  <c r="BC387" i="276"/>
  <c r="BC386"/>
  <c r="BC72" i="280"/>
  <c r="BG71" i="261"/>
  <c r="BM71" s="1"/>
  <c r="U68" i="263"/>
  <c r="V68" i="262"/>
  <c r="AL67"/>
  <c r="BC51" i="280"/>
  <c r="BC254" i="279"/>
  <c r="BC258" s="1"/>
  <c r="BC50"/>
  <c r="BC57" s="1"/>
  <c r="BC91" s="1"/>
  <c r="AG32" i="231"/>
  <c r="AR32" s="1"/>
  <c r="V36"/>
  <c r="AR36" s="1"/>
  <c r="BH43" i="280"/>
  <c r="BH328" s="1"/>
  <c r="V52" i="263"/>
  <c r="AL51"/>
  <c r="BE203" i="280"/>
  <c r="BF195" i="279"/>
  <c r="AT66" i="258"/>
  <c r="AL66"/>
  <c r="BH327" i="280"/>
  <c r="BH334"/>
  <c r="V68" i="258"/>
  <c r="AL67"/>
  <c r="BC317" i="277"/>
  <c r="BC78"/>
  <c r="BC127" s="1"/>
  <c r="BC258" i="276"/>
  <c r="BC50"/>
  <c r="BI176"/>
  <c r="BI359" i="277"/>
  <c r="BI300" i="279"/>
  <c r="BG104" i="276"/>
  <c r="BI119" i="277"/>
  <c r="BI60" i="276"/>
  <c r="BI300"/>
  <c r="BI235" i="277"/>
  <c r="BI176" i="279"/>
  <c r="BG163" i="277"/>
  <c r="BG104" i="279"/>
  <c r="BI67" i="280"/>
  <c r="BI60" i="279"/>
  <c r="BG111" i="280" l="1"/>
  <c r="BI309" i="279"/>
  <c r="BI314"/>
  <c r="BI323" s="1"/>
  <c r="BI184" i="280"/>
  <c r="BI193" i="279"/>
  <c r="BI368" i="277"/>
  <c r="BI373"/>
  <c r="BI252"/>
  <c r="BI253" s="1"/>
  <c r="BI254" s="1"/>
  <c r="BI193" i="276"/>
  <c r="BI194" s="1"/>
  <c r="BI195" s="1"/>
  <c r="BI314"/>
  <c r="BI309"/>
  <c r="BC261"/>
  <c r="BC57"/>
  <c r="BC91" s="1"/>
  <c r="BC106" s="1"/>
  <c r="BC97" i="277"/>
  <c r="AT67" i="258"/>
  <c r="BG66"/>
  <c r="BM66" s="1"/>
  <c r="V64" i="263"/>
  <c r="V63"/>
  <c r="AL52"/>
  <c r="BC72" i="279"/>
  <c r="AR68" i="263"/>
  <c r="BG317" i="277"/>
  <c r="BG78"/>
  <c r="BG97" s="1"/>
  <c r="BG254" i="279"/>
  <c r="BG258" s="1"/>
  <c r="BG51" i="280"/>
  <c r="BG50" i="279"/>
  <c r="BG57" s="1"/>
  <c r="BG91" s="1"/>
  <c r="BG387" i="276"/>
  <c r="BG386"/>
  <c r="BF203" i="280"/>
  <c r="BG195" i="279"/>
  <c r="BC106"/>
  <c r="BC113" i="280" s="1"/>
  <c r="BC96"/>
  <c r="BC101" i="277"/>
  <c r="BC100"/>
  <c r="BC320"/>
  <c r="BC116"/>
  <c r="BC150" s="1"/>
  <c r="BC165" s="1"/>
  <c r="BC83"/>
  <c r="BC98"/>
  <c r="BC99"/>
  <c r="V71" i="258"/>
  <c r="AL68"/>
  <c r="BC68" i="276"/>
  <c r="BC68" i="279"/>
  <c r="BC75" i="280" s="1"/>
  <c r="DI52" i="263"/>
  <c r="BP71"/>
  <c r="BG258" i="276"/>
  <c r="BG50"/>
  <c r="V71" i="262"/>
  <c r="AL68"/>
  <c r="U71" i="263"/>
  <c r="AT67" i="262"/>
  <c r="BG66"/>
  <c r="BM66" s="1"/>
  <c r="DI74" i="263"/>
  <c r="BG65" i="279"/>
  <c r="BG69"/>
  <c r="BG65" i="276"/>
  <c r="BK51" i="263"/>
  <c r="BM51" s="1"/>
  <c r="BI52"/>
  <c r="AK32" i="231"/>
  <c r="AV32" s="1"/>
  <c r="Z36"/>
  <c r="AV36" s="1"/>
  <c r="O9" i="203"/>
  <c r="BD78" i="279"/>
  <c r="BI155" i="277"/>
  <c r="BI96" i="276"/>
  <c r="BH78"/>
  <c r="BI257" i="277"/>
  <c r="BI198" i="276"/>
  <c r="BD137" i="277"/>
  <c r="BD78" i="276"/>
  <c r="BI96" i="279"/>
  <c r="BH137" i="277"/>
  <c r="BH78" i="279"/>
  <c r="BI206" i="280"/>
  <c r="BI198" i="279"/>
  <c r="BG72" l="1"/>
  <c r="BG127" i="277"/>
  <c r="BG68" i="276"/>
  <c r="BI200" i="279"/>
  <c r="BI210" s="1"/>
  <c r="BI200" i="276"/>
  <c r="BI210" s="1"/>
  <c r="BI208" i="280"/>
  <c r="BI218" s="1"/>
  <c r="BI259" i="277"/>
  <c r="BI269" s="1"/>
  <c r="BH83" i="280"/>
  <c r="BH89" i="279"/>
  <c r="BH94" i="280" s="1"/>
  <c r="BH89" i="276"/>
  <c r="BH148" i="277"/>
  <c r="BI97" i="276"/>
  <c r="BI63" i="280"/>
  <c r="BI336" s="1"/>
  <c r="BI103"/>
  <c r="BI97" i="279"/>
  <c r="BI156" i="277"/>
  <c r="BD89" i="276"/>
  <c r="BD83" i="280"/>
  <c r="BD89" i="279"/>
  <c r="BD94" i="280" s="1"/>
  <c r="BD148" i="277"/>
  <c r="O54" i="203"/>
  <c r="DI71" i="263"/>
  <c r="AT68" i="258"/>
  <c r="BG67"/>
  <c r="BM67" s="1"/>
  <c r="AT68" i="262"/>
  <c r="BG67"/>
  <c r="BM67" s="1"/>
  <c r="AL71"/>
  <c r="BG203" i="280"/>
  <c r="BH195" i="279"/>
  <c r="BH203" i="280" s="1"/>
  <c r="BG83" i="277"/>
  <c r="BG320"/>
  <c r="E86"/>
  <c r="BG116"/>
  <c r="BG150" s="1"/>
  <c r="BG165" s="1"/>
  <c r="BG101"/>
  <c r="BG100"/>
  <c r="BG98"/>
  <c r="BG99"/>
  <c r="AR71" i="263"/>
  <c r="BG57" i="276"/>
  <c r="BG91" s="1"/>
  <c r="BG106" s="1"/>
  <c r="BG261"/>
  <c r="BI71" i="263"/>
  <c r="BK52"/>
  <c r="BM52" s="1"/>
  <c r="BG72" i="280"/>
  <c r="BG68" i="279"/>
  <c r="BG75" i="280" s="1"/>
  <c r="DI75" i="263"/>
  <c r="DI76" s="1"/>
  <c r="AL71" i="258"/>
  <c r="BG96" i="280"/>
  <c r="BG106" i="279"/>
  <c r="BG113" i="280" s="1"/>
  <c r="BI201"/>
  <c r="BI194" i="279"/>
  <c r="N47" i="231"/>
  <c r="BI33" i="276"/>
  <c r="BI55"/>
  <c r="BI55" i="279"/>
  <c r="BI61" i="277"/>
  <c r="BI33" i="279"/>
  <c r="BI114" i="277"/>
  <c r="BI260" i="279" l="1"/>
  <c r="BI264" i="276"/>
  <c r="BI323" i="277"/>
  <c r="BI255" i="276"/>
  <c r="BI131"/>
  <c r="BI132" s="1"/>
  <c r="BI35"/>
  <c r="BI41" i="280"/>
  <c r="BI252" i="279"/>
  <c r="BI131"/>
  <c r="BI35"/>
  <c r="AB28" i="231"/>
  <c r="AX28" s="1"/>
  <c r="BI190" i="277"/>
  <c r="BI191" s="1"/>
  <c r="BI314"/>
  <c r="BI63"/>
  <c r="O85" i="203"/>
  <c r="O88"/>
  <c r="BI104" i="280"/>
  <c r="BI64"/>
  <c r="BK71" i="263"/>
  <c r="AT71" i="258"/>
  <c r="BG68"/>
  <c r="BM68" s="1"/>
  <c r="BI202" i="280"/>
  <c r="BI195" i="279"/>
  <c r="BI203" i="280" s="1"/>
  <c r="AT71" i="262"/>
  <c r="BG68"/>
  <c r="BM68" s="1"/>
  <c r="V65" i="263"/>
  <c r="BH69" i="277"/>
  <c r="BH41" i="279"/>
  <c r="Y65" i="263"/>
  <c r="J9" i="201"/>
  <c r="BD41" i="279"/>
  <c r="M66" i="231"/>
  <c r="BD69" i="277"/>
  <c r="I66" i="231"/>
  <c r="I7"/>
  <c r="N9" i="201"/>
  <c r="M7" i="231" s="1"/>
  <c r="BH41" i="276"/>
  <c r="BD41"/>
  <c r="W15" i="231" l="1"/>
  <c r="AS15" s="1"/>
  <c r="AH36"/>
  <c r="I67"/>
  <c r="AA15"/>
  <c r="AW15" s="1"/>
  <c r="AL36"/>
  <c r="M67"/>
  <c r="BD43" i="276"/>
  <c r="BD65" s="1"/>
  <c r="BD335"/>
  <c r="BD337" s="1"/>
  <c r="BD348" s="1"/>
  <c r="BD378"/>
  <c r="BD262"/>
  <c r="BD378" i="279"/>
  <c r="BD381" s="1"/>
  <c r="BD43"/>
  <c r="BD65" s="1"/>
  <c r="BD335"/>
  <c r="BD337" s="1"/>
  <c r="BD348" s="1"/>
  <c r="BD351" s="1"/>
  <c r="BD49" i="280"/>
  <c r="BD259" i="279"/>
  <c r="W32" i="231"/>
  <c r="AH35"/>
  <c r="AS35" s="1"/>
  <c r="J28" i="201"/>
  <c r="BD394" i="277"/>
  <c r="BD396" s="1"/>
  <c r="BD407" s="1"/>
  <c r="BD410" s="1"/>
  <c r="BD412" s="1"/>
  <c r="BD71"/>
  <c r="BD321"/>
  <c r="Y66" i="263"/>
  <c r="Y67" s="1"/>
  <c r="Y68" s="1"/>
  <c r="Y71" s="1"/>
  <c r="BH335" i="276"/>
  <c r="BH337" s="1"/>
  <c r="BH348" s="1"/>
  <c r="BH43"/>
  <c r="BH65" s="1"/>
  <c r="BH378"/>
  <c r="BH262"/>
  <c r="BH335" i="279"/>
  <c r="BH337" s="1"/>
  <c r="BH348" s="1"/>
  <c r="BH351" s="1"/>
  <c r="BH378"/>
  <c r="BH381" s="1"/>
  <c r="BH43"/>
  <c r="BH65" s="1"/>
  <c r="BH49" i="280"/>
  <c r="BH259" i="279"/>
  <c r="AA32" i="231"/>
  <c r="AL35"/>
  <c r="AW35" s="1"/>
  <c r="BH71" i="277"/>
  <c r="BH124" s="1"/>
  <c r="BH394"/>
  <c r="BH396" s="1"/>
  <c r="BH407" s="1"/>
  <c r="BH410" s="1"/>
  <c r="BH412" s="1"/>
  <c r="BD419" s="1"/>
  <c r="BH321"/>
  <c r="N28" i="201"/>
  <c r="AL65" i="263"/>
  <c r="BM65" s="1"/>
  <c r="V67"/>
  <c r="BG71" i="258"/>
  <c r="BM71" s="1"/>
  <c r="BI43" i="280"/>
  <c r="BI328" s="1"/>
  <c r="BI327"/>
  <c r="BI334"/>
  <c r="BI335" s="1"/>
  <c r="BG71" i="262"/>
  <c r="BM71" s="1"/>
  <c r="O92" i="203"/>
  <c r="BI132" i="279"/>
  <c r="BI139" i="280" s="1"/>
  <c r="BI138"/>
  <c r="BD163" i="277"/>
  <c r="BD104" i="276"/>
  <c r="BI75"/>
  <c r="BH163" i="277"/>
  <c r="BH104" i="276"/>
  <c r="BD104" i="279"/>
  <c r="BI75"/>
  <c r="BH104"/>
  <c r="BI134" i="277"/>
  <c r="BD69" i="279" l="1"/>
  <c r="BH69"/>
  <c r="BH111" i="280"/>
  <c r="BI80"/>
  <c r="BD111"/>
  <c r="BD72"/>
  <c r="V68" i="263"/>
  <c r="AL67"/>
  <c r="BH51" i="280"/>
  <c r="BH254" i="279"/>
  <c r="BH258" s="1"/>
  <c r="BH50"/>
  <c r="BH57" s="1"/>
  <c r="BH91" s="1"/>
  <c r="BD317" i="277"/>
  <c r="BD78"/>
  <c r="E87"/>
  <c r="BH317"/>
  <c r="BH78"/>
  <c r="BH127" s="1"/>
  <c r="BH387" i="276"/>
  <c r="BH386"/>
  <c r="AT66" i="263"/>
  <c r="AL66"/>
  <c r="BD124" i="277"/>
  <c r="BD127" s="1"/>
  <c r="BD258" i="276"/>
  <c r="BD50"/>
  <c r="AH32" i="231"/>
  <c r="AS32" s="1"/>
  <c r="W36"/>
  <c r="BH258" i="276"/>
  <c r="BH50"/>
  <c r="BH68" s="1"/>
  <c r="BD387"/>
  <c r="BD386"/>
  <c r="AL32" i="231"/>
  <c r="AW32" s="1"/>
  <c r="AA36"/>
  <c r="AW36" s="1"/>
  <c r="AS36"/>
  <c r="BH72" i="280"/>
  <c r="BD254" i="279"/>
  <c r="BD258" s="1"/>
  <c r="BD51" i="280"/>
  <c r="BD50" i="279"/>
  <c r="BD57" s="1"/>
  <c r="BD91" s="1"/>
  <c r="BH68" l="1"/>
  <c r="BH75" i="280" s="1"/>
  <c r="BH72" i="279"/>
  <c r="BD57" i="276"/>
  <c r="BD91" s="1"/>
  <c r="BD106" s="1"/>
  <c r="BD261"/>
  <c r="AT67" i="263"/>
  <c r="BG66"/>
  <c r="BH97" i="277"/>
  <c r="BD101"/>
  <c r="BD100"/>
  <c r="BD83"/>
  <c r="BD116"/>
  <c r="BD150" s="1"/>
  <c r="BD165" s="1"/>
  <c r="BD320"/>
  <c r="BD98"/>
  <c r="BD99"/>
  <c r="BD72" i="279"/>
  <c r="BD68"/>
  <c r="BD75" i="280" s="1"/>
  <c r="BD96"/>
  <c r="BD106" i="279"/>
  <c r="BD113" i="280" s="1"/>
  <c r="BD97" i="277"/>
  <c r="BH261" i="276"/>
  <c r="BH57"/>
  <c r="BH91" s="1"/>
  <c r="BH106" s="1"/>
  <c r="BM66" i="263"/>
  <c r="BH320" i="277"/>
  <c r="BH116"/>
  <c r="BH150" s="1"/>
  <c r="BH165" s="1"/>
  <c r="BH83"/>
  <c r="BH101"/>
  <c r="BH100"/>
  <c r="BH98"/>
  <c r="BH99"/>
  <c r="BD68" i="276"/>
  <c r="BH96" i="280"/>
  <c r="BH106" i="279"/>
  <c r="BH113" i="280" s="1"/>
  <c r="V71" i="263"/>
  <c r="AL68"/>
  <c r="BI78" i="279"/>
  <c r="BI78" i="276"/>
  <c r="BI137" i="277"/>
  <c r="BI148" l="1"/>
  <c r="BI83" i="280"/>
  <c r="BI89" i="279"/>
  <c r="BI94" i="280" s="1"/>
  <c r="BI89" i="276"/>
  <c r="AL71" i="263"/>
  <c r="AT68"/>
  <c r="BG67"/>
  <c r="BM67" s="1"/>
  <c r="AT71" l="1"/>
  <c r="BG68"/>
  <c r="BM68" s="1"/>
  <c r="BI69" i="277"/>
  <c r="BI41" i="279"/>
  <c r="O9" i="201"/>
  <c r="N7" i="231" s="1"/>
  <c r="N66"/>
  <c r="BI41" i="276"/>
  <c r="N67" i="231" l="1"/>
  <c r="AM36"/>
  <c r="AB15"/>
  <c r="AX15" s="1"/>
  <c r="BI335" i="276"/>
  <c r="BI337" s="1"/>
  <c r="BI348" s="1"/>
  <c r="BI43"/>
  <c r="BI65" s="1"/>
  <c r="BI378"/>
  <c r="BI262"/>
  <c r="BI43" i="279"/>
  <c r="BI65" s="1"/>
  <c r="BI49" i="280"/>
  <c r="BI335" i="279"/>
  <c r="BI337" s="1"/>
  <c r="BI348" s="1"/>
  <c r="BI351" s="1"/>
  <c r="BI378"/>
  <c r="BI381" s="1"/>
  <c r="BI259"/>
  <c r="AB32" i="231"/>
  <c r="AM35"/>
  <c r="AX35" s="1"/>
  <c r="BI71" i="277"/>
  <c r="BI321"/>
  <c r="O28" i="201"/>
  <c r="BG71" i="263"/>
  <c r="BM71" s="1"/>
  <c r="BI104" i="279"/>
  <c r="BI163" i="277"/>
  <c r="BI104" i="276"/>
  <c r="BI69" i="279" l="1"/>
  <c r="BI111" i="280"/>
  <c r="BI317" i="277"/>
  <c r="BI78"/>
  <c r="BI387" i="276"/>
  <c r="BI386"/>
  <c r="BI124" i="277"/>
  <c r="BI72" i="280"/>
  <c r="BI254" i="279"/>
  <c r="BI258" s="1"/>
  <c r="BI51" i="280"/>
  <c r="BI50" i="279"/>
  <c r="BI68" s="1"/>
  <c r="BI75" i="280" s="1"/>
  <c r="BI258" i="276"/>
  <c r="BI50"/>
  <c r="BI68" s="1"/>
  <c r="AB36" i="231"/>
  <c r="AX36" s="1"/>
  <c r="AM32"/>
  <c r="AX32" s="1"/>
  <c r="BI127" i="277" l="1"/>
  <c r="BI57" i="279"/>
  <c r="BI91" s="1"/>
  <c r="BI51"/>
  <c r="BI72"/>
  <c r="BI261" i="276"/>
  <c r="BI263" s="1"/>
  <c r="BI57"/>
  <c r="BI91" s="1"/>
  <c r="BI106" s="1"/>
  <c r="BI51"/>
  <c r="BI116" i="277"/>
  <c r="BI150" s="1"/>
  <c r="BI165" s="1"/>
  <c r="BI320"/>
  <c r="BI322" s="1"/>
  <c r="BI96" i="280" l="1"/>
  <c r="BI106" i="279"/>
  <c r="BI113" i="280" s="1"/>
</calcChain>
</file>

<file path=xl/comments1.xml><?xml version="1.0" encoding="utf-8"?>
<comments xmlns="http://schemas.openxmlformats.org/spreadsheetml/2006/main">
  <authors>
    <author>himanshu</author>
  </authors>
  <commentList>
    <comment ref="F16" authorId="0">
      <text>
        <r>
          <rPr>
            <b/>
            <sz val="9"/>
            <color indexed="81"/>
            <rFont val="Tahoma"/>
            <family val="2"/>
          </rPr>
          <t>himanshu:</t>
        </r>
        <r>
          <rPr>
            <sz val="9"/>
            <color indexed="81"/>
            <rFont val="Tahoma"/>
            <family val="2"/>
          </rPr>
          <t xml:space="preserve">
need to be checked with CEA by shrestha
</t>
        </r>
      </text>
    </comment>
    <comment ref="F25" authorId="0">
      <text>
        <r>
          <rPr>
            <b/>
            <sz val="9"/>
            <color indexed="81"/>
            <rFont val="Tahoma"/>
            <family val="2"/>
          </rPr>
          <t>himanshu:</t>
        </r>
        <r>
          <rPr>
            <sz val="9"/>
            <color indexed="81"/>
            <rFont val="Tahoma"/>
            <family val="2"/>
          </rPr>
          <t xml:space="preserve">
need to be checked with CEA by shrestha
</t>
        </r>
      </text>
    </comment>
  </commentList>
</comments>
</file>

<file path=xl/comments2.xml><?xml version="1.0" encoding="utf-8"?>
<comments xmlns="http://schemas.openxmlformats.org/spreadsheetml/2006/main">
  <authors>
    <author>himanshu</author>
    <author>Author</author>
  </authors>
  <commentList>
    <comment ref="C203" authorId="0">
      <text>
        <r>
          <rPr>
            <b/>
            <sz val="9"/>
            <color indexed="81"/>
            <rFont val="Tahoma"/>
            <family val="2"/>
          </rPr>
          <t>himanshu:</t>
        </r>
        <r>
          <rPr>
            <sz val="9"/>
            <color indexed="81"/>
            <rFont val="Tahoma"/>
            <family val="2"/>
          </rPr>
          <t xml:space="preserve">
Values adopted from UK 2050 calculator</t>
        </r>
      </text>
    </comment>
    <comment ref="G221" authorId="1">
      <text>
        <r>
          <rPr>
            <b/>
            <sz val="9"/>
            <color indexed="81"/>
            <rFont val="Tahoma"/>
            <family val="2"/>
          </rPr>
          <t>Author:</t>
        </r>
        <r>
          <rPr>
            <sz val="9"/>
            <color indexed="81"/>
            <rFont val="Tahoma"/>
            <family val="2"/>
          </rPr>
          <t xml:space="preserve">
CEA Electricity statistics 2012, page 121</t>
        </r>
      </text>
    </comment>
    <comment ref="D222" authorId="1">
      <text>
        <r>
          <rPr>
            <b/>
            <sz val="9"/>
            <color indexed="81"/>
            <rFont val="Tahoma"/>
            <family val="2"/>
          </rPr>
          <t>Author:</t>
        </r>
        <r>
          <rPr>
            <sz val="9"/>
            <color indexed="81"/>
            <rFont val="Tahoma"/>
            <family val="2"/>
          </rPr>
          <t xml:space="preserve">
http://moef.nic.in/sites/default/files/LCGIndiaCCTjune2008.pdf</t>
        </r>
      </text>
    </comment>
    <comment ref="D223" authorId="1">
      <text>
        <r>
          <rPr>
            <b/>
            <sz val="9"/>
            <color indexed="81"/>
            <rFont val="Tahoma"/>
            <family val="2"/>
          </rPr>
          <t>Author:</t>
        </r>
        <r>
          <rPr>
            <sz val="9"/>
            <color indexed="81"/>
            <rFont val="Tahoma"/>
            <family val="2"/>
          </rPr>
          <t xml:space="preserve">
http://www.iea.org/publications/freepublications/publication/name,32869,en.html</t>
        </r>
      </text>
    </comment>
    <comment ref="D224" authorId="1">
      <text>
        <r>
          <rPr>
            <b/>
            <sz val="9"/>
            <color indexed="81"/>
            <rFont val="Tahoma"/>
            <family val="2"/>
          </rPr>
          <t>Author:</t>
        </r>
        <r>
          <rPr>
            <sz val="9"/>
            <color indexed="81"/>
            <rFont val="Tahoma"/>
            <family val="2"/>
          </rPr>
          <t xml:space="preserve">
Further advancement possible (http://www.iea.org/publications/freepublications/publication/name,32869,en.html)</t>
        </r>
      </text>
    </comment>
  </commentList>
</comments>
</file>

<file path=xl/comments3.xml><?xml version="1.0" encoding="utf-8"?>
<comments xmlns="http://schemas.openxmlformats.org/spreadsheetml/2006/main">
  <authors>
    <author>yeshika malik</author>
  </authors>
  <commentList>
    <comment ref="B56" authorId="0">
      <text>
        <r>
          <rPr>
            <b/>
            <sz val="9"/>
            <color indexed="81"/>
            <rFont val="Tahoma"/>
            <family val="2"/>
          </rPr>
          <t>yeshika malik:</t>
        </r>
        <r>
          <rPr>
            <sz val="9"/>
            <color indexed="81"/>
            <rFont val="Tahoma"/>
            <family val="2"/>
          </rPr>
          <t xml:space="preserve">
Adopted from UK 2050 Pathways Calculator</t>
        </r>
      </text>
    </comment>
    <comment ref="B104" authorId="0">
      <text>
        <r>
          <rPr>
            <b/>
            <sz val="9"/>
            <color indexed="81"/>
            <rFont val="Tahoma"/>
            <family val="2"/>
          </rPr>
          <t>yeshika malik
No cost numbers have been considered.</t>
        </r>
      </text>
    </comment>
    <comment ref="B117" authorId="0">
      <text>
        <r>
          <rPr>
            <b/>
            <sz val="9"/>
            <color indexed="81"/>
            <rFont val="Tahoma"/>
            <family val="2"/>
          </rPr>
          <t>yeshika malik:</t>
        </r>
        <r>
          <rPr>
            <sz val="9"/>
            <color indexed="81"/>
            <rFont val="Tahoma"/>
            <family val="2"/>
          </rPr>
          <t xml:space="preserve">
Adopted from 2050 UK Pathways Calculator</t>
        </r>
      </text>
    </comment>
  </commentList>
</comments>
</file>

<file path=xl/comments4.xml><?xml version="1.0" encoding="utf-8"?>
<comments xmlns="http://schemas.openxmlformats.org/spreadsheetml/2006/main">
  <authors>
    <author>himanshu</author>
  </authors>
  <commentList>
    <comment ref="C52" authorId="0">
      <text>
        <r>
          <rPr>
            <b/>
            <sz val="9"/>
            <color indexed="81"/>
            <rFont val="Tahoma"/>
            <family val="2"/>
          </rPr>
          <t>himanshu:</t>
        </r>
        <r>
          <rPr>
            <sz val="9"/>
            <color indexed="81"/>
            <rFont val="Tahoma"/>
            <family val="2"/>
          </rPr>
          <t xml:space="preserve">
Values adopted from UK 2050 calculator</t>
        </r>
      </text>
    </comment>
  </commentList>
</comments>
</file>

<file path=xl/comments5.xml><?xml version="1.0" encoding="utf-8"?>
<comments xmlns="http://schemas.openxmlformats.org/spreadsheetml/2006/main">
  <authors>
    <author>yeshika malik</author>
  </authors>
  <commentList>
    <comment ref="B51" authorId="0">
      <text>
        <r>
          <rPr>
            <sz val="9"/>
            <color indexed="81"/>
            <rFont val="Tahoma"/>
            <family val="2"/>
          </rPr>
          <t>adopted from UK 2050 Pathways Calculator</t>
        </r>
      </text>
    </comment>
    <comment ref="B65" authorId="0">
      <text>
        <r>
          <rPr>
            <b/>
            <sz val="9"/>
            <color indexed="81"/>
            <rFont val="Tahoma"/>
            <family val="2"/>
          </rPr>
          <t>yeshika malik:</t>
        </r>
        <r>
          <rPr>
            <sz val="9"/>
            <color indexed="81"/>
            <rFont val="Tahoma"/>
            <family val="2"/>
          </rPr>
          <t xml:space="preserve">
Adopted from Solar CSP sheet</t>
        </r>
      </text>
    </comment>
    <comment ref="B114" authorId="0">
      <text>
        <r>
          <rPr>
            <b/>
            <sz val="9"/>
            <color indexed="81"/>
            <rFont val="Tahoma"/>
            <family val="2"/>
          </rPr>
          <t>yeshika malik:</t>
        </r>
        <r>
          <rPr>
            <sz val="9"/>
            <color indexed="81"/>
            <rFont val="Tahoma"/>
            <family val="2"/>
          </rPr>
          <t xml:space="preserve">
Not used</t>
        </r>
      </text>
    </comment>
  </commentList>
</comments>
</file>

<file path=xl/comments6.xml><?xml version="1.0" encoding="utf-8"?>
<comments xmlns="http://schemas.openxmlformats.org/spreadsheetml/2006/main">
  <authors>
    <author>yeshika malik</author>
  </authors>
  <commentList>
    <comment ref="C98" authorId="0">
      <text>
        <r>
          <rPr>
            <b/>
            <sz val="9"/>
            <color indexed="81"/>
            <rFont val="Tahoma"/>
            <family val="2"/>
          </rPr>
          <t>Prayas mentioned 2-4 acres/mw. Therefore, we assume an average value of 3 acres/mw</t>
        </r>
      </text>
    </comment>
  </commentList>
</comments>
</file>

<file path=xl/comments7.xml><?xml version="1.0" encoding="utf-8"?>
<comments xmlns="http://schemas.openxmlformats.org/spreadsheetml/2006/main">
  <authors>
    <author>himanshu</author>
  </authors>
  <commentList>
    <comment ref="E36" authorId="0">
      <text>
        <r>
          <rPr>
            <b/>
            <sz val="9"/>
            <color indexed="81"/>
            <rFont val="Tahoma"/>
            <family val="2"/>
          </rPr>
          <t>himanshu:</t>
        </r>
        <r>
          <rPr>
            <sz val="9"/>
            <color indexed="81"/>
            <rFont val="Tahoma"/>
            <family val="2"/>
          </rPr>
          <t xml:space="preserve">
Taken From CERC RE tariff order 2013</t>
        </r>
      </text>
    </comment>
    <comment ref="F43" authorId="0">
      <text>
        <r>
          <rPr>
            <b/>
            <sz val="9"/>
            <color indexed="81"/>
            <rFont val="Tahoma"/>
            <family val="2"/>
          </rPr>
          <t>himanshu:</t>
        </r>
        <r>
          <rPr>
            <sz val="9"/>
            <color indexed="81"/>
            <rFont val="Tahoma"/>
            <family val="2"/>
          </rPr>
          <t xml:space="preserve">
Taken from MNRE
http://mnre.gov.in/file-manager/UserFiles/faq_biomass.htm</t>
        </r>
      </text>
    </comment>
    <comment ref="F65" authorId="0">
      <text>
        <r>
          <rPr>
            <b/>
            <sz val="9"/>
            <color indexed="81"/>
            <rFont val="Tahoma"/>
            <family val="2"/>
          </rPr>
          <t>himanshu:</t>
        </r>
        <r>
          <rPr>
            <sz val="9"/>
            <color indexed="81"/>
            <rFont val="Tahoma"/>
            <family val="2"/>
          </rPr>
          <t xml:space="preserve">
From MOSPI Energy Statistics 2013 book
</t>
        </r>
      </text>
    </comment>
  </commentList>
</comments>
</file>

<file path=xl/comments8.xml><?xml version="1.0" encoding="utf-8"?>
<comments xmlns="http://schemas.openxmlformats.org/spreadsheetml/2006/main">
  <authors>
    <author>himanshu</author>
  </authors>
  <commentList>
    <comment ref="C157" authorId="0">
      <text>
        <r>
          <rPr>
            <b/>
            <sz val="9"/>
            <color indexed="81"/>
            <rFont val="Tahoma"/>
            <family val="2"/>
          </rPr>
          <t>himanshu:</t>
        </r>
        <r>
          <rPr>
            <sz val="9"/>
            <color indexed="81"/>
            <rFont val="Tahoma"/>
            <family val="2"/>
          </rPr>
          <t xml:space="preserve">
Rest of the feedstock goes into production of Indsutrial grade and Potable Alcohol
</t>
        </r>
      </text>
    </comment>
    <comment ref="C187" authorId="0">
      <text>
        <r>
          <rPr>
            <b/>
            <sz val="9"/>
            <color indexed="81"/>
            <rFont val="Tahoma"/>
            <family val="2"/>
          </rPr>
          <t>himanshu:</t>
        </r>
        <r>
          <rPr>
            <sz val="9"/>
            <color indexed="81"/>
            <rFont val="Tahoma"/>
            <family val="2"/>
          </rPr>
          <t xml:space="preserve">
rest of the bioethanol goes into industrial grade and potable alochol
</t>
        </r>
      </text>
    </comment>
  </commentList>
</comments>
</file>

<file path=xl/comments9.xml><?xml version="1.0" encoding="utf-8"?>
<comments xmlns="http://schemas.openxmlformats.org/spreadsheetml/2006/main">
  <authors>
    <author>Administrator</author>
  </authors>
  <commentList>
    <comment ref="G16" authorId="0">
      <text>
        <r>
          <rPr>
            <b/>
            <sz val="8"/>
            <color indexed="81"/>
            <rFont val="Tahoma"/>
            <family val="2"/>
          </rPr>
          <t>Administrator:</t>
        </r>
        <r>
          <rPr>
            <sz val="8"/>
            <color indexed="81"/>
            <rFont val="Tahoma"/>
            <family val="2"/>
          </rPr>
          <t xml:space="preserve">
No change in agricultural productivity. Remains the same in future</t>
        </r>
      </text>
    </comment>
    <comment ref="H16" authorId="0">
      <text>
        <r>
          <rPr>
            <b/>
            <sz val="8"/>
            <color indexed="81"/>
            <rFont val="Tahoma"/>
            <family val="2"/>
          </rPr>
          <t>Administrator:</t>
        </r>
        <r>
          <rPr>
            <sz val="8"/>
            <color indexed="81"/>
            <rFont val="Tahoma"/>
            <family val="2"/>
          </rPr>
          <t xml:space="preserve">
No change in agricultural productivity. Remains the same in future</t>
        </r>
      </text>
    </comment>
    <comment ref="I16" authorId="0">
      <text>
        <r>
          <rPr>
            <b/>
            <sz val="8"/>
            <color indexed="81"/>
            <rFont val="Tahoma"/>
            <family val="2"/>
          </rPr>
          <t>Administrator:</t>
        </r>
        <r>
          <rPr>
            <sz val="8"/>
            <color indexed="81"/>
            <rFont val="Tahoma"/>
            <family val="2"/>
          </rPr>
          <t xml:space="preserve">
No change in agricultural productivity. Remains the same in future</t>
        </r>
      </text>
    </comment>
    <comment ref="J16" authorId="0">
      <text>
        <r>
          <rPr>
            <b/>
            <sz val="8"/>
            <color indexed="81"/>
            <rFont val="Tahoma"/>
            <family val="2"/>
          </rPr>
          <t>Administrator:</t>
        </r>
        <r>
          <rPr>
            <sz val="8"/>
            <color indexed="81"/>
            <rFont val="Tahoma"/>
            <family val="2"/>
          </rPr>
          <t xml:space="preserve">
No change in agricultural productivity. Remains the same in future</t>
        </r>
      </text>
    </comment>
    <comment ref="K16" authorId="0">
      <text>
        <r>
          <rPr>
            <b/>
            <sz val="8"/>
            <color indexed="81"/>
            <rFont val="Tahoma"/>
            <family val="2"/>
          </rPr>
          <t>Administrator:</t>
        </r>
        <r>
          <rPr>
            <sz val="8"/>
            <color indexed="81"/>
            <rFont val="Tahoma"/>
            <family val="2"/>
          </rPr>
          <t xml:space="preserve">
No change in agricultural productivity. Remains the same in future</t>
        </r>
      </text>
    </comment>
    <comment ref="L16" authorId="0">
      <text>
        <r>
          <rPr>
            <b/>
            <sz val="8"/>
            <color indexed="81"/>
            <rFont val="Tahoma"/>
            <family val="2"/>
          </rPr>
          <t>Administrator:</t>
        </r>
        <r>
          <rPr>
            <sz val="8"/>
            <color indexed="81"/>
            <rFont val="Tahoma"/>
            <family val="2"/>
          </rPr>
          <t xml:space="preserve">
No change in agricultural productivity. Remains the same in future</t>
        </r>
      </text>
    </comment>
    <comment ref="M16" authorId="0">
      <text>
        <r>
          <rPr>
            <b/>
            <sz val="8"/>
            <color indexed="81"/>
            <rFont val="Tahoma"/>
            <family val="2"/>
          </rPr>
          <t>Administrator:</t>
        </r>
        <r>
          <rPr>
            <sz val="8"/>
            <color indexed="81"/>
            <rFont val="Tahoma"/>
            <family val="2"/>
          </rPr>
          <t xml:space="preserve">
No change in agricultural productivity. Remains the same in future</t>
        </r>
      </text>
    </comment>
    <comment ref="N16" authorId="0">
      <text>
        <r>
          <rPr>
            <b/>
            <sz val="8"/>
            <color indexed="81"/>
            <rFont val="Tahoma"/>
            <family val="2"/>
          </rPr>
          <t>Administrator:</t>
        </r>
        <r>
          <rPr>
            <sz val="8"/>
            <color indexed="81"/>
            <rFont val="Tahoma"/>
            <family val="2"/>
          </rPr>
          <t xml:space="preserve">
No change in agricultural productivity. Remains the same in future</t>
        </r>
      </text>
    </comment>
    <comment ref="O16" authorId="0">
      <text>
        <r>
          <rPr>
            <b/>
            <sz val="8"/>
            <color indexed="81"/>
            <rFont val="Tahoma"/>
            <family val="2"/>
          </rPr>
          <t>Administrator:</t>
        </r>
        <r>
          <rPr>
            <sz val="8"/>
            <color indexed="81"/>
            <rFont val="Tahoma"/>
            <family val="2"/>
          </rPr>
          <t xml:space="preserve">
No change in agricultural productivity. Remains the same in future</t>
        </r>
      </text>
    </comment>
  </commentList>
</comments>
</file>

<file path=xl/comments10.xml><?xml version="1.0" encoding="utf-8"?>
<comments xmlns="http://schemas.openxmlformats.org/spreadsheetml/2006/main">
  <authors>
    <author>Astha</author>
  </authors>
  <commentList>
    <comment ref="C15" authorId="0">
      <text>
        <r>
          <rPr>
            <b/>
            <sz val="9"/>
            <color indexed="81"/>
            <rFont val="Tahoma"/>
            <family val="2"/>
          </rPr>
          <t>Astha:</t>
        </r>
        <r>
          <rPr>
            <sz val="9"/>
            <color indexed="81"/>
            <rFont val="Tahoma"/>
            <family val="2"/>
          </rPr>
          <t xml:space="preserve">
No data to input here
</t>
        </r>
      </text>
    </comment>
    <comment ref="B20" authorId="0">
      <text>
        <r>
          <rPr>
            <b/>
            <sz val="9"/>
            <color indexed="81"/>
            <rFont val="Tahoma"/>
            <family val="2"/>
          </rPr>
          <t>Astha:</t>
        </r>
        <r>
          <rPr>
            <sz val="9"/>
            <color indexed="81"/>
            <rFont val="Tahoma"/>
            <family val="2"/>
          </rPr>
          <t xml:space="preserve">
Again,no data to put here.Will it be linked to another sheet?
</t>
        </r>
      </text>
    </comment>
  </commentList>
</comments>
</file>

<file path=xl/comments11.xml><?xml version="1.0" encoding="utf-8"?>
<comments xmlns="http://schemas.openxmlformats.org/spreadsheetml/2006/main">
  <authors>
    <author>himanshu</author>
  </authors>
  <commentList>
    <comment ref="F15" authorId="0">
      <text>
        <r>
          <rPr>
            <b/>
            <sz val="9"/>
            <color indexed="81"/>
            <rFont val="Tahoma"/>
            <family val="2"/>
          </rPr>
          <t xml:space="preserve">himan: Fixed assumptions should be moved to its right place
</t>
        </r>
      </text>
    </comment>
    <comment ref="C16" authorId="0">
      <text>
        <r>
          <rPr>
            <b/>
            <sz val="9"/>
            <color indexed="81"/>
            <rFont val="Tahoma"/>
            <family val="2"/>
          </rPr>
          <t>himanshu:</t>
        </r>
        <r>
          <rPr>
            <sz val="9"/>
            <color indexed="81"/>
            <rFont val="Tahoma"/>
            <family val="2"/>
          </rPr>
          <t xml:space="preserve">
These rows ned to be linked to the GDP figure and not linked to the commercial lighting &amp; appliances
</t>
        </r>
      </text>
    </comment>
  </commentList>
</comments>
</file>

<file path=xl/comments12.xml><?xml version="1.0" encoding="utf-8"?>
<comments xmlns="http://schemas.openxmlformats.org/spreadsheetml/2006/main">
  <authors>
    <author>himanshu</author>
    <author>Astha Ummat</author>
  </authors>
  <commentList>
    <comment ref="F17" authorId="0">
      <text>
        <r>
          <rPr>
            <b/>
            <sz val="9"/>
            <color indexed="81"/>
            <rFont val="Tahoma"/>
            <family val="2"/>
          </rPr>
          <t>himanshu:</t>
        </r>
        <r>
          <rPr>
            <sz val="9"/>
            <color indexed="81"/>
            <rFont val="Tahoma"/>
            <family val="2"/>
          </rPr>
          <t xml:space="preserve">
Sum doesn’t add up to 100%</t>
        </r>
      </text>
    </comment>
    <comment ref="F21" authorId="0">
      <text>
        <r>
          <rPr>
            <b/>
            <sz val="9"/>
            <color indexed="81"/>
            <rFont val="Tahoma"/>
            <family val="2"/>
          </rPr>
          <t>himanshu:</t>
        </r>
        <r>
          <rPr>
            <sz val="9"/>
            <color indexed="81"/>
            <rFont val="Tahoma"/>
            <family val="2"/>
          </rPr>
          <t xml:space="preserve">
Sum doesn’t add up to 100%</t>
        </r>
      </text>
    </comment>
    <comment ref="F25" authorId="0">
      <text>
        <r>
          <rPr>
            <b/>
            <sz val="9"/>
            <color indexed="81"/>
            <rFont val="Tahoma"/>
            <family val="2"/>
          </rPr>
          <t>himanshu:</t>
        </r>
        <r>
          <rPr>
            <sz val="9"/>
            <color indexed="81"/>
            <rFont val="Tahoma"/>
            <family val="2"/>
          </rPr>
          <t xml:space="preserve">
Sum doesn’t add up to 100%</t>
        </r>
      </text>
    </comment>
    <comment ref="F29" authorId="0">
      <text>
        <r>
          <rPr>
            <b/>
            <sz val="9"/>
            <color indexed="81"/>
            <rFont val="Tahoma"/>
            <family val="2"/>
          </rPr>
          <t>himanshu:</t>
        </r>
        <r>
          <rPr>
            <sz val="9"/>
            <color indexed="81"/>
            <rFont val="Tahoma"/>
            <family val="2"/>
          </rPr>
          <t xml:space="preserve">
Sum doesn’t add up to 100%</t>
        </r>
      </text>
    </comment>
    <comment ref="F101" authorId="0">
      <text>
        <r>
          <rPr>
            <b/>
            <sz val="9"/>
            <color indexed="81"/>
            <rFont val="Tahoma"/>
            <family val="2"/>
          </rPr>
          <t>himanshu:</t>
        </r>
        <r>
          <rPr>
            <sz val="9"/>
            <color indexed="81"/>
            <rFont val="Tahoma"/>
            <family val="2"/>
          </rPr>
          <t xml:space="preserve">
Lighting &amp; appliances demand need to be linked with population
</t>
        </r>
      </text>
    </comment>
    <comment ref="C141" authorId="1">
      <text>
        <r>
          <rPr>
            <b/>
            <sz val="9"/>
            <color indexed="81"/>
            <rFont val="Tahoma"/>
            <family val="2"/>
          </rPr>
          <t>Astha Ummat:</t>
        </r>
        <r>
          <rPr>
            <sz val="9"/>
            <color indexed="81"/>
            <rFont val="Tahoma"/>
            <family val="2"/>
          </rPr>
          <t xml:space="preserve">
Value in Kwh/year
</t>
        </r>
      </text>
    </comment>
  </commentList>
</comments>
</file>

<file path=xl/comments13.xml><?xml version="1.0" encoding="utf-8"?>
<comments xmlns="http://schemas.openxmlformats.org/spreadsheetml/2006/main">
  <authors>
    <author>himanshu</author>
    <author>Astha</author>
  </authors>
  <commentList>
    <comment ref="F18" authorId="0">
      <text>
        <r>
          <rPr>
            <b/>
            <sz val="9"/>
            <color indexed="81"/>
            <rFont val="Tahoma"/>
            <family val="2"/>
          </rPr>
          <t>himanshu:</t>
        </r>
        <r>
          <rPr>
            <sz val="9"/>
            <color indexed="81"/>
            <rFont val="Tahoma"/>
            <family val="2"/>
          </rPr>
          <t xml:space="preserve">
extraploate as per GDP griowth
</t>
        </r>
      </text>
    </comment>
    <comment ref="D140" authorId="1">
      <text>
        <r>
          <rPr>
            <b/>
            <sz val="9"/>
            <color indexed="81"/>
            <rFont val="Tahoma"/>
            <family val="2"/>
          </rPr>
          <t>Astha:</t>
        </r>
        <r>
          <rPr>
            <sz val="9"/>
            <color indexed="81"/>
            <rFont val="Tahoma"/>
            <family val="2"/>
          </rPr>
          <t xml:space="preserve">
Link to aassumptions sheet</t>
        </r>
      </text>
    </comment>
  </commentList>
</comments>
</file>

<file path=xl/comments14.xml><?xml version="1.0" encoding="utf-8"?>
<comments xmlns="http://schemas.openxmlformats.org/spreadsheetml/2006/main">
  <authors>
    <author>himanshu</author>
  </authors>
  <commentList>
    <comment ref="C151" authorId="0">
      <text>
        <r>
          <rPr>
            <b/>
            <sz val="9"/>
            <color indexed="81"/>
            <rFont val="Tahoma"/>
            <family val="2"/>
          </rPr>
          <t>himanshu:</t>
        </r>
        <r>
          <rPr>
            <sz val="9"/>
            <color indexed="81"/>
            <rFont val="Tahoma"/>
            <family val="2"/>
          </rPr>
          <t xml:space="preserve">
Explain as to why this is linked with Tractor Saturation.</t>
        </r>
      </text>
    </comment>
  </commentList>
</comments>
</file>

<file path=xl/comments15.xml><?xml version="1.0" encoding="utf-8"?>
<comments xmlns="http://schemas.openxmlformats.org/spreadsheetml/2006/main">
  <authors>
    <author>yeshika malik</author>
  </authors>
  <commentList>
    <comment ref="B131" authorId="0">
      <text>
        <r>
          <rPr>
            <b/>
            <sz val="9"/>
            <color indexed="81"/>
            <rFont val="Tahoma"/>
            <family val="2"/>
          </rPr>
          <t>yeshika malik:</t>
        </r>
        <r>
          <rPr>
            <sz val="9"/>
            <color indexed="81"/>
            <rFont val="Tahoma"/>
            <family val="2"/>
          </rPr>
          <t xml:space="preserve">
Adopted from UK Pathways Calculator
</t>
        </r>
      </text>
    </comment>
  </commentList>
</comments>
</file>

<file path=xl/comments16.xml><?xml version="1.0" encoding="utf-8"?>
<comments xmlns="http://schemas.openxmlformats.org/spreadsheetml/2006/main">
  <authors>
    <author>himanshu</author>
  </authors>
  <commentList>
    <comment ref="C36" authorId="0">
      <text>
        <r>
          <rPr>
            <b/>
            <sz val="9"/>
            <color indexed="81"/>
            <rFont val="Tahoma"/>
            <family val="2"/>
          </rPr>
          <t>himanshu:</t>
        </r>
        <r>
          <rPr>
            <sz val="9"/>
            <color indexed="81"/>
            <rFont val="Tahoma"/>
            <family val="2"/>
          </rPr>
          <t xml:space="preserve">
This is not directly calculated from the table above
</t>
        </r>
      </text>
    </comment>
    <comment ref="D162" authorId="0">
      <text>
        <r>
          <rPr>
            <b/>
            <sz val="9"/>
            <color indexed="81"/>
            <rFont val="Tahoma"/>
            <family val="2"/>
          </rPr>
          <t>himanshu:</t>
        </r>
        <r>
          <rPr>
            <sz val="9"/>
            <color indexed="81"/>
            <rFont val="Tahoma"/>
            <family val="2"/>
          </rPr>
          <t xml:space="preserve">
Average of the high and the low cost for the Coal Mines
</t>
        </r>
      </text>
    </comment>
  </commentList>
</comments>
</file>

<file path=xl/comments17.xml><?xml version="1.0" encoding="utf-8"?>
<comments xmlns="http://schemas.openxmlformats.org/spreadsheetml/2006/main">
  <authors>
    <author>himanshu</author>
  </authors>
  <commentList>
    <comment ref="F65" authorId="0">
      <text>
        <r>
          <rPr>
            <b/>
            <sz val="9"/>
            <color indexed="81"/>
            <rFont val="Tahoma"/>
            <family val="2"/>
          </rPr>
          <t>himanshu:</t>
        </r>
        <r>
          <rPr>
            <sz val="9"/>
            <color indexed="81"/>
            <rFont val="Tahoma"/>
            <family val="2"/>
          </rPr>
          <t xml:space="preserve">
Write a comment about 0% PAT figure
</t>
        </r>
      </text>
    </comment>
    <comment ref="C474" authorId="0">
      <text>
        <r>
          <rPr>
            <b/>
            <sz val="9"/>
            <color indexed="81"/>
            <rFont val="Tahoma"/>
            <family val="2"/>
          </rPr>
          <t xml:space="preserve">Assumed to be the same as the fuel mix of the seven sectors combined
</t>
        </r>
      </text>
    </comment>
  </commentList>
</comments>
</file>

<file path=xl/sharedStrings.xml><?xml version="1.0" encoding="utf-8"?>
<sst xmlns="http://schemas.openxmlformats.org/spreadsheetml/2006/main" count="14356" uniqueCount="2824">
  <si>
    <t>Nuclear</t>
  </si>
  <si>
    <t>Wind</t>
  </si>
  <si>
    <t>Wave</t>
  </si>
  <si>
    <t>Geothermal</t>
  </si>
  <si>
    <t>Imports</t>
  </si>
  <si>
    <t>Electricity</t>
  </si>
  <si>
    <t>H.01</t>
  </si>
  <si>
    <t>N.01</t>
  </si>
  <si>
    <t>R.02</t>
  </si>
  <si>
    <t>R.03</t>
  </si>
  <si>
    <t>R.04</t>
  </si>
  <si>
    <t>R.05</t>
  </si>
  <si>
    <t>R.06</t>
  </si>
  <si>
    <t>I.01</t>
  </si>
  <si>
    <t>Gas</t>
  </si>
  <si>
    <t>Solar</t>
  </si>
  <si>
    <t>Energy vectors</t>
  </si>
  <si>
    <r>
      <t>H</t>
    </r>
    <r>
      <rPr>
        <vertAlign val="subscript"/>
        <sz val="10"/>
        <color theme="1"/>
        <rFont val="Cambria"/>
        <family val="1"/>
        <scheme val="minor"/>
      </rPr>
      <t>2</t>
    </r>
  </si>
  <si>
    <t>Hydro</t>
  </si>
  <si>
    <t>Conversion losses</t>
  </si>
  <si>
    <t>Distribution losses and own use</t>
  </si>
  <si>
    <t xml:space="preserve">Transport </t>
  </si>
  <si>
    <t>Balancing</t>
  </si>
  <si>
    <t>Unallocated</t>
  </si>
  <si>
    <t>R.01</t>
  </si>
  <si>
    <t>X.01</t>
  </si>
  <si>
    <t>X.02</t>
  </si>
  <si>
    <t>T.01</t>
  </si>
  <si>
    <t>T.02</t>
  </si>
  <si>
    <t>T.03</t>
  </si>
  <si>
    <t>T.04</t>
  </si>
  <si>
    <t>F.01</t>
  </si>
  <si>
    <t>Domestic</t>
  </si>
  <si>
    <t>Industry</t>
  </si>
  <si>
    <t>V.01</t>
  </si>
  <si>
    <t>V.02</t>
  </si>
  <si>
    <t>V.03</t>
  </si>
  <si>
    <t>Net imports</t>
  </si>
  <si>
    <t>V.04</t>
  </si>
  <si>
    <t>V.05</t>
  </si>
  <si>
    <t>Renewables</t>
  </si>
  <si>
    <t>Waste</t>
  </si>
  <si>
    <t>W.01</t>
  </si>
  <si>
    <t>Electricity imports</t>
  </si>
  <si>
    <t>L.01</t>
  </si>
  <si>
    <t>Losses</t>
  </si>
  <si>
    <t>Y.01</t>
  </si>
  <si>
    <t>Y.02</t>
  </si>
  <si>
    <t>Z.01</t>
  </si>
  <si>
    <t>Solid hydrocarbons</t>
  </si>
  <si>
    <t>Liquid hydrocarbons</t>
  </si>
  <si>
    <t>C.01</t>
  </si>
  <si>
    <t>C.02</t>
  </si>
  <si>
    <t>C.03</t>
  </si>
  <si>
    <t>Electricity (delivered to end user)</t>
  </si>
  <si>
    <t>Solar PV</t>
  </si>
  <si>
    <t>Tidal</t>
  </si>
  <si>
    <t>Lighting and appliances</t>
  </si>
  <si>
    <t>Supply</t>
  </si>
  <si>
    <t>Demand</t>
  </si>
  <si>
    <t>I</t>
  </si>
  <si>
    <t>II</t>
  </si>
  <si>
    <t>III</t>
  </si>
  <si>
    <t>IV</t>
  </si>
  <si>
    <t>Vector</t>
  </si>
  <si>
    <t>Description</t>
  </si>
  <si>
    <t>Comment</t>
  </si>
  <si>
    <t>Category</t>
  </si>
  <si>
    <t>Subcategory</t>
  </si>
  <si>
    <t>Code</t>
  </si>
  <si>
    <t>Joules</t>
  </si>
  <si>
    <t>Unit</t>
  </si>
  <si>
    <t>PJ</t>
  </si>
  <si>
    <t>TWh</t>
  </si>
  <si>
    <t>kWh</t>
  </si>
  <si>
    <t>Mtoe</t>
  </si>
  <si>
    <t>toe</t>
  </si>
  <si>
    <t>therm</t>
  </si>
  <si>
    <t>Btu</t>
  </si>
  <si>
    <t>calorie</t>
  </si>
  <si>
    <t>GW y</t>
  </si>
  <si>
    <t>Unit.PJ</t>
  </si>
  <si>
    <t>Unit.kWh</t>
  </si>
  <si>
    <t>Unit.TWh</t>
  </si>
  <si>
    <t>Unit.toe</t>
  </si>
  <si>
    <t>Unit.Mtoe</t>
  </si>
  <si>
    <t>Unit.therm</t>
  </si>
  <si>
    <t>Unit.Btu</t>
  </si>
  <si>
    <t>Unit.calorie</t>
  </si>
  <si>
    <t>Unit.GWyear</t>
  </si>
  <si>
    <t>R.07</t>
  </si>
  <si>
    <t>Biomatter</t>
  </si>
  <si>
    <t>Hydrogen</t>
  </si>
  <si>
    <t>V.06</t>
  </si>
  <si>
    <t>[1]</t>
  </si>
  <si>
    <t>TJ</t>
  </si>
  <si>
    <t>Unit.TJ</t>
  </si>
  <si>
    <t>Conversion Calculator</t>
  </si>
  <si>
    <t>is equivalent to</t>
  </si>
  <si>
    <t>[2]</t>
  </si>
  <si>
    <t>[3]</t>
  </si>
  <si>
    <t>Other</t>
  </si>
  <si>
    <t>Coal</t>
  </si>
  <si>
    <t>Total</t>
  </si>
  <si>
    <t>Indigenous production</t>
  </si>
  <si>
    <t>National navigation</t>
  </si>
  <si>
    <t>Agriculture</t>
  </si>
  <si>
    <t>ktoe</t>
  </si>
  <si>
    <t>Unit.ktoe</t>
  </si>
  <si>
    <t>Sector</t>
  </si>
  <si>
    <t>Oil</t>
  </si>
  <si>
    <t>Landfill gas</t>
  </si>
  <si>
    <t>Liquid</t>
  </si>
  <si>
    <t>Transport</t>
  </si>
  <si>
    <t>Carbon-based fuels</t>
  </si>
  <si>
    <t>Blast furnace gas</t>
  </si>
  <si>
    <t>Coke oven gas</t>
  </si>
  <si>
    <t>Natural gas</t>
  </si>
  <si>
    <t>kWh/p/d (UK)</t>
  </si>
  <si>
    <t>Unit.kWh.p.d</t>
  </si>
  <si>
    <t xml:space="preserve"> </t>
  </si>
  <si>
    <t>Coke breeze</t>
  </si>
  <si>
    <t>Other manufactured solid fuel</t>
  </si>
  <si>
    <t>Coal (weighted average of all consumers)</t>
  </si>
  <si>
    <t>GJ</t>
  </si>
  <si>
    <t>Unit.GJ</t>
  </si>
  <si>
    <t>Coke</t>
  </si>
  <si>
    <t>Solid fuels</t>
  </si>
  <si>
    <t>Gasses</t>
  </si>
  <si>
    <t>Natural gas consumed</t>
  </si>
  <si>
    <t>Sewage gas</t>
  </si>
  <si>
    <t>Gross calorific values of selected fuels</t>
  </si>
  <si>
    <t>MJ</t>
  </si>
  <si>
    <t>Unit.MJ</t>
  </si>
  <si>
    <t>GWh</t>
  </si>
  <si>
    <t xml:space="preserve">Total </t>
  </si>
  <si>
    <t>Unit.GWh</t>
  </si>
  <si>
    <t>Name</t>
  </si>
  <si>
    <t>Name in formulae</t>
  </si>
  <si>
    <t>Petajoules</t>
  </si>
  <si>
    <t>Terajoules</t>
  </si>
  <si>
    <t>Gigajoules</t>
  </si>
  <si>
    <t>Megajoules</t>
  </si>
  <si>
    <t>Kilowatt-hours</t>
  </si>
  <si>
    <t>Kilowatt-hours per person per day</t>
  </si>
  <si>
    <t>Terawatt-hours</t>
  </si>
  <si>
    <t>Gigawatt-hours</t>
  </si>
  <si>
    <t>Tonnes of oil equivalent</t>
  </si>
  <si>
    <t>Kilotonnes of oil equivalent</t>
  </si>
  <si>
    <t>Megatonnes of oil equivalent</t>
  </si>
  <si>
    <t>Therms</t>
  </si>
  <si>
    <t>British Thermal Unit</t>
  </si>
  <si>
    <t>Calorie (NOT food calorie)</t>
  </si>
  <si>
    <t>Gigawatt-years</t>
  </si>
  <si>
    <t>Electricity (supplied to grid)</t>
  </si>
  <si>
    <t>[4]</t>
  </si>
  <si>
    <t>Notes</t>
  </si>
  <si>
    <t>Hydrocarbon fuel power generation</t>
  </si>
  <si>
    <t>Nuclear power generation</t>
  </si>
  <si>
    <t>Combustion emissions factors</t>
  </si>
  <si>
    <t>Industrial coal</t>
  </si>
  <si>
    <t>Diesel</t>
  </si>
  <si>
    <t>Commodity selected</t>
  </si>
  <si>
    <t>Gaseous hydrocarbons</t>
  </si>
  <si>
    <t>Global warming potentials</t>
  </si>
  <si>
    <t>GWP</t>
  </si>
  <si>
    <t>Carbon dioxide</t>
  </si>
  <si>
    <t>Methane</t>
  </si>
  <si>
    <t>Nitrous oxide</t>
  </si>
  <si>
    <t>HFCs</t>
  </si>
  <si>
    <t>PFCs</t>
  </si>
  <si>
    <r>
      <t>SF</t>
    </r>
    <r>
      <rPr>
        <vertAlign val="subscript"/>
        <sz val="10"/>
        <color theme="1"/>
        <rFont val="Cambria"/>
        <family val="1"/>
        <scheme val="minor"/>
      </rPr>
      <t>6</t>
    </r>
  </si>
  <si>
    <t>140 to 11,700</t>
  </si>
  <si>
    <t>6,500 to 9,200</t>
  </si>
  <si>
    <t>Review of Carbon Emissions Factors 2002 (Blast furnace gas)</t>
  </si>
  <si>
    <t>DUKES 2009 Annex A</t>
  </si>
  <si>
    <t xml:space="preserve">Sources: </t>
  </si>
  <si>
    <t>Source:</t>
  </si>
  <si>
    <t>UK GHG Inventory 2009, Table 1.1</t>
  </si>
  <si>
    <t>Note:</t>
  </si>
  <si>
    <t>GHG Inventory 2009, Table 1.A(a)</t>
  </si>
  <si>
    <t>CH4 and N2O emissions have been estimated using the ratios of emissions of each</t>
  </si>
  <si>
    <t>to the emissions of CO2 implied by Table 1.A(a) in the GHG inventory. This has</t>
  </si>
  <si>
    <t>been done separately for each form of fuel listed above</t>
  </si>
  <si>
    <r>
      <t>CO</t>
    </r>
    <r>
      <rPr>
        <b/>
        <vertAlign val="subscript"/>
        <sz val="10"/>
        <color theme="1"/>
        <rFont val="Cambria"/>
        <family val="1"/>
        <scheme val="minor"/>
      </rPr>
      <t>2</t>
    </r>
    <r>
      <rPr>
        <b/>
        <sz val="10"/>
        <color theme="1"/>
        <rFont val="Cambria"/>
        <family val="1"/>
        <scheme val="minor"/>
      </rPr>
      <t xml:space="preserve"> (Mt)</t>
    </r>
  </si>
  <si>
    <r>
      <t>CH</t>
    </r>
    <r>
      <rPr>
        <b/>
        <vertAlign val="subscript"/>
        <sz val="10"/>
        <color theme="1"/>
        <rFont val="Cambria"/>
        <family val="1"/>
        <scheme val="minor"/>
      </rPr>
      <t>4</t>
    </r>
    <r>
      <rPr>
        <b/>
        <sz val="10"/>
        <color theme="1"/>
        <rFont val="Cambria"/>
        <family val="1"/>
        <scheme val="minor"/>
      </rPr>
      <t xml:space="preserve"> (Mt CO</t>
    </r>
    <r>
      <rPr>
        <b/>
        <vertAlign val="subscript"/>
        <sz val="10"/>
        <color theme="1"/>
        <rFont val="Cambria"/>
        <family val="1"/>
        <scheme val="minor"/>
      </rPr>
      <t>2</t>
    </r>
    <r>
      <rPr>
        <b/>
        <sz val="10"/>
        <color theme="1"/>
        <rFont val="Cambria"/>
        <family val="1"/>
        <scheme val="minor"/>
      </rPr>
      <t>e)</t>
    </r>
  </si>
  <si>
    <r>
      <t>N</t>
    </r>
    <r>
      <rPr>
        <b/>
        <vertAlign val="subscript"/>
        <sz val="10"/>
        <color theme="1"/>
        <rFont val="Cambria"/>
        <family val="1"/>
        <scheme val="minor"/>
      </rPr>
      <t>2</t>
    </r>
    <r>
      <rPr>
        <b/>
        <sz val="10"/>
        <color theme="1"/>
        <rFont val="Cambria"/>
        <family val="1"/>
        <scheme val="minor"/>
      </rPr>
      <t>O (Mt CO</t>
    </r>
    <r>
      <rPr>
        <b/>
        <vertAlign val="subscript"/>
        <sz val="10"/>
        <color theme="1"/>
        <rFont val="Cambria"/>
        <family val="1"/>
        <scheme val="minor"/>
      </rPr>
      <t>2</t>
    </r>
    <r>
      <rPr>
        <b/>
        <sz val="10"/>
        <color theme="1"/>
        <rFont val="Cambria"/>
        <family val="1"/>
        <scheme val="minor"/>
      </rPr>
      <t>e)</t>
    </r>
  </si>
  <si>
    <t>Workstreams</t>
  </si>
  <si>
    <t>Workstream</t>
  </si>
  <si>
    <t>Comments</t>
  </si>
  <si>
    <t>V</t>
  </si>
  <si>
    <t>VI</t>
  </si>
  <si>
    <t>VII</t>
  </si>
  <si>
    <t>VIII</t>
  </si>
  <si>
    <t>XIV</t>
  </si>
  <si>
    <t>IX</t>
  </si>
  <si>
    <t>X</t>
  </si>
  <si>
    <t>XI</t>
  </si>
  <si>
    <t>XII</t>
  </si>
  <si>
    <t>XIII</t>
  </si>
  <si>
    <t>H2 Production</t>
  </si>
  <si>
    <t>Inputs</t>
  </si>
  <si>
    <t>Outputs</t>
  </si>
  <si>
    <t>2007</t>
  </si>
  <si>
    <t>2010</t>
  </si>
  <si>
    <t>Energy is measured in:</t>
  </si>
  <si>
    <t>Power is measured in:</t>
  </si>
  <si>
    <t>Energy conversions</t>
  </si>
  <si>
    <t>Power conversions</t>
  </si>
  <si>
    <t>Watts</t>
  </si>
  <si>
    <t>GW</t>
  </si>
  <si>
    <t>kW</t>
  </si>
  <si>
    <t>Gigawatts</t>
  </si>
  <si>
    <t>Kilowatts</t>
  </si>
  <si>
    <t>Unit.GW</t>
  </si>
  <si>
    <t>Unit.kW</t>
  </si>
  <si>
    <t>MW</t>
  </si>
  <si>
    <t>Megawatts</t>
  </si>
  <si>
    <t>Unit.MW</t>
  </si>
  <si>
    <t>Mtoe/y</t>
  </si>
  <si>
    <t>Mtoe per year</t>
  </si>
  <si>
    <t>Unit.Mtoe.y</t>
  </si>
  <si>
    <t>Time conversions</t>
  </si>
  <si>
    <t>Seconds</t>
  </si>
  <si>
    <t>y</t>
  </si>
  <si>
    <t>Year</t>
  </si>
  <si>
    <t>Unit.year</t>
  </si>
  <si>
    <t>Fuel</t>
  </si>
  <si>
    <t>Transmission entry capacity</t>
  </si>
  <si>
    <t>Notes:</t>
  </si>
  <si>
    <t>2015</t>
  </si>
  <si>
    <t>2020</t>
  </si>
  <si>
    <t>2025</t>
  </si>
  <si>
    <t>2030</t>
  </si>
  <si>
    <t>2035</t>
  </si>
  <si>
    <t>2040</t>
  </si>
  <si>
    <t>2045</t>
  </si>
  <si>
    <t>2050</t>
  </si>
  <si>
    <t>Thermal efficiency (based on gross calorific values)</t>
  </si>
  <si>
    <t>Energy produced and required</t>
  </si>
  <si>
    <t>Plant type</t>
  </si>
  <si>
    <t>Methodology</t>
  </si>
  <si>
    <t>Equivalent to</t>
  </si>
  <si>
    <t>J</t>
  </si>
  <si>
    <t>Unit.J</t>
  </si>
  <si>
    <t>W</t>
  </si>
  <si>
    <t>Unit.W</t>
  </si>
  <si>
    <t>Modules</t>
  </si>
  <si>
    <t>I.a</t>
  </si>
  <si>
    <t>Module</t>
  </si>
  <si>
    <t>WS Code</t>
  </si>
  <si>
    <t>Primary source</t>
  </si>
  <si>
    <t>Fossil fuels</t>
  </si>
  <si>
    <t>V.07</t>
  </si>
  <si>
    <t>V.08</t>
  </si>
  <si>
    <t>V.09</t>
  </si>
  <si>
    <t>Requested generation</t>
  </si>
  <si>
    <t>= Available supply</t>
  </si>
  <si>
    <t>= Total generation</t>
  </si>
  <si>
    <t>+ Own-use requirements</t>
  </si>
  <si>
    <r>
      <rPr>
        <sz val="10"/>
        <color theme="1"/>
        <rFont val="Cambria"/>
        <family val="1"/>
      </rPr>
      <t>÷</t>
    </r>
    <r>
      <rPr>
        <sz val="10"/>
        <color theme="1"/>
        <rFont val="Cambria"/>
        <family val="1"/>
        <scheme val="minor"/>
      </rPr>
      <t xml:space="preserve"> Thermal efficiency</t>
    </r>
  </si>
  <si>
    <t>= Total input energy required</t>
  </si>
  <si>
    <t>Load factor</t>
  </si>
  <si>
    <t>VII.a</t>
  </si>
  <si>
    <t>VII.b</t>
  </si>
  <si>
    <t>Fixed assumptions</t>
  </si>
  <si>
    <t>Available generation</t>
  </si>
  <si>
    <t>VII.c</t>
  </si>
  <si>
    <t>Y.03</t>
  </si>
  <si>
    <t>Eg, pumped storage</t>
  </si>
  <si>
    <t>Derived assumptions</t>
  </si>
  <si>
    <t>Population</t>
  </si>
  <si>
    <t>Households</t>
  </si>
  <si>
    <t>Global assumptions for all sectors</t>
  </si>
  <si>
    <t>Component</t>
  </si>
  <si>
    <t>Technology</t>
  </si>
  <si>
    <t>=</t>
  </si>
  <si>
    <t>%</t>
  </si>
  <si>
    <t>I.b</t>
  </si>
  <si>
    <t>Onshore wind</t>
  </si>
  <si>
    <t>Offshore wind</t>
  </si>
  <si>
    <t>Emissions</t>
  </si>
  <si>
    <t>XII.a</t>
  </si>
  <si>
    <t>Liquids</t>
  </si>
  <si>
    <t>Petroleum products (weighted average)</t>
  </si>
  <si>
    <t>DUKES 2009 (figures are for fuels in 2008)</t>
  </si>
  <si>
    <t>kg / litre</t>
  </si>
  <si>
    <t>Motor spirit</t>
  </si>
  <si>
    <t>Diesel (DERV)</t>
  </si>
  <si>
    <t>Densities of selected fuels</t>
  </si>
  <si>
    <t>Liquid fuels</t>
  </si>
  <si>
    <t>DUKES 2009, Annex A</t>
  </si>
  <si>
    <t>Motor spirit (all grades)</t>
  </si>
  <si>
    <t>DERV</t>
  </si>
  <si>
    <t>XII.b</t>
  </si>
  <si>
    <t>Aviation turbine fuel (ATF)</t>
  </si>
  <si>
    <t>VI.a</t>
  </si>
  <si>
    <t>V.10</t>
  </si>
  <si>
    <t>XIII.a</t>
  </si>
  <si>
    <t>None in 2007</t>
  </si>
  <si>
    <t>X.a</t>
  </si>
  <si>
    <t>X.b</t>
  </si>
  <si>
    <t>International aviation</t>
  </si>
  <si>
    <t>Domestic aviation</t>
  </si>
  <si>
    <t>V.a</t>
  </si>
  <si>
    <t>T.05</t>
  </si>
  <si>
    <t>T.06</t>
  </si>
  <si>
    <t>International shipping</t>
  </si>
  <si>
    <t>XV</t>
  </si>
  <si>
    <t>Fossil fuel production</t>
  </si>
  <si>
    <t>XV.a</t>
  </si>
  <si>
    <t>IV.a</t>
  </si>
  <si>
    <t>VIII.a</t>
  </si>
  <si>
    <t>Electricity distribution, storage, and balancing</t>
  </si>
  <si>
    <t>XV.b</t>
  </si>
  <si>
    <t>Y.04</t>
  </si>
  <si>
    <t>Y.05</t>
  </si>
  <si>
    <t>Y.06</t>
  </si>
  <si>
    <t>Coal extraction requirements (% of production)</t>
  </si>
  <si>
    <t>Reserves</t>
  </si>
  <si>
    <t>Q.01</t>
  </si>
  <si>
    <t>Q.02</t>
  </si>
  <si>
    <t>Q.03</t>
  </si>
  <si>
    <t>Coal reserves</t>
  </si>
  <si>
    <t>Oil reserves</t>
  </si>
  <si>
    <t>Compute coal production</t>
  </si>
  <si>
    <t>Coal production</t>
  </si>
  <si>
    <t>Electricity use</t>
  </si>
  <si>
    <t>Gasesous hydrocarbon use</t>
  </si>
  <si>
    <t>Solid hydrocarbon use</t>
  </si>
  <si>
    <t>XVI</t>
  </si>
  <si>
    <t>Road transport</t>
  </si>
  <si>
    <t>Rail transport</t>
  </si>
  <si>
    <t>Gas reserves</t>
  </si>
  <si>
    <t>A.01</t>
  </si>
  <si>
    <t>Crude oil (weighted average)</t>
  </si>
  <si>
    <t>Natural gas produced</t>
  </si>
  <si>
    <t>IPCC Sector</t>
  </si>
  <si>
    <t>Fuel Combustion</t>
  </si>
  <si>
    <t>Industrial Processes</t>
  </si>
  <si>
    <t>Solvent and Other Product Use</t>
  </si>
  <si>
    <t>Land Use, Land-Use Change and Forestry</t>
  </si>
  <si>
    <t>Sector_code</t>
  </si>
  <si>
    <t>Sector_description</t>
  </si>
  <si>
    <t>IPCC Emissions Sectors</t>
  </si>
  <si>
    <t>X1</t>
  </si>
  <si>
    <t>X2</t>
  </si>
  <si>
    <t>Greenhouse gasses</t>
  </si>
  <si>
    <t>GHG_code</t>
  </si>
  <si>
    <t>GHG_description</t>
  </si>
  <si>
    <t>CO2</t>
  </si>
  <si>
    <t>CH4</t>
  </si>
  <si>
    <t>N2O</t>
  </si>
  <si>
    <t>F</t>
  </si>
  <si>
    <t>CO_2</t>
  </si>
  <si>
    <t>CH_4</t>
  </si>
  <si>
    <t>N_2O</t>
  </si>
  <si>
    <t>HFCs, PFCs, and SF_6</t>
  </si>
  <si>
    <t>1B</t>
  </si>
  <si>
    <t>1A</t>
  </si>
  <si>
    <t>Fugitive Emissions from Fuels</t>
  </si>
  <si>
    <t>Assumed combustion emissions factors</t>
  </si>
  <si>
    <t>Industrial coal EF</t>
  </si>
  <si>
    <t>Diesel EF</t>
  </si>
  <si>
    <t>Natural gas EF</t>
  </si>
  <si>
    <t>GHG</t>
  </si>
  <si>
    <t>Emissions produced</t>
  </si>
  <si>
    <t>Mt CO2e</t>
  </si>
  <si>
    <r>
      <t>Mt CO</t>
    </r>
    <r>
      <rPr>
        <vertAlign val="subscript"/>
        <sz val="10"/>
        <color theme="1"/>
        <rFont val="Cambria"/>
        <family val="1"/>
        <scheme val="minor"/>
      </rPr>
      <t>2</t>
    </r>
    <r>
      <rPr>
        <sz val="10"/>
        <color theme="1"/>
        <rFont val="Cambria"/>
        <family val="1"/>
        <scheme val="minor"/>
      </rPr>
      <t>e</t>
    </r>
  </si>
  <si>
    <t>X3</t>
  </si>
  <si>
    <t>Not applicable to the UK</t>
  </si>
  <si>
    <t>COAL PRODUCTION</t>
  </si>
  <si>
    <t>Emissions notes</t>
  </si>
  <si>
    <t>Fugitive emissions from fuels</t>
  </si>
  <si>
    <t>1B2a</t>
  </si>
  <si>
    <t>1B2b</t>
  </si>
  <si>
    <t>Natural Gas</t>
  </si>
  <si>
    <t>1B1a</t>
  </si>
  <si>
    <t>Coal Mining and Handling</t>
  </si>
  <si>
    <t>1B1b</t>
  </si>
  <si>
    <t>Solid Fuel Transformation</t>
  </si>
  <si>
    <t>1B1c</t>
  </si>
  <si>
    <t>1B2c</t>
  </si>
  <si>
    <t>1B2d</t>
  </si>
  <si>
    <t>Venting and Flaring</t>
  </si>
  <si>
    <t>Majority are methane emissions from coal mining</t>
  </si>
  <si>
    <t>Small compared to 1B1a</t>
  </si>
  <si>
    <t>Small compared to 1B2b and 1B2c</t>
  </si>
  <si>
    <t>Majority are CO2 emissions from flaring</t>
  </si>
  <si>
    <t>Modelled driver is coal production</t>
  </si>
  <si>
    <t>Modelled driver is oil production</t>
  </si>
  <si>
    <t>Majority are methane emissions from distributed gas</t>
  </si>
  <si>
    <t>Modelled driver is gas consumption</t>
  </si>
  <si>
    <t>Compute fugitive emissions from production</t>
  </si>
  <si>
    <t>Fugitive emissions from production</t>
  </si>
  <si>
    <t>Methane from coal mining</t>
  </si>
  <si>
    <t>M tonnes</t>
  </si>
  <si>
    <t>1B2</t>
  </si>
  <si>
    <t>Oil and Natural Gas</t>
  </si>
  <si>
    <t>Fugitive methane from coal mining</t>
  </si>
  <si>
    <t>Combustion emissions from own use</t>
  </si>
  <si>
    <t>Electricity Generation</t>
  </si>
  <si>
    <t>Nuclear fission</t>
  </si>
  <si>
    <t>Assumption</t>
  </si>
  <si>
    <t>Units</t>
  </si>
  <si>
    <t>Value</t>
  </si>
  <si>
    <t>Chosen</t>
  </si>
  <si>
    <t>IV.b</t>
  </si>
  <si>
    <t>V.11</t>
  </si>
  <si>
    <t>XVII</t>
  </si>
  <si>
    <t>XVII.a</t>
  </si>
  <si>
    <t>Trajectory</t>
  </si>
  <si>
    <t>Trajectory choice</t>
  </si>
  <si>
    <t>Trajectory assumptions</t>
  </si>
  <si>
    <t>Overall Trajectory</t>
  </si>
  <si>
    <t>Trajectory selection</t>
  </si>
  <si>
    <t>Choice of Trajectory</t>
  </si>
  <si>
    <t>Domestic passenger transport</t>
  </si>
  <si>
    <t>Domestic freight</t>
  </si>
  <si>
    <r>
      <t xml:space="preserve">In our model, </t>
    </r>
    <r>
      <rPr>
        <i/>
        <sz val="10"/>
        <color theme="1"/>
        <rFont val="Cambria"/>
        <family val="1"/>
        <scheme val="minor"/>
      </rPr>
      <t>includes</t>
    </r>
    <r>
      <rPr>
        <sz val="10"/>
        <color theme="1"/>
        <rFont val="Cambria"/>
        <family val="1"/>
        <scheme val="minor"/>
      </rPr>
      <t xml:space="preserve"> biofuel combustion emissions. See sector X2</t>
    </r>
  </si>
  <si>
    <t>Sequestration due to bioenergy crops should be included under X2</t>
  </si>
  <si>
    <t>X1 is not an IPCC sectoral code. Includes domestic aviation</t>
  </si>
  <si>
    <t>Oil and petroleum products</t>
  </si>
  <si>
    <t>B</t>
  </si>
  <si>
    <t>C</t>
  </si>
  <si>
    <t>D</t>
  </si>
  <si>
    <t>Solid</t>
  </si>
  <si>
    <t>V.12</t>
  </si>
  <si>
    <t>% of production</t>
  </si>
  <si>
    <t>X2 is not an IPCC sectoral code. CO2 "credit" from bioenergy</t>
  </si>
  <si>
    <t>Nuclear power</t>
  </si>
  <si>
    <t>Heating and cooling</t>
  </si>
  <si>
    <t>V.b</t>
  </si>
  <si>
    <t>Min. of requested and available, for reference</t>
  </si>
  <si>
    <r>
      <t>Actual supplied</t>
    </r>
    <r>
      <rPr>
        <sz val="10"/>
        <color theme="1"/>
        <rFont val="Cambria"/>
        <family val="1"/>
        <scheme val="minor"/>
      </rPr>
      <t xml:space="preserve"> (available generation)</t>
    </r>
  </si>
  <si>
    <t>V.13</t>
  </si>
  <si>
    <t>International Aviation and Shipping</t>
  </si>
  <si>
    <t>Energy supply and demand</t>
  </si>
  <si>
    <t>Low</t>
  </si>
  <si>
    <t>High</t>
  </si>
  <si>
    <t>X3 is not an IPPC sectoral code. All CCS, including industry</t>
  </si>
  <si>
    <t>Carbon capture</t>
  </si>
  <si>
    <t>Bioenergy credit</t>
  </si>
  <si>
    <t>Area conversions</t>
  </si>
  <si>
    <t>ha</t>
  </si>
  <si>
    <t>Hectares</t>
  </si>
  <si>
    <t>Unit.ha</t>
  </si>
  <si>
    <t>Acres</t>
  </si>
  <si>
    <t>acres</t>
  </si>
  <si>
    <t>Unit.acre</t>
  </si>
  <si>
    <t>km^2</t>
  </si>
  <si>
    <t>m^2</t>
  </si>
  <si>
    <t>Square kilometres</t>
  </si>
  <si>
    <t>Square metres</t>
  </si>
  <si>
    <t>Unit.km2</t>
  </si>
  <si>
    <t>Unit.m2</t>
  </si>
  <si>
    <t>Wales</t>
  </si>
  <si>
    <t>Unit.Wales</t>
  </si>
  <si>
    <t>Area is measured in:</t>
  </si>
  <si>
    <t>(ii) Technology penetrations</t>
  </si>
  <si>
    <t>Trajectory 1</t>
  </si>
  <si>
    <t>Trajectory 2</t>
  </si>
  <si>
    <t>Trajectory 3</t>
  </si>
  <si>
    <t>Trajectory 4</t>
  </si>
  <si>
    <t>Days</t>
  </si>
  <si>
    <t>Unit.day</t>
  </si>
  <si>
    <t>d</t>
  </si>
  <si>
    <t>h</t>
  </si>
  <si>
    <t>Hours</t>
  </si>
  <si>
    <t>Unit.hour</t>
  </si>
  <si>
    <t>m</t>
  </si>
  <si>
    <t>Minutes</t>
  </si>
  <si>
    <t>Unit.minute</t>
  </si>
  <si>
    <t>Power to energy conversion</t>
  </si>
  <si>
    <t>Average power for given energy</t>
  </si>
  <si>
    <t>Conversion.to.average.power</t>
  </si>
  <si>
    <t>From unit</t>
  </si>
  <si>
    <t>To unit</t>
  </si>
  <si>
    <t>Factor</t>
  </si>
  <si>
    <t>Annual energy for given power</t>
  </si>
  <si>
    <t>Conversion.to.annual.energy</t>
  </si>
  <si>
    <t>Energy per second for given power</t>
  </si>
  <si>
    <t>Conversion.to.energy.per.second</t>
  </si>
  <si>
    <t>M ha</t>
  </si>
  <si>
    <t>Million hectares</t>
  </si>
  <si>
    <t>Unit.Mha</t>
  </si>
  <si>
    <t>Coal and fossil waste</t>
  </si>
  <si>
    <t>Environmental heat</t>
  </si>
  <si>
    <t>Energy crops (second generation)</t>
  </si>
  <si>
    <t>V.14</t>
  </si>
  <si>
    <t>V.15</t>
  </si>
  <si>
    <t>Energy crops (first generation)</t>
  </si>
  <si>
    <t>Bioenergy</t>
  </si>
  <si>
    <t>Agriculture and land use</t>
  </si>
  <si>
    <t>Example pathways</t>
  </si>
  <si>
    <t>(Derived from data in "Constants")</t>
  </si>
  <si>
    <t>1 (or A)</t>
  </si>
  <si>
    <t>2 (or B)</t>
  </si>
  <si>
    <t>3 (or C)</t>
  </si>
  <si>
    <t>Biomass</t>
  </si>
  <si>
    <t>Carbon Capture Storage (CCS)</t>
  </si>
  <si>
    <t>Information</t>
  </si>
  <si>
    <t>Information type</t>
  </si>
  <si>
    <t>B.01</t>
  </si>
  <si>
    <t>Installed Capacity</t>
  </si>
  <si>
    <t>Number of units</t>
  </si>
  <si>
    <t>Information summary</t>
  </si>
  <si>
    <t xml:space="preserve">Installed Capacity </t>
  </si>
  <si>
    <t>B.02</t>
  </si>
  <si>
    <t>B.03</t>
  </si>
  <si>
    <t>H2 Production for Transport</t>
  </si>
  <si>
    <t>B.04</t>
  </si>
  <si>
    <t>mcm/d</t>
  </si>
  <si>
    <t>mcm/d natural gas</t>
  </si>
  <si>
    <t>Unit.mcm.d</t>
  </si>
  <si>
    <t>Bioenergy Supply</t>
  </si>
  <si>
    <t>Edible biomass</t>
  </si>
  <si>
    <t>Gas oversupply (imports)</t>
  </si>
  <si>
    <t>Biomass oversupply (imports)</t>
  </si>
  <si>
    <t>Electricity oversupply (imports)</t>
  </si>
  <si>
    <t>Petroleum products oversupply</t>
  </si>
  <si>
    <t>Coal oversupply (imports)</t>
  </si>
  <si>
    <t>Oil and petroleum products oversupply (imports)</t>
  </si>
  <si>
    <t>4 (or D)</t>
  </si>
  <si>
    <t>Implications</t>
  </si>
  <si>
    <t>Domestic transport behaviour</t>
  </si>
  <si>
    <t>Area</t>
  </si>
  <si>
    <t>B.05</t>
  </si>
  <si>
    <t>Land area overseas</t>
  </si>
  <si>
    <t>B.06</t>
  </si>
  <si>
    <t>Length</t>
  </si>
  <si>
    <t>Length of wave front</t>
  </si>
  <si>
    <t>Illustrative station size</t>
  </si>
  <si>
    <t>Delta</t>
  </si>
  <si>
    <t>CO2e</t>
  </si>
  <si>
    <t>Residential Lighting &amp; Appliances</t>
  </si>
  <si>
    <t>Business</t>
  </si>
  <si>
    <t>Commercial Lighting &amp; Appliances</t>
  </si>
  <si>
    <t>Imported Electricity</t>
  </si>
  <si>
    <t>Electricity Balancing &amp; Other</t>
  </si>
  <si>
    <t>Energy Security Contextual Data</t>
  </si>
  <si>
    <t>Trajectory Descriptions (slightly longer for story tab)</t>
  </si>
  <si>
    <t>CCS power stations</t>
  </si>
  <si>
    <t>bcm</t>
  </si>
  <si>
    <t>unit.bcm</t>
  </si>
  <si>
    <t>Solar thermal</t>
  </si>
  <si>
    <t>Energy intensity of industry</t>
  </si>
  <si>
    <t>ONCE YOU'VE MADE YOUR CHOICES PRESS F9</t>
  </si>
  <si>
    <t>Billion Cubic Metres (Gas)</t>
  </si>
  <si>
    <t>C1.Low</t>
  </si>
  <si>
    <t>Low estimate of capital costs</t>
  </si>
  <si>
    <t>C2.Low</t>
  </si>
  <si>
    <t>Low estimate of operating costs</t>
  </si>
  <si>
    <t>C3.Low</t>
  </si>
  <si>
    <t>Low estimate of fuel costs</t>
  </si>
  <si>
    <t>C1.High</t>
  </si>
  <si>
    <t>High estimate of capital costs</t>
  </si>
  <si>
    <t>C2.High</t>
  </si>
  <si>
    <t>High estimate of operating costs</t>
  </si>
  <si>
    <t>C3.High</t>
  </si>
  <si>
    <t>High estimate of fuel costs</t>
  </si>
  <si>
    <t>Cost vectors</t>
  </si>
  <si>
    <t>Discounting</t>
  </si>
  <si>
    <t>Discount factor</t>
  </si>
  <si>
    <t>Cost conversions</t>
  </si>
  <si>
    <t>£</t>
  </si>
  <si>
    <t>£trn</t>
  </si>
  <si>
    <t>2010 trillion british pounds</t>
  </si>
  <si>
    <t>TGBP</t>
  </si>
  <si>
    <t>£bn</t>
  </si>
  <si>
    <t>2010 billion british pounds</t>
  </si>
  <si>
    <t>GGBP</t>
  </si>
  <si>
    <t>£m</t>
  </si>
  <si>
    <t>2010 million british pounds</t>
  </si>
  <si>
    <t>MGBP</t>
  </si>
  <si>
    <t>£k</t>
  </si>
  <si>
    <t>2010 thousand british pounds</t>
  </si>
  <si>
    <t>kGBP</t>
  </si>
  <si>
    <t>2010 british pounds</t>
  </si>
  <si>
    <t>GBP</t>
  </si>
  <si>
    <t>Cost assumptions</t>
  </si>
  <si>
    <t>Money is measured in:</t>
  </si>
  <si>
    <t>Costs</t>
  </si>
  <si>
    <t>Mboe</t>
  </si>
  <si>
    <t>Million barrels of oil equivalent</t>
  </si>
  <si>
    <t>Unit.Mboe</t>
  </si>
  <si>
    <t>Positive numbers are exports. Negative numbers are imports</t>
  </si>
  <si>
    <t>2009 US dollars</t>
  </si>
  <si>
    <t>USD2009_</t>
  </si>
  <si>
    <t>boe</t>
  </si>
  <si>
    <t>Barrel of oil equivalent</t>
  </si>
  <si>
    <t>Unit.boe</t>
  </si>
  <si>
    <t>Compute the cost of the fossil fuels</t>
  </si>
  <si>
    <t>Lifespan</t>
  </si>
  <si>
    <t>Years</t>
  </si>
  <si>
    <t>Euro2002</t>
  </si>
  <si>
    <t>2002 Euros</t>
  </si>
  <si>
    <t>Euro2002_</t>
  </si>
  <si>
    <t>Volume conversions</t>
  </si>
  <si>
    <t>UK Gallon</t>
  </si>
  <si>
    <t>Litres per UK gallon</t>
  </si>
  <si>
    <t>Conversion.UKgallons.to.litres</t>
  </si>
  <si>
    <t>Litres</t>
  </si>
  <si>
    <t>US Gallon</t>
  </si>
  <si>
    <t>Litres per US gallon</t>
  </si>
  <si>
    <t>Conversion.USgallons.to.litres</t>
  </si>
  <si>
    <t>Replacement</t>
  </si>
  <si>
    <t>B.07</t>
  </si>
  <si>
    <t>B.08</t>
  </si>
  <si>
    <t>Shiftable electricity demand</t>
  </si>
  <si>
    <t>B.09</t>
  </si>
  <si>
    <t>Additional electricity at peak</t>
  </si>
  <si>
    <t>B.10</t>
  </si>
  <si>
    <t>Temperature related additional electricity demand</t>
  </si>
  <si>
    <t>Ethanol</t>
  </si>
  <si>
    <t>Jet Fuel</t>
  </si>
  <si>
    <t>B.11</t>
  </si>
  <si>
    <t>Interconnector capacity</t>
  </si>
  <si>
    <t>MWh</t>
  </si>
  <si>
    <t>Megawatt-hours</t>
  </si>
  <si>
    <t>Unit.MWh</t>
  </si>
  <si>
    <t>Rate</t>
  </si>
  <si>
    <t>1990</t>
  </si>
  <si>
    <t>1991</t>
  </si>
  <si>
    <t>1992</t>
  </si>
  <si>
    <t>1993</t>
  </si>
  <si>
    <t>1994</t>
  </si>
  <si>
    <t>1995</t>
  </si>
  <si>
    <t>1996</t>
  </si>
  <si>
    <t>1997</t>
  </si>
  <si>
    <t>1998</t>
  </si>
  <si>
    <t>1999</t>
  </si>
  <si>
    <t>2000</t>
  </si>
  <si>
    <t>2001</t>
  </si>
  <si>
    <t>2002</t>
  </si>
  <si>
    <t>2003</t>
  </si>
  <si>
    <t>2004</t>
  </si>
  <si>
    <t>2005</t>
  </si>
  <si>
    <t>2006</t>
  </si>
  <si>
    <t>2008</t>
  </si>
  <si>
    <t>2009</t>
  </si>
  <si>
    <t>GDP Deflator</t>
  </si>
  <si>
    <t>Calendar year 2010 = 100</t>
  </si>
  <si>
    <t xml:space="preserve">Source: http://www.hm-treasury.gov.uk/data_gdp_fig.htm </t>
  </si>
  <si>
    <t>Financing costs for different sectors</t>
  </si>
  <si>
    <t>Discount rate (User Defined)</t>
  </si>
  <si>
    <t>XVIII</t>
  </si>
  <si>
    <t>Non-annualised</t>
  </si>
  <si>
    <t>3a</t>
  </si>
  <si>
    <t>B.12</t>
  </si>
  <si>
    <t>Balancing capacity used</t>
  </si>
  <si>
    <t>XII.a.ICE</t>
  </si>
  <si>
    <t>XII.a.EV</t>
  </si>
  <si>
    <t>Default, unless specified below</t>
  </si>
  <si>
    <t>NB: Interest rates are REAL</t>
  </si>
  <si>
    <t>LIMIT</t>
  </si>
  <si>
    <t>YOUR CHOICE</t>
  </si>
  <si>
    <t>Trajectory Descriptions</t>
  </si>
  <si>
    <t xml:space="preserve">This page contains the translations of the different codes used in the model (e.g., N.01 is energy from  uranium). </t>
  </si>
  <si>
    <t>To the right of this page are the emissions codes and the cost codes</t>
  </si>
  <si>
    <t>This sheet contains assumptions that are common to many sheets. In particular, lower down the page are assumptions about discount rates and costs of finance.</t>
  </si>
  <si>
    <t>This page contains standard assuptions. In particular, lower down the page are the emissions per unit of energy from coal, natural gas and oil.</t>
  </si>
  <si>
    <t>AQ.01</t>
  </si>
  <si>
    <t>AQ.02</t>
  </si>
  <si>
    <t>AQ.03</t>
  </si>
  <si>
    <t>AQ.04</t>
  </si>
  <si>
    <t>PM10</t>
  </si>
  <si>
    <t>NMVOC</t>
  </si>
  <si>
    <t>NOX</t>
  </si>
  <si>
    <t>SO2</t>
  </si>
  <si>
    <t>$2009</t>
  </si>
  <si>
    <t>$2010</t>
  </si>
  <si>
    <t>2010 US dollars</t>
  </si>
  <si>
    <t>USD2010_</t>
  </si>
  <si>
    <t>Energy Balance</t>
  </si>
  <si>
    <t>XVIII.a</t>
  </si>
  <si>
    <t>Storage of captured CO2</t>
  </si>
  <si>
    <t>GREENHOUSE GAS EMISSIONS</t>
  </si>
  <si>
    <t>Air Quality vectors</t>
  </si>
  <si>
    <t>C1.Point</t>
  </si>
  <si>
    <t>Point estimate of capital costs</t>
  </si>
  <si>
    <t>C2.Point</t>
  </si>
  <si>
    <t>C3.Point</t>
  </si>
  <si>
    <t>Point estimate of fuel costs</t>
  </si>
  <si>
    <t>High estimate</t>
  </si>
  <si>
    <t>Point estimate</t>
  </si>
  <si>
    <t>Low estimate</t>
  </si>
  <si>
    <t>Point estimate of operating costs</t>
  </si>
  <si>
    <t>Ratios of biomass combustion emissions to fossil fuel combustion emissions</t>
  </si>
  <si>
    <t>Fueltype</t>
  </si>
  <si>
    <t xml:space="preserve">Used </t>
  </si>
  <si>
    <t>Point Estimate</t>
  </si>
  <si>
    <t>`</t>
  </si>
  <si>
    <t>INSTRUCTIONS ARE AVAILABLE AT:</t>
  </si>
  <si>
    <t>Domestic Coal Production</t>
  </si>
  <si>
    <t>Coal power stations</t>
  </si>
  <si>
    <t>I.c</t>
  </si>
  <si>
    <t>ty</t>
  </si>
  <si>
    <t>yu</t>
  </si>
  <si>
    <t>1.b.1</t>
  </si>
  <si>
    <t>Efficiency of coal power stations</t>
  </si>
  <si>
    <t>Coal  powered Utility plants  new build</t>
  </si>
  <si>
    <t xml:space="preserve">INR </t>
  </si>
  <si>
    <t>2012 Indian Rupee</t>
  </si>
  <si>
    <t>INR</t>
  </si>
  <si>
    <t>INR Cr</t>
  </si>
  <si>
    <t>2012 Indian Rupee Crore</t>
  </si>
  <si>
    <t>INRCr</t>
  </si>
  <si>
    <t>INR lac</t>
  </si>
  <si>
    <t>2012 Indian Rupee Lacs</t>
  </si>
  <si>
    <t>INRLac</t>
  </si>
  <si>
    <t>Land assumptions</t>
  </si>
  <si>
    <t>2012</t>
  </si>
  <si>
    <t>2017</t>
  </si>
  <si>
    <t>2022</t>
  </si>
  <si>
    <t>2027</t>
  </si>
  <si>
    <t>2032</t>
  </si>
  <si>
    <t>2037</t>
  </si>
  <si>
    <t>2042</t>
  </si>
  <si>
    <t>2047</t>
  </si>
  <si>
    <t>2052</t>
  </si>
  <si>
    <t>Land Area Requirement</t>
  </si>
  <si>
    <t>Installed Capacity of Coal Based Generation</t>
  </si>
  <si>
    <t>Efficiency of Coal Based Generation</t>
  </si>
  <si>
    <t>Utility</t>
  </si>
  <si>
    <t>Captive</t>
  </si>
  <si>
    <t>Coal  powered plants  retirement rate</t>
  </si>
  <si>
    <t>Coal  powered plants Installled Capacity Cumulative</t>
  </si>
  <si>
    <t>SubC</t>
  </si>
  <si>
    <t>SC</t>
  </si>
  <si>
    <t>USC</t>
  </si>
  <si>
    <t>IGCC</t>
  </si>
  <si>
    <t>Coal Powered Utlity Plants New Build</t>
  </si>
  <si>
    <t>Chosen Utility</t>
  </si>
  <si>
    <t>Chosen Captive</t>
  </si>
  <si>
    <t>Coal Powered Utlity Plants Retirement</t>
  </si>
  <si>
    <t>Coal Powered Utlity Plants Cumulative Capacity</t>
  </si>
  <si>
    <t>Coal Powered Captive Plants Cumulative Capacity</t>
  </si>
  <si>
    <t>Coal Powered Plants Cumulative Capacity</t>
  </si>
  <si>
    <t>Captive+ Utility</t>
  </si>
  <si>
    <t>Average Plant Load Factor for Utility Power Plants</t>
  </si>
  <si>
    <t>Average Plant Load Factor for Captive Power Plants</t>
  </si>
  <si>
    <t>Assumed age of utilities coal TPPs (age &lt; 35 years) (yrs)</t>
  </si>
  <si>
    <t>Assumed age of captive coal TPPs (age &lt; 30 years) (yrs)</t>
  </si>
  <si>
    <t>Additional age of TPPs who are above the assumed age (yrs)</t>
  </si>
  <si>
    <t>Derived Assumptions</t>
  </si>
  <si>
    <t>Coal Utility Based Thermal Power</t>
  </si>
  <si>
    <t>Utility Based Thermal Power Capacity</t>
  </si>
  <si>
    <t>Captive Based Thermal Power Capacity</t>
  </si>
  <si>
    <t>PLF for Utility Plants</t>
  </si>
  <si>
    <t>PlF for CaptivePlants</t>
  </si>
  <si>
    <t>Mtce</t>
  </si>
  <si>
    <t>Million Tonnes of Coal Equivalent</t>
  </si>
  <si>
    <t>Btce</t>
  </si>
  <si>
    <t>Billion Tonnes of Coal Equivalent</t>
  </si>
  <si>
    <t>unit.Mtce</t>
  </si>
  <si>
    <t>unit.btce</t>
  </si>
  <si>
    <t>Domestic Coal Reserves: Proven</t>
  </si>
  <si>
    <t>Domestic Lignite Reserves: Proven</t>
  </si>
  <si>
    <t>Domestic Coal + Lignite  Reserves: Proven</t>
  </si>
  <si>
    <t>Mineability of Coal + Lignite Reserves</t>
  </si>
  <si>
    <t>Domestic Coal + Lignite  Production</t>
  </si>
  <si>
    <t>Coal Mine Size</t>
  </si>
  <si>
    <t>MTPA</t>
  </si>
  <si>
    <t>Average Life of Mine</t>
  </si>
  <si>
    <t>Land Requirement for Coal Production</t>
  </si>
  <si>
    <t xml:space="preserve">    </t>
  </si>
  <si>
    <t>Fossill fuel imports</t>
  </si>
  <si>
    <t>Coal Imports</t>
  </si>
  <si>
    <t>Coal consumption for efficient technologies</t>
  </si>
  <si>
    <t>GCV (kcal/kg)</t>
  </si>
  <si>
    <t>kcal/KJ</t>
  </si>
  <si>
    <t>Specific Coal consumption (kg/kWh)</t>
  </si>
  <si>
    <t>Specific coal consumption (MTPA/billion kWh)</t>
  </si>
  <si>
    <t>Subcritical (SubC) (current India)</t>
  </si>
  <si>
    <t>Supercritical (SC)</t>
  </si>
  <si>
    <t>Ultra supercritical (USC)</t>
  </si>
  <si>
    <t>Integrated Gasification Combined Cycle (IGCC)</t>
  </si>
  <si>
    <t>Q1.01</t>
  </si>
  <si>
    <t>Coal Supplied to Power Sector</t>
  </si>
  <si>
    <t>C1.01</t>
  </si>
  <si>
    <t>C1.02</t>
  </si>
  <si>
    <t>C1.03</t>
  </si>
  <si>
    <t>C1.04</t>
  </si>
  <si>
    <t>C1.05</t>
  </si>
  <si>
    <t>Land Requirement of Domestic Coal Based Thermal Power Plant</t>
  </si>
  <si>
    <t>Info</t>
  </si>
  <si>
    <t>P.01</t>
  </si>
  <si>
    <t>PLF</t>
  </si>
  <si>
    <t>Land Requirement of  Imported Coal Based Thermal Power Plant</t>
  </si>
  <si>
    <t>Load factor [1]</t>
  </si>
  <si>
    <t>PeakCapacity/unit of catchment area</t>
  </si>
  <si>
    <t>PeakCapacity/unit of resevoir area</t>
  </si>
  <si>
    <t>Capacity</t>
  </si>
  <si>
    <t>Hyrdroelectricity</t>
  </si>
  <si>
    <t>Installed capacity</t>
  </si>
  <si>
    <t>×</t>
  </si>
  <si>
    <t>Capacity factor</t>
  </si>
  <si>
    <t>Available supply</t>
  </si>
  <si>
    <t>Generation</t>
  </si>
  <si>
    <t>Gas, Other Supply</t>
  </si>
  <si>
    <t>Gas, UGC Supply</t>
  </si>
  <si>
    <t>Indo-Pak International Pipeline</t>
  </si>
  <si>
    <t>TAPI</t>
  </si>
  <si>
    <t>Gas, International gas pipelines supply</t>
  </si>
  <si>
    <t>Gas, Shale gas Supply</t>
  </si>
  <si>
    <t>Gas, CBM Supply</t>
  </si>
  <si>
    <t>Gas, OIL Supply</t>
  </si>
  <si>
    <t>Gas, ONGC Supply</t>
  </si>
  <si>
    <t>years</t>
  </si>
  <si>
    <t>× Capacity factor</t>
  </si>
  <si>
    <t>Level 2</t>
  </si>
  <si>
    <t>Offshore wind, new build</t>
  </si>
  <si>
    <t>Offshore wind, retirement</t>
  </si>
  <si>
    <t>Offshore Wind Cumulative Capacity</t>
  </si>
  <si>
    <t>Assumed typical plant size</t>
  </si>
  <si>
    <t>Total wind capacity</t>
  </si>
  <si>
    <t>Installed peak capacity</t>
  </si>
  <si>
    <t>XV.c</t>
  </si>
  <si>
    <t>ONGC incl. JVs</t>
  </si>
  <si>
    <t>Oil India Limited</t>
  </si>
  <si>
    <t>PVT / JVCs excluding ONGC's share</t>
  </si>
  <si>
    <t>Total reserves</t>
  </si>
  <si>
    <t>Compute oil production</t>
  </si>
  <si>
    <t>OIL PRODUCTION</t>
  </si>
  <si>
    <t>Oil production</t>
  </si>
  <si>
    <t>Onshore wind, new build</t>
  </si>
  <si>
    <t>Onshore wind, retirement</t>
  </si>
  <si>
    <t>Onshore wind, cumulative capacity</t>
  </si>
  <si>
    <t>Capacity Utlization Factor</t>
  </si>
  <si>
    <t>Land requirement for onshore wind</t>
  </si>
  <si>
    <t>Scenario</t>
  </si>
  <si>
    <t>IMPORTED ELECTRICITY</t>
  </si>
  <si>
    <t>Domestic Small Hydroelectric New Capacity</t>
  </si>
  <si>
    <t>Domestic Small Hydroelectricity Retired Capacity</t>
  </si>
  <si>
    <t>Domestic Small Hydroelectricity Cumulative Capacity</t>
  </si>
  <si>
    <t>Size of Small hydro project</t>
  </si>
  <si>
    <t>Solar Plant size</t>
  </si>
  <si>
    <t>See module writeup for assumptions</t>
  </si>
  <si>
    <t>Oil and gas extraction requirements (% of production)</t>
  </si>
  <si>
    <t>Mode</t>
  </si>
  <si>
    <t>OIL AND GAS PRODUCTION</t>
  </si>
  <si>
    <t>Gas production</t>
  </si>
  <si>
    <t>Fugitive CO2 from Oil and Gas production</t>
  </si>
  <si>
    <t>3b</t>
  </si>
  <si>
    <t>OTHER EMISSIONS</t>
  </si>
  <si>
    <t>Combustion emissions</t>
  </si>
  <si>
    <t>kt</t>
  </si>
  <si>
    <t>Process emissions</t>
  </si>
  <si>
    <t>Base Years</t>
  </si>
  <si>
    <t>Conversion efficiency of combined cycle gas turbine</t>
  </si>
  <si>
    <t>G.01</t>
  </si>
  <si>
    <t>Combined Cycle Gas Turbine Plant with cooling towers</t>
  </si>
  <si>
    <t>Combined Cycle Gas Turbine Plant without cooling towers</t>
  </si>
  <si>
    <t>Small Hydro</t>
  </si>
  <si>
    <t>Onshore Wind</t>
  </si>
  <si>
    <t>Offshore Wind</t>
  </si>
  <si>
    <t>Area of sea farmed</t>
  </si>
  <si>
    <t>Area on Land allocated for micro-algae</t>
  </si>
  <si>
    <t>Input assumptions( Offshore based Macro Algae)</t>
  </si>
  <si>
    <t>Fuel Conversion Efficiency</t>
  </si>
  <si>
    <t>Off Shore Macro Algae</t>
  </si>
  <si>
    <t>Areal Productivity</t>
  </si>
  <si>
    <t>Input assumptions( Onshore  based Micro Algae)</t>
  </si>
  <si>
    <t xml:space="preserve">Lipid Content </t>
  </si>
  <si>
    <t>% of algae matter</t>
  </si>
  <si>
    <t>Annual Liquid Fuel Yeild from Lipid</t>
  </si>
  <si>
    <t>Liquid Fuel from Macro Algae</t>
  </si>
  <si>
    <t>Liquid Fuel/annum</t>
  </si>
  <si>
    <t>Liquid Fuel from Onland  MicroAlgae</t>
  </si>
  <si>
    <t>Type</t>
  </si>
  <si>
    <t>Total Trajectory 1</t>
  </si>
  <si>
    <t>Total Trajectory 2</t>
  </si>
  <si>
    <t>Total Trajectory 3</t>
  </si>
  <si>
    <t>Total Trajectory 4</t>
  </si>
  <si>
    <t>Chosen Trajectory</t>
  </si>
  <si>
    <t>Gas Imports</t>
  </si>
  <si>
    <t>Oil Imports</t>
  </si>
  <si>
    <t>Commercial Cooking</t>
  </si>
  <si>
    <t>Energy Demand for cooking</t>
  </si>
  <si>
    <t>GDP Growth Rate</t>
  </si>
  <si>
    <t>unit.scm</t>
  </si>
  <si>
    <t>scm</t>
  </si>
  <si>
    <t>Kilogram of LPG Equivalent</t>
  </si>
  <si>
    <t>Level</t>
  </si>
  <si>
    <t xml:space="preserve">Elasticity </t>
  </si>
  <si>
    <t>Consumption of LPG</t>
  </si>
  <si>
    <t>Consumption of Piped Natural Gas( PNG)</t>
  </si>
  <si>
    <t>mmscm</t>
  </si>
  <si>
    <t>Million Metric Standard Cubic Meters( Gas)</t>
  </si>
  <si>
    <t>Unit.mmscm</t>
  </si>
  <si>
    <t>TLPGe</t>
  </si>
  <si>
    <t>Tonnes of LPG Equivalent</t>
  </si>
  <si>
    <t>Unit.tlpge</t>
  </si>
  <si>
    <t xml:space="preserve">Total Energy </t>
  </si>
  <si>
    <t>Efficiency</t>
  </si>
  <si>
    <t>Energy Demand for Cooking</t>
  </si>
  <si>
    <t>LPG Penetration Growth</t>
  </si>
  <si>
    <t>Share of LPG</t>
  </si>
  <si>
    <t>Share of PNG</t>
  </si>
  <si>
    <t>Input assumptions</t>
  </si>
  <si>
    <t>Life Cycle of a PNG/LPG cookstove</t>
  </si>
  <si>
    <t>Energy Demand for Commercial Cooking</t>
  </si>
  <si>
    <t>Demand Tyoe</t>
  </si>
  <si>
    <t>Penetration of LPG in commercial Cooking</t>
  </si>
  <si>
    <t>LPG Demand for Cooking</t>
  </si>
  <si>
    <t>PNG Demand for Cooking</t>
  </si>
  <si>
    <t>No of Commercial Consumers</t>
  </si>
  <si>
    <t>Domestic Cooking</t>
  </si>
  <si>
    <t>Household Population</t>
  </si>
  <si>
    <t>Decription</t>
  </si>
  <si>
    <t>Urban Households</t>
  </si>
  <si>
    <t>Rural Households</t>
  </si>
  <si>
    <t>Millions</t>
  </si>
  <si>
    <t>Demand for Cooking Rural</t>
  </si>
  <si>
    <t>Demand for Cooking Urban</t>
  </si>
  <si>
    <t>Demand for Cooking: Domestic</t>
  </si>
  <si>
    <t>Penetration of Cooking Technologies</t>
  </si>
  <si>
    <t>LPG</t>
  </si>
  <si>
    <t>PNG</t>
  </si>
  <si>
    <t>Kerosene</t>
  </si>
  <si>
    <t>Biogas</t>
  </si>
  <si>
    <t>Rural</t>
  </si>
  <si>
    <t>Urban</t>
  </si>
  <si>
    <t>Efficiency of technologies</t>
  </si>
  <si>
    <t>Fuel Description</t>
  </si>
  <si>
    <t>ELECTRICITY</t>
  </si>
  <si>
    <t>BIOMASS</t>
  </si>
  <si>
    <t>COAL</t>
  </si>
  <si>
    <t>KEROSENE</t>
  </si>
  <si>
    <t>BIOGAS</t>
  </si>
  <si>
    <t>Standard Cubic Meter</t>
  </si>
  <si>
    <t>KGLPGe</t>
  </si>
  <si>
    <t>unit.kglpge</t>
  </si>
  <si>
    <t>Per hh consumption Annual</t>
  </si>
  <si>
    <t>Household Annual Fuel Consumption</t>
  </si>
  <si>
    <t>scm b</t>
  </si>
  <si>
    <t>Standard Cubic Meter of Bio Gas Equvt</t>
  </si>
  <si>
    <t>unit.scm b</t>
  </si>
  <si>
    <t>lke</t>
  </si>
  <si>
    <t>Litres of Kerosene Equivalent</t>
  </si>
  <si>
    <t>unit.lke</t>
  </si>
  <si>
    <t>kgb</t>
  </si>
  <si>
    <t>Kilograms of Biomass Eqvt</t>
  </si>
  <si>
    <t>unit.kgb</t>
  </si>
  <si>
    <t>tbe</t>
  </si>
  <si>
    <t>Tonnes of Biomass Eqvt.</t>
  </si>
  <si>
    <t>unit.tbe</t>
  </si>
  <si>
    <t>Kgce</t>
  </si>
  <si>
    <t>Kilogram of Coal Equivalent</t>
  </si>
  <si>
    <t>unit.kgce</t>
  </si>
  <si>
    <t>Fuel Specific Energy Demand</t>
  </si>
  <si>
    <t>RAIL</t>
  </si>
  <si>
    <t>DIESEL</t>
  </si>
  <si>
    <t>ELECTRIC</t>
  </si>
  <si>
    <t>ROAD</t>
  </si>
  <si>
    <t>NATIONAL NAVIGATION</t>
  </si>
  <si>
    <t>Energy produced and required - Total Domestic Freight</t>
  </si>
  <si>
    <t>Energy produced and required - Road freight</t>
  </si>
  <si>
    <t>Energy produced and required - Rail freight</t>
  </si>
  <si>
    <t>Emissions produced - Domestic Freight Total</t>
  </si>
  <si>
    <t>Emissions produced - Road</t>
  </si>
  <si>
    <t>Emissions produced - Rail</t>
  </si>
  <si>
    <t>Energy consumption</t>
  </si>
  <si>
    <t>Freight Transport Demand Per Capita</t>
  </si>
  <si>
    <t>Freight Transport Mode</t>
  </si>
  <si>
    <t>BT-KM</t>
  </si>
  <si>
    <t>BAU</t>
  </si>
  <si>
    <t>10% less</t>
  </si>
  <si>
    <t>15% less</t>
  </si>
  <si>
    <t>AIR</t>
  </si>
  <si>
    <t>Modal Shares for Freight Transport Demand</t>
  </si>
  <si>
    <t>Modal Share by Technology</t>
  </si>
  <si>
    <t>HCV</t>
  </si>
  <si>
    <t>LCV</t>
  </si>
  <si>
    <t>lpe</t>
  </si>
  <si>
    <t>Litre of Petrol Eqvt.</t>
  </si>
  <si>
    <t>unit.lpe</t>
  </si>
  <si>
    <t>Diesel (TJ/lt)</t>
  </si>
  <si>
    <t>*0.839/1000*1.04*41.868/1000</t>
  </si>
  <si>
    <t>Petrol (TJ/lt)</t>
  </si>
  <si>
    <t>*0.74/1000*1.07*41.868/1000</t>
  </si>
  <si>
    <t>ATF (TJ/lt)</t>
  </si>
  <si>
    <t>*0.806/1000*1.07*41.868/1000</t>
  </si>
  <si>
    <t>Fuel Oil (TJ/lt)</t>
  </si>
  <si>
    <t>*0.939/1000*0.96*41.868/1000</t>
  </si>
  <si>
    <t>Natural gas/CNG (TJ/lt)</t>
  </si>
  <si>
    <t>38.3 MJ/m3=38.3*0.001MJ/lt=38.3*10^(-6)TJ/lt</t>
  </si>
  <si>
    <t>LPG (TJ/lt)</t>
  </si>
  <si>
    <t>26 MJ/L=26*10^(-6)TJ/L</t>
  </si>
  <si>
    <t>http://www.natural-gas.com.au/about/references.html</t>
  </si>
  <si>
    <t>lde</t>
  </si>
  <si>
    <t>Litre of Diesel Equivalent</t>
  </si>
  <si>
    <t>unit.lde</t>
  </si>
  <si>
    <t>latfe</t>
  </si>
  <si>
    <t>Litres of ATF Equvt</t>
  </si>
  <si>
    <t>unit.latfe</t>
  </si>
  <si>
    <t>Multiply with Technology Efficiencies</t>
  </si>
  <si>
    <t>Compute Fuel Reuirement per mode</t>
  </si>
  <si>
    <t>Calculation of Volume of Freight per scenario</t>
  </si>
  <si>
    <t>Billion-tonne-km</t>
  </si>
  <si>
    <t>2051</t>
  </si>
  <si>
    <t>Passenger Transport Demand per Capita</t>
  </si>
  <si>
    <t>Passenger Transport Mode</t>
  </si>
  <si>
    <t>Ratio of Public Private mode share in Road</t>
  </si>
  <si>
    <t>Population Projection</t>
  </si>
  <si>
    <t>Passenger KM per person per year</t>
  </si>
  <si>
    <t>Billion Passenger Km Year</t>
  </si>
  <si>
    <t>% shares on public/private road modes</t>
  </si>
  <si>
    <t>Modal shares</t>
  </si>
  <si>
    <t>2051-52</t>
  </si>
  <si>
    <t>2011-12</t>
  </si>
  <si>
    <t>PUBLIC</t>
  </si>
  <si>
    <t>Bus and Omnibus</t>
  </si>
  <si>
    <t>PRIVATE</t>
  </si>
  <si>
    <t>Car/2W/3W/Taxi</t>
  </si>
  <si>
    <t>Public Private Share of Road Transport</t>
  </si>
  <si>
    <t>Level 1</t>
  </si>
  <si>
    <t>Level 3</t>
  </si>
  <si>
    <t>Level 4</t>
  </si>
  <si>
    <t>Submode</t>
  </si>
  <si>
    <t>BUS</t>
  </si>
  <si>
    <t>ONMI-BUS</t>
  </si>
  <si>
    <t>CAR</t>
  </si>
  <si>
    <t>2W</t>
  </si>
  <si>
    <t>3W</t>
  </si>
  <si>
    <t>TAXI</t>
  </si>
  <si>
    <t>Public Private share of Passenger Km in Road Transport</t>
  </si>
  <si>
    <t>Selected Trajectory</t>
  </si>
  <si>
    <t>Sub-mode</t>
  </si>
  <si>
    <t>CNG</t>
  </si>
  <si>
    <t>PETROL</t>
  </si>
  <si>
    <t>lcng</t>
  </si>
  <si>
    <t>Litres of CNG equivalent</t>
  </si>
  <si>
    <t>unit.llcng</t>
  </si>
  <si>
    <t>Litres of LPG Equivalent</t>
  </si>
  <si>
    <t>llpg</t>
  </si>
  <si>
    <t>unit.llpg</t>
  </si>
  <si>
    <t>Calculation of Passenger KM per scenario</t>
  </si>
  <si>
    <t>Billion-passenger-km</t>
  </si>
  <si>
    <t>Total Billion Passenger KM demand</t>
  </si>
  <si>
    <t>Calculation of Fuel Demand per Scenario</t>
  </si>
  <si>
    <t>ATF</t>
  </si>
  <si>
    <t>Total Domestic Passenger Transport Demand/Capita</t>
  </si>
  <si>
    <t>Total Passenger Transport Demand</t>
  </si>
  <si>
    <t>Modal Shares for Passenger Transport Demand</t>
  </si>
  <si>
    <t>Energy produced and required - Total Passenger Transport</t>
  </si>
  <si>
    <t>P.02</t>
  </si>
  <si>
    <t>Energy produced and required - Passenger Road Trransport</t>
  </si>
  <si>
    <t>Energy produced and required - Passenger Rail Transport</t>
  </si>
  <si>
    <t>Energy produced and required - Passenger Domestic Aviation Transport</t>
  </si>
  <si>
    <t>Cooking</t>
  </si>
  <si>
    <t>M.01</t>
  </si>
  <si>
    <t>kg/l</t>
  </si>
  <si>
    <t>mtde</t>
  </si>
  <si>
    <t>Million Tonnes of Diesel Equivalent</t>
  </si>
  <si>
    <t>unit.mtde</t>
  </si>
  <si>
    <t>Calculation of Number of Commercial Consumers per scenario.</t>
  </si>
  <si>
    <t>Annual Number of Commercial Consumers</t>
  </si>
  <si>
    <t>Annual Growth Rate of Commercial Consumers</t>
  </si>
  <si>
    <t>New Consumers</t>
  </si>
  <si>
    <t xml:space="preserve">Chosen Trajectory </t>
  </si>
  <si>
    <t xml:space="preserve">Input Fuel Efficiency </t>
  </si>
  <si>
    <t>Fuel Penetration*Fuel Efficiency*10^6*Energy Demand</t>
  </si>
  <si>
    <t>Life Cycle( Years)</t>
  </si>
  <si>
    <t>Fuel Penetration</t>
  </si>
  <si>
    <t>Hydro Electric Power Generation</t>
  </si>
  <si>
    <t>National  renewable power generation</t>
  </si>
  <si>
    <t>Buildings</t>
  </si>
  <si>
    <t>Gas Power Stations</t>
  </si>
  <si>
    <t>Hydro Power Generation</t>
  </si>
  <si>
    <t>IV.c.1</t>
  </si>
  <si>
    <t>IV.C.2</t>
  </si>
  <si>
    <t>IV.d</t>
  </si>
  <si>
    <t>First &amp; Second Generation Bio Fuels</t>
  </si>
  <si>
    <t>Advanced Bio Fuels</t>
  </si>
  <si>
    <t>V.c</t>
  </si>
  <si>
    <t>Waste to Electricity</t>
  </si>
  <si>
    <t>Telecom</t>
  </si>
  <si>
    <t>Storage, demand shifting</t>
  </si>
  <si>
    <t>IX.</t>
  </si>
  <si>
    <t>Buildings Efficiency</t>
  </si>
  <si>
    <t>Domestic Lighting &amp; Appliances</t>
  </si>
  <si>
    <t>XIII.b</t>
  </si>
  <si>
    <t>XIV.</t>
  </si>
  <si>
    <t>Domestic Gas Production</t>
  </si>
  <si>
    <t>Domestic Oil Production</t>
  </si>
  <si>
    <t>XVI.</t>
  </si>
  <si>
    <t>XVII.b</t>
  </si>
  <si>
    <t>XVII.c</t>
  </si>
  <si>
    <t>M.02</t>
  </si>
  <si>
    <t>Domestic Cooking  Energy Demand</t>
  </si>
  <si>
    <t>Commercial Cooking Energy Demand</t>
  </si>
  <si>
    <t>Domestic Lighting &amp; appliances</t>
  </si>
  <si>
    <t>L.02</t>
  </si>
  <si>
    <t>Telecom Sector Energy Demand</t>
  </si>
  <si>
    <t>XIII.</t>
  </si>
  <si>
    <t>Uses</t>
  </si>
  <si>
    <t>Secondary sources</t>
  </si>
  <si>
    <t>Primary Sources</t>
  </si>
  <si>
    <t>Adjustments</t>
  </si>
  <si>
    <r>
      <t>Emissions (Mt CO</t>
    </r>
    <r>
      <rPr>
        <b/>
        <vertAlign val="subscript"/>
        <sz val="18"/>
        <color theme="1"/>
        <rFont val="Calibri"/>
        <family val="2"/>
        <scheme val="major"/>
      </rPr>
      <t>2</t>
    </r>
    <r>
      <rPr>
        <b/>
        <sz val="18"/>
        <color theme="1"/>
        <rFont val="Calibri"/>
        <family val="2"/>
        <scheme val="major"/>
      </rPr>
      <t>e)</t>
    </r>
  </si>
  <si>
    <t>Total uses</t>
  </si>
  <si>
    <t>Total secondary sources</t>
  </si>
  <si>
    <t>Total primary sources</t>
  </si>
  <si>
    <t>Total adjust.</t>
  </si>
  <si>
    <t>Consumption</t>
  </si>
  <si>
    <t>Subtotal.Consumption</t>
  </si>
  <si>
    <t>Total consumption</t>
  </si>
  <si>
    <t>Subtotal.Supply</t>
  </si>
  <si>
    <t>Total supply</t>
  </si>
  <si>
    <t>Distribution, storage, and balancing</t>
  </si>
  <si>
    <t>Subtotal.VII.b</t>
  </si>
  <si>
    <t>Total electricity supply (demand) prior to generation</t>
  </si>
  <si>
    <t>Subtotal.V.a</t>
  </si>
  <si>
    <t>Total supply / (demand) to this point</t>
  </si>
  <si>
    <t>Requested hydrocarbons</t>
  </si>
  <si>
    <t>*</t>
  </si>
  <si>
    <t>Subtotal.Balancing</t>
  </si>
  <si>
    <t>Total Dist'n, storage, and balancing</t>
  </si>
  <si>
    <t>Net balance</t>
  </si>
  <si>
    <t>Used in electricity</t>
  </si>
  <si>
    <t>Computed within this worksheet</t>
  </si>
  <si>
    <t>Matching electricity</t>
  </si>
  <si>
    <t>emissions factor</t>
  </si>
  <si>
    <t>Energy source / use charts</t>
  </si>
  <si>
    <t>Historic data:</t>
  </si>
  <si>
    <t>2007 (Consistent)</t>
  </si>
  <si>
    <t>Use</t>
  </si>
  <si>
    <t>Source</t>
  </si>
  <si>
    <t>Primary electricity, solar, marine, and net imports</t>
  </si>
  <si>
    <t>Dukes long-term trends 1.1.2 coal imports - coal exports</t>
  </si>
  <si>
    <t>Dukes long-term trends 1.1.2 coal production - stock changes</t>
  </si>
  <si>
    <t>Dukes 1.1 Primary oils indigenous production + Stock change of Primary oils and Petroleum products minus non-energy use of petroleum products</t>
  </si>
  <si>
    <t>Dukes 1.1 Primary oils imports - exports</t>
  </si>
  <si>
    <t>Sum of above</t>
  </si>
  <si>
    <t>Dukes long-term trends 4.1.1 Methane imports - exports</t>
  </si>
  <si>
    <t>Dukes 1.1 Natural gas indigenous production + Stock change of natural gas minus non-energy use of natural gas</t>
  </si>
  <si>
    <t>Total Primary Supply</t>
  </si>
  <si>
    <t>Conversion losses, distribution, and own use</t>
  </si>
  <si>
    <t>Supply net of losses</t>
  </si>
  <si>
    <t>Supply / demand not accounted for</t>
  </si>
  <si>
    <t>Total unnaccounted supply / demand</t>
  </si>
  <si>
    <t>Supply, Demand, and Unaccounted supply</t>
  </si>
  <si>
    <t>Electricity grid (net of distribution losses)</t>
  </si>
  <si>
    <t>REFERENCED</t>
  </si>
  <si>
    <t>Total electricity grid</t>
  </si>
  <si>
    <t>Demand (for charting)</t>
  </si>
  <si>
    <t>Dummy for charting</t>
  </si>
  <si>
    <t>Net balance (should be zero!)</t>
  </si>
  <si>
    <t>Dukes 5.6 sum of generation - used on works for coal, oil gas and renewables</t>
  </si>
  <si>
    <t>Dukes 5.6 Nuclear generation - used on works</t>
  </si>
  <si>
    <t>Dukes 7.4 Generation Onshore wind</t>
  </si>
  <si>
    <t>Dukes 7.4 Generation Offshore wind</t>
  </si>
  <si>
    <t>Dukes 5.6 Hydro - natural flow generation - used on works</t>
  </si>
  <si>
    <t>Total generation supplied to grid</t>
  </si>
  <si>
    <t>Electricity exports</t>
  </si>
  <si>
    <t>Dukes 5.7 Conventional steam stations + Combined cycle gas turbine stations</t>
  </si>
  <si>
    <t>no bio in Dukes</t>
  </si>
  <si>
    <t>Dukes  5.7 Nuclear stations</t>
  </si>
  <si>
    <t>Wind not split in Dukes</t>
  </si>
  <si>
    <t>Dukes  5.7 Hydro-electric stations: Natural flow</t>
  </si>
  <si>
    <t>Other renewables not split in Dukes</t>
  </si>
  <si>
    <t>Standby / peaking gas</t>
  </si>
  <si>
    <t>Total generation</t>
  </si>
  <si>
    <t>Emissions as % of base year, adjusted so that 2007 matches actuals</t>
  </si>
  <si>
    <t>2007 Actuals, GHG Inv.</t>
  </si>
  <si>
    <t>Calculated from below</t>
  </si>
  <si>
    <t>Excluding international bunkers</t>
  </si>
  <si>
    <t>Adjustment factor:</t>
  </si>
  <si>
    <t>Emissions by sector</t>
  </si>
  <si>
    <t>Emissions in the time period (up to and including year above)</t>
  </si>
  <si>
    <t>REFERENCED - All costs</t>
  </si>
  <si>
    <t>Modelled emissions</t>
  </si>
  <si>
    <t>Cumulative emissions</t>
  </si>
  <si>
    <t>Actuals, GHG Inv.</t>
  </si>
  <si>
    <t>UNFCCC Inventory Submissions 2012 [GBR-2012-2010-v1.2.xls] Summary2 'SUMMARY REPORT FOR CO2 EQUIVALENT EMISSIONS' - http://unfccc.int/national_reports/annex_i_ghg_inventories/national_inventories_submissions/items/6598.php</t>
  </si>
  <si>
    <t>NE,NO</t>
  </si>
  <si>
    <t>NA</t>
  </si>
  <si>
    <t>Calculation</t>
  </si>
  <si>
    <t>Bio-energy - Production and Use</t>
  </si>
  <si>
    <t>Production</t>
  </si>
  <si>
    <t xml:space="preserve">DUKES - Commodity balances, production of wood waste, wood, poultry litter, meal and bone, and farm waste, and straw, SRC, and other plant-based biomass </t>
  </si>
  <si>
    <t>DUKES - Commodity balances, production of liquid biofuels</t>
  </si>
  <si>
    <t>DUKES - Commodity balances, production of sewage gas and landfill gas</t>
  </si>
  <si>
    <t xml:space="preserve">DUKES - Commodity balances, imports of wood waste, wood, poultry litter, meal and bone, and farm waste, and straw, SRC, and other plant-based biomass </t>
  </si>
  <si>
    <t>DUKES - Commodity balances, imports of liquid biofuels</t>
  </si>
  <si>
    <t>DUKES - Commodity balances, imports of sewage gas and landfill gas</t>
  </si>
  <si>
    <t>Column1</t>
  </si>
  <si>
    <t>Power Generation</t>
  </si>
  <si>
    <t>Primary supply, format for web-based interface</t>
  </si>
  <si>
    <t>% imported</t>
  </si>
  <si>
    <t>Primary demand</t>
  </si>
  <si>
    <t>Electricity, format for web-based interface</t>
  </si>
  <si>
    <t>Lighting &amp; appliances</t>
  </si>
  <si>
    <t>From</t>
  </si>
  <si>
    <t>To</t>
  </si>
  <si>
    <t>Bio-conversion</t>
  </si>
  <si>
    <t>2052 Calculator calculations</t>
  </si>
  <si>
    <t>Land use implications</t>
  </si>
  <si>
    <t>Flows through the energy system (for producing an energy flow diagram)</t>
  </si>
  <si>
    <t>Cross check of flows through the energy system (based on the idea that energy is transformed, but not destroyed)</t>
  </si>
  <si>
    <t>Values flowing from the transformation</t>
  </si>
  <si>
    <t>Values flowing to the transformation</t>
  </si>
  <si>
    <t>Check that flows in equal flows out</t>
  </si>
  <si>
    <t>Transformation</t>
  </si>
  <si>
    <t>Public Road Transport</t>
  </si>
  <si>
    <t>Private Road Transport</t>
  </si>
  <si>
    <t>Emissions produced - Domestic Pasenger  Transport</t>
  </si>
  <si>
    <t>Emissions produced - National Aviation</t>
  </si>
  <si>
    <t>Own-use requirements (as percentage of supplied electricity)</t>
  </si>
  <si>
    <t>Coal Fired Power Stations</t>
  </si>
  <si>
    <t>Discount Factor</t>
  </si>
  <si>
    <t>= Total input coal required required</t>
  </si>
  <si>
    <t>Information Summary</t>
  </si>
  <si>
    <t>Coal indigenous production</t>
  </si>
  <si>
    <t>Calculation of Costs</t>
  </si>
  <si>
    <t>Land Area Calculations</t>
  </si>
  <si>
    <t>D.01</t>
  </si>
  <si>
    <t>India Land area</t>
  </si>
  <si>
    <t>India Sea area</t>
  </si>
  <si>
    <t>V1.15</t>
  </si>
  <si>
    <t>Liquid Fuel From Macro Algae</t>
  </si>
  <si>
    <t>New Addition in Macro Algae Plants</t>
  </si>
  <si>
    <t>V2.15</t>
  </si>
  <si>
    <t>Liquid Fuel From Onland Micro Algae</t>
  </si>
  <si>
    <t>New Addition in Micro Algae Plants</t>
  </si>
  <si>
    <t>Calculathe new capacity of Micro Algae and Macro Algae based Plants</t>
  </si>
  <si>
    <t>Multiply by the Operational and Capital Costs</t>
  </si>
  <si>
    <t>1.a</t>
  </si>
  <si>
    <t>1.b</t>
  </si>
  <si>
    <t>Area Under Sugarcane</t>
  </si>
  <si>
    <t>Area under Sugarbeet</t>
  </si>
  <si>
    <t>Area under Sweet Sorghum</t>
  </si>
  <si>
    <t>Area under Jatropha Pangomia</t>
  </si>
  <si>
    <t>Total Land Area under Bio Energy</t>
  </si>
  <si>
    <t>Bio Energy Feedstock Cultivation Yield Scenarios</t>
  </si>
  <si>
    <t xml:space="preserve">Production Scenarios for Non Sugar Bio Energy Feedstock </t>
  </si>
  <si>
    <t>Corn Production</t>
  </si>
  <si>
    <t>Total Bio Energy Feedstock Available</t>
  </si>
  <si>
    <t>Sugarcane</t>
  </si>
  <si>
    <t>Sugarbeet</t>
  </si>
  <si>
    <t>Sweet Sorghum</t>
  </si>
  <si>
    <t>Jatropha &amp; Pangomia</t>
  </si>
  <si>
    <t>Corn</t>
  </si>
  <si>
    <t>Fraction Sugarcane feedstock Utilized for Sugar Production</t>
  </si>
  <si>
    <t>2007-2012</t>
  </si>
  <si>
    <t>2012-2052</t>
  </si>
  <si>
    <t>Population of India in Millions</t>
  </si>
  <si>
    <t>KG  of Sugar/Person</t>
  </si>
  <si>
    <t>Annual Per Capita Consumption of Sugar</t>
  </si>
  <si>
    <t>Chosen Trajectory for Capita Sugar Consumption in India</t>
  </si>
  <si>
    <t>Annual Sugar Exports</t>
  </si>
  <si>
    <t>MT/year</t>
  </si>
  <si>
    <t>Sugar( Minimum Closing Stock Required)</t>
  </si>
  <si>
    <t>2007-2027</t>
  </si>
  <si>
    <t>2027-2052</t>
  </si>
  <si>
    <t>Fixed Assumptions for Sugarcane Molasse</t>
  </si>
  <si>
    <t>Sugarcane Molasses available for Bioethanol Conversion</t>
  </si>
  <si>
    <t>Chosen Trajectory for Sugar Exports in India</t>
  </si>
  <si>
    <t>Sugarbeet Available for Bioethanol Production</t>
  </si>
  <si>
    <t>Fixed Assumptions for BioFuels conversion from Sugar beet  Juice</t>
  </si>
  <si>
    <t>Fixed Assumptions for BioFuels conversion from Sugar beet  Molasses</t>
  </si>
  <si>
    <t>Fraction of Sugarbeet Molasse utilized for Bioethanol conversion</t>
  </si>
  <si>
    <t>Fixed Assumptions for BioFuels conversion from Sweet Sorghum</t>
  </si>
  <si>
    <t>Fixed Assumptions for BioFuels conversion from Corn</t>
  </si>
  <si>
    <t>Fraction of Corn Rresidue from Corn Feedstock</t>
  </si>
  <si>
    <t>Surplus Corn Residue available as a bio energy feedstock</t>
  </si>
  <si>
    <t>Fixed Assumptions for BioFuels conversion from Sugarcane Baggase</t>
  </si>
  <si>
    <t>Baggase Quantity Available as a fraction of Sugarcane</t>
  </si>
  <si>
    <t>Surplus Baggase available as a bioenergy Feedstock</t>
  </si>
  <si>
    <t>Fixed Assumptions for BioFuels conversion from Jatropha Pangomia</t>
  </si>
  <si>
    <t>Trajectory Assumptions</t>
  </si>
  <si>
    <t>Total Non Fodder Agriculture Residue</t>
  </si>
  <si>
    <t>For Electricity</t>
  </si>
  <si>
    <t>For Liquid Fuel Usage</t>
  </si>
  <si>
    <t>End Usage Split for Solid Bio Energy Feedstock in 2052</t>
  </si>
  <si>
    <t>Efficiency of Electricity Generation from Solid Bio Feedstock</t>
  </si>
  <si>
    <t>Wh</t>
  </si>
  <si>
    <t>Watt hours</t>
  </si>
  <si>
    <t>Unit.Wh</t>
  </si>
  <si>
    <t>S.01c</t>
  </si>
  <si>
    <t>Design and Envelope Savings in Commercial Sector</t>
  </si>
  <si>
    <t>S.01r</t>
  </si>
  <si>
    <t>Design and Envelope Savings in Residential Sector</t>
  </si>
  <si>
    <t>IV.c.2</t>
  </si>
  <si>
    <t>Commercial sector energy demand after envelope optimization</t>
  </si>
  <si>
    <t>Residential sector energy demand after envelope optimization</t>
  </si>
  <si>
    <t>Total Buildings sector energy demand after envelope optimization</t>
  </si>
  <si>
    <t>Energy demand in a commercial building</t>
  </si>
  <si>
    <t>Building Type</t>
  </si>
  <si>
    <t>Commercial Buildings</t>
  </si>
  <si>
    <t>Percentage increase in energy demand</t>
  </si>
  <si>
    <t>Residential Buildings</t>
  </si>
  <si>
    <t>Energy demand in a residential building</t>
  </si>
  <si>
    <t>Percentage energy savings in a new building due to envelope optimization</t>
  </si>
  <si>
    <t>All Buildings</t>
  </si>
  <si>
    <t>Percentage energy savings in a retrofitted building due to envelope optimization</t>
  </si>
  <si>
    <t>Floor Space</t>
  </si>
  <si>
    <t>Applicable area [1]</t>
  </si>
  <si>
    <t>[1]ECBC Applicable area for commercial buildings is assumed to be 50% of the stock of commercial buildings</t>
  </si>
  <si>
    <t>Percentage penetration of new efficient commercial buildings</t>
  </si>
  <si>
    <t>Percentage penetration of retrofitted commercial buildings</t>
  </si>
  <si>
    <t>Percentage penetration of new efficient residential buildings</t>
  </si>
  <si>
    <t>Percentage penetration of retrofitted residential buildings</t>
  </si>
  <si>
    <t>Energy demand in a commercial building after optimization</t>
  </si>
  <si>
    <t>Energy demand  in a residential building after optimization</t>
  </si>
  <si>
    <t>Total energy demand after optimization</t>
  </si>
  <si>
    <t>Calculation of energy savings in the commercial and residential sectors due to envelope and design optimization of buildings</t>
  </si>
  <si>
    <t xml:space="preserve">Commercial sector </t>
  </si>
  <si>
    <t>Floor space</t>
  </si>
  <si>
    <t>x</t>
  </si>
  <si>
    <t>Per unit energy consumption</t>
  </si>
  <si>
    <t>Total energy demand</t>
  </si>
  <si>
    <t>Total demand after envelope and design optimization</t>
  </si>
  <si>
    <t>Energy savings in commercial sector</t>
  </si>
  <si>
    <t>Residential Sector</t>
  </si>
  <si>
    <t>Energy savings in the residential sector</t>
  </si>
  <si>
    <t>Percentage energy savings in the commercial sector</t>
  </si>
  <si>
    <t>Percentage energy savings in the residential sectors</t>
  </si>
  <si>
    <t>Total energy demand in the buildings sector after envelope and design optimization</t>
  </si>
  <si>
    <t>For information: Greenhouse gas emissions excluding CHP</t>
  </si>
  <si>
    <t>Commercial floor space</t>
  </si>
  <si>
    <t>Residential floor space</t>
  </si>
  <si>
    <t>Total floor space</t>
  </si>
  <si>
    <t>(i) Efficiency pathway</t>
  </si>
  <si>
    <t>Type of appliance</t>
  </si>
  <si>
    <t>Efficiency level</t>
  </si>
  <si>
    <t>A</t>
  </si>
  <si>
    <t>Bulb</t>
  </si>
  <si>
    <t>Tubelight</t>
  </si>
  <si>
    <t>CFL</t>
  </si>
  <si>
    <t>LED</t>
  </si>
  <si>
    <t>Medium</t>
  </si>
  <si>
    <t>Ceiling Fans</t>
  </si>
  <si>
    <t>Televisions</t>
  </si>
  <si>
    <t>Refrigirators</t>
  </si>
  <si>
    <t>Room airconditioners</t>
  </si>
  <si>
    <t>Demand for appliances</t>
  </si>
  <si>
    <t># of appliances</t>
  </si>
  <si>
    <t>Urban/Rural (Millions)</t>
  </si>
  <si>
    <t>Lighting</t>
  </si>
  <si>
    <t>Ceiling fans</t>
  </si>
  <si>
    <t>Room Air Conditioners</t>
  </si>
  <si>
    <t>% of appliances</t>
  </si>
  <si>
    <t>Others</t>
  </si>
  <si>
    <t>Weighted hours of usage</t>
  </si>
  <si>
    <t>Number of households</t>
  </si>
  <si>
    <t>Average Consumption</t>
  </si>
  <si>
    <t>Comsumption</t>
  </si>
  <si>
    <t>Celing Fans</t>
  </si>
  <si>
    <t>Weighted average of efficiency</t>
  </si>
  <si>
    <t>Room Acs</t>
  </si>
  <si>
    <t>Building envelope energy savings</t>
  </si>
  <si>
    <t>Domestic buildings</t>
  </si>
  <si>
    <t>Demand scenario</t>
  </si>
  <si>
    <t>Weighted usage hours</t>
  </si>
  <si>
    <t>Total demand by lighting</t>
  </si>
  <si>
    <t>Total demand by ceiling fans</t>
  </si>
  <si>
    <t>Total demand by televisions</t>
  </si>
  <si>
    <t>Total demand by refrigirators</t>
  </si>
  <si>
    <t>Total demand by room airconditioners</t>
  </si>
  <si>
    <t>Total demand by above appliances</t>
  </si>
  <si>
    <t>Total demand by others</t>
  </si>
  <si>
    <t>Total demand by all appliances</t>
  </si>
  <si>
    <t>Energy savings due to building design and envelope optimization</t>
  </si>
  <si>
    <t xml:space="preserve">Net energy demand </t>
  </si>
  <si>
    <t>Greenhouse gas emissions</t>
  </si>
  <si>
    <r>
      <t>Mt CO</t>
    </r>
    <r>
      <rPr>
        <b/>
        <vertAlign val="subscript"/>
        <sz val="10"/>
        <color theme="1"/>
        <rFont val="Cambria"/>
        <family val="1"/>
        <scheme val="minor"/>
      </rPr>
      <t>2</t>
    </r>
    <r>
      <rPr>
        <b/>
        <sz val="10"/>
        <color theme="1"/>
        <rFont val="Cambria"/>
        <family val="1"/>
        <scheme val="minor"/>
      </rPr>
      <t>e</t>
    </r>
  </si>
  <si>
    <t>Other emissions to the atmosphere</t>
  </si>
  <si>
    <t>kte/yr</t>
  </si>
  <si>
    <t>£(2000) 2116</t>
  </si>
  <si>
    <t>(i) Demand</t>
  </si>
  <si>
    <t>Med</t>
  </si>
  <si>
    <t>Demand CAGR</t>
  </si>
  <si>
    <t>Commercial sector electricity consumption</t>
  </si>
  <si>
    <t>Commercial</t>
  </si>
  <si>
    <t>Year on Year Demand</t>
  </si>
  <si>
    <t>End use demand allocation</t>
  </si>
  <si>
    <t>Percentage</t>
  </si>
  <si>
    <t>Consumption*</t>
  </si>
  <si>
    <t>HVAC</t>
  </si>
  <si>
    <t>*Figures are for year 2012</t>
  </si>
  <si>
    <t>Technologies</t>
  </si>
  <si>
    <t xml:space="preserve">Type </t>
  </si>
  <si>
    <t>Wattage</t>
  </si>
  <si>
    <t>Improvement</t>
  </si>
  <si>
    <t>Shares of technology</t>
  </si>
  <si>
    <t>Share</t>
  </si>
  <si>
    <t>Share in BAU scenario</t>
  </si>
  <si>
    <t>BAU Demand scenario</t>
  </si>
  <si>
    <t>CAGR for year on year growth rate</t>
  </si>
  <si>
    <t>Lighting Consumption</t>
  </si>
  <si>
    <t>Demand for lighting</t>
  </si>
  <si>
    <t>Final demand for lighting*</t>
  </si>
  <si>
    <t>HVAC Consumption</t>
  </si>
  <si>
    <t>Demand for consumption</t>
  </si>
  <si>
    <t>Final demand for HVAC*</t>
  </si>
  <si>
    <t>Consumption by other appliances</t>
  </si>
  <si>
    <t>Demand by others</t>
  </si>
  <si>
    <t>Final demand by others*</t>
  </si>
  <si>
    <t>Aggregate demand</t>
  </si>
  <si>
    <t>Energy savings due to building design optimization</t>
  </si>
  <si>
    <t>Net aggregate demand</t>
  </si>
  <si>
    <t>* Interpolation to smoothen out trajectories</t>
  </si>
  <si>
    <t>Demand for other scenarios</t>
  </si>
  <si>
    <t>Demand for lighting in BAU scenario</t>
  </si>
  <si>
    <t>Factor for lighting</t>
  </si>
  <si>
    <t>Demand for HVAC in BAU scenario</t>
  </si>
  <si>
    <t>Factor for HVAC</t>
  </si>
  <si>
    <t>Demand for total in BAU scenario</t>
  </si>
  <si>
    <t>Factor for others</t>
  </si>
  <si>
    <t>Aggregate Demand</t>
  </si>
  <si>
    <t>Net Aggregate Demand</t>
  </si>
  <si>
    <t>Turn the imports into costs</t>
  </si>
  <si>
    <t>Multiply those units by a range of market prices</t>
  </si>
  <si>
    <t>Energy balance</t>
  </si>
  <si>
    <t>xv.c</t>
  </si>
  <si>
    <t>Build Rate</t>
  </si>
  <si>
    <t>CCS, Retired capacity</t>
  </si>
  <si>
    <t xml:space="preserve">Sugarcane Feedstock </t>
  </si>
  <si>
    <t>MT</t>
  </si>
  <si>
    <t>Fraction of Sugarcane used for Sugar Production</t>
  </si>
  <si>
    <t>Net Sugar Production</t>
  </si>
  <si>
    <t>Kg/Person</t>
  </si>
  <si>
    <t>Population projection of India</t>
  </si>
  <si>
    <t>Sugar In-house Consumption</t>
  </si>
  <si>
    <t>Exports of Sugar</t>
  </si>
  <si>
    <t>Metric Tonnes</t>
  </si>
  <si>
    <t>Metric Tonnes of Feedstock</t>
  </si>
  <si>
    <t>Metric Tonnes/year</t>
  </si>
  <si>
    <t>Metric Tonne</t>
  </si>
  <si>
    <t>Excess Sugar Closing Stock</t>
  </si>
  <si>
    <t>Minimum Closing Sugar Stock Required</t>
  </si>
  <si>
    <t>Excess Sugar eqvt that can be converted to ethanol</t>
  </si>
  <si>
    <t>Bioethanol production from available sugar stock</t>
  </si>
  <si>
    <t>Calculation of Bioethanol from Sugarcane Molasse</t>
  </si>
  <si>
    <t>Calculation ofBio Ethanol from Sugarcane Juice</t>
  </si>
  <si>
    <t xml:space="preserve">Sugarcane Molasse Feedstock </t>
  </si>
  <si>
    <t>Sugarcane Molasse available for Bioethanol</t>
  </si>
  <si>
    <t>Utilization factor for Sugarcane Molasse feedstocl</t>
  </si>
  <si>
    <t>Utilization factor for Bioethanol conversion</t>
  </si>
  <si>
    <t>Bioethanol production from Sugarcane Molasse</t>
  </si>
  <si>
    <t>Calculation of Bio-Ethanol from sugarbeet juice</t>
  </si>
  <si>
    <t>Sugarbeet Feedstock</t>
  </si>
  <si>
    <t>Utilization Factor for Bio-ethanol production</t>
  </si>
  <si>
    <t>Sugarbeet Feedstockavailable for Bioethanol Production</t>
  </si>
  <si>
    <t>Bioethanol Production from Sugarbeet juice</t>
  </si>
  <si>
    <t>Sugarbeet Molasse quantity</t>
  </si>
  <si>
    <t>Sugarbeet Molasse for Bioethanol</t>
  </si>
  <si>
    <t>Sugarbeet Molasse Available for Bioethanol Production</t>
  </si>
  <si>
    <t>Utilization factor for Bio Sugarbeet Molasse for Bioethanol</t>
  </si>
  <si>
    <t>Sugarbeet molasse available for Bioethanol Production</t>
  </si>
  <si>
    <t>Bioethanol Production from Sugarbeet Molasse</t>
  </si>
  <si>
    <t>Bioethanol from Sweet Sorghum</t>
  </si>
  <si>
    <t>Sweet Sorghum Quantity</t>
  </si>
  <si>
    <t>Bioethanol Production from Sweet Sorghum</t>
  </si>
  <si>
    <t>Calculation of First Generation Bio- Ethanol</t>
  </si>
  <si>
    <t>Calculation of Second Generation Bio- Ethanol</t>
  </si>
  <si>
    <t>Bio-Ethanol from Corn residue</t>
  </si>
  <si>
    <t>Corn Feedstock Quantity</t>
  </si>
  <si>
    <t>Residue from Corn Feedstock</t>
  </si>
  <si>
    <t>Fraction of Corn Residue available for Bio Ethanol</t>
  </si>
  <si>
    <t>Corn Residue available for Bio Ethanol Production</t>
  </si>
  <si>
    <t>Bioethanol Production from Corn Residue</t>
  </si>
  <si>
    <t>Bio-Ethanol from Sugarcane residue(baggase)</t>
  </si>
  <si>
    <t>Baggase Quantity</t>
  </si>
  <si>
    <t>Fraction of Baggase Available for Bio Ethanol</t>
  </si>
  <si>
    <t>Baggase Quantity available for Bio Ethanol</t>
  </si>
  <si>
    <t>Bio Ethanol production from Baggase</t>
  </si>
  <si>
    <t>Net Production of First Generation Bio Ethanol</t>
  </si>
  <si>
    <t>Net Production fo second generation bioethanol</t>
  </si>
  <si>
    <t>Calculation of Bio Diesel</t>
  </si>
  <si>
    <t>Bio Diesel from  First Generation feedstock</t>
  </si>
  <si>
    <t>Jatropha, Pangomia Feedstock</t>
  </si>
  <si>
    <t>Bio Diesel production from Jatropha</t>
  </si>
  <si>
    <t>Net Production fo First  Generation  biodiesel</t>
  </si>
  <si>
    <t>Calculation of Bio-Ethanol from sugarbeet molasse</t>
  </si>
  <si>
    <t>Total Non Fodder Forestry Arisings</t>
  </si>
  <si>
    <t>Solid Fuel for Cooking</t>
  </si>
  <si>
    <t>Bio Energy Feedstock for Electricity</t>
  </si>
  <si>
    <t>Bio Feedstock for Liquid Fuels for Transport</t>
  </si>
  <si>
    <t>End Use Specific Split for Bio Energy</t>
  </si>
  <si>
    <t>Available feedstock for Bio Energy</t>
  </si>
  <si>
    <t>For Cooking</t>
  </si>
  <si>
    <t>Calculations</t>
  </si>
  <si>
    <t>Calculation of Electricity Generation from Bio Feed Stock</t>
  </si>
  <si>
    <t>Available Feedstock for Electricity Generation</t>
  </si>
  <si>
    <t>Efficiency of Biomass-Power Plants</t>
  </si>
  <si>
    <t>Net Electricity Units Generatied from Biomass Plants</t>
  </si>
  <si>
    <t>PLF of Biomass Plants</t>
  </si>
  <si>
    <t>PLf of Biomass-Electricty Power plants for the year 2007-2052</t>
  </si>
  <si>
    <t>Useful Life Cycle of Biomass-Electricity Power Plant</t>
  </si>
  <si>
    <t>Capacity of Biomass Based Power Plants</t>
  </si>
  <si>
    <t xml:space="preserve">Retirement of Capacities </t>
  </si>
  <si>
    <t xml:space="preserve">New Addition </t>
  </si>
  <si>
    <t>V1.09</t>
  </si>
  <si>
    <t>V2.09</t>
  </si>
  <si>
    <t>V3.09</t>
  </si>
  <si>
    <t>V4.09</t>
  </si>
  <si>
    <t>Wasteland area under 2nd Gen Bio Feedstock</t>
  </si>
  <si>
    <t>v.a</t>
  </si>
  <si>
    <t>Biomass from Wastelands</t>
  </si>
  <si>
    <t>Agro Residues</t>
  </si>
  <si>
    <t>Fixed Assumptions for BioFuels conversion from 2nd Generation Feedstock to bio fuel</t>
  </si>
  <si>
    <t>Bio-Ethanol from General Biomass( Wasteland BioEnergy Crops+ Non Fodder Agri Residues-baggase-corn residue)</t>
  </si>
  <si>
    <t>Biomass Crops from Wasteland</t>
  </si>
  <si>
    <t>Biofeedstock from Agri Residues</t>
  </si>
  <si>
    <t>Biofeedstock from Agri Residues excluding corn and baggase</t>
  </si>
  <si>
    <t>Net Feedstock available for 2nd Generation Bio Fuel Production</t>
  </si>
  <si>
    <t>Land Assumptions</t>
  </si>
  <si>
    <t>Land Area Requirement for  a Biomass Based Electricity Plants</t>
  </si>
  <si>
    <t>mtbe</t>
  </si>
  <si>
    <t>million tonnes of biogas equivalent</t>
  </si>
  <si>
    <t>unit.mtbe</t>
  </si>
  <si>
    <t xml:space="preserve">Trajectory for Bio Gas Projections </t>
  </si>
  <si>
    <t>Land for Biomass -Electricity plants</t>
  </si>
  <si>
    <t>Bio Energy Feedstock End Use Split</t>
  </si>
  <si>
    <t>mtge</t>
  </si>
  <si>
    <t>Million Tonnes of Natural Gas Eqvt</t>
  </si>
  <si>
    <t>unit.mtge</t>
  </si>
  <si>
    <t>Penetration( Lighting)</t>
  </si>
  <si>
    <t>Weighted Wattage Level</t>
  </si>
  <si>
    <t>Weighted Wattage</t>
  </si>
  <si>
    <t>Penetration: Other Appliances</t>
  </si>
  <si>
    <t>Weighted average of Wattage Efficiency</t>
  </si>
  <si>
    <t>No of Appliances</t>
  </si>
  <si>
    <t>Overall Enerrgy Savings Due to Building EnvelopeOptimization</t>
  </si>
  <si>
    <t>S.01</t>
  </si>
  <si>
    <t>Fuel Demand</t>
  </si>
  <si>
    <t>units</t>
  </si>
  <si>
    <t>Calculation of Fuel Demand</t>
  </si>
  <si>
    <t>Calculation of Emissions</t>
  </si>
  <si>
    <t>Car EV</t>
  </si>
  <si>
    <t>Energy produced and required - Aviation Freight</t>
  </si>
  <si>
    <t>Emissions produced - Aviation Freight</t>
  </si>
  <si>
    <t>Trajectories are numbered in this worksheet. A=1, B=2, C=3, D=4</t>
  </si>
  <si>
    <t>Level A</t>
  </si>
  <si>
    <t>Level B</t>
  </si>
  <si>
    <t>Level C</t>
  </si>
  <si>
    <t>Level D</t>
  </si>
  <si>
    <t>Number of tractors</t>
  </si>
  <si>
    <t>2011</t>
  </si>
  <si>
    <t>Number</t>
  </si>
  <si>
    <t>Total Diesel Consumption</t>
  </si>
  <si>
    <t>CAGR</t>
  </si>
  <si>
    <t>DIESEL DEMAND FOR TRACTORS</t>
  </si>
  <si>
    <t>number of tractors</t>
  </si>
  <si>
    <t>percentage of tractors in use</t>
  </si>
  <si>
    <t>diesel consumed per hour</t>
  </si>
  <si>
    <t>hours of operation per year</t>
  </si>
  <si>
    <t>Total diesel consumption</t>
  </si>
  <si>
    <t>Fuel mix</t>
  </si>
  <si>
    <t>Demand Level</t>
  </si>
  <si>
    <t>Hours of Usage</t>
  </si>
  <si>
    <t>Hours of Tractor Usage</t>
  </si>
  <si>
    <t>(iii)</t>
  </si>
  <si>
    <t>(iv)</t>
  </si>
  <si>
    <t xml:space="preserve"> Diesel for Tractor assumptions</t>
  </si>
  <si>
    <t>(i)</t>
  </si>
  <si>
    <t>(v)</t>
  </si>
  <si>
    <t>vi)</t>
  </si>
  <si>
    <t>Saturation Level of Tractors</t>
  </si>
  <si>
    <t>Demand for Tractors</t>
  </si>
  <si>
    <t xml:space="preserve">No of Tractors assumed to be  in Use </t>
  </si>
  <si>
    <t>Trajectories for Hours of Usage of Tractors in 2052</t>
  </si>
  <si>
    <t>Year of Tractor Demand Saturation</t>
  </si>
  <si>
    <t>hours</t>
  </si>
  <si>
    <t>vii)</t>
  </si>
  <si>
    <t>Lifetime of a tractor</t>
  </si>
  <si>
    <t>Growth Scenarios for Pumping Demand</t>
  </si>
  <si>
    <t>2012-2022</t>
  </si>
  <si>
    <t>2042-52</t>
  </si>
  <si>
    <t>2022-2032</t>
  </si>
  <si>
    <t>2032-42</t>
  </si>
  <si>
    <t>Scenarios for Electricity Based Pumpsets Rating</t>
  </si>
  <si>
    <t>CAGR for 20 years</t>
  </si>
  <si>
    <t>Scenarios for Fuel Efficiency of Diesel Pumpsets</t>
  </si>
  <si>
    <t xml:space="preserve"> Pumping assumptions</t>
  </si>
  <si>
    <t>i)</t>
  </si>
  <si>
    <t>Choice of Fuel for agriculture pumpsets in 2052</t>
  </si>
  <si>
    <t>Fuel Mix as per the Selected Scenario</t>
  </si>
  <si>
    <t>Diesel Demand for Pumping</t>
  </si>
  <si>
    <t>Demand for Pumping</t>
  </si>
  <si>
    <t>Share of Diesel Pumps</t>
  </si>
  <si>
    <t>Demand Reduction due Efficiency improvement in pumps</t>
  </si>
  <si>
    <t>total energy consumption of Diesel Pumpsets</t>
  </si>
  <si>
    <t>ii)</t>
  </si>
  <si>
    <t>Asset Life of Pumps</t>
  </si>
  <si>
    <t>iii)</t>
  </si>
  <si>
    <t>Annual Hours of usage of Pumps</t>
  </si>
  <si>
    <t>Annual Energy Consumption of Pumps</t>
  </si>
  <si>
    <t>Electricity Demand for Pumping</t>
  </si>
  <si>
    <t>Share of Electricity Pumps</t>
  </si>
  <si>
    <t>total energy consumption of Electricity Pumpsets</t>
  </si>
  <si>
    <t>Solar Demand for Pumping</t>
  </si>
  <si>
    <t>Share of Solar Pumps</t>
  </si>
  <si>
    <t>total energy consumption of Solar Pumpsets</t>
  </si>
  <si>
    <t>Energy produced and required - Agriculture</t>
  </si>
  <si>
    <t>Emissions produced - Tractors Usage</t>
  </si>
  <si>
    <t>Emissions produced - Pumping</t>
  </si>
  <si>
    <t>Emissions produced - Agriculture</t>
  </si>
  <si>
    <t>Cement</t>
  </si>
  <si>
    <t>Fertilisers</t>
  </si>
  <si>
    <t>Aluminium</t>
  </si>
  <si>
    <t>Iron and steel</t>
  </si>
  <si>
    <t>Pulp and paper</t>
  </si>
  <si>
    <t>Textile</t>
  </si>
  <si>
    <t>Chlor Alkali</t>
  </si>
  <si>
    <t>Total seven sectors</t>
  </si>
  <si>
    <t>Cement: Demand for Energy</t>
  </si>
  <si>
    <t>Total Industry</t>
  </si>
  <si>
    <t>Energy split by vector:  Cement</t>
  </si>
  <si>
    <t>Energy split by vector:  Fertilizers</t>
  </si>
  <si>
    <t>Energy split by vector:  Iron and Steel</t>
  </si>
  <si>
    <t>Energy split by vector:  Pulp n Paper</t>
  </si>
  <si>
    <t>Energy split by vector:  Textile</t>
  </si>
  <si>
    <t>Energy split by vector:  Chlor Alkali</t>
  </si>
  <si>
    <t>Energy split by vector:  Others</t>
  </si>
  <si>
    <t>Fuel Demand( Urban)</t>
  </si>
  <si>
    <t>Calculation of Emissions( rural cooking)</t>
  </si>
  <si>
    <t>Calculation of Emissions( urban cooking)</t>
  </si>
  <si>
    <t>MT of Production</t>
  </si>
  <si>
    <t>Fertilizer</t>
  </si>
  <si>
    <t>Iron and Steel</t>
  </si>
  <si>
    <t>Pulp and Paper</t>
  </si>
  <si>
    <t>PAT penetration  in the cement sector</t>
  </si>
  <si>
    <t>PAT penetration  in the fertilizer sector</t>
  </si>
  <si>
    <t>Level1</t>
  </si>
  <si>
    <t>PAT penetration  in the  aluminium sector</t>
  </si>
  <si>
    <t>PAT penetration  in the  iron and steel sector</t>
  </si>
  <si>
    <t>PAT penetration  in the  Pulp &amp; Paper Sector</t>
  </si>
  <si>
    <t>PAT penetration  in the  Textile Sector</t>
  </si>
  <si>
    <t>PAT penetration  in the  Chlor Alkali category</t>
  </si>
  <si>
    <t>PAT penetration  in the  Others category</t>
  </si>
  <si>
    <r>
      <t xml:space="preserve">Demand by vector = Total </t>
    </r>
    <r>
      <rPr>
        <i/>
        <sz val="10"/>
        <color theme="1"/>
        <rFont val="Arial"/>
        <family val="2"/>
      </rPr>
      <t>×</t>
    </r>
    <r>
      <rPr>
        <i/>
        <sz val="10"/>
        <color theme="1"/>
        <rFont val="Cambria"/>
        <family val="1"/>
      </rPr>
      <t xml:space="preserve"> split by vector</t>
    </r>
  </si>
  <si>
    <t>Production of Cement</t>
  </si>
  <si>
    <t>PAT output</t>
  </si>
  <si>
    <t>Non Pat Output</t>
  </si>
  <si>
    <t>Energy Demand</t>
  </si>
  <si>
    <t>CEMENT SECTOR</t>
  </si>
  <si>
    <t>Fertilizer Sector</t>
  </si>
  <si>
    <t>Production of Fertilizer</t>
  </si>
  <si>
    <t>Aluminium Sector</t>
  </si>
  <si>
    <t>Production of Aluminium</t>
  </si>
  <si>
    <t>Energy split by vector:  Aluminium</t>
  </si>
  <si>
    <t>Iron n Steel Sector</t>
  </si>
  <si>
    <t>Production of Iron n Steel</t>
  </si>
  <si>
    <t>Pulp n Paper Sector</t>
  </si>
  <si>
    <t>Production of Pulp and Paper</t>
  </si>
  <si>
    <t>Production of Textile</t>
  </si>
  <si>
    <t>Chlor and Alkali</t>
  </si>
  <si>
    <t>Production Demand frrom other sectors</t>
  </si>
  <si>
    <t>Energy produced and required -Industry</t>
  </si>
  <si>
    <t xml:space="preserve">Emissions produced </t>
  </si>
  <si>
    <t>v.04</t>
  </si>
  <si>
    <t>v.05</t>
  </si>
  <si>
    <t>Technology penetration level</t>
  </si>
  <si>
    <t>Penetration by scenario over years</t>
  </si>
  <si>
    <t>Penetration of technologies over years</t>
  </si>
  <si>
    <t>Overall energy savings due to building design optimization</t>
  </si>
  <si>
    <t>Demand for lighting in chosen scenario*</t>
  </si>
  <si>
    <t>Demand for HVAC in chosen Scenario*</t>
  </si>
  <si>
    <t>Demand for others in chosen Scenario*</t>
  </si>
  <si>
    <t>Overall aggregate demand for lighting in chosen scenario</t>
  </si>
  <si>
    <t>Overall aggregate demand for HVAC in chosen scenario</t>
  </si>
  <si>
    <t>Overall aggregate demand for others in chosen scenario</t>
  </si>
  <si>
    <t>Overall total demand in chosen scenario</t>
  </si>
  <si>
    <t>Overall energy savings due to building design optimization in chosen scenario</t>
  </si>
  <si>
    <t>s.01</t>
  </si>
  <si>
    <t>l.02</t>
  </si>
  <si>
    <t>Green Building Design &amp; Envelope Savings</t>
  </si>
  <si>
    <t>No new large hydro construction</t>
  </si>
  <si>
    <t>Current installed capacity</t>
  </si>
  <si>
    <t>As per CEA estimates of expected benefits from Hydro in 12th &amp; 13th FYPs</t>
  </si>
  <si>
    <t>CEA Electricity Generation Plan</t>
  </si>
  <si>
    <t>In addition to expected benefits from 12th and 13th FYPs,includes benefits from R&amp;M and Life Extension activities. Past trends continue beyond 13th FYP.</t>
  </si>
  <si>
    <t>CEA Electricity Generation Plan,
past trends</t>
  </si>
  <si>
    <t>Advances in R&amp;D increase R&amp;M benefits to 20 GW per FYP, and full 
potential is reached by 2052.</t>
  </si>
  <si>
    <t>CEA Electricity Generation Plan, 
assumptions of advanced R&amp;D</t>
  </si>
  <si>
    <t>Domestic Large Hydroelectricity Retired Capacity</t>
  </si>
  <si>
    <t>Large Hydro</t>
  </si>
  <si>
    <t>Domestic Large Hydroelectric Cumulative Capacity</t>
  </si>
  <si>
    <t>Number of telecom towers</t>
  </si>
  <si>
    <t>Telecom towers</t>
  </si>
  <si>
    <t>Ratio of Urban and Rural Towers</t>
  </si>
  <si>
    <t>Ratio</t>
  </si>
  <si>
    <t>Diesel consumption per hour</t>
  </si>
  <si>
    <t>diesel consumption</t>
  </si>
  <si>
    <t>Growth rate of telecom towers</t>
  </si>
  <si>
    <t>Growth Rate (per annum)</t>
  </si>
  <si>
    <t>Total number of telecom towers</t>
  </si>
  <si>
    <t>Rural telecom towers</t>
  </si>
  <si>
    <t>Urban telecom towers</t>
  </si>
  <si>
    <t>Number of new telecom towers</t>
  </si>
  <si>
    <t>Baseload Capacity of telecom tower</t>
  </si>
  <si>
    <t>Rural telecom tower</t>
  </si>
  <si>
    <t>urban telecom tower</t>
  </si>
  <si>
    <t>Hours of operation of telecom towers on various energy sources per day in rural areas</t>
  </si>
  <si>
    <t>Energy Source</t>
  </si>
  <si>
    <t>Grid Electricity</t>
  </si>
  <si>
    <t>Hours of operation of telecom towers on various energy sources per day in urban areas</t>
  </si>
  <si>
    <t>Percentage of telecom towers replaced by renewables in rural areas</t>
  </si>
  <si>
    <t>Percentage of telecom towers replaced by renewables in urban areas</t>
  </si>
  <si>
    <t>RURAL TELECOM TOWERS</t>
  </si>
  <si>
    <t>Diesel consumption</t>
  </si>
  <si>
    <t>Total no of telecom towers in rural areas</t>
  </si>
  <si>
    <t>Percentage of towers with diesel generator</t>
  </si>
  <si>
    <t>baseload capacity</t>
  </si>
  <si>
    <t>hours of operation on diesel</t>
  </si>
  <si>
    <t>(per year)</t>
  </si>
  <si>
    <t>Electricity consumption</t>
  </si>
  <si>
    <t>No of telecom towers</t>
  </si>
  <si>
    <t>hours of operation on electricity</t>
  </si>
  <si>
    <t>Total electricity consumption (KWh)</t>
  </si>
  <si>
    <t>Solar energy consumption</t>
  </si>
  <si>
    <t>Percentage of towers replaced by solar</t>
  </si>
  <si>
    <t>hours of operation on solar</t>
  </si>
  <si>
    <t>Total solar consumption</t>
  </si>
  <si>
    <t>URBAN TELECOM TOWERS</t>
  </si>
  <si>
    <t>Energy requirements by Diesel for Telecom sector</t>
  </si>
  <si>
    <t>Off Grid Renewables</t>
  </si>
  <si>
    <t>Conversion efficiency</t>
  </si>
  <si>
    <t>Electricity consumption (to run pump)</t>
  </si>
  <si>
    <t>% of heat supplied</t>
  </si>
  <si>
    <t>Land Requirement</t>
  </si>
  <si>
    <t>Domestic solar PV  New capacity addition [1]</t>
  </si>
  <si>
    <t>Domestic solar PV Retired Capacity[1]</t>
  </si>
  <si>
    <t>Domestic Solar PV Cumulative Capacity[1]</t>
  </si>
  <si>
    <t>Capacity Utilization  factor</t>
  </si>
  <si>
    <t>Conversion efficiency, incident sunlight to electricity</t>
  </si>
  <si>
    <t>Gas Supply</t>
  </si>
  <si>
    <t>mmBtu</t>
  </si>
  <si>
    <t>Million British Thermal unit</t>
  </si>
  <si>
    <t>unit.mmBtu</t>
  </si>
  <si>
    <t>Fuel Requirement</t>
  </si>
  <si>
    <t>Solid Biomass Hydrocarbons</t>
  </si>
  <si>
    <t xml:space="preserve"> Gaseous Biomass Hydrocarbons</t>
  </si>
  <si>
    <t>Calculation of Fuel Demand(Commercial Cooking)</t>
  </si>
  <si>
    <t>Emissions produced - Commercial Cooking</t>
  </si>
  <si>
    <t>Grid output</t>
  </si>
  <si>
    <t>Transmission</t>
  </si>
  <si>
    <t>Distribution</t>
  </si>
  <si>
    <t>Based on ratio of actual 2007 distribution losses to calculated 2007 grid throughput (from DUKES 2009)</t>
  </si>
  <si>
    <t>Transfer electricity from V.02 to V.01 to match total V.01 required, accounting for conversion losses</t>
  </si>
  <si>
    <t>Electricity output from grid</t>
  </si>
  <si>
    <r>
      <rPr>
        <sz val="10"/>
        <color theme="1"/>
        <rFont val="Cambria"/>
        <family val="1"/>
      </rPr>
      <t>÷</t>
    </r>
    <r>
      <rPr>
        <sz val="10"/>
        <color theme="1"/>
        <rFont val="Cambria"/>
        <family val="1"/>
        <scheme val="minor"/>
      </rPr>
      <t xml:space="preserve"> (1</t>
    </r>
    <r>
      <rPr>
        <sz val="10"/>
        <color theme="1"/>
        <rFont val="Cambria"/>
        <family val="1"/>
      </rPr>
      <t>−</t>
    </r>
    <r>
      <rPr>
        <sz val="8"/>
        <color theme="1"/>
        <rFont val="Cambria"/>
        <family val="1"/>
      </rPr>
      <t>Losses)</t>
    </r>
  </si>
  <si>
    <t>= Total electricity input to grid</t>
  </si>
  <si>
    <r>
      <rPr>
        <sz val="10"/>
        <color theme="1"/>
        <rFont val="Arial"/>
        <family val="2"/>
      </rPr>
      <t>×</t>
    </r>
    <r>
      <rPr>
        <sz val="8"/>
        <color theme="1"/>
        <rFont val="Cambria"/>
        <family val="1"/>
      </rPr>
      <t xml:space="preserve"> Losses</t>
    </r>
  </si>
  <si>
    <t>T&amp;D- Technical Losses</t>
  </si>
  <si>
    <t>T&amp;D Commercial Losses</t>
  </si>
  <si>
    <t>= T&amp;D losses</t>
  </si>
  <si>
    <t>CCS, Cumulative Capacity</t>
  </si>
  <si>
    <t>Fuel Split</t>
  </si>
  <si>
    <t>Coal: Pre and Post Combustion Ratio</t>
  </si>
  <si>
    <t>Post</t>
  </si>
  <si>
    <t>Pre</t>
  </si>
  <si>
    <t>Demo Baseline Data (GW)</t>
  </si>
  <si>
    <t>Plant Type</t>
  </si>
  <si>
    <t>UK data is considered</t>
  </si>
  <si>
    <t>Unabated Thermal Efficiency</t>
  </si>
  <si>
    <t>Source: Green Rating Project, 2009, Centre for Science &amp; Environment (Only till 2012)</t>
  </si>
  <si>
    <t>Parasitic Load : CCS Equipment + Base plant</t>
  </si>
  <si>
    <t>Till 2011, Parasitic load is taken only for base load and CCS is not considered</t>
  </si>
  <si>
    <t>Plant Load Factor</t>
  </si>
  <si>
    <t>Source: CEA, All India Thermal PLF 2012-13</t>
  </si>
  <si>
    <t>Emission Reduction Due to CCS</t>
  </si>
  <si>
    <t>CO2 Emission Factor</t>
  </si>
  <si>
    <t>Source: http://www.epa.gov/ttnchie1/conference/ei20/session5/mmittal_pres.pdf</t>
  </si>
  <si>
    <t>Split between type of CCS plant</t>
  </si>
  <si>
    <t>CCS Installed Capacity, Gross (GW)</t>
  </si>
  <si>
    <t>Average Load Factor</t>
  </si>
  <si>
    <t>Avg of post, pre &amp; gas</t>
  </si>
  <si>
    <t>Post Combustion Coal + CCS</t>
  </si>
  <si>
    <t>-</t>
  </si>
  <si>
    <t>CCS Equipment &amp; Base Plant (Parasitic load)</t>
  </si>
  <si>
    <t>Available Capacity</t>
  </si>
  <si>
    <t>+</t>
  </si>
  <si>
    <t>Gross Generation</t>
  </si>
  <si>
    <t>Thermal Efficiency</t>
  </si>
  <si>
    <t>Pre Combustion Coal + CCS</t>
  </si>
  <si>
    <t>Gaseous Combustion + CCS</t>
  </si>
  <si>
    <t>Coal Gas Fuel Mix</t>
  </si>
  <si>
    <t>CCS, New Capacity</t>
  </si>
  <si>
    <t>Available Net Generation</t>
  </si>
  <si>
    <t>Energy for CCS Equipment &amp; Base Plant</t>
  </si>
  <si>
    <t>Net Emissions</t>
  </si>
  <si>
    <t>Fossil Fuel Transfer</t>
  </si>
  <si>
    <t>Fossil fuel Imports</t>
  </si>
  <si>
    <t>Subtotal.XVII.a</t>
  </si>
  <si>
    <t>Transfer</t>
  </si>
  <si>
    <t>Nuclear Fission</t>
  </si>
  <si>
    <t>HydroCarbon Requirement</t>
  </si>
  <si>
    <t>Hydrocarbon requirements</t>
  </si>
  <si>
    <t>% of total consumption</t>
  </si>
  <si>
    <t>Fugitive emissions from gas</t>
  </si>
  <si>
    <t>Process emissions from gas</t>
  </si>
  <si>
    <t>yrs</t>
  </si>
  <si>
    <t>Transfer coal, petroleum, and gas to V.03, V.04 and V.05 from C.01, C.02 and C.03 respectively</t>
  </si>
  <si>
    <t>Compute emissions</t>
  </si>
  <si>
    <t>COAL AND GAS TRANSFERS</t>
  </si>
  <si>
    <t>Coal required</t>
  </si>
  <si>
    <t>Petroleum products required</t>
  </si>
  <si>
    <t>Gasesous hydrocarbon required</t>
  </si>
  <si>
    <t>distribution losses</t>
  </si>
  <si>
    <t>Natural gas required</t>
  </si>
  <si>
    <t>EMISSIONS</t>
  </si>
  <si>
    <t>CAPACITIES</t>
  </si>
  <si>
    <t>Gas grid</t>
  </si>
  <si>
    <t>Electricity  required</t>
  </si>
  <si>
    <t>Own-use requirements</t>
  </si>
  <si>
    <t>÷</t>
  </si>
  <si>
    <t>Remaining Electricity demand (Demand - Supply from non-hydrocarbons)</t>
  </si>
  <si>
    <t>Solid Hydrocarbon</t>
  </si>
  <si>
    <t>Coal input required</t>
  </si>
  <si>
    <t>Greenhouse gases</t>
  </si>
  <si>
    <r>
      <t>Mt CO</t>
    </r>
    <r>
      <rPr>
        <b/>
        <vertAlign val="subscript"/>
        <sz val="10"/>
        <color theme="1"/>
        <rFont val="Cambria"/>
        <family val="1"/>
        <scheme val="minor"/>
      </rPr>
      <t>2</t>
    </r>
    <r>
      <rPr>
        <b/>
        <sz val="10"/>
        <color theme="1"/>
        <rFont val="Cambria"/>
        <family val="1"/>
        <scheme val="minor"/>
      </rPr>
      <t>e/yr</t>
    </r>
  </si>
  <si>
    <t>Total electricity supply (demand) to this point</t>
  </si>
  <si>
    <t>Subtotal.I.d</t>
  </si>
  <si>
    <t>I.d</t>
  </si>
  <si>
    <t>E.01</t>
  </si>
  <si>
    <t>Savings Potential of Energy</t>
  </si>
  <si>
    <t>Imported Coal-fired electricity supplied</t>
  </si>
  <si>
    <r>
      <rPr>
        <sz val="8"/>
        <color theme="1"/>
        <rFont val="Cambria"/>
        <family val="1"/>
      </rPr>
      <t>T</t>
    </r>
    <r>
      <rPr>
        <sz val="10"/>
        <color theme="1"/>
        <rFont val="Cambria"/>
        <family val="1"/>
        <scheme val="minor"/>
      </rPr>
      <t>hermal efficiency</t>
    </r>
  </si>
  <si>
    <t>Coal-USC</t>
  </si>
  <si>
    <t>Coal-USC New  Capacities</t>
  </si>
  <si>
    <t>Land Requirement for Coal USC</t>
  </si>
  <si>
    <t>Coal-USC Retirement</t>
  </si>
  <si>
    <t>2053</t>
  </si>
  <si>
    <t>Solidfueled unabated generation</t>
  </si>
  <si>
    <t>Import Demand</t>
  </si>
  <si>
    <t>Calculate the Import Demand</t>
  </si>
  <si>
    <t>Potential of Usage or conversion factor (%) urban</t>
  </si>
  <si>
    <t>Fuel Usage (%)</t>
  </si>
  <si>
    <t>Electricity generation (%)</t>
  </si>
  <si>
    <t>CHP (%)</t>
  </si>
  <si>
    <t>Waste to electricity capacity deployed (MW)</t>
  </si>
  <si>
    <t>Potential of Usage or conversion factor (%) rural</t>
  </si>
  <si>
    <t>Energy generation potential from urban segregted organic MSW (kCal/day)</t>
  </si>
  <si>
    <t>Total Energy content of urban combustible MSW (CHP)
(kCal/day)</t>
  </si>
  <si>
    <t>100% Electricity generation potential (segregated &amp; non segregated)</t>
  </si>
  <si>
    <t>TPD</t>
  </si>
  <si>
    <t>100% Fuel availability potential (from segregated MSW) (TPD)</t>
  </si>
  <si>
    <t>Energy Content of Fuel
(kCal / day)</t>
  </si>
  <si>
    <t>Energy generation potential from rural segregted organic MSW (kCal/day)</t>
  </si>
  <si>
    <t>Waste to Energy</t>
  </si>
  <si>
    <t>Pumps&amp; Tractors</t>
  </si>
  <si>
    <t>Bio Gas</t>
  </si>
  <si>
    <t>Includes solid manufactured fuels (eg, coke)</t>
  </si>
  <si>
    <t>Includes refined liquid biofuels</t>
  </si>
  <si>
    <t>Includes syngas (coke oven gas)</t>
  </si>
  <si>
    <t>Heat transport</t>
  </si>
  <si>
    <t>Heat energy as an energy transport vector (Includes Heat Sold in DUKES terminology)</t>
  </si>
  <si>
    <t>Includes plant and animal biomass</t>
  </si>
  <si>
    <t>Dry biomass and waste</t>
  </si>
  <si>
    <t>Includes wood, straw, and other plant-based biomass, wood chips, garden waste, and MSW. Does not include energy crops, including SRC</t>
  </si>
  <si>
    <t>Wet biomass and waste</t>
  </si>
  <si>
    <t>Includes manure, sewage sludge, domestic food waste</t>
  </si>
  <si>
    <t>Gaseous waste</t>
  </si>
  <si>
    <t>Methane from waste</t>
  </si>
  <si>
    <t>Domestic solar thermal</t>
  </si>
  <si>
    <t>Solar thermal heat, used for hot water</t>
  </si>
  <si>
    <t>Second-generation crops grown for energy use</t>
  </si>
  <si>
    <t>First-generation crops grown for energy use</t>
  </si>
  <si>
    <t>Includes wood, straw, and other plant-based biomass, wood chips. Does not include energy crops, including SRC, Garden waste and MSW</t>
  </si>
  <si>
    <t>Bio Ethanol production from Agri Residue feedstock</t>
  </si>
  <si>
    <t>Electricity Balancing Requirement</t>
  </si>
  <si>
    <t>v.c</t>
  </si>
  <si>
    <t>Total India Off Shore area Requirement</t>
  </si>
  <si>
    <t>Oil Reserves</t>
  </si>
  <si>
    <t>Electricity Imports</t>
  </si>
  <si>
    <t>Thermal Generation</t>
  </si>
  <si>
    <t>Weighted average of cumulative capacities and CUFs</t>
  </si>
  <si>
    <t>CUF</t>
  </si>
  <si>
    <t>Population Statistics</t>
  </si>
  <si>
    <t>Total Population ('000)</t>
  </si>
  <si>
    <t>Urban Population ('000)</t>
  </si>
  <si>
    <t>Rural Population ('000)</t>
  </si>
  <si>
    <t>% urbanization</t>
  </si>
  <si>
    <t>Daily urban per capita MSW generated (kg)</t>
  </si>
  <si>
    <t>Urban MSW generated (TPD)</t>
  </si>
  <si>
    <t>Daily rural per capita organic MSW generated (kg)</t>
  </si>
  <si>
    <t>Rural MSW generated (TPD)</t>
  </si>
  <si>
    <t>Urban MSW Collection efficiency (%)</t>
  </si>
  <si>
    <t>Urban MSW collected (TPD)</t>
  </si>
  <si>
    <t>Segregated waste collection efficiency in urban areas (%)</t>
  </si>
  <si>
    <t>Segregated waste collection efficiency in rural areas (%)</t>
  </si>
  <si>
    <t>Segregated urban waste (TPD)</t>
  </si>
  <si>
    <t>Non-segregated urban waste (TPD)</t>
  </si>
  <si>
    <t>Segregated rural organic waste (TPD)</t>
  </si>
  <si>
    <t>MSW Composition (urban)</t>
  </si>
  <si>
    <t>Organic/ compostables (food waste..) (%)</t>
  </si>
  <si>
    <t xml:space="preserve">Combustibles (paper, wood, 
plastics, rags, cloth,
leather, rubber,
yard trimmings) (%) </t>
  </si>
  <si>
    <t>Recyclables/inorganic (metals, 
ceramics,
glass..) (%)</t>
  </si>
  <si>
    <t>Others (dust, ash, fines, inerts…) (%)</t>
  </si>
  <si>
    <t>Bio-chemical conversion</t>
  </si>
  <si>
    <t>Total Solids (TS)</t>
  </si>
  <si>
    <t>Total Volatile Solids</t>
  </si>
  <si>
    <t>of TS</t>
  </si>
  <si>
    <t>Typical digestion efficiency</t>
  </si>
  <si>
    <t>urban systems</t>
  </si>
  <si>
    <t>Typical bio-gas yield</t>
  </si>
  <si>
    <t>m3 / kg. of VS destroyed</t>
  </si>
  <si>
    <t xml:space="preserve">Calorific Value of bio-gas </t>
  </si>
  <si>
    <t>kcal/m3 (typical)</t>
  </si>
  <si>
    <t>kcal / kg of organic MSW</t>
  </si>
  <si>
    <t>Thermo-chemical conversion</t>
  </si>
  <si>
    <t>NCV of segregated combustibles</t>
  </si>
  <si>
    <t>kCal/kg</t>
  </si>
  <si>
    <t xml:space="preserve">NCV of non-segregated waste </t>
  </si>
  <si>
    <t>Gaseous Hydrocarbons</t>
  </si>
  <si>
    <t>Energy generated Urban</t>
  </si>
  <si>
    <t>Energy generated  Rural</t>
  </si>
  <si>
    <t>Solid Hydrocarbons</t>
  </si>
  <si>
    <t>Waste to Electricty</t>
  </si>
  <si>
    <t>PLF (%)</t>
  </si>
  <si>
    <t>Available Supply</t>
  </si>
  <si>
    <t>India Electricity Generation</t>
  </si>
  <si>
    <t>Coal Power Stations</t>
  </si>
  <si>
    <t>Efficiency of Coal Power Stations</t>
  </si>
  <si>
    <t>CCS power Stations</t>
  </si>
  <si>
    <t>CCS fuel Mix</t>
  </si>
  <si>
    <t>Nuclear Power Stations</t>
  </si>
  <si>
    <t>Hydro Power Sations</t>
  </si>
  <si>
    <t>Solar CSP</t>
  </si>
  <si>
    <t>India Bioenergy</t>
  </si>
  <si>
    <t>Energy from Waste</t>
  </si>
  <si>
    <t>India Transport</t>
  </si>
  <si>
    <t>Share of Public Transport</t>
  </si>
  <si>
    <t>Freight Transport Demand</t>
  </si>
  <si>
    <t>Shift to EVs</t>
  </si>
  <si>
    <t>Building Envelope Optimization for Residential Sector</t>
  </si>
  <si>
    <t>Building Envelope Optimization for Commercial Sector</t>
  </si>
  <si>
    <t>Domestic lighting, appliances</t>
  </si>
  <si>
    <t>Effiiciency of Lighing Appliances</t>
  </si>
  <si>
    <t>Green Building Envelope Optmiztn-Households</t>
  </si>
  <si>
    <t>Commercial lighting and appliances</t>
  </si>
  <si>
    <t>Efficiency of Commercial Lighting &amp; Appliances</t>
  </si>
  <si>
    <t>Green Building Envelope Optmiztn-Commercial Buildings</t>
  </si>
  <si>
    <t>Pumps and Tractors</t>
  </si>
  <si>
    <t>Energy Demand for Agriculture</t>
  </si>
  <si>
    <t>Energy Demand for Pumps and Tractors</t>
  </si>
  <si>
    <t>Fuel Split for Pumps</t>
  </si>
  <si>
    <t>Telecom Towers</t>
  </si>
  <si>
    <t>Fossil Fuel Energy</t>
  </si>
  <si>
    <t>India Fossil Fuel Energy</t>
  </si>
  <si>
    <t>Household Cooking</t>
  </si>
  <si>
    <t>Fossil Fuel Based Electricity</t>
  </si>
  <si>
    <t>Renewable Based Electricity</t>
  </si>
  <si>
    <t>Hydro and Nuclear</t>
  </si>
  <si>
    <t>in petrol equiv.</t>
  </si>
  <si>
    <t>2Wsc</t>
  </si>
  <si>
    <t>2Wmt</t>
  </si>
  <si>
    <t>2Wmp</t>
  </si>
  <si>
    <t>2We</t>
  </si>
  <si>
    <t>in KWH</t>
  </si>
  <si>
    <t>Effiiciency:-Trajectory 1</t>
  </si>
  <si>
    <t>Effiiciency:-Trajectory 2</t>
  </si>
  <si>
    <t>Effiiciency:-Trajectory 3</t>
  </si>
  <si>
    <t>Effiiciency:-Trajectory 4</t>
  </si>
  <si>
    <t>Vehicle type</t>
  </si>
  <si>
    <t>Cars</t>
  </si>
  <si>
    <t>Electric Cars</t>
  </si>
  <si>
    <t>Electric 2Ws</t>
  </si>
  <si>
    <t>Share of Evs in  Passenger Road Transport</t>
  </si>
  <si>
    <t>X.a.lighting</t>
  </si>
  <si>
    <t>X.a.fans</t>
  </si>
  <si>
    <t>X.a.tv</t>
  </si>
  <si>
    <t>X.a.refridgerators</t>
  </si>
  <si>
    <t>X.a.ac</t>
  </si>
  <si>
    <t>Green Building Intervention</t>
  </si>
  <si>
    <t>Fans</t>
  </si>
  <si>
    <t>TVs</t>
  </si>
  <si>
    <t>Refridgerators</t>
  </si>
  <si>
    <t>Air Conditioners</t>
  </si>
  <si>
    <t>ICE Cars, Buses and 2W/3W</t>
  </si>
  <si>
    <t>EV Cars, 2W</t>
  </si>
  <si>
    <t>XII.a.rail</t>
  </si>
  <si>
    <t>XII.a.air</t>
  </si>
  <si>
    <t>Railways</t>
  </si>
  <si>
    <t>Domestic Passenger Aviation</t>
  </si>
  <si>
    <t>XIII.a.lpg</t>
  </si>
  <si>
    <t>XIII.a.kerosene</t>
  </si>
  <si>
    <t>XIII.a.biogas</t>
  </si>
  <si>
    <t>XIII.a.biomass</t>
  </si>
  <si>
    <t>XIII.a.electricity</t>
  </si>
  <si>
    <t>XIII.a.png</t>
  </si>
  <si>
    <t>LPG cookstoves</t>
  </si>
  <si>
    <t>Kerosene cookstoves</t>
  </si>
  <si>
    <t>Biogas Cookstoves</t>
  </si>
  <si>
    <t>Biomass Cookstoves</t>
  </si>
  <si>
    <t>Electricity Cookstoves</t>
  </si>
  <si>
    <t>PNG Cookstoves</t>
  </si>
  <si>
    <t>XIV.tractors</t>
  </si>
  <si>
    <t>XIV.pumps</t>
  </si>
  <si>
    <t>Tractors</t>
  </si>
  <si>
    <t>Pumps</t>
  </si>
  <si>
    <t>Energy Effiiciency</t>
  </si>
  <si>
    <t>Shift to Electricity from Diesel for Telecom Towers</t>
  </si>
  <si>
    <t>Grid</t>
  </si>
  <si>
    <t>T&amp;D  Losses</t>
  </si>
  <si>
    <t>T&amp;D Losses</t>
  </si>
  <si>
    <t>Energy Security Tables</t>
  </si>
  <si>
    <t>GDP</t>
  </si>
  <si>
    <t>Imported</t>
  </si>
  <si>
    <t>Businesses</t>
  </si>
  <si>
    <t>(iii) Public/private Share</t>
  </si>
  <si>
    <t>(IV)Share of Evs</t>
  </si>
  <si>
    <t>(II) Modal Shift</t>
  </si>
  <si>
    <t>Passenger</t>
  </si>
  <si>
    <t>Freight</t>
  </si>
  <si>
    <t>(ii) Fuel Split</t>
  </si>
  <si>
    <t>(i) Efficiency</t>
  </si>
  <si>
    <t>(II) Savings-Green Buildings</t>
  </si>
  <si>
    <t>(ii) Fuel Split-Pumps</t>
  </si>
  <si>
    <t>(I) Demand -Tractors &amp; Pumps</t>
  </si>
  <si>
    <t>(i)Efficiency</t>
  </si>
  <si>
    <t>Industrial Efficiency</t>
  </si>
  <si>
    <t>Telecom Fuel Shift</t>
  </si>
  <si>
    <t>(ii) LNG/PNG Fuel Shift</t>
  </si>
  <si>
    <t>(ii) Efficiency</t>
  </si>
  <si>
    <t>Coal Based Generation</t>
  </si>
  <si>
    <t>(i) Coal Power Stations</t>
  </si>
  <si>
    <t>Carbon Capture</t>
  </si>
  <si>
    <t xml:space="preserve">(i) CCS Stations </t>
  </si>
  <si>
    <t>(ii) Fuel Mix</t>
  </si>
  <si>
    <t>Nuclear Power Station</t>
  </si>
  <si>
    <t>Hydro Power Stations</t>
  </si>
  <si>
    <t>Fossil Based Electricity Generation</t>
  </si>
  <si>
    <t>Non Fossil Electricity</t>
  </si>
  <si>
    <t>Domestic Coal</t>
  </si>
  <si>
    <t>Domestic Oil</t>
  </si>
  <si>
    <t>Domestic Gas</t>
  </si>
  <si>
    <t xml:space="preserve">Fossil Energy </t>
  </si>
  <si>
    <t>DOmestic Fuel Supply</t>
  </si>
  <si>
    <t>(i)Bio Energy Feedstock</t>
  </si>
  <si>
    <t>(II)Feedstock End Use Split</t>
  </si>
  <si>
    <t>Bio Energy</t>
  </si>
  <si>
    <t xml:space="preserve"> Bio Fuels</t>
  </si>
  <si>
    <t>Algae based Bio Energy</t>
  </si>
  <si>
    <t>Agri Residue and Forest Arising</t>
  </si>
  <si>
    <t>Balancing &amp;Storage</t>
  </si>
  <si>
    <t>Renewable</t>
  </si>
  <si>
    <t>Primary Energy Supply</t>
  </si>
  <si>
    <t>Land Usage</t>
  </si>
  <si>
    <t>Import Dependence</t>
  </si>
  <si>
    <t>Agriculture/waste</t>
  </si>
  <si>
    <t>(ii) Road/Rail/Air</t>
  </si>
  <si>
    <t>Your Pathway</t>
  </si>
  <si>
    <t>$bn</t>
  </si>
  <si>
    <t>2012 US Billion Dollar</t>
  </si>
  <si>
    <t>USD Bn</t>
  </si>
  <si>
    <t>$trn</t>
  </si>
  <si>
    <t>2012 US Trillion Dollar</t>
  </si>
  <si>
    <t>USD trn</t>
  </si>
  <si>
    <t>Share of EVs</t>
  </si>
  <si>
    <t>Share of Renewables</t>
  </si>
  <si>
    <t>Overall</t>
  </si>
  <si>
    <t>Available  Feedstock for first generation and 2nd Generation Bio Fuels</t>
  </si>
  <si>
    <t>V.d</t>
  </si>
  <si>
    <t>v.d</t>
  </si>
  <si>
    <t>Biomass Based Electricity&amp; Biogas</t>
  </si>
  <si>
    <t>Bio-feedstock prodctn &amp; bio-conversion</t>
  </si>
  <si>
    <t>Producton of Non Fooder Agri and Forestry Residue</t>
  </si>
  <si>
    <t>Efficiency of Biomass to Electricity Generation</t>
  </si>
  <si>
    <t>Production of Algae based Bio Fuels</t>
  </si>
  <si>
    <t>Wet Biomass and Waster Feedstock available</t>
  </si>
  <si>
    <t>Production of Biofuel from Algae</t>
  </si>
  <si>
    <t>V.e</t>
  </si>
  <si>
    <t>v.e</t>
  </si>
  <si>
    <t>Fuel For Cooking</t>
  </si>
  <si>
    <t>Available feedstock for Cooking</t>
  </si>
  <si>
    <t>Bio Feedstock for Cooking</t>
  </si>
  <si>
    <t>Bio Feedstock for electricity</t>
  </si>
  <si>
    <t>Grid Connected Solar PV</t>
  </si>
  <si>
    <t>Off Grid Solar PV/Renewable</t>
  </si>
  <si>
    <t>Electricity used in India, before losses</t>
  </si>
  <si>
    <t>Calculation of Emissions( COmmercial cooking)</t>
  </si>
  <si>
    <t>Emissions produced - Domestic  Cooking</t>
  </si>
  <si>
    <t>Net Consumption of Hydrocarbons excluding bio energy</t>
  </si>
  <si>
    <t>Imported Hydrocarbons</t>
  </si>
  <si>
    <t>Assumed Age of Coal SC Power Plants</t>
  </si>
  <si>
    <t>Energy generation potential from urban segregted organic MSW</t>
  </si>
  <si>
    <t>Energy generation potential from rural segregted organic MSW</t>
  </si>
  <si>
    <t>Gasesous Hydrocarbons per year</t>
  </si>
  <si>
    <t>Tonnes/day</t>
  </si>
  <si>
    <t xml:space="preserve">100% Fuel availability potential (from segregated MSW) </t>
  </si>
  <si>
    <t>Solid Hydro Carbons  per year</t>
  </si>
  <si>
    <t xml:space="preserve">Total Energy content of urban combustible MSW (CHP)/day
</t>
  </si>
  <si>
    <t xml:space="preserve">Waste to electricity capacity deployed </t>
  </si>
  <si>
    <t>Input Energy Required</t>
  </si>
  <si>
    <t>Domestic Production from Waste</t>
  </si>
  <si>
    <t>Total from Bio Energy and Waste</t>
  </si>
  <si>
    <t>Municipal Waste</t>
  </si>
  <si>
    <t>Electricity Grid</t>
  </si>
  <si>
    <t>Agriculture Waste/ Energy Crops</t>
  </si>
  <si>
    <t>Passenger Transport</t>
  </si>
  <si>
    <t>Freight Transport</t>
  </si>
  <si>
    <t>Household Lighting &amp; Appliances</t>
  </si>
  <si>
    <t>Green Building Savings</t>
  </si>
  <si>
    <t>Over Generation/Exports</t>
  </si>
  <si>
    <t>Gas Reserves</t>
  </si>
  <si>
    <t>Gas based generation</t>
  </si>
  <si>
    <t>Gas, Private/JVC  Supply</t>
  </si>
  <si>
    <t>Trajectory A</t>
  </si>
  <si>
    <t>Maintain?</t>
  </si>
  <si>
    <t xml:space="preserve">- </t>
  </si>
  <si>
    <t>Trajectories for Freight Efficiency</t>
  </si>
  <si>
    <t>Air Quality</t>
  </si>
  <si>
    <t>IPCC</t>
  </si>
  <si>
    <t>Emissions produced - National Navigation</t>
  </si>
  <si>
    <t>Thermal efficiency (Weighted Average)</t>
  </si>
  <si>
    <t>Trajectory B</t>
  </si>
  <si>
    <t>Trajectory C</t>
  </si>
  <si>
    <t>Trajectory D</t>
  </si>
  <si>
    <t>Change to A,B,C,D's</t>
  </si>
  <si>
    <t>Gas based generation  New capacity addition</t>
  </si>
  <si>
    <t>Gas based generation PV Retired Capacity</t>
  </si>
  <si>
    <t>Gas based generation Cumulative Capacity</t>
  </si>
  <si>
    <t>Gross Thermal efficiency (%)</t>
  </si>
  <si>
    <t>- Own-use requirements</t>
  </si>
  <si>
    <t>Legacy plant capacities (added prior to 2012)</t>
  </si>
  <si>
    <t>PHWR Plants, and TAPS1 and 2</t>
  </si>
  <si>
    <t>&amp;</t>
  </si>
  <si>
    <t>Application of green building envelope savings</t>
  </si>
  <si>
    <t>Total demand by room airconditoners</t>
  </si>
  <si>
    <t>Total demand applicable for green building savings</t>
  </si>
  <si>
    <t>Consumption of kerosene</t>
  </si>
  <si>
    <t>Annual Usage of Kerosene for Lighting per Household</t>
  </si>
  <si>
    <t>Appliance</t>
  </si>
  <si>
    <t>Region</t>
  </si>
  <si>
    <t>Refrigerators</t>
  </si>
  <si>
    <t>Number of households using kerosene for lighting</t>
  </si>
  <si>
    <t>Nuclear Capacity (PHWR and Boiling water reactors (TAPS1 &amp;TAPS2))</t>
  </si>
  <si>
    <t>Nuclear Capacity (LWR)</t>
  </si>
  <si>
    <t>Nuclear Capacity (FBR)</t>
  </si>
  <si>
    <t>Nuclear Capacity (PHWR+FBR+LWR)</t>
  </si>
  <si>
    <t>Large hydro plant size</t>
  </si>
  <si>
    <t>[1] Published by MoP ( http://www.powermin.nic.in/JSP_SERVLETS/jsp/Hydro_faq.htm#23)</t>
  </si>
  <si>
    <t>L.00</t>
  </si>
  <si>
    <t>Lighting &amp; Appliances</t>
  </si>
  <si>
    <t>T.00</t>
  </si>
  <si>
    <t>M.00</t>
  </si>
  <si>
    <t>Do-nothing Scenario</t>
  </si>
  <si>
    <t>Scenario Demand</t>
  </si>
  <si>
    <t>coal reserves</t>
  </si>
  <si>
    <t>coal imports</t>
  </si>
  <si>
    <t>oil reserves</t>
  </si>
  <si>
    <t>oil imports</t>
  </si>
  <si>
    <t>gas reserves</t>
  </si>
  <si>
    <t>gas imports</t>
  </si>
  <si>
    <t>agriculture waste/ energy crops</t>
  </si>
  <si>
    <t>municipal waste</t>
  </si>
  <si>
    <t>solar</t>
  </si>
  <si>
    <t>solar pv</t>
  </si>
  <si>
    <t>solar csp</t>
  </si>
  <si>
    <t>wind</t>
  </si>
  <si>
    <t>onshore wind</t>
  </si>
  <si>
    <t>offshore wind</t>
  </si>
  <si>
    <t>small hydro</t>
  </si>
  <si>
    <t>hydro</t>
  </si>
  <si>
    <t>nuclear</t>
  </si>
  <si>
    <t>electricity imports</t>
  </si>
  <si>
    <t>bio-conversion</t>
  </si>
  <si>
    <t>gas</t>
  </si>
  <si>
    <t>solid</t>
  </si>
  <si>
    <t>thermal generation</t>
  </si>
  <si>
    <t>electricity grid</t>
  </si>
  <si>
    <t>green building savings</t>
  </si>
  <si>
    <t>liquid</t>
  </si>
  <si>
    <t>off grid renewables</t>
  </si>
  <si>
    <t>coal</t>
  </si>
  <si>
    <t>oil</t>
  </si>
  <si>
    <t>natural gas</t>
  </si>
  <si>
    <t>losses</t>
  </si>
  <si>
    <t>passenger transport</t>
  </si>
  <si>
    <t>freight transport</t>
  </si>
  <si>
    <t>industry</t>
  </si>
  <si>
    <t>household cooking</t>
  </si>
  <si>
    <t>household lighting &amp; appliances</t>
  </si>
  <si>
    <t>commercial lighting &amp; appliances</t>
  </si>
  <si>
    <t>agriculture</t>
  </si>
  <si>
    <t>telecom</t>
  </si>
  <si>
    <t>over generation/exports</t>
  </si>
  <si>
    <t>commercial cooking</t>
  </si>
  <si>
    <t>Renewables and Clean Energy</t>
  </si>
  <si>
    <t>Conventional Generation</t>
  </si>
  <si>
    <t>India Land Requirement</t>
  </si>
  <si>
    <t>Change</t>
  </si>
  <si>
    <t>Conventional</t>
  </si>
  <si>
    <t>Mtle</t>
  </si>
  <si>
    <t>Million Tonnes of Lignite Equivalent</t>
  </si>
  <si>
    <t>unit.mtle</t>
  </si>
  <si>
    <t>Domestic Large Hydroelectricity Net  Capacity</t>
  </si>
  <si>
    <t>Land Use</t>
  </si>
  <si>
    <t>Penetration level of Appliances</t>
  </si>
  <si>
    <t>Percentage of Households using the categories of electric lighting and appliances</t>
  </si>
  <si>
    <t>Hours/year</t>
  </si>
  <si>
    <t>Building envelope energy savings [1]</t>
  </si>
  <si>
    <t>[1] Derived from sheet IX: Building design and envelope optimization</t>
  </si>
  <si>
    <t>Calculation of the sub-modal share in the final technology share</t>
  </si>
  <si>
    <t>Calculation of energy per vehicle-Passenger Km</t>
  </si>
  <si>
    <t>Calculation of Energy Demand per Scenario</t>
  </si>
  <si>
    <t>Efficiencies - Energy/Vehicle-tonne-km</t>
  </si>
  <si>
    <t>Compute Frieght Volume per Scenario</t>
  </si>
  <si>
    <t>Calculation of energy use by fuel per Scenario</t>
  </si>
  <si>
    <t>Refinery Losses</t>
  </si>
  <si>
    <t>Calculation of Emission Specific Fuel Demand(urban)</t>
  </si>
  <si>
    <t>Calculation of Emission Specific Fuel Demand(rural)</t>
  </si>
  <si>
    <t>Crude Oil Required</t>
  </si>
  <si>
    <t>Gas for Steel</t>
  </si>
  <si>
    <t>Gas for Petrochemicals</t>
  </si>
  <si>
    <t>Total Non Energy Use</t>
  </si>
  <si>
    <t>Industrial Fuel</t>
  </si>
  <si>
    <t>Internal Consumption
/LPG shrinkage</t>
  </si>
  <si>
    <t>Tea Plantation</t>
  </si>
  <si>
    <t>Domestic Fuel</t>
  </si>
  <si>
    <t>Fert</t>
  </si>
  <si>
    <t>Petro</t>
  </si>
  <si>
    <t>Grand Total</t>
  </si>
  <si>
    <t>% composition</t>
  </si>
  <si>
    <t>Gross Prodn</t>
  </si>
  <si>
    <t>Sales</t>
  </si>
  <si>
    <t>Flaring</t>
  </si>
  <si>
    <t>Net Availability</t>
  </si>
  <si>
    <t>GAS</t>
  </si>
  <si>
    <t>Oil &amp; Petroleum Products</t>
  </si>
  <si>
    <t>Domestic Distribution</t>
  </si>
  <si>
    <t>Agri</t>
  </si>
  <si>
    <t>Manufacturing</t>
  </si>
  <si>
    <t>Naptha</t>
  </si>
  <si>
    <t>Power</t>
  </si>
  <si>
    <t>Steel</t>
  </si>
  <si>
    <t>petrochemicals</t>
  </si>
  <si>
    <t>HSDO</t>
  </si>
  <si>
    <t>Mining</t>
  </si>
  <si>
    <t>LDO</t>
  </si>
  <si>
    <t>Furnance Oil</t>
  </si>
  <si>
    <t>Total secured  natural gas supply</t>
  </si>
  <si>
    <t>Growth Rates</t>
  </si>
  <si>
    <t>2032-2042</t>
  </si>
  <si>
    <t>2042-2052</t>
  </si>
  <si>
    <t>Domestic solar CSP l new capacity</t>
  </si>
  <si>
    <t>Domestic Solar CSP Cumulative Capacity</t>
  </si>
  <si>
    <t>Domestic Solar CSP</t>
  </si>
  <si>
    <t>Emissions[1]</t>
  </si>
  <si>
    <t>Emissions impact  from Buildings 's savings have been accounted for in the Commercial Lighting &amp; Residential Lighting Sector</t>
  </si>
  <si>
    <t>Total Imports</t>
  </si>
  <si>
    <t>LSHS/HHS</t>
  </si>
  <si>
    <t>India's Petroleum Products imports as a proportion to overall imports</t>
  </si>
  <si>
    <t>Import/Export Balance of Crude Oil</t>
  </si>
  <si>
    <t>Crude Oil Import( Gross)</t>
  </si>
  <si>
    <t>POL Imports( gross)</t>
  </si>
  <si>
    <t>POL Exports( Gross)</t>
  </si>
  <si>
    <t>Net Imports</t>
  </si>
  <si>
    <t>Net Imports( POL)</t>
  </si>
  <si>
    <t>Production of Crude Oil</t>
  </si>
  <si>
    <t>Refinery Production</t>
  </si>
  <si>
    <t>Production of POL</t>
  </si>
  <si>
    <t>Consumption of POL</t>
  </si>
  <si>
    <t>Lignite</t>
  </si>
  <si>
    <t>Gross Production of Energy By Various Sources in 2011-12</t>
  </si>
  <si>
    <t>Crude</t>
  </si>
  <si>
    <t>Petro Products</t>
  </si>
  <si>
    <t>Thermal</t>
  </si>
  <si>
    <t>Hydel</t>
  </si>
  <si>
    <t>Coal Demand in 2011-12</t>
  </si>
  <si>
    <t>Power Utility</t>
  </si>
  <si>
    <t>Power Captive</t>
  </si>
  <si>
    <t>POWER</t>
  </si>
  <si>
    <t>Sponge Iron</t>
  </si>
  <si>
    <t>Coking Coal for Steel</t>
  </si>
  <si>
    <t>http://www.coal.nic.in/annrep1213.pdf</t>
  </si>
  <si>
    <t>Total Coal Demand</t>
  </si>
  <si>
    <t>Total Indigenous Supply</t>
  </si>
  <si>
    <t>Import</t>
  </si>
  <si>
    <t>technology</t>
  </si>
  <si>
    <t>Average( PLF)</t>
  </si>
  <si>
    <t>Electricity Supply in 2011-12</t>
  </si>
  <si>
    <t>* Excludes generation from Plants upto 25 MW</t>
  </si>
  <si>
    <t>http://www.cea.nic.in/reports/yearly/energy_generation_11_12.pdf</t>
  </si>
  <si>
    <t>Stats Difference</t>
  </si>
  <si>
    <t>Cpative</t>
  </si>
  <si>
    <t>Total Electricity into grid</t>
  </si>
  <si>
    <t>Electricity Demand</t>
  </si>
  <si>
    <t>Public Lighting</t>
  </si>
  <si>
    <t>Public Water &amp; Sewage</t>
  </si>
  <si>
    <t>Miscellaneous</t>
  </si>
  <si>
    <t>Total Demand</t>
  </si>
  <si>
    <t>Balance of Electricity</t>
  </si>
  <si>
    <t>Auxillary Consumption</t>
  </si>
  <si>
    <t>Net Energy at Bus Bars</t>
  </si>
  <si>
    <t>Energy from Non-Utilities</t>
  </si>
  <si>
    <t>Energy Imports</t>
  </si>
  <si>
    <t>Net Available</t>
  </si>
  <si>
    <t>Electricity Exports</t>
  </si>
  <si>
    <t>Net Energy Available</t>
  </si>
  <si>
    <t>Energy Loss in transformation</t>
  </si>
  <si>
    <t>Demand for Energy in 2011-12</t>
  </si>
  <si>
    <t>kcal</t>
  </si>
  <si>
    <t>Trends in supply of commercial energy</t>
  </si>
  <si>
    <t>% import dependence</t>
  </si>
  <si>
    <t>Crude Oil</t>
  </si>
  <si>
    <t>Total Commercial</t>
  </si>
  <si>
    <t>Non Commercial</t>
  </si>
  <si>
    <t>Yellow highlighted, I think need to be multiplied - e.g. *(1/Unit.ha)</t>
  </si>
  <si>
    <t>Crop yield for Sugarcane</t>
  </si>
  <si>
    <t>Crop yield for Sugarbeet</t>
  </si>
  <si>
    <t>Crop yield for Sweet Sorghum</t>
  </si>
  <si>
    <t>Crop yield for Jatropha, Pangomia</t>
  </si>
  <si>
    <t>Crop yield for Biomass from Wastelands</t>
  </si>
  <si>
    <t>Sugar yield from Sugarcane</t>
  </si>
  <si>
    <t>Molasses yield from Sugarcane</t>
  </si>
  <si>
    <t>Bioethanol conversion yield from Sugarcane Molasse</t>
  </si>
  <si>
    <t>Bioethanol yield from Sugarbeet Juice</t>
  </si>
  <si>
    <t>Bioethanol yield from Corn Residue</t>
  </si>
  <si>
    <t>Bio Ethanol yield from Baggase</t>
  </si>
  <si>
    <t>Bio Ethanol yield from 2nd generation feedstock</t>
  </si>
  <si>
    <t>millions</t>
  </si>
  <si>
    <t>RC added unit below</t>
  </si>
  <si>
    <t>Yield of Bioethanol from Sugar</t>
  </si>
  <si>
    <t>Yield of Sugarbeet Molasse from Sugarbeet Feedstock</t>
  </si>
  <si>
    <t>Yield of Bioethanol conversion from Sweet Sorghum</t>
  </si>
  <si>
    <t>Yield of Bioethanol conversion from Sugarbeet Molasse</t>
  </si>
  <si>
    <t>There's mentions here of oil and coal even though the sector is meant to be gas</t>
  </si>
  <si>
    <t>RC - suggest adding a note saying that in phase 2, fugitive emissions may be added</t>
  </si>
  <si>
    <t>Formulae in rows 159 and 160 are wrong</t>
  </si>
  <si>
    <t>(this should be from the coal reserves row - 19 I think)</t>
  </si>
  <si>
    <t>Note - on 15th Jan, RC changed trajectory 1 (just as a test) to an extreme option where no new build after 2017</t>
  </si>
  <si>
    <t>Backup of trajectory 1, before RC replaced so no new opened after 2017</t>
  </si>
  <si>
    <t>RC has changed the blue-shaded numbers below just to test trajectory 1 at this level</t>
  </si>
  <si>
    <t>Domestic solar CSP Retired Capacity</t>
  </si>
  <si>
    <t>SOLAR CSP</t>
  </si>
  <si>
    <t>Note: sea area is not implemented yet</t>
  </si>
  <si>
    <t>Indutrial Growth Multiplier</t>
  </si>
  <si>
    <t>Industrial Growth Multiplier</t>
  </si>
  <si>
    <t>Specific Energy Consumption</t>
  </si>
  <si>
    <t>PAT SEC  in the cement sector</t>
  </si>
  <si>
    <t>Non PAT SEC in the cement sector</t>
  </si>
  <si>
    <t>PAT SEC in the Fertilizer sector</t>
  </si>
  <si>
    <t>Non-PAT SEC in the Fertilizer sector</t>
  </si>
  <si>
    <t>PAT SEC in the Aluminium sector</t>
  </si>
  <si>
    <t>Non-PAT SEC in the Aluminium sector</t>
  </si>
  <si>
    <t>PAT SEC in the Iron and Steel sector</t>
  </si>
  <si>
    <t>Non-PAT SEC in the Iron n Steel sector</t>
  </si>
  <si>
    <t>PAT SEC in the Pulp n Paper sector</t>
  </si>
  <si>
    <t>Non-PAT SEC in the Pulp n Paper sector</t>
  </si>
  <si>
    <t>PAT SEC in the Textile sector</t>
  </si>
  <si>
    <t>Non-PAT SEC in the textile sector</t>
  </si>
  <si>
    <t>PAT SEC in the Chlor Alkali sector</t>
  </si>
  <si>
    <t>Non-PAT SEC in the Chlor Alkali sector</t>
  </si>
  <si>
    <t>SEC Others</t>
  </si>
  <si>
    <t>Base Level Demand Level of Industry</t>
  </si>
  <si>
    <t>Base Level  CAGR Growth of Industry as per Past Trends&amp; CGE Model</t>
  </si>
  <si>
    <t>% CAGR</t>
  </si>
  <si>
    <t>Growth Rate of Industry</t>
  </si>
  <si>
    <t>Production Levels of Industry</t>
  </si>
  <si>
    <t>Emissions per capita</t>
  </si>
  <si>
    <t>Electricity Generation For Webtool</t>
  </si>
  <si>
    <t>Import proportions</t>
  </si>
  <si>
    <t>India consumption of fuel by country source of fuel</t>
  </si>
  <si>
    <t>Domestic coal</t>
  </si>
  <si>
    <t>Imported coal</t>
  </si>
  <si>
    <t>Domestic oil</t>
  </si>
  <si>
    <t>Domestic gas</t>
  </si>
  <si>
    <t>Imported gas</t>
  </si>
  <si>
    <t>Last updated?</t>
  </si>
  <si>
    <t>No name</t>
  </si>
  <si>
    <t>RC comment -all of these numbers changed to level 2 as agreed</t>
  </si>
  <si>
    <t>Biomass residue production</t>
  </si>
  <si>
    <t>Biomass residue End Use Application</t>
  </si>
  <si>
    <t>1st Gen/2nd Gen Biofuel Productn</t>
  </si>
  <si>
    <t>Algae Biofuel Productn</t>
  </si>
  <si>
    <t>Gas Internal Consumption losses+flaring+refinery consumption</t>
  </si>
  <si>
    <t>Gas for Captive</t>
  </si>
  <si>
    <t>Gas demand adjusted for Others</t>
  </si>
  <si>
    <t>BAU Level</t>
  </si>
  <si>
    <t>10% less than BAU by 2052</t>
  </si>
  <si>
    <t>20% less than BAU by 2052</t>
  </si>
  <si>
    <t>25% less than BAU by 2052</t>
  </si>
  <si>
    <t>Buses</t>
  </si>
  <si>
    <t>Electric Buses</t>
  </si>
  <si>
    <t>Ratio of traffic within the road tranport modes</t>
  </si>
  <si>
    <t>Modal Share by Technology excluding Evs</t>
  </si>
  <si>
    <t>Electric</t>
  </si>
  <si>
    <t>ELectric</t>
  </si>
  <si>
    <t>Total Freight Transport Demand</t>
  </si>
  <si>
    <t>20% less</t>
  </si>
  <si>
    <t>Selected trajectory</t>
  </si>
  <si>
    <t>Elec</t>
  </si>
  <si>
    <t>Calculation of Emission Credits( Only CO2)</t>
  </si>
  <si>
    <t>Emissions Credits Bio Fuel Production</t>
  </si>
  <si>
    <t>Biogas related emission credits</t>
  </si>
  <si>
    <t>Biofeedstock for Electricity related emission credits</t>
  </si>
  <si>
    <t>Emissions due to Biomass Combustion for Electricity</t>
  </si>
  <si>
    <t>Household Cooking: Fuel Split</t>
  </si>
  <si>
    <t>Commercial Cooking: Fuel Split</t>
  </si>
  <si>
    <t>A number of IOR/EOR schemes are underway to enhance production. Additionally about 35 discoveries which are under various stages of DOC approvals, have been considered to start production.</t>
  </si>
  <si>
    <t xml:space="preserve">Under this scenario, a number of oil discoveries which are awaiting appraisal and development are found to be commercially viable. Marginal fields would supplement the production. </t>
  </si>
  <si>
    <t xml:space="preserve">This envisages NOCs registering a continuous growth in oil production. Share from tight oil and shale oil has been taken into account. However, this scenario includes technological alliance with super majors, better R/F, deep-water exploitation of reserves and no rig availability problems for deep-water development. </t>
  </si>
  <si>
    <t>Gas ONGC</t>
  </si>
  <si>
    <t>IEP Forced Gas Scenario is reached in 2032</t>
  </si>
  <si>
    <t>PNGRB projections and Forced Gas Scenario is reached in 2052</t>
  </si>
  <si>
    <t>Taken from PNGRB Vision 2030</t>
  </si>
  <si>
    <t>Gas for Fertilizer[1]</t>
  </si>
  <si>
    <t>PNGRB vision doccument 2030</t>
  </si>
  <si>
    <t>Imported oil</t>
  </si>
  <si>
    <t>Electricity demand per capita</t>
  </si>
  <si>
    <t>US 2012</t>
  </si>
  <si>
    <t>China 2012</t>
  </si>
  <si>
    <t>UK 2012</t>
  </si>
  <si>
    <t>India 2012</t>
  </si>
  <si>
    <t>India 2047</t>
  </si>
  <si>
    <t xml:space="preserve">http://www.photius.com/rankings/economy/electricity_consumption_per_capita_2012_0.html </t>
  </si>
  <si>
    <t>SOURCE: CIA World Factbook 2012</t>
  </si>
  <si>
    <t>Iceland 2012</t>
  </si>
  <si>
    <t>Country</t>
  </si>
  <si>
    <t>tce</t>
  </si>
  <si>
    <t>Tonnes of Coal Equivalent</t>
  </si>
  <si>
    <t>unit.tce</t>
  </si>
  <si>
    <t>USD2012_</t>
  </si>
  <si>
    <t>2012 US Dollars</t>
  </si>
  <si>
    <t>Fuel Import Costs*</t>
  </si>
  <si>
    <t>* Taken from the current policy scenario of the World Energy Outlook at $2012 prices</t>
  </si>
  <si>
    <t>INR Million</t>
  </si>
  <si>
    <t>2012 Indian Rupee Million</t>
  </si>
  <si>
    <t>INRm</t>
  </si>
  <si>
    <t>India</t>
  </si>
  <si>
    <t>World Average( 2012-35) BP Outlook</t>
  </si>
  <si>
    <t>11th FYP</t>
  </si>
  <si>
    <t>CAGR for Demand Growth</t>
  </si>
  <si>
    <t>2012-22</t>
  </si>
  <si>
    <t>2022-32</t>
  </si>
  <si>
    <t>2042-2047</t>
  </si>
  <si>
    <t>Share in Demand Growth</t>
  </si>
  <si>
    <t>CAGR for Primary Energy Supply Growth</t>
  </si>
  <si>
    <t>Total Non Commercial Primary Energy Supply</t>
  </si>
  <si>
    <t>Share of Non Commercial Primary Energy Supply</t>
  </si>
  <si>
    <t>Share of Consumption of Primary Energy Supply</t>
  </si>
  <si>
    <t xml:space="preserve">Gas </t>
  </si>
  <si>
    <t>India's Land Area</t>
  </si>
  <si>
    <t>Population of India</t>
  </si>
  <si>
    <t>Biofuels in Transport</t>
  </si>
  <si>
    <t>Clean Energy</t>
  </si>
  <si>
    <t>Bio-Energy</t>
  </si>
  <si>
    <t>Non Commercial Energy</t>
  </si>
  <si>
    <t>India 11th FYP</t>
  </si>
  <si>
    <t>World Avrge(2012-35) BP Outlook</t>
  </si>
  <si>
    <t>Renewables/Clean Energy</t>
  </si>
  <si>
    <t>Total Demand Growth</t>
  </si>
  <si>
    <t>Renewables In Electricity</t>
  </si>
  <si>
    <t>CAGR for Electricity</t>
  </si>
  <si>
    <t>PC</t>
  </si>
  <si>
    <t>CEA</t>
  </si>
  <si>
    <t>Petroleum Product for Industry</t>
  </si>
  <si>
    <t>Taken from PPAC</t>
  </si>
  <si>
    <t>Demand Adjustment as per baseline numbers</t>
  </si>
  <si>
    <t>Net Energy Demand</t>
  </si>
  <si>
    <t>T&amp;D losses</t>
  </si>
  <si>
    <t>RuralHouseholds</t>
  </si>
  <si>
    <t>GDP per Capita</t>
  </si>
  <si>
    <t>Demand/Capita</t>
  </si>
  <si>
    <t>RE 
Penetration</t>
  </si>
  <si>
    <t>Import Bill
( % of 2047 GDP)</t>
  </si>
  <si>
    <t>Demand/Capita
(2012)</t>
  </si>
  <si>
    <t>Demand/Capita
(2047)</t>
  </si>
  <si>
    <t>Import Bill as % of GDP</t>
  </si>
  <si>
    <t>Emissions/capita</t>
  </si>
  <si>
    <t>Emissions/Capita
(2012)</t>
  </si>
  <si>
    <t>Emissions/Capita
(2047)</t>
  </si>
  <si>
    <t>Land Area
( % of India's area)</t>
  </si>
  <si>
    <t>Demand
(2012, MTOE)</t>
  </si>
  <si>
    <t xml:space="preserve">
Demand
(2047, MTOE)</t>
  </si>
  <si>
    <t>Land Area as % India's area</t>
  </si>
  <si>
    <t>Import 
Dependence
(2047)</t>
  </si>
  <si>
    <t>All at 2</t>
  </si>
  <si>
    <t>Heroic Interventions in Industry</t>
  </si>
  <si>
    <t>RE 
Penetration(2047)</t>
  </si>
  <si>
    <t>Bio-Fuels
 Penetration           (transport,2047)</t>
  </si>
  <si>
    <t>Non Energy Use</t>
  </si>
  <si>
    <t>Energy Use</t>
  </si>
  <si>
    <t>Least Effort</t>
  </si>
  <si>
    <t>Heroic Effort</t>
  </si>
  <si>
    <t>Building</t>
  </si>
  <si>
    <t>% Savings</t>
  </si>
  <si>
    <t>Demand Side Interventions</t>
  </si>
  <si>
    <t>Transport Sector Interventions</t>
  </si>
  <si>
    <t>Least Effort Scenario</t>
  </si>
  <si>
    <t>Passenger Modal Shift to Rail</t>
  </si>
  <si>
    <t>Shift to Public Transport in Road</t>
  </si>
  <si>
    <t>Shift to EV</t>
  </si>
  <si>
    <t>Freight Modal Shift to Rail</t>
  </si>
  <si>
    <t>Least Effort Pathway</t>
  </si>
  <si>
    <t xml:space="preserve">Maximum Energy Security
Determined Effort
</t>
  </si>
  <si>
    <t>Least Effort 
Pathway</t>
  </si>
  <si>
    <t>% Change</t>
  </si>
  <si>
    <t xml:space="preserve">Maximum Energy Security
Heroic Effort
</t>
  </si>
  <si>
    <t>Minimum Emissions Pathway</t>
  </si>
  <si>
    <t>Demand in 2047( MTOE)</t>
  </si>
  <si>
    <t>Demand( MTOE)</t>
  </si>
  <si>
    <t>Primary Energy Supply in 2047( MToE)</t>
  </si>
  <si>
    <t>Primary Energy Supply in 2047( MTOE)</t>
  </si>
  <si>
    <t>Emissions in 2047( MT CO2)</t>
  </si>
  <si>
    <t xml:space="preserve">Demand in MTOE
</t>
  </si>
  <si>
    <t>Demand
(2012)</t>
  </si>
  <si>
    <t xml:space="preserve">
Demand
(2047)</t>
  </si>
  <si>
    <t xml:space="preserve">Bio-Fuels
 Penetration </t>
  </si>
  <si>
    <t>Determined Effort Pathway</t>
  </si>
  <si>
    <t>Maximum Energy Security Pathway( Determined Effort)</t>
  </si>
  <si>
    <t>Determined Effort  Overall and Heroic Effort on Evs</t>
  </si>
  <si>
    <t>Determined Effort Overall and Shift to Public Transport</t>
  </si>
  <si>
    <t>Determined Effort Overall and Modal Shift to Rail Frieght</t>
  </si>
  <si>
    <t>Determined Effort Overall and Heroic Effort in Transport</t>
  </si>
  <si>
    <t>Determined Effort Overall and Heroic Effort in Industry</t>
  </si>
  <si>
    <t>Determined Effort Overall and Heroic Effort in Buildings</t>
  </si>
  <si>
    <t>Emissions
/Capita
(2012)</t>
  </si>
  <si>
    <t>Emissions
/Capita
(2047)</t>
  </si>
  <si>
    <t>Demand
/Capita
(2047)</t>
  </si>
  <si>
    <t>Demand
/Capita
(2012)</t>
  </si>
  <si>
    <t>Maximum Energy Security Pathway( Heroic Effort)</t>
  </si>
  <si>
    <t>Max Energy Security
( Determined Effort)</t>
  </si>
  <si>
    <t>Maximum Energy Security
( Heroic Effort)</t>
  </si>
  <si>
    <t>GDP*</t>
  </si>
  <si>
    <t>*GDP has been calculated at factor cost at 1999-00 Prices and provisional value for 2011-12 has been taken from the Economic Survey</t>
  </si>
  <si>
    <t>Total Fuel Import Costs</t>
  </si>
  <si>
    <t>Coal imports</t>
  </si>
  <si>
    <t>Oil imports</t>
  </si>
  <si>
    <t>Gas imports</t>
  </si>
  <si>
    <t>Overall imports</t>
  </si>
  <si>
    <t xml:space="preserve">Energy consumption in the United Kingdom, Transport Tables (http://www.decc.gov.uk/en/content/cms/statistics/publications/ecuk/ecuk.aspx). Ktoe are converted into TWh </t>
  </si>
  <si>
    <t xml:space="preserve">Energy consumption in the United Kingdom, Transport Tables (http://www.decc.gov.uk/en/content/cms/statistics/publications/ecuk/ecuk.aspx). Ktoe are converted into TWh. Data in the Transport Tables pre-2004 includes energy used in platforms and has been deflated to broadly reflect only the energy used in trains. </t>
  </si>
  <si>
    <t>Committee on Climate Change historic emissions estimates (http://downloads.theccc.org.uk.s3.amazonaws.com/Shipping%20Review/Shipping%20Review%20Web%20Exhibits.xls, Figure B5), converted into TWh using factors in the 2050 Calculator.</t>
  </si>
  <si>
    <t>Calculation (sum of subcategories)</t>
  </si>
  <si>
    <t>Digest of UK Energy Statistics (DUKES) data, numerous tables (separate note is available)</t>
  </si>
  <si>
    <t>Energy consumption in the UK statistics (Domestic energy consumption by end use 1970 to 2009) and DUKES (Detailed service sector energy consumption by subsector and end use by fuel,  2001)</t>
  </si>
  <si>
    <t>Total Use</t>
  </si>
  <si>
    <t>% share</t>
  </si>
  <si>
    <t>Dukes 5.6  Electricity fuel use, generation and supply, Major power producers, Fuel used, Nuclear</t>
  </si>
  <si>
    <t>Dukes 7.1  Commodity balances Geothermal and active solar heat, Autogenerators &amp; Domestic</t>
  </si>
  <si>
    <t>Dukes 5.6 Non-thermal sources, Other + 7.1 Wind, Autogenerators</t>
  </si>
  <si>
    <t>New technology</t>
  </si>
  <si>
    <t>Dukes 5.6 Hydro-natural flow, Fuel used + Dules 7.1 Hydro, Autogenerators</t>
  </si>
  <si>
    <t>DUKES long-term trends  5.1.2, Net imports</t>
  </si>
  <si>
    <t>Poultry litter, meat  and bone,  and farm waste:    Major power producers Autogenerators Industry-Unclassified + Waste(4) and tyres: Major power producers Autogenerators, Industry-Unclassified, Other-Domestic, Public administration &amp; Commercial</t>
  </si>
  <si>
    <t>7.2 wood, production + Straw, SRC, and other plant-based biomass, Total supply + Liquid biofuels + (population * average daily calories * 365.5 * 0.6 / 0.9)</t>
  </si>
  <si>
    <t>(population * average daily calories * 365.5 * 0.4 / 0.9)</t>
  </si>
  <si>
    <t>Dummy for charting supply</t>
  </si>
  <si>
    <t>Base Emissions</t>
  </si>
  <si>
    <t xml:space="preserve">Please note: emissions by sector need to account for bio-energy, which is accounted for seperately (in V). </t>
  </si>
  <si>
    <t>Cumulative emissions are estimates based on a linear trajectory between the 5 year time periods</t>
  </si>
  <si>
    <t>Targets</t>
  </si>
  <si>
    <t>2052 target</t>
  </si>
  <si>
    <t xml:space="preserve">2020 target </t>
  </si>
  <si>
    <t>2020 target</t>
  </si>
  <si>
    <t>Actuals, as % of 2007, modelled</t>
  </si>
  <si>
    <t>Base year (1990)</t>
  </si>
  <si>
    <t>(20% of base)</t>
  </si>
  <si>
    <t>(66% of base)</t>
  </si>
  <si>
    <t>% of 2007</t>
  </si>
  <si>
    <t>Kyoto agreed sectors</t>
  </si>
  <si>
    <t>International bunkers (CO2 only)</t>
  </si>
  <si>
    <t>Target, for chart</t>
  </si>
  <si>
    <t>Dummy, for chart</t>
  </si>
  <si>
    <t>Hydro-carbon use by sector and Bio-energy share</t>
  </si>
  <si>
    <t>Please note: Bio-energy is not assigned to sectors but is assumed to replace fossil fuels up to maximum demand</t>
  </si>
  <si>
    <t>Solid Hydrocarbon consumption</t>
  </si>
  <si>
    <t>Share of solid biomass to total solid hydrocarbon consumption</t>
  </si>
  <si>
    <t xml:space="preserve">n/a </t>
  </si>
  <si>
    <t>DUKES -  Electricity fuel use, generation and supply</t>
  </si>
  <si>
    <t>DUKES - Aggregate energy balances, industry, coal</t>
  </si>
  <si>
    <t>DUKES - Aggregate energy balances, domestic coal</t>
  </si>
  <si>
    <t>Liquid Hydrocarbon consumption</t>
  </si>
  <si>
    <t>Share of Bioliquids to total liquid hydrocarbon consumption</t>
  </si>
  <si>
    <t>Energy consumption in the UK, Transport, Table 2.1, total petroleum use</t>
  </si>
  <si>
    <t>DUKES - aggregate energy balances, industry liquid hydrocarbons</t>
  </si>
  <si>
    <t>DUKES aggregate energy balances, petroleum refinaries petroleum products use</t>
  </si>
  <si>
    <t>Gaseous Hydrocarbon consumption</t>
  </si>
  <si>
    <t>Share of Biogas to total gaseous hydrocarbon consumption</t>
  </si>
  <si>
    <t>Energy consumption in UK, domestic gas space heating</t>
  </si>
  <si>
    <t>Energy consumption in UK, commercial gas space heating</t>
  </si>
  <si>
    <t>DUKES - 1.2 and 2.5</t>
  </si>
  <si>
    <t>Bio type</t>
  </si>
  <si>
    <t>Column2</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</si>
  <si>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</si>
  <si>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</si>
  <si>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</si>
  <si>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</si>
  <si>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</si>
  <si>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</si>
  <si>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</si>
  <si>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</si>
  <si>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</si>
  <si>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</si>
  <si>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</si>
  <si>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</si>
  <si>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</si>
  <si>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</si>
  <si>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</si>
  <si>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</si>
  <si>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</si>
  <si>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</si>
  <si>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</si>
  <si>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</si>
  <si>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</si>
  <si>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</si>
  <si>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</si>
  <si>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</si>
  <si>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</si>
  <si>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</si>
  <si>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</si>
  <si>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</si>
  <si>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</si>
  <si>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</si>
  <si>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</si>
  <si>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</si>
  <si>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</si>
  <si>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</si>
  <si>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</si>
  <si>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</si>
  <si>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</si>
  <si>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</si>
  <si>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</si>
  <si>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</si>
  <si>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Column612</t>
  </si>
  <si>
    <t>Column62</t>
  </si>
  <si>
    <t>Column63</t>
  </si>
  <si>
    <t>Column3</t>
  </si>
  <si>
    <t>Electricity Generation Emissions</t>
  </si>
  <si>
    <t>Emissions from Electricity Generation, exlcuding CHP</t>
  </si>
  <si>
    <t>CCS in Power</t>
  </si>
  <si>
    <t>Bioenergy in Gas Power</t>
  </si>
  <si>
    <t>Bioenergy in Solid BM Power</t>
  </si>
  <si>
    <t>Bioenergy in Solid HC CCS Power</t>
  </si>
  <si>
    <t>Bioenergy in Gas CCS Power</t>
  </si>
  <si>
    <t>Total Emissions from Power</t>
  </si>
  <si>
    <t>Emissions reclassified</t>
  </si>
  <si>
    <t>Emissions intensity</t>
  </si>
  <si>
    <t>MtCO2e/TWh</t>
  </si>
  <si>
    <t>gCO2e/KWh</t>
  </si>
  <si>
    <t>Note: Emissions from CHP are excluded, while emissions from district heating are included.</t>
  </si>
  <si>
    <t>Least Effort Scenario No new capacity added due to high prices. The gas based generation would reach a level of 109.9 TWh in 2047.</t>
  </si>
  <si>
    <t>Determined Effort Scenario: New projects get connected to the pipeline.  The gas based power generation capacity will remain reach to 67 GW in 2047.</t>
  </si>
  <si>
    <t xml:space="preserve">Aggressive Effort Scenario:  assumes free gas market in the country . This level the gas based generation capacity would reach to a level of 122 GW and the corresponding generation would be about 641 TWh in 2047. 
</t>
  </si>
  <si>
    <t xml:space="preserve">Heroic Effort Scenario: no constraint in gas availability and that imports are unlimited and there is a complete free gas market.  the gas based generation capacity and the corresponding generation would be about 1161 TWh in the year 2047.
</t>
  </si>
  <si>
    <t>Least Effort Scenario :  Increasing fuel prices, import dependence, pressure to reduce carbon emissions. total electricity generated in 2047 from coal-fired power plants would be 1584 TWh.</t>
  </si>
  <si>
    <t xml:space="preserve">Determined Effort Scenario: Electricity generated from coal-fired plants in 2047 would be 2141 TWh.
</t>
  </si>
  <si>
    <t>Aggressive Effort Scenario: Capacity addition at a slightly lower level . Total generation of 3051 TWh in 2047.</t>
  </si>
  <si>
    <t xml:space="preserve">Heroic Effort Scenario: Assumes a high coal based capacity. electricity generation of 4038 TWh in 2047. </t>
  </si>
  <si>
    <t xml:space="preserve">Least Effort Scenario : New technology development/deployment will be slow. total demand for Indian grade coal in 2047 for India, would be 1383 million tons. </t>
  </si>
  <si>
    <t>Determined Effort Scenario : New technology development/deployment will be slightly faster. Total demand for Indian grade coal in 2047 is expected at 1345 million tons.</t>
  </si>
  <si>
    <t xml:space="preserve">Aggressive Effort Scenario : New technology development/deployment will be encouraged and hence its adoption would be faster. demand for Indian grade coal in 2047 in this scenario is 1309 million tons.
</t>
  </si>
  <si>
    <t xml:space="preserve">Heroic Effort Scenario : New technology development/deployment will be aggressively promoted. Total demand for Indian grade coal in 2047 in this scenario is 1277 million tons.
</t>
  </si>
  <si>
    <t>Least Effort Scenario :  no planned generation plants with CCS until 2025. Generation with CCS usage will increase to 7 GW till 2047.</t>
  </si>
  <si>
    <t xml:space="preserve">Determined Effort Scenario : Generation with CCS usage will be deployed at a slow rate. Generation with CCS will reach 35 GW by 2047.
</t>
  </si>
  <si>
    <t>Aggressive Effort Scenario : CCS-equipped capacity is expected to grow, India will target generation capacity of 70 GW by 2047.</t>
  </si>
  <si>
    <t>Heroic Effort Scenario : More generation plants with CCS technology will be deployed, increasing to 88 GW by 2047.</t>
  </si>
  <si>
    <t>Least Effort Scenario : The Fuel Split for level 1 is completely based on coal supply. Gas supply is not being utilized for CCS at this stage.</t>
  </si>
  <si>
    <t>Determined Effort Scenario : The Fuel Split is in the ratio 9:1 for coal and gas respectively.</t>
  </si>
  <si>
    <t>Aggressive Effort Scenario : The Fuel Split is in the ratio 9:1 for coal and gas respectively.</t>
  </si>
  <si>
    <t>Heroic Effort Scenario : The Fuel Split is in the ratio 9:1 for coal and gas respectively.</t>
  </si>
  <si>
    <t xml:space="preserve">Least Effort Scenario : Reactors currently under construction (5,300 MW) are completed and commissioned. </t>
  </si>
  <si>
    <t xml:space="preserve">Determined Effort Scenario : Assumes that new reactors are developed in the eight new sites identified. </t>
  </si>
  <si>
    <t xml:space="preserve">Aggressive Effort Scenario : Assumes that all the new sites are fully utilized with new reactors. Six reactors are assumed per site. </t>
  </si>
  <si>
    <t xml:space="preserve">Heroic Effort Scenario : This assumes that three new sites are identified, which can accommodate about 15,000 MW through new PHWRs and LWRs. </t>
  </si>
  <si>
    <t xml:space="preserve"> Least Effort Scenario : The current hydro plants continue to operate with scheduled maintenance efforts through the period of analysis. </t>
  </si>
  <si>
    <t>Determined Effort Scenario :  Through various measures, the Government of India (GoI) aims to realize 100% hydropower potential of the country by 2025 – 26. Pumped hydro schemes which are under construction are completed.</t>
  </si>
  <si>
    <t xml:space="preserve">Aggressive Effort Scenario : In addition to achievement of govt. plans, this scenario includes the benefits from completion of R&amp;M and Life Extension (LE) efforts. </t>
  </si>
  <si>
    <t>Heroic Effort Scenario :  Technology advancements are assumed to result in exploitation of full potential of large hydro. There are advances in technology development, and R&amp;D efforts in de-silting, integration of regional grids, forecasting and such.</t>
  </si>
  <si>
    <t>Least Effort Scenario : Solar PV capacity addition would be significantly slower. Capacity would increase to roughly 11 GW by 2022, peak at 37 GW in 2047.</t>
  </si>
  <si>
    <t xml:space="preserve">Determined Effort Scenario: Capacity addition would follow the JNNSM trajectory. Capacity addition increases strongly thereafter culminating in a cumulative capacity of 150 GW by 2047. </t>
  </si>
  <si>
    <t xml:space="preserve">Aggressive Effort Scenario: Steady drop in solar PV prices and marginal increase in fossil fuels prices, reach 248 GW by 2047. </t>
  </si>
  <si>
    <t>Heroic Effort Scenario: In this scenario, there is absolutely no barrier (economic, social or technical) to the growth of solar PV. reaches a potential of 420 GW.</t>
  </si>
  <si>
    <t>Least Effort Scenario : Only 1 GW would be operational in the next 5 years (mainly due to higher costs), beyond which there will be a slight increase in generation capacity. Generation in 2047 would be to the tune of 35 TWh.</t>
  </si>
  <si>
    <t xml:space="preserve">Determined Effort Scenario: assumes that there is slow but consistent growth in capacity addition of CSP. Capacity in this level in year 2047 is 46 GW. </t>
  </si>
  <si>
    <t>Aggressive Effort Scenario:  assumes that CSP costs come down significantly and that there are no limitations on plant size. Generation by 2047 reaches 357 TWh.</t>
  </si>
  <si>
    <t>Heroic Effort Scenario: Costs of solar system and storage fall as higher temperature technologies are introduced. Generation by 2047 reaches 745 TWh.</t>
  </si>
  <si>
    <t xml:space="preserve">Least Effort Scenario : capacity addition would be significantly slower. Capacity would increase to 67 GW by 2047. </t>
  </si>
  <si>
    <t xml:space="preserve">Determined Effort Scenario: assumes that the capacity addition would follow the 12th and 13th Plan trajectories. Reaches a capacity of 202 GW by 2047. </t>
  </si>
  <si>
    <t>Aggressive Effort Scenario: capacity addition in this highly optimistic scenario, to be slightly higher than the 12/13th Plan requirements. It would reach 270 GW by 2047</t>
  </si>
  <si>
    <t>Heroic Effort Scenario: There is absolutely no barrier (economic, social or technical) to the growth of onshore wind power. it reaches approximately 300 GW and by 2047 a high of 410 GW.</t>
  </si>
  <si>
    <t>Least Effort Scenario : Offshore wind takes off very slowly due to higher cost and other barriers, especially with regard to regulatory and associated clearances.</t>
  </si>
  <si>
    <t>Determined Effort Scenario: Without any further improvement in technology and offshore wind potential assessment, the sector witnesses a gradual growth in capacity addition.</t>
  </si>
  <si>
    <t>Aggressive Effort Scenario: With the improvement in potential, offshore site identification and cost reductions, India would gradually built up its offshore wind capacity/</t>
  </si>
  <si>
    <t xml:space="preserve">Heroic Effort Scenario: offshore wind power does not face any economic or physical constraints and hence sees a rapid growth in capacity addition. </t>
  </si>
  <si>
    <t>Least Effort Scenario : Essentially capacity addition is very slow and only takes care of retirement. It further increases to 7.5 GW by 2027 and plateaus at 9 GW from about 2032-2047.</t>
  </si>
  <si>
    <t xml:space="preserve">Determined Effort Scenario: Capacity addition slows down after this point and reaches the ultimate capacity of 15 GW 2047. </t>
  </si>
  <si>
    <t>Aggressive Effort Scenario: assumes an optimistic view by meeting not only the 12th and 13th Plan targets, but a slightly faster deployment. roughly 20 GW is met and maintained thereafter till 2047</t>
  </si>
  <si>
    <t>heroic Effort Scenario: Capacity deployment increases rapidly. overall SHP generation resulting in 115 TWh by 2047.</t>
  </si>
  <si>
    <t xml:space="preserve">Least Effort Scenario : Imports continue to be low as India also has opportunities for domestic power generation. </t>
  </si>
  <si>
    <t xml:space="preserve">Determined Effort Scenario: assumes imports continue to grow at a moderate pace of 5 GW from 13th Plan up to 2037 and thereafter maintain same level.   </t>
  </si>
  <si>
    <t xml:space="preserve">Aggressive Effort Scenario: assumes aggressive growth in imports and assumes 7 GW from 13th Plan up to 2037 and thereafter it remains constant. </t>
  </si>
  <si>
    <t xml:space="preserve">Heroic Effort Scenario: assumes optimistic growth in imports and assumes power import from countries other than Bhutan and Nepal (an international grid). </t>
  </si>
  <si>
    <t>Least Effort Scenario : Agri Residue productivity constant, forest residue for cooking is close to saturation at  144 MT/year</t>
  </si>
  <si>
    <t>Determined Effort Scenario : Agri Residue productivity increases at 0.25%/year, forest residue for cooking is close to saturation at  158 MT/year</t>
  </si>
  <si>
    <t>Aggressive Effort Scenario : Agri Residue productivity constant, forest residue for cooking is close to saturation at  171MT/year</t>
  </si>
  <si>
    <t>Heroic Effort Scenario : Agri Residue productivity constant, forest residue for cooking is close to saturation at  180 MT/year</t>
  </si>
  <si>
    <t xml:space="preserve">Least Effort Scenario : 52% of the Agri Residue goes into cooking along with forestry arisings, 10% in electricity and 5% for liquid fuels. </t>
  </si>
  <si>
    <t xml:space="preserve">Determined Effort Scenario : 39% of the Agri Residue goes into cooking along with forestry arisings, 18% in electricity and 10% for liquid fuels. </t>
  </si>
  <si>
    <t xml:space="preserve">Aggressive Effort Scenario : 15% of the Agri Residue goes into cooking along with forestry arisings, 30% in electricity and 22% for liquid fuels. </t>
  </si>
  <si>
    <t xml:space="preserve">Heroic Effort Scenario : 5% of the Agri Residue goes into cooking along with forestry arisings, 24% in electricity and 38% for liquid fuels. </t>
  </si>
  <si>
    <t>Least Effort Scenario : Production of 1st/2nd Gen biofuel reaches 4.7 MTOE</t>
  </si>
  <si>
    <t>Determined Effort Scenario: More crop residue and waste land is utlized for biomass resulting in 8.8 MTOE of bio-fuel production</t>
  </si>
  <si>
    <t>Aggressive Effort Scenario: Biofuel production reaches 40.2 MTOE</t>
  </si>
  <si>
    <t>Heroic Effort Scenario: Better yeild from Sugarcane biproducts and more wasteland allocation increases production to 49 MTOE</t>
  </si>
  <si>
    <t>Least Effort Scenario : Assumes almost no bio-production from Micro and Macro Algae</t>
  </si>
  <si>
    <t>Determined Effort Scenario: Production increases to 2.8 MTOE</t>
  </si>
  <si>
    <t>Aggressive Effort Scenario: Biofuel yeild from algae increases and production reaches to 28.6 MTOE</t>
  </si>
  <si>
    <t>Heroic Effort Scenario: More Land and Sea area is allocated for algae production and production reaches 113.7 MTOE</t>
  </si>
  <si>
    <t>Least Effort Scenario : . Not much government impetus is assumed. Once the existing projects have lived their life, there will be no MSW based WtE projects, beyond 2037.</t>
  </si>
  <si>
    <t>Determined Effort Scenario: assumes that the capacity addition happens in line with 12th Plan targets, 18% of total ‘waste to electricity generation’ potential will be realized, resulting in approx 3,500MW installed power generation capacity.</t>
  </si>
  <si>
    <t>Aggressive Effort Scenario: assumes that Government and ULBs emphasize on MSW based WtE as a key resource recovery option. The policies and incentives get alignedrgy. 32% of segregated urban combustibles will be used as fuel yielding 0.003Mtoe of thermal energy</t>
  </si>
  <si>
    <t>Heroic Effort Scenario: there are absolutely no barriers to the growth of MSW based WtE. Inter - agency conflicts are also resolved. Environmental considerations in urban and rural areas drive this technology. 30% of total ‘waste to electricity generation’ potential will be realized, resulting in approx 5,850MW installed power generation capacity</t>
  </si>
  <si>
    <t xml:space="preserve">Least Effort Scenario : Incorporates only future production from the current discoveries of conventional gas and CBM. Historical production has been taken into account. </t>
  </si>
  <si>
    <t xml:space="preserve">Determined Effort scenario:  assumes moderate development of CBM achieving peak production of 5 BCM in 2032 and remains static thereafter. It assumes improvement in existing pipeline policies. </t>
  </si>
  <si>
    <t xml:space="preserve">Aggressive Effort Scenario: Requires additional policy inputs to spur the growth of natural gas sector. It assumes cost recovery provision continue  price/utilization approvals are no longer required as the gas market has completely evolved in India. CBM </t>
  </si>
  <si>
    <t>Heroic Effort Scenario:  assumes a highly favourable upstream regime wherein IOCs find it attractive to invest in India and free gas market has set in. It assumes an aggressive conventional gas scenario.</t>
  </si>
  <si>
    <t xml:space="preserve">Least Effort Scenario : Assumes that only the currently operating, on-going and planned coal mining projects. In this scenario, coal production gradually increases to 619 MTPA in 2047. </t>
  </si>
  <si>
    <t xml:space="preserve">Determined Effort Scenario: There would be some improvement in mine ability due to technological improvement. In this scenario, coal production will grow by 2047 to 1163 MTPA. </t>
  </si>
  <si>
    <t xml:space="preserve"> Aggressive Effort Scenario: Proved coal reserves will grow at about 1.3% p.a. and there would also be further improvement in mine ability. Positive conditions for coal based energy supply, coal production will be 1407 MTPA in 2047. About 55% of mineable coal reserves would have been extracted by 2047.</t>
  </si>
  <si>
    <t>Heroic Effort Scenario: Proved coal reserves will grow at 1.5% p.a.  In this scenario, coal production will increase to about 1602 MTPA in 2047, In this scenario, about 48% of mineable coal reserves would have been extracted by 2047.</t>
  </si>
  <si>
    <t>Least Effort Scenario : Assumes no new fields come into production, barring the ones for which investment decision has been taken.</t>
  </si>
  <si>
    <t xml:space="preserve">Least Effort Scenario : From current levels, distance travelled annually per person is expected to increase to 18,978 km by 2046-47. Improved access to transport infrastructure, accompanied by increasing demand for mobility due to increased economic activity would lead to an increase in total passenger transport demand. </t>
  </si>
  <si>
    <t>Determined Effort Scenario : This Level would see a drop in the overall annual demand for mobility per capita by about 9 per cent from the mobility demands envisioned by 2046-47 in Level One, reaching 17,312 km by 2046-47.</t>
  </si>
  <si>
    <t>Aggressive Effort Scenario : Visualizes a world where all new cities that come up in the country in the next four decades plan for Transit Oriented Development. 18 per cent over the present mobility demands envisioned by 2046-47 under Level One, reaching 15,646 km by 2046-47.</t>
  </si>
  <si>
    <t>Heroic Effort Scenario : Growth of passenger transport demand would be moderated by conscious policy initiatives on urbanization patterns and transport demand management. 26 per cent over the passenger transport demands reaching 13,979 km by 2046-47.</t>
  </si>
  <si>
    <t>Least Effort Scenario : .  There would be a surge in the total number of cars and jeeps by 2046-47 thereby decreasing the share of public road based transport to 46%.</t>
  </si>
  <si>
    <t>Determined Effort Scenario : While road based passenger transport would still dominate, with an increase in the share of public road based transport to about 57%, its share would marginally reduce to about 83% of the total passenger transport demand by 2046-47.</t>
  </si>
  <si>
    <t>Aggressive Effort Scenario : The share of road is assumed to decrease to less than 81% by 2046-47 in this level while rail and aviation will occupy about 17% and less than 2% shares respectively. Incentivizing metro services would increase the share of public transportation in road based transport to about 66% in 2046-47</t>
  </si>
  <si>
    <t>Heroic Effort Scenario : For inter-city travel, priority in investment will be to shrink travel time between all state capitals and major metros to 12 hours or less through faster train services. High Speed Rail at 300 km/hour for high demand passenger corridors will help reduce the incidence of air travel</t>
  </si>
  <si>
    <t>Least Effort Scenario : Assumes that 42% of the transport demand will be met by public transport and the rest 48% will be met by private transport.</t>
  </si>
  <si>
    <t>Determined Effort Scenario : Approximately  49% of demand will be met by public the rest 51% will be met by private forms of transport.</t>
  </si>
  <si>
    <t>Aggressive Effort Scenario : 57% of the demand will be met by public transport the rest of the 43% will be met by private transport.</t>
  </si>
  <si>
    <t>Heroic Effort Scenario : 66% of the demand will be met by public transport the rest of 34% will be met by private forms of transport.</t>
  </si>
  <si>
    <t>Least Effort Scenario : EV penetration for buses is 7% cars 2%and 4% for 2 wheelers</t>
  </si>
  <si>
    <t>Determined Effort Scenario : In level 2, the EV penetration for buses is 11%, for cars 5% , 9% for the 2 wheelers.</t>
  </si>
  <si>
    <t>Aggressive Effort Scenario : The EV penetration for buses is 22%, for cars 13%, for the 2 wheelers is 26%.</t>
  </si>
  <si>
    <t>Heroic Effort Scenario : EV penetration for buses is 44%, for cars is 35%, and for 2 wheelers is 53%.</t>
  </si>
  <si>
    <t>Least Effort Scenario: with increasing economic wealth, the demand for white goods is also expected to grow, adding to the overall freight demand. All this would lead to an increase in the freight transport requirement from present levels to about 16,250 BTKMs by 2046-47.</t>
  </si>
  <si>
    <t xml:space="preserve">Determined Effort Scenario: better planned markets and points of consumption, the freight traffic volumes are expected to reduce by 9% of  levels to reach 14,823 BTKM’s by 2046-47.  
</t>
  </si>
  <si>
    <t xml:space="preserve">Aggressive Effort Scenario: Planned industrial clusters along with optimized transport logistics serving commercial and industrial needs would help in reducing the total volume of freight traffic by about 13 per cent  to reach 14,110 BTKM’s by 2046-47. </t>
  </si>
  <si>
    <t>Heroic Effort Scenario: Concentrated economic activity in the form of logistics parks, industrial clusters, and industrial centers would result in reduction in the average leads for freight transport on both rail and road. This would imply a reduction in volume of freight traffic by about 18 per cent over Level One by 2046-47 to reach 13, 397 BTKM’s by 2046-47.</t>
  </si>
  <si>
    <t xml:space="preserve"> Least Effort Scenario : . The share of road in India’s total freight traffic by 2046-47 will show a marked increase to 71%, and the share of rail will decline to 29%.  </t>
  </si>
  <si>
    <t xml:space="preserve">Determined Effort Scenario: Railway freight transport will see a manifold increase in average speeds from 25 kmph to 50-60 kmph on the freight corridors. This would also be accompanied with tariff rationalization. Thus the trend of falling share of rail based transport is expected to get arrested at about 35% by 2046-47. </t>
  </si>
  <si>
    <t xml:space="preserve">Aggressive Effort Scenario: Rationalization in the tariff regime of railway freight transport, coupled with increased speeds and a shift towards containerization would increase the share of the freight traffic on railways to 40% by 2046-47, with roads accounting for 60%.
</t>
  </si>
  <si>
    <t xml:space="preserve">Heroic Effort Scenario: New technologies, such as RoadRailers (highway trailers that are specially equipped for intermodal movement on railway tracks and highways) would further help increase the inter-modal share of Railways to 44% by 2046-47.
</t>
  </si>
  <si>
    <t>Least Effort Scenario : Biomass decline in cooking continues as per past trends.  65% of Rural and 10% of urban households still use non-clean fuels.Efficiency of LPG and PNG cook stoves improve marginally by 3%, while the electricity ones improve by 2%.</t>
  </si>
  <si>
    <t>Determined Effort Scenario : More penetration of cleaner fuels with better implementation of LPG and Electriicty access programs of the government.  PNG access is made available to 2% of the rural households.  Urban areas use 50% PNG</t>
  </si>
  <si>
    <t>Aggressive Effort Scenario : Increased quality &amp; service in rural areas leads to active adoption of electricity, LPG and PNG, with 17% of the households using electricity and 36 % LPG and 10% PNG. Urban areas use 63% PNG</t>
  </si>
  <si>
    <t>Heroic Effort Scenario : By 2047, 32% of the rural households use LPG and 22% depend on electricity. Only a quarter of rural households use biomass (mostly with clean cook-stoves) and PNG penetration has increased to 18%. Efficiency increase of the cookstoves is maximum</t>
  </si>
  <si>
    <t xml:space="preserve">Least Effort Scenario : Assumes only slight improvement in efficiency over 2007 levels. The usage hours of appliances are also high. </t>
  </si>
  <si>
    <t xml:space="preserve">Determined Effort Scenario : Assumes 45% of the appliances have low efficiency while 38% have medium efficiency with balance 17% being high efficiency appliances. </t>
  </si>
  <si>
    <t>Aggressive Effort Scenario : Assumes a 50% share of high efficiency appliances and a small 11% share of low efficiency and the balance being medium efficient.</t>
  </si>
  <si>
    <t>Heroic Effort Scenario : Assumes a complete market transformation to high efficiency appliances.   There is high public awareness on conservation, resulting in 90% of appliances being high efficiency, 9% being medium efficiency and 1% being low efficiency.</t>
  </si>
  <si>
    <t>Least Effort Scenario : Assumes that compliance to the ECBC codes remains voluntary. Institutional, technological, informational and financial barriers also exist, which hinder the applicability of the same.</t>
  </si>
  <si>
    <t>Determined Effort Scenario : Assumes that the interventions for ECBC compliance and retrofitting of buildings still target the commercial sector and there are still no interventions targeting the residential sector.</t>
  </si>
  <si>
    <t xml:space="preserve">Aggressive Effort Scenario: Assumes that along with standard building bye laws, there is development of ECBC compliance structures at state level, and the modification of the EPI bandwidth based scheme to multi variable EPI scheme. </t>
  </si>
  <si>
    <t xml:space="preserve">Heroic Effort Scenario : Assumes a continuation of the multi variable EPI scheme and increasing mandates in states for implementation of the ECBC code. It  assumes the development of a large retrofitting programme for commercial buildings. Further, this scenario assumes revisions in the code every 10 years increasing the energy savings. </t>
  </si>
  <si>
    <t xml:space="preserve">Least Effort Scenario : Assumes no new Government policies, although one PAT cycle has been considered resulting in improvement in efficiency of specific units/ designated consumers (DCs) across various PAT sub-sectors.  </t>
  </si>
  <si>
    <t xml:space="preserve">Determined Effort scenario: This scenario not only captures the PAT scheme as it currently stands, but also extends it such that it increases its coverage under the seven sectors. </t>
  </si>
  <si>
    <t xml:space="preserve">Aggressive Effort Scenario: This scenario further increases the PAT coverage as indicated under the seven sectors.  The units not covered under PAT increase their efficiency across processes at rate of 20% of the efficiency improvement under PAT. </t>
  </si>
  <si>
    <t>Heroic Effort Scenario: An optimistic scenario, which indicates the maximum improvement that can be achieved in the industry sector. Each industry sub sector is assumed to achieve the best level of efficiencies known today across processes.</t>
  </si>
  <si>
    <t>Least Effort Scenario : Commercial demand  expresses elasticity of 1 with GDP with 85% and 15% demand being met by LPG and PNG respectively.Cookstove efficiency increasing by 3%</t>
  </si>
  <si>
    <t>Determined Effort Scenario: Commercial demand  expresses elasticity of 0.9 with GDP with 63% and 37% demand being met by LPG and PNG respectively.Cookstove efficiency increases by 5%</t>
  </si>
  <si>
    <r>
      <t>Aggressive Effort Scenario: Commercial demand  expresses elasticity of 0.8 with GDP with 50% and 50% demand being met by LPG and PNG respectively.Cookstove efficiency increases by 8</t>
    </r>
    <r>
      <rPr>
        <strike/>
        <sz val="10"/>
        <color rgb="FF000000"/>
        <rFont val="Cambria"/>
        <family val="1"/>
      </rPr>
      <t>%</t>
    </r>
  </si>
  <si>
    <t>Heroic Effort Scenario: Commercial demand  expresses elasticity of 0.7 with GDP with 34% and 66% demand being met by LPG and PNG respectively. Cookstove efficiency increases by 10%</t>
  </si>
  <si>
    <t>Least Effort Scenario : Assumes only slight improvement in efficiency over 2007 levels.</t>
  </si>
  <si>
    <t xml:space="preserve">Determined Effort Scenario : Assumes, in 2047, 45% of the appliances have low efficiency while 38% have medium efficiency with balance 17% being high efficiency appliances. </t>
  </si>
  <si>
    <t xml:space="preserve">Aggressive Effort Scenario : Assumes a 50% share of high efficiency appliances and a small 11% share of low efficiency and the balance being medium efficient in 2047. </t>
  </si>
  <si>
    <t xml:space="preserve">Heroic Effort Scenario : Assumes a complete market transformation to high efficiency appliances. </t>
  </si>
  <si>
    <t xml:space="preserve">Least Effort Scenario : Assumes that compliance to ECBC codes remains voluntary. Institutional, technological, informational and financial barriers also exist, which hinder the applicability of the same. </t>
  </si>
  <si>
    <t>Determined Effort Scenario : Assumes, as per the Energy Conservation Act 2001, introduction of a bye law for ECBC compliance in new commercial buildings, and mandatory compliance in government buildings. It also assumes retrofits in the commercial sector.</t>
  </si>
  <si>
    <t xml:space="preserve">Heroic Effort Scenario : Assumes a continuation of the multi variable EPI scheme and increasing mandates in states for implementation of the ECBC code. It also assumes the development of a large retrofitting programme for commercial buildings. </t>
  </si>
  <si>
    <t xml:space="preserve">Least Effort Scenario : The demand for mechanization is high due to shortage of farm labour and increased size of land holdings, favourable economics versus animal labour, opportunities for renting out, and favourable policy landscape. </t>
  </si>
  <si>
    <t xml:space="preserve">Determined Effort Scenario : The demand for mechanization grows steadily as availability of farm labour and cost of labour increase. Demand grows by 5.5% and average hours of use reduce to 500 hours from Level 1. </t>
  </si>
  <si>
    <t>Aggressive Effort Scenario : Tractor demand grows by 5% as the shift of labour from agriculture is not as rapid, and proportion of land under small and marginal farmer’s increases. Fuel efficiency further improves, with only 3.5 litres needed to run for an hour.</t>
  </si>
  <si>
    <t xml:space="preserve">Heroic Effort Scenario : Assumes that fuel efficiency of tractors improves significantly, resulting in fuel savings of 33%. The demand grows still slower at 4.5% due to relatively unfavourable environment for mechanisation. </t>
  </si>
  <si>
    <t xml:space="preserve">Least Effort Scenario : Diesel is used to satisfy about 20% of the total irrigation demand due to unreliability of electricity supply, and deceleration in the growth of pump-sets energised from the grid. Solar pumping remains too expensive to be used. </t>
  </si>
  <si>
    <t xml:space="preserve">Determined Effort Scenario : 85% of the demand is met through electricity and diesel use is restricted to 10% of the total pumping requirementSolar penetration reaches 5% in regions with rich solar insolation.  </t>
  </si>
  <si>
    <t xml:space="preserve">Aggressive Effort Scenario : Diesel and electrical shares further reduce by 5 percentage points from level B, and solar is benefitted through large-scale pilot projects, retrofitting and partial removal of fuel subsidies to agriculture sector. </t>
  </si>
  <si>
    <t>Heroic Effort Scenario : Diesel is no longer a preferred fuel source due to unfavourable life-cycle economics in level D. 75% of demand is met through electricity and 25% through solar, owing to rapid decline in solar PV module costs and complete removal of electricity subsidies.</t>
  </si>
  <si>
    <t>Least Effort Scenario : We assume that no regulations have been enforced and the present scenario continues. Therefore, diesel meets significant proportion (16.67%) of total energy demand required by the telecom towers.</t>
  </si>
  <si>
    <t>Determined Effort Scenario : We assume that telecom towers will be backed up by diesel and renewables such as solar panels, biomass energy, fuel cells, biogas.</t>
  </si>
  <si>
    <t xml:space="preserve">Aggressive Effort Scenario : A positive scenario is represented by this level where all government regulations are met and assumes full electrification of the country. Telecom towers run on grid supply and renewables only in both urban and rural areas. </t>
  </si>
  <si>
    <t xml:space="preserve">Heroic Effort Scenario : It is the most optimistic scenario where we assume that the dependence on grid supply system has reduced. Diesel free telecom sector target is met by 2032. </t>
  </si>
  <si>
    <t>Least Effort Scenario : Only a marginal improvement in T&amp;D losses is assumed.</t>
  </si>
  <si>
    <t>Determined Effort Scenario: A pan India large-scale deployment of Smart Grid technologies is assumed to happen at a relatively slow pace.</t>
  </si>
  <si>
    <t xml:space="preserve">Aggressive Effort Scenario: Building on the success of the pilot projects, various technologies are leveraged under a clean energy policy drive to achieve financially viable and sustainable Smart Grids. </t>
  </si>
  <si>
    <t>Heroic Effort Scenario: Reforms in the electricity sector are carried out via elimination of cross-subsidies, innovative and competitive tariff structures, increased private participation in electricity business, electric vehicles, real-time energy markets, bi-directional flow of electricity and prosumer enablement.</t>
  </si>
  <si>
    <t>Least Effort Scenario (All at level 1)</t>
  </si>
  <si>
    <t>Least Effort Scenario : No new capacity added due to high prices. The gas based generation would reach a level of 109.9 TWh in 2047.</t>
  </si>
  <si>
    <t>Least Effort Scenario :  No planned generation plants with CCS until 2025. Generation with CCS usage will increase to 7 GW till 2047.</t>
  </si>
  <si>
    <t>Least Effort Scenario :  Not much government impetus is assumed. Once the existing projects have lived their life, there will be no MSW based WtE projects, beyond 2037.</t>
  </si>
  <si>
    <t>Least Effort Scenario :  There would be a surge in the total number of cars and jeeps by 2046-47 thereby decreasing the share of public road based transport to 46%.</t>
  </si>
  <si>
    <t>Least Effort Scenario: With increasing economic wealth, the demand for white goods is also expected to grow, adding to the overall freight demand. All this would lead to an increase in the freight transport requirement from present levels to about 16,250 BTKMs by 2046-47.</t>
  </si>
  <si>
    <t xml:space="preserve"> Least Effort Scenario : The share of road in India’s total freight traffic by 2046-47 will show a marked increase to 71%, and the share of rail will decline to 29%.  </t>
  </si>
  <si>
    <t>Maximum Energy Security (Heroic Effort in Demand Sectors)</t>
  </si>
  <si>
    <t>Max Energy Security (Determined Effort in Demand Sectors)</t>
  </si>
  <si>
    <t>Heroic Effort Scenario (All Level 4s)</t>
  </si>
  <si>
    <t>Aggressive Effort Scenario (All Level 3s)</t>
  </si>
  <si>
    <t>Determined Effort Scenario (All Level 2s)</t>
  </si>
  <si>
    <t xml:space="preserve">Determined Effort Scenario: Assumes that there is slow but consistent growth in capacity addition of CSP. Capacity in this level in year 2047 is 46 GW. </t>
  </si>
  <si>
    <t xml:space="preserve">Determined Effort Scenario: Assumes that the capacity addition would follow the 12th and 13th Plan trajectories. Reaches a capacity of 202 GW by 2047. </t>
  </si>
  <si>
    <t xml:space="preserve">Determined Effort Scenario: Assumes imports continue to grow at a moderate pace of 5 GW from 13th Plan up to 2037 and thereafter maintain same level.   </t>
  </si>
  <si>
    <t>Determined Effort Scenario: Assumes that the capacity addition happens in line with 12th Plan targets, 18% of total ‘waste to electricity generation’ potential will be realized, resulting in approx 3,500MW installed power generation capacity.</t>
  </si>
  <si>
    <t>Determined Effort Scenario: A number of IOR/EOR schemes are underway to enhance production. Additionally about 35 discoveries which are under various stages of DOC approvals, have been considered to start production.</t>
  </si>
  <si>
    <t xml:space="preserve">Determined Effort Scenario: Better planned markets and points of consumption, the freight traffic volumes are expected to reduce by 9% of  levels to reach 14,823 BTKM’s by 2046-47.  
</t>
  </si>
  <si>
    <t xml:space="preserve">Aggressive Effort Scenario: Under this scenario, a number of oil discoveries which are awaiting appraisal and development are found to be commercially viable. Marginal fields would supplement the production. </t>
  </si>
  <si>
    <t xml:space="preserve">Heroic Effort Scenario: This envisages NOCs registering a continuous growth in oil production. Share from tight oil and shale oil has been taken into account. However, this scenario includes technological alliance with super majors, better R/F, deep-water exploitation of reserves and no rig availability problems for deep-water development. </t>
  </si>
  <si>
    <t xml:space="preserve">Aggressive Effort Scenario:  Assumes free gas market in the country . This level the gas based generation capacity would reach to a level of 122 GW and the corresponding generation would be about 641 TWh in 2047. 
</t>
  </si>
  <si>
    <t>Aggressive Effort Scenario:  Assumes that CSP costs come down significantly and that there are no limitations on plant size. Generation by 2047 reaches 357 TWh.</t>
  </si>
  <si>
    <t>Aggressive Effort Scenario: Capacity addition in this highly optimistic scenario, to be slightly higher than the 12/13th Plan requirements. It would reach 270 GW by 2047</t>
  </si>
  <si>
    <t>Aggressive Effort Scenario: Assumes an optimistic view by meeting not only the 12th and 13th Plan targets, but a slightly faster deployment. roughly 20 GW is met and maintained thereafter till 2047</t>
  </si>
  <si>
    <t xml:space="preserve">Aggressive Effort Scenario: Assumes aggressive growth in imports and assumes 7 GW from 13th Plan up to 2037 and thereafter it remains constant. </t>
  </si>
  <si>
    <t>Aggressive Effort Scenario: Assumes that Government and ULBs emphasize on MSW based WtE as a key resource recovery option. The policies and incentives get alignedrgy. 32% of segregated urban combustibles will be used as fuel yielding 0.003Mtoe of thermal energy</t>
  </si>
  <si>
    <t>Heroic Effort Scenario: There are absolutely no barriers to the growth of MSW based WtE. Inter - agency conflicts are also resolved. Environmental considerations in urban and rural areas drive this technology. 30% of total ‘waste to electricity generation’ potential will be realized, resulting in approx 5,850MW installed power generation capacity</t>
  </si>
  <si>
    <t xml:space="preserve">Heroic Effort Scenario: Assumes optimistic growth in imports and assumes power import from countries other than Bhutan and Nepal (an international grid). </t>
  </si>
  <si>
    <t xml:space="preserve">Heroic Effort Scenario: No constraint in gas availability and that imports are unlimited and there is a complete free gas market.  the gas based generation capacity and the corresponding generation would be about 1161 TWh in the year 2047.
</t>
  </si>
  <si>
    <t xml:space="preserve">Heroic Effort Scenario: Offshore wind power does not face any economic or physical constraints and hence sees a rapid growth in capacity addition. </t>
  </si>
  <si>
    <t>Heroic Effort Scenario:  Assumes a highly favourable upstream regime wherein IOCs find it attractive to invest in India and free gas market has set in. It assumes an aggressive conventional gas scenario.</t>
  </si>
  <si>
    <t>Version 1.0.6</t>
  </si>
  <si>
    <t>Overall Import Dependence</t>
  </si>
  <si>
    <t>Last updated Feb 13 2014</t>
  </si>
  <si>
    <t>2012-2030</t>
  </si>
  <si>
    <t>2030-2052</t>
  </si>
</sst>
</file>

<file path=xl/styles.xml><?xml version="1.0" encoding="utf-8"?>
<styleSheet xmlns="http://schemas.openxmlformats.org/spreadsheetml/2006/main">
  <numFmts count="51">
    <numFmt numFmtId="41" formatCode="_ * #,##0_ ;_ * \-#,##0_ ;_ * &quot;-&quot;_ ;_ @_ "/>
    <numFmt numFmtId="43" formatCode="_ * #,##0.00_ ;_ * \-#,##0.00_ ;_ * &quot;-&quot;??_ ;_ @_ "/>
    <numFmt numFmtId="164" formatCode="&quot;$&quot;#,##0_);[Red]\(&quot;$&quot;#,##0\)"/>
    <numFmt numFmtId="165" formatCode="_(* #,##0.00_);_(* \(#,##0.00\);_(* &quot;-&quot;??_);_(@_)"/>
    <numFmt numFmtId="166" formatCode="&quot;£&quot;#,##0.00;[Red]\-&quot;£&quot;#,##0.00"/>
    <numFmt numFmtId="167" formatCode="_-* #,##0_-;\-* #,##0_-;_-* &quot;-&quot;_-;_-@_-"/>
    <numFmt numFmtId="168" formatCode="_-&quot;£&quot;* #,##0.00_-;\-&quot;£&quot;* #,##0.00_-;_-&quot;£&quot;* &quot;-&quot;??_-;_-@_-"/>
    <numFmt numFmtId="169" formatCode="_-* #,##0.00_-;\-* #,##0.00_-;_-* &quot;-&quot;??_-;_-@_-"/>
    <numFmt numFmtId="170" formatCode="0.000E+00"/>
    <numFmt numFmtId="171" formatCode="#,##0.0"/>
    <numFmt numFmtId="172" formatCode="0.000"/>
    <numFmt numFmtId="173" formatCode="#,##0.0_);\(#,##0.0\);&quot;-&quot;;@"/>
    <numFmt numFmtId="174" formatCode="0.0"/>
    <numFmt numFmtId="175" formatCode="#,##0.00_);\(#,##0.00\);&quot;-&quot;;@"/>
    <numFmt numFmtId="176" formatCode="#,##0.000_);\(#,##0.000\);&quot;-&quot;;@"/>
    <numFmt numFmtId="177" formatCode="0.0%"/>
    <numFmt numFmtId="178" formatCode="#,##0.0_);\(#,##0.0\);&quot;-&quot;_);@"/>
    <numFmt numFmtId="179" formatCode="#,##0_);\(#,##0\);&quot;-&quot;_);@"/>
    <numFmt numFmtId="180" formatCode="0.0E+00"/>
    <numFmt numFmtId="181" formatCode="#,##0.00_);\(#,##0.00\);&quot;-&quot;_);@"/>
    <numFmt numFmtId="182" formatCode="#,##0.00&quot; : 1&quot;"/>
    <numFmt numFmtId="183" formatCode="#,##0.000_);\(#,##0.000\);&quot;-&quot;_);@"/>
    <numFmt numFmtId="184" formatCode="0%;\ \(0%\);\ \-"/>
    <numFmt numFmtId="185" formatCode="0.0%;\ \(0.0%\);\ \-"/>
    <numFmt numFmtId="186" formatCode="0.000000"/>
    <numFmt numFmtId="187" formatCode="&quot;£&quot;#,##0"/>
    <numFmt numFmtId="188" formatCode="#,##0.000000"/>
    <numFmt numFmtId="189" formatCode="#,##0.00000_);\(#,##0.00000\);&quot;-&quot;_);@"/>
    <numFmt numFmtId="190" formatCode="0.0000"/>
    <numFmt numFmtId="191" formatCode="_(* #,##0.00000000_);_(* \(#,##0.00000000\);_(* &quot;-&quot;??_);_(@_)"/>
    <numFmt numFmtId="192" formatCode="#,##0.0000000000000_);\(#,##0.0000000000000\);&quot;-&quot;_);@"/>
    <numFmt numFmtId="193" formatCode="#,##0.000000000000"/>
    <numFmt numFmtId="194" formatCode="&quot;$&quot;#,##0\ ;\(&quot;$&quot;#,##0\)"/>
    <numFmt numFmtId="195" formatCode="0.00_)"/>
    <numFmt numFmtId="196" formatCode="mm/dd/yy"/>
    <numFmt numFmtId="197" formatCode="0.000%"/>
    <numFmt numFmtId="198" formatCode="0.00000"/>
    <numFmt numFmtId="199" formatCode="0.0000000000"/>
    <numFmt numFmtId="200" formatCode="_(* #,##0_);_(* \(#,##0\);_(* &quot;-&quot;??_);_(@_)"/>
    <numFmt numFmtId="201" formatCode="0.0_);\(0.0\)"/>
    <numFmt numFmtId="202" formatCode="#,##0.000000000_);\(#,##0.000000000\);&quot;-&quot;_);@"/>
    <numFmt numFmtId="203" formatCode="#,##0.0_);\(#,##0.0\)"/>
    <numFmt numFmtId="204" formatCode="0.00_);\(0.00\)"/>
    <numFmt numFmtId="205" formatCode="#,##0.0000000000"/>
    <numFmt numFmtId="206" formatCode="#,##0.000"/>
    <numFmt numFmtId="207" formatCode="&quot;£&quot;#,##0.00"/>
    <numFmt numFmtId="208" formatCode="#,##0.00000000000_);\(#,##0.00000000000\);&quot;-&quot;_);@"/>
    <numFmt numFmtId="209" formatCode="0_);\(0\)"/>
    <numFmt numFmtId="210" formatCode="0.00%;\ \(0.00%\);\ \-"/>
    <numFmt numFmtId="211" formatCode="#,##0.00000000_);\(#,##0.00000000\);&quot;-&quot;_);@"/>
    <numFmt numFmtId="212" formatCode="#,##0.0000_);\(#,##0.0000\);&quot;-&quot;_);@"/>
  </numFmts>
  <fonts count="239">
    <font>
      <sz val="10"/>
      <color theme="1"/>
      <name val="Cambria"/>
      <family val="1"/>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2"/>
      <color theme="1"/>
      <name val="Cambria"/>
      <family val="2"/>
      <scheme val="minor"/>
    </font>
    <font>
      <sz val="10"/>
      <color theme="1"/>
      <name val="Arial"/>
      <family val="2"/>
    </font>
    <font>
      <sz val="10"/>
      <color theme="1"/>
      <name val="Calibri"/>
      <family val="2"/>
      <scheme val="major"/>
    </font>
    <font>
      <sz val="10"/>
      <color theme="1"/>
      <name val="Cambria"/>
      <family val="1"/>
      <scheme val="minor"/>
    </font>
    <font>
      <vertAlign val="subscript"/>
      <sz val="10"/>
      <color theme="1"/>
      <name val="Cambria"/>
      <family val="1"/>
      <scheme val="minor"/>
    </font>
    <font>
      <sz val="12"/>
      <color theme="1"/>
      <name val="Cambria"/>
      <family val="1"/>
      <scheme val="minor"/>
    </font>
    <font>
      <b/>
      <sz val="12"/>
      <color theme="1"/>
      <name val="Calibri"/>
      <family val="2"/>
      <scheme val="major"/>
    </font>
    <font>
      <sz val="12"/>
      <color theme="1"/>
      <name val="Calibri"/>
      <family val="2"/>
      <scheme val="major"/>
    </font>
    <font>
      <sz val="11"/>
      <color theme="1"/>
      <name val="Cambria"/>
      <family val="1"/>
      <scheme val="minor"/>
    </font>
    <font>
      <sz val="8"/>
      <color theme="1"/>
      <name val="Cambria"/>
      <family val="1"/>
      <scheme val="minor"/>
    </font>
    <font>
      <b/>
      <sz val="10"/>
      <color theme="1"/>
      <name val="Calibri"/>
      <family val="2"/>
      <scheme val="major"/>
    </font>
    <font>
      <sz val="11"/>
      <color theme="1"/>
      <name val="Calibri"/>
      <family val="2"/>
      <scheme val="major"/>
    </font>
    <font>
      <b/>
      <sz val="10"/>
      <color theme="1"/>
      <name val="Cambria"/>
      <family val="1"/>
      <scheme val="minor"/>
    </font>
    <font>
      <b/>
      <vertAlign val="subscript"/>
      <sz val="10"/>
      <color theme="1"/>
      <name val="Cambria"/>
      <family val="1"/>
      <scheme val="minor"/>
    </font>
    <font>
      <sz val="14"/>
      <color theme="1"/>
      <name val="Calibri"/>
      <family val="2"/>
      <scheme val="major"/>
    </font>
    <font>
      <i/>
      <sz val="10"/>
      <color theme="1"/>
      <name val="Cambria"/>
      <family val="1"/>
      <scheme val="minor"/>
    </font>
    <font>
      <sz val="12"/>
      <color theme="1"/>
      <name val="Arial"/>
      <family val="2"/>
    </font>
    <font>
      <sz val="8"/>
      <color theme="1"/>
      <name val="Consolas"/>
      <family val="3"/>
    </font>
    <font>
      <sz val="10"/>
      <name val="Cambria"/>
      <family val="1"/>
      <scheme val="minor"/>
    </font>
    <font>
      <sz val="10"/>
      <color rgb="FF3F3F76"/>
      <name val="Arial"/>
      <family val="2"/>
    </font>
    <font>
      <sz val="10"/>
      <name val="Arial"/>
      <family val="2"/>
    </font>
    <font>
      <b/>
      <sz val="10"/>
      <name val="Arial"/>
      <family val="2"/>
    </font>
    <font>
      <sz val="8"/>
      <name val="Cambria"/>
      <family val="1"/>
      <scheme val="minor"/>
    </font>
    <font>
      <b/>
      <sz val="10"/>
      <name val="Cambria"/>
      <family val="1"/>
      <scheme val="minor"/>
    </font>
    <font>
      <sz val="16"/>
      <color theme="1"/>
      <name val="Cambria"/>
      <family val="1"/>
      <scheme val="minor"/>
    </font>
    <font>
      <b/>
      <sz val="10"/>
      <color rgb="FF3F3F76"/>
      <name val="Cambria"/>
      <family val="1"/>
      <scheme val="minor"/>
    </font>
    <font>
      <sz val="14"/>
      <color theme="1"/>
      <name val="Cambria"/>
      <family val="1"/>
      <scheme val="minor"/>
    </font>
    <font>
      <b/>
      <sz val="16"/>
      <color theme="1"/>
      <name val="Calibri"/>
      <family val="2"/>
      <scheme val="major"/>
    </font>
    <font>
      <sz val="10"/>
      <color theme="1"/>
      <name val="Cambria"/>
      <family val="1"/>
    </font>
    <font>
      <i/>
      <sz val="10"/>
      <name val="Cambria"/>
      <family val="1"/>
      <scheme val="minor"/>
    </font>
    <font>
      <b/>
      <i/>
      <sz val="10"/>
      <color theme="1"/>
      <name val="Cambria"/>
      <family val="1"/>
      <scheme val="minor"/>
    </font>
    <font>
      <b/>
      <sz val="18"/>
      <color theme="1"/>
      <name val="Calibri"/>
      <family val="2"/>
      <scheme val="major"/>
    </font>
    <font>
      <b/>
      <sz val="18"/>
      <name val="Calibri"/>
      <family val="2"/>
      <scheme val="major"/>
    </font>
    <font>
      <b/>
      <sz val="8"/>
      <color theme="4" tint="-0.249977111117893"/>
      <name val="Calibri"/>
      <family val="2"/>
      <scheme val="major"/>
    </font>
    <font>
      <i/>
      <sz val="12"/>
      <color theme="1"/>
      <name val="Cambria"/>
      <family val="1"/>
      <scheme val="minor"/>
    </font>
    <font>
      <b/>
      <vertAlign val="subscript"/>
      <sz val="18"/>
      <color theme="1"/>
      <name val="Calibri"/>
      <family val="2"/>
      <scheme val="major"/>
    </font>
    <font>
      <sz val="18"/>
      <color theme="1"/>
      <name val="Cambria"/>
      <family val="1"/>
      <scheme val="minor"/>
    </font>
    <font>
      <sz val="12"/>
      <name val="Cambria"/>
      <family val="1"/>
      <scheme val="minor"/>
    </font>
    <font>
      <b/>
      <sz val="12"/>
      <color theme="1"/>
      <name val="Cambria"/>
      <family val="1"/>
      <scheme val="minor"/>
    </font>
    <font>
      <i/>
      <sz val="10"/>
      <color theme="1"/>
      <name val="Arial"/>
      <family val="2"/>
    </font>
    <font>
      <sz val="18"/>
      <color theme="0"/>
      <name val="Calibri"/>
      <family val="2"/>
      <scheme val="major"/>
    </font>
    <font>
      <b/>
      <sz val="18"/>
      <color theme="0"/>
      <name val="Calibri"/>
      <family val="2"/>
      <scheme val="major"/>
    </font>
    <font>
      <b/>
      <sz val="12"/>
      <color theme="4" tint="-0.249977111117893"/>
      <name val="Cambria"/>
      <family val="1"/>
      <scheme val="minor"/>
    </font>
    <font>
      <sz val="12"/>
      <color theme="4" tint="-0.249977111117893"/>
      <name val="Cambria"/>
      <family val="1"/>
      <scheme val="minor"/>
    </font>
    <font>
      <b/>
      <sz val="10"/>
      <color theme="1"/>
      <name val="Arial"/>
      <family val="2"/>
    </font>
    <font>
      <sz val="10"/>
      <color theme="1"/>
      <name val="Cambria"/>
      <family val="1"/>
      <scheme val="minor"/>
    </font>
    <font>
      <b/>
      <sz val="12"/>
      <name val="Cambria"/>
      <family val="1"/>
      <scheme val="minor"/>
    </font>
    <font>
      <b/>
      <sz val="11"/>
      <color theme="0"/>
      <name val="Calibri"/>
      <family val="2"/>
      <scheme val="major"/>
    </font>
    <font>
      <b/>
      <sz val="18"/>
      <color theme="9" tint="-0.249977111117893"/>
      <name val="Cambria"/>
      <family val="1"/>
      <scheme val="minor"/>
    </font>
    <font>
      <sz val="14"/>
      <color theme="9" tint="-0.249977111117893"/>
      <name val="Cambria"/>
      <family val="1"/>
      <scheme val="minor"/>
    </font>
    <font>
      <sz val="10"/>
      <color theme="1"/>
      <name val="Cambria"/>
      <family val="1"/>
      <scheme val="minor"/>
    </font>
    <font>
      <u/>
      <sz val="10"/>
      <color theme="10"/>
      <name val="Cambria"/>
      <family val="1"/>
      <scheme val="minor"/>
    </font>
    <font>
      <u/>
      <sz val="10"/>
      <color theme="11"/>
      <name val="Cambria"/>
      <family val="1"/>
      <scheme val="minor"/>
    </font>
    <font>
      <sz val="10"/>
      <color theme="1"/>
      <name val="Cambria"/>
      <family val="1"/>
      <scheme val="minor"/>
    </font>
    <font>
      <sz val="10"/>
      <color indexed="8"/>
      <name val="Calibri"/>
      <family val="1"/>
    </font>
    <font>
      <u/>
      <sz val="8.5"/>
      <color theme="10"/>
      <name val="Cambria"/>
      <family val="1"/>
    </font>
    <font>
      <sz val="10"/>
      <color rgb="FF006100"/>
      <name val="Arial"/>
      <family val="2"/>
    </font>
    <font>
      <sz val="10"/>
      <color theme="1"/>
      <name val="Cambria"/>
      <family val="1"/>
      <scheme val="minor"/>
    </font>
    <font>
      <sz val="10"/>
      <color theme="0"/>
      <name val="Arial"/>
      <family val="2"/>
    </font>
    <font>
      <sz val="11"/>
      <color theme="1"/>
      <name val="Cambria"/>
      <family val="2"/>
      <scheme val="minor"/>
    </font>
    <font>
      <sz val="12"/>
      <color theme="1"/>
      <name val="Times New Roman"/>
      <family val="1"/>
    </font>
    <font>
      <b/>
      <sz val="8"/>
      <color rgb="FF000000"/>
      <name val="Arial"/>
      <family val="2"/>
    </font>
    <font>
      <sz val="8"/>
      <color rgb="FF000000"/>
      <name val="Arial"/>
      <family val="2"/>
    </font>
    <font>
      <sz val="10"/>
      <color rgb="FF000000"/>
      <name val="Cambria"/>
      <family val="1"/>
      <scheme val="minor"/>
    </font>
    <font>
      <b/>
      <sz val="18"/>
      <color theme="3"/>
      <name val="Calibri"/>
      <family val="2"/>
      <scheme val="major"/>
    </font>
    <font>
      <b/>
      <sz val="15"/>
      <color theme="3"/>
      <name val="Arial"/>
      <family val="2"/>
    </font>
    <font>
      <b/>
      <sz val="13"/>
      <color theme="3"/>
      <name val="Arial"/>
      <family val="2"/>
    </font>
    <font>
      <b/>
      <sz val="11"/>
      <color theme="3"/>
      <name val="Arial"/>
      <family val="2"/>
    </font>
    <font>
      <sz val="10"/>
      <color rgb="FF9C0006"/>
      <name val="Arial"/>
      <family val="2"/>
    </font>
    <font>
      <sz val="10"/>
      <color rgb="FF9C6500"/>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9"/>
      <color indexed="81"/>
      <name val="Tahoma"/>
      <family val="2"/>
    </font>
    <font>
      <sz val="9"/>
      <color indexed="81"/>
      <name val="Tahoma"/>
      <family val="2"/>
    </font>
    <font>
      <sz val="8"/>
      <color rgb="FF000000"/>
      <name val="Segoe UI"/>
      <family val="2"/>
    </font>
    <font>
      <sz val="8"/>
      <color theme="1"/>
      <name val="Arial"/>
      <family val="2"/>
    </font>
    <font>
      <sz val="10"/>
      <color theme="1"/>
      <name val="Cambria"/>
      <family val="2"/>
      <scheme val="minor"/>
    </font>
    <font>
      <sz val="10"/>
      <color rgb="FFFF0000"/>
      <name val="Cambria"/>
      <family val="1"/>
      <scheme val="minor"/>
    </font>
    <font>
      <b/>
      <sz val="10"/>
      <name val="Calibri"/>
      <family val="2"/>
      <scheme val="major"/>
    </font>
    <font>
      <b/>
      <sz val="10"/>
      <color rgb="FFFF0000"/>
      <name val="Calibri"/>
      <family val="2"/>
      <scheme val="major"/>
    </font>
    <font>
      <b/>
      <sz val="8"/>
      <name val="Cambria"/>
      <family val="1"/>
      <scheme val="minor"/>
    </font>
    <font>
      <b/>
      <sz val="11"/>
      <color theme="1"/>
      <name val="Cambria"/>
      <family val="1"/>
      <scheme val="minor"/>
    </font>
    <font>
      <b/>
      <u/>
      <sz val="10"/>
      <color theme="1"/>
      <name val="Cambria"/>
      <family val="1"/>
      <scheme val="minor"/>
    </font>
    <font>
      <b/>
      <sz val="18"/>
      <color indexed="8"/>
      <name val="Calibri"/>
      <family val="2"/>
      <scheme val="major"/>
    </font>
    <font>
      <b/>
      <sz val="16"/>
      <color indexed="8"/>
      <name val="Calibri"/>
      <family val="2"/>
      <scheme val="major"/>
    </font>
    <font>
      <sz val="10"/>
      <color theme="4"/>
      <name val="Cambria"/>
      <family val="1"/>
      <scheme val="minor"/>
    </font>
    <font>
      <b/>
      <sz val="10"/>
      <color theme="1"/>
      <name val="Cambria"/>
      <family val="2"/>
      <scheme val="minor"/>
    </font>
    <font>
      <sz val="10"/>
      <name val="Cambria"/>
      <family val="2"/>
      <scheme val="minor"/>
    </font>
    <font>
      <sz val="10"/>
      <color theme="1"/>
      <name val="Cambria"/>
      <family val="1"/>
      <scheme val="minor"/>
    </font>
    <font>
      <sz val="8"/>
      <color theme="1"/>
      <name val="Calibri"/>
      <family val="2"/>
      <scheme val="major"/>
    </font>
    <font>
      <b/>
      <sz val="8"/>
      <color theme="1"/>
      <name val="Calibri"/>
      <family val="2"/>
      <scheme val="major"/>
    </font>
    <font>
      <sz val="10"/>
      <color theme="3" tint="0.79998168889431442"/>
      <name val="Cambria"/>
      <family val="1"/>
      <scheme val="minor"/>
    </font>
    <font>
      <sz val="12"/>
      <name val="Calibri"/>
      <family val="2"/>
      <scheme val="major"/>
    </font>
    <font>
      <sz val="10"/>
      <name val="Calibri"/>
      <family val="2"/>
      <scheme val="major"/>
    </font>
    <font>
      <sz val="8"/>
      <color theme="4" tint="-0.249977111117893"/>
      <name val="Cambria"/>
      <family val="1"/>
      <scheme val="minor"/>
    </font>
    <font>
      <i/>
      <sz val="10"/>
      <color indexed="8"/>
      <name val="Cambria"/>
      <family val="1"/>
      <scheme val="minor"/>
    </font>
    <font>
      <i/>
      <sz val="8"/>
      <name val="Cambria"/>
      <family val="1"/>
      <scheme val="minor"/>
    </font>
    <font>
      <i/>
      <sz val="12"/>
      <name val="Cambria"/>
      <family val="1"/>
      <scheme val="minor"/>
    </font>
    <font>
      <b/>
      <sz val="12"/>
      <name val="Calibri"/>
      <family val="2"/>
      <scheme val="major"/>
    </font>
    <font>
      <sz val="10"/>
      <color theme="4" tint="-0.249977111117893"/>
      <name val="Calibri"/>
      <family val="2"/>
      <scheme val="major"/>
    </font>
    <font>
      <sz val="8"/>
      <color theme="4" tint="-0.249977111117893"/>
      <name val="Calibri"/>
      <family val="2"/>
      <scheme val="major"/>
    </font>
    <font>
      <b/>
      <sz val="10"/>
      <color theme="4" tint="-0.249977111117893"/>
      <name val="Calibri"/>
      <family val="2"/>
      <scheme val="major"/>
    </font>
    <font>
      <b/>
      <sz val="14"/>
      <color theme="1"/>
      <name val="Cambria"/>
      <family val="1"/>
      <scheme val="minor"/>
    </font>
    <font>
      <b/>
      <sz val="8"/>
      <color theme="1"/>
      <name val="Cambria"/>
      <family val="1"/>
      <scheme val="minor"/>
    </font>
    <font>
      <i/>
      <sz val="8"/>
      <color theme="1"/>
      <name val="Cambria"/>
      <family val="1"/>
      <scheme val="minor"/>
    </font>
    <font>
      <i/>
      <sz val="10"/>
      <color theme="4" tint="-0.249977111117893"/>
      <name val="Calibri"/>
      <family val="2"/>
      <scheme val="major"/>
    </font>
    <font>
      <sz val="10"/>
      <color theme="0" tint="-0.34998626667073579"/>
      <name val="Cambria"/>
      <family val="1"/>
      <scheme val="minor"/>
    </font>
    <font>
      <b/>
      <i/>
      <sz val="12"/>
      <color theme="1"/>
      <name val="Calibri"/>
      <family val="2"/>
      <scheme val="major"/>
    </font>
    <font>
      <sz val="10"/>
      <color theme="0"/>
      <name val="Cambria"/>
      <family val="1"/>
      <scheme val="minor"/>
    </font>
    <font>
      <sz val="11"/>
      <color indexed="8"/>
      <name val="Calibri"/>
      <family val="2"/>
    </font>
    <font>
      <sz val="11"/>
      <color indexed="9"/>
      <name val="Calibri"/>
      <family val="2"/>
    </font>
    <font>
      <b/>
      <sz val="18"/>
      <color indexed="8"/>
      <name val="Footlight MT Light"/>
      <family val="1"/>
    </font>
    <font>
      <sz val="10"/>
      <color indexed="8"/>
      <name val="Arial"/>
      <family val="2"/>
    </font>
    <font>
      <b/>
      <sz val="11"/>
      <color indexed="52"/>
      <name val="Calibri"/>
      <family val="2"/>
    </font>
    <font>
      <sz val="11"/>
      <color indexed="52"/>
      <name val="Calibri"/>
      <family val="2"/>
    </font>
    <font>
      <b/>
      <sz val="11"/>
      <color indexed="9"/>
      <name val="Calibri"/>
      <family val="2"/>
    </font>
    <font>
      <sz val="10"/>
      <name val="Helv"/>
    </font>
    <font>
      <i/>
      <sz val="9"/>
      <name val="FrankLinGothicCond"/>
    </font>
    <font>
      <sz val="10"/>
      <color indexed="8"/>
      <name val="Antique Olive"/>
      <family val="2"/>
    </font>
    <font>
      <sz val="10"/>
      <name val="MS Serif"/>
      <family val="1"/>
    </font>
    <font>
      <sz val="9"/>
      <name val="FrankLinGothicCond"/>
    </font>
    <font>
      <sz val="10"/>
      <color indexed="16"/>
      <name val="MS Serif"/>
      <family val="1"/>
    </font>
    <font>
      <sz val="16"/>
      <color indexed="8"/>
      <name val="Footlight MT Light"/>
      <family val="1"/>
    </font>
    <font>
      <sz val="8"/>
      <name val="FrankLinGothicCond"/>
    </font>
    <font>
      <sz val="8"/>
      <name val="Arial"/>
      <family val="2"/>
    </font>
    <font>
      <b/>
      <sz val="12"/>
      <name val="Arial"/>
      <family val="2"/>
    </font>
    <font>
      <u/>
      <sz val="10"/>
      <color indexed="12"/>
      <name val="Arial"/>
      <family val="2"/>
    </font>
    <font>
      <sz val="16"/>
      <name val="Times New Roman"/>
      <family val="1"/>
    </font>
    <font>
      <b/>
      <sz val="9"/>
      <name val="Helv"/>
    </font>
    <font>
      <b/>
      <sz val="10"/>
      <name val="Times New Roman"/>
      <family val="1"/>
    </font>
    <font>
      <sz val="11"/>
      <color indexed="60"/>
      <name val="Calibri"/>
      <family val="2"/>
    </font>
    <font>
      <sz val="7"/>
      <name val="Small Fonts"/>
      <family val="2"/>
    </font>
    <font>
      <sz val="11"/>
      <color rgb="FF000000"/>
      <name val="Arial"/>
      <family val="2"/>
    </font>
    <font>
      <sz val="11"/>
      <color indexed="8"/>
      <name val="Arial"/>
      <family val="2"/>
    </font>
    <font>
      <sz val="11"/>
      <color theme="1"/>
      <name val="Arial"/>
      <family val="2"/>
    </font>
    <font>
      <sz val="8"/>
      <name val="Helv"/>
    </font>
    <font>
      <b/>
      <sz val="9"/>
      <name val="FrankLinGothicCond"/>
    </font>
    <font>
      <b/>
      <i/>
      <sz val="9"/>
      <name val="FrankLinGothicCond"/>
    </font>
    <font>
      <b/>
      <sz val="8"/>
      <name val="FrankLinGothicCond"/>
    </font>
    <font>
      <b/>
      <sz val="12"/>
      <name val="MS Sans Serif"/>
      <family val="2"/>
    </font>
    <font>
      <sz val="12"/>
      <name val="MS Sans Serif"/>
      <family val="2"/>
    </font>
    <font>
      <b/>
      <sz val="8"/>
      <color indexed="8"/>
      <name val="Helv"/>
    </font>
    <font>
      <sz val="11"/>
      <name val="Times"/>
      <family val="1"/>
    </font>
    <font>
      <sz val="11"/>
      <name val="Times"/>
    </font>
    <font>
      <b/>
      <sz val="11"/>
      <name val="FranklinGothicCond"/>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u/>
      <sz val="11"/>
      <color theme="10"/>
      <name val="Cambria"/>
      <family val="2"/>
      <scheme val="minor"/>
    </font>
    <font>
      <b/>
      <sz val="11"/>
      <color theme="1"/>
      <name val="Cambria"/>
      <family val="2"/>
      <scheme val="minor"/>
    </font>
    <font>
      <sz val="10"/>
      <color rgb="FF000000"/>
      <name val="Arial"/>
      <family val="2"/>
    </font>
    <font>
      <b/>
      <sz val="16"/>
      <color indexed="8"/>
      <name val="Cambria"/>
      <family val="1"/>
      <scheme val="minor"/>
    </font>
    <font>
      <b/>
      <sz val="10"/>
      <color rgb="FFFF0000"/>
      <name val="Cambria"/>
      <family val="1"/>
      <scheme val="minor"/>
    </font>
    <font>
      <sz val="10"/>
      <color theme="0" tint="-0.499984740745262"/>
      <name val="Cambria"/>
      <family val="1"/>
      <scheme val="minor"/>
    </font>
    <font>
      <b/>
      <i/>
      <sz val="10"/>
      <color theme="1"/>
      <name val="Calibri"/>
      <family val="2"/>
      <scheme val="major"/>
    </font>
    <font>
      <b/>
      <sz val="9"/>
      <color theme="1"/>
      <name val="Cambria"/>
      <family val="1"/>
      <scheme val="minor"/>
    </font>
    <font>
      <b/>
      <sz val="9"/>
      <color theme="1"/>
      <name val="Cambria"/>
      <family val="2"/>
      <scheme val="minor"/>
    </font>
    <font>
      <b/>
      <sz val="8"/>
      <color indexed="81"/>
      <name val="Tahoma"/>
      <family val="2"/>
    </font>
    <font>
      <sz val="8"/>
      <color indexed="81"/>
      <name val="Tahoma"/>
      <family val="2"/>
    </font>
    <font>
      <b/>
      <sz val="10"/>
      <color theme="1"/>
      <name val="Cambria"/>
      <family val="1"/>
      <scheme val="minor"/>
    </font>
    <font>
      <sz val="10"/>
      <color theme="1"/>
      <name val="Cambria"/>
      <family val="1"/>
      <scheme val="minor"/>
    </font>
    <font>
      <i/>
      <sz val="10"/>
      <color theme="1"/>
      <name val="Calibri"/>
      <family val="2"/>
      <scheme val="major"/>
    </font>
    <font>
      <sz val="10"/>
      <color theme="4" tint="-0.249977111117893"/>
      <name val="Cambria"/>
      <family val="1"/>
      <scheme val="minor"/>
    </font>
    <font>
      <b/>
      <u/>
      <sz val="12"/>
      <color theme="1"/>
      <name val="Cambria"/>
      <family val="1"/>
      <scheme val="minor"/>
    </font>
    <font>
      <b/>
      <sz val="12"/>
      <color theme="1"/>
      <name val="Times New Roman"/>
      <family val="1"/>
    </font>
    <font>
      <sz val="11"/>
      <name val="Cambria"/>
      <family val="2"/>
      <scheme val="minor"/>
    </font>
    <font>
      <i/>
      <sz val="10"/>
      <color theme="1"/>
      <name val="Cambria"/>
      <family val="1"/>
    </font>
    <font>
      <sz val="12"/>
      <color indexed="8"/>
      <name val="Calibri"/>
      <family val="2"/>
      <scheme val="major"/>
    </font>
    <font>
      <sz val="10"/>
      <color theme="1"/>
      <name val="Calibri"/>
      <family val="1"/>
      <scheme val="major"/>
    </font>
    <font>
      <b/>
      <u/>
      <sz val="12"/>
      <color theme="1"/>
      <name val="Calibri"/>
      <family val="2"/>
      <scheme val="major"/>
    </font>
    <font>
      <b/>
      <u/>
      <sz val="11"/>
      <color theme="1"/>
      <name val="Cambria"/>
      <family val="2"/>
      <scheme val="minor"/>
    </font>
    <font>
      <b/>
      <sz val="10"/>
      <name val="Cambria"/>
      <family val="2"/>
      <scheme val="minor"/>
    </font>
    <font>
      <sz val="11"/>
      <color theme="1"/>
      <name val="Calibri"/>
      <family val="2"/>
    </font>
    <font>
      <sz val="8"/>
      <color theme="1"/>
      <name val="Cambria"/>
      <family val="1"/>
    </font>
    <font>
      <sz val="9"/>
      <color theme="1"/>
      <name val="Cambria"/>
      <family val="2"/>
      <scheme val="minor"/>
    </font>
    <font>
      <sz val="9"/>
      <name val="Cambria"/>
      <family val="1"/>
      <scheme val="minor"/>
    </font>
    <font>
      <sz val="9"/>
      <color theme="1"/>
      <name val="Cambria"/>
      <family val="1"/>
      <scheme val="minor"/>
    </font>
    <font>
      <i/>
      <sz val="9"/>
      <color theme="1"/>
      <name val="Cambria"/>
      <family val="2"/>
      <scheme val="minor"/>
    </font>
    <font>
      <b/>
      <u/>
      <sz val="9"/>
      <color theme="1"/>
      <name val="Cambria"/>
      <family val="2"/>
      <scheme val="minor"/>
    </font>
    <font>
      <b/>
      <sz val="9"/>
      <color theme="0"/>
      <name val="Cambria"/>
      <family val="2"/>
      <scheme val="minor"/>
    </font>
    <font>
      <b/>
      <u/>
      <sz val="9"/>
      <color theme="0"/>
      <name val="Cambria"/>
      <family val="2"/>
      <scheme val="minor"/>
    </font>
    <font>
      <sz val="10"/>
      <color theme="1"/>
      <name val="Cambria"/>
      <family val="1"/>
      <scheme val="minor"/>
    </font>
    <font>
      <b/>
      <sz val="9"/>
      <color rgb="FF333333"/>
      <name val="Verdana"/>
      <family val="2"/>
    </font>
    <font>
      <b/>
      <sz val="10"/>
      <color theme="0"/>
      <name val="Calibri"/>
      <family val="2"/>
      <scheme val="major"/>
    </font>
    <font>
      <b/>
      <sz val="12"/>
      <color theme="0"/>
      <name val="Calibri"/>
      <family val="2"/>
      <scheme val="major"/>
    </font>
    <font>
      <sz val="10"/>
      <color theme="0" tint="-0.14999847407452621"/>
      <name val="Calibri"/>
      <family val="2"/>
      <scheme val="major"/>
    </font>
    <font>
      <b/>
      <sz val="14"/>
      <color theme="1"/>
      <name val="Calibri"/>
      <family val="2"/>
      <scheme val="major"/>
    </font>
    <font>
      <sz val="10"/>
      <color theme="0" tint="-0.34998626667073579"/>
      <name val="Calibri"/>
      <family val="2"/>
      <scheme val="major"/>
    </font>
    <font>
      <sz val="10"/>
      <color theme="0" tint="-0.249977111117893"/>
      <name val="Calibri"/>
      <family val="2"/>
      <scheme val="major"/>
    </font>
    <font>
      <b/>
      <sz val="14"/>
      <color theme="0"/>
      <name val="Calibri"/>
      <family val="2"/>
      <scheme val="major"/>
    </font>
    <font>
      <sz val="10"/>
      <color theme="1"/>
      <name val="Cambria"/>
      <family val="1"/>
      <scheme val="minor"/>
    </font>
    <font>
      <u/>
      <sz val="10"/>
      <name val="Calibri"/>
      <family val="2"/>
      <scheme val="major"/>
    </font>
    <font>
      <i/>
      <sz val="10"/>
      <name val="Arial"/>
      <family val="2"/>
    </font>
    <font>
      <sz val="10"/>
      <color theme="1"/>
      <name val="Cambria"/>
      <family val="1"/>
      <scheme val="minor"/>
    </font>
    <font>
      <sz val="10"/>
      <color rgb="FFFF0000"/>
      <name val="Cambria"/>
      <family val="1"/>
    </font>
    <font>
      <b/>
      <sz val="12"/>
      <color rgb="FFFF0000"/>
      <name val="Calibri"/>
      <family val="2"/>
      <scheme val="major"/>
    </font>
    <font>
      <b/>
      <sz val="12"/>
      <color rgb="FFFF0000"/>
      <name val="Calibri"/>
      <family val="2"/>
    </font>
    <font>
      <b/>
      <sz val="10"/>
      <color rgb="FF7030A0"/>
      <name val="Cambria"/>
      <family val="1"/>
      <scheme val="minor"/>
    </font>
    <font>
      <sz val="10"/>
      <color indexed="8"/>
      <name val="Calibri"/>
      <family val="2"/>
      <scheme val="major"/>
    </font>
    <font>
      <b/>
      <sz val="8"/>
      <color rgb="FFFF0000"/>
      <name val="Cambria"/>
      <family val="1"/>
      <scheme val="minor"/>
    </font>
    <font>
      <sz val="10"/>
      <color rgb="FF000000"/>
      <name val="Cambria"/>
      <family val="1"/>
    </font>
    <font>
      <strike/>
      <sz val="10"/>
      <color rgb="FF000000"/>
      <name val="Cambria"/>
      <family val="1"/>
    </font>
    <font>
      <sz val="10"/>
      <color theme="1"/>
      <name val="Times New Roman"/>
      <family val="1"/>
    </font>
    <font>
      <sz val="7.5"/>
      <color theme="1"/>
      <name val="Cambria"/>
      <family val="1"/>
      <scheme val="minor"/>
    </font>
    <font>
      <b/>
      <sz val="7.5"/>
      <color theme="1"/>
      <name val="Cambria"/>
      <family val="1"/>
      <scheme val="minor"/>
    </font>
    <font>
      <i/>
      <sz val="10"/>
      <color rgb="FFFF0000"/>
      <name val="Cambria"/>
      <family val="1"/>
      <scheme val="minor"/>
    </font>
    <font>
      <b/>
      <i/>
      <sz val="10"/>
      <color theme="4" tint="-0.249977111117893"/>
      <name val="Calibri"/>
      <family val="2"/>
      <scheme val="major"/>
    </font>
    <font>
      <sz val="8"/>
      <color theme="2" tint="-0.499984740745262"/>
      <name val="Calibri"/>
      <family val="2"/>
      <scheme val="major"/>
    </font>
    <font>
      <b/>
      <sz val="8"/>
      <color theme="2" tint="-0.499984740745262"/>
      <name val="Calibri"/>
      <family val="2"/>
      <scheme val="major"/>
    </font>
  </fonts>
  <fills count="104">
    <fill>
      <patternFill patternType="none"/>
    </fill>
    <fill>
      <patternFill patternType="gray125"/>
    </fill>
    <fill>
      <patternFill patternType="solid">
        <fgColor theme="4" tint="0.79998168889431442"/>
        <bgColor indexed="64"/>
      </patternFill>
    </fill>
    <fill>
      <patternFill patternType="solid">
        <fgColor rgb="FFFFCC99"/>
      </patternFill>
    </fill>
    <fill>
      <patternFill patternType="solid">
        <fgColor theme="9"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theme="3" tint="-0.249977111117893"/>
        <bgColor indexed="64"/>
      </patternFill>
    </fill>
    <fill>
      <patternFill patternType="solid">
        <fgColor rgb="FFE9EFF7"/>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79998168889431442"/>
        <bgColor indexed="65"/>
      </patternFill>
    </fill>
    <fill>
      <patternFill patternType="solid">
        <fgColor theme="3" tint="0.39997558519241921"/>
        <bgColor indexed="64"/>
      </patternFill>
    </fill>
    <fill>
      <patternFill patternType="solid">
        <fgColor theme="3" tint="0.79998168889431442"/>
        <bgColor indexed="64"/>
      </patternFill>
    </fill>
    <fill>
      <patternFill patternType="solid">
        <fgColor theme="4" tint="0.79998168889431442"/>
        <bgColor indexed="65"/>
      </patternFill>
    </fill>
    <fill>
      <patternFill patternType="solid">
        <fgColor theme="3" tint="0.39997558519241921"/>
        <bgColor theme="5"/>
      </patternFill>
    </fill>
    <fill>
      <patternFill patternType="solid">
        <fgColor theme="3" tint="0.79998168889431442"/>
        <bgColor theme="5" tint="0.59999389629810485"/>
      </patternFill>
    </fill>
    <fill>
      <patternFill patternType="solid">
        <fgColor rgb="FFC6EFCE"/>
      </patternFill>
    </fill>
    <fill>
      <patternFill patternType="solid">
        <fgColor theme="9"/>
      </patternFill>
    </fill>
    <fill>
      <patternFill patternType="solid">
        <fgColor theme="4" tint="0.79998168889431442"/>
        <bgColor theme="4" tint="0.79998168889431442"/>
      </patternFill>
    </fill>
    <fill>
      <patternFill patternType="solid">
        <fgColor theme="5" tint="0.59999389629810485"/>
        <bgColor indexed="64"/>
      </patternFill>
    </fill>
    <fill>
      <patternFill patternType="solid">
        <fgColor theme="5" tint="-0.249977111117893"/>
        <bgColor indexed="64"/>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BF1DE"/>
        <bgColor rgb="FF000000"/>
      </patternFill>
    </fill>
    <fill>
      <patternFill patternType="solid">
        <fgColor rgb="FF95B3D7"/>
        <bgColor rgb="FF000000"/>
      </patternFill>
    </fill>
    <fill>
      <patternFill patternType="solid">
        <fgColor rgb="FFEAF1DD"/>
        <bgColor rgb="FF000000"/>
      </patternFill>
    </fill>
    <fill>
      <patternFill patternType="solid">
        <fgColor theme="0"/>
        <bgColor indexed="64"/>
      </patternFill>
    </fill>
    <fill>
      <patternFill patternType="solid">
        <fgColor theme="4" tint="0.59999389629810485"/>
        <bgColor indexed="64"/>
      </patternFill>
    </fill>
    <fill>
      <patternFill patternType="solid">
        <fgColor theme="2"/>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5" tint="0.39997558519241921"/>
        <bgColor indexed="64"/>
      </patternFill>
    </fill>
    <fill>
      <patternFill patternType="solid">
        <fgColor theme="0"/>
        <bgColor indexed="26"/>
      </patternFill>
    </fill>
    <fill>
      <patternFill patternType="solid">
        <fgColor rgb="FFFF000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solid">
        <fgColor indexed="9"/>
        <bgColor indexed="9"/>
      </patternFill>
    </fill>
    <fill>
      <patternFill patternType="solid">
        <fgColor rgb="FF92D050"/>
        <bgColor indexed="64"/>
      </patternFill>
    </fill>
    <fill>
      <patternFill patternType="solid">
        <fgColor theme="6" tint="-0.249977111117893"/>
        <bgColor indexed="64"/>
      </patternFill>
    </fill>
    <fill>
      <patternFill patternType="solid">
        <fgColor theme="5" tint="0.59999389629810485"/>
        <bgColor theme="5" tint="0.59999389629810485"/>
      </patternFill>
    </fill>
    <fill>
      <patternFill patternType="solid">
        <fgColor theme="5" tint="0.79998168889431442"/>
        <bgColor theme="5" tint="0.79998168889431442"/>
      </patternFill>
    </fill>
    <fill>
      <patternFill patternType="solid">
        <fgColor theme="2" tint="-9.9978637043366805E-2"/>
        <bgColor indexed="64"/>
      </patternFill>
    </fill>
    <fill>
      <patternFill patternType="solid">
        <fgColor theme="5"/>
        <bgColor indexed="64"/>
      </patternFill>
    </fill>
    <fill>
      <patternFill patternType="solid">
        <fgColor theme="6"/>
        <bgColor indexed="64"/>
      </patternFill>
    </fill>
    <fill>
      <patternFill patternType="solid">
        <fgColor theme="9" tint="-0.249977111117893"/>
        <bgColor indexed="64"/>
      </patternFill>
    </fill>
    <fill>
      <patternFill patternType="solid">
        <fgColor rgb="FFFFFFFF"/>
        <bgColor indexed="64"/>
      </patternFill>
    </fill>
    <fill>
      <patternFill patternType="solid">
        <fgColor theme="8" tint="0.39997558519241921"/>
        <bgColor indexed="64"/>
      </patternFill>
    </fill>
    <fill>
      <patternFill patternType="solid">
        <fgColor theme="4" tint="-0.249977111117893"/>
        <bgColor indexed="64"/>
      </patternFill>
    </fill>
    <fill>
      <patternFill patternType="solid">
        <fgColor theme="6" tint="0.79998168889431442"/>
        <bgColor indexed="26"/>
      </patternFill>
    </fill>
  </fills>
  <borders count="207">
    <border>
      <left/>
      <right/>
      <top/>
      <bottom/>
      <diagonal/>
    </border>
    <border>
      <left/>
      <right/>
      <top/>
      <bottom style="thin">
        <color auto="1"/>
      </bottom>
      <diagonal/>
    </border>
    <border>
      <left/>
      <right/>
      <top style="thin">
        <color auto="1"/>
      </top>
      <bottom style="thin">
        <color theme="0" tint="-0.24994659260841701"/>
      </bottom>
      <diagonal/>
    </border>
    <border>
      <left style="thin">
        <color rgb="FF7F7F7F"/>
      </left>
      <right style="thin">
        <color rgb="FF7F7F7F"/>
      </right>
      <top style="thin">
        <color rgb="FF7F7F7F"/>
      </top>
      <bottom style="thin">
        <color rgb="FF7F7F7F"/>
      </bottom>
      <diagonal/>
    </border>
    <border>
      <left/>
      <right/>
      <top style="thin">
        <color auto="1"/>
      </top>
      <bottom style="thin">
        <color auto="1"/>
      </bottom>
      <diagonal/>
    </border>
    <border>
      <left/>
      <right/>
      <top style="thin">
        <color auto="1"/>
      </top>
      <bottom/>
      <diagonal/>
    </border>
    <border>
      <left/>
      <right/>
      <top/>
      <bottom style="thin">
        <color theme="1"/>
      </bottom>
      <diagonal/>
    </border>
    <border>
      <left/>
      <right/>
      <top style="thin">
        <color theme="0" tint="-0.34998626667073579"/>
      </top>
      <bottom/>
      <diagonal/>
    </border>
    <border>
      <left/>
      <right/>
      <top/>
      <bottom style="thin">
        <color theme="0" tint="-0.34998626667073579"/>
      </bottom>
      <diagonal/>
    </border>
    <border>
      <left/>
      <right/>
      <top style="thin">
        <color theme="1" tint="4.9989318521683403E-2"/>
      </top>
      <bottom style="thin">
        <color theme="0" tint="-0.34998626667073579"/>
      </bottom>
      <diagonal/>
    </border>
    <border>
      <left/>
      <right/>
      <top/>
      <bottom style="thin">
        <color theme="1" tint="4.9989318521683403E-2"/>
      </bottom>
      <diagonal/>
    </border>
    <border>
      <left style="thin">
        <color theme="0" tint="-0.34998626667073579"/>
      </left>
      <right/>
      <top style="thin">
        <color theme="1" tint="4.9989318521683403E-2"/>
      </top>
      <bottom style="thin">
        <color theme="0" tint="-0.34998626667073579"/>
      </bottom>
      <diagonal/>
    </border>
    <border>
      <left style="thin">
        <color theme="0" tint="-0.34998626667073579"/>
      </left>
      <right/>
      <top/>
      <bottom/>
      <diagonal/>
    </border>
    <border>
      <left style="thin">
        <color theme="0" tint="-0.34998626667073579"/>
      </left>
      <right/>
      <top/>
      <bottom style="thin">
        <color theme="1" tint="4.9989318521683403E-2"/>
      </bottom>
      <diagonal/>
    </border>
    <border>
      <left/>
      <right/>
      <top style="thin">
        <color theme="0" tint="-0.34998626667073579"/>
      </top>
      <bottom style="thin">
        <color auto="1"/>
      </bottom>
      <diagonal/>
    </border>
    <border>
      <left style="thin">
        <color theme="0" tint="-0.34998626667073579"/>
      </left>
      <right/>
      <top style="thin">
        <color theme="0" tint="-0.34998626667073579"/>
      </top>
      <bottom style="thin">
        <color auto="1"/>
      </bottom>
      <diagonal/>
    </border>
    <border>
      <left/>
      <right/>
      <top style="thin">
        <color theme="1" tint="4.9989318521683403E-2"/>
      </top>
      <bottom/>
      <diagonal/>
    </border>
    <border>
      <left style="thin">
        <color theme="0" tint="-0.34998626667073579"/>
      </left>
      <right/>
      <top style="thin">
        <color theme="1" tint="4.9989318521683403E-2"/>
      </top>
      <bottom/>
      <diagonal/>
    </border>
    <border>
      <left style="thin">
        <color theme="0" tint="-0.34998626667073579"/>
      </left>
      <right/>
      <top/>
      <bottom style="thin">
        <color theme="0" tint="-0.34998626667073579"/>
      </bottom>
      <diagonal/>
    </border>
    <border>
      <left/>
      <right style="thin">
        <color theme="0" tint="-0.34998626667073579"/>
      </right>
      <top style="thin">
        <color theme="0" tint="-0.34998626667073579"/>
      </top>
      <bottom style="thin">
        <color auto="1"/>
      </bottom>
      <diagonal/>
    </border>
    <border>
      <left/>
      <right style="thin">
        <color theme="0" tint="-0.34998626667073579"/>
      </right>
      <top/>
      <bottom/>
      <diagonal/>
    </border>
    <border>
      <left style="thin">
        <color theme="0" tint="-0.34998626667073579"/>
      </left>
      <right/>
      <top style="thin">
        <color theme="0" tint="-0.34998626667073579"/>
      </top>
      <bottom/>
      <diagonal/>
    </border>
    <border>
      <left style="thin">
        <color theme="0"/>
      </left>
      <right style="thin">
        <color theme="0"/>
      </right>
      <top/>
      <bottom/>
      <diagonal/>
    </border>
    <border>
      <left/>
      <right/>
      <top/>
      <bottom style="thin">
        <color theme="0"/>
      </bottom>
      <diagonal/>
    </border>
    <border>
      <left/>
      <right/>
      <top style="thin">
        <color theme="0"/>
      </top>
      <bottom/>
      <diagonal/>
    </border>
    <border>
      <left/>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style="thin">
        <color theme="0"/>
      </right>
      <top/>
      <bottom style="thin">
        <color theme="0"/>
      </bottom>
      <diagonal/>
    </border>
    <border>
      <left style="thin">
        <color theme="0"/>
      </left>
      <right/>
      <top/>
      <bottom/>
      <diagonal/>
    </border>
    <border>
      <left/>
      <right style="thin">
        <color theme="0"/>
      </right>
      <top/>
      <bottom/>
      <diagonal/>
    </border>
    <border>
      <left/>
      <right/>
      <top style="thin">
        <color auto="1"/>
      </top>
      <bottom style="thin">
        <color theme="0" tint="-0.34998626667073579"/>
      </bottom>
      <diagonal/>
    </border>
    <border>
      <left/>
      <right style="thin">
        <color theme="0" tint="-0.34998626667073579"/>
      </right>
      <top style="thin">
        <color theme="1" tint="4.9989318521683403E-2"/>
      </top>
      <bottom style="thin">
        <color theme="0" tint="-0.34998626667073579"/>
      </bottom>
      <diagonal/>
    </border>
    <border>
      <left/>
      <right style="thin">
        <color theme="0" tint="-0.34998626667073579"/>
      </right>
      <top/>
      <bottom style="thin">
        <color theme="1" tint="4.9989318521683403E-2"/>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style="thin">
        <color theme="0"/>
      </right>
      <top/>
      <bottom style="thin">
        <color auto="1"/>
      </bottom>
      <diagonal/>
    </border>
    <border>
      <left/>
      <right style="thin">
        <color theme="0"/>
      </right>
      <top/>
      <bottom style="thick">
        <color theme="0"/>
      </bottom>
      <diagonal/>
    </border>
    <border>
      <left/>
      <right/>
      <top/>
      <bottom style="thick">
        <color theme="0"/>
      </bottom>
      <diagonal/>
    </border>
    <border>
      <left/>
      <right/>
      <top style="thin">
        <color theme="1" tint="4.9989318521683403E-2"/>
      </top>
      <bottom style="thin">
        <color auto="1"/>
      </bottom>
      <diagonal/>
    </border>
    <border>
      <left style="thin">
        <color theme="0" tint="-0.34998626667073579"/>
      </left>
      <right/>
      <top style="thin">
        <color theme="1" tint="4.9989318521683403E-2"/>
      </top>
      <bottom style="thin">
        <color auto="1"/>
      </bottom>
      <diagonal/>
    </border>
    <border>
      <left/>
      <right/>
      <top style="medium">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bottom/>
      <diagonal/>
    </border>
    <border>
      <left/>
      <right/>
      <top style="thin">
        <color auto="1"/>
      </top>
      <bottom style="thin">
        <color theme="1" tint="4.9989318521683403E-2"/>
      </bottom>
      <diagonal/>
    </border>
    <border>
      <left style="thin">
        <color theme="0" tint="-0.34998626667073579"/>
      </left>
      <right/>
      <top/>
      <bottom style="thin">
        <color auto="1"/>
      </bottom>
      <diagonal/>
    </border>
    <border>
      <left/>
      <right style="thin">
        <color theme="0" tint="-0.34998626667073579"/>
      </right>
      <top style="thin">
        <color theme="0" tint="-0.34998626667073579"/>
      </top>
      <bottom/>
      <diagonal/>
    </border>
    <border>
      <left/>
      <right style="thin">
        <color theme="0" tint="-0.34998626667073579"/>
      </right>
      <top/>
      <bottom style="thin">
        <color auto="1"/>
      </bottom>
      <diagonal/>
    </border>
    <border>
      <left/>
      <right style="thin">
        <color theme="0" tint="-0.34998626667073579"/>
      </right>
      <top style="thin">
        <color auto="1"/>
      </top>
      <bottom style="thin">
        <color auto="1"/>
      </bottom>
      <diagonal/>
    </border>
    <border>
      <left style="thin">
        <color theme="0" tint="-0.34998626667073579"/>
      </left>
      <right/>
      <top style="thin">
        <color auto="1"/>
      </top>
      <bottom style="thin">
        <color auto="1"/>
      </bottom>
      <diagonal/>
    </border>
    <border>
      <left style="thin">
        <color theme="0" tint="-0.34998626667073579"/>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bottom/>
      <diagonal/>
    </border>
    <border>
      <left style="medium">
        <color auto="1"/>
      </left>
      <right/>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theme="1" tint="4.9989318521683403E-2"/>
      </right>
      <top style="thin">
        <color theme="1" tint="4.9989318521683403E-2"/>
      </top>
      <bottom style="thin">
        <color theme="0" tint="-0.34998626667073579"/>
      </bottom>
      <diagonal/>
    </border>
    <border>
      <left/>
      <right style="thin">
        <color auto="1"/>
      </right>
      <top/>
      <bottom style="thin">
        <color theme="0" tint="-0.34998626667073579"/>
      </bottom>
      <diagonal/>
    </border>
    <border>
      <left/>
      <right style="thin">
        <color theme="1" tint="4.9989318521683403E-2"/>
      </right>
      <top/>
      <bottom/>
      <diagonal/>
    </border>
    <border>
      <left/>
      <right style="thin">
        <color theme="1" tint="4.9989318521683403E-2"/>
      </right>
      <top style="thin">
        <color auto="1"/>
      </top>
      <bottom style="thin">
        <color auto="1"/>
      </bottom>
      <diagonal/>
    </border>
    <border>
      <left style="thin">
        <color theme="1" tint="4.9989318521683403E-2"/>
      </left>
      <right/>
      <top style="thin">
        <color auto="1"/>
      </top>
      <bottom style="thin">
        <color theme="0" tint="-0.34998626667073579"/>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tint="-0.34998626667073579"/>
      </bottom>
      <diagonal/>
    </border>
    <border>
      <left/>
      <right/>
      <top style="thin">
        <color theme="1"/>
      </top>
      <bottom style="thin">
        <color theme="1"/>
      </bottom>
      <diagonal/>
    </border>
    <border>
      <left style="thin">
        <color theme="0"/>
      </left>
      <right style="thin">
        <color theme="0"/>
      </right>
      <top style="thin">
        <color theme="1"/>
      </top>
      <bottom style="thin">
        <color theme="1"/>
      </bottom>
      <diagonal/>
    </border>
    <border>
      <left style="thin">
        <color theme="0"/>
      </left>
      <right style="thin">
        <color theme="0"/>
      </right>
      <top style="thin">
        <color auto="1"/>
      </top>
      <bottom style="thin">
        <color auto="1"/>
      </bottom>
      <diagonal/>
    </border>
    <border>
      <left/>
      <right/>
      <top style="medium">
        <color theme="1"/>
      </top>
      <bottom style="medium">
        <color theme="1"/>
      </bottom>
      <diagonal/>
    </border>
    <border>
      <left style="thin">
        <color theme="0"/>
      </left>
      <right style="thin">
        <color theme="0"/>
      </right>
      <top style="medium">
        <color theme="1"/>
      </top>
      <bottom style="medium">
        <color theme="1"/>
      </bottom>
      <diagonal/>
    </border>
    <border>
      <left style="thin">
        <color theme="0"/>
      </left>
      <right style="thin">
        <color theme="0"/>
      </right>
      <top style="medium">
        <color auto="1"/>
      </top>
      <bottom style="medium">
        <color auto="1"/>
      </bottom>
      <diagonal/>
    </border>
    <border>
      <left/>
      <right/>
      <top style="thin">
        <color theme="0"/>
      </top>
      <bottom style="thin">
        <color auto="1"/>
      </bottom>
      <diagonal/>
    </border>
    <border>
      <left/>
      <right/>
      <top style="thin">
        <color theme="4" tint="0.39997558519241921"/>
      </top>
      <bottom style="thin">
        <color theme="4" tint="0.39997558519241921"/>
      </bottom>
      <diagonal/>
    </border>
    <border>
      <left/>
      <right style="thin">
        <color auto="1"/>
      </right>
      <top style="thin">
        <color theme="0" tint="-0.34998626667073579"/>
      </top>
      <bottom/>
      <diagonal/>
    </border>
    <border>
      <left style="thin">
        <color theme="0" tint="-0.34998626667073579"/>
      </left>
      <right style="thin">
        <color theme="0"/>
      </right>
      <top style="thin">
        <color theme="1" tint="4.9989318521683403E-2"/>
      </top>
      <bottom/>
      <diagonal/>
    </border>
    <border>
      <left/>
      <right/>
      <top style="thin">
        <color indexed="8"/>
      </top>
      <bottom style="medium">
        <color auto="1"/>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style="thin">
        <color indexed="8"/>
      </top>
      <bottom style="thin">
        <color indexed="8"/>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theme="0" tint="-0.34998626667073579"/>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theme="0" tint="-0.34998626667073579"/>
      </right>
      <top style="thin">
        <color auto="1"/>
      </top>
      <bottom/>
      <diagonal/>
    </border>
    <border>
      <left style="thin">
        <color theme="0" tint="-0.34998626667073579"/>
      </left>
      <right/>
      <top style="thin">
        <color auto="1"/>
      </top>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right style="thin">
        <color theme="0" tint="-0.34998626667073579"/>
      </right>
      <top style="thin">
        <color theme="1" tint="4.9989318521683403E-2"/>
      </top>
      <bottom style="thin">
        <color auto="1"/>
      </bottom>
      <diagonal/>
    </border>
    <border>
      <left style="thin">
        <color theme="5" tint="0.79998168889431442"/>
      </left>
      <right style="thin">
        <color theme="5" tint="0.79998168889431442"/>
      </right>
      <top style="thin">
        <color theme="5" tint="0.79998168889431442"/>
      </top>
      <bottom style="thin">
        <color theme="5" tint="0.79998168889431442"/>
      </bottom>
      <diagonal/>
    </border>
    <border>
      <left style="thin">
        <color theme="5" tint="0.79998168889431442"/>
      </left>
      <right style="thin">
        <color theme="5" tint="0.79998168889431442"/>
      </right>
      <top style="thin">
        <color theme="5" tint="0.79998168889431442"/>
      </top>
      <bottom style="thin">
        <color theme="0" tint="-0.34998626667073579"/>
      </bottom>
      <diagonal/>
    </border>
    <border>
      <left style="thin">
        <color theme="5" tint="0.79998168889431442"/>
      </left>
      <right style="thin">
        <color theme="5" tint="0.79998168889431442"/>
      </right>
      <top/>
      <bottom style="thin">
        <color theme="5" tint="0.79998168889431442"/>
      </bottom>
      <diagonal/>
    </border>
    <border>
      <left style="thin">
        <color theme="5" tint="0.79998168889431442"/>
      </left>
      <right style="thin">
        <color theme="5" tint="0.79998168889431442"/>
      </right>
      <top style="thin">
        <color theme="5" tint="0.79998168889431442"/>
      </top>
      <bottom style="thin">
        <color auto="1"/>
      </bottom>
      <diagonal/>
    </border>
    <border>
      <left/>
      <right/>
      <top style="thin">
        <color theme="1"/>
      </top>
      <bottom style="thin">
        <color auto="1"/>
      </bottom>
      <diagonal/>
    </border>
    <border>
      <left/>
      <right style="thin">
        <color theme="5" tint="0.79998168889431442"/>
      </right>
      <top/>
      <bottom style="thin">
        <color theme="0" tint="-0.34998626667073579"/>
      </bottom>
      <diagonal/>
    </border>
    <border>
      <left style="thin">
        <color theme="5" tint="0.79998168889431442"/>
      </left>
      <right style="thin">
        <color theme="5" tint="0.79998168889431442"/>
      </right>
      <top/>
      <bottom style="thin">
        <color theme="0" tint="-0.34998626667073579"/>
      </bottom>
      <diagonal/>
    </border>
    <border>
      <left/>
      <right style="thin">
        <color theme="5" tint="0.79998168889431442"/>
      </right>
      <top/>
      <bottom style="thin">
        <color theme="5" tint="0.79998168889431442"/>
      </bottom>
      <diagonal/>
    </border>
    <border>
      <left style="thin">
        <color theme="5" tint="0.79998168889431442"/>
      </left>
      <right style="thin">
        <color theme="5" tint="0.79998168889431442"/>
      </right>
      <top style="thin">
        <color theme="5" tint="0.79998168889431442"/>
      </top>
      <bottom/>
      <diagonal/>
    </border>
    <border>
      <left/>
      <right/>
      <top style="thin">
        <color auto="1"/>
      </top>
      <bottom style="thin">
        <color theme="0" tint="-0.34998626667073579"/>
      </bottom>
      <diagonal/>
    </border>
    <border>
      <left/>
      <right/>
      <top style="thin">
        <color theme="0" tint="-0.34998626667073579"/>
      </top>
      <bottom style="thin">
        <color theme="4" tint="0.39997558519241921"/>
      </bottom>
      <diagonal/>
    </border>
    <border>
      <left/>
      <right style="thin">
        <color theme="0" tint="-0.34998626667073579"/>
      </right>
      <top style="thin">
        <color auto="1"/>
      </top>
      <bottom style="thin">
        <color auto="1"/>
      </bottom>
      <diagonal/>
    </border>
    <border>
      <left/>
      <right style="thin">
        <color theme="0" tint="-0.34998626667073579"/>
      </right>
      <top style="thin">
        <color theme="1" tint="4.9989318521683403E-2"/>
      </top>
      <bottom/>
      <diagonal/>
    </border>
    <border>
      <left style="thin">
        <color theme="1"/>
      </left>
      <right/>
      <top style="thin">
        <color theme="0" tint="-0.34998626667073579"/>
      </top>
      <bottom/>
      <diagonal/>
    </border>
    <border>
      <left style="thin">
        <color theme="1"/>
      </left>
      <right/>
      <top/>
      <bottom/>
      <diagonal/>
    </border>
    <border>
      <left style="thin">
        <color theme="1"/>
      </left>
      <right/>
      <top style="thin">
        <color auto="1"/>
      </top>
      <bottom style="thin">
        <color auto="1"/>
      </bottom>
      <diagonal/>
    </border>
    <border>
      <left style="thin">
        <color theme="1"/>
      </left>
      <right/>
      <top style="thin">
        <color theme="1" tint="4.9989318521683403E-2"/>
      </top>
      <bottom/>
      <diagonal/>
    </border>
    <border>
      <left/>
      <right/>
      <top/>
      <bottom style="medium">
        <color auto="1"/>
      </bottom>
      <diagonal/>
    </border>
    <border>
      <left/>
      <right/>
      <top style="thin">
        <color theme="0" tint="-0.34998626667073579"/>
      </top>
      <bottom style="thin">
        <color theme="0" tint="-0.34998626667073579"/>
      </bottom>
      <diagonal/>
    </border>
    <border>
      <left/>
      <right style="medium">
        <color auto="1"/>
      </right>
      <top/>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thin">
        <color theme="0" tint="-0.34998626667073579"/>
      </left>
      <right/>
      <top style="thin">
        <color auto="1"/>
      </top>
      <bottom style="thin">
        <color auto="1"/>
      </bottom>
      <diagonal/>
    </border>
    <border>
      <left/>
      <right style="thin">
        <color theme="0" tint="-0.34998626667073579"/>
      </right>
      <top style="thin">
        <color auto="1"/>
      </top>
      <bottom style="thin">
        <color theme="0" tint="-0.34998626667073579"/>
      </bottom>
      <diagonal/>
    </border>
    <border>
      <left/>
      <right style="thin">
        <color theme="5" tint="0.59996337778862885"/>
      </right>
      <top/>
      <bottom style="thin">
        <color theme="0" tint="-0.34998626667073579"/>
      </bottom>
      <diagonal/>
    </border>
    <border>
      <left style="thin">
        <color theme="5" tint="0.59996337778862885"/>
      </left>
      <right style="thin">
        <color theme="5" tint="0.59996337778862885"/>
      </right>
      <top/>
      <bottom style="thin">
        <color theme="0" tint="-0.34998626667073579"/>
      </bottom>
      <diagonal/>
    </border>
    <border>
      <left style="thin">
        <color theme="5" tint="0.59996337778862885"/>
      </left>
      <right/>
      <top/>
      <bottom style="thin">
        <color theme="0" tint="-0.34998626667073579"/>
      </bottom>
      <diagonal/>
    </border>
    <border>
      <left/>
      <right style="thin">
        <color theme="7" tint="0.79998168889431442"/>
      </right>
      <top style="thin">
        <color theme="0" tint="-0.34998626667073579"/>
      </top>
      <bottom style="thin">
        <color theme="7" tint="0.79998168889431442"/>
      </bottom>
      <diagonal/>
    </border>
    <border>
      <left style="thin">
        <color theme="7" tint="0.79998168889431442"/>
      </left>
      <right style="thin">
        <color theme="7" tint="0.79998168889431442"/>
      </right>
      <top style="thin">
        <color theme="0" tint="-0.34998626667073579"/>
      </top>
      <bottom style="thin">
        <color theme="7" tint="0.79998168889431442"/>
      </bottom>
      <diagonal/>
    </border>
    <border>
      <left style="thin">
        <color theme="7" tint="0.79998168889431442"/>
      </left>
      <right style="thin">
        <color theme="5" tint="0.59996337778862885"/>
      </right>
      <top style="thin">
        <color theme="0" tint="-0.34998626667073579"/>
      </top>
      <bottom style="thin">
        <color theme="7" tint="0.79998168889431442"/>
      </bottom>
      <diagonal/>
    </border>
    <border>
      <left/>
      <right style="thin">
        <color theme="7" tint="0.79998168889431442"/>
      </right>
      <top style="thin">
        <color theme="7" tint="0.79998168889431442"/>
      </top>
      <bottom style="thin">
        <color theme="7" tint="0.79998168889431442"/>
      </bottom>
      <diagonal/>
    </border>
    <border>
      <left style="thin">
        <color theme="7" tint="0.79998168889431442"/>
      </left>
      <right style="thin">
        <color theme="7" tint="0.79998168889431442"/>
      </right>
      <top style="thin">
        <color theme="7" tint="0.79998168889431442"/>
      </top>
      <bottom style="thin">
        <color theme="7" tint="0.79998168889431442"/>
      </bottom>
      <diagonal/>
    </border>
    <border>
      <left style="thin">
        <color theme="7" tint="0.79998168889431442"/>
      </left>
      <right style="thin">
        <color theme="5" tint="0.59996337778862885"/>
      </right>
      <top style="thin">
        <color theme="7" tint="0.79998168889431442"/>
      </top>
      <bottom style="thin">
        <color theme="7" tint="0.79998168889431442"/>
      </bottom>
      <diagonal/>
    </border>
    <border>
      <left/>
      <right style="thin">
        <color theme="7" tint="0.79998168889431442"/>
      </right>
      <top style="thin">
        <color theme="7" tint="0.79998168889431442"/>
      </top>
      <bottom style="thin">
        <color auto="1"/>
      </bottom>
      <diagonal/>
    </border>
    <border>
      <left style="thin">
        <color theme="7" tint="0.79998168889431442"/>
      </left>
      <right style="thin">
        <color theme="7" tint="0.79998168889431442"/>
      </right>
      <top style="thin">
        <color theme="7" tint="0.79998168889431442"/>
      </top>
      <bottom style="thin">
        <color auto="1"/>
      </bottom>
      <diagonal/>
    </border>
    <border>
      <left style="thin">
        <color theme="7" tint="0.79998168889431442"/>
      </left>
      <right style="thin">
        <color theme="5" tint="0.59996337778862885"/>
      </right>
      <top style="thin">
        <color theme="7" tint="0.79998168889431442"/>
      </top>
      <bottom style="thin">
        <color auto="1"/>
      </bottom>
      <diagonal/>
    </border>
    <border>
      <left style="thin">
        <color theme="0" tint="-0.34998626667073579"/>
      </left>
      <right style="thin">
        <color auto="1"/>
      </right>
      <top style="thin">
        <color theme="1" tint="4.9989318521683403E-2"/>
      </top>
      <bottom/>
      <diagonal/>
    </border>
    <border>
      <left style="thin">
        <color theme="0"/>
      </left>
      <right style="thin">
        <color theme="0"/>
      </right>
      <top style="thin">
        <color auto="1"/>
      </top>
      <bottom style="thin">
        <color theme="0" tint="-0.34998626667073579"/>
      </bottom>
      <diagonal/>
    </border>
    <border>
      <left style="thin">
        <color theme="0"/>
      </left>
      <right/>
      <top style="thin">
        <color auto="1"/>
      </top>
      <bottom style="thin">
        <color theme="0" tint="-0.34998626667073579"/>
      </bottom>
      <diagonal/>
    </border>
    <border>
      <left style="thin">
        <color theme="1" tint="4.9989318521683403E-2"/>
      </left>
      <right/>
      <top style="thin">
        <color auto="1"/>
      </top>
      <bottom style="thin">
        <color auto="1"/>
      </bottom>
      <diagonal/>
    </border>
    <border>
      <left/>
      <right/>
      <top style="thin">
        <color auto="1"/>
      </top>
      <bottom style="thin">
        <color auto="1"/>
      </bottom>
      <diagonal/>
    </border>
    <border>
      <left/>
      <right style="thick">
        <color theme="0"/>
      </right>
      <top/>
      <bottom/>
      <diagonal/>
    </border>
    <border>
      <left style="hair">
        <color theme="4" tint="-0.499984740745262"/>
      </left>
      <right style="hair">
        <color theme="4" tint="-0.499984740745262"/>
      </right>
      <top/>
      <bottom/>
      <diagonal/>
    </border>
    <border>
      <left style="hair">
        <color theme="4" tint="-0.499984740745262"/>
      </left>
      <right style="hair">
        <color theme="4" tint="-0.499984740745262"/>
      </right>
      <top/>
      <bottom style="hair">
        <color theme="4" tint="-0.499984740745262"/>
      </bottom>
      <diagonal/>
    </border>
    <border>
      <left style="hair">
        <color theme="4" tint="-0.499984740745262"/>
      </left>
      <right style="hair">
        <color theme="4" tint="-0.499984740745262"/>
      </right>
      <top style="hair">
        <color theme="4" tint="-0.499984740745262"/>
      </top>
      <bottom style="hair">
        <color theme="4" tint="-0.499984740745262"/>
      </bottom>
      <diagonal/>
    </border>
    <border>
      <left style="hair">
        <color theme="4" tint="-0.499984740745262"/>
      </left>
      <right/>
      <top style="hair">
        <color theme="4" tint="-0.499984740745262"/>
      </top>
      <bottom style="hair">
        <color theme="4" tint="-0.499984740745262"/>
      </bottom>
      <diagonal/>
    </border>
    <border>
      <left/>
      <right style="hair">
        <color theme="4" tint="-0.499984740745262"/>
      </right>
      <top style="hair">
        <color theme="4" tint="-0.499984740745262"/>
      </top>
      <bottom style="hair">
        <color theme="4" tint="-0.499984740745262"/>
      </bottom>
      <diagonal/>
    </border>
    <border>
      <left style="dotted">
        <color auto="1"/>
      </left>
      <right style="dotted">
        <color auto="1"/>
      </right>
      <top style="dotted">
        <color auto="1"/>
      </top>
      <bottom style="dotted">
        <color auto="1"/>
      </bottom>
      <diagonal/>
    </border>
    <border>
      <left style="hair">
        <color theme="4" tint="-0.499984740745262"/>
      </left>
      <right/>
      <top/>
      <bottom/>
      <diagonal/>
    </border>
    <border>
      <left style="hair">
        <color theme="4" tint="-0.499984740745262"/>
      </left>
      <right/>
      <top/>
      <bottom style="hair">
        <color theme="4" tint="-0.499984740745262"/>
      </bottom>
      <diagonal/>
    </border>
    <border>
      <left style="hair">
        <color theme="4" tint="-0.499984740745262"/>
      </left>
      <right/>
      <top style="hair">
        <color theme="4" tint="-0.499984740745262"/>
      </top>
      <bottom/>
      <diagonal/>
    </border>
    <border>
      <left style="hair">
        <color theme="4" tint="-0.499984740745262"/>
      </left>
      <right style="hair">
        <color theme="4" tint="-0.499984740745262"/>
      </right>
      <top style="dotted">
        <color auto="1"/>
      </top>
      <bottom/>
      <diagonal/>
    </border>
    <border>
      <left style="hair">
        <color theme="4" tint="-0.499984740745262"/>
      </left>
      <right style="dotted">
        <color auto="1"/>
      </right>
      <top style="hair">
        <color theme="4" tint="-0.499984740745262"/>
      </top>
      <bottom/>
      <diagonal/>
    </border>
    <border>
      <left style="hair">
        <color theme="4" tint="-0.499984740745262"/>
      </left>
      <right style="dotted">
        <color auto="1"/>
      </right>
      <top/>
      <bottom/>
      <diagonal/>
    </border>
    <border>
      <left/>
      <right style="dotted">
        <color auto="1"/>
      </right>
      <top style="dotted">
        <color auto="1"/>
      </top>
      <bottom style="dotted">
        <color auto="1"/>
      </bottom>
      <diagonal/>
    </border>
    <border>
      <left style="dotted">
        <color auto="1"/>
      </left>
      <right style="dotted">
        <color auto="1"/>
      </right>
      <top style="dotted">
        <color auto="1"/>
      </top>
      <bottom/>
      <diagonal/>
    </border>
    <border>
      <left style="dotted">
        <color auto="1"/>
      </left>
      <right style="dotted">
        <color auto="1"/>
      </right>
      <top/>
      <bottom/>
      <diagonal/>
    </border>
    <border>
      <left style="dotted">
        <color auto="1"/>
      </left>
      <right style="dotted">
        <color auto="1"/>
      </right>
      <top/>
      <bottom style="dotted">
        <color auto="1"/>
      </bottom>
      <diagonal/>
    </border>
    <border>
      <left style="thin">
        <color theme="0" tint="-0.34998626667073579"/>
      </left>
      <right style="thin">
        <color auto="1"/>
      </right>
      <top style="thin">
        <color auto="1"/>
      </top>
      <bottom/>
      <diagonal/>
    </border>
    <border>
      <left/>
      <right style="thin">
        <color theme="5" tint="0.59996337778862885"/>
      </right>
      <top style="thin">
        <color theme="1"/>
      </top>
      <bottom style="thin">
        <color theme="5" tint="0.59996337778862885"/>
      </bottom>
      <diagonal/>
    </border>
    <border>
      <left style="thin">
        <color theme="5" tint="0.59996337778862885"/>
      </left>
      <right style="thin">
        <color theme="5" tint="0.59996337778862885"/>
      </right>
      <top style="thin">
        <color theme="1"/>
      </top>
      <bottom style="thin">
        <color theme="5" tint="0.59996337778862885"/>
      </bottom>
      <diagonal/>
    </border>
    <border>
      <left/>
      <right style="thin">
        <color theme="5" tint="0.59996337778862885"/>
      </right>
      <top style="thin">
        <color theme="5" tint="0.59996337778862885"/>
      </top>
      <bottom style="thin">
        <color theme="5" tint="0.59996337778862885"/>
      </bottom>
      <diagonal/>
    </border>
    <border>
      <left style="thin">
        <color theme="5" tint="0.59996337778862885"/>
      </left>
      <right style="thin">
        <color theme="5" tint="0.59996337778862885"/>
      </right>
      <top style="thin">
        <color theme="5" tint="0.59996337778862885"/>
      </top>
      <bottom style="thin">
        <color theme="5" tint="0.59996337778862885"/>
      </bottom>
      <diagonal/>
    </border>
    <border>
      <left/>
      <right style="thin">
        <color theme="5" tint="0.59996337778862885"/>
      </right>
      <top style="thin">
        <color theme="5" tint="0.59996337778862885"/>
      </top>
      <bottom/>
      <diagonal/>
    </border>
    <border>
      <left style="thin">
        <color theme="5" tint="0.59996337778862885"/>
      </left>
      <right style="thin">
        <color theme="5" tint="0.59996337778862885"/>
      </right>
      <top style="thin">
        <color theme="5" tint="0.59996337778862885"/>
      </top>
      <bottom/>
      <diagonal/>
    </border>
    <border>
      <left/>
      <right style="thin">
        <color theme="4" tint="0.39997558519241921"/>
      </right>
      <top style="thin">
        <color theme="0" tint="-0.34998626667073579"/>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0" tint="-0.34998626667073579"/>
      </left>
      <right style="thin">
        <color theme="4" tint="0.39997558519241921"/>
      </right>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right/>
      <top style="thin">
        <color theme="1" tint="4.9989318521683403E-2"/>
      </top>
      <bottom style="thin">
        <color theme="4" tint="0.39997558519241921"/>
      </bottom>
      <diagonal/>
    </border>
    <border>
      <left style="thin">
        <color theme="0" tint="-0.34998626667073579"/>
      </left>
      <right/>
      <top style="thin">
        <color theme="1" tint="4.9989318521683403E-2"/>
      </top>
      <bottom style="thin">
        <color theme="4" tint="0.39997558519241921"/>
      </bottom>
      <diagonal/>
    </border>
    <border>
      <left style="thin">
        <color theme="0" tint="-0.34998626667073579"/>
      </left>
      <right style="thin">
        <color theme="4" tint="0.39997558519241921"/>
      </right>
      <top style="thin">
        <color theme="1" tint="4.9989318521683403E-2"/>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theme="0"/>
      </right>
      <top style="thin">
        <color indexed="64"/>
      </top>
      <bottom/>
      <diagonal/>
    </border>
  </borders>
  <cellStyleXfs count="1102">
    <xf numFmtId="0" fontId="0" fillId="0" borderId="0"/>
    <xf numFmtId="184" fontId="36" fillId="0" borderId="0" applyFont="0" applyFill="0" applyBorder="0" applyAlignment="0" applyProtection="0"/>
    <xf numFmtId="178" fontId="23" fillId="0" borderId="0" applyFont="0" applyFill="0" applyBorder="0" applyAlignment="0" applyProtection="0"/>
    <xf numFmtId="0" fontId="39" fillId="3" borderId="3" applyNumberFormat="0" applyAlignment="0" applyProtection="0"/>
    <xf numFmtId="173" fontId="42" fillId="0" borderId="0" applyNumberFormat="0" applyFill="0" applyBorder="0" applyAlignment="0" applyProtection="0"/>
    <xf numFmtId="0" fontId="32" fillId="0" borderId="2" applyNumberFormat="0">
      <alignment horizontal="left" vertical="center"/>
    </xf>
    <xf numFmtId="0" fontId="40" fillId="0" borderId="0"/>
    <xf numFmtId="184" fontId="36" fillId="0" borderId="0" applyFont="0" applyFill="0" applyBorder="0" applyAlignment="0" applyProtection="0"/>
    <xf numFmtId="0" fontId="21" fillId="17" borderId="0" applyNumberFormat="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4" fillId="0" borderId="0"/>
    <xf numFmtId="0" fontId="75" fillId="0" borderId="0" applyNumberFormat="0" applyFill="0" applyBorder="0" applyAlignment="0" applyProtection="0">
      <alignment vertical="top"/>
      <protection locked="0"/>
    </xf>
    <xf numFmtId="0" fontId="71" fillId="0" borderId="0" applyNumberFormat="0" applyFill="0" applyBorder="0" applyAlignment="0" applyProtection="0"/>
    <xf numFmtId="0" fontId="72" fillId="0" borderId="0" applyNumberFormat="0" applyFill="0" applyBorder="0" applyAlignment="0" applyProtection="0"/>
    <xf numFmtId="0" fontId="19" fillId="17" borderId="0" applyNumberFormat="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19" fillId="20" borderId="0" applyNumberFormat="0" applyBorder="0" applyAlignment="0" applyProtection="0"/>
    <xf numFmtId="0" fontId="71" fillId="0" borderId="0" applyNumberFormat="0" applyFill="0" applyBorder="0" applyAlignment="0" applyProtection="0"/>
    <xf numFmtId="0" fontId="19" fillId="0" borderId="0"/>
    <xf numFmtId="169" fontId="19" fillId="0" borderId="0" applyFont="0" applyFill="0" applyBorder="0" applyAlignment="0" applyProtection="0"/>
    <xf numFmtId="0" fontId="19" fillId="0" borderId="0"/>
    <xf numFmtId="0" fontId="71"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6" fillId="23" borderId="0" applyNumberFormat="0" applyBorder="0" applyAlignment="0" applyProtection="0"/>
    <xf numFmtId="0" fontId="18" fillId="17" borderId="0" applyNumberFormat="0" applyBorder="0" applyAlignment="0" applyProtection="0"/>
    <xf numFmtId="0" fontId="18" fillId="0" borderId="0"/>
    <xf numFmtId="0" fontId="18" fillId="0" borderId="0"/>
    <xf numFmtId="0" fontId="17" fillId="17" borderId="0" applyNumberFormat="0" applyBorder="0" applyAlignment="0" applyProtection="0"/>
    <xf numFmtId="0" fontId="78" fillId="24" borderId="0" applyNumberFormat="0" applyBorder="0" applyAlignment="0" applyProtection="0"/>
    <xf numFmtId="0" fontId="84" fillId="0" borderId="0" applyNumberFormat="0" applyFill="0" applyBorder="0" applyAlignment="0" applyProtection="0"/>
    <xf numFmtId="0" fontId="85" fillId="0" borderId="55" applyNumberFormat="0" applyFill="0" applyAlignment="0" applyProtection="0"/>
    <xf numFmtId="0" fontId="86" fillId="0" borderId="56" applyNumberFormat="0" applyFill="0" applyAlignment="0" applyProtection="0"/>
    <xf numFmtId="0" fontId="87" fillId="0" borderId="57" applyNumberFormat="0" applyFill="0" applyAlignment="0" applyProtection="0"/>
    <xf numFmtId="0" fontId="87" fillId="0" borderId="0" applyNumberFormat="0" applyFill="0" applyBorder="0" applyAlignment="0" applyProtection="0"/>
    <xf numFmtId="0" fontId="88" fillId="28" borderId="0" applyNumberFormat="0" applyBorder="0" applyAlignment="0" applyProtection="0"/>
    <xf numFmtId="0" fontId="89" fillId="29" borderId="0" applyNumberFormat="0" applyBorder="0" applyAlignment="0" applyProtection="0"/>
    <xf numFmtId="0" fontId="90" fillId="30" borderId="58" applyNumberFormat="0" applyAlignment="0" applyProtection="0"/>
    <xf numFmtId="0" fontId="91" fillId="30" borderId="3" applyNumberFormat="0" applyAlignment="0" applyProtection="0"/>
    <xf numFmtId="0" fontId="92" fillId="0" borderId="59" applyNumberFormat="0" applyFill="0" applyAlignment="0" applyProtection="0"/>
    <xf numFmtId="0" fontId="93" fillId="31" borderId="60" applyNumberFormat="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64" fillId="0" borderId="62" applyNumberFormat="0" applyFill="0" applyAlignment="0" applyProtection="0"/>
    <xf numFmtId="0" fontId="78" fillId="33" borderId="0" applyNumberFormat="0" applyBorder="0" applyAlignment="0" applyProtection="0"/>
    <xf numFmtId="0" fontId="15" fillId="34" borderId="0" applyNumberFormat="0" applyBorder="0" applyAlignment="0" applyProtection="0"/>
    <xf numFmtId="0" fontId="78" fillId="35" borderId="0" applyNumberFormat="0" applyBorder="0" applyAlignment="0" applyProtection="0"/>
    <xf numFmtId="0" fontId="78" fillId="36"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78" fillId="39" borderId="0" applyNumberFormat="0" applyBorder="0" applyAlignment="0" applyProtection="0"/>
    <xf numFmtId="0" fontId="78" fillId="40"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78" fillId="43" borderId="0" applyNumberFormat="0" applyBorder="0" applyAlignment="0" applyProtection="0"/>
    <xf numFmtId="0" fontId="78" fillId="44"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78" fillId="47" borderId="0" applyNumberFormat="0" applyBorder="0" applyAlignment="0" applyProtection="0"/>
    <xf numFmtId="0" fontId="78"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78" fillId="51" borderId="0" applyNumberFormat="0" applyBorder="0" applyAlignment="0" applyProtection="0"/>
    <xf numFmtId="0" fontId="15" fillId="52" borderId="0" applyNumberFormat="0" applyBorder="0" applyAlignment="0" applyProtection="0"/>
    <xf numFmtId="0" fontId="78" fillId="53" borderId="0" applyNumberFormat="0" applyBorder="0" applyAlignment="0" applyProtection="0"/>
    <xf numFmtId="0" fontId="15" fillId="0" borderId="0"/>
    <xf numFmtId="0" fontId="15" fillId="32" borderId="61" applyNumberFormat="0" applyFont="0" applyAlignment="0" applyProtection="0"/>
    <xf numFmtId="0" fontId="15" fillId="20" borderId="0" applyNumberFormat="0" applyBorder="0" applyAlignment="0" applyProtection="0"/>
    <xf numFmtId="0" fontId="15" fillId="17" borderId="0" applyNumberFormat="0" applyBorder="0" applyAlignment="0" applyProtection="0"/>
    <xf numFmtId="0" fontId="14" fillId="0" borderId="0"/>
    <xf numFmtId="0" fontId="14" fillId="32" borderId="61" applyNumberFormat="0" applyFont="0" applyAlignment="0" applyProtection="0"/>
    <xf numFmtId="0" fontId="14" fillId="20" borderId="0" applyNumberFormat="0" applyBorder="0" applyAlignment="0" applyProtection="0"/>
    <xf numFmtId="0" fontId="14" fillId="34"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17" borderId="0" applyNumberFormat="0" applyBorder="0" applyAlignment="0" applyProtection="0"/>
    <xf numFmtId="0" fontId="14" fillId="52" borderId="0" applyNumberFormat="0" applyBorder="0" applyAlignment="0" applyProtection="0"/>
    <xf numFmtId="0" fontId="13" fillId="0" borderId="0"/>
    <xf numFmtId="0" fontId="13" fillId="32" borderId="61" applyNumberFormat="0" applyFont="0" applyAlignment="0" applyProtection="0"/>
    <xf numFmtId="0" fontId="13" fillId="20" borderId="0" applyNumberFormat="0" applyBorder="0" applyAlignment="0" applyProtection="0"/>
    <xf numFmtId="0" fontId="13" fillId="34"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17" borderId="0" applyNumberFormat="0" applyBorder="0" applyAlignment="0" applyProtection="0"/>
    <xf numFmtId="0" fontId="13" fillId="52" borderId="0" applyNumberFormat="0" applyBorder="0" applyAlignment="0" applyProtection="0"/>
    <xf numFmtId="0" fontId="79" fillId="0" borderId="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178" fontId="23" fillId="0" borderId="0" applyFont="0" applyFill="0" applyBorder="0" applyAlignment="0" applyProtection="0"/>
    <xf numFmtId="0" fontId="12" fillId="0" borderId="0"/>
    <xf numFmtId="0" fontId="13" fillId="17" borderId="0" applyNumberFormat="0" applyBorder="0" applyAlignment="0" applyProtection="0"/>
    <xf numFmtId="0" fontId="11" fillId="0" borderId="0"/>
    <xf numFmtId="43" fontId="133"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9" fontId="40" fillId="0" borderId="0" applyFont="0" applyFill="0" applyBorder="0" applyAlignment="0" applyProtection="0"/>
    <xf numFmtId="0" fontId="133" fillId="67" borderId="0" applyNumberFormat="0" applyBorder="0" applyAlignment="0" applyProtection="0"/>
    <xf numFmtId="0" fontId="133" fillId="68" borderId="0" applyNumberFormat="0" applyBorder="0" applyAlignment="0" applyProtection="0"/>
    <xf numFmtId="0" fontId="133" fillId="69" borderId="0" applyNumberFormat="0" applyBorder="0" applyAlignment="0" applyProtection="0"/>
    <xf numFmtId="0" fontId="133" fillId="70" borderId="0" applyNumberFormat="0" applyBorder="0" applyAlignment="0" applyProtection="0"/>
    <xf numFmtId="0" fontId="133" fillId="71" borderId="0" applyNumberFormat="0" applyBorder="0" applyAlignment="0" applyProtection="0"/>
    <xf numFmtId="0" fontId="133" fillId="72" borderId="0" applyNumberFormat="0" applyBorder="0" applyAlignment="0" applyProtection="0"/>
    <xf numFmtId="0" fontId="133" fillId="73" borderId="0" applyNumberFormat="0" applyBorder="0" applyAlignment="0" applyProtection="0"/>
    <xf numFmtId="0" fontId="133" fillId="74" borderId="0" applyNumberFormat="0" applyBorder="0" applyAlignment="0" applyProtection="0"/>
    <xf numFmtId="0" fontId="133" fillId="75" borderId="0" applyNumberFormat="0" applyBorder="0" applyAlignment="0" applyProtection="0"/>
    <xf numFmtId="0" fontId="133" fillId="70" borderId="0" applyNumberFormat="0" applyBorder="0" applyAlignment="0" applyProtection="0"/>
    <xf numFmtId="0" fontId="133" fillId="73" borderId="0" applyNumberFormat="0" applyBorder="0" applyAlignment="0" applyProtection="0"/>
    <xf numFmtId="0" fontId="133" fillId="76" borderId="0" applyNumberFormat="0" applyBorder="0" applyAlignment="0" applyProtection="0"/>
    <xf numFmtId="0" fontId="134" fillId="77" borderId="0" applyNumberFormat="0" applyBorder="0" applyAlignment="0" applyProtection="0"/>
    <xf numFmtId="0" fontId="134" fillId="74" borderId="0" applyNumberFormat="0" applyBorder="0" applyAlignment="0" applyProtection="0"/>
    <xf numFmtId="0" fontId="134" fillId="75" borderId="0" applyNumberFormat="0" applyBorder="0" applyAlignment="0" applyProtection="0"/>
    <xf numFmtId="0" fontId="134" fillId="78" borderId="0" applyNumberFormat="0" applyBorder="0" applyAlignment="0" applyProtection="0"/>
    <xf numFmtId="0" fontId="134" fillId="79" borderId="0" applyNumberFormat="0" applyBorder="0" applyAlignment="0" applyProtection="0"/>
    <xf numFmtId="0" fontId="134" fillId="80" borderId="0" applyNumberFormat="0" applyBorder="0" applyAlignment="0" applyProtection="0"/>
    <xf numFmtId="0" fontId="40" fillId="73" borderId="0" applyNumberFormat="0" applyBorder="0" applyAlignment="0">
      <protection locked="0"/>
    </xf>
    <xf numFmtId="4" fontId="135" fillId="0" borderId="104" applyFill="0">
      <alignment vertical="center"/>
      <protection locked="0"/>
    </xf>
    <xf numFmtId="4" fontId="135" fillId="0" borderId="104" applyFill="0">
      <alignment vertical="center"/>
      <protection locked="0"/>
    </xf>
    <xf numFmtId="0" fontId="136" fillId="0" borderId="0" applyFill="0" applyBorder="0" applyAlignment="0"/>
    <xf numFmtId="0" fontId="137" fillId="81" borderId="105" applyNumberFormat="0" applyAlignment="0" applyProtection="0"/>
    <xf numFmtId="0" fontId="137" fillId="81" borderId="105" applyNumberFormat="0" applyAlignment="0" applyProtection="0"/>
    <xf numFmtId="0" fontId="137" fillId="81" borderId="105" applyNumberFormat="0" applyAlignment="0" applyProtection="0"/>
    <xf numFmtId="0" fontId="138" fillId="0" borderId="106" applyNumberFormat="0" applyFill="0" applyAlignment="0" applyProtection="0"/>
    <xf numFmtId="0" fontId="139" fillId="82" borderId="107" applyNumberFormat="0" applyAlignment="0" applyProtection="0"/>
    <xf numFmtId="0" fontId="134" fillId="83" borderId="0" applyNumberFormat="0" applyBorder="0" applyAlignment="0" applyProtection="0"/>
    <xf numFmtId="0" fontId="134" fillId="84" borderId="0" applyNumberFormat="0" applyBorder="0" applyAlignment="0" applyProtection="0"/>
    <xf numFmtId="0" fontId="134" fillId="85" borderId="0" applyNumberFormat="0" applyBorder="0" applyAlignment="0" applyProtection="0"/>
    <xf numFmtId="0" fontId="134" fillId="78" borderId="0" applyNumberFormat="0" applyBorder="0" applyAlignment="0" applyProtection="0"/>
    <xf numFmtId="0" fontId="134" fillId="79" borderId="0" applyNumberFormat="0" applyBorder="0" applyAlignment="0" applyProtection="0"/>
    <xf numFmtId="0" fontId="134" fillId="86" borderId="0" applyNumberFormat="0" applyBorder="0" applyAlignment="0" applyProtection="0"/>
    <xf numFmtId="0" fontId="140" fillId="0" borderId="0"/>
    <xf numFmtId="0" fontId="140" fillId="0" borderId="0"/>
    <xf numFmtId="0" fontId="141" fillId="0" borderId="1">
      <alignment horizontal="right" wrapText="1"/>
    </xf>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3" fontId="142" fillId="0" borderId="0" applyFont="0" applyFill="0" applyBorder="0" applyAlignment="0" applyProtection="0"/>
    <xf numFmtId="0" fontId="143" fillId="0" borderId="0" applyNumberFormat="0" applyAlignment="0">
      <alignment horizontal="left"/>
    </xf>
    <xf numFmtId="194" fontId="142" fillId="0" borderId="0" applyFont="0" applyFill="0" applyBorder="0" applyAlignment="0" applyProtection="0"/>
    <xf numFmtId="3" fontId="144" fillId="0" borderId="0">
      <alignment horizontal="right"/>
    </xf>
    <xf numFmtId="0" fontId="144" fillId="0" borderId="0">
      <alignment horizontal="left"/>
    </xf>
    <xf numFmtId="0" fontId="142" fillId="0" borderId="0" applyFont="0" applyFill="0" applyBorder="0" applyAlignment="0" applyProtection="0"/>
    <xf numFmtId="0" fontId="145" fillId="0" borderId="0" applyNumberFormat="0" applyAlignment="0">
      <alignment horizontal="left"/>
    </xf>
    <xf numFmtId="4" fontId="146" fillId="0" borderId="0" applyFill="0" applyBorder="0">
      <protection locked="0"/>
    </xf>
    <xf numFmtId="2" fontId="142" fillId="0" borderId="0" applyFont="0" applyFill="0" applyBorder="0" applyAlignment="0" applyProtection="0"/>
    <xf numFmtId="0" fontId="147" fillId="0" borderId="0">
      <alignment wrapText="1"/>
    </xf>
    <xf numFmtId="38" fontId="148" fillId="87" borderId="0" applyNumberFormat="0" applyBorder="0" applyAlignment="0" applyProtection="0"/>
    <xf numFmtId="0" fontId="149" fillId="0" borderId="48" applyNumberFormat="0" applyAlignment="0" applyProtection="0">
      <alignment horizontal="left" vertical="center"/>
    </xf>
    <xf numFmtId="0" fontId="149" fillId="0" borderId="4">
      <alignment horizontal="left" vertical="center"/>
    </xf>
    <xf numFmtId="0" fontId="149" fillId="0" borderId="4">
      <alignment horizontal="left" vertical="center"/>
    </xf>
    <xf numFmtId="0" fontId="149" fillId="0" borderId="4">
      <alignment horizontal="left" vertical="center"/>
    </xf>
    <xf numFmtId="0" fontId="150" fillId="0" borderId="0" applyNumberFormat="0" applyFill="0" applyBorder="0" applyAlignment="0" applyProtection="0">
      <alignment vertical="top"/>
      <protection locked="0"/>
    </xf>
    <xf numFmtId="10" fontId="148" fillId="88" borderId="54" applyNumberFormat="0" applyBorder="0" applyAlignment="0" applyProtection="0"/>
    <xf numFmtId="10" fontId="148" fillId="88" borderId="54" applyNumberFormat="0" applyBorder="0" applyAlignment="0" applyProtection="0"/>
    <xf numFmtId="10" fontId="148" fillId="88" borderId="54" applyNumberFormat="0" applyBorder="0" applyAlignment="0" applyProtection="0"/>
    <xf numFmtId="195" fontId="151" fillId="0" borderId="72" applyNumberFormat="0" applyFill="0" applyBorder="0">
      <alignment horizontal="left" vertical="center"/>
    </xf>
    <xf numFmtId="195" fontId="152" fillId="0" borderId="0"/>
    <xf numFmtId="174" fontId="153" fillId="0" borderId="40">
      <alignment horizontal="right"/>
    </xf>
    <xf numFmtId="0" fontId="154" fillId="89" borderId="0" applyNumberFormat="0" applyBorder="0" applyAlignment="0" applyProtection="0"/>
    <xf numFmtId="37" fontId="155" fillId="0" borderId="0"/>
    <xf numFmtId="41" fontId="40" fillId="0" borderId="0"/>
    <xf numFmtId="0" fontId="40" fillId="0" borderId="0"/>
    <xf numFmtId="0" fontId="40" fillId="0" borderId="0"/>
    <xf numFmtId="0" fontId="40" fillId="0" borderId="0"/>
    <xf numFmtId="0" fontId="148" fillId="0" borderId="0"/>
    <xf numFmtId="0" fontId="40" fillId="0" borderId="0"/>
    <xf numFmtId="0" fontId="40" fillId="0" borderId="0"/>
    <xf numFmtId="0" fontId="40" fillId="0" borderId="0"/>
    <xf numFmtId="0" fontId="140" fillId="0" borderId="0"/>
    <xf numFmtId="0" fontId="40" fillId="0" borderId="0"/>
    <xf numFmtId="0" fontId="40" fillId="0" borderId="0"/>
    <xf numFmtId="0" fontId="40" fillId="0" borderId="0"/>
    <xf numFmtId="0" fontId="40" fillId="0" borderId="0"/>
    <xf numFmtId="0" fontId="156" fillId="0" borderId="0"/>
    <xf numFmtId="0" fontId="157" fillId="0" borderId="0"/>
    <xf numFmtId="0" fontId="158" fillId="0" borderId="0"/>
    <xf numFmtId="0" fontId="40" fillId="0" borderId="0"/>
    <xf numFmtId="0" fontId="40" fillId="90" borderId="108" applyNumberFormat="0" applyFont="0" applyAlignment="0" applyProtection="0"/>
    <xf numFmtId="0" fontId="40" fillId="90" borderId="108" applyNumberFormat="0" applyFont="0" applyAlignment="0" applyProtection="0"/>
    <xf numFmtId="0" fontId="40" fillId="90" borderId="108" applyNumberFormat="0" applyFont="0" applyAlignment="0" applyProtection="0"/>
    <xf numFmtId="0" fontId="140" fillId="0" borderId="0"/>
    <xf numFmtId="0" fontId="140" fillId="0" borderId="0"/>
    <xf numFmtId="0" fontId="140" fillId="0" borderId="109"/>
    <xf numFmtId="0" fontId="140" fillId="0" borderId="109"/>
    <xf numFmtId="10"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133"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196" fontId="159" fillId="0" borderId="0" applyNumberFormat="0" applyFill="0" applyBorder="0" applyAlignment="0" applyProtection="0">
      <alignment horizontal="left"/>
    </xf>
    <xf numFmtId="0" fontId="144" fillId="0" borderId="0" applyBorder="0">
      <alignment horizontal="left" vertical="center" wrapText="1"/>
    </xf>
    <xf numFmtId="0" fontId="160" fillId="0" borderId="0" applyBorder="0">
      <alignment horizontal="left" vertical="center" wrapText="1"/>
    </xf>
    <xf numFmtId="0" fontId="161" fillId="0" borderId="0" applyBorder="0">
      <alignment horizontal="left" vertical="center" wrapText="1"/>
    </xf>
    <xf numFmtId="0" fontId="140" fillId="0" borderId="0"/>
    <xf numFmtId="0" fontId="147" fillId="0" borderId="0">
      <alignment vertical="top"/>
    </xf>
    <xf numFmtId="0" fontId="147" fillId="0" borderId="0"/>
    <xf numFmtId="0" fontId="162" fillId="0" borderId="0"/>
    <xf numFmtId="0" fontId="162" fillId="0" borderId="0">
      <alignment vertical="top"/>
    </xf>
    <xf numFmtId="0" fontId="163" fillId="0" borderId="54">
      <alignment horizontal="center"/>
    </xf>
    <xf numFmtId="0" fontId="163" fillId="0" borderId="54">
      <alignment horizontal="center"/>
    </xf>
    <xf numFmtId="0" fontId="163" fillId="0" borderId="54">
      <alignment horizontal="center"/>
    </xf>
    <xf numFmtId="0" fontId="163" fillId="0" borderId="0">
      <alignment horizontal="center" vertical="center"/>
    </xf>
    <xf numFmtId="0" fontId="164" fillId="91" borderId="0" applyNumberFormat="0" applyFill="0">
      <alignment horizontal="left" vertical="center"/>
    </xf>
    <xf numFmtId="40" fontId="165" fillId="0" borderId="0" applyBorder="0">
      <alignment horizontal="right"/>
    </xf>
    <xf numFmtId="0" fontId="140" fillId="0" borderId="0"/>
    <xf numFmtId="0" fontId="140" fillId="0" borderId="0"/>
    <xf numFmtId="0" fontId="166" fillId="0" borderId="0"/>
    <xf numFmtId="0" fontId="167" fillId="0" borderId="0"/>
    <xf numFmtId="0" fontId="166" fillId="0" borderId="0"/>
    <xf numFmtId="0" fontId="168" fillId="0" borderId="0">
      <alignment vertical="center"/>
    </xf>
    <xf numFmtId="0" fontId="169" fillId="0" borderId="0" applyNumberFormat="0" applyFill="0" applyBorder="0" applyAlignment="0" applyProtection="0"/>
    <xf numFmtId="0" fontId="170" fillId="0" borderId="0" applyNumberFormat="0" applyFill="0" applyBorder="0" applyAlignment="0" applyProtection="0"/>
    <xf numFmtId="167" fontId="40" fillId="0" borderId="0" applyFont="0" applyFill="0" applyBorder="0" applyAlignment="0" applyProtection="0"/>
    <xf numFmtId="0" fontId="40" fillId="0" borderId="0"/>
    <xf numFmtId="0" fontId="171" fillId="0" borderId="0" applyNumberFormat="0" applyFill="0" applyBorder="0" applyAlignment="0" applyProtection="0"/>
    <xf numFmtId="0" fontId="172" fillId="0" borderId="110" applyNumberFormat="0" applyFill="0" applyAlignment="0" applyProtection="0"/>
    <xf numFmtId="0" fontId="173" fillId="0" borderId="111" applyNumberFormat="0" applyFill="0" applyAlignment="0" applyProtection="0"/>
    <xf numFmtId="0" fontId="174" fillId="0" borderId="112" applyNumberFormat="0" applyFill="0" applyAlignment="0" applyProtection="0"/>
    <xf numFmtId="0" fontId="174" fillId="0" borderId="0" applyNumberFormat="0" applyFill="0" applyBorder="0" applyAlignment="0" applyProtection="0"/>
    <xf numFmtId="0" fontId="175" fillId="0" borderId="113" applyNumberFormat="0" applyFill="0" applyAlignment="0" applyProtection="0"/>
    <xf numFmtId="0" fontId="175" fillId="0" borderId="113" applyNumberFormat="0" applyFill="0" applyAlignment="0" applyProtection="0"/>
    <xf numFmtId="0" fontId="175" fillId="0" borderId="113" applyNumberFormat="0" applyFill="0" applyAlignment="0" applyProtection="0"/>
    <xf numFmtId="0" fontId="176" fillId="68" borderId="0" applyNumberFormat="0" applyBorder="0" applyAlignment="0" applyProtection="0"/>
    <xf numFmtId="0" fontId="177" fillId="69" borderId="0" applyNumberFormat="0" applyBorder="0" applyAlignment="0" applyProtection="0"/>
    <xf numFmtId="0" fontId="178" fillId="0" borderId="0" applyNumberFormat="0" applyFill="0" applyBorder="0" applyAlignment="0" applyProtection="0"/>
    <xf numFmtId="0" fontId="13" fillId="17" borderId="0" applyNumberFormat="0" applyBorder="0" applyAlignment="0" applyProtection="0"/>
    <xf numFmtId="168" fontId="23" fillId="0" borderId="0" applyFont="0" applyFill="0" applyBorder="0" applyAlignment="0" applyProtection="0"/>
    <xf numFmtId="0" fontId="10" fillId="0" borderId="0"/>
    <xf numFmtId="0" fontId="13" fillId="17" borderId="0" applyNumberFormat="0" applyBorder="0" applyAlignment="0" applyProtection="0"/>
    <xf numFmtId="0" fontId="23" fillId="0" borderId="0"/>
    <xf numFmtId="0" fontId="9" fillId="0" borderId="0"/>
    <xf numFmtId="178" fontId="23" fillId="0" borderId="0" applyFont="0" applyFill="0" applyBorder="0" applyAlignment="0" applyProtection="0"/>
    <xf numFmtId="184" fontId="36" fillId="0" borderId="0" applyFont="0" applyFill="0" applyBorder="0" applyAlignment="0" applyProtection="0"/>
    <xf numFmtId="0" fontId="8" fillId="0" borderId="0"/>
    <xf numFmtId="0" fontId="7" fillId="0" borderId="0"/>
    <xf numFmtId="0" fontId="6" fillId="0" borderId="0"/>
    <xf numFmtId="9" fontId="6" fillId="0" borderId="0" applyFont="0" applyFill="0" applyBorder="0" applyAlignment="0" applyProtection="0"/>
    <xf numFmtId="0" fontId="5" fillId="0" borderId="0"/>
    <xf numFmtId="0" fontId="4" fillId="0" borderId="0"/>
    <xf numFmtId="0" fontId="3" fillId="0" borderId="0"/>
    <xf numFmtId="0" fontId="3" fillId="0" borderId="0"/>
    <xf numFmtId="0" fontId="2" fillId="0" borderId="0"/>
    <xf numFmtId="169" fontId="13" fillId="0" borderId="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cellStyleXfs>
  <cellXfs count="3435">
    <xf numFmtId="0" fontId="0" fillId="0" borderId="0" xfId="0"/>
    <xf numFmtId="0" fontId="0" fillId="0" borderId="0" xfId="0"/>
    <xf numFmtId="0" fontId="23" fillId="0" borderId="0" xfId="0" applyFont="1"/>
    <xf numFmtId="0" fontId="25" fillId="0" borderId="0" xfId="0" applyFont="1"/>
    <xf numFmtId="0" fontId="26" fillId="0" borderId="0" xfId="0" applyFont="1" applyAlignment="1">
      <alignment vertical="center"/>
    </xf>
    <xf numFmtId="0" fontId="23" fillId="0" borderId="0" xfId="0" applyFont="1" applyAlignment="1">
      <alignment vertical="center"/>
    </xf>
    <xf numFmtId="0" fontId="27" fillId="0" borderId="0" xfId="0" applyFont="1" applyAlignment="1">
      <alignment vertical="center"/>
    </xf>
    <xf numFmtId="0" fontId="28" fillId="0" borderId="0" xfId="0" applyFont="1"/>
    <xf numFmtId="0" fontId="29" fillId="0" borderId="0" xfId="0" applyFont="1"/>
    <xf numFmtId="0" fontId="29" fillId="0" borderId="0" xfId="0" applyFont="1" applyAlignment="1">
      <alignment vertical="center"/>
    </xf>
    <xf numFmtId="0" fontId="31" fillId="0" borderId="0" xfId="0" applyFont="1" applyAlignment="1">
      <alignment vertical="center"/>
    </xf>
    <xf numFmtId="0" fontId="28" fillId="0" borderId="0" xfId="0" applyFont="1" applyAlignment="1">
      <alignment vertical="center"/>
    </xf>
    <xf numFmtId="0" fontId="23" fillId="0" borderId="0" xfId="0" applyFont="1" applyAlignment="1">
      <alignment horizontal="left" vertical="center" wrapText="1"/>
    </xf>
    <xf numFmtId="0" fontId="25" fillId="0" borderId="0" xfId="0" applyFont="1" applyAlignment="1">
      <alignment horizontal="left" vertical="center" wrapText="1"/>
    </xf>
    <xf numFmtId="0" fontId="0" fillId="0" borderId="0" xfId="0" applyAlignment="1">
      <alignment vertical="center"/>
    </xf>
    <xf numFmtId="184" fontId="0" fillId="0" borderId="0" xfId="1" applyFont="1"/>
    <xf numFmtId="0" fontId="0" fillId="0" borderId="0" xfId="0" applyAlignment="1">
      <alignment horizontal="right"/>
    </xf>
    <xf numFmtId="0" fontId="0" fillId="0" borderId="0" xfId="0" applyFont="1" applyAlignment="1">
      <alignment vertical="center"/>
    </xf>
    <xf numFmtId="0" fontId="0" fillId="0" borderId="0" xfId="0" applyFont="1" applyAlignment="1">
      <alignment horizontal="left" vertical="center" wrapText="1"/>
    </xf>
    <xf numFmtId="0" fontId="0" fillId="0" borderId="0" xfId="0" applyFont="1"/>
    <xf numFmtId="0" fontId="31" fillId="0" borderId="0" xfId="0" applyFont="1" applyAlignment="1">
      <alignment horizontal="left" vertical="center" wrapText="1"/>
    </xf>
    <xf numFmtId="0" fontId="0" fillId="0" borderId="0" xfId="0" applyAlignment="1">
      <alignment horizontal="left" vertical="center" wrapText="1"/>
    </xf>
    <xf numFmtId="178" fontId="0" fillId="0" borderId="0" xfId="2" applyFont="1"/>
    <xf numFmtId="11" fontId="0" fillId="0" borderId="0" xfId="0" applyNumberFormat="1"/>
    <xf numFmtId="0" fontId="34" fillId="0" borderId="0" xfId="0" applyFont="1"/>
    <xf numFmtId="0" fontId="0" fillId="0" borderId="0" xfId="0" applyBorder="1" applyAlignment="1">
      <alignment vertical="center"/>
    </xf>
    <xf numFmtId="170" fontId="0" fillId="0" borderId="0" xfId="0" applyNumberFormat="1" applyBorder="1" applyAlignment="1">
      <alignment vertical="center"/>
    </xf>
    <xf numFmtId="0" fontId="0" fillId="0" borderId="1" xfId="0" applyBorder="1" applyAlignment="1">
      <alignment vertical="center"/>
    </xf>
    <xf numFmtId="0" fontId="32" fillId="0" borderId="2" xfId="0" applyFont="1" applyBorder="1" applyAlignment="1">
      <alignment horizontal="left" vertical="center"/>
    </xf>
    <xf numFmtId="0" fontId="32" fillId="0" borderId="2" xfId="0" applyFont="1" applyBorder="1" applyAlignment="1">
      <alignment horizontal="center" vertical="center"/>
    </xf>
    <xf numFmtId="0" fontId="37" fillId="0" borderId="0" xfId="0" applyFont="1" applyBorder="1" applyAlignment="1">
      <alignment horizontal="left" vertical="center"/>
    </xf>
    <xf numFmtId="0" fontId="37" fillId="0" borderId="1" xfId="0" applyFont="1" applyBorder="1" applyAlignment="1">
      <alignment horizontal="left" vertical="center"/>
    </xf>
    <xf numFmtId="0" fontId="0" fillId="0" borderId="0" xfId="0" applyFill="1" applyBorder="1" applyAlignment="1">
      <alignment vertical="center"/>
    </xf>
    <xf numFmtId="0" fontId="39" fillId="3" borderId="3" xfId="3" applyAlignment="1">
      <alignment horizontal="center" vertical="center"/>
    </xf>
    <xf numFmtId="0" fontId="0" fillId="0" borderId="0" xfId="0" applyBorder="1"/>
    <xf numFmtId="0" fontId="0" fillId="0" borderId="0" xfId="0" applyFill="1" applyBorder="1"/>
    <xf numFmtId="0" fontId="0" fillId="0" borderId="0" xfId="0"/>
    <xf numFmtId="0" fontId="35" fillId="0" borderId="0" xfId="0" applyFont="1"/>
    <xf numFmtId="11" fontId="0" fillId="0" borderId="0" xfId="0" applyNumberFormat="1" applyBorder="1" applyAlignment="1">
      <alignment vertical="center"/>
    </xf>
    <xf numFmtId="11" fontId="0" fillId="0" borderId="1" xfId="0" applyNumberFormat="1" applyBorder="1" applyAlignment="1">
      <alignment vertical="center"/>
    </xf>
    <xf numFmtId="170" fontId="0" fillId="0" borderId="0" xfId="2" applyNumberFormat="1" applyFont="1" applyAlignment="1">
      <alignment vertical="center"/>
    </xf>
    <xf numFmtId="0" fontId="0" fillId="0" borderId="0" xfId="0" applyFont="1" applyFill="1" applyBorder="1" applyAlignment="1">
      <alignment vertical="center"/>
    </xf>
    <xf numFmtId="0" fontId="0" fillId="0" borderId="0" xfId="0" applyFill="1" applyBorder="1" applyAlignment="1">
      <alignment horizontal="center" vertical="center"/>
    </xf>
    <xf numFmtId="0" fontId="0" fillId="0" borderId="0" xfId="0" applyBorder="1" applyAlignment="1">
      <alignment horizontal="right" vertical="center"/>
    </xf>
    <xf numFmtId="3" fontId="0" fillId="0" borderId="1" xfId="0" applyNumberFormat="1" applyBorder="1" applyAlignment="1">
      <alignment vertical="center"/>
    </xf>
    <xf numFmtId="0" fontId="32" fillId="0" borderId="8" xfId="0" applyFont="1" applyBorder="1" applyAlignment="1">
      <alignment horizontal="left" vertical="center"/>
    </xf>
    <xf numFmtId="175" fontId="0" fillId="0" borderId="0" xfId="2" applyNumberFormat="1" applyFont="1"/>
    <xf numFmtId="176" fontId="0" fillId="0" borderId="0" xfId="2" applyNumberFormat="1" applyFont="1"/>
    <xf numFmtId="0" fontId="32" fillId="0" borderId="2" xfId="0" applyFont="1" applyBorder="1" applyAlignment="1">
      <alignment horizontal="center" vertical="center"/>
    </xf>
    <xf numFmtId="0" fontId="42" fillId="0" borderId="0" xfId="4" applyNumberFormat="1"/>
    <xf numFmtId="0" fontId="32" fillId="0" borderId="0" xfId="0" applyFont="1"/>
    <xf numFmtId="0" fontId="0" fillId="0" borderId="0" xfId="0" applyAlignment="1">
      <alignment vertical="center"/>
    </xf>
    <xf numFmtId="0" fontId="0" fillId="0" borderId="0" xfId="0" applyAlignment="1">
      <alignment horizontal="left" vertical="center"/>
    </xf>
    <xf numFmtId="0" fontId="25" fillId="0" borderId="0" xfId="0" applyFont="1" applyAlignment="1">
      <alignment vertical="center"/>
    </xf>
    <xf numFmtId="0" fontId="44" fillId="0" borderId="0" xfId="0" applyFont="1"/>
    <xf numFmtId="0" fontId="44" fillId="0" borderId="0" xfId="0" applyFont="1" applyAlignment="1">
      <alignment vertical="center"/>
    </xf>
    <xf numFmtId="0" fontId="45" fillId="3" borderId="3" xfId="3" applyFont="1" applyAlignment="1">
      <alignment horizontal="left" vertical="center" indent="1"/>
    </xf>
    <xf numFmtId="0" fontId="0" fillId="0" borderId="6" xfId="0" applyBorder="1"/>
    <xf numFmtId="0" fontId="37" fillId="0" borderId="6" xfId="0" applyFont="1" applyFill="1" applyBorder="1" applyAlignment="1">
      <alignment horizontal="left" vertical="center"/>
    </xf>
    <xf numFmtId="170" fontId="0" fillId="0" borderId="6" xfId="0" applyNumberFormat="1" applyBorder="1"/>
    <xf numFmtId="0" fontId="0" fillId="6" borderId="0" xfId="0" applyFill="1" applyBorder="1" applyAlignment="1">
      <alignment vertical="center"/>
    </xf>
    <xf numFmtId="0" fontId="30" fillId="4" borderId="9" xfId="0" applyFont="1" applyFill="1" applyBorder="1" applyAlignment="1">
      <alignment vertical="center"/>
    </xf>
    <xf numFmtId="0" fontId="46" fillId="0" borderId="0" xfId="0" applyFont="1"/>
    <xf numFmtId="0" fontId="46" fillId="0" borderId="0" xfId="0" applyFont="1" applyAlignment="1">
      <alignment vertical="center"/>
    </xf>
    <xf numFmtId="0" fontId="0" fillId="4" borderId="10" xfId="0" applyNumberFormat="1" applyFill="1" applyBorder="1" applyAlignment="1">
      <alignment vertical="center"/>
    </xf>
    <xf numFmtId="0" fontId="0" fillId="4" borderId="10" xfId="0" applyFill="1" applyBorder="1" applyAlignment="1">
      <alignment vertical="center"/>
    </xf>
    <xf numFmtId="0" fontId="30" fillId="4" borderId="9" xfId="0" applyFont="1" applyFill="1" applyBorder="1" applyAlignment="1">
      <alignment horizontal="right" vertical="center"/>
    </xf>
    <xf numFmtId="0" fontId="30" fillId="4" borderId="11" xfId="0" applyFont="1" applyFill="1" applyBorder="1" applyAlignment="1">
      <alignment horizontal="right" vertical="center"/>
    </xf>
    <xf numFmtId="170" fontId="0" fillId="0" borderId="0" xfId="0" applyNumberFormat="1" applyAlignment="1">
      <alignment vertical="center"/>
    </xf>
    <xf numFmtId="0" fontId="22" fillId="4" borderId="0" xfId="0" applyFont="1" applyFill="1" applyBorder="1" applyAlignment="1">
      <alignment vertical="center"/>
    </xf>
    <xf numFmtId="184" fontId="0" fillId="4" borderId="10" xfId="1" applyFont="1" applyFill="1" applyBorder="1" applyAlignment="1">
      <alignment vertical="center"/>
    </xf>
    <xf numFmtId="177" fontId="0" fillId="4" borderId="10" xfId="1" applyNumberFormat="1" applyFont="1" applyFill="1" applyBorder="1" applyAlignment="1">
      <alignment vertical="center"/>
    </xf>
    <xf numFmtId="178" fontId="0" fillId="4" borderId="10" xfId="2" applyFont="1" applyFill="1" applyBorder="1" applyAlignment="1">
      <alignment vertical="center"/>
    </xf>
    <xf numFmtId="178" fontId="32" fillId="0" borderId="0" xfId="2" applyFont="1"/>
    <xf numFmtId="0" fontId="0" fillId="0" borderId="0" xfId="0" applyNumberFormat="1" applyAlignment="1">
      <alignment vertical="center"/>
    </xf>
    <xf numFmtId="0" fontId="0" fillId="0" borderId="0" xfId="0" applyBorder="1" applyAlignment="1">
      <alignment horizontal="left" vertical="center"/>
    </xf>
    <xf numFmtId="0" fontId="0" fillId="0" borderId="0" xfId="0" applyNumberFormat="1" applyBorder="1" applyAlignment="1">
      <alignment vertical="center"/>
    </xf>
    <xf numFmtId="0" fontId="47" fillId="0" borderId="0" xfId="0" applyFont="1"/>
    <xf numFmtId="0" fontId="0" fillId="4" borderId="14" xfId="0" applyNumberFormat="1" applyFill="1" applyBorder="1" applyAlignment="1">
      <alignment vertical="center"/>
    </xf>
    <xf numFmtId="0" fontId="0" fillId="4" borderId="14" xfId="0" applyFill="1" applyBorder="1" applyAlignment="1">
      <alignment vertical="center"/>
    </xf>
    <xf numFmtId="178" fontId="0" fillId="4" borderId="14" xfId="2" applyFont="1" applyFill="1" applyBorder="1" applyAlignment="1">
      <alignment vertical="center"/>
    </xf>
    <xf numFmtId="0" fontId="22" fillId="4" borderId="14" xfId="0" applyFont="1" applyFill="1" applyBorder="1" applyAlignment="1">
      <alignment vertical="center"/>
    </xf>
    <xf numFmtId="0" fontId="30" fillId="4" borderId="14" xfId="0" applyFont="1" applyFill="1" applyBorder="1" applyAlignment="1">
      <alignment vertical="center"/>
    </xf>
    <xf numFmtId="177" fontId="22" fillId="4" borderId="14" xfId="1" applyNumberFormat="1" applyFont="1" applyFill="1" applyBorder="1" applyAlignment="1">
      <alignment horizontal="right" vertical="center"/>
    </xf>
    <xf numFmtId="177" fontId="22" fillId="4" borderId="15" xfId="0" applyNumberFormat="1" applyFont="1" applyFill="1" applyBorder="1" applyAlignment="1">
      <alignment horizontal="right" vertical="center"/>
    </xf>
    <xf numFmtId="184" fontId="0" fillId="4" borderId="14" xfId="1" applyFont="1" applyFill="1" applyBorder="1" applyAlignment="1">
      <alignment vertical="center"/>
    </xf>
    <xf numFmtId="184" fontId="0" fillId="4" borderId="15" xfId="1" applyFont="1" applyFill="1" applyBorder="1" applyAlignment="1">
      <alignment vertical="center"/>
    </xf>
    <xf numFmtId="0" fontId="0" fillId="0" borderId="0" xfId="0" quotePrefix="1"/>
    <xf numFmtId="0" fontId="32" fillId="0" borderId="0" xfId="0" quotePrefix="1" applyFont="1"/>
    <xf numFmtId="0" fontId="26" fillId="0" borderId="0" xfId="0" applyFont="1"/>
    <xf numFmtId="178" fontId="23" fillId="0" borderId="0" xfId="2" applyFont="1"/>
    <xf numFmtId="177" fontId="23" fillId="0" borderId="0" xfId="1" applyNumberFormat="1" applyFont="1"/>
    <xf numFmtId="0" fontId="0" fillId="0" borderId="0" xfId="0" applyBorder="1" applyAlignment="1">
      <alignment horizontal="right"/>
    </xf>
    <xf numFmtId="0" fontId="35" fillId="0" borderId="0" xfId="0" applyFont="1" applyFill="1" applyBorder="1" applyAlignment="1">
      <alignment vertical="center"/>
    </xf>
    <xf numFmtId="0" fontId="0" fillId="4" borderId="0" xfId="0" applyNumberFormat="1" applyFill="1" applyBorder="1" applyAlignment="1">
      <alignment vertical="center"/>
    </xf>
    <xf numFmtId="0" fontId="0" fillId="4" borderId="0" xfId="0" applyFill="1" applyBorder="1" applyAlignment="1">
      <alignment vertical="center"/>
    </xf>
    <xf numFmtId="0" fontId="0" fillId="4" borderId="7" xfId="0" applyFill="1" applyBorder="1" applyAlignment="1">
      <alignment vertical="center"/>
    </xf>
    <xf numFmtId="178" fontId="0" fillId="0" borderId="0" xfId="2" applyFont="1" applyAlignment="1">
      <alignment vertical="center"/>
    </xf>
    <xf numFmtId="178" fontId="0" fillId="4" borderId="0" xfId="2" applyFont="1" applyFill="1" applyBorder="1" applyAlignment="1">
      <alignment vertical="center"/>
    </xf>
    <xf numFmtId="0" fontId="0" fillId="0" borderId="0" xfId="0" applyAlignment="1">
      <alignment horizontal="center" vertical="center"/>
    </xf>
    <xf numFmtId="179" fontId="0" fillId="0" borderId="0" xfId="2" applyNumberFormat="1" applyFont="1" applyAlignment="1">
      <alignment vertical="center"/>
    </xf>
    <xf numFmtId="178" fontId="0" fillId="4" borderId="10" xfId="2" applyFont="1" applyFill="1" applyBorder="1" applyAlignment="1">
      <alignment horizontal="right" vertical="center"/>
    </xf>
    <xf numFmtId="0" fontId="0" fillId="4" borderId="0" xfId="0" applyFill="1" applyBorder="1"/>
    <xf numFmtId="0" fontId="32" fillId="4" borderId="0" xfId="0" applyFont="1" applyFill="1" applyBorder="1"/>
    <xf numFmtId="0" fontId="0" fillId="4" borderId="0" xfId="0" applyFill="1" applyBorder="1" applyAlignment="1">
      <alignment horizontal="right"/>
    </xf>
    <xf numFmtId="0" fontId="0" fillId="4" borderId="0" xfId="0" applyNumberFormat="1" applyFill="1" applyBorder="1"/>
    <xf numFmtId="0" fontId="32" fillId="4" borderId="0" xfId="0" applyNumberFormat="1" applyFont="1" applyFill="1" applyBorder="1" applyAlignment="1">
      <alignment vertical="center"/>
    </xf>
    <xf numFmtId="178" fontId="22" fillId="4" borderId="0" xfId="2" applyFont="1" applyFill="1" applyBorder="1" applyAlignment="1">
      <alignment horizontal="right" vertical="center"/>
    </xf>
    <xf numFmtId="0" fontId="22" fillId="4" borderId="1" xfId="0" applyFont="1" applyFill="1" applyBorder="1" applyAlignment="1">
      <alignment vertical="center"/>
    </xf>
    <xf numFmtId="178" fontId="22" fillId="4" borderId="1" xfId="2" applyFont="1" applyFill="1" applyBorder="1" applyAlignment="1">
      <alignment horizontal="right" vertical="center"/>
    </xf>
    <xf numFmtId="0" fontId="0" fillId="0" borderId="0" xfId="0" quotePrefix="1" applyFont="1"/>
    <xf numFmtId="0" fontId="0" fillId="4" borderId="1" xfId="0" applyNumberFormat="1" applyFill="1" applyBorder="1" applyAlignment="1">
      <alignment vertical="center"/>
    </xf>
    <xf numFmtId="0" fontId="0" fillId="4" borderId="1" xfId="0" applyFill="1" applyBorder="1" applyAlignment="1">
      <alignment vertical="center"/>
    </xf>
    <xf numFmtId="0" fontId="35" fillId="0" borderId="0" xfId="0" applyFont="1" applyAlignment="1">
      <alignment vertical="center"/>
    </xf>
    <xf numFmtId="178" fontId="0" fillId="4" borderId="15" xfId="2" applyFont="1" applyFill="1" applyBorder="1" applyAlignment="1">
      <alignment vertical="center"/>
    </xf>
    <xf numFmtId="178" fontId="0" fillId="4" borderId="0" xfId="2" applyNumberFormat="1" applyFont="1" applyFill="1" applyBorder="1" applyAlignment="1">
      <alignment vertical="center"/>
    </xf>
    <xf numFmtId="177" fontId="0" fillId="4" borderId="0" xfId="1" applyNumberFormat="1" applyFont="1" applyFill="1" applyBorder="1" applyAlignment="1">
      <alignment vertical="center"/>
    </xf>
    <xf numFmtId="0" fontId="0" fillId="0" borderId="0" xfId="0" applyAlignment="1">
      <alignment horizontal="center" vertical="center" wrapText="1"/>
    </xf>
    <xf numFmtId="0" fontId="32" fillId="6" borderId="9" xfId="0" applyFont="1" applyFill="1" applyBorder="1" applyAlignment="1">
      <alignment vertical="center"/>
    </xf>
    <xf numFmtId="0" fontId="30" fillId="4" borderId="9" xfId="0" applyNumberFormat="1" applyFont="1" applyFill="1" applyBorder="1" applyAlignment="1">
      <alignment horizontal="right" vertical="center"/>
    </xf>
    <xf numFmtId="0" fontId="30" fillId="4" borderId="11" xfId="0" applyNumberFormat="1" applyFont="1" applyFill="1" applyBorder="1" applyAlignment="1">
      <alignment horizontal="right" vertical="center"/>
    </xf>
    <xf numFmtId="0" fontId="30" fillId="4" borderId="16" xfId="0" applyNumberFormat="1" applyFont="1" applyFill="1" applyBorder="1" applyAlignment="1">
      <alignment horizontal="right" vertical="center"/>
    </xf>
    <xf numFmtId="0" fontId="30" fillId="4" borderId="17" xfId="0" applyNumberFormat="1" applyFont="1" applyFill="1" applyBorder="1" applyAlignment="1">
      <alignment horizontal="right" vertical="center"/>
    </xf>
    <xf numFmtId="180" fontId="0" fillId="4" borderId="0" xfId="2" applyNumberFormat="1" applyFont="1" applyFill="1" applyBorder="1" applyAlignment="1">
      <alignment horizontal="right" vertical="center"/>
    </xf>
    <xf numFmtId="0" fontId="32" fillId="0" borderId="2" xfId="0" applyFont="1" applyBorder="1" applyAlignment="1">
      <alignment horizontal="right" vertical="center"/>
    </xf>
    <xf numFmtId="0" fontId="32" fillId="0" borderId="8" xfId="0" applyFont="1" applyBorder="1" applyAlignment="1">
      <alignment horizontal="right" vertical="center"/>
    </xf>
    <xf numFmtId="0" fontId="0" fillId="4" borderId="0" xfId="0" applyNumberFormat="1" applyFill="1" applyBorder="1" applyAlignment="1">
      <alignment horizontal="right" vertical="center"/>
    </xf>
    <xf numFmtId="0" fontId="0" fillId="6" borderId="14" xfId="0" applyFill="1" applyBorder="1" applyAlignment="1">
      <alignment vertical="center"/>
    </xf>
    <xf numFmtId="0" fontId="0" fillId="6" borderId="0" xfId="0" applyFont="1" applyFill="1" applyBorder="1" applyAlignment="1">
      <alignment vertical="center"/>
    </xf>
    <xf numFmtId="178" fontId="0" fillId="6" borderId="0" xfId="2" applyFont="1" applyFill="1" applyBorder="1" applyAlignment="1">
      <alignment vertical="center"/>
    </xf>
    <xf numFmtId="0" fontId="25" fillId="0" borderId="0" xfId="0" applyFont="1" applyAlignment="1">
      <alignment horizontal="left" vertical="center"/>
    </xf>
    <xf numFmtId="10" fontId="0" fillId="0" borderId="0" xfId="0" applyNumberFormat="1"/>
    <xf numFmtId="177" fontId="0" fillId="4" borderId="0" xfId="0" applyNumberFormat="1" applyFill="1" applyBorder="1" applyAlignment="1">
      <alignment vertical="center"/>
    </xf>
    <xf numFmtId="0" fontId="0" fillId="4" borderId="10" xfId="0" applyNumberFormat="1" applyFont="1" applyFill="1" applyBorder="1" applyAlignment="1">
      <alignment vertical="center"/>
    </xf>
    <xf numFmtId="0" fontId="0" fillId="4" borderId="10" xfId="0" applyFont="1" applyFill="1" applyBorder="1" applyAlignment="1">
      <alignment vertical="center"/>
    </xf>
    <xf numFmtId="0" fontId="0" fillId="4" borderId="0" xfId="0" applyFont="1" applyFill="1" applyBorder="1" applyAlignment="1">
      <alignment vertical="center"/>
    </xf>
    <xf numFmtId="177" fontId="0" fillId="4" borderId="0" xfId="1" applyNumberFormat="1" applyFont="1" applyFill="1" applyBorder="1" applyAlignment="1">
      <alignment horizontal="right" vertical="center"/>
    </xf>
    <xf numFmtId="178" fontId="0" fillId="4" borderId="0" xfId="2" applyFont="1" applyFill="1" applyBorder="1" applyAlignment="1">
      <alignment horizontal="right" vertical="center"/>
    </xf>
    <xf numFmtId="177" fontId="0" fillId="4" borderId="12" xfId="0" applyNumberFormat="1" applyFont="1" applyFill="1" applyBorder="1" applyAlignment="1">
      <alignment horizontal="right" vertical="center"/>
    </xf>
    <xf numFmtId="177" fontId="0" fillId="4" borderId="13" xfId="0" applyNumberFormat="1" applyFont="1" applyFill="1" applyBorder="1" applyAlignment="1">
      <alignment vertical="center"/>
    </xf>
    <xf numFmtId="0" fontId="30" fillId="0" borderId="0" xfId="0" applyFont="1"/>
    <xf numFmtId="178" fontId="35" fillId="0" borderId="0" xfId="2" applyFont="1"/>
    <xf numFmtId="0" fontId="0" fillId="0" borderId="0" xfId="0" applyAlignment="1">
      <alignment horizontal="center"/>
    </xf>
    <xf numFmtId="0" fontId="25" fillId="2" borderId="25" xfId="0" applyFont="1" applyFill="1" applyBorder="1" applyAlignment="1">
      <alignment vertical="center"/>
    </xf>
    <xf numFmtId="0" fontId="53" fillId="0" borderId="0" xfId="0" applyFont="1" applyAlignment="1">
      <alignment horizontal="center" vertical="center"/>
    </xf>
    <xf numFmtId="0" fontId="50" fillId="0" borderId="0" xfId="0" applyFont="1"/>
    <xf numFmtId="3" fontId="0" fillId="0" borderId="0" xfId="0" applyNumberFormat="1" applyBorder="1" applyAlignment="1">
      <alignment vertical="center"/>
    </xf>
    <xf numFmtId="0" fontId="0" fillId="0" borderId="0" xfId="0" applyFont="1" applyBorder="1" applyAlignment="1">
      <alignment horizontal="left" vertical="center"/>
    </xf>
    <xf numFmtId="0" fontId="0" fillId="0" borderId="7" xfId="0" applyFont="1" applyBorder="1" applyAlignment="1">
      <alignment horizontal="left" vertical="center"/>
    </xf>
    <xf numFmtId="0" fontId="0" fillId="0" borderId="0" xfId="0" applyAlignment="1">
      <alignment horizontal="right" vertical="center"/>
    </xf>
    <xf numFmtId="0" fontId="0" fillId="4" borderId="32" xfId="0" applyFill="1" applyBorder="1"/>
    <xf numFmtId="0" fontId="0" fillId="4" borderId="33" xfId="0" applyFill="1" applyBorder="1"/>
    <xf numFmtId="0" fontId="25" fillId="4" borderId="32" xfId="0" applyFont="1" applyFill="1" applyBorder="1"/>
    <xf numFmtId="0" fontId="25" fillId="4" borderId="32" xfId="0" applyFont="1" applyFill="1" applyBorder="1" applyAlignment="1">
      <alignment vertical="center"/>
    </xf>
    <xf numFmtId="0" fontId="0" fillId="4" borderId="33" xfId="0" applyFill="1" applyBorder="1" applyAlignment="1">
      <alignment vertical="center"/>
    </xf>
    <xf numFmtId="0" fontId="0" fillId="4" borderId="32" xfId="0" applyFont="1" applyFill="1" applyBorder="1"/>
    <xf numFmtId="0" fontId="0" fillId="4" borderId="30" xfId="0" applyFill="1" applyBorder="1"/>
    <xf numFmtId="0" fontId="0" fillId="4" borderId="23" xfId="0" applyFill="1" applyBorder="1"/>
    <xf numFmtId="0" fontId="0" fillId="4" borderId="31" xfId="0" applyFill="1" applyBorder="1"/>
    <xf numFmtId="0" fontId="0" fillId="7" borderId="25" xfId="0" applyFill="1" applyBorder="1" applyAlignment="1">
      <alignment vertical="center"/>
    </xf>
    <xf numFmtId="0" fontId="0" fillId="7" borderId="27" xfId="0" applyFill="1" applyBorder="1" applyAlignment="1">
      <alignment vertical="center"/>
    </xf>
    <xf numFmtId="0" fontId="26" fillId="7" borderId="25" xfId="0" applyFont="1" applyFill="1" applyBorder="1" applyAlignment="1">
      <alignment vertical="center"/>
    </xf>
    <xf numFmtId="0" fontId="56" fillId="0" borderId="0" xfId="0" applyFont="1" applyAlignment="1">
      <alignment vertical="center"/>
    </xf>
    <xf numFmtId="0" fontId="56" fillId="0" borderId="0" xfId="0" applyFont="1"/>
    <xf numFmtId="0" fontId="0" fillId="6" borderId="32" xfId="0" applyFill="1" applyBorder="1"/>
    <xf numFmtId="0" fontId="0" fillId="6" borderId="0" xfId="0" applyFont="1" applyFill="1" applyBorder="1"/>
    <xf numFmtId="0" fontId="0" fillId="6" borderId="0" xfId="0" applyFill="1" applyBorder="1"/>
    <xf numFmtId="0" fontId="0" fillId="6" borderId="0" xfId="0" applyFill="1" applyBorder="1" applyAlignment="1">
      <alignment horizontal="right"/>
    </xf>
    <xf numFmtId="0" fontId="0" fillId="6" borderId="33" xfId="0" applyFill="1" applyBorder="1"/>
    <xf numFmtId="0" fontId="25" fillId="6" borderId="32" xfId="0" applyFont="1" applyFill="1" applyBorder="1"/>
    <xf numFmtId="0" fontId="25" fillId="6" borderId="30" xfId="0" applyFont="1" applyFill="1" applyBorder="1"/>
    <xf numFmtId="0" fontId="0" fillId="6" borderId="23" xfId="0" applyFill="1" applyBorder="1" applyAlignment="1">
      <alignment vertical="center"/>
    </xf>
    <xf numFmtId="0" fontId="0" fillId="6" borderId="23" xfId="0" applyFill="1" applyBorder="1"/>
    <xf numFmtId="0" fontId="0" fillId="6" borderId="31" xfId="0" applyFill="1" applyBorder="1"/>
    <xf numFmtId="0" fontId="26" fillId="9" borderId="25" xfId="0" applyFont="1" applyFill="1" applyBorder="1" applyAlignment="1">
      <alignment vertical="center"/>
    </xf>
    <xf numFmtId="0" fontId="0" fillId="9" borderId="25" xfId="0" applyFill="1" applyBorder="1"/>
    <xf numFmtId="0" fontId="0" fillId="9" borderId="25" xfId="0" applyFill="1" applyBorder="1" applyAlignment="1">
      <alignment horizontal="right"/>
    </xf>
    <xf numFmtId="0" fontId="0" fillId="9" borderId="27" xfId="0" applyFill="1" applyBorder="1"/>
    <xf numFmtId="0" fontId="32" fillId="6" borderId="0" xfId="0" applyFont="1" applyFill="1" applyBorder="1"/>
    <xf numFmtId="0" fontId="25" fillId="6" borderId="32" xfId="0" applyFont="1" applyFill="1" applyBorder="1" applyAlignment="1">
      <alignment vertical="center"/>
    </xf>
    <xf numFmtId="0" fontId="22" fillId="6" borderId="0" xfId="0" applyFont="1" applyFill="1" applyBorder="1" applyAlignment="1">
      <alignment vertical="center"/>
    </xf>
    <xf numFmtId="0" fontId="0" fillId="6" borderId="33" xfId="0" applyFill="1" applyBorder="1" applyAlignment="1">
      <alignment vertical="center"/>
    </xf>
    <xf numFmtId="0" fontId="0" fillId="6" borderId="30" xfId="0" applyFill="1" applyBorder="1"/>
    <xf numFmtId="0" fontId="26" fillId="10" borderId="25" xfId="0" applyFont="1" applyFill="1" applyBorder="1" applyAlignment="1">
      <alignment vertical="center"/>
    </xf>
    <xf numFmtId="0" fontId="0" fillId="10" borderId="25" xfId="0" applyFill="1" applyBorder="1"/>
    <xf numFmtId="0" fontId="0" fillId="10" borderId="27" xfId="0" applyFill="1" applyBorder="1"/>
    <xf numFmtId="0" fontId="32" fillId="5" borderId="0" xfId="0" applyFont="1" applyFill="1" applyBorder="1"/>
    <xf numFmtId="0" fontId="0" fillId="5" borderId="0" xfId="0" applyFill="1" applyBorder="1"/>
    <xf numFmtId="0" fontId="0" fillId="5" borderId="0" xfId="0" applyFill="1" applyBorder="1" applyAlignment="1">
      <alignment horizontal="right"/>
    </xf>
    <xf numFmtId="0" fontId="0" fillId="5" borderId="0" xfId="0" applyFill="1" applyBorder="1" applyAlignment="1">
      <alignment vertical="center"/>
    </xf>
    <xf numFmtId="0" fontId="0" fillId="5" borderId="28" xfId="0" applyFill="1" applyBorder="1"/>
    <xf numFmtId="0" fontId="0" fillId="5" borderId="24" xfId="0" applyFill="1" applyBorder="1"/>
    <xf numFmtId="0" fontId="0" fillId="5" borderId="29" xfId="0" applyFill="1" applyBorder="1"/>
    <xf numFmtId="0" fontId="0" fillId="5" borderId="32" xfId="0" applyFill="1" applyBorder="1"/>
    <xf numFmtId="0" fontId="0" fillId="5" borderId="33" xfId="0" applyFill="1" applyBorder="1"/>
    <xf numFmtId="0" fontId="25" fillId="5" borderId="32" xfId="0" applyFont="1" applyFill="1" applyBorder="1"/>
    <xf numFmtId="0" fontId="0" fillId="5" borderId="0" xfId="0" applyNumberFormat="1" applyFill="1" applyBorder="1" applyAlignment="1">
      <alignment vertical="center"/>
    </xf>
    <xf numFmtId="178" fontId="0" fillId="5" borderId="0" xfId="2" applyFont="1" applyFill="1" applyBorder="1" applyAlignment="1">
      <alignment vertical="center"/>
    </xf>
    <xf numFmtId="0" fontId="0" fillId="4" borderId="24" xfId="0" applyFill="1" applyBorder="1"/>
    <xf numFmtId="0" fontId="0" fillId="4" borderId="29" xfId="0" applyFill="1" applyBorder="1"/>
    <xf numFmtId="0" fontId="42" fillId="4" borderId="32" xfId="4" applyNumberFormat="1" applyFill="1" applyBorder="1"/>
    <xf numFmtId="0" fontId="38" fillId="4" borderId="0" xfId="4" applyNumberFormat="1" applyFont="1" applyFill="1" applyBorder="1" applyAlignment="1">
      <alignment horizontal="right"/>
    </xf>
    <xf numFmtId="0" fontId="38" fillId="4" borderId="0" xfId="4" applyNumberFormat="1" applyFont="1" applyFill="1" applyBorder="1" applyAlignment="1">
      <alignment horizontal="left"/>
    </xf>
    <xf numFmtId="0" fontId="42" fillId="4" borderId="0" xfId="4" applyNumberFormat="1" applyFill="1" applyBorder="1"/>
    <xf numFmtId="0" fontId="42" fillId="4" borderId="33" xfId="4" applyNumberFormat="1" applyFill="1" applyBorder="1"/>
    <xf numFmtId="0" fontId="38" fillId="4" borderId="0" xfId="4" applyNumberFormat="1" applyFont="1" applyFill="1" applyBorder="1"/>
    <xf numFmtId="0" fontId="26" fillId="9" borderId="26" xfId="0" applyFont="1" applyFill="1" applyBorder="1" applyAlignment="1">
      <alignment horizontal="left" vertical="center" indent="1"/>
    </xf>
    <xf numFmtId="0" fontId="0" fillId="6" borderId="30" xfId="0" applyFill="1" applyBorder="1" applyAlignment="1">
      <alignment horizontal="left" indent="1"/>
    </xf>
    <xf numFmtId="0" fontId="0" fillId="0" borderId="0" xfId="0" applyAlignment="1">
      <alignment horizontal="left" indent="1"/>
    </xf>
    <xf numFmtId="0" fontId="26" fillId="7" borderId="26" xfId="0" applyFont="1" applyFill="1" applyBorder="1" applyAlignment="1">
      <alignment horizontal="left" vertical="center" indent="1"/>
    </xf>
    <xf numFmtId="0" fontId="0" fillId="4" borderId="28" xfId="0" applyFill="1" applyBorder="1" applyAlignment="1">
      <alignment horizontal="left" indent="1"/>
    </xf>
    <xf numFmtId="0" fontId="0" fillId="4" borderId="32" xfId="0" applyFill="1" applyBorder="1" applyAlignment="1">
      <alignment horizontal="left" indent="1"/>
    </xf>
    <xf numFmtId="0" fontId="25" fillId="4" borderId="32" xfId="0" applyFont="1" applyFill="1" applyBorder="1" applyAlignment="1">
      <alignment horizontal="left" indent="1"/>
    </xf>
    <xf numFmtId="0" fontId="25" fillId="4" borderId="32" xfId="0" applyFont="1" applyFill="1" applyBorder="1" applyAlignment="1">
      <alignment horizontal="left" vertical="center" indent="1"/>
    </xf>
    <xf numFmtId="0" fontId="0" fillId="4" borderId="32" xfId="0" applyFont="1" applyFill="1" applyBorder="1" applyAlignment="1">
      <alignment horizontal="left" indent="1"/>
    </xf>
    <xf numFmtId="0" fontId="32" fillId="4" borderId="32" xfId="0" applyFont="1" applyFill="1" applyBorder="1" applyAlignment="1">
      <alignment horizontal="left" indent="1"/>
    </xf>
    <xf numFmtId="0" fontId="26" fillId="10" borderId="26" xfId="0" applyFont="1" applyFill="1" applyBorder="1" applyAlignment="1">
      <alignment horizontal="left" vertical="center" indent="1"/>
    </xf>
    <xf numFmtId="0" fontId="42" fillId="4" borderId="0" xfId="4" applyNumberFormat="1" applyFill="1" applyBorder="1" applyAlignment="1">
      <alignment horizontal="right"/>
    </xf>
    <xf numFmtId="9" fontId="0" fillId="4" borderId="0" xfId="0" applyNumberFormat="1" applyFill="1" applyBorder="1" applyAlignment="1">
      <alignment vertical="center"/>
    </xf>
    <xf numFmtId="0" fontId="42" fillId="4" borderId="0" xfId="4" applyNumberFormat="1" applyFill="1" applyBorder="1" applyAlignment="1">
      <alignment horizontal="left"/>
    </xf>
    <xf numFmtId="178" fontId="22" fillId="6" borderId="0" xfId="2" applyFont="1" applyFill="1" applyBorder="1" applyAlignment="1">
      <alignment vertical="center"/>
    </xf>
    <xf numFmtId="0" fontId="30" fillId="5" borderId="8" xfId="0" applyFont="1" applyFill="1" applyBorder="1" applyAlignment="1">
      <alignment vertical="center"/>
    </xf>
    <xf numFmtId="181" fontId="0" fillId="4" borderId="0" xfId="2" applyNumberFormat="1" applyFont="1" applyFill="1" applyBorder="1" applyAlignment="1">
      <alignment vertical="center"/>
    </xf>
    <xf numFmtId="178" fontId="0" fillId="5" borderId="0" xfId="0" applyNumberFormat="1" applyFont="1" applyFill="1" applyBorder="1" applyAlignment="1">
      <alignment vertical="center"/>
    </xf>
    <xf numFmtId="0" fontId="42" fillId="6" borderId="23" xfId="4" applyNumberFormat="1" applyFill="1" applyBorder="1" applyAlignment="1">
      <alignment horizontal="right" vertical="center"/>
    </xf>
    <xf numFmtId="0" fontId="42" fillId="6" borderId="23" xfId="4" applyNumberFormat="1" applyFill="1" applyBorder="1" applyAlignment="1">
      <alignment vertical="center"/>
    </xf>
    <xf numFmtId="0" fontId="0" fillId="6" borderId="1" xfId="0" applyFill="1" applyBorder="1" applyAlignment="1">
      <alignment vertical="center"/>
    </xf>
    <xf numFmtId="0" fontId="30" fillId="4" borderId="0" xfId="0" applyNumberFormat="1" applyFont="1" applyFill="1" applyBorder="1" applyAlignment="1">
      <alignment horizontal="right" vertical="center"/>
    </xf>
    <xf numFmtId="0" fontId="0" fillId="4" borderId="1" xfId="0" applyFill="1" applyBorder="1"/>
    <xf numFmtId="0" fontId="40" fillId="0" borderId="0" xfId="6"/>
    <xf numFmtId="0" fontId="30" fillId="4" borderId="9" xfId="0" applyNumberFormat="1" applyFont="1" applyFill="1" applyBorder="1" applyAlignment="1">
      <alignment horizontal="center" vertical="center"/>
    </xf>
    <xf numFmtId="178" fontId="0" fillId="6" borderId="0" xfId="0" applyNumberFormat="1" applyFont="1" applyFill="1" applyBorder="1" applyAlignment="1">
      <alignment vertical="center"/>
    </xf>
    <xf numFmtId="0" fontId="38" fillId="0" borderId="0" xfId="0" applyFont="1"/>
    <xf numFmtId="0" fontId="32" fillId="0" borderId="0" xfId="0" applyFont="1" applyAlignment="1">
      <alignment horizontal="center" vertical="center"/>
    </xf>
    <xf numFmtId="0" fontId="30" fillId="4" borderId="35" xfId="0" applyFont="1" applyFill="1" applyBorder="1" applyAlignment="1">
      <alignment horizontal="right" vertical="center"/>
    </xf>
    <xf numFmtId="177" fontId="22" fillId="4" borderId="19" xfId="1" applyNumberFormat="1" applyFont="1" applyFill="1" applyBorder="1" applyAlignment="1">
      <alignment horizontal="right" vertical="center"/>
    </xf>
    <xf numFmtId="184" fontId="0" fillId="4" borderId="19" xfId="1" applyFont="1" applyFill="1" applyBorder="1" applyAlignment="1">
      <alignment vertical="center"/>
    </xf>
    <xf numFmtId="178" fontId="0" fillId="4" borderId="19" xfId="2" applyFont="1" applyFill="1" applyBorder="1" applyAlignment="1">
      <alignment vertical="center"/>
    </xf>
    <xf numFmtId="0" fontId="30" fillId="4" borderId="35" xfId="0" applyNumberFormat="1" applyFont="1" applyFill="1" applyBorder="1" applyAlignment="1">
      <alignment horizontal="right" vertical="center"/>
    </xf>
    <xf numFmtId="0" fontId="0" fillId="4" borderId="0" xfId="0" applyFont="1" applyFill="1" applyBorder="1"/>
    <xf numFmtId="0" fontId="32" fillId="0" borderId="9" xfId="0" applyFont="1" applyFill="1" applyBorder="1" applyAlignment="1">
      <alignment horizontal="center" vertical="center"/>
    </xf>
    <xf numFmtId="0" fontId="0" fillId="0" borderId="1" xfId="0" applyBorder="1"/>
    <xf numFmtId="0" fontId="0" fillId="0" borderId="0" xfId="0" applyFill="1"/>
    <xf numFmtId="0" fontId="0" fillId="0" borderId="0" xfId="0" applyFont="1" applyBorder="1"/>
    <xf numFmtId="0" fontId="0" fillId="0" borderId="0" xfId="0" applyBorder="1" applyAlignment="1">
      <alignment horizontal="left" vertical="center" wrapText="1"/>
    </xf>
    <xf numFmtId="178" fontId="0" fillId="0" borderId="0" xfId="2" applyFont="1" applyBorder="1" applyAlignment="1">
      <alignment vertical="center"/>
    </xf>
    <xf numFmtId="184" fontId="32" fillId="4" borderId="0" xfId="1" applyFont="1" applyFill="1" applyBorder="1" applyAlignment="1">
      <alignment vertical="center"/>
    </xf>
    <xf numFmtId="184" fontId="32" fillId="4" borderId="0" xfId="1" applyFont="1" applyFill="1" applyBorder="1" applyAlignment="1">
      <alignment horizontal="right" vertical="center"/>
    </xf>
    <xf numFmtId="0" fontId="0" fillId="4" borderId="0" xfId="0" applyNumberFormat="1" applyFill="1" applyBorder="1" applyAlignment="1">
      <alignment horizontal="left" vertical="center"/>
    </xf>
    <xf numFmtId="0" fontId="0" fillId="0" borderId="0" xfId="0" applyFont="1" applyAlignment="1">
      <alignment horizontal="left"/>
    </xf>
    <xf numFmtId="181" fontId="0" fillId="0" borderId="0" xfId="2" applyNumberFormat="1" applyFont="1"/>
    <xf numFmtId="9" fontId="0" fillId="4" borderId="7" xfId="0" applyNumberFormat="1" applyFill="1" applyBorder="1" applyAlignment="1">
      <alignment vertical="center"/>
    </xf>
    <xf numFmtId="0" fontId="0" fillId="4" borderId="8" xfId="0" applyFill="1" applyBorder="1" applyAlignment="1">
      <alignment vertical="center"/>
    </xf>
    <xf numFmtId="9" fontId="0" fillId="4" borderId="8" xfId="0" applyNumberFormat="1" applyFill="1" applyBorder="1" applyAlignment="1">
      <alignment vertical="center"/>
    </xf>
    <xf numFmtId="184" fontId="38" fillId="4" borderId="7" xfId="1" applyFont="1" applyFill="1" applyBorder="1" applyAlignment="1">
      <alignment vertical="center"/>
    </xf>
    <xf numFmtId="184" fontId="38" fillId="4" borderId="0" xfId="1" applyFont="1" applyFill="1" applyBorder="1" applyAlignment="1">
      <alignment vertical="center"/>
    </xf>
    <xf numFmtId="184" fontId="38" fillId="4" borderId="8" xfId="1" applyFont="1" applyFill="1" applyBorder="1" applyAlignment="1">
      <alignment vertical="center"/>
    </xf>
    <xf numFmtId="184" fontId="38" fillId="4" borderId="21" xfId="1" applyFont="1" applyFill="1" applyBorder="1" applyAlignment="1">
      <alignment vertical="center"/>
    </xf>
    <xf numFmtId="184" fontId="38" fillId="4" borderId="12" xfId="1" applyFont="1" applyFill="1" applyBorder="1" applyAlignment="1">
      <alignment vertical="center"/>
    </xf>
    <xf numFmtId="184" fontId="38" fillId="4" borderId="18" xfId="1" applyFont="1" applyFill="1" applyBorder="1" applyAlignment="1">
      <alignment vertical="center"/>
    </xf>
    <xf numFmtId="179" fontId="0" fillId="0" borderId="0" xfId="2" applyNumberFormat="1" applyFont="1"/>
    <xf numFmtId="0" fontId="0" fillId="0" borderId="0" xfId="0" applyFont="1" applyBorder="1" applyAlignment="1">
      <alignment horizontal="left" vertical="center" wrapText="1"/>
    </xf>
    <xf numFmtId="179" fontId="0" fillId="4" borderId="1" xfId="2" applyNumberFormat="1" applyFont="1" applyFill="1" applyBorder="1" applyAlignment="1">
      <alignment vertical="center"/>
    </xf>
    <xf numFmtId="181" fontId="0" fillId="4" borderId="10" xfId="2" applyNumberFormat="1" applyFont="1" applyFill="1" applyBorder="1" applyAlignment="1">
      <alignment horizontal="right" vertical="center"/>
    </xf>
    <xf numFmtId="0" fontId="0" fillId="4" borderId="0" xfId="0" applyFill="1" applyBorder="1" applyAlignment="1">
      <alignment horizontal="left"/>
    </xf>
    <xf numFmtId="0" fontId="0" fillId="2" borderId="0" xfId="0" applyFill="1" applyBorder="1" applyAlignment="1">
      <alignment vertical="center"/>
    </xf>
    <xf numFmtId="0" fontId="32" fillId="6" borderId="0" xfId="0" applyFont="1" applyFill="1" applyBorder="1" applyAlignment="1">
      <alignment vertical="center"/>
    </xf>
    <xf numFmtId="178" fontId="42" fillId="6" borderId="0" xfId="4" applyNumberFormat="1" applyFill="1" applyBorder="1"/>
    <xf numFmtId="0" fontId="0" fillId="2" borderId="0" xfId="0" applyFill="1" applyBorder="1"/>
    <xf numFmtId="179" fontId="25" fillId="0" borderId="0" xfId="2" applyNumberFormat="1" applyFont="1" applyAlignment="1">
      <alignment vertical="center"/>
    </xf>
    <xf numFmtId="0" fontId="35" fillId="2" borderId="0" xfId="0" applyFont="1" applyFill="1" applyBorder="1" applyAlignment="1">
      <alignment vertical="center"/>
    </xf>
    <xf numFmtId="0" fontId="0" fillId="2" borderId="0" xfId="0" applyFill="1"/>
    <xf numFmtId="0" fontId="0" fillId="2" borderId="0" xfId="0" applyFill="1" applyAlignment="1">
      <alignment vertical="center"/>
    </xf>
    <xf numFmtId="0" fontId="35" fillId="2" borderId="0" xfId="0" applyFont="1" applyFill="1" applyAlignment="1">
      <alignment vertical="center"/>
    </xf>
    <xf numFmtId="179" fontId="25" fillId="2" borderId="0" xfId="2" applyNumberFormat="1" applyFont="1" applyFill="1" applyAlignment="1">
      <alignment vertical="center"/>
    </xf>
    <xf numFmtId="0" fontId="25" fillId="2" borderId="0" xfId="0" applyFont="1" applyFill="1" applyAlignment="1">
      <alignment vertical="center"/>
    </xf>
    <xf numFmtId="0" fontId="25" fillId="2" borderId="0" xfId="0" applyFont="1" applyFill="1" applyAlignment="1">
      <alignment horizontal="right" vertical="center"/>
    </xf>
    <xf numFmtId="0" fontId="0" fillId="2" borderId="7" xfId="0" applyFill="1" applyBorder="1" applyAlignment="1">
      <alignment vertical="center"/>
    </xf>
    <xf numFmtId="0" fontId="0" fillId="2" borderId="1" xfId="0" applyFill="1" applyBorder="1" applyAlignment="1">
      <alignment vertical="center"/>
    </xf>
    <xf numFmtId="0" fontId="25" fillId="2" borderId="1" xfId="0" applyFont="1" applyFill="1" applyBorder="1" applyAlignment="1">
      <alignment vertical="center"/>
    </xf>
    <xf numFmtId="0" fontId="0" fillId="2" borderId="1" xfId="0" applyFont="1" applyFill="1" applyBorder="1" applyAlignment="1">
      <alignment vertical="center"/>
    </xf>
    <xf numFmtId="0" fontId="35" fillId="2" borderId="1" xfId="0" applyFont="1" applyFill="1" applyBorder="1" applyAlignment="1">
      <alignment vertical="center"/>
    </xf>
    <xf numFmtId="0" fontId="51" fillId="2" borderId="0" xfId="0" applyFont="1" applyFill="1" applyAlignment="1">
      <alignment vertical="center"/>
    </xf>
    <xf numFmtId="0" fontId="58" fillId="2" borderId="0" xfId="0" applyFont="1" applyFill="1" applyAlignment="1">
      <alignment horizontal="left" vertical="center"/>
    </xf>
    <xf numFmtId="0" fontId="25" fillId="2" borderId="1" xfId="0" applyFont="1" applyFill="1" applyBorder="1" applyAlignment="1">
      <alignment horizontal="right" vertical="center"/>
    </xf>
    <xf numFmtId="179" fontId="25" fillId="2" borderId="1" xfId="2" applyNumberFormat="1" applyFont="1" applyFill="1" applyBorder="1" applyAlignment="1">
      <alignment vertical="center"/>
    </xf>
    <xf numFmtId="0" fontId="60" fillId="13" borderId="0" xfId="0" applyFont="1" applyFill="1" applyAlignment="1">
      <alignment vertical="center"/>
    </xf>
    <xf numFmtId="0" fontId="61" fillId="13" borderId="0" xfId="0" applyFont="1" applyFill="1" applyAlignment="1">
      <alignment vertical="center"/>
    </xf>
    <xf numFmtId="0" fontId="60" fillId="13" borderId="0" xfId="0" applyFont="1" applyFill="1" applyAlignment="1">
      <alignment horizontal="centerContinuous" vertical="center"/>
    </xf>
    <xf numFmtId="0" fontId="61" fillId="13" borderId="0" xfId="0" applyFont="1" applyFill="1" applyAlignment="1">
      <alignment horizontal="centerContinuous" vertical="center"/>
    </xf>
    <xf numFmtId="0" fontId="0" fillId="0" borderId="0" xfId="0" applyFill="1" applyAlignment="1">
      <alignment vertical="center"/>
    </xf>
    <xf numFmtId="179" fontId="58" fillId="2" borderId="0" xfId="2" applyNumberFormat="1" applyFont="1" applyFill="1" applyAlignment="1">
      <alignment vertical="center"/>
    </xf>
    <xf numFmtId="0" fontId="0" fillId="0" borderId="0" xfId="0" applyFill="1" applyBorder="1" applyAlignment="1">
      <alignment horizontal="left"/>
    </xf>
    <xf numFmtId="9" fontId="0" fillId="4" borderId="0" xfId="0" applyNumberFormat="1" applyFill="1" applyBorder="1"/>
    <xf numFmtId="0" fontId="48" fillId="0" borderId="0" xfId="0" applyFont="1" applyAlignment="1">
      <alignment vertical="center"/>
    </xf>
    <xf numFmtId="0" fontId="25" fillId="2" borderId="0" xfId="0" applyFont="1" applyFill="1" applyBorder="1" applyAlignment="1">
      <alignment horizontal="right" vertical="center"/>
    </xf>
    <xf numFmtId="0" fontId="25" fillId="2" borderId="0" xfId="0" applyFont="1" applyFill="1" applyBorder="1" applyAlignment="1">
      <alignment vertical="center"/>
    </xf>
    <xf numFmtId="184" fontId="25" fillId="2" borderId="0" xfId="1" applyFont="1" applyFill="1" applyBorder="1" applyAlignment="1">
      <alignment vertical="center"/>
    </xf>
    <xf numFmtId="184" fontId="38" fillId="4" borderId="0" xfId="1" applyFont="1" applyFill="1" applyBorder="1" applyAlignment="1">
      <alignment horizontal="right" vertical="center"/>
    </xf>
    <xf numFmtId="0" fontId="51" fillId="2" borderId="0" xfId="0" applyFont="1" applyFill="1" applyAlignment="1"/>
    <xf numFmtId="0" fontId="37" fillId="0" borderId="0" xfId="0" applyFont="1" applyFill="1" applyBorder="1" applyAlignment="1">
      <alignment horizontal="left" vertical="center"/>
    </xf>
    <xf numFmtId="170" fontId="0" fillId="0" borderId="0" xfId="0" applyNumberFormat="1" applyBorder="1"/>
    <xf numFmtId="183" fontId="38" fillId="4" borderId="0" xfId="2" applyNumberFormat="1" applyFont="1" applyFill="1" applyBorder="1" applyAlignment="1">
      <alignment vertical="center"/>
    </xf>
    <xf numFmtId="0" fontId="54" fillId="14" borderId="25" xfId="0" applyFont="1" applyFill="1" applyBorder="1" applyAlignment="1">
      <alignment vertical="center"/>
    </xf>
    <xf numFmtId="0" fontId="25" fillId="14" borderId="25" xfId="0" applyFont="1" applyFill="1" applyBorder="1" applyAlignment="1">
      <alignment vertical="center"/>
    </xf>
    <xf numFmtId="179" fontId="0" fillId="0" borderId="0" xfId="2" applyNumberFormat="1" applyFont="1" applyBorder="1" applyAlignment="1">
      <alignment vertical="center"/>
    </xf>
    <xf numFmtId="0" fontId="37" fillId="0" borderId="1" xfId="0" applyFont="1" applyFill="1" applyBorder="1" applyAlignment="1">
      <alignment horizontal="left" vertical="center"/>
    </xf>
    <xf numFmtId="179" fontId="0" fillId="0" borderId="1" xfId="2" applyNumberFormat="1" applyFont="1" applyBorder="1" applyAlignment="1">
      <alignment vertical="center"/>
    </xf>
    <xf numFmtId="11" fontId="0" fillId="0" borderId="0" xfId="2" applyNumberFormat="1" applyFont="1" applyBorder="1" applyAlignment="1">
      <alignment vertical="center"/>
    </xf>
    <xf numFmtId="179" fontId="0" fillId="0" borderId="0" xfId="2" applyNumberFormat="1" applyFont="1" applyBorder="1" applyAlignment="1">
      <alignment horizontal="left" vertical="center"/>
    </xf>
    <xf numFmtId="178" fontId="0" fillId="0" borderId="0" xfId="0" applyNumberFormat="1"/>
    <xf numFmtId="178" fontId="23" fillId="0" borderId="0" xfId="2" applyNumberFormat="1" applyFont="1"/>
    <xf numFmtId="179" fontId="0" fillId="0" borderId="1" xfId="2" applyNumberFormat="1" applyFont="1" applyBorder="1" applyAlignment="1">
      <alignment horizontal="left" vertical="center"/>
    </xf>
    <xf numFmtId="0" fontId="0" fillId="0" borderId="1" xfId="0" applyBorder="1" applyAlignment="1">
      <alignment horizontal="left" vertical="center"/>
    </xf>
    <xf numFmtId="181" fontId="0" fillId="4" borderId="36" xfId="2" applyNumberFormat="1" applyFont="1" applyFill="1" applyBorder="1" applyAlignment="1">
      <alignment horizontal="right" vertical="center"/>
    </xf>
    <xf numFmtId="174" fontId="0" fillId="0" borderId="0" xfId="0" applyNumberFormat="1"/>
    <xf numFmtId="0" fontId="25" fillId="4" borderId="0" xfId="0" applyFont="1" applyFill="1" applyBorder="1"/>
    <xf numFmtId="179" fontId="22" fillId="4" borderId="0" xfId="2" applyNumberFormat="1" applyFont="1" applyFill="1" applyBorder="1" applyAlignment="1">
      <alignment horizontal="right" vertical="center"/>
    </xf>
    <xf numFmtId="179" fontId="22" fillId="4" borderId="1" xfId="2" applyNumberFormat="1" applyFont="1" applyFill="1" applyBorder="1" applyAlignment="1">
      <alignment horizontal="right" vertical="center"/>
    </xf>
    <xf numFmtId="0" fontId="0" fillId="0" borderId="5" xfId="0" applyBorder="1"/>
    <xf numFmtId="0" fontId="0" fillId="4" borderId="7" xfId="0" applyFill="1" applyBorder="1"/>
    <xf numFmtId="0" fontId="22" fillId="4" borderId="0" xfId="0" applyFont="1" applyFill="1" applyBorder="1" applyAlignment="1">
      <alignment horizontal="right" vertical="center"/>
    </xf>
    <xf numFmtId="0" fontId="65" fillId="0" borderId="0" xfId="0" applyFont="1" applyBorder="1"/>
    <xf numFmtId="0" fontId="65" fillId="0" borderId="0" xfId="0" applyFont="1" applyBorder="1" applyAlignment="1">
      <alignment horizontal="left" vertical="center" wrapText="1"/>
    </xf>
    <xf numFmtId="179" fontId="25" fillId="2" borderId="0" xfId="2" applyNumberFormat="1" applyFont="1" applyFill="1" applyBorder="1" applyAlignment="1">
      <alignment vertical="center"/>
    </xf>
    <xf numFmtId="0" fontId="0" fillId="2" borderId="0" xfId="0" applyFont="1" applyFill="1" applyBorder="1" applyAlignment="1">
      <alignment horizontal="right" vertical="center"/>
    </xf>
    <xf numFmtId="0" fontId="32" fillId="2" borderId="0" xfId="0" applyFont="1" applyFill="1" applyBorder="1" applyAlignment="1">
      <alignment vertical="center"/>
    </xf>
    <xf numFmtId="0" fontId="0" fillId="0" borderId="37" xfId="0" applyBorder="1"/>
    <xf numFmtId="0" fontId="0" fillId="0" borderId="38" xfId="0" applyBorder="1"/>
    <xf numFmtId="0" fontId="0" fillId="0" borderId="39" xfId="0" applyBorder="1"/>
    <xf numFmtId="0" fontId="0" fillId="0" borderId="40" xfId="0" applyBorder="1"/>
    <xf numFmtId="0" fontId="0" fillId="0" borderId="41" xfId="0" applyBorder="1"/>
    <xf numFmtId="179" fontId="63" fillId="2" borderId="0" xfId="2" applyNumberFormat="1" applyFont="1" applyFill="1" applyAlignment="1">
      <alignment vertical="center"/>
    </xf>
    <xf numFmtId="184" fontId="57" fillId="2" borderId="0" xfId="1" applyFont="1" applyFill="1" applyAlignment="1">
      <alignment vertical="center"/>
    </xf>
    <xf numFmtId="0" fontId="49" fillId="2" borderId="1" xfId="0" applyFont="1" applyFill="1" applyBorder="1" applyAlignment="1">
      <alignment vertical="center"/>
    </xf>
    <xf numFmtId="184" fontId="63" fillId="2" borderId="1" xfId="1" applyFont="1" applyFill="1" applyBorder="1" applyAlignment="1">
      <alignment vertical="center"/>
    </xf>
    <xf numFmtId="0" fontId="28" fillId="2" borderId="0" xfId="0" applyFont="1" applyFill="1" applyAlignment="1"/>
    <xf numFmtId="0" fontId="28" fillId="2" borderId="0" xfId="0" applyFont="1" applyFill="1" applyAlignment="1">
      <alignment vertical="center"/>
    </xf>
    <xf numFmtId="0" fontId="52" fillId="9" borderId="0" xfId="0" applyFont="1" applyFill="1" applyAlignment="1">
      <alignment vertical="center"/>
    </xf>
    <xf numFmtId="0" fontId="61" fillId="9" borderId="0" xfId="0" applyFont="1" applyFill="1" applyAlignment="1">
      <alignment vertical="center"/>
    </xf>
    <xf numFmtId="0" fontId="68" fillId="0" borderId="0" xfId="0" applyFont="1" applyAlignment="1">
      <alignment vertical="center"/>
    </xf>
    <xf numFmtId="0" fontId="69" fillId="0" borderId="0" xfId="0" applyFont="1" applyAlignment="1">
      <alignment vertical="center"/>
    </xf>
    <xf numFmtId="178" fontId="0" fillId="4" borderId="1" xfId="2" applyFont="1" applyFill="1" applyBorder="1" applyAlignment="1">
      <alignment horizontal="right" vertical="center"/>
    </xf>
    <xf numFmtId="179" fontId="0" fillId="19" borderId="0" xfId="2" applyNumberFormat="1" applyFont="1" applyFill="1" applyBorder="1" applyAlignment="1">
      <alignment vertical="center"/>
    </xf>
    <xf numFmtId="0" fontId="58" fillId="2" borderId="0" xfId="0" applyFont="1" applyFill="1" applyBorder="1" applyAlignment="1">
      <alignment vertical="center"/>
    </xf>
    <xf numFmtId="0" fontId="25" fillId="2" borderId="0" xfId="0" applyFont="1" applyFill="1" applyBorder="1"/>
    <xf numFmtId="0" fontId="26" fillId="18" borderId="25" xfId="0" applyFont="1" applyFill="1" applyBorder="1" applyAlignment="1">
      <alignment vertical="center"/>
    </xf>
    <xf numFmtId="0" fontId="0" fillId="19" borderId="28" xfId="0" applyFill="1" applyBorder="1"/>
    <xf numFmtId="0" fontId="0" fillId="19" borderId="24" xfId="0" applyFill="1" applyBorder="1"/>
    <xf numFmtId="0" fontId="0" fillId="19" borderId="29" xfId="0" applyFill="1" applyBorder="1"/>
    <xf numFmtId="0" fontId="32" fillId="19" borderId="0" xfId="0" applyFont="1" applyFill="1" applyBorder="1"/>
    <xf numFmtId="0" fontId="0" fillId="19" borderId="0" xfId="0" applyFill="1" applyBorder="1" applyAlignment="1">
      <alignment horizontal="right"/>
    </xf>
    <xf numFmtId="0" fontId="0" fillId="19" borderId="31" xfId="0" applyFill="1" applyBorder="1"/>
    <xf numFmtId="0" fontId="0" fillId="0" borderId="0" xfId="0"/>
    <xf numFmtId="178" fontId="0" fillId="19" borderId="0" xfId="2" applyNumberFormat="1" applyFont="1" applyFill="1" applyBorder="1" applyAlignment="1">
      <alignment vertical="center"/>
    </xf>
    <xf numFmtId="0" fontId="25" fillId="19" borderId="30" xfId="0" applyFont="1" applyFill="1" applyBorder="1"/>
    <xf numFmtId="0" fontId="70" fillId="0" borderId="0" xfId="0" applyFont="1" applyBorder="1"/>
    <xf numFmtId="0" fontId="70" fillId="0" borderId="0" xfId="0" applyFont="1" applyBorder="1" applyAlignment="1">
      <alignment vertical="center"/>
    </xf>
    <xf numFmtId="0" fontId="70" fillId="0" borderId="0" xfId="0" applyFont="1" applyBorder="1" applyAlignment="1">
      <alignment horizontal="left" vertical="center" wrapText="1"/>
    </xf>
    <xf numFmtId="179" fontId="0" fillId="0" borderId="0" xfId="0" applyNumberFormat="1"/>
    <xf numFmtId="0" fontId="0" fillId="0" borderId="0" xfId="0"/>
    <xf numFmtId="0" fontId="32" fillId="4" borderId="0" xfId="0" applyFont="1" applyFill="1" applyBorder="1" applyAlignment="1">
      <alignment horizontal="right"/>
    </xf>
    <xf numFmtId="0" fontId="26" fillId="12" borderId="0" xfId="0" applyFont="1" applyFill="1" applyAlignment="1">
      <alignment vertical="center" wrapText="1"/>
    </xf>
    <xf numFmtId="0" fontId="22" fillId="4" borderId="0" xfId="0" applyNumberFormat="1" applyFont="1" applyFill="1" applyBorder="1" applyAlignment="1">
      <alignment horizontal="left" vertical="center"/>
    </xf>
    <xf numFmtId="0" fontId="30" fillId="4" borderId="9" xfId="0" applyNumberFormat="1" applyFont="1" applyFill="1" applyBorder="1" applyAlignment="1">
      <alignment horizontal="left" vertical="center"/>
    </xf>
    <xf numFmtId="179" fontId="23" fillId="0" borderId="0" xfId="2" applyNumberFormat="1" applyFont="1"/>
    <xf numFmtId="0" fontId="0" fillId="4" borderId="1" xfId="0" applyFill="1" applyBorder="1" applyAlignment="1">
      <alignment horizontal="left"/>
    </xf>
    <xf numFmtId="0" fontId="26" fillId="12" borderId="0" xfId="0" applyFont="1" applyFill="1" applyAlignment="1">
      <alignment horizontal="center" vertical="center" wrapText="1"/>
    </xf>
    <xf numFmtId="179" fontId="40" fillId="16" borderId="0" xfId="2" applyNumberFormat="1" applyFont="1" applyFill="1"/>
    <xf numFmtId="0" fontId="73" fillId="0" borderId="0" xfId="0" applyFont="1" applyBorder="1"/>
    <xf numFmtId="0" fontId="73" fillId="0" borderId="0" xfId="0" applyFont="1" applyBorder="1" applyAlignment="1">
      <alignment vertical="center"/>
    </xf>
    <xf numFmtId="0" fontId="73" fillId="0" borderId="0" xfId="0" applyFont="1" applyBorder="1" applyAlignment="1">
      <alignment horizontal="left" vertical="center" wrapText="1"/>
    </xf>
    <xf numFmtId="0" fontId="0" fillId="0" borderId="0" xfId="0"/>
    <xf numFmtId="0" fontId="0" fillId="0" borderId="39" xfId="0" applyBorder="1" applyAlignment="1">
      <alignment vertical="center"/>
    </xf>
    <xf numFmtId="0" fontId="35" fillId="0" borderId="39" xfId="0" applyFont="1" applyBorder="1" applyAlignment="1">
      <alignment vertical="center"/>
    </xf>
    <xf numFmtId="0" fontId="0" fillId="0" borderId="0" xfId="0" applyFont="1" applyAlignment="1">
      <alignment horizontal="left" vertical="center"/>
    </xf>
    <xf numFmtId="0" fontId="61" fillId="13" borderId="0" xfId="0" applyFont="1" applyFill="1" applyAlignment="1">
      <alignment horizontal="left" vertical="top"/>
    </xf>
    <xf numFmtId="0" fontId="51" fillId="2" borderId="0" xfId="0" applyFont="1" applyFill="1" applyBorder="1" applyAlignment="1"/>
    <xf numFmtId="0" fontId="28" fillId="2" borderId="0" xfId="0" applyFont="1" applyFill="1" applyBorder="1" applyAlignment="1"/>
    <xf numFmtId="0" fontId="51" fillId="2" borderId="0" xfId="0" applyFont="1" applyFill="1" applyBorder="1" applyAlignment="1">
      <alignment vertical="center"/>
    </xf>
    <xf numFmtId="0" fontId="58" fillId="2" borderId="0" xfId="0" applyFont="1" applyFill="1" applyBorder="1" applyAlignment="1">
      <alignment horizontal="left" vertical="center"/>
    </xf>
    <xf numFmtId="0" fontId="54" fillId="2" borderId="0" xfId="0" applyFont="1" applyFill="1" applyBorder="1" applyAlignment="1">
      <alignment horizontal="right" vertical="center"/>
    </xf>
    <xf numFmtId="0" fontId="25" fillId="2" borderId="0" xfId="0" applyFont="1" applyFill="1" applyBorder="1" applyAlignment="1">
      <alignment horizontal="left" vertical="center"/>
    </xf>
    <xf numFmtId="0" fontId="0" fillId="0" borderId="0" xfId="0" applyFont="1" applyFill="1" applyBorder="1"/>
    <xf numFmtId="0" fontId="54" fillId="2" borderId="0" xfId="0" applyFont="1" applyFill="1" applyBorder="1" applyAlignment="1">
      <alignment vertical="center"/>
    </xf>
    <xf numFmtId="184" fontId="54" fillId="2" borderId="0" xfId="1" applyFont="1" applyFill="1" applyBorder="1" applyAlignment="1">
      <alignment vertical="center"/>
    </xf>
    <xf numFmtId="179" fontId="54" fillId="2" borderId="0" xfId="2" applyNumberFormat="1" applyFont="1" applyFill="1" applyBorder="1" applyAlignment="1">
      <alignment vertical="center"/>
    </xf>
    <xf numFmtId="0" fontId="46" fillId="2" borderId="0" xfId="0" applyFont="1" applyFill="1" applyAlignment="1">
      <alignment vertical="center"/>
    </xf>
    <xf numFmtId="0" fontId="0" fillId="0" borderId="0" xfId="0"/>
    <xf numFmtId="0" fontId="67" fillId="21" borderId="44" xfId="0" applyFont="1" applyFill="1" applyBorder="1" applyAlignment="1">
      <alignment vertical="center"/>
    </xf>
    <xf numFmtId="0" fontId="67" fillId="21" borderId="45" xfId="0" applyFont="1" applyFill="1" applyBorder="1" applyAlignment="1">
      <alignment horizontal="left" vertical="center" wrapText="1"/>
    </xf>
    <xf numFmtId="0" fontId="0" fillId="22" borderId="33" xfId="0" applyFill="1" applyBorder="1"/>
    <xf numFmtId="0" fontId="0" fillId="22" borderId="33" xfId="0" applyFill="1" applyBorder="1" applyAlignment="1">
      <alignment vertical="center"/>
    </xf>
    <xf numFmtId="0" fontId="0" fillId="22" borderId="0" xfId="0" applyFont="1" applyFill="1" applyBorder="1" applyAlignment="1">
      <alignment horizontal="left" vertical="center" wrapText="1"/>
    </xf>
    <xf numFmtId="0" fontId="32" fillId="0" borderId="37" xfId="0" applyFont="1" applyBorder="1" applyAlignment="1">
      <alignment horizontal="left" vertical="center"/>
    </xf>
    <xf numFmtId="0" fontId="32" fillId="0" borderId="5" xfId="0" applyFont="1" applyBorder="1" applyAlignment="1">
      <alignment horizontal="left" vertical="center"/>
    </xf>
    <xf numFmtId="0" fontId="32" fillId="0" borderId="5" xfId="0" applyFont="1" applyBorder="1" applyAlignment="1">
      <alignment horizontal="center" vertical="center"/>
    </xf>
    <xf numFmtId="11" fontId="0" fillId="0" borderId="40" xfId="2" applyNumberFormat="1" applyFont="1" applyBorder="1" applyAlignment="1">
      <alignment vertical="center"/>
    </xf>
    <xf numFmtId="0" fontId="0" fillId="0" borderId="41" xfId="0" applyBorder="1" applyAlignment="1">
      <alignment vertical="center"/>
    </xf>
    <xf numFmtId="11" fontId="0" fillId="0" borderId="42" xfId="2" applyNumberFormat="1" applyFont="1" applyBorder="1" applyAlignment="1">
      <alignment vertical="center"/>
    </xf>
    <xf numFmtId="0" fontId="0" fillId="0" borderId="0" xfId="0"/>
    <xf numFmtId="0" fontId="35" fillId="6" borderId="0" xfId="0" applyFont="1" applyFill="1" applyBorder="1" applyAlignment="1">
      <alignment vertical="center"/>
    </xf>
    <xf numFmtId="0" fontId="0" fillId="4" borderId="0" xfId="0" applyFill="1"/>
    <xf numFmtId="0" fontId="0" fillId="4" borderId="0" xfId="0" applyFill="1" applyAlignment="1">
      <alignment horizontal="left"/>
    </xf>
    <xf numFmtId="0" fontId="75" fillId="0" borderId="0" xfId="230" applyAlignment="1" applyProtection="1">
      <alignment vertical="center"/>
    </xf>
    <xf numFmtId="0" fontId="0" fillId="0" borderId="0" xfId="0"/>
    <xf numFmtId="0" fontId="0" fillId="4" borderId="46" xfId="0" applyNumberFormat="1" applyFill="1" applyBorder="1" applyAlignment="1">
      <alignment horizontal="center" vertical="center"/>
    </xf>
    <xf numFmtId="0" fontId="0" fillId="4" borderId="46" xfId="0" applyFill="1" applyBorder="1" applyAlignment="1">
      <alignment vertical="center"/>
    </xf>
    <xf numFmtId="181" fontId="0" fillId="4" borderId="46" xfId="2" applyNumberFormat="1" applyFont="1" applyFill="1" applyBorder="1" applyAlignment="1">
      <alignment vertical="center"/>
    </xf>
    <xf numFmtId="0" fontId="30" fillId="0" borderId="0" xfId="0" applyNumberFormat="1" applyFont="1" applyFill="1" applyBorder="1" applyAlignment="1">
      <alignment horizontal="right" vertical="center"/>
    </xf>
    <xf numFmtId="0" fontId="42" fillId="0" borderId="0" xfId="4" applyNumberFormat="1"/>
    <xf numFmtId="0" fontId="0" fillId="4" borderId="10" xfId="0" applyNumberFormat="1" applyFill="1" applyBorder="1" applyAlignment="1">
      <alignment vertical="center"/>
    </xf>
    <xf numFmtId="0" fontId="30" fillId="4" borderId="0" xfId="0" applyFont="1" applyFill="1" applyBorder="1" applyAlignment="1">
      <alignment vertical="center"/>
    </xf>
    <xf numFmtId="0" fontId="0" fillId="4" borderId="0" xfId="0" applyNumberFormat="1" applyFill="1" applyBorder="1" applyAlignment="1">
      <alignment vertical="center"/>
    </xf>
    <xf numFmtId="0" fontId="0" fillId="4" borderId="0" xfId="0" applyFill="1" applyBorder="1" applyAlignment="1">
      <alignment vertical="center"/>
    </xf>
    <xf numFmtId="0" fontId="0" fillId="4" borderId="0" xfId="0" applyFill="1" applyBorder="1"/>
    <xf numFmtId="0" fontId="32" fillId="4" borderId="0" xfId="0" applyFont="1" applyFill="1" applyBorder="1"/>
    <xf numFmtId="0" fontId="32" fillId="4" borderId="0" xfId="0" applyFont="1" applyFill="1" applyBorder="1" applyAlignment="1">
      <alignment vertical="center"/>
    </xf>
    <xf numFmtId="0" fontId="0" fillId="4" borderId="32" xfId="0" applyFill="1" applyBorder="1"/>
    <xf numFmtId="0" fontId="0" fillId="4" borderId="33" xfId="0" applyFill="1" applyBorder="1"/>
    <xf numFmtId="0" fontId="56" fillId="0" borderId="0" xfId="0" applyFont="1"/>
    <xf numFmtId="0" fontId="26" fillId="7" borderId="26" xfId="0" applyFont="1" applyFill="1" applyBorder="1" applyAlignment="1">
      <alignment horizontal="left" vertical="center" indent="1"/>
    </xf>
    <xf numFmtId="0" fontId="0" fillId="0" borderId="0" xfId="0" applyAlignment="1">
      <alignment horizontal="right"/>
    </xf>
    <xf numFmtId="0" fontId="32" fillId="0" borderId="0" xfId="0" applyFont="1"/>
    <xf numFmtId="0" fontId="26" fillId="18" borderId="26" xfId="0" applyFont="1" applyFill="1" applyBorder="1" applyAlignment="1">
      <alignment horizontal="left" vertical="center" indent="1"/>
    </xf>
    <xf numFmtId="0" fontId="0" fillId="18" borderId="25" xfId="0" applyFill="1" applyBorder="1"/>
    <xf numFmtId="0" fontId="0" fillId="18" borderId="27" xfId="0" applyFill="1" applyBorder="1"/>
    <xf numFmtId="0" fontId="0" fillId="19" borderId="32" xfId="0" applyFill="1" applyBorder="1"/>
    <xf numFmtId="0" fontId="0" fillId="19" borderId="0" xfId="0" applyFill="1" applyBorder="1"/>
    <xf numFmtId="0" fontId="0" fillId="19" borderId="33" xfId="0" applyFill="1" applyBorder="1"/>
    <xf numFmtId="0" fontId="25" fillId="19" borderId="32" xfId="0" applyFont="1" applyFill="1" applyBorder="1"/>
    <xf numFmtId="0" fontId="30" fillId="19" borderId="8" xfId="0" applyFont="1" applyFill="1" applyBorder="1" applyAlignment="1">
      <alignment vertical="center"/>
    </xf>
    <xf numFmtId="0" fontId="0" fillId="19" borderId="0" xfId="0" applyFill="1" applyBorder="1" applyAlignment="1">
      <alignment vertical="center"/>
    </xf>
    <xf numFmtId="0" fontId="0" fillId="19" borderId="0" xfId="0" applyFont="1" applyFill="1" applyBorder="1" applyAlignment="1">
      <alignment vertical="center"/>
    </xf>
    <xf numFmtId="0" fontId="0" fillId="19" borderId="23" xfId="0" applyFill="1" applyBorder="1"/>
    <xf numFmtId="0" fontId="22" fillId="19" borderId="33" xfId="0" applyFont="1" applyFill="1" applyBorder="1" applyAlignment="1">
      <alignment vertical="center"/>
    </xf>
    <xf numFmtId="171" fontId="0" fillId="19" borderId="33" xfId="0" applyNumberFormat="1" applyFill="1" applyBorder="1" applyAlignment="1">
      <alignment vertical="center"/>
    </xf>
    <xf numFmtId="0" fontId="28" fillId="19" borderId="30" xfId="0" applyFont="1" applyFill="1" applyBorder="1"/>
    <xf numFmtId="171" fontId="0" fillId="19" borderId="31" xfId="0" applyNumberFormat="1" applyFill="1" applyBorder="1" applyAlignment="1">
      <alignment vertical="center"/>
    </xf>
    <xf numFmtId="0" fontId="0" fillId="0" borderId="0" xfId="0"/>
    <xf numFmtId="0" fontId="0" fillId="0" borderId="0" xfId="0" applyFill="1" applyBorder="1" applyAlignment="1">
      <alignment horizontal="right"/>
    </xf>
    <xf numFmtId="0" fontId="0" fillId="0" borderId="0" xfId="0"/>
    <xf numFmtId="1" fontId="0" fillId="4" borderId="1" xfId="0" applyNumberFormat="1" applyFill="1" applyBorder="1" applyAlignment="1">
      <alignment horizontal="right"/>
    </xf>
    <xf numFmtId="184" fontId="0" fillId="19" borderId="0" xfId="1" applyFont="1" applyFill="1" applyBorder="1" applyAlignment="1">
      <alignment vertical="center"/>
    </xf>
    <xf numFmtId="181" fontId="22" fillId="17" borderId="0" xfId="2" applyNumberFormat="1" applyFont="1" applyFill="1" applyBorder="1"/>
    <xf numFmtId="0" fontId="0" fillId="0" borderId="0" xfId="0"/>
    <xf numFmtId="0" fontId="0" fillId="0" borderId="0" xfId="0"/>
    <xf numFmtId="181" fontId="0" fillId="0" borderId="1" xfId="2" applyNumberFormat="1" applyFont="1" applyBorder="1"/>
    <xf numFmtId="0" fontId="32" fillId="0" borderId="37" xfId="0" applyFont="1" applyBorder="1"/>
    <xf numFmtId="0" fontId="0" fillId="0" borderId="0" xfId="0"/>
    <xf numFmtId="0" fontId="67" fillId="21" borderId="33" xfId="0" applyFont="1" applyFill="1" applyBorder="1" applyAlignment="1">
      <alignment vertical="center"/>
    </xf>
    <xf numFmtId="0" fontId="67" fillId="21" borderId="0" xfId="0" applyFont="1" applyFill="1" applyBorder="1" applyAlignment="1">
      <alignment horizontal="left" vertical="center" wrapText="1"/>
    </xf>
    <xf numFmtId="0" fontId="0" fillId="0" borderId="0" xfId="0"/>
    <xf numFmtId="0" fontId="38" fillId="4" borderId="0" xfId="0" applyFont="1" applyFill="1" applyBorder="1" applyAlignment="1">
      <alignment vertical="center"/>
    </xf>
    <xf numFmtId="174" fontId="38" fillId="4" borderId="0" xfId="1" applyNumberFormat="1" applyFont="1" applyFill="1" applyBorder="1" applyAlignment="1">
      <alignment vertical="center"/>
    </xf>
    <xf numFmtId="0" fontId="32" fillId="4" borderId="0" xfId="0" applyNumberFormat="1" applyFont="1" applyFill="1" applyBorder="1" applyAlignment="1">
      <alignment horizontal="right" vertical="center"/>
    </xf>
    <xf numFmtId="0" fontId="0" fillId="0" borderId="31" xfId="0" applyFont="1" applyFill="1" applyBorder="1"/>
    <xf numFmtId="0" fontId="0" fillId="0" borderId="0" xfId="0"/>
    <xf numFmtId="0" fontId="16" fillId="17" borderId="0" xfId="8" applyFont="1" applyBorder="1" applyAlignment="1">
      <alignment horizontal="left" vertical="center" indent="1"/>
    </xf>
    <xf numFmtId="0" fontId="32" fillId="4" borderId="4" xfId="0" applyFont="1" applyFill="1" applyBorder="1"/>
    <xf numFmtId="0" fontId="23" fillId="4" borderId="32" xfId="0" applyFont="1" applyFill="1" applyBorder="1"/>
    <xf numFmtId="0" fontId="23" fillId="17" borderId="0" xfId="8" applyFont="1" applyBorder="1" applyAlignment="1">
      <alignment horizontal="left" vertical="center" indent="1"/>
    </xf>
    <xf numFmtId="0" fontId="30" fillId="4" borderId="4" xfId="0" applyNumberFormat="1" applyFont="1" applyFill="1" applyBorder="1" applyAlignment="1">
      <alignment horizontal="right" vertical="center"/>
    </xf>
    <xf numFmtId="182" fontId="0" fillId="4" borderId="0" xfId="2" applyNumberFormat="1" applyFont="1" applyFill="1" applyBorder="1" applyAlignment="1">
      <alignment vertical="center"/>
    </xf>
    <xf numFmtId="0" fontId="0" fillId="0" borderId="0" xfId="0"/>
    <xf numFmtId="0" fontId="77" fillId="0" borderId="0" xfId="0" applyFont="1" applyBorder="1"/>
    <xf numFmtId="0" fontId="77" fillId="0" borderId="0" xfId="0" applyFont="1" applyBorder="1" applyAlignment="1">
      <alignment vertical="center"/>
    </xf>
    <xf numFmtId="0" fontId="77" fillId="0" borderId="0" xfId="0" applyFont="1" applyBorder="1" applyAlignment="1">
      <alignment horizontal="left" vertical="center" wrapText="1"/>
    </xf>
    <xf numFmtId="0" fontId="0" fillId="25" borderId="27" xfId="0" applyFont="1" applyFill="1" applyBorder="1" applyAlignment="1">
      <alignment horizontal="left" vertical="center"/>
    </xf>
    <xf numFmtId="0" fontId="0" fillId="25" borderId="31" xfId="0" applyFont="1" applyFill="1" applyBorder="1" applyAlignment="1">
      <alignment horizontal="left" vertical="center"/>
    </xf>
    <xf numFmtId="0" fontId="0" fillId="0" borderId="0" xfId="0" applyAlignment="1">
      <alignment vertical="center" wrapText="1"/>
    </xf>
    <xf numFmtId="0" fontId="25" fillId="2" borderId="0" xfId="0" applyFont="1" applyFill="1" applyBorder="1" applyAlignment="1">
      <alignment horizontal="center" vertical="center" wrapText="1"/>
    </xf>
    <xf numFmtId="0" fontId="32" fillId="12" borderId="0" xfId="0" applyFont="1" applyFill="1" applyAlignment="1">
      <alignment horizontal="center" textRotation="90"/>
    </xf>
    <xf numFmtId="0" fontId="32" fillId="8" borderId="51" xfId="0" applyFont="1" applyFill="1" applyBorder="1" applyAlignment="1">
      <alignment horizontal="center" textRotation="90"/>
    </xf>
    <xf numFmtId="0" fontId="0" fillId="2" borderId="0" xfId="0" applyFont="1" applyFill="1" applyBorder="1" applyAlignment="1">
      <alignment horizontal="center" vertical="center"/>
    </xf>
    <xf numFmtId="0" fontId="0" fillId="14" borderId="0" xfId="0" applyFont="1" applyFill="1" applyBorder="1" applyAlignment="1">
      <alignment horizontal="center" vertical="center"/>
    </xf>
    <xf numFmtId="0" fontId="30" fillId="12" borderId="0" xfId="0" applyFont="1" applyFill="1" applyAlignment="1">
      <alignment horizontal="center" vertical="center" wrapText="1"/>
    </xf>
    <xf numFmtId="0" fontId="68" fillId="0" borderId="0" xfId="0" applyFont="1" applyAlignment="1">
      <alignment horizontal="left" vertical="center"/>
    </xf>
    <xf numFmtId="0" fontId="40" fillId="0" borderId="0" xfId="6" applyAlignment="1">
      <alignment horizontal="left"/>
    </xf>
    <xf numFmtId="0" fontId="26" fillId="12" borderId="0" xfId="0" applyFont="1" applyFill="1" applyAlignment="1">
      <alignment horizontal="left" vertical="center"/>
    </xf>
    <xf numFmtId="0" fontId="26" fillId="12" borderId="0" xfId="0" applyFont="1" applyFill="1" applyAlignment="1">
      <alignment horizontal="left" vertical="center" wrapText="1"/>
    </xf>
    <xf numFmtId="0" fontId="58" fillId="0" borderId="0" xfId="0" applyFont="1" applyAlignment="1">
      <alignment vertical="center" wrapText="1"/>
    </xf>
    <xf numFmtId="0" fontId="58" fillId="0" borderId="0" xfId="0" applyFont="1" applyAlignment="1">
      <alignment vertical="center"/>
    </xf>
    <xf numFmtId="0" fontId="26" fillId="12" borderId="0" xfId="0" applyFont="1" applyFill="1" applyAlignment="1">
      <alignment horizontal="left"/>
    </xf>
    <xf numFmtId="0" fontId="30" fillId="12" borderId="0" xfId="0" applyFont="1" applyFill="1" applyAlignment="1"/>
    <xf numFmtId="0" fontId="0" fillId="0" borderId="0" xfId="0" applyAlignment="1"/>
    <xf numFmtId="0" fontId="30" fillId="12" borderId="0" xfId="0" applyFont="1" applyFill="1" applyAlignment="1">
      <alignment horizontal="center"/>
    </xf>
    <xf numFmtId="0" fontId="30" fillId="12" borderId="39" xfId="0" applyFont="1" applyFill="1" applyBorder="1" applyAlignment="1">
      <alignment horizontal="center"/>
    </xf>
    <xf numFmtId="0" fontId="0" fillId="2" borderId="0" xfId="0" applyFill="1" applyAlignment="1"/>
    <xf numFmtId="0" fontId="40" fillId="0" borderId="0" xfId="6" applyAlignment="1"/>
    <xf numFmtId="0" fontId="25" fillId="0" borderId="0" xfId="0" applyFont="1" applyAlignment="1">
      <alignment horizontal="left" vertical="center" wrapText="1"/>
    </xf>
    <xf numFmtId="0" fontId="0" fillId="0" borderId="0" xfId="0"/>
    <xf numFmtId="0" fontId="0" fillId="0" borderId="0" xfId="0"/>
    <xf numFmtId="0" fontId="38" fillId="4" borderId="0" xfId="0" applyNumberFormat="1" applyFont="1" applyFill="1" applyBorder="1" applyAlignment="1">
      <alignment vertical="center"/>
    </xf>
    <xf numFmtId="171" fontId="0" fillId="0" borderId="0" xfId="0" applyNumberFormat="1" applyFill="1" applyBorder="1" applyAlignment="1">
      <alignment vertical="center"/>
    </xf>
    <xf numFmtId="1" fontId="0" fillId="0" borderId="0" xfId="0" applyNumberFormat="1"/>
    <xf numFmtId="9" fontId="38" fillId="4" borderId="0" xfId="0" applyNumberFormat="1" applyFont="1" applyFill="1" applyBorder="1" applyAlignment="1">
      <alignment vertical="center"/>
    </xf>
    <xf numFmtId="172" fontId="0" fillId="0" borderId="0" xfId="0" applyNumberFormat="1"/>
    <xf numFmtId="0" fontId="0" fillId="0" borderId="0" xfId="0" applyBorder="1"/>
    <xf numFmtId="0" fontId="0" fillId="0" borderId="0" xfId="0"/>
    <xf numFmtId="0" fontId="0" fillId="0" borderId="41" xfId="0" applyBorder="1" applyAlignment="1">
      <alignment horizontal="left"/>
    </xf>
    <xf numFmtId="0" fontId="0" fillId="0" borderId="1" xfId="0" applyFill="1" applyBorder="1"/>
    <xf numFmtId="0" fontId="0" fillId="0" borderId="42" xfId="0" applyFill="1" applyBorder="1"/>
    <xf numFmtId="0" fontId="0" fillId="0" borderId="1" xfId="0" applyBorder="1" applyAlignment="1">
      <alignment horizontal="center"/>
    </xf>
    <xf numFmtId="0" fontId="0" fillId="0" borderId="39" xfId="0" applyFont="1" applyFill="1" applyBorder="1"/>
    <xf numFmtId="10" fontId="0" fillId="0" borderId="0" xfId="0" applyNumberFormat="1" applyFont="1" applyFill="1" applyBorder="1"/>
    <xf numFmtId="0" fontId="0" fillId="0" borderId="0" xfId="0"/>
    <xf numFmtId="0" fontId="0" fillId="4" borderId="1" xfId="0" applyNumberFormat="1" applyFill="1" applyBorder="1" applyAlignment="1">
      <alignment horizontal="left" vertical="center"/>
    </xf>
    <xf numFmtId="0" fontId="32" fillId="0" borderId="0" xfId="0" applyFont="1" applyAlignment="1">
      <alignment horizontal="left" vertical="center"/>
    </xf>
    <xf numFmtId="0" fontId="0" fillId="4" borderId="0" xfId="0" applyNumberFormat="1" applyFill="1" applyBorder="1" applyAlignment="1">
      <alignment horizontal="center" vertical="center"/>
    </xf>
    <xf numFmtId="0" fontId="32" fillId="0" borderId="0" xfId="0" applyFont="1" applyFill="1" applyBorder="1"/>
    <xf numFmtId="179" fontId="0" fillId="0" borderId="0" xfId="2" applyNumberFormat="1" applyFont="1" applyFill="1" applyBorder="1" applyAlignment="1">
      <alignment horizontal="right"/>
    </xf>
    <xf numFmtId="0" fontId="0" fillId="0" borderId="0" xfId="0" applyNumberFormat="1" applyFont="1" applyFill="1" applyBorder="1" applyAlignment="1">
      <alignment vertical="center"/>
    </xf>
    <xf numFmtId="178" fontId="0" fillId="0" borderId="0" xfId="2" applyFont="1" applyFill="1" applyBorder="1" applyAlignment="1">
      <alignment vertical="center"/>
    </xf>
    <xf numFmtId="0" fontId="0" fillId="19" borderId="1" xfId="0" applyFill="1" applyBorder="1" applyAlignment="1">
      <alignment vertical="center"/>
    </xf>
    <xf numFmtId="0" fontId="0" fillId="19" borderId="1" xfId="0" applyFont="1" applyFill="1" applyBorder="1" applyAlignment="1">
      <alignment vertical="center"/>
    </xf>
    <xf numFmtId="0" fontId="0" fillId="4" borderId="4" xfId="0" applyFill="1" applyBorder="1" applyAlignment="1">
      <alignment vertical="center"/>
    </xf>
    <xf numFmtId="1" fontId="0" fillId="0" borderId="0" xfId="0" applyNumberFormat="1" applyFill="1" applyBorder="1" applyAlignment="1">
      <alignment horizontal="right"/>
    </xf>
    <xf numFmtId="0" fontId="32" fillId="4" borderId="4" xfId="0" applyFont="1" applyFill="1" applyBorder="1" applyAlignment="1">
      <alignment horizontal="right"/>
    </xf>
    <xf numFmtId="1" fontId="0" fillId="4" borderId="0" xfId="0" applyNumberFormat="1" applyFill="1" applyBorder="1"/>
    <xf numFmtId="1" fontId="0" fillId="4" borderId="1" xfId="0" applyNumberFormat="1" applyFill="1" applyBorder="1"/>
    <xf numFmtId="0" fontId="0" fillId="7" borderId="0" xfId="0" applyFill="1" applyBorder="1" applyAlignment="1">
      <alignment vertical="center"/>
    </xf>
    <xf numFmtId="0" fontId="0" fillId="0" borderId="0" xfId="0"/>
    <xf numFmtId="0" fontId="81" fillId="0" borderId="0" xfId="0" applyFont="1" applyFill="1" applyBorder="1" applyAlignment="1">
      <alignment horizontal="left"/>
    </xf>
    <xf numFmtId="0" fontId="82" fillId="0" borderId="0" xfId="0" applyFont="1" applyFill="1" applyBorder="1" applyAlignment="1">
      <alignment horizontal="left"/>
    </xf>
    <xf numFmtId="188" fontId="82" fillId="0" borderId="0" xfId="0" applyNumberFormat="1" applyFont="1" applyFill="1" applyBorder="1" applyAlignment="1">
      <alignment horizontal="right"/>
    </xf>
    <xf numFmtId="174" fontId="82" fillId="0" borderId="0" xfId="0" applyNumberFormat="1" applyFont="1" applyFill="1" applyBorder="1" applyAlignment="1">
      <alignment horizontal="right"/>
    </xf>
    <xf numFmtId="0" fontId="82" fillId="0" borderId="0" xfId="0" applyFont="1" applyFill="1" applyBorder="1" applyAlignment="1">
      <alignment horizontal="right"/>
    </xf>
    <xf numFmtId="0" fontId="0" fillId="15" borderId="0" xfId="0" applyFill="1" applyAlignment="1"/>
    <xf numFmtId="0" fontId="0" fillId="0" borderId="0" xfId="0" applyFill="1" applyBorder="1" applyAlignment="1"/>
    <xf numFmtId="0" fontId="83" fillId="0" borderId="0" xfId="0" applyFont="1" applyFill="1" applyBorder="1" applyAlignment="1">
      <alignment horizontal="left"/>
    </xf>
    <xf numFmtId="0" fontId="59" fillId="0" borderId="0" xfId="0" applyFont="1" applyFill="1" applyBorder="1" applyAlignment="1">
      <alignment horizontal="left"/>
    </xf>
    <xf numFmtId="174" fontId="0" fillId="4" borderId="1" xfId="0" applyNumberFormat="1" applyFill="1" applyBorder="1"/>
    <xf numFmtId="166" fontId="82" fillId="0" borderId="0" xfId="0" applyNumberFormat="1" applyFont="1" applyFill="1" applyBorder="1" applyAlignment="1">
      <alignment horizontal="left"/>
    </xf>
    <xf numFmtId="0" fontId="0" fillId="0" borderId="0" xfId="0" applyBorder="1"/>
    <xf numFmtId="174" fontId="0" fillId="4" borderId="0" xfId="0" applyNumberFormat="1" applyFill="1" applyBorder="1"/>
    <xf numFmtId="2" fontId="0" fillId="4" borderId="0" xfId="0" applyNumberFormat="1" applyFont="1" applyFill="1" applyBorder="1"/>
    <xf numFmtId="187" fontId="0" fillId="0" borderId="0" xfId="2" applyNumberFormat="1" applyFont="1" applyFill="1" applyBorder="1" applyAlignment="1">
      <alignment horizontal="center" vertical="center"/>
    </xf>
    <xf numFmtId="9" fontId="0" fillId="0" borderId="39" xfId="0" applyNumberFormat="1" applyBorder="1"/>
    <xf numFmtId="0" fontId="0" fillId="0" borderId="0" xfId="0" applyBorder="1"/>
    <xf numFmtId="0" fontId="30" fillId="4" borderId="34" xfId="0" applyFont="1" applyFill="1" applyBorder="1" applyAlignment="1">
      <alignment vertical="center"/>
    </xf>
    <xf numFmtId="1" fontId="0" fillId="4" borderId="0" xfId="0" applyNumberFormat="1" applyFill="1" applyBorder="1" applyAlignment="1">
      <alignment vertical="center"/>
    </xf>
    <xf numFmtId="0" fontId="0" fillId="4" borderId="46" xfId="0" applyNumberFormat="1" applyFill="1" applyBorder="1" applyAlignment="1">
      <alignment horizontal="right" vertical="center"/>
    </xf>
    <xf numFmtId="0" fontId="32" fillId="0" borderId="0" xfId="0" applyFont="1" applyFill="1" applyBorder="1" applyAlignment="1"/>
    <xf numFmtId="0" fontId="0" fillId="7" borderId="23" xfId="0" applyFill="1" applyBorder="1" applyAlignment="1">
      <alignment vertical="center"/>
    </xf>
    <xf numFmtId="0" fontId="0" fillId="2" borderId="0" xfId="0" applyFill="1" applyBorder="1" applyAlignment="1">
      <alignment horizontal="center" vertical="center"/>
    </xf>
    <xf numFmtId="174" fontId="0" fillId="0" borderId="0" xfId="1" applyNumberFormat="1" applyFont="1" applyFill="1" applyBorder="1" applyAlignment="1">
      <alignment vertical="center"/>
    </xf>
    <xf numFmtId="187" fontId="0" fillId="0" borderId="0" xfId="2" applyNumberFormat="1" applyFont="1" applyFill="1" applyBorder="1" applyAlignment="1">
      <alignment horizontal="center"/>
    </xf>
    <xf numFmtId="1" fontId="0" fillId="0" borderId="0" xfId="2" applyNumberFormat="1" applyFont="1" applyFill="1" applyBorder="1" applyAlignment="1">
      <alignment horizontal="right"/>
    </xf>
    <xf numFmtId="170" fontId="0" fillId="0" borderId="0" xfId="0" applyNumberFormat="1" applyFill="1" applyBorder="1" applyAlignment="1">
      <alignment vertical="center"/>
    </xf>
    <xf numFmtId="172" fontId="0" fillId="0" borderId="0" xfId="0" applyNumberFormat="1" applyFill="1" applyBorder="1" applyAlignment="1">
      <alignment vertical="center"/>
    </xf>
    <xf numFmtId="0" fontId="80" fillId="0" borderId="0" xfId="0" applyFont="1" applyFill="1" applyBorder="1"/>
    <xf numFmtId="0" fontId="80" fillId="0" borderId="0" xfId="0" quotePrefix="1" applyFont="1" applyFill="1" applyBorder="1"/>
    <xf numFmtId="186" fontId="0" fillId="0" borderId="0" xfId="0" applyNumberFormat="1" applyFill="1" applyBorder="1" applyAlignment="1">
      <alignment vertical="center"/>
    </xf>
    <xf numFmtId="0" fontId="38" fillId="0" borderId="0" xfId="0" applyFont="1" applyFill="1" applyBorder="1" applyAlignment="1">
      <alignment vertical="center"/>
    </xf>
    <xf numFmtId="2" fontId="0" fillId="0" borderId="0" xfId="0" applyNumberFormat="1" applyFill="1" applyBorder="1" applyAlignment="1">
      <alignment vertical="center"/>
    </xf>
    <xf numFmtId="172" fontId="0" fillId="0" borderId="0" xfId="0" applyNumberFormat="1" applyFill="1" applyBorder="1"/>
    <xf numFmtId="0" fontId="0" fillId="0" borderId="41" xfId="0" applyFont="1" applyFill="1" applyBorder="1"/>
    <xf numFmtId="0" fontId="0" fillId="0" borderId="43" xfId="0" applyFont="1" applyFill="1" applyBorder="1"/>
    <xf numFmtId="9" fontId="0" fillId="0" borderId="39" xfId="0" applyNumberFormat="1" applyFill="1" applyBorder="1"/>
    <xf numFmtId="0" fontId="0" fillId="0" borderId="40" xfId="0" applyFill="1" applyBorder="1"/>
    <xf numFmtId="9" fontId="0" fillId="0" borderId="41" xfId="0" applyNumberFormat="1" applyFill="1" applyBorder="1"/>
    <xf numFmtId="0" fontId="0" fillId="0" borderId="0" xfId="0"/>
    <xf numFmtId="0" fontId="0" fillId="0" borderId="0" xfId="0"/>
    <xf numFmtId="0" fontId="0" fillId="0" borderId="0" xfId="0"/>
    <xf numFmtId="181" fontId="0" fillId="0" borderId="0" xfId="2" applyNumberFormat="1" applyFont="1" applyBorder="1" applyAlignment="1">
      <alignment vertical="center"/>
    </xf>
    <xf numFmtId="0" fontId="30" fillId="4" borderId="11" xfId="0" applyNumberFormat="1" applyFont="1" applyFill="1" applyBorder="1" applyAlignment="1">
      <alignment horizontal="center" vertical="center"/>
    </xf>
    <xf numFmtId="178" fontId="0" fillId="4" borderId="20" xfId="2" applyNumberFormat="1" applyFont="1" applyFill="1" applyBorder="1" applyAlignment="1">
      <alignment vertical="center"/>
    </xf>
    <xf numFmtId="179" fontId="32" fillId="4" borderId="47" xfId="2" applyNumberFormat="1" applyFont="1" applyFill="1" applyBorder="1" applyAlignment="1">
      <alignment vertical="center"/>
    </xf>
    <xf numFmtId="1" fontId="32" fillId="4" borderId="0" xfId="0" applyNumberFormat="1" applyFont="1" applyFill="1" applyBorder="1"/>
    <xf numFmtId="0" fontId="32" fillId="4" borderId="33" xfId="0" applyFont="1" applyFill="1" applyBorder="1"/>
    <xf numFmtId="178" fontId="0" fillId="4" borderId="0" xfId="0" applyNumberFormat="1" applyFill="1" applyBorder="1"/>
    <xf numFmtId="181" fontId="32" fillId="4" borderId="0" xfId="2" applyNumberFormat="1" applyFont="1" applyFill="1" applyBorder="1" applyAlignment="1">
      <alignment vertical="center"/>
    </xf>
    <xf numFmtId="178" fontId="32" fillId="4" borderId="20" xfId="2" applyNumberFormat="1" applyFont="1" applyFill="1" applyBorder="1" applyAlignment="1">
      <alignment vertical="center"/>
    </xf>
    <xf numFmtId="178" fontId="32" fillId="4" borderId="0" xfId="2" applyNumberFormat="1" applyFont="1" applyFill="1" applyBorder="1" applyAlignment="1">
      <alignment vertical="center"/>
    </xf>
    <xf numFmtId="0" fontId="32" fillId="4" borderId="33" xfId="0" applyFont="1" applyFill="1" applyBorder="1" applyAlignment="1">
      <alignment vertical="center"/>
    </xf>
    <xf numFmtId="0" fontId="0" fillId="0" borderId="0" xfId="0"/>
    <xf numFmtId="0" fontId="0" fillId="0" borderId="0" xfId="0"/>
    <xf numFmtId="184" fontId="0" fillId="0" borderId="0" xfId="1" applyFont="1" applyBorder="1"/>
    <xf numFmtId="9" fontId="32" fillId="4" borderId="8" xfId="0" applyNumberFormat="1" applyFont="1" applyFill="1" applyBorder="1" applyAlignment="1">
      <alignment vertical="center"/>
    </xf>
    <xf numFmtId="179" fontId="32" fillId="4" borderId="0" xfId="2" applyNumberFormat="1" applyFont="1" applyFill="1" applyBorder="1" applyAlignment="1">
      <alignment vertical="center"/>
    </xf>
    <xf numFmtId="0" fontId="32" fillId="4" borderId="46" xfId="0" applyNumberFormat="1" applyFont="1" applyFill="1" applyBorder="1" applyAlignment="1">
      <alignment horizontal="right" vertical="center"/>
    </xf>
    <xf numFmtId="174" fontId="38" fillId="4" borderId="7" xfId="1" applyNumberFormat="1" applyFont="1" applyFill="1" applyBorder="1" applyAlignment="1">
      <alignment vertical="center"/>
    </xf>
    <xf numFmtId="0" fontId="0" fillId="4" borderId="10" xfId="0" applyNumberFormat="1" applyFill="1" applyBorder="1" applyAlignment="1">
      <alignment horizontal="center" vertical="center"/>
    </xf>
    <xf numFmtId="9" fontId="0" fillId="4" borderId="46" xfId="2" applyNumberFormat="1" applyFont="1" applyFill="1" applyBorder="1" applyAlignment="1">
      <alignment vertical="center"/>
    </xf>
    <xf numFmtId="0" fontId="0" fillId="0" borderId="0" xfId="0"/>
    <xf numFmtId="1" fontId="0" fillId="4" borderId="46" xfId="2" applyNumberFormat="1" applyFont="1" applyFill="1" applyBorder="1" applyAlignment="1">
      <alignment vertical="center"/>
    </xf>
    <xf numFmtId="1" fontId="42" fillId="4" borderId="0" xfId="4" applyNumberFormat="1" applyFill="1" applyBorder="1"/>
    <xf numFmtId="1" fontId="42" fillId="4" borderId="1" xfId="4" applyNumberFormat="1" applyFill="1" applyBorder="1"/>
    <xf numFmtId="179" fontId="0" fillId="19" borderId="33" xfId="0" applyNumberFormat="1" applyFill="1" applyBorder="1"/>
    <xf numFmtId="1" fontId="0" fillId="4" borderId="7" xfId="0" applyNumberFormat="1" applyFill="1" applyBorder="1" applyAlignment="1">
      <alignment vertical="center"/>
    </xf>
    <xf numFmtId="9" fontId="0" fillId="4" borderId="4" xfId="0" applyNumberFormat="1" applyFill="1" applyBorder="1" applyAlignment="1">
      <alignment vertical="center"/>
    </xf>
    <xf numFmtId="1" fontId="0" fillId="4" borderId="4" xfId="0" applyNumberFormat="1" applyFill="1" applyBorder="1" applyAlignment="1">
      <alignment vertical="center"/>
    </xf>
    <xf numFmtId="179" fontId="32" fillId="0" borderId="0" xfId="2" applyNumberFormat="1" applyFont="1"/>
    <xf numFmtId="0" fontId="0" fillId="4" borderId="37" xfId="0" applyFill="1" applyBorder="1"/>
    <xf numFmtId="0" fontId="0" fillId="4" borderId="38" xfId="0" applyFill="1" applyBorder="1"/>
    <xf numFmtId="0" fontId="0" fillId="4" borderId="39" xfId="0" applyFill="1" applyBorder="1"/>
    <xf numFmtId="0" fontId="0" fillId="4" borderId="40" xfId="0" applyFill="1" applyBorder="1"/>
    <xf numFmtId="0" fontId="0" fillId="4" borderId="41" xfId="0" applyNumberFormat="1" applyFill="1" applyBorder="1" applyAlignment="1">
      <alignment vertical="center"/>
    </xf>
    <xf numFmtId="0" fontId="0" fillId="4" borderId="42" xfId="0" applyFill="1" applyBorder="1"/>
    <xf numFmtId="177" fontId="0" fillId="4" borderId="0" xfId="0" applyNumberFormat="1" applyFill="1" applyBorder="1"/>
    <xf numFmtId="2" fontId="22" fillId="4" borderId="0" xfId="0" applyNumberFormat="1" applyFont="1" applyFill="1" applyBorder="1" applyAlignment="1">
      <alignment horizontal="right" vertical="center"/>
    </xf>
    <xf numFmtId="1" fontId="22" fillId="4" borderId="0" xfId="0" applyNumberFormat="1" applyFont="1" applyFill="1" applyBorder="1" applyAlignment="1">
      <alignment horizontal="right" vertical="center"/>
    </xf>
    <xf numFmtId="0" fontId="32" fillId="4" borderId="53" xfId="0" applyFont="1" applyFill="1" applyBorder="1"/>
    <xf numFmtId="0" fontId="32" fillId="4" borderId="37" xfId="0" applyFont="1" applyFill="1" applyBorder="1"/>
    <xf numFmtId="0" fontId="0" fillId="0" borderId="0" xfId="0"/>
    <xf numFmtId="178" fontId="0" fillId="6" borderId="1" xfId="2" applyFont="1" applyFill="1" applyBorder="1" applyAlignment="1">
      <alignment vertical="center"/>
    </xf>
    <xf numFmtId="9" fontId="0" fillId="6" borderId="0" xfId="2" applyNumberFormat="1" applyFont="1" applyFill="1" applyBorder="1" applyAlignment="1">
      <alignment vertical="center"/>
    </xf>
    <xf numFmtId="179" fontId="41" fillId="16" borderId="0" xfId="2" applyNumberFormat="1" applyFont="1" applyFill="1"/>
    <xf numFmtId="0" fontId="0" fillId="6" borderId="0" xfId="0" applyFill="1"/>
    <xf numFmtId="181" fontId="0" fillId="4" borderId="47" xfId="2" applyNumberFormat="1" applyFont="1" applyFill="1" applyBorder="1" applyAlignment="1">
      <alignment vertical="center"/>
    </xf>
    <xf numFmtId="184" fontId="0" fillId="4" borderId="0" xfId="1" applyFont="1" applyFill="1" applyBorder="1"/>
    <xf numFmtId="9" fontId="0" fillId="4" borderId="0" xfId="1" applyNumberFormat="1" applyFont="1" applyFill="1" applyBorder="1" applyAlignment="1">
      <alignment vertical="center"/>
    </xf>
    <xf numFmtId="184" fontId="0" fillId="4" borderId="0" xfId="1" applyFont="1" applyFill="1" applyBorder="1" applyAlignment="1">
      <alignment vertical="center"/>
    </xf>
    <xf numFmtId="0" fontId="22" fillId="4" borderId="0" xfId="0" applyNumberFormat="1" applyFont="1" applyFill="1" applyBorder="1" applyAlignment="1">
      <alignment horizontal="right" vertical="center"/>
    </xf>
    <xf numFmtId="0" fontId="22" fillId="4" borderId="7" xfId="0" applyNumberFormat="1" applyFont="1" applyFill="1" applyBorder="1" applyAlignment="1">
      <alignment horizontal="left" vertical="center"/>
    </xf>
    <xf numFmtId="0" fontId="30" fillId="4" borderId="7" xfId="0" applyNumberFormat="1" applyFont="1" applyFill="1" applyBorder="1" applyAlignment="1">
      <alignment horizontal="left" vertical="center"/>
    </xf>
    <xf numFmtId="0" fontId="30" fillId="4" borderId="0" xfId="0" applyNumberFormat="1" applyFont="1" applyFill="1" applyBorder="1" applyAlignment="1">
      <alignment horizontal="left" vertical="center"/>
    </xf>
    <xf numFmtId="0" fontId="0" fillId="4" borderId="0" xfId="0" applyFill="1" applyBorder="1" applyAlignment="1">
      <alignment horizontal="right" vertical="center"/>
    </xf>
    <xf numFmtId="0" fontId="0" fillId="0" borderId="0" xfId="0" applyFill="1" applyBorder="1" applyAlignment="1">
      <alignment horizontal="justify" textRotation="180"/>
    </xf>
    <xf numFmtId="0" fontId="32" fillId="0" borderId="0" xfId="859" applyFont="1" applyFill="1" applyBorder="1" applyAlignment="1">
      <alignment vertical="center"/>
    </xf>
    <xf numFmtId="0" fontId="23" fillId="0" borderId="0" xfId="0" applyFont="1" applyFill="1" applyBorder="1" applyAlignment="1">
      <alignment horizontal="center" vertical="center"/>
    </xf>
    <xf numFmtId="0" fontId="23" fillId="0" borderId="0" xfId="0" applyFont="1" applyFill="1" applyBorder="1" applyAlignment="1"/>
    <xf numFmtId="0" fontId="0" fillId="57" borderId="0" xfId="0" applyFill="1"/>
    <xf numFmtId="0" fontId="0" fillId="57" borderId="0" xfId="0" applyFill="1" applyBorder="1"/>
    <xf numFmtId="0" fontId="0" fillId="57" borderId="0" xfId="0" applyFill="1" applyBorder="1" applyAlignment="1">
      <alignment horizontal="left"/>
    </xf>
    <xf numFmtId="181" fontId="22" fillId="57" borderId="0" xfId="2" applyNumberFormat="1" applyFont="1" applyFill="1" applyBorder="1"/>
    <xf numFmtId="0" fontId="0" fillId="57" borderId="0" xfId="0" applyFill="1" applyBorder="1" applyAlignment="1">
      <alignment horizontal="justify" textRotation="180"/>
    </xf>
    <xf numFmtId="0" fontId="0" fillId="57" borderId="0" xfId="0" applyFill="1" applyBorder="1" applyAlignment="1">
      <alignment vertical="center"/>
    </xf>
    <xf numFmtId="0" fontId="23" fillId="57" borderId="0" xfId="0" applyFont="1" applyFill="1" applyBorder="1" applyAlignment="1"/>
    <xf numFmtId="0" fontId="0" fillId="57" borderId="0" xfId="0" applyFill="1" applyAlignment="1">
      <alignment vertical="center"/>
    </xf>
    <xf numFmtId="0" fontId="0" fillId="0" borderId="32" xfId="0" applyFill="1" applyBorder="1"/>
    <xf numFmtId="0" fontId="0" fillId="0" borderId="33" xfId="0" applyFill="1" applyBorder="1"/>
    <xf numFmtId="0" fontId="32" fillId="0" borderId="0" xfId="0" applyFont="1" applyFill="1" applyBorder="1" applyAlignment="1">
      <alignment horizontal="center" vertical="center"/>
    </xf>
    <xf numFmtId="0" fontId="0" fillId="0" borderId="0" xfId="0" applyFont="1" applyFill="1" applyBorder="1" applyAlignment="1"/>
    <xf numFmtId="178" fontId="0" fillId="4" borderId="14" xfId="2" applyNumberFormat="1" applyFont="1" applyFill="1" applyBorder="1" applyAlignment="1">
      <alignment vertical="center"/>
    </xf>
    <xf numFmtId="0" fontId="0" fillId="4" borderId="30" xfId="0" applyFont="1" applyFill="1" applyBorder="1"/>
    <xf numFmtId="0" fontId="0" fillId="4" borderId="23" xfId="0" applyNumberFormat="1" applyFill="1" applyBorder="1" applyAlignment="1">
      <alignment vertical="center"/>
    </xf>
    <xf numFmtId="0" fontId="0" fillId="4" borderId="23" xfId="0" applyFill="1" applyBorder="1" applyAlignment="1">
      <alignment vertical="center"/>
    </xf>
    <xf numFmtId="179" fontId="0" fillId="4" borderId="23" xfId="2" applyNumberFormat="1" applyFont="1" applyFill="1" applyBorder="1" applyAlignment="1">
      <alignment vertical="center"/>
    </xf>
    <xf numFmtId="179" fontId="0" fillId="4" borderId="23" xfId="2" applyNumberFormat="1" applyFont="1" applyFill="1" applyBorder="1" applyAlignment="1">
      <alignment horizontal="right" vertical="center"/>
    </xf>
    <xf numFmtId="0" fontId="30" fillId="57" borderId="9" xfId="0" applyNumberFormat="1" applyFont="1" applyFill="1" applyBorder="1" applyAlignment="1">
      <alignment horizontal="right" vertical="center"/>
    </xf>
    <xf numFmtId="0" fontId="30" fillId="57" borderId="11" xfId="0" applyNumberFormat="1" applyFont="1" applyFill="1" applyBorder="1" applyAlignment="1">
      <alignment horizontal="right" vertical="center"/>
    </xf>
    <xf numFmtId="1" fontId="32" fillId="0" borderId="0" xfId="0" applyNumberFormat="1" applyFont="1"/>
    <xf numFmtId="181" fontId="22" fillId="0" borderId="0" xfId="2" applyNumberFormat="1" applyFont="1" applyFill="1" applyBorder="1"/>
    <xf numFmtId="0" fontId="0" fillId="0" borderId="0" xfId="0" applyFill="1" applyBorder="1" applyAlignment="1">
      <alignment horizontal="left" indent="1"/>
    </xf>
    <xf numFmtId="0" fontId="23" fillId="0" borderId="0" xfId="0" applyFont="1" applyFill="1" applyBorder="1"/>
    <xf numFmtId="0" fontId="30" fillId="6" borderId="8" xfId="0" applyFont="1" applyFill="1" applyBorder="1" applyAlignment="1">
      <alignment vertical="center"/>
    </xf>
    <xf numFmtId="171" fontId="0" fillId="6" borderId="0" xfId="0" applyNumberFormat="1" applyFill="1" applyBorder="1" applyAlignment="1">
      <alignment vertical="center"/>
    </xf>
    <xf numFmtId="0" fontId="32" fillId="0" borderId="0" xfId="0" applyFont="1" applyAlignment="1"/>
    <xf numFmtId="1" fontId="0" fillId="4" borderId="0" xfId="0" applyNumberFormat="1" applyFill="1"/>
    <xf numFmtId="171" fontId="22" fillId="4" borderId="0" xfId="2" applyNumberFormat="1" applyFont="1" applyFill="1" applyBorder="1" applyAlignment="1">
      <alignment horizontal="right" vertical="center"/>
    </xf>
    <xf numFmtId="0" fontId="26" fillId="7" borderId="30" xfId="0" applyFont="1" applyFill="1" applyBorder="1" applyAlignment="1">
      <alignment horizontal="left" vertical="center" indent="1"/>
    </xf>
    <xf numFmtId="0" fontId="0" fillId="4" borderId="0" xfId="0" applyFont="1" applyFill="1" applyBorder="1" applyAlignment="1">
      <alignment horizontal="left" indent="1"/>
    </xf>
    <xf numFmtId="178" fontId="0" fillId="4" borderId="46" xfId="2" applyFont="1" applyFill="1" applyBorder="1" applyAlignment="1">
      <alignment horizontal="right" vertical="center"/>
    </xf>
    <xf numFmtId="178" fontId="0" fillId="4" borderId="36" xfId="2" applyFont="1" applyFill="1" applyBorder="1" applyAlignment="1">
      <alignment horizontal="right" vertical="center"/>
    </xf>
    <xf numFmtId="178" fontId="0" fillId="4" borderId="20" xfId="2" applyFont="1" applyFill="1" applyBorder="1" applyAlignment="1">
      <alignment horizontal="right" vertical="center"/>
    </xf>
    <xf numFmtId="178" fontId="0" fillId="4" borderId="20" xfId="2" applyFont="1" applyFill="1" applyBorder="1" applyAlignment="1">
      <alignment vertical="center"/>
    </xf>
    <xf numFmtId="0" fontId="0" fillId="4" borderId="0" xfId="0" applyNumberFormat="1" applyFill="1" applyBorder="1" applyAlignment="1">
      <alignment horizontal="center" vertical="center"/>
    </xf>
    <xf numFmtId="0" fontId="22" fillId="6" borderId="33" xfId="0" applyFont="1" applyFill="1" applyBorder="1" applyAlignment="1">
      <alignment vertical="center"/>
    </xf>
    <xf numFmtId="0" fontId="27" fillId="0" borderId="0" xfId="0" applyFont="1" applyAlignment="1">
      <alignment horizontal="left" vertical="center"/>
    </xf>
    <xf numFmtId="0" fontId="30" fillId="6" borderId="9" xfId="0" applyFont="1" applyFill="1" applyBorder="1" applyAlignment="1">
      <alignment vertical="center"/>
    </xf>
    <xf numFmtId="0" fontId="42" fillId="4" borderId="32" xfId="4" applyNumberFormat="1" applyFill="1" applyBorder="1" applyAlignment="1">
      <alignment horizontal="left" indent="1"/>
    </xf>
    <xf numFmtId="0" fontId="32" fillId="4" borderId="0" xfId="0" applyFont="1" applyFill="1"/>
    <xf numFmtId="0" fontId="0" fillId="4" borderId="5" xfId="0" applyFill="1" applyBorder="1" applyAlignment="1">
      <alignment vertical="center"/>
    </xf>
    <xf numFmtId="179" fontId="0" fillId="4" borderId="0" xfId="2" applyNumberFormat="1" applyFont="1" applyFill="1" applyBorder="1"/>
    <xf numFmtId="0" fontId="32" fillId="9" borderId="25" xfId="0" applyFont="1" applyFill="1" applyBorder="1"/>
    <xf numFmtId="4" fontId="0" fillId="0" borderId="0" xfId="0" applyNumberFormat="1"/>
    <xf numFmtId="0" fontId="0" fillId="4" borderId="46" xfId="0" applyNumberFormat="1" applyFill="1" applyBorder="1" applyAlignment="1">
      <alignment horizontal="left" vertical="center"/>
    </xf>
    <xf numFmtId="2" fontId="0" fillId="4" borderId="0" xfId="0" applyNumberFormat="1" applyFill="1" applyBorder="1"/>
    <xf numFmtId="0" fontId="0" fillId="4" borderId="33" xfId="0" applyFill="1" applyBorder="1" applyAlignment="1"/>
    <xf numFmtId="0" fontId="0" fillId="4" borderId="23" xfId="0" applyNumberFormat="1" applyFill="1" applyBorder="1"/>
    <xf numFmtId="177" fontId="0" fillId="4" borderId="1" xfId="1" applyNumberFormat="1" applyFont="1" applyFill="1" applyBorder="1" applyAlignment="1">
      <alignment vertical="center"/>
    </xf>
    <xf numFmtId="184" fontId="0" fillId="4" borderId="65" xfId="1" applyFont="1" applyFill="1" applyBorder="1" applyAlignment="1">
      <alignment vertical="center"/>
    </xf>
    <xf numFmtId="186" fontId="0" fillId="4" borderId="0" xfId="0" applyNumberFormat="1" applyFill="1" applyBorder="1" applyAlignment="1">
      <alignment vertical="center"/>
    </xf>
    <xf numFmtId="183" fontId="0" fillId="4" borderId="0" xfId="2" applyNumberFormat="1" applyFont="1" applyFill="1" applyBorder="1" applyAlignment="1">
      <alignment vertical="center"/>
    </xf>
    <xf numFmtId="0" fontId="99" fillId="0" borderId="0" xfId="0" applyFont="1" applyFill="1" applyBorder="1"/>
    <xf numFmtId="179" fontId="0" fillId="4" borderId="0" xfId="2" applyNumberFormat="1" applyFont="1" applyFill="1" applyBorder="1" applyAlignment="1">
      <alignment vertical="center"/>
    </xf>
    <xf numFmtId="179" fontId="0" fillId="4" borderId="0" xfId="2" applyNumberFormat="1" applyFont="1" applyFill="1" applyBorder="1" applyAlignment="1">
      <alignment horizontal="right" vertical="center"/>
    </xf>
    <xf numFmtId="0" fontId="32" fillId="6" borderId="0" xfId="0" applyFont="1" applyFill="1" applyBorder="1" applyAlignment="1">
      <alignment horizontal="right"/>
    </xf>
    <xf numFmtId="1" fontId="0" fillId="4" borderId="0" xfId="0" applyNumberFormat="1" applyFill="1" applyBorder="1" applyAlignment="1">
      <alignment horizontal="right"/>
    </xf>
    <xf numFmtId="174" fontId="0" fillId="4" borderId="0" xfId="0" applyNumberFormat="1" applyFill="1" applyBorder="1" applyAlignment="1">
      <alignment horizontal="left"/>
    </xf>
    <xf numFmtId="1" fontId="0" fillId="4" borderId="0" xfId="2" applyNumberFormat="1" applyFont="1" applyFill="1" applyBorder="1"/>
    <xf numFmtId="1" fontId="0" fillId="4" borderId="1" xfId="2" applyNumberFormat="1" applyFont="1" applyFill="1" applyBorder="1"/>
    <xf numFmtId="0" fontId="0" fillId="15" borderId="0" xfId="0" applyFont="1" applyFill="1"/>
    <xf numFmtId="0" fontId="0" fillId="15" borderId="0" xfId="0" applyFill="1"/>
    <xf numFmtId="178" fontId="23" fillId="15" borderId="0" xfId="2" applyFont="1" applyFill="1"/>
    <xf numFmtId="0" fontId="0" fillId="15" borderId="0" xfId="0" quotePrefix="1" applyFont="1" applyFill="1"/>
    <xf numFmtId="0" fontId="30" fillId="6" borderId="16" xfId="0" applyNumberFormat="1" applyFont="1" applyFill="1" applyBorder="1" applyAlignment="1">
      <alignment horizontal="center" vertical="center"/>
    </xf>
    <xf numFmtId="0" fontId="30" fillId="6" borderId="17" xfId="0" applyNumberFormat="1" applyFont="1" applyFill="1" applyBorder="1" applyAlignment="1">
      <alignment horizontal="center" vertical="center"/>
    </xf>
    <xf numFmtId="0" fontId="30" fillId="5" borderId="16" xfId="0" applyNumberFormat="1" applyFont="1" applyFill="1" applyBorder="1" applyAlignment="1">
      <alignment horizontal="center" vertical="center"/>
    </xf>
    <xf numFmtId="0" fontId="30" fillId="5" borderId="17" xfId="0" applyNumberFormat="1" applyFont="1" applyFill="1" applyBorder="1" applyAlignment="1">
      <alignment horizontal="center" vertical="center"/>
    </xf>
    <xf numFmtId="0" fontId="0" fillId="15" borderId="0" xfId="0" applyFill="1" applyBorder="1"/>
    <xf numFmtId="1" fontId="100" fillId="4" borderId="0" xfId="0" applyNumberFormat="1" applyFont="1" applyFill="1" applyAlignment="1">
      <alignment horizontal="center"/>
    </xf>
    <xf numFmtId="0" fontId="100" fillId="4" borderId="0" xfId="0" applyFont="1" applyFill="1" applyAlignment="1">
      <alignment horizontal="center"/>
    </xf>
    <xf numFmtId="181" fontId="0" fillId="4" borderId="0" xfId="2" applyNumberFormat="1" applyFont="1" applyFill="1" applyBorder="1" applyAlignment="1">
      <alignment horizontal="right" vertical="center"/>
    </xf>
    <xf numFmtId="181" fontId="0" fillId="4" borderId="10" xfId="2" applyNumberFormat="1" applyFont="1" applyFill="1" applyBorder="1" applyAlignment="1">
      <alignment vertical="center"/>
    </xf>
    <xf numFmtId="184" fontId="0" fillId="4" borderId="1" xfId="1" applyFont="1" applyFill="1" applyBorder="1" applyAlignment="1">
      <alignment vertical="center"/>
    </xf>
    <xf numFmtId="1" fontId="100" fillId="4" borderId="0" xfId="0" applyNumberFormat="1" applyFont="1" applyFill="1" applyBorder="1" applyAlignment="1">
      <alignment horizontal="right" vertical="center"/>
    </xf>
    <xf numFmtId="178" fontId="0" fillId="4" borderId="1" xfId="2" applyFont="1" applyFill="1" applyBorder="1" applyAlignment="1">
      <alignment vertical="center"/>
    </xf>
    <xf numFmtId="178" fontId="0" fillId="4" borderId="65" xfId="2" applyFont="1" applyFill="1" applyBorder="1" applyAlignment="1">
      <alignment vertical="center"/>
    </xf>
    <xf numFmtId="179" fontId="23" fillId="0" borderId="0" xfId="2" applyNumberFormat="1" applyFont="1" applyFill="1"/>
    <xf numFmtId="0" fontId="56" fillId="0" borderId="0" xfId="0" applyFont="1" applyFill="1"/>
    <xf numFmtId="0" fontId="32" fillId="0" borderId="0" xfId="0" applyFont="1" applyFill="1"/>
    <xf numFmtId="178" fontId="32" fillId="0" borderId="0" xfId="2" applyFont="1" applyFill="1"/>
    <xf numFmtId="0" fontId="20" fillId="0" borderId="0" xfId="0" applyFont="1" applyAlignment="1">
      <alignment vertical="center"/>
    </xf>
    <xf numFmtId="0" fontId="20" fillId="6" borderId="32" xfId="0" applyFont="1" applyFill="1" applyBorder="1" applyAlignment="1">
      <alignment vertical="center"/>
    </xf>
    <xf numFmtId="178" fontId="0" fillId="6" borderId="0" xfId="2" applyNumberFormat="1" applyFont="1" applyFill="1" applyBorder="1" applyAlignment="1">
      <alignment horizontal="right" vertical="center"/>
    </xf>
    <xf numFmtId="0" fontId="26" fillId="0" borderId="0" xfId="0" applyFont="1" applyFill="1" applyBorder="1" applyAlignment="1">
      <alignment horizontal="left" vertical="center" indent="1"/>
    </xf>
    <xf numFmtId="0" fontId="0" fillId="0" borderId="0" xfId="0" applyFont="1" applyFill="1" applyBorder="1" applyAlignment="1">
      <alignment horizontal="left" indent="1"/>
    </xf>
    <xf numFmtId="0" fontId="32" fillId="0" borderId="0" xfId="0" applyFont="1" applyFill="1" applyBorder="1" applyAlignment="1">
      <alignment vertical="center"/>
    </xf>
    <xf numFmtId="0" fontId="32" fillId="0" borderId="0" xfId="0" applyFont="1" applyFill="1" applyBorder="1" applyAlignment="1">
      <alignment horizontal="right" vertical="center"/>
    </xf>
    <xf numFmtId="0" fontId="32" fillId="0" borderId="0" xfId="0" applyNumberFormat="1" applyFont="1" applyFill="1" applyBorder="1" applyAlignment="1">
      <alignment horizontal="right" vertical="center"/>
    </xf>
    <xf numFmtId="0" fontId="32" fillId="0" borderId="0" xfId="0" applyNumberFormat="1" applyFont="1" applyFill="1" applyBorder="1" applyAlignment="1">
      <alignment horizontal="left" vertical="center"/>
    </xf>
    <xf numFmtId="0" fontId="0" fillId="0" borderId="0" xfId="0" applyFont="1" applyFill="1" applyBorder="1" applyAlignment="1">
      <alignment horizontal="right" vertical="center"/>
    </xf>
    <xf numFmtId="0" fontId="0" fillId="0" borderId="0" xfId="0" applyNumberFormat="1" applyFill="1" applyBorder="1" applyAlignment="1">
      <alignment vertical="center"/>
    </xf>
    <xf numFmtId="0" fontId="0" fillId="4" borderId="25" xfId="0" applyFill="1" applyBorder="1" applyAlignment="1">
      <alignment vertical="center"/>
    </xf>
    <xf numFmtId="181" fontId="0" fillId="4" borderId="46" xfId="2" applyNumberFormat="1" applyFont="1" applyFill="1" applyBorder="1" applyAlignment="1">
      <alignment horizontal="right" vertical="center"/>
    </xf>
    <xf numFmtId="0" fontId="22" fillId="0" borderId="0" xfId="0" applyFont="1" applyFill="1" applyBorder="1" applyAlignment="1">
      <alignment vertical="center"/>
    </xf>
    <xf numFmtId="0" fontId="22" fillId="0" borderId="0" xfId="0" applyFont="1" applyFill="1" applyBorder="1" applyAlignment="1">
      <alignment horizontal="right" vertical="center"/>
    </xf>
    <xf numFmtId="1" fontId="30" fillId="0" borderId="0" xfId="0" applyNumberFormat="1" applyFont="1" applyFill="1" applyBorder="1" applyAlignment="1">
      <alignment horizontal="right" vertical="center"/>
    </xf>
    <xf numFmtId="0" fontId="0" fillId="0" borderId="0" xfId="0" applyNumberFormat="1" applyFill="1" applyBorder="1" applyAlignment="1">
      <alignment horizontal="left" vertical="center"/>
    </xf>
    <xf numFmtId="174" fontId="100" fillId="0" borderId="0" xfId="0" applyNumberFormat="1" applyFont="1" applyAlignment="1">
      <alignment horizontal="center" vertical="center"/>
    </xf>
    <xf numFmtId="0" fontId="23" fillId="0" borderId="0" xfId="859" applyFont="1" applyFill="1" applyBorder="1"/>
    <xf numFmtId="179" fontId="23" fillId="0" borderId="0" xfId="2" applyNumberFormat="1" applyFont="1" applyFill="1" applyBorder="1"/>
    <xf numFmtId="179" fontId="23" fillId="0" borderId="0" xfId="859" applyNumberFormat="1" applyFont="1" applyFill="1" applyBorder="1"/>
    <xf numFmtId="0" fontId="13" fillId="0" borderId="0" xfId="859" applyFont="1" applyFill="1" applyBorder="1"/>
    <xf numFmtId="0" fontId="23" fillId="0" borderId="32" xfId="0" applyFont="1" applyFill="1" applyBorder="1"/>
    <xf numFmtId="0" fontId="23" fillId="0" borderId="0" xfId="859" applyFont="1" applyFill="1"/>
    <xf numFmtId="0" fontId="13" fillId="0" borderId="0" xfId="859" applyFont="1" applyFill="1"/>
    <xf numFmtId="0" fontId="23" fillId="0" borderId="0" xfId="0" applyFont="1" applyFill="1" applyBorder="1" applyAlignment="1">
      <alignment vertical="center"/>
    </xf>
    <xf numFmtId="0" fontId="23" fillId="0" borderId="0" xfId="0" applyFont="1" applyFill="1" applyBorder="1" applyAlignment="1">
      <alignment horizontal="right" vertical="center"/>
    </xf>
    <xf numFmtId="179" fontId="23" fillId="0" borderId="0" xfId="2" applyNumberFormat="1" applyFont="1" applyFill="1" applyBorder="1" applyAlignment="1">
      <alignment horizontal="right" vertical="center"/>
    </xf>
    <xf numFmtId="0" fontId="23" fillId="0" borderId="0" xfId="0" applyNumberFormat="1" applyFont="1" applyFill="1" applyBorder="1" applyAlignment="1">
      <alignment vertical="center"/>
    </xf>
    <xf numFmtId="0" fontId="23" fillId="0" borderId="0" xfId="0" applyFont="1" applyFill="1" applyBorder="1" applyAlignment="1">
      <alignment horizontal="left"/>
    </xf>
    <xf numFmtId="0" fontId="23" fillId="0" borderId="0" xfId="0" applyNumberFormat="1" applyFont="1" applyFill="1" applyBorder="1" applyAlignment="1">
      <alignment horizontal="center" vertical="center"/>
    </xf>
    <xf numFmtId="0" fontId="32" fillId="0" borderId="0" xfId="0" applyNumberFormat="1" applyFont="1" applyFill="1" applyBorder="1" applyAlignment="1">
      <alignment horizontal="center" vertical="center"/>
    </xf>
    <xf numFmtId="1" fontId="32" fillId="0" borderId="0" xfId="0" applyNumberFormat="1" applyFont="1" applyFill="1" applyBorder="1" applyAlignment="1">
      <alignment horizontal="center" vertical="center"/>
    </xf>
    <xf numFmtId="0" fontId="23" fillId="0" borderId="0" xfId="859" applyFont="1" applyFill="1" applyBorder="1" applyAlignment="1">
      <alignment horizontal="center"/>
    </xf>
    <xf numFmtId="1" fontId="23" fillId="0" borderId="0" xfId="2" applyNumberFormat="1" applyFont="1" applyFill="1" applyBorder="1" applyAlignment="1">
      <alignment horizontal="center" vertical="center"/>
    </xf>
    <xf numFmtId="1" fontId="23" fillId="0" borderId="0" xfId="0" applyNumberFormat="1" applyFont="1" applyFill="1" applyBorder="1" applyAlignment="1">
      <alignment horizontal="center"/>
    </xf>
    <xf numFmtId="179" fontId="23" fillId="0" borderId="0" xfId="2" applyNumberFormat="1" applyFont="1" applyFill="1" applyBorder="1" applyAlignment="1">
      <alignment horizontal="center" vertical="center"/>
    </xf>
    <xf numFmtId="0" fontId="23" fillId="0" borderId="0" xfId="0" applyFont="1" applyFill="1" applyBorder="1" applyAlignment="1">
      <alignment horizontal="center"/>
    </xf>
    <xf numFmtId="0" fontId="47" fillId="57" borderId="0" xfId="0" applyFont="1" applyFill="1"/>
    <xf numFmtId="0" fontId="27" fillId="57" borderId="0" xfId="0" applyFont="1" applyFill="1" applyAlignment="1">
      <alignment vertical="center"/>
    </xf>
    <xf numFmtId="0" fontId="56" fillId="57" borderId="0" xfId="0" applyFont="1" applyFill="1"/>
    <xf numFmtId="0" fontId="0" fillId="57" borderId="0" xfId="0" applyFont="1" applyFill="1" applyBorder="1" applyAlignment="1">
      <alignment horizontal="left" indent="1"/>
    </xf>
    <xf numFmtId="0" fontId="0" fillId="57" borderId="0" xfId="0" applyNumberFormat="1" applyFill="1" applyBorder="1" applyAlignment="1">
      <alignment horizontal="right" vertical="center"/>
    </xf>
    <xf numFmtId="181" fontId="0" fillId="57" borderId="0" xfId="2" applyNumberFormat="1" applyFont="1" applyFill="1" applyBorder="1" applyAlignment="1">
      <alignment vertical="center"/>
    </xf>
    <xf numFmtId="178" fontId="0" fillId="57" borderId="0" xfId="2" applyFont="1" applyFill="1" applyBorder="1" applyAlignment="1">
      <alignment horizontal="right" vertical="center"/>
    </xf>
    <xf numFmtId="0" fontId="0" fillId="4" borderId="0" xfId="0" applyFill="1" applyAlignment="1">
      <alignment horizontal="left" indent="1"/>
    </xf>
    <xf numFmtId="0" fontId="0" fillId="4" borderId="0" xfId="0" applyNumberFormat="1" applyFont="1" applyFill="1" applyBorder="1" applyAlignment="1">
      <alignment vertical="center"/>
    </xf>
    <xf numFmtId="0" fontId="56" fillId="57" borderId="0" xfId="0" applyFont="1" applyFill="1" applyAlignment="1">
      <alignment vertical="center"/>
    </xf>
    <xf numFmtId="174" fontId="0" fillId="4" borderId="1" xfId="0" applyNumberFormat="1" applyFill="1" applyBorder="1" applyAlignment="1">
      <alignment horizontal="left"/>
    </xf>
    <xf numFmtId="0" fontId="35" fillId="57" borderId="0" xfId="0" applyFont="1" applyFill="1"/>
    <xf numFmtId="0" fontId="32" fillId="0" borderId="0" xfId="2" applyNumberFormat="1" applyFont="1"/>
    <xf numFmtId="0" fontId="102" fillId="0" borderId="0" xfId="0" applyFont="1"/>
    <xf numFmtId="172" fontId="38" fillId="0" borderId="0" xfId="0" applyNumberFormat="1" applyFont="1"/>
    <xf numFmtId="0" fontId="25" fillId="57" borderId="0" xfId="0" applyFont="1" applyFill="1"/>
    <xf numFmtId="0" fontId="103" fillId="0" borderId="0" xfId="0" applyFont="1"/>
    <xf numFmtId="0" fontId="0" fillId="26" borderId="0" xfId="0" applyFill="1" applyBorder="1"/>
    <xf numFmtId="0" fontId="0" fillId="26" borderId="0" xfId="0" applyNumberFormat="1" applyFill="1" applyBorder="1"/>
    <xf numFmtId="0" fontId="0" fillId="4" borderId="1" xfId="0" applyFill="1" applyBorder="1" applyAlignment="1">
      <alignment wrapText="1"/>
    </xf>
    <xf numFmtId="0" fontId="0" fillId="4" borderId="52" xfId="0" applyFill="1" applyBorder="1"/>
    <xf numFmtId="0" fontId="0" fillId="4" borderId="53" xfId="0" applyFill="1" applyBorder="1"/>
    <xf numFmtId="0" fontId="0" fillId="4" borderId="0" xfId="0" applyFill="1" applyBorder="1" applyAlignment="1">
      <alignment horizontal="center"/>
    </xf>
    <xf numFmtId="9" fontId="0" fillId="4" borderId="0" xfId="0" applyNumberFormat="1" applyFill="1" applyBorder="1" applyAlignment="1">
      <alignment horizontal="center"/>
    </xf>
    <xf numFmtId="9" fontId="0" fillId="4" borderId="46" xfId="2" applyNumberFormat="1" applyFont="1" applyFill="1" applyBorder="1" applyAlignment="1">
      <alignment horizontal="center" vertical="center"/>
    </xf>
    <xf numFmtId="0" fontId="0" fillId="4" borderId="0" xfId="0" applyFill="1" applyBorder="1" applyAlignment="1">
      <alignment horizontal="right" indent="1"/>
    </xf>
    <xf numFmtId="0" fontId="0" fillId="4" borderId="0" xfId="0" applyNumberFormat="1" applyFill="1" applyBorder="1" applyAlignment="1">
      <alignment horizontal="center"/>
    </xf>
    <xf numFmtId="0" fontId="0" fillId="4" borderId="53" xfId="0" applyNumberFormat="1" applyFill="1" applyBorder="1" applyAlignment="1">
      <alignment horizontal="center"/>
    </xf>
    <xf numFmtId="0" fontId="0" fillId="4" borderId="0" xfId="0" applyFill="1" applyBorder="1" applyAlignment="1">
      <alignment horizontal="right" vertical="center" indent="1"/>
    </xf>
    <xf numFmtId="0" fontId="104" fillId="4" borderId="0" xfId="4" applyNumberFormat="1" applyFont="1" applyFill="1" applyBorder="1" applyAlignment="1">
      <alignment horizontal="left"/>
    </xf>
    <xf numFmtId="9" fontId="43" fillId="4" borderId="0" xfId="4" applyNumberFormat="1" applyFont="1" applyFill="1" applyBorder="1" applyAlignment="1">
      <alignment horizontal="right"/>
    </xf>
    <xf numFmtId="0" fontId="0" fillId="0" borderId="0" xfId="0" applyFill="1" applyAlignment="1"/>
    <xf numFmtId="0" fontId="0" fillId="4" borderId="43" xfId="0" applyFill="1" applyBorder="1"/>
    <xf numFmtId="0" fontId="75" fillId="0" borderId="0" xfId="230" applyFill="1" applyAlignment="1" applyProtection="1">
      <alignment vertical="center"/>
    </xf>
    <xf numFmtId="0" fontId="30" fillId="4" borderId="0" xfId="0" applyFont="1" applyFill="1" applyBorder="1" applyAlignment="1">
      <alignment horizontal="center" vertical="center"/>
    </xf>
    <xf numFmtId="1" fontId="32" fillId="4" borderId="46" xfId="2" applyNumberFormat="1" applyFont="1" applyFill="1" applyBorder="1" applyAlignment="1">
      <alignment vertical="center"/>
    </xf>
    <xf numFmtId="0" fontId="30" fillId="4" borderId="0" xfId="0" applyFont="1" applyFill="1" applyBorder="1" applyAlignment="1">
      <alignment horizontal="right" vertical="center"/>
    </xf>
    <xf numFmtId="0" fontId="0" fillId="0" borderId="0" xfId="0" applyAlignment="1">
      <alignment horizontal="left"/>
    </xf>
    <xf numFmtId="0" fontId="0" fillId="4" borderId="7" xfId="0" applyNumberFormat="1" applyFill="1" applyBorder="1" applyAlignment="1">
      <alignment vertical="center"/>
    </xf>
    <xf numFmtId="0" fontId="32" fillId="4" borderId="4" xfId="0" applyNumberFormat="1" applyFont="1" applyFill="1" applyBorder="1" applyAlignment="1">
      <alignment vertical="center"/>
    </xf>
    <xf numFmtId="0" fontId="32" fillId="4" borderId="4" xfId="0" applyFont="1" applyFill="1" applyBorder="1" applyAlignment="1">
      <alignment vertical="center"/>
    </xf>
    <xf numFmtId="9" fontId="32" fillId="4" borderId="4" xfId="0" applyNumberFormat="1" applyFont="1" applyFill="1" applyBorder="1" applyAlignment="1">
      <alignment vertical="center"/>
    </xf>
    <xf numFmtId="179" fontId="32" fillId="4" borderId="68" xfId="2" applyNumberFormat="1" applyFont="1" applyFill="1" applyBorder="1" applyAlignment="1">
      <alignment vertical="center"/>
    </xf>
    <xf numFmtId="0" fontId="30" fillId="4" borderId="4" xfId="0" applyFont="1" applyFill="1" applyBorder="1" applyAlignment="1">
      <alignment vertical="center"/>
    </xf>
    <xf numFmtId="0" fontId="30" fillId="4" borderId="68" xfId="0" applyFont="1" applyFill="1" applyBorder="1" applyAlignment="1">
      <alignment horizontal="right" vertical="center"/>
    </xf>
    <xf numFmtId="0" fontId="30" fillId="4" borderId="69" xfId="0" applyNumberFormat="1" applyFont="1" applyFill="1" applyBorder="1" applyAlignment="1">
      <alignment horizontal="right" vertical="center"/>
    </xf>
    <xf numFmtId="0" fontId="30" fillId="4" borderId="70" xfId="0" applyNumberFormat="1" applyFont="1" applyFill="1" applyBorder="1" applyAlignment="1">
      <alignment horizontal="right" vertical="center"/>
    </xf>
    <xf numFmtId="0" fontId="30" fillId="4" borderId="68" xfId="0" applyFont="1" applyFill="1" applyBorder="1" applyAlignment="1">
      <alignment horizontal="center" vertical="center"/>
    </xf>
    <xf numFmtId="0" fontId="30" fillId="4" borderId="69" xfId="0" applyNumberFormat="1" applyFont="1" applyFill="1" applyBorder="1" applyAlignment="1">
      <alignment horizontal="center" vertical="center"/>
    </xf>
    <xf numFmtId="0" fontId="30" fillId="4" borderId="70" xfId="0" applyNumberFormat="1" applyFont="1" applyFill="1" applyBorder="1" applyAlignment="1">
      <alignment horizontal="center" vertical="center"/>
    </xf>
    <xf numFmtId="0" fontId="0" fillId="4" borderId="49" xfId="0" applyFill="1" applyBorder="1" applyAlignment="1">
      <alignment horizontal="center"/>
    </xf>
    <xf numFmtId="0" fontId="0" fillId="4" borderId="72" xfId="0" applyFill="1" applyBorder="1" applyAlignment="1">
      <alignment horizontal="center"/>
    </xf>
    <xf numFmtId="0" fontId="0" fillId="4" borderId="73" xfId="0" applyFill="1" applyBorder="1" applyAlignment="1">
      <alignment horizontal="center"/>
    </xf>
    <xf numFmtId="0" fontId="0" fillId="4" borderId="71" xfId="0" applyFill="1" applyBorder="1"/>
    <xf numFmtId="172" fontId="0" fillId="4" borderId="74" xfId="0" applyNumberFormat="1" applyFill="1" applyBorder="1" applyAlignment="1">
      <alignment horizontal="left" indent="3"/>
    </xf>
    <xf numFmtId="172" fontId="0" fillId="4" borderId="75" xfId="0" applyNumberFormat="1" applyFill="1" applyBorder="1" applyAlignment="1">
      <alignment horizontal="left" indent="3"/>
    </xf>
    <xf numFmtId="0" fontId="0" fillId="4" borderId="71" xfId="0" applyFill="1" applyBorder="1" applyAlignment="1">
      <alignment horizontal="center"/>
    </xf>
    <xf numFmtId="0" fontId="0" fillId="4" borderId="74" xfId="0" applyFill="1" applyBorder="1" applyAlignment="1">
      <alignment horizontal="center"/>
    </xf>
    <xf numFmtId="0" fontId="0" fillId="4" borderId="75" xfId="0" applyFill="1" applyBorder="1" applyAlignment="1">
      <alignment horizontal="center"/>
    </xf>
    <xf numFmtId="0" fontId="0" fillId="4" borderId="5" xfId="0" applyNumberFormat="1" applyFill="1" applyBorder="1" applyAlignment="1">
      <alignment horizontal="center" vertical="center"/>
    </xf>
    <xf numFmtId="9" fontId="0" fillId="4" borderId="5" xfId="2" applyNumberFormat="1" applyFont="1" applyFill="1" applyBorder="1" applyAlignment="1">
      <alignment vertical="center"/>
    </xf>
    <xf numFmtId="0" fontId="0" fillId="4" borderId="4" xfId="0" applyFill="1" applyBorder="1"/>
    <xf numFmtId="0" fontId="0" fillId="4" borderId="4" xfId="0" applyNumberFormat="1" applyFill="1" applyBorder="1"/>
    <xf numFmtId="0" fontId="30" fillId="4" borderId="9" xfId="0" applyFont="1" applyFill="1" applyBorder="1" applyAlignment="1">
      <alignment horizontal="center" vertical="center"/>
    </xf>
    <xf numFmtId="179" fontId="0" fillId="4" borderId="46" xfId="2" applyNumberFormat="1" applyFont="1" applyFill="1" applyBorder="1" applyAlignment="1">
      <alignment horizontal="right" vertical="center"/>
    </xf>
    <xf numFmtId="177" fontId="0" fillId="4" borderId="74" xfId="0" applyNumberFormat="1" applyFill="1" applyBorder="1" applyAlignment="1">
      <alignment horizontal="left" indent="3"/>
    </xf>
    <xf numFmtId="177" fontId="0" fillId="4" borderId="75" xfId="0" applyNumberFormat="1" applyFill="1" applyBorder="1" applyAlignment="1">
      <alignment horizontal="left" indent="3"/>
    </xf>
    <xf numFmtId="9" fontId="0" fillId="4" borderId="46" xfId="2" applyNumberFormat="1" applyFont="1" applyFill="1" applyBorder="1" applyAlignment="1">
      <alignment horizontal="right" vertical="center"/>
    </xf>
    <xf numFmtId="9" fontId="0" fillId="4" borderId="0" xfId="2" applyNumberFormat="1" applyFont="1" applyFill="1" applyBorder="1" applyAlignment="1">
      <alignment horizontal="right" vertical="center"/>
    </xf>
    <xf numFmtId="177" fontId="0" fillId="4" borderId="19" xfId="2" applyNumberFormat="1" applyFont="1" applyFill="1" applyBorder="1" applyAlignment="1">
      <alignment vertical="center"/>
    </xf>
    <xf numFmtId="1" fontId="22" fillId="4" borderId="0" xfId="0" applyNumberFormat="1" applyFont="1" applyFill="1" applyBorder="1" applyAlignment="1">
      <alignment vertical="center"/>
    </xf>
    <xf numFmtId="177" fontId="32" fillId="4" borderId="0" xfId="0" applyNumberFormat="1" applyFont="1" applyFill="1" applyBorder="1"/>
    <xf numFmtId="0" fontId="32" fillId="4" borderId="1" xfId="0" applyNumberFormat="1" applyFont="1" applyFill="1" applyBorder="1" applyAlignment="1">
      <alignment vertical="center"/>
    </xf>
    <xf numFmtId="0" fontId="32" fillId="4" borderId="1" xfId="0" applyFont="1" applyFill="1" applyBorder="1" applyAlignment="1">
      <alignment vertical="center"/>
    </xf>
    <xf numFmtId="0" fontId="32" fillId="4" borderId="1" xfId="0" applyFont="1" applyFill="1" applyBorder="1"/>
    <xf numFmtId="177" fontId="32" fillId="4" borderId="1" xfId="0" applyNumberFormat="1" applyFont="1" applyFill="1" applyBorder="1"/>
    <xf numFmtId="0" fontId="105" fillId="26" borderId="0" xfId="0" applyFont="1" applyFill="1" applyBorder="1" applyAlignment="1">
      <alignment horizontal="left" vertical="center"/>
    </xf>
    <xf numFmtId="0" fontId="58" fillId="4" borderId="0" xfId="0" applyFont="1" applyFill="1" applyBorder="1" applyAlignment="1">
      <alignment horizontal="left"/>
    </xf>
    <xf numFmtId="2" fontId="0" fillId="4" borderId="0" xfId="0" applyNumberFormat="1" applyFill="1" applyBorder="1" applyAlignment="1">
      <alignment horizontal="left" vertical="center"/>
    </xf>
    <xf numFmtId="2" fontId="0" fillId="4" borderId="1" xfId="0" applyNumberFormat="1" applyFill="1" applyBorder="1" applyAlignment="1">
      <alignment horizontal="left" vertical="center"/>
    </xf>
    <xf numFmtId="1" fontId="0" fillId="4" borderId="1" xfId="0" applyNumberFormat="1" applyFill="1" applyBorder="1" applyAlignment="1">
      <alignment vertical="center"/>
    </xf>
    <xf numFmtId="0" fontId="0" fillId="4" borderId="39" xfId="0" applyNumberFormat="1" applyFill="1" applyBorder="1" applyAlignment="1">
      <alignment vertical="center"/>
    </xf>
    <xf numFmtId="0" fontId="32" fillId="4" borderId="52" xfId="0" applyNumberFormat="1" applyFont="1" applyFill="1" applyBorder="1" applyAlignment="1">
      <alignment vertical="center"/>
    </xf>
    <xf numFmtId="0" fontId="32" fillId="4" borderId="54" xfId="0" applyFont="1" applyFill="1" applyBorder="1" applyAlignment="1">
      <alignment vertical="center"/>
    </xf>
    <xf numFmtId="0" fontId="0" fillId="4" borderId="63" xfId="0" applyFill="1" applyBorder="1" applyAlignment="1">
      <alignment vertical="center"/>
    </xf>
    <xf numFmtId="0" fontId="0" fillId="4" borderId="76" xfId="0" applyFill="1" applyBorder="1" applyAlignment="1">
      <alignment vertical="center"/>
    </xf>
    <xf numFmtId="0" fontId="0" fillId="4" borderId="40" xfId="0" applyFill="1" applyBorder="1" applyAlignment="1">
      <alignment vertical="center"/>
    </xf>
    <xf numFmtId="0" fontId="32" fillId="26" borderId="0" xfId="0" applyFont="1" applyFill="1" applyBorder="1" applyAlignment="1">
      <alignment horizontal="right"/>
    </xf>
    <xf numFmtId="1" fontId="32" fillId="4" borderId="1" xfId="0" applyNumberFormat="1" applyFont="1" applyFill="1" applyBorder="1"/>
    <xf numFmtId="0" fontId="106" fillId="4" borderId="1" xfId="0" applyNumberFormat="1" applyFont="1" applyFill="1" applyBorder="1" applyAlignment="1">
      <alignment vertical="center"/>
    </xf>
    <xf numFmtId="179" fontId="0" fillId="4" borderId="46" xfId="2" applyNumberFormat="1" applyFont="1" applyFill="1" applyBorder="1" applyAlignment="1">
      <alignment vertical="center"/>
    </xf>
    <xf numFmtId="0" fontId="107" fillId="0" borderId="0" xfId="0" applyFont="1"/>
    <xf numFmtId="0" fontId="108" fillId="0" borderId="0" xfId="0" applyFont="1"/>
    <xf numFmtId="180" fontId="0" fillId="4" borderId="0" xfId="2" applyNumberFormat="1" applyFont="1" applyFill="1" applyBorder="1" applyAlignment="1">
      <alignment vertical="center"/>
    </xf>
    <xf numFmtId="0" fontId="25" fillId="4" borderId="30" xfId="0" applyFont="1" applyFill="1" applyBorder="1"/>
    <xf numFmtId="178" fontId="0" fillId="4" borderId="23" xfId="2" applyFont="1" applyFill="1" applyBorder="1" applyAlignment="1">
      <alignment vertical="center"/>
    </xf>
    <xf numFmtId="0" fontId="0" fillId="4" borderId="23" xfId="0" applyFill="1" applyBorder="1" applyAlignment="1">
      <alignment horizontal="right" vertical="center"/>
    </xf>
    <xf numFmtId="0" fontId="32" fillId="4" borderId="32" xfId="0" applyFont="1" applyFill="1" applyBorder="1"/>
    <xf numFmtId="184" fontId="32" fillId="4" borderId="0" xfId="1" applyFont="1" applyFill="1" applyBorder="1" applyAlignment="1">
      <alignment horizontal="left" vertical="center"/>
    </xf>
    <xf numFmtId="184" fontId="0" fillId="4" borderId="0" xfId="1" applyFont="1" applyFill="1" applyBorder="1" applyAlignment="1">
      <alignment horizontal="right" vertical="center"/>
    </xf>
    <xf numFmtId="179" fontId="38" fillId="4" borderId="0" xfId="2" applyNumberFormat="1" applyFont="1" applyFill="1" applyBorder="1" applyAlignment="1">
      <alignment vertical="center"/>
    </xf>
    <xf numFmtId="9" fontId="0" fillId="4" borderId="1" xfId="0" applyNumberFormat="1" applyFill="1" applyBorder="1" applyAlignment="1">
      <alignment vertical="center"/>
    </xf>
    <xf numFmtId="181" fontId="38" fillId="4" borderId="1" xfId="2" applyNumberFormat="1" applyFont="1" applyFill="1" applyBorder="1" applyAlignment="1">
      <alignment vertical="center"/>
    </xf>
    <xf numFmtId="0" fontId="38" fillId="4" borderId="0" xfId="0" applyFont="1" applyFill="1" applyBorder="1"/>
    <xf numFmtId="179" fontId="38" fillId="4" borderId="1" xfId="2" applyNumberFormat="1" applyFont="1" applyFill="1" applyBorder="1" applyAlignment="1">
      <alignment vertical="center"/>
    </xf>
    <xf numFmtId="0" fontId="0" fillId="4" borderId="0" xfId="0" applyFont="1" applyFill="1" applyBorder="1" applyAlignment="1">
      <alignment horizontal="right"/>
    </xf>
    <xf numFmtId="0" fontId="0" fillId="0" borderId="0" xfId="0" applyFill="1" applyAlignment="1">
      <alignment horizontal="left" indent="1"/>
    </xf>
    <xf numFmtId="179" fontId="22" fillId="0" borderId="0" xfId="2" applyNumberFormat="1" applyFont="1" applyFill="1" applyBorder="1" applyAlignment="1">
      <alignment horizontal="right"/>
    </xf>
    <xf numFmtId="179" fontId="38" fillId="0" borderId="0" xfId="2" applyNumberFormat="1" applyFont="1" applyFill="1" applyBorder="1" applyAlignment="1">
      <alignment vertical="center"/>
    </xf>
    <xf numFmtId="179" fontId="0" fillId="0" borderId="0" xfId="2" applyNumberFormat="1" applyFont="1" applyFill="1" applyBorder="1"/>
    <xf numFmtId="0" fontId="30" fillId="0" borderId="0" xfId="0" applyFont="1" applyFill="1" applyBorder="1" applyAlignment="1">
      <alignment horizontal="right"/>
    </xf>
    <xf numFmtId="11" fontId="22" fillId="0" borderId="0" xfId="2" applyNumberFormat="1" applyFont="1" applyAlignment="1">
      <alignment horizontal="right"/>
    </xf>
    <xf numFmtId="0" fontId="35" fillId="0" borderId="0" xfId="0" applyFont="1" applyFill="1" applyBorder="1"/>
    <xf numFmtId="0" fontId="32" fillId="0" borderId="0" xfId="0" applyFont="1" applyAlignment="1">
      <alignment horizontal="right"/>
    </xf>
    <xf numFmtId="181" fontId="30" fillId="0" borderId="0" xfId="2" applyNumberFormat="1" applyFont="1" applyAlignment="1">
      <alignment horizontal="right"/>
    </xf>
    <xf numFmtId="178" fontId="30" fillId="0" borderId="0" xfId="2" applyFont="1" applyAlignment="1">
      <alignment horizontal="right"/>
    </xf>
    <xf numFmtId="0" fontId="32" fillId="0" borderId="0" xfId="0" applyFont="1" applyAlignment="1">
      <alignment vertical="center"/>
    </xf>
    <xf numFmtId="1" fontId="23" fillId="0" borderId="0" xfId="2" applyNumberFormat="1" applyFont="1"/>
    <xf numFmtId="0" fontId="0" fillId="6" borderId="0" xfId="0" applyNumberFormat="1" applyFill="1" applyBorder="1" applyAlignment="1">
      <alignment vertical="center"/>
    </xf>
    <xf numFmtId="0" fontId="28" fillId="0" borderId="0" xfId="0" applyFont="1" applyFill="1" applyBorder="1"/>
    <xf numFmtId="181" fontId="0" fillId="0" borderId="0" xfId="0" applyNumberFormat="1"/>
    <xf numFmtId="0" fontId="32" fillId="6" borderId="46" xfId="0" applyFont="1" applyFill="1" applyBorder="1" applyAlignment="1">
      <alignment vertical="center"/>
    </xf>
    <xf numFmtId="190" fontId="0" fillId="4" borderId="7" xfId="0" applyNumberFormat="1" applyFill="1" applyBorder="1" applyAlignment="1">
      <alignment vertical="center"/>
    </xf>
    <xf numFmtId="190" fontId="0" fillId="4" borderId="0" xfId="0" applyNumberFormat="1" applyFill="1" applyBorder="1" applyAlignment="1">
      <alignment vertical="center"/>
    </xf>
    <xf numFmtId="190" fontId="0" fillId="4" borderId="14" xfId="0" applyNumberFormat="1" applyFill="1" applyBorder="1" applyAlignment="1">
      <alignment vertical="center"/>
    </xf>
    <xf numFmtId="181" fontId="0" fillId="4" borderId="1" xfId="2" applyNumberFormat="1" applyFont="1" applyFill="1" applyBorder="1" applyAlignment="1">
      <alignment horizontal="right" vertical="center"/>
    </xf>
    <xf numFmtId="9" fontId="0" fillId="4" borderId="0" xfId="2" applyNumberFormat="1" applyFont="1" applyFill="1" applyBorder="1" applyAlignment="1">
      <alignment vertical="center"/>
    </xf>
    <xf numFmtId="9" fontId="32" fillId="4" borderId="1" xfId="2" applyNumberFormat="1" applyFont="1" applyFill="1" applyBorder="1" applyAlignment="1">
      <alignment vertical="center"/>
    </xf>
    <xf numFmtId="9" fontId="0" fillId="4" borderId="1" xfId="2" applyNumberFormat="1" applyFont="1" applyFill="1" applyBorder="1" applyAlignment="1">
      <alignment vertical="center"/>
    </xf>
    <xf numFmtId="9" fontId="0" fillId="4" borderId="36" xfId="2" applyNumberFormat="1" applyFont="1" applyFill="1" applyBorder="1" applyAlignment="1">
      <alignment horizontal="right" vertical="center"/>
    </xf>
    <xf numFmtId="9" fontId="0" fillId="4" borderId="10" xfId="2" applyNumberFormat="1" applyFont="1" applyFill="1" applyBorder="1" applyAlignment="1">
      <alignment horizontal="right" vertical="center"/>
    </xf>
    <xf numFmtId="9" fontId="32" fillId="4" borderId="47" xfId="2" applyNumberFormat="1" applyFont="1" applyFill="1" applyBorder="1" applyAlignment="1">
      <alignment vertical="center"/>
    </xf>
    <xf numFmtId="179" fontId="43" fillId="4" borderId="0" xfId="2" applyNumberFormat="1" applyFont="1" applyFill="1" applyBorder="1" applyAlignment="1">
      <alignment horizontal="right" vertical="center"/>
    </xf>
    <xf numFmtId="0" fontId="42" fillId="0" borderId="0" xfId="4" applyNumberFormat="1" applyAlignment="1">
      <alignment horizontal="right"/>
    </xf>
    <xf numFmtId="0" fontId="32" fillId="4" borderId="0" xfId="0" applyNumberFormat="1" applyFont="1" applyFill="1" applyBorder="1" applyAlignment="1">
      <alignment horizontal="left" vertical="center"/>
    </xf>
    <xf numFmtId="0" fontId="0" fillId="0" borderId="77" xfId="0" applyBorder="1"/>
    <xf numFmtId="0" fontId="0" fillId="0" borderId="78" xfId="0" applyBorder="1"/>
    <xf numFmtId="0" fontId="0" fillId="0" borderId="80" xfId="0" applyBorder="1"/>
    <xf numFmtId="0" fontId="0" fillId="0" borderId="54" xfId="0" applyBorder="1"/>
    <xf numFmtId="0" fontId="0" fillId="0" borderId="80" xfId="0" applyFill="1" applyBorder="1"/>
    <xf numFmtId="0" fontId="0" fillId="0" borderId="82" xfId="0" applyBorder="1"/>
    <xf numFmtId="0" fontId="0" fillId="0" borderId="83" xfId="0" applyBorder="1"/>
    <xf numFmtId="0" fontId="75" fillId="0" borderId="0" xfId="230" applyAlignment="1" applyProtection="1"/>
    <xf numFmtId="191" fontId="0" fillId="0" borderId="79" xfId="2" applyNumberFormat="1" applyFont="1" applyBorder="1"/>
    <xf numFmtId="191" fontId="0" fillId="0" borderId="81" xfId="2" applyNumberFormat="1" applyFont="1" applyBorder="1"/>
    <xf numFmtId="191" fontId="0" fillId="0" borderId="84" xfId="2" applyNumberFormat="1" applyFont="1" applyBorder="1"/>
    <xf numFmtId="179" fontId="43" fillId="4" borderId="0" xfId="2" applyNumberFormat="1" applyFont="1" applyFill="1" applyBorder="1" applyAlignment="1">
      <alignment vertical="center"/>
    </xf>
    <xf numFmtId="181" fontId="38" fillId="4" borderId="0" xfId="2" applyNumberFormat="1" applyFont="1" applyFill="1" applyBorder="1" applyAlignment="1">
      <alignment vertical="center"/>
    </xf>
    <xf numFmtId="192" fontId="38" fillId="4" borderId="0" xfId="2" applyNumberFormat="1" applyFont="1" applyFill="1" applyBorder="1" applyAlignment="1">
      <alignment vertical="center"/>
    </xf>
    <xf numFmtId="178" fontId="0" fillId="6" borderId="0" xfId="2" applyNumberFormat="1" applyFont="1" applyFill="1" applyBorder="1" applyAlignment="1">
      <alignment vertical="center"/>
    </xf>
    <xf numFmtId="0" fontId="30" fillId="57" borderId="9" xfId="0" applyFont="1" applyFill="1" applyBorder="1" applyAlignment="1">
      <alignment vertical="center"/>
    </xf>
    <xf numFmtId="0" fontId="0" fillId="57" borderId="0" xfId="0" applyNumberFormat="1" applyFill="1" applyBorder="1" applyAlignment="1">
      <alignment vertical="center"/>
    </xf>
    <xf numFmtId="9" fontId="0" fillId="57" borderId="0" xfId="0" applyNumberFormat="1" applyFill="1" applyBorder="1" applyAlignment="1">
      <alignment vertical="center"/>
    </xf>
    <xf numFmtId="0" fontId="32" fillId="57" borderId="1" xfId="0" applyNumberFormat="1" applyFont="1" applyFill="1" applyBorder="1" applyAlignment="1">
      <alignment vertical="center"/>
    </xf>
    <xf numFmtId="0" fontId="32" fillId="0" borderId="1" xfId="0" applyFont="1" applyBorder="1"/>
    <xf numFmtId="179" fontId="38" fillId="57" borderId="0" xfId="2" applyNumberFormat="1" applyFont="1" applyFill="1" applyBorder="1" applyAlignment="1">
      <alignment vertical="center"/>
    </xf>
    <xf numFmtId="179" fontId="30" fillId="0" borderId="1" xfId="2" applyNumberFormat="1" applyFont="1" applyBorder="1" applyAlignment="1">
      <alignment horizontal="right"/>
    </xf>
    <xf numFmtId="174" fontId="22" fillId="0" borderId="0" xfId="2" applyNumberFormat="1" applyFont="1" applyAlignment="1">
      <alignment horizontal="right"/>
    </xf>
    <xf numFmtId="0" fontId="30" fillId="59" borderId="9" xfId="0" applyNumberFormat="1" applyFont="1" applyFill="1" applyBorder="1" applyAlignment="1">
      <alignment horizontal="center" vertical="center"/>
    </xf>
    <xf numFmtId="0" fontId="30" fillId="59" borderId="11" xfId="0" applyNumberFormat="1" applyFont="1" applyFill="1" applyBorder="1" applyAlignment="1">
      <alignment horizontal="center" vertical="center"/>
    </xf>
    <xf numFmtId="183" fontId="0" fillId="6" borderId="0" xfId="2" applyNumberFormat="1" applyFont="1" applyFill="1" applyBorder="1" applyAlignment="1">
      <alignment vertical="center"/>
    </xf>
    <xf numFmtId="178" fontId="0" fillId="6" borderId="33" xfId="0" applyNumberFormat="1" applyFill="1" applyBorder="1"/>
    <xf numFmtId="178" fontId="0" fillId="56" borderId="33" xfId="2" applyFont="1" applyFill="1" applyBorder="1" applyAlignment="1">
      <alignment vertical="center"/>
    </xf>
    <xf numFmtId="178" fontId="0" fillId="56" borderId="0" xfId="2" applyFont="1" applyFill="1" applyBorder="1" applyAlignment="1">
      <alignment vertical="center"/>
    </xf>
    <xf numFmtId="0" fontId="22" fillId="4" borderId="14" xfId="0" applyFont="1" applyFill="1" applyBorder="1" applyAlignment="1">
      <alignment horizontal="right" vertical="center"/>
    </xf>
    <xf numFmtId="184" fontId="109" fillId="4" borderId="0" xfId="1" applyFont="1" applyFill="1" applyBorder="1" applyAlignment="1">
      <alignment vertical="center"/>
    </xf>
    <xf numFmtId="0" fontId="30" fillId="4" borderId="85" xfId="0" applyFont="1" applyFill="1" applyBorder="1" applyAlignment="1">
      <alignment vertical="center"/>
    </xf>
    <xf numFmtId="0" fontId="100" fillId="4" borderId="0" xfId="0" applyFont="1" applyFill="1" applyBorder="1" applyAlignment="1">
      <alignment vertical="center"/>
    </xf>
    <xf numFmtId="184" fontId="110" fillId="4" borderId="0" xfId="1" applyFont="1" applyFill="1" applyBorder="1" applyAlignment="1">
      <alignment vertical="center"/>
    </xf>
    <xf numFmtId="184" fontId="100" fillId="4" borderId="0" xfId="1" applyFont="1" applyFill="1" applyBorder="1" applyAlignment="1">
      <alignment vertical="center"/>
    </xf>
    <xf numFmtId="0" fontId="100" fillId="4" borderId="0" xfId="0" applyFont="1" applyFill="1" applyBorder="1" applyAlignment="1">
      <alignment horizontal="right" vertical="center"/>
    </xf>
    <xf numFmtId="184" fontId="38" fillId="4" borderId="87" xfId="1" applyFont="1" applyFill="1" applyBorder="1" applyAlignment="1">
      <alignment vertical="center"/>
    </xf>
    <xf numFmtId="184" fontId="38" fillId="4" borderId="88" xfId="1" applyFont="1" applyFill="1" applyBorder="1" applyAlignment="1">
      <alignment vertical="center"/>
    </xf>
    <xf numFmtId="0" fontId="30" fillId="4" borderId="8" xfId="0" applyFont="1" applyFill="1" applyBorder="1" applyAlignment="1">
      <alignment horizontal="right" vertical="center"/>
    </xf>
    <xf numFmtId="0" fontId="30" fillId="4" borderId="86" xfId="0" applyFont="1" applyFill="1" applyBorder="1" applyAlignment="1">
      <alignment horizontal="right" vertical="center"/>
    </xf>
    <xf numFmtId="177" fontId="0" fillId="4" borderId="0" xfId="2" applyNumberFormat="1" applyFont="1" applyFill="1" applyBorder="1" applyAlignment="1">
      <alignment horizontal="right" vertical="center"/>
    </xf>
    <xf numFmtId="177" fontId="38" fillId="4" borderId="0" xfId="2" applyNumberFormat="1" applyFont="1" applyFill="1" applyBorder="1" applyAlignment="1">
      <alignment vertical="center"/>
    </xf>
    <xf numFmtId="0" fontId="105" fillId="4" borderId="0" xfId="0" applyFont="1" applyFill="1" applyBorder="1"/>
    <xf numFmtId="184" fontId="43" fillId="4" borderId="0" xfId="1" applyFont="1" applyFill="1" applyBorder="1" applyAlignment="1">
      <alignment vertical="center"/>
    </xf>
    <xf numFmtId="0" fontId="30" fillId="4" borderId="46" xfId="0" applyNumberFormat="1" applyFont="1" applyFill="1" applyBorder="1" applyAlignment="1">
      <alignment horizontal="right" vertical="center"/>
    </xf>
    <xf numFmtId="0" fontId="30" fillId="4" borderId="47" xfId="0" applyNumberFormat="1" applyFont="1" applyFill="1" applyBorder="1" applyAlignment="1">
      <alignment horizontal="right" vertical="center"/>
    </xf>
    <xf numFmtId="0" fontId="30" fillId="4" borderId="46" xfId="0" applyFont="1" applyFill="1" applyBorder="1" applyAlignment="1">
      <alignment vertical="center"/>
    </xf>
    <xf numFmtId="170" fontId="0" fillId="0" borderId="1" xfId="0" applyNumberFormat="1" applyBorder="1" applyAlignment="1">
      <alignment vertical="center"/>
    </xf>
    <xf numFmtId="174" fontId="38" fillId="4" borderId="0" xfId="2" applyNumberFormat="1" applyFont="1" applyFill="1" applyBorder="1" applyAlignment="1">
      <alignment vertical="center"/>
    </xf>
    <xf numFmtId="174" fontId="38" fillId="4" borderId="1" xfId="2" applyNumberFormat="1" applyFont="1" applyFill="1" applyBorder="1" applyAlignment="1">
      <alignment vertical="center"/>
    </xf>
    <xf numFmtId="2" fontId="0" fillId="57" borderId="0" xfId="0" applyNumberFormat="1" applyFill="1" applyBorder="1"/>
    <xf numFmtId="0" fontId="0" fillId="57" borderId="1" xfId="0" applyFill="1" applyBorder="1" applyAlignment="1">
      <alignment vertical="center"/>
    </xf>
    <xf numFmtId="174" fontId="43" fillId="57" borderId="1" xfId="2" applyNumberFormat="1" applyFont="1" applyFill="1" applyBorder="1" applyAlignment="1">
      <alignment vertical="center"/>
    </xf>
    <xf numFmtId="174" fontId="0" fillId="57" borderId="0" xfId="0" applyNumberFormat="1" applyFill="1" applyBorder="1"/>
    <xf numFmtId="0" fontId="0" fillId="57" borderId="10" xfId="0" applyNumberFormat="1" applyFill="1" applyBorder="1" applyAlignment="1">
      <alignment vertical="center"/>
    </xf>
    <xf numFmtId="9" fontId="0" fillId="57" borderId="1" xfId="0" applyNumberFormat="1" applyFill="1" applyBorder="1" applyAlignment="1">
      <alignment vertical="center"/>
    </xf>
    <xf numFmtId="0" fontId="30" fillId="57" borderId="16" xfId="0" applyFont="1" applyFill="1" applyBorder="1" applyAlignment="1">
      <alignment vertical="center"/>
    </xf>
    <xf numFmtId="174" fontId="38" fillId="57" borderId="0" xfId="456" applyNumberFormat="1" applyFont="1" applyFill="1" applyBorder="1" applyAlignment="1">
      <alignment vertical="center"/>
    </xf>
    <xf numFmtId="174" fontId="0" fillId="57" borderId="0" xfId="2" applyNumberFormat="1" applyFont="1" applyFill="1" applyBorder="1" applyAlignment="1">
      <alignment horizontal="right" vertical="center"/>
    </xf>
    <xf numFmtId="174" fontId="38" fillId="57" borderId="0" xfId="2" applyNumberFormat="1" applyFont="1" applyFill="1" applyBorder="1" applyAlignment="1">
      <alignment vertical="center"/>
    </xf>
    <xf numFmtId="179" fontId="43" fillId="57" borderId="1" xfId="2" applyNumberFormat="1" applyFont="1" applyFill="1" applyBorder="1" applyAlignment="1">
      <alignment horizontal="right" vertical="center"/>
    </xf>
    <xf numFmtId="181" fontId="0" fillId="6" borderId="1" xfId="2" applyNumberFormat="1" applyFont="1" applyFill="1" applyBorder="1" applyAlignment="1">
      <alignment vertical="center"/>
    </xf>
    <xf numFmtId="0" fontId="30" fillId="57" borderId="0" xfId="0" applyNumberFormat="1" applyFont="1" applyFill="1" applyBorder="1" applyAlignment="1">
      <alignment horizontal="right" vertical="center"/>
    </xf>
    <xf numFmtId="0" fontId="0" fillId="57" borderId="7" xfId="0" applyFill="1" applyBorder="1" applyAlignment="1">
      <alignment vertical="center"/>
    </xf>
    <xf numFmtId="1" fontId="0" fillId="57" borderId="0" xfId="0" applyNumberFormat="1" applyFill="1" applyBorder="1"/>
    <xf numFmtId="0" fontId="32" fillId="57" borderId="0" xfId="0" applyNumberFormat="1" applyFont="1" applyFill="1" applyBorder="1" applyAlignment="1">
      <alignment vertical="center"/>
    </xf>
    <xf numFmtId="0" fontId="32" fillId="57" borderId="0" xfId="0" applyFont="1" applyFill="1" applyBorder="1" applyAlignment="1">
      <alignment vertical="center"/>
    </xf>
    <xf numFmtId="1" fontId="32" fillId="57" borderId="0" xfId="0" applyNumberFormat="1" applyFont="1" applyFill="1" applyBorder="1"/>
    <xf numFmtId="0" fontId="0" fillId="57" borderId="0" xfId="0" applyNumberFormat="1" applyFill="1" applyBorder="1"/>
    <xf numFmtId="0" fontId="106" fillId="57" borderId="1" xfId="0" applyNumberFormat="1" applyFont="1" applyFill="1" applyBorder="1" applyAlignment="1">
      <alignment vertical="center"/>
    </xf>
    <xf numFmtId="0" fontId="32" fillId="57" borderId="1" xfId="0" applyFont="1" applyFill="1" applyBorder="1" applyAlignment="1">
      <alignment vertical="center"/>
    </xf>
    <xf numFmtId="0" fontId="32" fillId="57" borderId="1" xfId="0" applyFont="1" applyFill="1" applyBorder="1"/>
    <xf numFmtId="1" fontId="32" fillId="57" borderId="1" xfId="0" applyNumberFormat="1" applyFont="1" applyFill="1" applyBorder="1"/>
    <xf numFmtId="174" fontId="30" fillId="57" borderId="1" xfId="0" applyNumberFormat="1" applyFont="1" applyFill="1" applyBorder="1" applyAlignment="1">
      <alignment horizontal="right" vertical="center"/>
    </xf>
    <xf numFmtId="0" fontId="112" fillId="0" borderId="0" xfId="0" applyFont="1" applyAlignment="1">
      <alignment vertical="center"/>
    </xf>
    <xf numFmtId="0" fontId="112" fillId="0" borderId="0" xfId="0" applyFont="1"/>
    <xf numFmtId="0" fontId="112" fillId="0" borderId="0" xfId="0" applyFont="1" applyAlignment="1">
      <alignment horizontal="left" vertical="center" wrapText="1"/>
    </xf>
    <xf numFmtId="0" fontId="30" fillId="4" borderId="16" xfId="0" applyFont="1" applyFill="1" applyBorder="1" applyAlignment="1">
      <alignment vertical="center"/>
    </xf>
    <xf numFmtId="0" fontId="32" fillId="0" borderId="0" xfId="0" applyFont="1" applyBorder="1"/>
    <xf numFmtId="0" fontId="0" fillId="4" borderId="4" xfId="0" applyFill="1" applyBorder="1" applyAlignment="1">
      <alignment horizontal="right"/>
    </xf>
    <xf numFmtId="0" fontId="23" fillId="57" borderId="32" xfId="0" applyFont="1" applyFill="1" applyBorder="1"/>
    <xf numFmtId="178" fontId="0" fillId="57" borderId="0" xfId="2" applyFont="1" applyFill="1" applyBorder="1" applyAlignment="1">
      <alignment vertical="center"/>
    </xf>
    <xf numFmtId="0" fontId="0" fillId="57" borderId="33" xfId="0" applyFill="1" applyBorder="1" applyAlignment="1">
      <alignment vertical="center"/>
    </xf>
    <xf numFmtId="0" fontId="32" fillId="57" borderId="0" xfId="0" applyFont="1" applyFill="1" applyBorder="1"/>
    <xf numFmtId="0" fontId="0" fillId="57" borderId="0" xfId="0" applyFill="1" applyBorder="1" applyAlignment="1">
      <alignment horizontal="right"/>
    </xf>
    <xf numFmtId="0" fontId="30" fillId="57" borderId="34" xfId="0" applyFont="1" applyFill="1" applyBorder="1" applyAlignment="1">
      <alignment vertical="center"/>
    </xf>
    <xf numFmtId="0" fontId="30" fillId="57" borderId="0" xfId="0" applyFont="1" applyFill="1" applyBorder="1" applyAlignment="1">
      <alignment vertical="center"/>
    </xf>
    <xf numFmtId="174" fontId="22" fillId="57" borderId="0" xfId="0" applyNumberFormat="1" applyFont="1" applyFill="1" applyBorder="1" applyAlignment="1">
      <alignment horizontal="right" vertical="center"/>
    </xf>
    <xf numFmtId="0" fontId="0" fillId="57" borderId="14" xfId="0" applyNumberFormat="1" applyFill="1" applyBorder="1" applyAlignment="1">
      <alignment vertical="center"/>
    </xf>
    <xf numFmtId="0" fontId="32" fillId="57" borderId="14" xfId="0" applyFont="1" applyFill="1" applyBorder="1" applyAlignment="1">
      <alignment vertical="center"/>
    </xf>
    <xf numFmtId="174" fontId="23" fillId="57" borderId="19" xfId="2" applyNumberFormat="1" applyFont="1" applyFill="1" applyBorder="1" applyAlignment="1">
      <alignment vertical="center"/>
    </xf>
    <xf numFmtId="0" fontId="0" fillId="57" borderId="33" xfId="0" applyFill="1" applyBorder="1"/>
    <xf numFmtId="0" fontId="32" fillId="57" borderId="32" xfId="0" applyFont="1" applyFill="1" applyBorder="1"/>
    <xf numFmtId="0" fontId="30" fillId="57" borderId="1" xfId="0" applyFont="1" applyFill="1" applyBorder="1" applyAlignment="1">
      <alignment vertical="center"/>
    </xf>
    <xf numFmtId="177" fontId="0" fillId="57" borderId="0" xfId="2" applyNumberFormat="1" applyFont="1" applyFill="1" applyBorder="1" applyAlignment="1">
      <alignment vertical="center"/>
    </xf>
    <xf numFmtId="0" fontId="0" fillId="57" borderId="32" xfId="0" applyFill="1" applyBorder="1"/>
    <xf numFmtId="0" fontId="0" fillId="57" borderId="0" xfId="0" applyFont="1" applyFill="1" applyBorder="1"/>
    <xf numFmtId="179" fontId="0" fillId="57" borderId="0" xfId="2" applyNumberFormat="1" applyFont="1" applyFill="1" applyBorder="1" applyAlignment="1">
      <alignment vertical="center"/>
    </xf>
    <xf numFmtId="1" fontId="0" fillId="0" borderId="0" xfId="0" applyNumberFormat="1" applyAlignment="1">
      <alignment horizontal="right"/>
    </xf>
    <xf numFmtId="177" fontId="32" fillId="57" borderId="0" xfId="0" applyNumberFormat="1" applyFont="1" applyFill="1" applyBorder="1"/>
    <xf numFmtId="177" fontId="0" fillId="57" borderId="0" xfId="0" applyNumberFormat="1" applyFill="1" applyBorder="1"/>
    <xf numFmtId="0" fontId="30" fillId="57" borderId="46" xfId="0" applyFont="1" applyFill="1" applyBorder="1" applyAlignment="1">
      <alignment vertical="center"/>
    </xf>
    <xf numFmtId="174" fontId="30" fillId="57" borderId="0" xfId="0" applyNumberFormat="1" applyFont="1" applyFill="1" applyBorder="1" applyAlignment="1">
      <alignment horizontal="right" vertical="center"/>
    </xf>
    <xf numFmtId="177" fontId="32" fillId="57" borderId="1" xfId="0" applyNumberFormat="1" applyFont="1" applyFill="1" applyBorder="1"/>
    <xf numFmtId="1" fontId="22" fillId="4" borderId="63" xfId="0" applyNumberFormat="1" applyFont="1" applyFill="1" applyBorder="1" applyAlignment="1">
      <alignment vertical="center"/>
    </xf>
    <xf numFmtId="1" fontId="22" fillId="4" borderId="76" xfId="0" applyNumberFormat="1" applyFont="1" applyFill="1" applyBorder="1" applyAlignment="1">
      <alignment vertical="center"/>
    </xf>
    <xf numFmtId="1" fontId="30" fillId="4" borderId="54" xfId="0" applyNumberFormat="1" applyFont="1" applyFill="1" applyBorder="1" applyAlignment="1">
      <alignment vertical="center"/>
    </xf>
    <xf numFmtId="0" fontId="23" fillId="0" borderId="0" xfId="0" applyFont="1" applyFill="1" applyBorder="1" applyAlignment="1">
      <alignment horizontal="center" vertical="center" wrapText="1"/>
    </xf>
    <xf numFmtId="0" fontId="51" fillId="0" borderId="0" xfId="0" applyFont="1" applyFill="1" applyBorder="1" applyAlignment="1">
      <alignment horizontal="left" vertical="center"/>
    </xf>
    <xf numFmtId="0" fontId="26" fillId="0" borderId="0" xfId="0" applyFont="1" applyFill="1" applyBorder="1" applyAlignment="1">
      <alignment horizontal="center" vertical="center"/>
    </xf>
    <xf numFmtId="0" fontId="0" fillId="0" borderId="0" xfId="0" applyAlignment="1">
      <alignment wrapText="1"/>
    </xf>
    <xf numFmtId="0" fontId="22" fillId="0" borderId="0" xfId="0" applyFont="1" applyFill="1" applyBorder="1" applyAlignment="1">
      <alignment horizontal="center" vertical="center" wrapText="1"/>
    </xf>
    <xf numFmtId="0" fontId="27" fillId="0" borderId="0" xfId="0" applyFont="1" applyFill="1" applyBorder="1" applyAlignment="1">
      <alignment horizontal="left" vertical="center"/>
    </xf>
    <xf numFmtId="0" fontId="52" fillId="7" borderId="90" xfId="0" applyFont="1" applyFill="1" applyBorder="1" applyAlignment="1">
      <alignment horizontal="centerContinuous" vertical="center" wrapText="1"/>
    </xf>
    <xf numFmtId="0" fontId="51" fillId="12" borderId="26" xfId="0" applyFont="1" applyFill="1" applyBorder="1" applyAlignment="1">
      <alignment horizontal="centerContinuous" vertical="center" wrapText="1"/>
    </xf>
    <xf numFmtId="0" fontId="26" fillId="12" borderId="25" xfId="0" applyFont="1" applyFill="1" applyBorder="1" applyAlignment="1">
      <alignment horizontal="centerContinuous" vertical="center" wrapText="1"/>
    </xf>
    <xf numFmtId="0" fontId="51" fillId="12" borderId="25" xfId="0" applyFont="1" applyFill="1" applyBorder="1" applyAlignment="1">
      <alignment horizontal="centerContinuous" vertical="center" wrapText="1"/>
    </xf>
    <xf numFmtId="0" fontId="26" fillId="12" borderId="27" xfId="0" applyFont="1" applyFill="1" applyBorder="1" applyAlignment="1">
      <alignment horizontal="centerContinuous" vertical="center" wrapText="1"/>
    </xf>
    <xf numFmtId="0" fontId="51" fillId="9" borderId="25" xfId="0" applyFont="1" applyFill="1" applyBorder="1" applyAlignment="1">
      <alignment horizontal="centerContinuous" vertical="center" wrapText="1"/>
    </xf>
    <xf numFmtId="0" fontId="26" fillId="9" borderId="25" xfId="0" applyFont="1" applyFill="1" applyBorder="1" applyAlignment="1">
      <alignment horizontal="centerContinuous" vertical="center" wrapText="1"/>
    </xf>
    <xf numFmtId="0" fontId="26" fillId="9" borderId="26" xfId="0" applyFont="1" applyFill="1" applyBorder="1" applyAlignment="1">
      <alignment horizontal="centerContinuous" vertical="center" wrapText="1"/>
    </xf>
    <xf numFmtId="0" fontId="26" fillId="9" borderId="27" xfId="0" applyFont="1" applyFill="1" applyBorder="1" applyAlignment="1">
      <alignment horizontal="centerContinuous" vertical="center" wrapText="1"/>
    </xf>
    <xf numFmtId="0" fontId="51" fillId="60" borderId="90" xfId="0" applyFont="1" applyFill="1" applyBorder="1" applyAlignment="1">
      <alignment horizontal="centerContinuous" vertical="center" wrapText="1"/>
    </xf>
    <xf numFmtId="0" fontId="26" fillId="60" borderId="90" xfId="0" applyFont="1" applyFill="1" applyBorder="1" applyAlignment="1">
      <alignment horizontal="centerContinuous" vertical="center" wrapText="1"/>
    </xf>
    <xf numFmtId="0" fontId="30" fillId="0" borderId="0" xfId="0" applyFont="1" applyFill="1" applyBorder="1" applyAlignment="1">
      <alignment horizontal="center" vertical="center" wrapText="1"/>
    </xf>
    <xf numFmtId="0" fontId="51" fillId="61" borderId="26" xfId="0" applyFont="1" applyFill="1" applyBorder="1" applyAlignment="1">
      <alignment horizontal="centerContinuous" vertical="center" wrapText="1"/>
    </xf>
    <xf numFmtId="0" fontId="51" fillId="61" borderId="25" xfId="0" applyFont="1" applyFill="1" applyBorder="1" applyAlignment="1">
      <alignment horizontal="centerContinuous" vertical="center"/>
    </xf>
    <xf numFmtId="0" fontId="0" fillId="61" borderId="23" xfId="0" applyFill="1" applyBorder="1"/>
    <xf numFmtId="0" fontId="29" fillId="0" borderId="0" xfId="0" applyFont="1" applyFill="1" applyBorder="1" applyAlignment="1">
      <alignment horizontal="center" vertical="center" wrapText="1"/>
    </xf>
    <xf numFmtId="0" fontId="113" fillId="62" borderId="22" xfId="0" applyFont="1" applyFill="1" applyBorder="1" applyAlignment="1">
      <alignment horizontal="center" vertical="center" wrapText="1"/>
    </xf>
    <xf numFmtId="0" fontId="114" fillId="62" borderId="22" xfId="0" applyFont="1" applyFill="1" applyBorder="1" applyAlignment="1">
      <alignment horizontal="center" vertical="center" wrapText="1"/>
    </xf>
    <xf numFmtId="0" fontId="113" fillId="58" borderId="22" xfId="0" applyFont="1" applyFill="1" applyBorder="1" applyAlignment="1">
      <alignment horizontal="center" vertical="center" wrapText="1"/>
    </xf>
    <xf numFmtId="0" fontId="114" fillId="58" borderId="22" xfId="0" applyFont="1" applyFill="1" applyBorder="1" applyAlignment="1">
      <alignment horizontal="center" vertical="center" wrapText="1"/>
    </xf>
    <xf numFmtId="0" fontId="113" fillId="8" borderId="22" xfId="0" applyFont="1" applyFill="1" applyBorder="1" applyAlignment="1">
      <alignment horizontal="center" vertical="center" wrapText="1"/>
    </xf>
    <xf numFmtId="0" fontId="114" fillId="8" borderId="22" xfId="0" applyFont="1" applyFill="1" applyBorder="1" applyAlignment="1">
      <alignment horizontal="center" vertical="center" wrapText="1"/>
    </xf>
    <xf numFmtId="0" fontId="114" fillId="10" borderId="22" xfId="0" applyFont="1" applyFill="1" applyBorder="1" applyAlignment="1">
      <alignment horizontal="center" vertical="center" wrapText="1"/>
    </xf>
    <xf numFmtId="0" fontId="114" fillId="0" borderId="0" xfId="0" applyFont="1" applyFill="1" applyBorder="1" applyAlignment="1">
      <alignment horizontal="center" vertical="center" wrapText="1"/>
    </xf>
    <xf numFmtId="0" fontId="0" fillId="11" borderId="28" xfId="0" applyFont="1" applyFill="1" applyBorder="1" applyAlignment="1">
      <alignment horizontal="centerContinuous" vertical="center" wrapText="1"/>
    </xf>
    <xf numFmtId="0" fontId="0" fillId="11" borderId="24" xfId="0" applyFont="1" applyFill="1" applyBorder="1" applyAlignment="1">
      <alignment horizontal="centerContinuous" vertical="center" wrapText="1"/>
    </xf>
    <xf numFmtId="0" fontId="0" fillId="11" borderId="29" xfId="0" applyFont="1" applyFill="1" applyBorder="1" applyAlignment="1">
      <alignment horizontal="centerContinuous" vertical="center" wrapText="1"/>
    </xf>
    <xf numFmtId="0" fontId="22" fillId="0" borderId="0" xfId="0" applyFont="1" applyFill="1" applyBorder="1" applyAlignment="1">
      <alignment horizontal="left" vertical="center"/>
    </xf>
    <xf numFmtId="0" fontId="113" fillId="62" borderId="91" xfId="0" applyFont="1" applyFill="1" applyBorder="1" applyAlignment="1">
      <alignment horizontal="center" vertical="center" wrapText="1"/>
    </xf>
    <xf numFmtId="0" fontId="113" fillId="58" borderId="91" xfId="0" applyFont="1" applyFill="1" applyBorder="1" applyAlignment="1">
      <alignment horizontal="center" vertical="center" wrapText="1"/>
    </xf>
    <xf numFmtId="0" fontId="113" fillId="8" borderId="91" xfId="0" applyFont="1" applyFill="1" applyBorder="1" applyAlignment="1">
      <alignment horizontal="center" vertical="center" wrapText="1"/>
    </xf>
    <xf numFmtId="0" fontId="113" fillId="10" borderId="91" xfId="0" applyFont="1" applyFill="1" applyBorder="1" applyAlignment="1">
      <alignment horizontal="center" vertical="center" wrapText="1"/>
    </xf>
    <xf numFmtId="0" fontId="113" fillId="0" borderId="0" xfId="0" applyFont="1" applyFill="1" applyBorder="1" applyAlignment="1">
      <alignment horizontal="center" vertical="center" wrapText="1"/>
    </xf>
    <xf numFmtId="0" fontId="29" fillId="11" borderId="30" xfId="0" applyFont="1" applyFill="1" applyBorder="1" applyAlignment="1">
      <alignment horizontal="centerContinuous" vertical="center"/>
    </xf>
    <xf numFmtId="0" fontId="29" fillId="11" borderId="23" xfId="0" applyFont="1" applyFill="1" applyBorder="1" applyAlignment="1">
      <alignment horizontal="centerContinuous" vertical="center"/>
    </xf>
    <xf numFmtId="0" fontId="29" fillId="11" borderId="31" xfId="0" applyFont="1" applyFill="1" applyBorder="1" applyAlignment="1">
      <alignment horizontal="centerContinuous" vertical="center"/>
    </xf>
    <xf numFmtId="178" fontId="115" fillId="4" borderId="22" xfId="2" applyFont="1" applyFill="1" applyBorder="1" applyAlignment="1">
      <alignment vertical="center"/>
    </xf>
    <xf numFmtId="178" fontId="115" fillId="2" borderId="22" xfId="2" applyFont="1" applyFill="1" applyBorder="1" applyAlignment="1">
      <alignment vertical="center"/>
    </xf>
    <xf numFmtId="178" fontId="115" fillId="6" borderId="22" xfId="2" applyFont="1" applyFill="1" applyBorder="1" applyAlignment="1">
      <alignment vertical="center"/>
    </xf>
    <xf numFmtId="178" fontId="115" fillId="5" borderId="22" xfId="2" applyFont="1" applyFill="1" applyBorder="1" applyAlignment="1">
      <alignment vertical="center"/>
    </xf>
    <xf numFmtId="178" fontId="115" fillId="0" borderId="0" xfId="2" applyFont="1" applyFill="1" applyBorder="1" applyAlignment="1">
      <alignment vertical="center"/>
    </xf>
    <xf numFmtId="0" fontId="0" fillId="11" borderId="90" xfId="0" applyFill="1" applyBorder="1" applyAlignment="1">
      <alignment horizontal="center" vertical="center"/>
    </xf>
    <xf numFmtId="0" fontId="27" fillId="0" borderId="0" xfId="0" applyFont="1" applyFill="1" applyBorder="1" applyAlignment="1">
      <alignment vertical="center"/>
    </xf>
    <xf numFmtId="0" fontId="25" fillId="0" borderId="0" xfId="0" applyFont="1" applyFill="1" applyBorder="1" applyAlignment="1">
      <alignment vertical="center"/>
    </xf>
    <xf numFmtId="178" fontId="116" fillId="4" borderId="22" xfId="2" applyFont="1" applyFill="1" applyBorder="1" applyAlignment="1">
      <alignment vertical="center"/>
    </xf>
    <xf numFmtId="178" fontId="116" fillId="2" borderId="22" xfId="2" applyFont="1" applyFill="1" applyBorder="1" applyAlignment="1">
      <alignment vertical="center"/>
    </xf>
    <xf numFmtId="178" fontId="116" fillId="6" borderId="22" xfId="2" applyFont="1" applyFill="1" applyBorder="1" applyAlignment="1">
      <alignment vertical="center"/>
    </xf>
    <xf numFmtId="178" fontId="116" fillId="5" borderId="22" xfId="2" applyFont="1" applyFill="1" applyBorder="1" applyAlignment="1">
      <alignment vertical="center"/>
    </xf>
    <xf numFmtId="178" fontId="116" fillId="0" borderId="0" xfId="2" applyFont="1" applyFill="1" applyBorder="1" applyAlignment="1">
      <alignment vertical="center"/>
    </xf>
    <xf numFmtId="0" fontId="0" fillId="63" borderId="92" xfId="0" applyFill="1" applyBorder="1"/>
    <xf numFmtId="178" fontId="38" fillId="4" borderId="22" xfId="2" applyFont="1" applyFill="1" applyBorder="1" applyAlignment="1">
      <alignment vertical="center"/>
    </xf>
    <xf numFmtId="178" fontId="117" fillId="4" borderId="22" xfId="2" applyFont="1" applyFill="1" applyBorder="1" applyAlignment="1">
      <alignment horizontal="center" vertical="center" wrapText="1"/>
    </xf>
    <xf numFmtId="178" fontId="38" fillId="2" borderId="22" xfId="2" applyFont="1" applyFill="1" applyBorder="1" applyAlignment="1">
      <alignment vertical="center"/>
    </xf>
    <xf numFmtId="178" fontId="38" fillId="6" borderId="22" xfId="2" applyFont="1" applyFill="1" applyBorder="1" applyAlignment="1">
      <alignment vertical="center"/>
    </xf>
    <xf numFmtId="178" fontId="38" fillId="5" borderId="22" xfId="2" applyFont="1" applyFill="1" applyBorder="1" applyAlignment="1">
      <alignment vertical="center"/>
    </xf>
    <xf numFmtId="178" fontId="38" fillId="0" borderId="0" xfId="2" applyFont="1" applyFill="1" applyBorder="1" applyAlignment="1">
      <alignment vertical="center"/>
    </xf>
    <xf numFmtId="0" fontId="0" fillId="63" borderId="22" xfId="0" applyFill="1" applyBorder="1"/>
    <xf numFmtId="0" fontId="42" fillId="0" borderId="0" xfId="4" applyNumberFormat="1" applyFill="1" applyBorder="1" applyAlignment="1">
      <alignment horizontal="right" vertical="center"/>
    </xf>
    <xf numFmtId="0" fontId="42" fillId="0" borderId="0" xfId="4" applyNumberFormat="1" applyFill="1" applyBorder="1" applyAlignment="1">
      <alignment vertical="center"/>
    </xf>
    <xf numFmtId="178" fontId="118" fillId="4" borderId="22" xfId="2" applyFont="1" applyFill="1" applyBorder="1" applyAlignment="1">
      <alignment horizontal="right" vertical="center"/>
    </xf>
    <xf numFmtId="178" fontId="42" fillId="4" borderId="22" xfId="2" applyFont="1" applyFill="1" applyBorder="1" applyAlignment="1">
      <alignment horizontal="right" vertical="center"/>
    </xf>
    <xf numFmtId="178" fontId="118" fillId="2" borderId="22" xfId="2" applyFont="1" applyFill="1" applyBorder="1" applyAlignment="1">
      <alignment vertical="center"/>
    </xf>
    <xf numFmtId="178" fontId="42" fillId="2" borderId="22" xfId="2" applyFont="1" applyFill="1" applyBorder="1" applyAlignment="1">
      <alignment vertical="center"/>
    </xf>
    <xf numFmtId="178" fontId="118" fillId="6" borderId="22" xfId="2" applyFont="1" applyFill="1" applyBorder="1" applyAlignment="1">
      <alignment vertical="center"/>
    </xf>
    <xf numFmtId="178" fontId="118" fillId="5" borderId="22" xfId="2" applyFont="1" applyFill="1" applyBorder="1" applyAlignment="1">
      <alignment vertical="center"/>
    </xf>
    <xf numFmtId="178" fontId="42" fillId="5" borderId="22" xfId="2" applyFont="1" applyFill="1" applyBorder="1" applyAlignment="1">
      <alignment vertical="center"/>
    </xf>
    <xf numFmtId="178" fontId="42" fillId="63" borderId="22" xfId="2" applyFont="1" applyFill="1" applyBorder="1" applyAlignment="1">
      <alignment vertical="center"/>
    </xf>
    <xf numFmtId="178" fontId="0" fillId="63" borderId="22" xfId="2" applyFont="1" applyFill="1" applyBorder="1" applyAlignment="1">
      <alignment vertical="center"/>
    </xf>
    <xf numFmtId="178" fontId="0" fillId="0" borderId="0" xfId="0" applyNumberFormat="1" applyAlignment="1">
      <alignment vertical="center"/>
    </xf>
    <xf numFmtId="0" fontId="42" fillId="0" borderId="23" xfId="4" applyNumberFormat="1" applyFill="1" applyBorder="1" applyAlignment="1">
      <alignment vertical="center"/>
    </xf>
    <xf numFmtId="0" fontId="42" fillId="0" borderId="0" xfId="4" applyNumberFormat="1" applyAlignment="1">
      <alignment vertical="center"/>
    </xf>
    <xf numFmtId="178" fontId="42" fillId="6" borderId="22" xfId="4" applyNumberFormat="1" applyFill="1" applyBorder="1" applyAlignment="1">
      <alignment vertical="center"/>
    </xf>
    <xf numFmtId="178" fontId="42" fillId="0" borderId="0" xfId="4" applyNumberFormat="1" applyFill="1" applyBorder="1" applyAlignment="1">
      <alignment vertical="center"/>
    </xf>
    <xf numFmtId="0" fontId="42" fillId="0" borderId="8" xfId="4" applyNumberFormat="1" applyFill="1" applyBorder="1" applyAlignment="1">
      <alignment vertical="center"/>
    </xf>
    <xf numFmtId="178" fontId="42" fillId="4" borderId="93" xfId="2" applyFont="1" applyFill="1" applyBorder="1" applyAlignment="1">
      <alignment horizontal="right" vertical="center"/>
    </xf>
    <xf numFmtId="178" fontId="42" fillId="2" borderId="93" xfId="2" applyFont="1" applyFill="1" applyBorder="1" applyAlignment="1">
      <alignment vertical="center"/>
    </xf>
    <xf numFmtId="178" fontId="42" fillId="6" borderId="93" xfId="4" applyNumberFormat="1" applyFill="1" applyBorder="1" applyAlignment="1">
      <alignment vertical="center"/>
    </xf>
    <xf numFmtId="178" fontId="42" fillId="5" borderId="93" xfId="2" applyFont="1" applyFill="1" applyBorder="1" applyAlignment="1">
      <alignment vertical="center"/>
    </xf>
    <xf numFmtId="178" fontId="42" fillId="63" borderId="93" xfId="2" applyFont="1" applyFill="1" applyBorder="1" applyAlignment="1">
      <alignment vertical="center"/>
    </xf>
    <xf numFmtId="178" fontId="0" fillId="63" borderId="93" xfId="2" applyFont="1" applyFill="1" applyBorder="1" applyAlignment="1">
      <alignment vertical="center"/>
    </xf>
    <xf numFmtId="178" fontId="38" fillId="4" borderId="22" xfId="2" applyFont="1" applyFill="1" applyBorder="1" applyAlignment="1">
      <alignment horizontal="right" vertical="center"/>
    </xf>
    <xf numFmtId="178" fontId="118" fillId="4" borderId="93" xfId="2" applyFont="1" applyFill="1" applyBorder="1" applyAlignment="1">
      <alignment horizontal="right" vertical="center"/>
    </xf>
    <xf numFmtId="178" fontId="118" fillId="2" borderId="93" xfId="2" applyFont="1" applyFill="1" applyBorder="1" applyAlignment="1">
      <alignment vertical="center"/>
    </xf>
    <xf numFmtId="178" fontId="118" fillId="6" borderId="93" xfId="2" applyFont="1" applyFill="1" applyBorder="1" applyAlignment="1">
      <alignment vertical="center"/>
    </xf>
    <xf numFmtId="178" fontId="118" fillId="5" borderId="93" xfId="2" applyFont="1" applyFill="1" applyBorder="1" applyAlignment="1">
      <alignment vertical="center"/>
    </xf>
    <xf numFmtId="0" fontId="119" fillId="0" borderId="0" xfId="0" applyFont="1" applyFill="1" applyBorder="1" applyAlignment="1">
      <alignment horizontal="right" vertical="center"/>
    </xf>
    <xf numFmtId="0" fontId="32" fillId="0" borderId="94" xfId="0" applyFont="1" applyFill="1" applyBorder="1" applyAlignment="1">
      <alignment vertical="center"/>
    </xf>
    <xf numFmtId="0" fontId="23" fillId="0" borderId="94" xfId="0" applyFont="1" applyFill="1" applyBorder="1" applyAlignment="1">
      <alignment vertical="center"/>
    </xf>
    <xf numFmtId="178" fontId="43" fillId="4" borderId="95" xfId="2" applyFont="1" applyFill="1" applyBorder="1" applyAlignment="1">
      <alignment horizontal="right" vertical="center"/>
    </xf>
    <xf numFmtId="178" fontId="43" fillId="2" borderId="95" xfId="2" applyFont="1" applyFill="1" applyBorder="1" applyAlignment="1">
      <alignment vertical="center"/>
    </xf>
    <xf numFmtId="178" fontId="43" fillId="6" borderId="95" xfId="2" applyFont="1" applyFill="1" applyBorder="1" applyAlignment="1">
      <alignment vertical="center"/>
    </xf>
    <xf numFmtId="178" fontId="43" fillId="5" borderId="95" xfId="2" applyFont="1" applyFill="1" applyBorder="1" applyAlignment="1">
      <alignment vertical="center"/>
    </xf>
    <xf numFmtId="178" fontId="43" fillId="0" borderId="0" xfId="2" applyFont="1" applyFill="1" applyBorder="1" applyAlignment="1">
      <alignment vertical="center"/>
    </xf>
    <xf numFmtId="178" fontId="32" fillId="63" borderId="96" xfId="2" applyFont="1" applyFill="1" applyBorder="1" applyAlignment="1">
      <alignment vertical="center"/>
    </xf>
    <xf numFmtId="178" fontId="32" fillId="0" borderId="0" xfId="0" applyNumberFormat="1" applyFont="1" applyAlignment="1">
      <alignment vertical="center"/>
    </xf>
    <xf numFmtId="178" fontId="38" fillId="4" borderId="22" xfId="2" applyFont="1" applyFill="1" applyBorder="1" applyAlignment="1">
      <alignment horizontal="center" vertical="center" wrapText="1"/>
    </xf>
    <xf numFmtId="0" fontId="120" fillId="0" borderId="25" xfId="4" applyNumberFormat="1" applyFont="1" applyBorder="1" applyAlignment="1">
      <alignment vertical="center"/>
    </xf>
    <xf numFmtId="0" fontId="120" fillId="0" borderId="25" xfId="4" applyNumberFormat="1" applyFont="1" applyFill="1" applyBorder="1" applyAlignment="1">
      <alignment horizontal="right" vertical="center"/>
    </xf>
    <xf numFmtId="0" fontId="120" fillId="0" borderId="25" xfId="4" applyNumberFormat="1" applyFont="1" applyFill="1" applyBorder="1" applyAlignment="1">
      <alignment vertical="center"/>
    </xf>
    <xf numFmtId="0" fontId="0" fillId="0" borderId="25" xfId="0" applyBorder="1" applyAlignment="1">
      <alignment vertical="center"/>
    </xf>
    <xf numFmtId="178" fontId="120" fillId="4" borderId="90" xfId="4" applyNumberFormat="1" applyFont="1" applyFill="1" applyBorder="1" applyAlignment="1">
      <alignment vertical="center"/>
    </xf>
    <xf numFmtId="178" fontId="120" fillId="4" borderId="90" xfId="4" applyNumberFormat="1" applyFont="1" applyFill="1" applyBorder="1" applyAlignment="1">
      <alignment horizontal="center" vertical="center" wrapText="1"/>
    </xf>
    <xf numFmtId="178" fontId="120" fillId="2" borderId="90" xfId="4" applyNumberFormat="1" applyFont="1" applyFill="1" applyBorder="1" applyAlignment="1">
      <alignment vertical="center"/>
    </xf>
    <xf numFmtId="178" fontId="120" fillId="6" borderId="90" xfId="4" applyNumberFormat="1" applyFont="1" applyFill="1" applyBorder="1" applyAlignment="1">
      <alignment vertical="center"/>
    </xf>
    <xf numFmtId="178" fontId="120" fillId="5" borderId="90" xfId="4" applyNumberFormat="1" applyFont="1" applyFill="1" applyBorder="1" applyAlignment="1">
      <alignment vertical="center"/>
    </xf>
    <xf numFmtId="178" fontId="120" fillId="0" borderId="25" xfId="4" applyNumberFormat="1" applyFont="1" applyFill="1" applyBorder="1" applyAlignment="1">
      <alignment vertical="center"/>
    </xf>
    <xf numFmtId="178" fontId="0" fillId="0" borderId="25" xfId="0" applyNumberFormat="1" applyBorder="1" applyAlignment="1">
      <alignment vertical="center"/>
    </xf>
    <xf numFmtId="0" fontId="0" fillId="0" borderId="8" xfId="0" applyFont="1" applyFill="1" applyBorder="1" applyAlignment="1">
      <alignment vertical="center"/>
    </xf>
    <xf numFmtId="0" fontId="42" fillId="0" borderId="0" xfId="4" applyNumberFormat="1" applyFill="1" applyBorder="1" applyAlignment="1">
      <alignment horizontal="center" vertical="center"/>
    </xf>
    <xf numFmtId="0" fontId="120" fillId="0" borderId="0" xfId="4" applyNumberFormat="1" applyFont="1" applyAlignment="1">
      <alignment vertical="center"/>
    </xf>
    <xf numFmtId="0" fontId="121" fillId="0" borderId="0" xfId="4" applyNumberFormat="1" applyFont="1" applyAlignment="1">
      <alignment vertical="center"/>
    </xf>
    <xf numFmtId="178" fontId="120" fillId="0" borderId="0" xfId="4" applyNumberFormat="1" applyFont="1" applyFill="1" applyBorder="1" applyAlignment="1">
      <alignment vertical="center"/>
    </xf>
    <xf numFmtId="178" fontId="118" fillId="4" borderId="22" xfId="4" applyNumberFormat="1" applyFont="1" applyFill="1" applyBorder="1" applyAlignment="1">
      <alignment horizontal="right" vertical="center"/>
    </xf>
    <xf numFmtId="178" fontId="118" fillId="4" borderId="22" xfId="4" applyNumberFormat="1" applyFont="1" applyFill="1" applyBorder="1" applyAlignment="1">
      <alignment horizontal="right" vertical="center" wrapText="1"/>
    </xf>
    <xf numFmtId="178" fontId="42" fillId="4" borderId="22" xfId="4" applyNumberFormat="1" applyFill="1" applyBorder="1" applyAlignment="1">
      <alignment vertical="center"/>
    </xf>
    <xf numFmtId="178" fontId="118" fillId="2" borderId="22" xfId="4" applyNumberFormat="1" applyFont="1" applyFill="1" applyBorder="1" applyAlignment="1">
      <alignment vertical="center"/>
    </xf>
    <xf numFmtId="178" fontId="42" fillId="2" borderId="22" xfId="4" applyNumberFormat="1" applyFill="1" applyBorder="1" applyAlignment="1">
      <alignment vertical="center"/>
    </xf>
    <xf numFmtId="178" fontId="118" fillId="6" borderId="22" xfId="4" applyNumberFormat="1" applyFont="1" applyFill="1" applyBorder="1" applyAlignment="1">
      <alignment vertical="center"/>
    </xf>
    <xf numFmtId="178" fontId="118" fillId="5" borderId="22" xfId="4" applyNumberFormat="1" applyFont="1" applyFill="1" applyBorder="1" applyAlignment="1">
      <alignment vertical="center"/>
    </xf>
    <xf numFmtId="178" fontId="42" fillId="5" borderId="22" xfId="4" applyNumberFormat="1" applyFill="1" applyBorder="1" applyAlignment="1">
      <alignment vertical="center"/>
    </xf>
    <xf numFmtId="178" fontId="42" fillId="63" borderId="22" xfId="4" applyNumberFormat="1" applyFill="1" applyBorder="1" applyAlignment="1">
      <alignment vertical="center"/>
    </xf>
    <xf numFmtId="178" fontId="42" fillId="0" borderId="0" xfId="4" applyNumberFormat="1" applyAlignment="1">
      <alignment vertical="center"/>
    </xf>
    <xf numFmtId="0" fontId="120" fillId="0" borderId="0" xfId="4" applyNumberFormat="1" applyFont="1" applyFill="1" applyBorder="1" applyAlignment="1">
      <alignment horizontal="right" vertical="center"/>
    </xf>
    <xf numFmtId="0" fontId="120" fillId="0" borderId="24" xfId="4" applyNumberFormat="1" applyFont="1" applyFill="1" applyBorder="1" applyAlignment="1">
      <alignment vertical="center"/>
    </xf>
    <xf numFmtId="178" fontId="120" fillId="63" borderId="22" xfId="2" applyFont="1" applyFill="1" applyBorder="1" applyAlignment="1">
      <alignment vertical="center"/>
    </xf>
    <xf numFmtId="178" fontId="118" fillId="4" borderId="92" xfId="2" applyFont="1" applyFill="1" applyBorder="1" applyAlignment="1">
      <alignment horizontal="right" vertical="center"/>
    </xf>
    <xf numFmtId="178" fontId="118" fillId="2" borderId="92" xfId="2" applyFont="1" applyFill="1" applyBorder="1" applyAlignment="1">
      <alignment vertical="center"/>
    </xf>
    <xf numFmtId="178" fontId="118" fillId="6" borderId="92" xfId="2" applyFont="1" applyFill="1" applyBorder="1" applyAlignment="1">
      <alignment vertical="center"/>
    </xf>
    <xf numFmtId="178" fontId="118" fillId="5" borderId="92" xfId="2" applyFont="1" applyFill="1" applyBorder="1" applyAlignment="1">
      <alignment vertical="center"/>
    </xf>
    <xf numFmtId="178" fontId="43" fillId="4" borderId="95" xfId="2" applyFont="1" applyFill="1" applyBorder="1" applyAlignment="1">
      <alignment vertical="center"/>
    </xf>
    <xf numFmtId="178" fontId="122" fillId="2" borderId="22" xfId="2" applyFont="1" applyFill="1" applyBorder="1" applyAlignment="1">
      <alignment vertical="center"/>
    </xf>
    <xf numFmtId="178" fontId="122" fillId="6" borderId="22" xfId="2" applyFont="1" applyFill="1" applyBorder="1" applyAlignment="1">
      <alignment vertical="center"/>
    </xf>
    <xf numFmtId="178" fontId="122" fillId="5" borderId="22" xfId="2" applyFont="1" applyFill="1" applyBorder="1" applyAlignment="1">
      <alignment vertical="center"/>
    </xf>
    <xf numFmtId="0" fontId="120" fillId="0" borderId="0" xfId="4" applyNumberFormat="1" applyFont="1" applyFill="1" applyBorder="1" applyAlignment="1">
      <alignment horizontal="center" vertical="center"/>
    </xf>
    <xf numFmtId="0" fontId="120" fillId="0" borderId="0" xfId="4" applyNumberFormat="1" applyFont="1" applyFill="1" applyBorder="1" applyAlignment="1">
      <alignment vertical="center"/>
    </xf>
    <xf numFmtId="178" fontId="120" fillId="4" borderId="22" xfId="4" applyNumberFormat="1" applyFont="1" applyFill="1" applyBorder="1" applyAlignment="1">
      <alignment vertical="center"/>
    </xf>
    <xf numFmtId="178" fontId="120" fillId="4" borderId="22" xfId="4" applyNumberFormat="1" applyFont="1" applyFill="1" applyBorder="1" applyAlignment="1">
      <alignment horizontal="center" vertical="center" wrapText="1"/>
    </xf>
    <xf numFmtId="178" fontId="120" fillId="2" borderId="22" xfId="4" applyNumberFormat="1" applyFont="1" applyFill="1" applyBorder="1" applyAlignment="1">
      <alignment vertical="center"/>
    </xf>
    <xf numFmtId="178" fontId="120" fillId="6" borderId="22" xfId="4" applyNumberFormat="1" applyFont="1" applyFill="1" applyBorder="1" applyAlignment="1">
      <alignment vertical="center"/>
    </xf>
    <xf numFmtId="178" fontId="120" fillId="5" borderId="22" xfId="4" applyNumberFormat="1" applyFont="1" applyFill="1" applyBorder="1" applyAlignment="1">
      <alignment vertical="center"/>
    </xf>
    <xf numFmtId="178" fontId="120" fillId="0" borderId="25" xfId="4" applyNumberFormat="1" applyFont="1" applyBorder="1" applyAlignment="1">
      <alignment vertical="center"/>
    </xf>
    <xf numFmtId="178" fontId="120" fillId="63" borderId="90" xfId="4" applyNumberFormat="1" applyFont="1" applyFill="1" applyBorder="1" applyAlignment="1">
      <alignment vertical="center"/>
    </xf>
    <xf numFmtId="178" fontId="120" fillId="4" borderId="90" xfId="4" applyNumberFormat="1" applyFont="1" applyFill="1" applyBorder="1" applyAlignment="1">
      <alignment horizontal="right" vertical="center"/>
    </xf>
    <xf numFmtId="0" fontId="38" fillId="0" borderId="0" xfId="4" applyNumberFormat="1" applyFont="1" applyAlignment="1">
      <alignment vertical="center"/>
    </xf>
    <xf numFmtId="178" fontId="42" fillId="4" borderId="22" xfId="4" applyNumberFormat="1" applyFill="1" applyBorder="1" applyAlignment="1">
      <alignment horizontal="center" vertical="center" wrapText="1"/>
    </xf>
    <xf numFmtId="178" fontId="42" fillId="4" borderId="22" xfId="4" applyNumberFormat="1" applyFill="1" applyBorder="1" applyAlignment="1">
      <alignment horizontal="right" vertical="center"/>
    </xf>
    <xf numFmtId="178" fontId="42" fillId="4" borderId="93" xfId="4" applyNumberFormat="1" applyFill="1" applyBorder="1" applyAlignment="1">
      <alignment vertical="center"/>
    </xf>
    <xf numFmtId="178" fontId="42" fillId="4" borderId="93" xfId="4" applyNumberFormat="1" applyFill="1" applyBorder="1" applyAlignment="1">
      <alignment horizontal="center" vertical="center" wrapText="1"/>
    </xf>
    <xf numFmtId="178" fontId="42" fillId="4" borderId="93" xfId="4" applyNumberFormat="1" applyFill="1" applyBorder="1" applyAlignment="1">
      <alignment horizontal="right" vertical="center"/>
    </xf>
    <xf numFmtId="178" fontId="42" fillId="2" borderId="93" xfId="4" applyNumberFormat="1" applyFill="1" applyBorder="1" applyAlignment="1">
      <alignment vertical="center"/>
    </xf>
    <xf numFmtId="178" fontId="42" fillId="5" borderId="93" xfId="4" applyNumberFormat="1" applyFill="1" applyBorder="1" applyAlignment="1">
      <alignment vertical="center"/>
    </xf>
    <xf numFmtId="0" fontId="27" fillId="0" borderId="97" xfId="0" applyFont="1" applyFill="1" applyBorder="1" applyAlignment="1">
      <alignment vertical="center"/>
    </xf>
    <xf numFmtId="178" fontId="116" fillId="4" borderId="98" xfId="2" applyFont="1" applyFill="1" applyBorder="1" applyAlignment="1">
      <alignment vertical="center"/>
    </xf>
    <xf numFmtId="178" fontId="116" fillId="2" borderId="98" xfId="2" applyFont="1" applyFill="1" applyBorder="1" applyAlignment="1">
      <alignment vertical="center"/>
    </xf>
    <xf numFmtId="178" fontId="116" fillId="6" borderId="98" xfId="2" applyFont="1" applyFill="1" applyBorder="1" applyAlignment="1">
      <alignment vertical="center"/>
    </xf>
    <xf numFmtId="178" fontId="116" fillId="5" borderId="98" xfId="2" applyFont="1" applyFill="1" applyBorder="1" applyAlignment="1">
      <alignment vertical="center"/>
    </xf>
    <xf numFmtId="178" fontId="27" fillId="63" borderId="99" xfId="2" applyFont="1" applyFill="1" applyBorder="1" applyAlignment="1">
      <alignment vertical="center"/>
    </xf>
    <xf numFmtId="178" fontId="38" fillId="4" borderId="91" xfId="2" applyFont="1" applyFill="1" applyBorder="1" applyAlignment="1">
      <alignment vertical="center"/>
    </xf>
    <xf numFmtId="178" fontId="38" fillId="4" borderId="91" xfId="2" applyFont="1" applyFill="1" applyBorder="1" applyAlignment="1">
      <alignment horizontal="center" vertical="center" wrapText="1"/>
    </xf>
    <xf numFmtId="178" fontId="38" fillId="2" borderId="91" xfId="2" applyFont="1" applyFill="1" applyBorder="1" applyAlignment="1">
      <alignment vertical="center"/>
    </xf>
    <xf numFmtId="178" fontId="38" fillId="6" borderId="91" xfId="2" applyFont="1" applyFill="1" applyBorder="1" applyAlignment="1">
      <alignment vertical="center"/>
    </xf>
    <xf numFmtId="178" fontId="38" fillId="5" borderId="91" xfId="2" applyFont="1" applyFill="1" applyBorder="1" applyAlignment="1">
      <alignment vertical="center"/>
    </xf>
    <xf numFmtId="0" fontId="0" fillId="63" borderId="91" xfId="0" applyFill="1" applyBorder="1" applyAlignment="1">
      <alignment vertical="center"/>
    </xf>
    <xf numFmtId="178" fontId="38" fillId="0" borderId="0" xfId="2" applyFont="1" applyFill="1" applyBorder="1" applyAlignment="1">
      <alignment horizontal="center" vertical="center" wrapText="1"/>
    </xf>
    <xf numFmtId="0" fontId="0" fillId="0" borderId="0" xfId="0" applyFill="1" applyBorder="1" applyAlignment="1">
      <alignment horizontal="left" vertical="center"/>
    </xf>
    <xf numFmtId="0" fontId="123" fillId="6" borderId="0" xfId="0" applyFont="1" applyFill="1" applyBorder="1"/>
    <xf numFmtId="0" fontId="0" fillId="6" borderId="100" xfId="0" applyFill="1" applyBorder="1"/>
    <xf numFmtId="0" fontId="0" fillId="6" borderId="100" xfId="0" applyFill="1" applyBorder="1" applyAlignment="1">
      <alignment vertical="center"/>
    </xf>
    <xf numFmtId="0" fontId="0" fillId="6" borderId="0" xfId="0" applyFill="1" applyBorder="1" applyAlignment="1">
      <alignment horizontal="right" vertical="center"/>
    </xf>
    <xf numFmtId="0" fontId="123" fillId="6" borderId="0" xfId="0" applyFont="1" applyFill="1" applyBorder="1" applyAlignment="1">
      <alignment horizontal="right" vertical="center"/>
    </xf>
    <xf numFmtId="0" fontId="123" fillId="6" borderId="0" xfId="0" applyFont="1" applyFill="1" applyBorder="1" applyAlignment="1">
      <alignment horizontal="left" vertical="center"/>
    </xf>
    <xf numFmtId="0" fontId="42" fillId="6" borderId="32" xfId="4" applyNumberFormat="1" applyFill="1" applyBorder="1"/>
    <xf numFmtId="0" fontId="43" fillId="6" borderId="0" xfId="4" applyNumberFormat="1" applyFont="1" applyFill="1" applyBorder="1"/>
    <xf numFmtId="0" fontId="42" fillId="6" borderId="0" xfId="4" applyNumberFormat="1" applyFill="1" applyBorder="1"/>
    <xf numFmtId="178" fontId="124" fillId="6" borderId="0" xfId="4" applyNumberFormat="1" applyFont="1" applyFill="1" applyBorder="1"/>
    <xf numFmtId="178" fontId="42" fillId="6" borderId="33" xfId="4" applyNumberFormat="1" applyFill="1" applyBorder="1"/>
    <xf numFmtId="178" fontId="42" fillId="0" borderId="0" xfId="4" applyNumberFormat="1"/>
    <xf numFmtId="178" fontId="0" fillId="6" borderId="0" xfId="2" applyFont="1" applyFill="1" applyBorder="1"/>
    <xf numFmtId="178" fontId="0" fillId="6" borderId="33" xfId="2" applyFont="1" applyFill="1" applyBorder="1"/>
    <xf numFmtId="0" fontId="29" fillId="6" borderId="0" xfId="0" applyFont="1" applyFill="1" applyBorder="1"/>
    <xf numFmtId="178" fontId="125" fillId="6" borderId="0" xfId="2" applyFont="1" applyFill="1" applyBorder="1" applyAlignment="1">
      <alignment vertical="center"/>
    </xf>
    <xf numFmtId="0" fontId="126" fillId="6" borderId="32" xfId="0" applyFont="1" applyFill="1" applyBorder="1" applyAlignment="1">
      <alignment vertical="center"/>
    </xf>
    <xf numFmtId="0" fontId="127" fillId="6" borderId="0" xfId="0" applyFont="1" applyFill="1" applyBorder="1" applyAlignment="1">
      <alignment vertical="center"/>
    </xf>
    <xf numFmtId="0" fontId="32" fillId="6" borderId="7" xfId="0" applyFont="1" applyFill="1" applyBorder="1" applyAlignment="1">
      <alignment vertical="center"/>
    </xf>
    <xf numFmtId="178" fontId="32" fillId="6" borderId="7" xfId="2" applyFont="1" applyFill="1" applyBorder="1" applyAlignment="1">
      <alignment vertical="center"/>
    </xf>
    <xf numFmtId="178" fontId="32" fillId="6" borderId="0" xfId="2" applyFont="1" applyFill="1" applyBorder="1" applyAlignment="1">
      <alignment vertical="center"/>
    </xf>
    <xf numFmtId="178" fontId="32" fillId="6" borderId="33" xfId="2" applyFont="1" applyFill="1" applyBorder="1" applyAlignment="1">
      <alignment vertical="center"/>
    </xf>
    <xf numFmtId="178" fontId="32" fillId="0" borderId="0" xfId="2" applyFont="1" applyAlignment="1">
      <alignment vertical="center"/>
    </xf>
    <xf numFmtId="0" fontId="32" fillId="6" borderId="32" xfId="0" applyFont="1" applyFill="1" applyBorder="1"/>
    <xf numFmtId="0" fontId="127" fillId="6" borderId="0" xfId="0" applyFont="1" applyFill="1" applyBorder="1"/>
    <xf numFmtId="178" fontId="32" fillId="6" borderId="33" xfId="2" applyFont="1" applyFill="1" applyBorder="1"/>
    <xf numFmtId="0" fontId="35" fillId="6" borderId="32" xfId="0" applyFont="1" applyFill="1" applyBorder="1"/>
    <xf numFmtId="0" fontId="128" fillId="6" borderId="0" xfId="0" applyFont="1" applyFill="1" applyBorder="1"/>
    <xf numFmtId="0" fontId="35" fillId="6" borderId="0" xfId="0" applyFont="1" applyFill="1" applyBorder="1"/>
    <xf numFmtId="178" fontId="35" fillId="6" borderId="0" xfId="2" applyFont="1" applyFill="1" applyBorder="1"/>
    <xf numFmtId="178" fontId="35" fillId="6" borderId="33" xfId="2" applyFont="1" applyFill="1" applyBorder="1"/>
    <xf numFmtId="0" fontId="42" fillId="6" borderId="0" xfId="4" applyNumberFormat="1" applyFont="1" applyFill="1" applyBorder="1"/>
    <xf numFmtId="0" fontId="129" fillId="6" borderId="0" xfId="0" applyFont="1" applyFill="1" applyBorder="1"/>
    <xf numFmtId="0" fontId="46" fillId="6" borderId="32" xfId="0" applyFont="1" applyFill="1" applyBorder="1" applyAlignment="1">
      <alignment vertical="center"/>
    </xf>
    <xf numFmtId="178" fontId="0" fillId="6" borderId="33" xfId="2" applyFont="1" applyFill="1" applyBorder="1" applyAlignment="1">
      <alignment vertical="center"/>
    </xf>
    <xf numFmtId="0" fontId="32" fillId="0" borderId="0" xfId="0" applyFont="1" applyBorder="1" applyAlignment="1">
      <alignment vertical="center"/>
    </xf>
    <xf numFmtId="178" fontId="32" fillId="0" borderId="0" xfId="2" applyFont="1" applyBorder="1" applyAlignment="1">
      <alignment vertical="center"/>
    </xf>
    <xf numFmtId="178" fontId="125" fillId="0" borderId="0" xfId="2" applyFont="1" applyBorder="1" applyAlignment="1">
      <alignment vertical="center"/>
    </xf>
    <xf numFmtId="0" fontId="26" fillId="12" borderId="26" xfId="0" applyFont="1" applyFill="1" applyBorder="1" applyAlignment="1">
      <alignment horizontal="left" vertical="center" indent="1"/>
    </xf>
    <xf numFmtId="0" fontId="0" fillId="12" borderId="25" xfId="0" applyFill="1" applyBorder="1"/>
    <xf numFmtId="0" fontId="123" fillId="12" borderId="25" xfId="0" applyFont="1" applyFill="1" applyBorder="1"/>
    <xf numFmtId="178" fontId="0" fillId="12" borderId="25" xfId="2" applyFont="1" applyFill="1" applyBorder="1"/>
    <xf numFmtId="178" fontId="0" fillId="12" borderId="27" xfId="2" applyFont="1" applyFill="1" applyBorder="1"/>
    <xf numFmtId="0" fontId="0" fillId="2" borderId="28" xfId="0" applyFill="1" applyBorder="1"/>
    <xf numFmtId="0" fontId="0" fillId="2" borderId="24" xfId="0" applyFill="1" applyBorder="1"/>
    <xf numFmtId="0" fontId="0" fillId="2" borderId="32" xfId="0" applyFill="1" applyBorder="1"/>
    <xf numFmtId="0" fontId="0" fillId="2" borderId="33" xfId="0" applyFill="1" applyBorder="1"/>
    <xf numFmtId="0" fontId="123" fillId="0" borderId="0" xfId="0" applyFont="1" applyFill="1" applyBorder="1"/>
    <xf numFmtId="0" fontId="0" fillId="0" borderId="0" xfId="0" applyFont="1" applyFill="1"/>
    <xf numFmtId="184" fontId="42" fillId="0" borderId="0" xfId="1" applyFont="1"/>
    <xf numFmtId="0" fontId="32" fillId="2" borderId="0" xfId="0" applyFont="1" applyFill="1" applyBorder="1"/>
    <xf numFmtId="0" fontId="123" fillId="0" borderId="0" xfId="0" applyFont="1"/>
    <xf numFmtId="0" fontId="26" fillId="61" borderId="26" xfId="0" applyFont="1" applyFill="1" applyBorder="1" applyAlignment="1">
      <alignment horizontal="left" vertical="center" indent="1"/>
    </xf>
    <xf numFmtId="0" fontId="0" fillId="61" borderId="25" xfId="0" applyFill="1" applyBorder="1"/>
    <xf numFmtId="0" fontId="123" fillId="61" borderId="25" xfId="0" applyFont="1" applyFill="1" applyBorder="1"/>
    <xf numFmtId="0" fontId="0" fillId="61" borderId="25" xfId="0" applyFill="1" applyBorder="1" applyAlignment="1">
      <alignment horizontal="right"/>
    </xf>
    <xf numFmtId="0" fontId="0" fillId="61" borderId="27" xfId="0" applyFill="1" applyBorder="1"/>
    <xf numFmtId="0" fontId="25" fillId="63" borderId="32" xfId="0" applyFont="1" applyFill="1" applyBorder="1"/>
    <xf numFmtId="0" fontId="0" fillId="63" borderId="0" xfId="0" applyFill="1" applyBorder="1"/>
    <xf numFmtId="0" fontId="123" fillId="63" borderId="0" xfId="0" applyFont="1" applyFill="1" applyBorder="1"/>
    <xf numFmtId="0" fontId="0" fillId="63" borderId="0" xfId="0" applyFill="1" applyBorder="1" applyAlignment="1">
      <alignment horizontal="right"/>
    </xf>
    <xf numFmtId="0" fontId="0" fillId="63" borderId="33" xfId="0" applyFill="1" applyBorder="1"/>
    <xf numFmtId="0" fontId="25" fillId="63" borderId="0" xfId="0" applyFont="1" applyFill="1" applyBorder="1"/>
    <xf numFmtId="0" fontId="0" fillId="63" borderId="32" xfId="0" applyFill="1" applyBorder="1"/>
    <xf numFmtId="0" fontId="32" fillId="63" borderId="0" xfId="0" applyFont="1" applyFill="1" applyBorder="1"/>
    <xf numFmtId="0" fontId="42" fillId="63" borderId="32" xfId="4" applyNumberFormat="1" applyFill="1" applyBorder="1"/>
    <xf numFmtId="0" fontId="42" fillId="63" borderId="0" xfId="4" applyNumberFormat="1" applyFill="1" applyBorder="1" applyAlignment="1">
      <alignment horizontal="right"/>
    </xf>
    <xf numFmtId="0" fontId="42" fillId="63" borderId="0" xfId="4" applyNumberFormat="1" applyFill="1" applyBorder="1"/>
    <xf numFmtId="179" fontId="42" fillId="63" borderId="0" xfId="4" applyNumberFormat="1" applyFill="1" applyBorder="1"/>
    <xf numFmtId="179" fontId="124" fillId="63" borderId="0" xfId="4" applyNumberFormat="1" applyFont="1" applyFill="1" applyBorder="1"/>
    <xf numFmtId="179" fontId="0" fillId="63" borderId="0" xfId="0" applyNumberFormat="1" applyFill="1" applyBorder="1"/>
    <xf numFmtId="0" fontId="42" fillId="63" borderId="33" xfId="4" applyNumberFormat="1" applyFill="1" applyBorder="1"/>
    <xf numFmtId="184" fontId="0" fillId="63" borderId="0" xfId="1" applyNumberFormat="1" applyFont="1" applyFill="1" applyBorder="1"/>
    <xf numFmtId="184" fontId="123" fillId="63" borderId="0" xfId="1" applyNumberFormat="1" applyFont="1" applyFill="1" applyBorder="1"/>
    <xf numFmtId="184" fontId="0" fillId="63" borderId="0" xfId="0" applyNumberFormat="1" applyFill="1" applyBorder="1"/>
    <xf numFmtId="184" fontId="32" fillId="63" borderId="0" xfId="1" applyNumberFormat="1" applyFont="1" applyFill="1" applyBorder="1"/>
    <xf numFmtId="184" fontId="125" fillId="63" borderId="0" xfId="1" applyNumberFormat="1" applyFont="1" applyFill="1" applyBorder="1"/>
    <xf numFmtId="185" fontId="32" fillId="0" borderId="0" xfId="1" applyNumberFormat="1" applyFont="1"/>
    <xf numFmtId="184" fontId="123" fillId="63" borderId="0" xfId="0" applyNumberFormat="1" applyFont="1" applyFill="1" applyBorder="1"/>
    <xf numFmtId="0" fontId="35" fillId="63" borderId="32" xfId="0" applyFont="1" applyFill="1" applyBorder="1"/>
    <xf numFmtId="0" fontId="35" fillId="63" borderId="0" xfId="0" applyFont="1" applyFill="1" applyBorder="1"/>
    <xf numFmtId="184" fontId="35" fillId="63" borderId="0" xfId="1" applyNumberFormat="1" applyFont="1" applyFill="1" applyBorder="1"/>
    <xf numFmtId="184" fontId="129" fillId="63" borderId="0" xfId="1" applyNumberFormat="1" applyFont="1" applyFill="1" applyBorder="1"/>
    <xf numFmtId="0" fontId="35" fillId="63" borderId="33" xfId="0" applyFont="1" applyFill="1" applyBorder="1"/>
    <xf numFmtId="0" fontId="0" fillId="63" borderId="32" xfId="0" applyFill="1" applyBorder="1" applyAlignment="1">
      <alignment vertical="center"/>
    </xf>
    <xf numFmtId="0" fontId="0" fillId="63" borderId="0" xfId="0" applyFill="1" applyBorder="1" applyAlignment="1">
      <alignment vertical="center"/>
    </xf>
    <xf numFmtId="0" fontId="32" fillId="63" borderId="0" xfId="0" applyFont="1" applyFill="1" applyBorder="1" applyAlignment="1">
      <alignment horizontal="right" vertical="center"/>
    </xf>
    <xf numFmtId="0" fontId="130" fillId="63" borderId="0" xfId="0" applyFont="1" applyFill="1" applyAlignment="1">
      <alignment vertical="center"/>
    </xf>
    <xf numFmtId="0" fontId="123" fillId="63" borderId="0" xfId="0" applyFont="1" applyFill="1" applyAlignment="1">
      <alignment vertical="center"/>
    </xf>
    <xf numFmtId="183" fontId="32" fillId="63" borderId="0" xfId="2" applyNumberFormat="1" applyFont="1" applyFill="1" applyBorder="1" applyAlignment="1">
      <alignment vertical="center"/>
    </xf>
    <xf numFmtId="0" fontId="0" fillId="63" borderId="0" xfId="0" applyFill="1" applyBorder="1" applyAlignment="1">
      <alignment horizontal="right" vertical="center"/>
    </xf>
    <xf numFmtId="184" fontId="0" fillId="63" borderId="0" xfId="0" applyNumberFormat="1" applyFill="1" applyBorder="1" applyAlignment="1">
      <alignment vertical="center"/>
    </xf>
    <xf numFmtId="0" fontId="0" fillId="63" borderId="33" xfId="0" applyFill="1" applyBorder="1" applyAlignment="1">
      <alignment vertical="center"/>
    </xf>
    <xf numFmtId="0" fontId="125" fillId="63" borderId="0" xfId="0" applyFont="1" applyFill="1" applyBorder="1" applyAlignment="1">
      <alignment horizontal="right" vertical="center"/>
    </xf>
    <xf numFmtId="0" fontId="0" fillId="63" borderId="0" xfId="0" applyFont="1" applyFill="1" applyBorder="1" applyAlignment="1">
      <alignment horizontal="right" vertical="center"/>
    </xf>
    <xf numFmtId="0" fontId="123" fillId="63" borderId="0" xfId="0" applyFont="1" applyFill="1" applyBorder="1" applyAlignment="1">
      <alignment horizontal="right" vertical="center"/>
    </xf>
    <xf numFmtId="1" fontId="40" fillId="63" borderId="0" xfId="849" applyNumberFormat="1" applyFont="1" applyFill="1" applyAlignment="1">
      <alignment vertical="center"/>
    </xf>
    <xf numFmtId="1" fontId="40" fillId="63" borderId="0" xfId="849" applyNumberFormat="1" applyFont="1" applyFill="1" applyBorder="1" applyAlignment="1">
      <alignment vertical="center"/>
    </xf>
    <xf numFmtId="0" fontId="129" fillId="63" borderId="0" xfId="0" applyFont="1" applyFill="1" applyBorder="1"/>
    <xf numFmtId="1" fontId="35" fillId="63" borderId="0" xfId="0" applyNumberFormat="1" applyFont="1" applyFill="1" applyBorder="1"/>
    <xf numFmtId="1" fontId="0" fillId="63" borderId="0" xfId="0" applyNumberFormat="1" applyFill="1" applyBorder="1"/>
    <xf numFmtId="179" fontId="123" fillId="63" borderId="0" xfId="2" applyNumberFormat="1" applyFont="1" applyFill="1" applyBorder="1"/>
    <xf numFmtId="179" fontId="0" fillId="63" borderId="0" xfId="2" applyNumberFormat="1" applyFont="1" applyFill="1" applyBorder="1"/>
    <xf numFmtId="179" fontId="123" fillId="63" borderId="0" xfId="0" applyNumberFormat="1" applyFont="1" applyFill="1" applyBorder="1"/>
    <xf numFmtId="179" fontId="32" fillId="63" borderId="0" xfId="0" applyNumberFormat="1" applyFont="1" applyFill="1" applyBorder="1"/>
    <xf numFmtId="179" fontId="125" fillId="63" borderId="0" xfId="0" applyNumberFormat="1" applyFont="1" applyFill="1" applyBorder="1"/>
    <xf numFmtId="179" fontId="35" fillId="63" borderId="0" xfId="2" applyNumberFormat="1" applyFont="1" applyFill="1" applyBorder="1"/>
    <xf numFmtId="179" fontId="129" fillId="63" borderId="0" xfId="2" applyNumberFormat="1" applyFont="1" applyFill="1" applyBorder="1"/>
    <xf numFmtId="179" fontId="35" fillId="63" borderId="0" xfId="0" applyNumberFormat="1" applyFont="1" applyFill="1" applyBorder="1"/>
    <xf numFmtId="0" fontId="50" fillId="63" borderId="0" xfId="0" applyFont="1" applyFill="1" applyBorder="1"/>
    <xf numFmtId="0" fontId="0" fillId="63" borderId="23" xfId="0" applyFill="1" applyBorder="1"/>
    <xf numFmtId="0" fontId="123" fillId="63" borderId="23" xfId="0" applyFont="1" applyFill="1" applyBorder="1"/>
    <xf numFmtId="0" fontId="0" fillId="63" borderId="31" xfId="0" applyFill="1" applyBorder="1"/>
    <xf numFmtId="0" fontId="40" fillId="63" borderId="0" xfId="6" applyFont="1" applyFill="1"/>
    <xf numFmtId="0" fontId="0" fillId="63" borderId="0" xfId="0" applyFill="1"/>
    <xf numFmtId="0" fontId="123" fillId="63" borderId="0" xfId="0" applyFont="1" applyFill="1"/>
    <xf numFmtId="0" fontId="38" fillId="63" borderId="0" xfId="0" applyFont="1" applyFill="1" applyBorder="1"/>
    <xf numFmtId="179" fontId="40" fillId="63" borderId="0" xfId="2" applyNumberFormat="1" applyFont="1" applyFill="1"/>
    <xf numFmtId="0" fontId="49" fillId="63" borderId="0" xfId="0" applyFont="1" applyFill="1" applyBorder="1"/>
    <xf numFmtId="179" fontId="43" fillId="63" borderId="0" xfId="2" applyNumberFormat="1" applyFont="1" applyFill="1" applyBorder="1" applyAlignment="1">
      <alignment vertical="center"/>
    </xf>
    <xf numFmtId="0" fontId="131" fillId="64" borderId="26" xfId="0" applyFont="1" applyFill="1" applyBorder="1" applyAlignment="1">
      <alignment horizontal="left" vertical="center" indent="1"/>
    </xf>
    <xf numFmtId="0" fontId="35" fillId="64" borderId="25" xfId="0" applyFont="1" applyFill="1" applyBorder="1"/>
    <xf numFmtId="178" fontId="35" fillId="64" borderId="25" xfId="2" applyFont="1" applyFill="1" applyBorder="1"/>
    <xf numFmtId="178" fontId="35" fillId="64" borderId="27" xfId="2" applyFont="1" applyFill="1" applyBorder="1"/>
    <xf numFmtId="0" fontId="131" fillId="16" borderId="28" xfId="0" applyFont="1" applyFill="1" applyBorder="1" applyAlignment="1">
      <alignment horizontal="left" vertical="center" indent="1"/>
    </xf>
    <xf numFmtId="0" fontId="35" fillId="16" borderId="24" xfId="0" applyFont="1" applyFill="1" applyBorder="1"/>
    <xf numFmtId="178" fontId="35" fillId="16" borderId="24" xfId="2" applyFont="1" applyFill="1" applyBorder="1"/>
    <xf numFmtId="178" fontId="35" fillId="16" borderId="29" xfId="2" applyFont="1" applyFill="1" applyBorder="1"/>
    <xf numFmtId="0" fontId="35" fillId="16" borderId="32" xfId="0" applyFont="1" applyFill="1" applyBorder="1"/>
    <xf numFmtId="0" fontId="35" fillId="16" borderId="0" xfId="0" applyFont="1" applyFill="1" applyBorder="1"/>
    <xf numFmtId="179" fontId="35" fillId="16" borderId="0" xfId="2" applyNumberFormat="1" applyFont="1" applyFill="1" applyBorder="1"/>
    <xf numFmtId="0" fontId="35" fillId="16" borderId="33" xfId="0" applyFont="1" applyFill="1" applyBorder="1"/>
    <xf numFmtId="0" fontId="50" fillId="16" borderId="0" xfId="0" applyFont="1" applyFill="1" applyBorder="1"/>
    <xf numFmtId="179" fontId="50" fillId="16" borderId="0" xfId="2" applyNumberFormat="1" applyFont="1" applyFill="1" applyBorder="1"/>
    <xf numFmtId="178" fontId="35" fillId="16" borderId="0" xfId="0" applyNumberFormat="1" applyFont="1" applyFill="1" applyBorder="1"/>
    <xf numFmtId="184" fontId="35" fillId="16" borderId="0" xfId="1" applyFont="1" applyFill="1" applyBorder="1"/>
    <xf numFmtId="0" fontId="41" fillId="16" borderId="0" xfId="6" applyFont="1" applyFill="1"/>
    <xf numFmtId="0" fontId="41" fillId="16" borderId="0" xfId="6" applyNumberFormat="1" applyFont="1" applyFill="1"/>
    <xf numFmtId="0" fontId="32" fillId="16" borderId="0" xfId="0" applyFont="1" applyFill="1" applyBorder="1"/>
    <xf numFmtId="0" fontId="32" fillId="16" borderId="0" xfId="0" applyFont="1" applyFill="1" applyBorder="1" applyAlignment="1">
      <alignment horizontal="right"/>
    </xf>
    <xf numFmtId="0" fontId="40" fillId="16" borderId="0" xfId="6" applyFont="1" applyFill="1"/>
    <xf numFmtId="0" fontId="0" fillId="16" borderId="0" xfId="0" applyFill="1"/>
    <xf numFmtId="0" fontId="40" fillId="16" borderId="0" xfId="6" applyNumberFormat="1" applyFont="1" applyFill="1"/>
    <xf numFmtId="0" fontId="0" fillId="16" borderId="0" xfId="0" applyFill="1" applyBorder="1"/>
    <xf numFmtId="0" fontId="0" fillId="57" borderId="0" xfId="0" applyFill="1" applyBorder="1" applyAlignment="1">
      <alignment horizontal="center"/>
    </xf>
    <xf numFmtId="0" fontId="32" fillId="57" borderId="0" xfId="0" applyFont="1" applyFill="1" applyBorder="1" applyAlignment="1">
      <alignment horizontal="right"/>
    </xf>
    <xf numFmtId="0" fontId="32" fillId="0" borderId="0" xfId="0" applyFont="1" applyAlignment="1">
      <alignment horizontal="center"/>
    </xf>
    <xf numFmtId="179" fontId="0" fillId="57" borderId="0" xfId="0" applyNumberFormat="1" applyFill="1" applyBorder="1" applyAlignment="1">
      <alignment horizontal="center"/>
    </xf>
    <xf numFmtId="179" fontId="0" fillId="57" borderId="0" xfId="0" applyNumberFormat="1" applyFill="1" applyBorder="1" applyAlignment="1">
      <alignment horizontal="right"/>
    </xf>
    <xf numFmtId="179" fontId="0" fillId="0" borderId="0" xfId="0" applyNumberFormat="1" applyFill="1"/>
    <xf numFmtId="0" fontId="74" fillId="65" borderId="0" xfId="229" applyFont="1" applyFill="1" applyBorder="1" applyAlignment="1">
      <alignment horizontal="right"/>
    </xf>
    <xf numFmtId="179" fontId="0" fillId="57" borderId="0" xfId="0" applyNumberFormat="1" applyFill="1" applyBorder="1" applyAlignment="1">
      <alignment horizontal="left"/>
    </xf>
    <xf numFmtId="0" fontId="0" fillId="64" borderId="25" xfId="0" applyFont="1" applyFill="1" applyBorder="1"/>
    <xf numFmtId="178" fontId="23" fillId="64" borderId="25" xfId="2" applyFont="1" applyFill="1" applyBorder="1"/>
    <xf numFmtId="0" fontId="0" fillId="16" borderId="24" xfId="0" applyFont="1" applyFill="1" applyBorder="1"/>
    <xf numFmtId="178" fontId="23" fillId="16" borderId="24" xfId="2" applyFont="1" applyFill="1" applyBorder="1"/>
    <xf numFmtId="0" fontId="131" fillId="16" borderId="32" xfId="0" applyFont="1" applyFill="1" applyBorder="1" applyAlignment="1">
      <alignment horizontal="left" vertical="center" indent="1"/>
    </xf>
    <xf numFmtId="178" fontId="35" fillId="16" borderId="0" xfId="2" applyFont="1" applyFill="1" applyBorder="1"/>
    <xf numFmtId="178" fontId="32" fillId="16" borderId="0" xfId="2" applyFont="1" applyFill="1" applyBorder="1" applyAlignment="1">
      <alignment horizontal="right"/>
    </xf>
    <xf numFmtId="178" fontId="35" fillId="16" borderId="33" xfId="2" applyFont="1" applyFill="1" applyBorder="1"/>
    <xf numFmtId="0" fontId="0" fillId="16" borderId="0" xfId="0" applyFont="1" applyFill="1" applyBorder="1"/>
    <xf numFmtId="178" fontId="23" fillId="16" borderId="0" xfId="2" applyFont="1" applyFill="1" applyBorder="1"/>
    <xf numFmtId="179" fontId="0" fillId="16" borderId="0" xfId="2" applyNumberFormat="1" applyFont="1" applyFill="1" applyBorder="1"/>
    <xf numFmtId="179" fontId="23" fillId="16" borderId="0" xfId="2" applyNumberFormat="1" applyFont="1" applyFill="1" applyBorder="1"/>
    <xf numFmtId="179" fontId="132" fillId="66" borderId="0" xfId="2" applyNumberFormat="1" applyFont="1" applyFill="1" applyBorder="1"/>
    <xf numFmtId="193" fontId="0" fillId="0" borderId="0" xfId="0" applyNumberFormat="1"/>
    <xf numFmtId="0" fontId="0" fillId="63" borderId="0" xfId="0" applyNumberFormat="1" applyFill="1" applyBorder="1" applyAlignment="1">
      <alignment horizontal="center" vertical="center"/>
    </xf>
    <xf numFmtId="0" fontId="0" fillId="63" borderId="1" xfId="0" applyNumberFormat="1" applyFill="1" applyBorder="1" applyAlignment="1">
      <alignment horizontal="center" vertical="center"/>
    </xf>
    <xf numFmtId="0" fontId="30" fillId="59" borderId="8" xfId="0" applyFont="1" applyFill="1" applyBorder="1" applyAlignment="1">
      <alignment vertical="center"/>
    </xf>
    <xf numFmtId="0" fontId="30" fillId="59" borderId="16" xfId="0" applyNumberFormat="1" applyFont="1" applyFill="1" applyBorder="1" applyAlignment="1">
      <alignment horizontal="center" vertical="center"/>
    </xf>
    <xf numFmtId="0" fontId="30" fillId="59" borderId="17" xfId="0" applyNumberFormat="1" applyFont="1" applyFill="1" applyBorder="1" applyAlignment="1">
      <alignment horizontal="center" vertical="center"/>
    </xf>
    <xf numFmtId="179" fontId="40" fillId="59" borderId="0" xfId="2" applyNumberFormat="1" applyFont="1" applyFill="1" applyBorder="1"/>
    <xf numFmtId="0" fontId="30" fillId="57" borderId="69" xfId="0" applyNumberFormat="1" applyFont="1" applyFill="1" applyBorder="1" applyAlignment="1">
      <alignment horizontal="right" vertical="center"/>
    </xf>
    <xf numFmtId="0" fontId="30" fillId="57" borderId="70" xfId="0" applyNumberFormat="1" applyFont="1" applyFill="1" applyBorder="1" applyAlignment="1">
      <alignment horizontal="right" vertical="center"/>
    </xf>
    <xf numFmtId="0" fontId="0" fillId="0" borderId="0" xfId="0" applyFont="1" applyBorder="1" applyAlignment="1">
      <alignment vertical="center"/>
    </xf>
    <xf numFmtId="0" fontId="102" fillId="59" borderId="0" xfId="0" applyNumberFormat="1" applyFont="1" applyFill="1" applyBorder="1" applyAlignment="1">
      <alignment horizontal="center" vertical="center"/>
    </xf>
    <xf numFmtId="0" fontId="102" fillId="59" borderId="12" xfId="0" applyNumberFormat="1" applyFont="1" applyFill="1" applyBorder="1" applyAlignment="1">
      <alignment horizontal="center" vertical="center"/>
    </xf>
    <xf numFmtId="0" fontId="22" fillId="2" borderId="0" xfId="0" applyFont="1" applyFill="1" applyBorder="1" applyAlignment="1">
      <alignment vertical="center"/>
    </xf>
    <xf numFmtId="0" fontId="30" fillId="2" borderId="35" xfId="0" applyFont="1" applyFill="1" applyBorder="1" applyAlignment="1">
      <alignment horizontal="center" vertical="center"/>
    </xf>
    <xf numFmtId="178" fontId="0" fillId="2" borderId="0" xfId="2" applyFont="1" applyFill="1" applyBorder="1" applyAlignment="1">
      <alignment vertical="center"/>
    </xf>
    <xf numFmtId="178" fontId="0" fillId="2" borderId="0" xfId="2" applyNumberFormat="1" applyFont="1" applyFill="1" applyBorder="1" applyAlignment="1">
      <alignment vertical="center"/>
    </xf>
    <xf numFmtId="0" fontId="0" fillId="2" borderId="0" xfId="0" applyFont="1" applyFill="1" applyBorder="1" applyAlignment="1">
      <alignment vertical="center"/>
    </xf>
    <xf numFmtId="0" fontId="0" fillId="2" borderId="0" xfId="0" applyFill="1" applyBorder="1" applyAlignment="1">
      <alignment horizontal="right"/>
    </xf>
    <xf numFmtId="0" fontId="25" fillId="2" borderId="32" xfId="0" applyFont="1" applyFill="1" applyBorder="1"/>
    <xf numFmtId="0" fontId="0" fillId="2" borderId="23" xfId="0" applyFill="1" applyBorder="1" applyAlignment="1">
      <alignment vertical="center"/>
    </xf>
    <xf numFmtId="0" fontId="0" fillId="2" borderId="29" xfId="0" applyFill="1" applyBorder="1"/>
    <xf numFmtId="0" fontId="25" fillId="2" borderId="30" xfId="0" applyFont="1" applyFill="1" applyBorder="1"/>
    <xf numFmtId="0" fontId="0" fillId="2" borderId="23" xfId="0" applyFill="1" applyBorder="1"/>
    <xf numFmtId="178" fontId="0" fillId="2" borderId="1" xfId="2" applyNumberFormat="1" applyFont="1" applyFill="1" applyBorder="1" applyAlignment="1">
      <alignment vertical="center"/>
    </xf>
    <xf numFmtId="0" fontId="30" fillId="57" borderId="35" xfId="0" applyFont="1" applyFill="1" applyBorder="1" applyAlignment="1">
      <alignment horizontal="right" vertical="center"/>
    </xf>
    <xf numFmtId="0" fontId="0" fillId="57" borderId="32" xfId="0" applyFont="1" applyFill="1" applyBorder="1"/>
    <xf numFmtId="179" fontId="0" fillId="57" borderId="0" xfId="2" applyNumberFormat="1" applyFont="1" applyFill="1" applyBorder="1" applyAlignment="1">
      <alignment horizontal="right" vertical="center"/>
    </xf>
    <xf numFmtId="0" fontId="0" fillId="57" borderId="0" xfId="0" applyFill="1" applyBorder="1" applyAlignment="1">
      <alignment horizontal="center" vertical="center"/>
    </xf>
    <xf numFmtId="0" fontId="0" fillId="19" borderId="7" xfId="0" applyFont="1" applyFill="1" applyBorder="1" applyAlignment="1">
      <alignment vertical="center"/>
    </xf>
    <xf numFmtId="0" fontId="30" fillId="2" borderId="103" xfId="0" applyFont="1" applyFill="1" applyBorder="1" applyAlignment="1">
      <alignment vertical="center"/>
    </xf>
    <xf numFmtId="0" fontId="0" fillId="2" borderId="7" xfId="0" applyFont="1" applyFill="1" applyBorder="1" applyAlignment="1">
      <alignment vertical="center"/>
    </xf>
    <xf numFmtId="178" fontId="0" fillId="2" borderId="7" xfId="2" applyNumberFormat="1" applyFont="1" applyFill="1" applyBorder="1" applyAlignment="1">
      <alignment vertical="center"/>
    </xf>
    <xf numFmtId="0" fontId="102" fillId="2" borderId="0" xfId="0" applyFont="1" applyFill="1" applyBorder="1" applyAlignment="1">
      <alignment vertical="center"/>
    </xf>
    <xf numFmtId="0" fontId="102" fillId="2" borderId="0" xfId="0" applyFont="1" applyFill="1" applyBorder="1" applyAlignment="1">
      <alignment horizontal="center" vertical="center"/>
    </xf>
    <xf numFmtId="0" fontId="102" fillId="2" borderId="12" xfId="0" applyFont="1" applyFill="1" applyBorder="1" applyAlignment="1">
      <alignment horizontal="center" vertical="center"/>
    </xf>
    <xf numFmtId="0" fontId="26" fillId="4" borderId="32" xfId="0" applyFont="1" applyFill="1" applyBorder="1" applyAlignment="1">
      <alignment horizontal="left" vertical="center" indent="1"/>
    </xf>
    <xf numFmtId="0" fontId="32" fillId="4" borderId="0" xfId="0" applyFont="1" applyFill="1" applyBorder="1" applyAlignment="1">
      <alignment horizontal="right" vertical="center"/>
    </xf>
    <xf numFmtId="179" fontId="23" fillId="4" borderId="0" xfId="2" applyNumberFormat="1" applyFont="1" applyFill="1" applyBorder="1" applyAlignment="1">
      <alignment vertical="center"/>
    </xf>
    <xf numFmtId="0" fontId="32" fillId="4" borderId="52" xfId="0" applyFont="1" applyFill="1" applyBorder="1"/>
    <xf numFmtId="0" fontId="30" fillId="4" borderId="52" xfId="0" applyFont="1" applyFill="1" applyBorder="1" applyAlignment="1">
      <alignment vertical="center"/>
    </xf>
    <xf numFmtId="0" fontId="0" fillId="4" borderId="1" xfId="0" applyFill="1" applyBorder="1" applyAlignment="1">
      <alignment horizontal="right"/>
    </xf>
    <xf numFmtId="0" fontId="0" fillId="4" borderId="42" xfId="0" applyFill="1" applyBorder="1" applyAlignment="1">
      <alignment vertical="center"/>
    </xf>
    <xf numFmtId="0" fontId="32" fillId="4" borderId="39" xfId="0" applyFont="1" applyFill="1" applyBorder="1"/>
    <xf numFmtId="0" fontId="0" fillId="4" borderId="40" xfId="0" applyFill="1" applyBorder="1" applyAlignment="1">
      <alignment horizontal="right"/>
    </xf>
    <xf numFmtId="0" fontId="32" fillId="4" borderId="41" xfId="0" applyFont="1" applyFill="1" applyBorder="1"/>
    <xf numFmtId="179" fontId="0" fillId="4" borderId="0" xfId="0" applyNumberFormat="1" applyFill="1" applyBorder="1"/>
    <xf numFmtId="0" fontId="43" fillId="4" borderId="1" xfId="0" applyFont="1" applyFill="1" applyBorder="1" applyAlignment="1">
      <alignment horizontal="center"/>
    </xf>
    <xf numFmtId="0" fontId="102" fillId="4" borderId="42" xfId="0" applyFont="1" applyFill="1" applyBorder="1" applyAlignment="1">
      <alignment horizontal="center" vertical="center"/>
    </xf>
    <xf numFmtId="0" fontId="102" fillId="4" borderId="67" xfId="0" applyFont="1" applyFill="1" applyBorder="1" applyAlignment="1">
      <alignment horizontal="center" vertical="center"/>
    </xf>
    <xf numFmtId="0" fontId="102" fillId="4" borderId="65" xfId="0" applyNumberFormat="1" applyFont="1" applyFill="1" applyBorder="1" applyAlignment="1">
      <alignment horizontal="center" vertical="center"/>
    </xf>
    <xf numFmtId="0" fontId="32" fillId="4" borderId="53" xfId="0" applyFont="1" applyFill="1" applyBorder="1" applyAlignment="1">
      <alignment horizontal="right"/>
    </xf>
    <xf numFmtId="9" fontId="0" fillId="4" borderId="40" xfId="0" applyNumberFormat="1" applyFill="1" applyBorder="1" applyAlignment="1">
      <alignment horizontal="right"/>
    </xf>
    <xf numFmtId="9" fontId="0" fillId="4" borderId="1" xfId="0" applyNumberFormat="1" applyFill="1" applyBorder="1" applyAlignment="1">
      <alignment horizontal="center"/>
    </xf>
    <xf numFmtId="9" fontId="0" fillId="4" borderId="42" xfId="0" applyNumberFormat="1" applyFill="1" applyBorder="1" applyAlignment="1">
      <alignment horizontal="right"/>
    </xf>
    <xf numFmtId="9" fontId="0" fillId="4" borderId="0" xfId="0" applyNumberFormat="1" applyFill="1" applyBorder="1" applyAlignment="1">
      <alignment horizontal="right"/>
    </xf>
    <xf numFmtId="1" fontId="11" fillId="4" borderId="0" xfId="906" applyNumberFormat="1" applyFill="1" applyBorder="1"/>
    <xf numFmtId="0" fontId="102" fillId="4" borderId="68" xfId="0" applyFont="1" applyFill="1" applyBorder="1" applyAlignment="1">
      <alignment horizontal="center" vertical="center"/>
    </xf>
    <xf numFmtId="0" fontId="102" fillId="4" borderId="69" xfId="0" applyNumberFormat="1" applyFont="1" applyFill="1" applyBorder="1" applyAlignment="1">
      <alignment horizontal="center" vertical="center"/>
    </xf>
    <xf numFmtId="0" fontId="102" fillId="4" borderId="114" xfId="0" applyNumberFormat="1" applyFont="1" applyFill="1" applyBorder="1" applyAlignment="1">
      <alignment horizontal="center" vertical="center"/>
    </xf>
    <xf numFmtId="0" fontId="58" fillId="4" borderId="0" xfId="0" applyNumberFormat="1" applyFont="1" applyFill="1" applyBorder="1" applyAlignment="1">
      <alignment vertical="center"/>
    </xf>
    <xf numFmtId="9" fontId="0" fillId="4" borderId="40" xfId="0" applyNumberFormat="1" applyFill="1" applyBorder="1" applyAlignment="1">
      <alignment vertical="center"/>
    </xf>
    <xf numFmtId="0" fontId="0" fillId="4" borderId="118" xfId="0" applyFill="1" applyBorder="1"/>
    <xf numFmtId="0" fontId="32" fillId="4" borderId="115" xfId="0" applyFont="1" applyFill="1" applyBorder="1"/>
    <xf numFmtId="0" fontId="0" fillId="4" borderId="116" xfId="0" applyFill="1" applyBorder="1"/>
    <xf numFmtId="0" fontId="0" fillId="4" borderId="116" xfId="0" applyFill="1" applyBorder="1" applyAlignment="1">
      <alignment horizontal="right"/>
    </xf>
    <xf numFmtId="0" fontId="32" fillId="4" borderId="116" xfId="0" applyFont="1" applyFill="1" applyBorder="1"/>
    <xf numFmtId="0" fontId="0" fillId="4" borderId="0" xfId="2" applyNumberFormat="1" applyFont="1" applyFill="1" applyBorder="1" applyAlignment="1">
      <alignment vertical="center"/>
    </xf>
    <xf numFmtId="0" fontId="0" fillId="4" borderId="0" xfId="0" applyNumberFormat="1" applyFont="1" applyFill="1" applyBorder="1" applyAlignment="1">
      <alignment horizontal="right" vertical="center"/>
    </xf>
    <xf numFmtId="0" fontId="42" fillId="0" borderId="0" xfId="4" applyNumberFormat="1" applyFill="1"/>
    <xf numFmtId="0" fontId="23" fillId="0" borderId="0" xfId="6" applyFont="1" applyFill="1"/>
    <xf numFmtId="0" fontId="23" fillId="0" borderId="0" xfId="6" applyFont="1"/>
    <xf numFmtId="0" fontId="0" fillId="4" borderId="118" xfId="0" applyFill="1" applyBorder="1" applyAlignment="1">
      <alignment vertical="center"/>
    </xf>
    <xf numFmtId="2" fontId="0" fillId="4" borderId="1" xfId="0" applyNumberFormat="1" applyFill="1" applyBorder="1"/>
    <xf numFmtId="0" fontId="0" fillId="4" borderId="117" xfId="0" applyFill="1" applyBorder="1"/>
    <xf numFmtId="0" fontId="23" fillId="0" borderId="0" xfId="6" applyFont="1" applyFill="1" applyBorder="1"/>
    <xf numFmtId="0" fontId="23" fillId="0" borderId="0" xfId="6" applyFont="1" applyBorder="1"/>
    <xf numFmtId="0" fontId="22" fillId="4" borderId="118" xfId="0" applyFont="1" applyFill="1" applyBorder="1" applyAlignment="1">
      <alignment horizontal="right" vertical="center"/>
    </xf>
    <xf numFmtId="0" fontId="30" fillId="4" borderId="118" xfId="0" applyNumberFormat="1" applyFont="1" applyFill="1" applyBorder="1" applyAlignment="1">
      <alignment horizontal="right" vertical="center"/>
    </xf>
    <xf numFmtId="178" fontId="22" fillId="4" borderId="118" xfId="2" applyFont="1" applyFill="1" applyBorder="1" applyAlignment="1">
      <alignment horizontal="right" vertical="center"/>
    </xf>
    <xf numFmtId="0" fontId="35" fillId="0" borderId="0" xfId="0" applyFont="1" applyAlignment="1">
      <alignment horizontal="right"/>
    </xf>
    <xf numFmtId="0" fontId="0" fillId="0" borderId="0" xfId="0" applyFont="1" applyAlignment="1">
      <alignment horizontal="right"/>
    </xf>
    <xf numFmtId="0" fontId="22" fillId="5" borderId="0" xfId="0" applyFont="1" applyFill="1" applyBorder="1" applyAlignment="1">
      <alignment vertical="center"/>
    </xf>
    <xf numFmtId="0" fontId="0" fillId="5" borderId="0" xfId="0" applyNumberFormat="1" applyFill="1" applyBorder="1" applyAlignment="1">
      <alignment horizontal="left" vertical="center"/>
    </xf>
    <xf numFmtId="179" fontId="22" fillId="5" borderId="0" xfId="2" applyNumberFormat="1" applyFont="1" applyFill="1" applyBorder="1" applyAlignment="1">
      <alignment vertical="center"/>
    </xf>
    <xf numFmtId="0" fontId="0" fillId="5" borderId="0" xfId="0" applyFill="1" applyBorder="1" applyAlignment="1">
      <alignment horizontal="left" vertical="center"/>
    </xf>
    <xf numFmtId="0" fontId="0" fillId="5" borderId="30" xfId="0" applyFill="1" applyBorder="1"/>
    <xf numFmtId="0" fontId="0" fillId="5" borderId="23" xfId="0" applyFill="1" applyBorder="1"/>
    <xf numFmtId="0" fontId="0" fillId="5" borderId="31" xfId="0" applyFill="1" applyBorder="1"/>
    <xf numFmtId="10" fontId="0" fillId="4" borderId="0" xfId="0" applyNumberFormat="1" applyFill="1" applyBorder="1" applyAlignment="1">
      <alignment vertical="center"/>
    </xf>
    <xf numFmtId="10" fontId="0" fillId="4" borderId="0" xfId="2" applyNumberFormat="1" applyFont="1" applyFill="1" applyBorder="1" applyAlignment="1">
      <alignment horizontal="right" vertical="center"/>
    </xf>
    <xf numFmtId="0" fontId="180" fillId="0" borderId="122" xfId="0" applyFont="1" applyBorder="1" applyAlignment="1">
      <alignment horizontal="left" wrapText="1" readingOrder="1"/>
    </xf>
    <xf numFmtId="0" fontId="180" fillId="0" borderId="123" xfId="0" applyFont="1" applyBorder="1" applyAlignment="1">
      <alignment horizontal="left" wrapText="1" readingOrder="1"/>
    </xf>
    <xf numFmtId="178" fontId="0" fillId="5" borderId="0" xfId="2" applyNumberFormat="1" applyFont="1" applyFill="1" applyBorder="1" applyAlignment="1">
      <alignment vertical="center"/>
    </xf>
    <xf numFmtId="0" fontId="0" fillId="92" borderId="0" xfId="0" applyFill="1"/>
    <xf numFmtId="0" fontId="181" fillId="0" borderId="0" xfId="0" applyFont="1"/>
    <xf numFmtId="9" fontId="22" fillId="4" borderId="0" xfId="0" applyNumberFormat="1" applyFont="1" applyFill="1" applyBorder="1" applyAlignment="1">
      <alignment horizontal="right" vertical="center"/>
    </xf>
    <xf numFmtId="0" fontId="0" fillId="4" borderId="33" xfId="0" applyFont="1" applyFill="1" applyBorder="1"/>
    <xf numFmtId="0" fontId="0" fillId="4" borderId="118" xfId="0" applyNumberFormat="1" applyFill="1" applyBorder="1" applyAlignment="1">
      <alignment vertical="center"/>
    </xf>
    <xf numFmtId="0" fontId="22" fillId="4" borderId="118" xfId="0" applyFont="1" applyFill="1" applyBorder="1" applyAlignment="1">
      <alignment vertical="center"/>
    </xf>
    <xf numFmtId="0" fontId="0" fillId="4" borderId="118" xfId="0" applyNumberFormat="1" applyFill="1" applyBorder="1" applyAlignment="1">
      <alignment horizontal="left" vertical="center"/>
    </xf>
    <xf numFmtId="189" fontId="22" fillId="0" borderId="0" xfId="2" applyNumberFormat="1" applyFont="1" applyFill="1" applyBorder="1" applyAlignment="1">
      <alignment horizontal="right" vertical="center"/>
    </xf>
    <xf numFmtId="0" fontId="32" fillId="4" borderId="0" xfId="0" applyNumberFormat="1" applyFont="1" applyFill="1" applyBorder="1"/>
    <xf numFmtId="0" fontId="23" fillId="0" borderId="0" xfId="905" applyFont="1" applyFill="1" applyBorder="1" applyAlignment="1">
      <alignment vertical="center"/>
    </xf>
    <xf numFmtId="0" fontId="32" fillId="0" borderId="0" xfId="905" applyFont="1" applyFill="1" applyBorder="1" applyAlignment="1">
      <alignment vertical="center"/>
    </xf>
    <xf numFmtId="0" fontId="23" fillId="0" borderId="0" xfId="905" applyFont="1" applyFill="1" applyBorder="1" applyAlignment="1">
      <alignment horizontal="center" vertical="center"/>
    </xf>
    <xf numFmtId="0" fontId="32" fillId="0" borderId="0" xfId="905" applyFont="1" applyFill="1" applyBorder="1" applyAlignment="1"/>
    <xf numFmtId="0" fontId="23" fillId="0" borderId="0" xfId="905" applyFont="1" applyFill="1" applyBorder="1"/>
    <xf numFmtId="179" fontId="23" fillId="0" borderId="0" xfId="905" applyNumberFormat="1" applyFont="1" applyFill="1" applyBorder="1"/>
    <xf numFmtId="0" fontId="13" fillId="0" borderId="0" xfId="905" applyFont="1" applyFill="1" applyBorder="1"/>
    <xf numFmtId="174" fontId="0" fillId="4" borderId="14" xfId="0" applyNumberFormat="1" applyFill="1" applyBorder="1"/>
    <xf numFmtId="0" fontId="23" fillId="0" borderId="0" xfId="905" applyFont="1" applyFill="1" applyBorder="1" applyAlignment="1">
      <alignment horizontal="center"/>
    </xf>
    <xf numFmtId="0" fontId="0" fillId="4" borderId="116" xfId="0" applyNumberFormat="1" applyFill="1" applyBorder="1" applyAlignment="1">
      <alignment vertical="center"/>
    </xf>
    <xf numFmtId="0" fontId="30" fillId="4" borderId="124" xfId="0" applyNumberFormat="1" applyFont="1" applyFill="1" applyBorder="1" applyAlignment="1">
      <alignment horizontal="right" vertical="center"/>
    </xf>
    <xf numFmtId="0" fontId="30" fillId="4" borderId="116" xfId="0" applyNumberFormat="1" applyFont="1" applyFill="1" applyBorder="1" applyAlignment="1">
      <alignment horizontal="right" vertical="center"/>
    </xf>
    <xf numFmtId="0" fontId="0" fillId="0" borderId="0" xfId="905" applyFont="1" applyFill="1" applyBorder="1" applyAlignment="1"/>
    <xf numFmtId="0" fontId="30" fillId="4" borderId="118" xfId="0" applyNumberFormat="1" applyFont="1" applyFill="1" applyBorder="1" applyAlignment="1">
      <alignment vertical="center"/>
    </xf>
    <xf numFmtId="1" fontId="30" fillId="4" borderId="118" xfId="0" applyNumberFormat="1" applyFont="1" applyFill="1" applyBorder="1" applyAlignment="1">
      <alignment vertical="center"/>
    </xf>
    <xf numFmtId="0" fontId="58" fillId="9" borderId="26" xfId="0" applyFont="1" applyFill="1" applyBorder="1" applyAlignment="1">
      <alignment horizontal="left" vertical="center" indent="1"/>
    </xf>
    <xf numFmtId="0" fontId="0" fillId="9" borderId="25" xfId="0" applyFont="1" applyFill="1" applyBorder="1"/>
    <xf numFmtId="0" fontId="0" fillId="9" borderId="27" xfId="0" applyFont="1" applyFill="1" applyBorder="1"/>
    <xf numFmtId="0" fontId="0" fillId="6" borderId="32" xfId="0" applyFont="1" applyFill="1" applyBorder="1"/>
    <xf numFmtId="0" fontId="0" fillId="6" borderId="33" xfId="0" applyFont="1" applyFill="1" applyBorder="1"/>
    <xf numFmtId="0" fontId="0" fillId="6" borderId="0" xfId="0" applyFont="1" applyFill="1" applyBorder="1" applyAlignment="1">
      <alignment horizontal="right"/>
    </xf>
    <xf numFmtId="0" fontId="0" fillId="6" borderId="33" xfId="0" applyFont="1" applyFill="1" applyBorder="1" applyAlignment="1">
      <alignment vertical="center"/>
    </xf>
    <xf numFmtId="0" fontId="58" fillId="7" borderId="26" xfId="0" applyFont="1" applyFill="1" applyBorder="1" applyAlignment="1">
      <alignment horizontal="left" vertical="center" indent="1"/>
    </xf>
    <xf numFmtId="0" fontId="0" fillId="7" borderId="25" xfId="0" applyFont="1" applyFill="1" applyBorder="1" applyAlignment="1">
      <alignment vertical="center"/>
    </xf>
    <xf numFmtId="0" fontId="0" fillId="7" borderId="0" xfId="0" applyFill="1"/>
    <xf numFmtId="0" fontId="0" fillId="7" borderId="27" xfId="0" applyFont="1" applyFill="1" applyBorder="1" applyAlignment="1">
      <alignment vertical="center"/>
    </xf>
    <xf numFmtId="0" fontId="0" fillId="4" borderId="0" xfId="0" quotePrefix="1" applyFont="1" applyFill="1" applyBorder="1" applyAlignment="1">
      <alignment horizontal="right"/>
    </xf>
    <xf numFmtId="0" fontId="32" fillId="4" borderId="9" xfId="0" applyFont="1" applyFill="1" applyBorder="1" applyAlignment="1">
      <alignment vertical="center"/>
    </xf>
    <xf numFmtId="0" fontId="32" fillId="4" borderId="9" xfId="0" applyNumberFormat="1" applyFont="1" applyFill="1" applyBorder="1" applyAlignment="1">
      <alignment horizontal="right" vertical="center"/>
    </xf>
    <xf numFmtId="0" fontId="32" fillId="4" borderId="11" xfId="0" applyNumberFormat="1" applyFont="1" applyFill="1" applyBorder="1" applyAlignment="1">
      <alignment horizontal="right" vertical="center"/>
    </xf>
    <xf numFmtId="178" fontId="0" fillId="4" borderId="12" xfId="2" applyFont="1" applyFill="1" applyBorder="1" applyAlignment="1">
      <alignment vertical="center"/>
    </xf>
    <xf numFmtId="0" fontId="0" fillId="4" borderId="46" xfId="0" applyNumberFormat="1" applyFont="1" applyFill="1" applyBorder="1" applyAlignment="1">
      <alignment horizontal="center" vertical="center"/>
    </xf>
    <xf numFmtId="0" fontId="0" fillId="4" borderId="46" xfId="0" applyFont="1" applyFill="1" applyBorder="1" applyAlignment="1">
      <alignment vertical="center"/>
    </xf>
    <xf numFmtId="178" fontId="0" fillId="4" borderId="46" xfId="2" applyNumberFormat="1" applyFont="1" applyFill="1" applyBorder="1" applyAlignment="1">
      <alignment vertical="center"/>
    </xf>
    <xf numFmtId="178" fontId="0" fillId="4" borderId="47" xfId="2" applyNumberFormat="1" applyFont="1" applyFill="1" applyBorder="1" applyAlignment="1">
      <alignment vertical="center"/>
    </xf>
    <xf numFmtId="0" fontId="0" fillId="4" borderId="0" xfId="0" applyFont="1" applyFill="1" applyBorder="1" applyAlignment="1">
      <alignment horizontal="right" vertical="center"/>
    </xf>
    <xf numFmtId="0" fontId="32" fillId="4" borderId="46" xfId="0" applyFont="1" applyFill="1" applyBorder="1" applyAlignment="1">
      <alignment vertical="center"/>
    </xf>
    <xf numFmtId="0" fontId="32" fillId="4" borderId="46" xfId="0" applyFont="1" applyFill="1" applyBorder="1" applyAlignment="1">
      <alignment horizontal="right" vertical="center"/>
    </xf>
    <xf numFmtId="10" fontId="0" fillId="4" borderId="0" xfId="0" applyNumberFormat="1" applyFont="1" applyFill="1" applyBorder="1" applyAlignment="1">
      <alignment vertical="center"/>
    </xf>
    <xf numFmtId="178" fontId="0" fillId="4" borderId="117" xfId="2" applyNumberFormat="1" applyFont="1" applyFill="1" applyBorder="1" applyAlignment="1">
      <alignment vertical="center"/>
    </xf>
    <xf numFmtId="2" fontId="100" fillId="4" borderId="14" xfId="0" applyNumberFormat="1" applyFont="1" applyFill="1" applyBorder="1" applyAlignment="1">
      <alignment horizontal="right" vertical="center"/>
    </xf>
    <xf numFmtId="2" fontId="100" fillId="4" borderId="0" xfId="0" applyNumberFormat="1" applyFont="1" applyFill="1" applyBorder="1" applyAlignment="1">
      <alignment horizontal="right" vertical="center"/>
    </xf>
    <xf numFmtId="2" fontId="0" fillId="4" borderId="19" xfId="1" applyNumberFormat="1" applyFont="1" applyFill="1" applyBorder="1" applyAlignment="1">
      <alignment vertical="center"/>
    </xf>
    <xf numFmtId="9" fontId="100" fillId="4" borderId="14" xfId="0" applyNumberFormat="1" applyFont="1" applyFill="1" applyBorder="1" applyAlignment="1">
      <alignment horizontal="right" vertical="center"/>
    </xf>
    <xf numFmtId="0" fontId="29" fillId="4" borderId="0" xfId="0" applyFont="1" applyFill="1" applyBorder="1" applyAlignment="1">
      <alignment horizontal="center" vertical="center" wrapText="1"/>
    </xf>
    <xf numFmtId="0" fontId="35" fillId="4" borderId="0" xfId="0" applyNumberFormat="1" applyFont="1" applyFill="1" applyBorder="1" applyAlignment="1">
      <alignment vertical="center"/>
    </xf>
    <xf numFmtId="2" fontId="0" fillId="4" borderId="0" xfId="2" applyNumberFormat="1" applyFont="1" applyFill="1" applyBorder="1" applyAlignment="1">
      <alignment vertical="center"/>
    </xf>
    <xf numFmtId="2" fontId="0" fillId="4" borderId="0" xfId="0" applyNumberFormat="1" applyFont="1" applyFill="1" applyBorder="1" applyAlignment="1">
      <alignment vertical="center"/>
    </xf>
    <xf numFmtId="0" fontId="0" fillId="7" borderId="25" xfId="0" applyFont="1" applyFill="1" applyBorder="1"/>
    <xf numFmtId="0" fontId="0" fillId="7" borderId="27" xfId="0" applyFont="1" applyFill="1" applyBorder="1"/>
    <xf numFmtId="179" fontId="0" fillId="4" borderId="0" xfId="2" applyNumberFormat="1" applyFont="1" applyFill="1" applyBorder="1" applyAlignment="1">
      <alignment horizontal="left"/>
    </xf>
    <xf numFmtId="0" fontId="58" fillId="0" borderId="0" xfId="0" applyFont="1"/>
    <xf numFmtId="2" fontId="0" fillId="0" borderId="0" xfId="0" applyNumberFormat="1" applyFont="1"/>
    <xf numFmtId="0" fontId="32" fillId="0" borderId="0" xfId="0" applyFont="1" applyAlignment="1">
      <alignment wrapText="1"/>
    </xf>
    <xf numFmtId="178" fontId="0" fillId="0" borderId="0" xfId="0" applyNumberFormat="1" applyFont="1"/>
    <xf numFmtId="2" fontId="0" fillId="0" borderId="0" xfId="0" applyNumberFormat="1" applyFont="1" applyAlignment="1">
      <alignment horizontal="right"/>
    </xf>
    <xf numFmtId="0" fontId="32" fillId="0" borderId="0" xfId="0" quotePrefix="1" applyFont="1" applyAlignment="1">
      <alignment horizontal="right"/>
    </xf>
    <xf numFmtId="11" fontId="0" fillId="0" borderId="0" xfId="2" applyNumberFormat="1" applyFont="1"/>
    <xf numFmtId="178" fontId="0" fillId="0" borderId="0" xfId="0" applyNumberFormat="1" applyFont="1" applyAlignment="1">
      <alignment horizontal="right"/>
    </xf>
    <xf numFmtId="11" fontId="0" fillId="0" borderId="0" xfId="0" applyNumberFormat="1" applyFont="1"/>
    <xf numFmtId="0" fontId="32" fillId="0" borderId="0" xfId="0" applyFont="1" applyBorder="1" applyAlignment="1">
      <alignment wrapText="1"/>
    </xf>
    <xf numFmtId="0" fontId="32" fillId="0" borderId="0" xfId="0" quotePrefix="1" applyFont="1" applyAlignment="1">
      <alignment horizontal="right" vertical="center"/>
    </xf>
    <xf numFmtId="0" fontId="32" fillId="0" borderId="0" xfId="0" applyFont="1" applyBorder="1" applyAlignment="1">
      <alignment horizontal="right" vertical="center"/>
    </xf>
    <xf numFmtId="0" fontId="32" fillId="0" borderId="0" xfId="0" applyFont="1" applyBorder="1" applyAlignment="1">
      <alignment horizontal="right"/>
    </xf>
    <xf numFmtId="178" fontId="32" fillId="0" borderId="0" xfId="2" applyFont="1" applyBorder="1"/>
    <xf numFmtId="193" fontId="32" fillId="0" borderId="0" xfId="0" applyNumberFormat="1" applyFont="1" applyBorder="1" applyAlignment="1">
      <alignment horizontal="right"/>
    </xf>
    <xf numFmtId="0" fontId="0" fillId="9" borderId="26" xfId="0" applyFont="1" applyFill="1" applyBorder="1"/>
    <xf numFmtId="0" fontId="0" fillId="6" borderId="28" xfId="0" applyFont="1" applyFill="1" applyBorder="1"/>
    <xf numFmtId="0" fontId="0" fillId="6" borderId="24" xfId="0" applyFont="1" applyFill="1" applyBorder="1"/>
    <xf numFmtId="0" fontId="0" fillId="6" borderId="29" xfId="0" applyFont="1" applyFill="1" applyBorder="1"/>
    <xf numFmtId="0" fontId="0" fillId="6" borderId="0" xfId="0" applyNumberFormat="1" applyFont="1" applyFill="1" applyBorder="1" applyAlignment="1">
      <alignment vertical="center"/>
    </xf>
    <xf numFmtId="0" fontId="25" fillId="0" borderId="30" xfId="0" applyFont="1" applyFill="1" applyBorder="1"/>
    <xf numFmtId="0" fontId="58" fillId="10" borderId="26" xfId="0" applyFont="1" applyFill="1" applyBorder="1" applyAlignment="1">
      <alignment horizontal="left" vertical="center" indent="1"/>
    </xf>
    <xf numFmtId="0" fontId="58" fillId="10" borderId="25" xfId="0" applyFont="1" applyFill="1" applyBorder="1" applyAlignment="1">
      <alignment vertical="center"/>
    </xf>
    <xf numFmtId="0" fontId="0" fillId="10" borderId="25" xfId="0" applyFont="1" applyFill="1" applyBorder="1"/>
    <xf numFmtId="0" fontId="0" fillId="10" borderId="27" xfId="0" applyFont="1" applyFill="1" applyBorder="1"/>
    <xf numFmtId="0" fontId="0" fillId="5" borderId="28" xfId="0" applyFont="1" applyFill="1" applyBorder="1"/>
    <xf numFmtId="0" fontId="0" fillId="5" borderId="24" xfId="0" applyFont="1" applyFill="1" applyBorder="1"/>
    <xf numFmtId="0" fontId="0" fillId="5" borderId="29" xfId="0" applyFont="1" applyFill="1" applyBorder="1"/>
    <xf numFmtId="0" fontId="0" fillId="5" borderId="32" xfId="0" applyFont="1" applyFill="1" applyBorder="1"/>
    <xf numFmtId="0" fontId="0" fillId="5" borderId="0" xfId="0" applyFont="1" applyFill="1" applyBorder="1"/>
    <xf numFmtId="0" fontId="0" fillId="5" borderId="0" xfId="0" applyFont="1" applyFill="1" applyBorder="1" applyAlignment="1">
      <alignment horizontal="right"/>
    </xf>
    <xf numFmtId="0" fontId="0" fillId="5" borderId="33" xfId="0" applyFont="1" applyFill="1" applyBorder="1"/>
    <xf numFmtId="0" fontId="32" fillId="5" borderId="8" xfId="0" applyFont="1" applyFill="1" applyBorder="1" applyAlignment="1">
      <alignment vertical="center"/>
    </xf>
    <xf numFmtId="0" fontId="0" fillId="5" borderId="0" xfId="0" applyFont="1" applyFill="1" applyBorder="1" applyAlignment="1">
      <alignment vertical="center"/>
    </xf>
    <xf numFmtId="0" fontId="0" fillId="5" borderId="0" xfId="0" applyNumberFormat="1" applyFont="1" applyFill="1" applyBorder="1" applyAlignment="1">
      <alignment vertical="center"/>
    </xf>
    <xf numFmtId="0" fontId="58" fillId="18" borderId="26" xfId="0" applyFont="1" applyFill="1" applyBorder="1" applyAlignment="1">
      <alignment horizontal="left" vertical="center" indent="1"/>
    </xf>
    <xf numFmtId="0" fontId="58" fillId="18" borderId="25" xfId="0" applyFont="1" applyFill="1" applyBorder="1" applyAlignment="1">
      <alignment vertical="center"/>
    </xf>
    <xf numFmtId="0" fontId="0" fillId="18" borderId="25" xfId="0" applyFont="1" applyFill="1" applyBorder="1"/>
    <xf numFmtId="0" fontId="0" fillId="18" borderId="27" xfId="0" applyFont="1" applyFill="1" applyBorder="1"/>
    <xf numFmtId="0" fontId="0" fillId="19" borderId="28" xfId="0" applyFont="1" applyFill="1" applyBorder="1"/>
    <xf numFmtId="0" fontId="0" fillId="19" borderId="24" xfId="0" applyFont="1" applyFill="1" applyBorder="1"/>
    <xf numFmtId="0" fontId="0" fillId="19" borderId="29" xfId="0" applyFont="1" applyFill="1" applyBorder="1"/>
    <xf numFmtId="0" fontId="0" fillId="19" borderId="32" xfId="0" applyFont="1" applyFill="1" applyBorder="1"/>
    <xf numFmtId="0" fontId="0" fillId="19" borderId="0" xfId="0" applyFont="1" applyFill="1" applyBorder="1"/>
    <xf numFmtId="0" fontId="0" fillId="19" borderId="0" xfId="0" applyFont="1" applyFill="1" applyBorder="1" applyAlignment="1">
      <alignment horizontal="right"/>
    </xf>
    <xf numFmtId="0" fontId="0" fillId="19" borderId="33" xfId="0" applyFont="1" applyFill="1" applyBorder="1"/>
    <xf numFmtId="0" fontId="32" fillId="19" borderId="8" xfId="0" applyFont="1" applyFill="1" applyBorder="1" applyAlignment="1">
      <alignment vertical="center"/>
    </xf>
    <xf numFmtId="0" fontId="0" fillId="19" borderId="23" xfId="0" applyFont="1" applyFill="1" applyBorder="1"/>
    <xf numFmtId="0" fontId="0" fillId="19" borderId="31" xfId="0" applyFont="1" applyFill="1" applyBorder="1"/>
    <xf numFmtId="0" fontId="0" fillId="6" borderId="7" xfId="0" applyFill="1" applyBorder="1" applyAlignment="1">
      <alignment vertical="center"/>
    </xf>
    <xf numFmtId="0" fontId="35" fillId="0" borderId="0" xfId="0" applyFont="1" applyAlignment="1">
      <alignment horizontal="center" vertical="center"/>
    </xf>
    <xf numFmtId="10" fontId="0" fillId="4" borderId="0" xfId="2" applyNumberFormat="1" applyFont="1" applyFill="1" applyBorder="1" applyAlignment="1">
      <alignment vertical="center"/>
    </xf>
    <xf numFmtId="185" fontId="35" fillId="0" borderId="0" xfId="1" applyNumberFormat="1" applyFont="1" applyAlignment="1">
      <alignment vertical="center"/>
    </xf>
    <xf numFmtId="10" fontId="0" fillId="4" borderId="0" xfId="0" applyNumberFormat="1" applyFill="1" applyBorder="1" applyAlignment="1">
      <alignment horizontal="right" vertical="center"/>
    </xf>
    <xf numFmtId="10" fontId="0" fillId="4" borderId="0" xfId="0" applyNumberFormat="1" applyFill="1" applyBorder="1"/>
    <xf numFmtId="10" fontId="0" fillId="4" borderId="0" xfId="0" quotePrefix="1" applyNumberFormat="1" applyFont="1" applyFill="1" applyBorder="1" applyAlignment="1">
      <alignment horizontal="right"/>
    </xf>
    <xf numFmtId="10" fontId="30" fillId="4" borderId="0" xfId="0" applyNumberFormat="1" applyFont="1" applyFill="1" applyBorder="1" applyAlignment="1">
      <alignment horizontal="right" vertical="center"/>
    </xf>
    <xf numFmtId="0" fontId="0" fillId="4" borderId="32" xfId="0" applyFont="1" applyFill="1" applyBorder="1" applyAlignment="1">
      <alignment horizontal="right"/>
    </xf>
    <xf numFmtId="0" fontId="0" fillId="4" borderId="0" xfId="0" applyFont="1" applyFill="1" applyAlignment="1">
      <alignment horizontal="left"/>
    </xf>
    <xf numFmtId="10" fontId="22" fillId="4" borderId="0" xfId="0" applyNumberFormat="1" applyFont="1" applyFill="1" applyBorder="1" applyAlignment="1">
      <alignment horizontal="right" vertical="center" wrapText="1"/>
    </xf>
    <xf numFmtId="10" fontId="0" fillId="4" borderId="0" xfId="0" applyNumberFormat="1" applyFont="1" applyFill="1" applyBorder="1" applyAlignment="1">
      <alignment horizontal="right" vertical="center"/>
    </xf>
    <xf numFmtId="0" fontId="0" fillId="4" borderId="33" xfId="0" applyFont="1" applyFill="1" applyBorder="1" applyAlignment="1">
      <alignment horizontal="right"/>
    </xf>
    <xf numFmtId="0" fontId="0" fillId="0" borderId="0" xfId="0" applyFont="1" applyFill="1" applyAlignment="1">
      <alignment horizontal="right"/>
    </xf>
    <xf numFmtId="0" fontId="0" fillId="4" borderId="0" xfId="0" applyFont="1" applyFill="1" applyBorder="1" applyAlignment="1">
      <alignment horizontal="left" vertical="center"/>
    </xf>
    <xf numFmtId="10" fontId="58" fillId="4" borderId="32" xfId="0" applyNumberFormat="1" applyFont="1" applyFill="1" applyBorder="1"/>
    <xf numFmtId="10" fontId="30" fillId="4" borderId="118" xfId="0" applyNumberFormat="1" applyFont="1" applyFill="1" applyBorder="1" applyAlignment="1">
      <alignment vertical="center"/>
    </xf>
    <xf numFmtId="10" fontId="32" fillId="4" borderId="118" xfId="0" applyNumberFormat="1" applyFont="1" applyFill="1" applyBorder="1" applyAlignment="1">
      <alignment vertical="center"/>
    </xf>
    <xf numFmtId="10" fontId="32" fillId="4" borderId="118" xfId="2" applyNumberFormat="1" applyFont="1" applyFill="1" applyBorder="1" applyAlignment="1">
      <alignment vertical="center"/>
    </xf>
    <xf numFmtId="10" fontId="32" fillId="4" borderId="33" xfId="0" applyNumberFormat="1" applyFont="1" applyFill="1" applyBorder="1"/>
    <xf numFmtId="10" fontId="32" fillId="0" borderId="0" xfId="0" applyNumberFormat="1" applyFont="1" applyFill="1"/>
    <xf numFmtId="10" fontId="32" fillId="0" borderId="0" xfId="0" applyNumberFormat="1" applyFont="1"/>
    <xf numFmtId="10" fontId="30" fillId="4" borderId="0" xfId="0" applyNumberFormat="1" applyFont="1" applyFill="1" applyBorder="1" applyAlignment="1">
      <alignment vertical="center"/>
    </xf>
    <xf numFmtId="10" fontId="32" fillId="4" borderId="0" xfId="0" applyNumberFormat="1" applyFont="1" applyFill="1" applyBorder="1" applyAlignment="1">
      <alignment vertical="center"/>
    </xf>
    <xf numFmtId="10" fontId="30" fillId="4" borderId="1" xfId="0" applyNumberFormat="1" applyFont="1" applyFill="1" applyBorder="1" applyAlignment="1">
      <alignment vertical="center"/>
    </xf>
    <xf numFmtId="10" fontId="32" fillId="4" borderId="1" xfId="0" applyNumberFormat="1" applyFont="1" applyFill="1" applyBorder="1" applyAlignment="1">
      <alignment vertical="center"/>
    </xf>
    <xf numFmtId="10" fontId="30" fillId="4" borderId="1" xfId="0" applyNumberFormat="1" applyFont="1" applyFill="1" applyBorder="1" applyAlignment="1">
      <alignment horizontal="right" vertical="center"/>
    </xf>
    <xf numFmtId="10" fontId="0" fillId="4" borderId="0" xfId="1" applyNumberFormat="1" applyFont="1" applyFill="1" applyBorder="1" applyAlignment="1">
      <alignment vertical="center"/>
    </xf>
    <xf numFmtId="172" fontId="0" fillId="4" borderId="0" xfId="2" applyNumberFormat="1" applyFont="1" applyFill="1" applyBorder="1" applyAlignment="1">
      <alignment vertical="center"/>
    </xf>
    <xf numFmtId="0" fontId="101" fillId="0" borderId="0" xfId="0" applyFont="1" applyFill="1"/>
    <xf numFmtId="0" fontId="38" fillId="4" borderId="116" xfId="4" applyNumberFormat="1" applyFont="1" applyFill="1" applyBorder="1" applyAlignment="1">
      <alignment horizontal="left"/>
    </xf>
    <xf numFmtId="0" fontId="0" fillId="4" borderId="116" xfId="0" applyNumberFormat="1" applyFill="1" applyBorder="1"/>
    <xf numFmtId="172" fontId="0" fillId="4" borderId="116" xfId="2" applyNumberFormat="1" applyFont="1" applyFill="1" applyBorder="1" applyAlignment="1">
      <alignment vertical="center"/>
    </xf>
    <xf numFmtId="0" fontId="43" fillId="4" borderId="118" xfId="4" applyNumberFormat="1" applyFont="1" applyFill="1" applyBorder="1" applyAlignment="1">
      <alignment horizontal="left"/>
    </xf>
    <xf numFmtId="0" fontId="32" fillId="4" borderId="118" xfId="0" applyNumberFormat="1" applyFont="1" applyFill="1" applyBorder="1"/>
    <xf numFmtId="0" fontId="32" fillId="4" borderId="118" xfId="0" applyFont="1" applyFill="1" applyBorder="1"/>
    <xf numFmtId="0" fontId="182" fillId="0" borderId="0" xfId="0" applyFont="1" applyFill="1"/>
    <xf numFmtId="0" fontId="43" fillId="4" borderId="0" xfId="4" applyNumberFormat="1" applyFont="1" applyFill="1" applyBorder="1" applyAlignment="1">
      <alignment horizontal="left"/>
    </xf>
    <xf numFmtId="10" fontId="32" fillId="4" borderId="0" xfId="2" applyNumberFormat="1" applyFont="1" applyFill="1" applyBorder="1" applyAlignment="1">
      <alignment vertical="center"/>
    </xf>
    <xf numFmtId="0" fontId="43" fillId="4" borderId="1" xfId="4" applyNumberFormat="1" applyFont="1" applyFill="1" applyBorder="1" applyAlignment="1">
      <alignment horizontal="left"/>
    </xf>
    <xf numFmtId="0" fontId="32" fillId="4" borderId="1" xfId="0" applyNumberFormat="1" applyFont="1" applyFill="1" applyBorder="1"/>
    <xf numFmtId="10" fontId="32" fillId="4" borderId="1" xfId="2" applyNumberFormat="1" applyFont="1" applyFill="1" applyBorder="1" applyAlignment="1">
      <alignment vertical="center"/>
    </xf>
    <xf numFmtId="0" fontId="58" fillId="4" borderId="32" xfId="0" applyFont="1" applyFill="1" applyBorder="1"/>
    <xf numFmtId="0" fontId="30" fillId="4" borderId="116" xfId="0" applyFont="1" applyFill="1" applyBorder="1" applyAlignment="1">
      <alignment vertical="center"/>
    </xf>
    <xf numFmtId="190" fontId="23" fillId="4" borderId="0" xfId="1" applyNumberFormat="1" applyFont="1" applyFill="1" applyBorder="1" applyAlignment="1">
      <alignment vertical="center"/>
    </xf>
    <xf numFmtId="190" fontId="23" fillId="4" borderId="0" xfId="0" applyNumberFormat="1" applyFont="1" applyFill="1" applyBorder="1"/>
    <xf numFmtId="190" fontId="23" fillId="4" borderId="0" xfId="0" applyNumberFormat="1" applyFont="1" applyFill="1" applyBorder="1" applyAlignment="1">
      <alignment horizontal="right"/>
    </xf>
    <xf numFmtId="0" fontId="38" fillId="4" borderId="118" xfId="0" applyNumberFormat="1" applyFont="1" applyFill="1" applyBorder="1" applyAlignment="1">
      <alignment vertical="center"/>
    </xf>
    <xf numFmtId="0" fontId="38" fillId="4" borderId="118" xfId="0" applyFont="1" applyFill="1" applyBorder="1" applyAlignment="1">
      <alignment vertical="center"/>
    </xf>
    <xf numFmtId="9" fontId="38" fillId="4" borderId="118" xfId="0" applyNumberFormat="1" applyFont="1" applyFill="1" applyBorder="1" applyAlignment="1">
      <alignment vertical="center"/>
    </xf>
    <xf numFmtId="183" fontId="38" fillId="4" borderId="118" xfId="2" applyNumberFormat="1" applyFont="1" applyFill="1" applyBorder="1" applyAlignment="1">
      <alignment vertical="center"/>
    </xf>
    <xf numFmtId="197" fontId="38" fillId="4" borderId="0" xfId="2" applyNumberFormat="1" applyFont="1" applyFill="1" applyBorder="1" applyAlignment="1">
      <alignment vertical="center"/>
    </xf>
    <xf numFmtId="190" fontId="38" fillId="4" borderId="0" xfId="2" applyNumberFormat="1" applyFont="1" applyFill="1" applyBorder="1" applyAlignment="1">
      <alignment vertical="center"/>
    </xf>
    <xf numFmtId="0" fontId="102" fillId="4" borderId="0" xfId="0" applyFont="1" applyFill="1" applyBorder="1" applyAlignment="1">
      <alignment vertical="center"/>
    </xf>
    <xf numFmtId="190" fontId="38" fillId="4" borderId="0" xfId="0" applyNumberFormat="1" applyFont="1" applyFill="1" applyBorder="1" applyAlignment="1">
      <alignment horizontal="right" vertical="center"/>
    </xf>
    <xf numFmtId="0" fontId="117" fillId="4" borderId="0" xfId="0" applyFont="1" applyFill="1" applyBorder="1" applyAlignment="1">
      <alignment vertical="center"/>
    </xf>
    <xf numFmtId="0" fontId="38" fillId="4" borderId="1" xfId="0" applyNumberFormat="1" applyFont="1" applyFill="1" applyBorder="1" applyAlignment="1">
      <alignment vertical="center"/>
    </xf>
    <xf numFmtId="0" fontId="38" fillId="4" borderId="1" xfId="0" applyFont="1" applyFill="1" applyBorder="1" applyAlignment="1">
      <alignment vertical="center"/>
    </xf>
    <xf numFmtId="9" fontId="38" fillId="4" borderId="1" xfId="0" applyNumberFormat="1" applyFont="1" applyFill="1" applyBorder="1" applyAlignment="1">
      <alignment vertical="center"/>
    </xf>
    <xf numFmtId="0" fontId="43" fillId="4" borderId="0" xfId="0" applyNumberFormat="1" applyFont="1" applyFill="1" applyBorder="1" applyAlignment="1">
      <alignment vertical="center"/>
    </xf>
    <xf numFmtId="9" fontId="49" fillId="4" borderId="0" xfId="0" applyNumberFormat="1" applyFont="1" applyFill="1" applyBorder="1" applyAlignment="1">
      <alignment vertical="center"/>
    </xf>
    <xf numFmtId="2" fontId="38" fillId="4" borderId="0" xfId="0" applyNumberFormat="1" applyFont="1" applyFill="1" applyBorder="1" applyAlignment="1">
      <alignment vertical="center"/>
    </xf>
    <xf numFmtId="0" fontId="40" fillId="4" borderId="0" xfId="6" applyFill="1"/>
    <xf numFmtId="0" fontId="30" fillId="4" borderId="0" xfId="1043" applyFont="1" applyFill="1" applyBorder="1" applyAlignment="1">
      <alignment vertical="center"/>
    </xf>
    <xf numFmtId="0" fontId="22" fillId="4" borderId="0" xfId="1043" applyFont="1" applyFill="1" applyBorder="1" applyAlignment="1">
      <alignment vertical="center"/>
    </xf>
    <xf numFmtId="2" fontId="22" fillId="4" borderId="0" xfId="1043" applyNumberFormat="1" applyFont="1" applyFill="1" applyBorder="1" applyAlignment="1">
      <alignment vertical="center"/>
    </xf>
    <xf numFmtId="0" fontId="40" fillId="4" borderId="0" xfId="6" applyFill="1" applyBorder="1"/>
    <xf numFmtId="0" fontId="40" fillId="0" borderId="0" xfId="6" applyFill="1" applyBorder="1"/>
    <xf numFmtId="174" fontId="22" fillId="4" borderId="0" xfId="1043" applyNumberFormat="1" applyFont="1" applyFill="1" applyBorder="1" applyAlignment="1">
      <alignment vertical="center"/>
    </xf>
    <xf numFmtId="0" fontId="22" fillId="4" borderId="0" xfId="1043" applyFont="1" applyFill="1" applyBorder="1"/>
    <xf numFmtId="184" fontId="22" fillId="4" borderId="0" xfId="1043" applyNumberFormat="1" applyFont="1" applyFill="1" applyBorder="1" applyAlignment="1">
      <alignment vertical="center"/>
    </xf>
    <xf numFmtId="0" fontId="13" fillId="0" borderId="0" xfId="1043" applyFont="1" applyFill="1" applyBorder="1"/>
    <xf numFmtId="0" fontId="22" fillId="0" borderId="0" xfId="1043" applyFont="1" applyFill="1" applyBorder="1"/>
    <xf numFmtId="0" fontId="30" fillId="0" borderId="0" xfId="1043" applyFont="1" applyFill="1" applyBorder="1"/>
    <xf numFmtId="0" fontId="22" fillId="0" borderId="0" xfId="1043" applyFont="1" applyFill="1" applyBorder="1" applyAlignment="1">
      <alignment horizontal="center"/>
    </xf>
    <xf numFmtId="2" fontId="22" fillId="0" borderId="0" xfId="1043" applyNumberFormat="1" applyFont="1" applyFill="1" applyBorder="1"/>
    <xf numFmtId="1" fontId="22" fillId="0" borderId="0" xfId="1043" applyNumberFormat="1" applyFont="1" applyFill="1" applyBorder="1"/>
    <xf numFmtId="0" fontId="22" fillId="0" borderId="0" xfId="1043" applyFont="1" applyFill="1" applyBorder="1" applyAlignment="1">
      <alignment horizontal="right"/>
    </xf>
    <xf numFmtId="174" fontId="22" fillId="0" borderId="0" xfId="1043" applyNumberFormat="1" applyFont="1" applyFill="1" applyBorder="1" applyAlignment="1">
      <alignment vertical="center"/>
    </xf>
    <xf numFmtId="0" fontId="22" fillId="0" borderId="0" xfId="1043" applyFont="1" applyFill="1" applyBorder="1" applyAlignment="1">
      <alignment vertical="center"/>
    </xf>
    <xf numFmtId="0" fontId="0" fillId="7" borderId="25" xfId="0" applyFill="1" applyBorder="1"/>
    <xf numFmtId="0" fontId="0" fillId="7" borderId="27" xfId="0" applyFill="1" applyBorder="1"/>
    <xf numFmtId="2" fontId="0" fillId="4" borderId="1" xfId="1" applyNumberFormat="1" applyFont="1" applyFill="1" applyBorder="1" applyAlignment="1">
      <alignment vertical="center"/>
    </xf>
    <xf numFmtId="0" fontId="22" fillId="0" borderId="0" xfId="1043" applyNumberFormat="1" applyFont="1" applyFill="1" applyBorder="1" applyAlignment="1">
      <alignment vertical="center"/>
    </xf>
    <xf numFmtId="179" fontId="22" fillId="0" borderId="0" xfId="1043" applyNumberFormat="1" applyFont="1" applyFill="1" applyBorder="1" applyAlignment="1">
      <alignment vertical="center"/>
    </xf>
    <xf numFmtId="0" fontId="42" fillId="0" borderId="0" xfId="4" applyNumberFormat="1" applyFill="1" applyBorder="1"/>
    <xf numFmtId="184" fontId="183" fillId="4" borderId="0" xfId="1" applyFont="1" applyFill="1" applyBorder="1" applyAlignment="1">
      <alignment horizontal="right" vertical="center"/>
    </xf>
    <xf numFmtId="0" fontId="0" fillId="4" borderId="0" xfId="0" quotePrefix="1" applyFill="1" applyBorder="1" applyAlignment="1">
      <alignment horizontal="right" vertical="center"/>
    </xf>
    <xf numFmtId="10" fontId="0" fillId="4" borderId="66" xfId="2" applyNumberFormat="1" applyFont="1" applyFill="1" applyBorder="1" applyAlignment="1">
      <alignment vertical="center"/>
    </xf>
    <xf numFmtId="10" fontId="0" fillId="4" borderId="1" xfId="2" applyNumberFormat="1" applyFont="1" applyFill="1" applyBorder="1" applyAlignment="1">
      <alignment vertical="center"/>
    </xf>
    <xf numFmtId="10" fontId="25" fillId="4" borderId="32" xfId="0" applyNumberFormat="1" applyFont="1" applyFill="1" applyBorder="1"/>
    <xf numFmtId="10" fontId="0" fillId="4" borderId="33" xfId="0" applyNumberFormat="1" applyFill="1" applyBorder="1"/>
    <xf numFmtId="10" fontId="0" fillId="4" borderId="1" xfId="0" applyNumberFormat="1" applyFill="1" applyBorder="1"/>
    <xf numFmtId="0" fontId="32" fillId="0" borderId="116" xfId="0" applyFont="1" applyBorder="1"/>
    <xf numFmtId="2" fontId="0" fillId="0" borderId="0" xfId="0" applyNumberFormat="1"/>
    <xf numFmtId="2" fontId="22" fillId="0" borderId="0" xfId="2" applyNumberFormat="1" applyFont="1" applyAlignment="1">
      <alignment horizontal="right"/>
    </xf>
    <xf numFmtId="2" fontId="30" fillId="0" borderId="0" xfId="0" applyNumberFormat="1" applyFont="1" applyAlignment="1">
      <alignment horizontal="center"/>
    </xf>
    <xf numFmtId="2" fontId="22" fillId="0" borderId="0" xfId="1043" applyNumberFormat="1" applyFont="1" applyFill="1" applyBorder="1" applyAlignment="1">
      <alignment vertical="center"/>
    </xf>
    <xf numFmtId="0" fontId="184" fillId="0" borderId="0" xfId="1043" applyNumberFormat="1" applyFont="1" applyFill="1" applyBorder="1" applyAlignment="1">
      <alignment vertical="center"/>
    </xf>
    <xf numFmtId="10" fontId="0" fillId="0" borderId="0" xfId="0" applyNumberFormat="1" applyFill="1" applyBorder="1" applyAlignment="1">
      <alignment vertical="center"/>
    </xf>
    <xf numFmtId="10" fontId="0" fillId="0" borderId="0" xfId="0" applyNumberFormat="1" applyFill="1" applyBorder="1"/>
    <xf numFmtId="2" fontId="32" fillId="0" borderId="0" xfId="0" applyNumberFormat="1" applyFont="1"/>
    <xf numFmtId="0" fontId="32" fillId="5" borderId="0" xfId="0" applyFont="1" applyFill="1" applyBorder="1" applyAlignment="1">
      <alignment horizontal="right"/>
    </xf>
    <xf numFmtId="0" fontId="25" fillId="5" borderId="0" xfId="0" applyFont="1" applyFill="1" applyBorder="1"/>
    <xf numFmtId="0" fontId="32" fillId="5" borderId="0" xfId="0" applyFont="1" applyFill="1" applyBorder="1" applyAlignment="1">
      <alignment vertical="center"/>
    </xf>
    <xf numFmtId="178" fontId="32" fillId="5" borderId="0" xfId="0" applyNumberFormat="1" applyFont="1" applyFill="1" applyBorder="1" applyAlignment="1">
      <alignment horizontal="right" vertical="center"/>
    </xf>
    <xf numFmtId="0" fontId="0" fillId="5" borderId="125" xfId="0" applyFill="1" applyBorder="1"/>
    <xf numFmtId="0" fontId="43" fillId="5" borderId="126" xfId="0" applyFont="1" applyFill="1" applyBorder="1"/>
    <xf numFmtId="0" fontId="0" fillId="5" borderId="127" xfId="0" applyFill="1" applyBorder="1"/>
    <xf numFmtId="0" fontId="0" fillId="5" borderId="127" xfId="0" applyNumberFormat="1" applyFill="1" applyBorder="1"/>
    <xf numFmtId="178" fontId="0" fillId="5" borderId="127" xfId="0" applyNumberFormat="1" applyFill="1" applyBorder="1"/>
    <xf numFmtId="0" fontId="0" fillId="5" borderId="125" xfId="0" applyNumberFormat="1" applyFill="1" applyBorder="1"/>
    <xf numFmtId="0" fontId="0" fillId="5" borderId="128" xfId="0" applyFill="1" applyBorder="1"/>
    <xf numFmtId="0" fontId="0" fillId="5" borderId="128" xfId="0" applyNumberFormat="1" applyFill="1" applyBorder="1"/>
    <xf numFmtId="0" fontId="25" fillId="5" borderId="30" xfId="0" applyFont="1" applyFill="1" applyBorder="1"/>
    <xf numFmtId="0" fontId="0" fillId="66" borderId="0" xfId="0" applyFill="1"/>
    <xf numFmtId="0" fontId="42" fillId="4" borderId="116" xfId="4" applyNumberFormat="1" applyFill="1" applyBorder="1" applyAlignment="1">
      <alignment horizontal="center"/>
    </xf>
    <xf numFmtId="10" fontId="0" fillId="4" borderId="0" xfId="0" applyNumberFormat="1" applyFont="1" applyFill="1" applyBorder="1" applyAlignment="1">
      <alignment horizontal="center"/>
    </xf>
    <xf numFmtId="10" fontId="117" fillId="4" borderId="0" xfId="0" applyNumberFormat="1" applyFont="1" applyFill="1" applyBorder="1" applyAlignment="1">
      <alignment horizontal="center" vertical="center"/>
    </xf>
    <xf numFmtId="10" fontId="38" fillId="4" borderId="1" xfId="0" applyNumberFormat="1" applyFont="1" applyFill="1" applyBorder="1" applyAlignment="1">
      <alignment horizontal="center" vertical="center"/>
    </xf>
    <xf numFmtId="10" fontId="38" fillId="4" borderId="1" xfId="2" applyNumberFormat="1" applyFont="1" applyFill="1" applyBorder="1" applyAlignment="1">
      <alignment horizontal="center" vertical="center"/>
    </xf>
    <xf numFmtId="10" fontId="0" fillId="4" borderId="116" xfId="2" applyNumberFormat="1" applyFont="1" applyFill="1" applyBorder="1" applyAlignment="1">
      <alignment vertical="center"/>
    </xf>
    <xf numFmtId="0" fontId="32" fillId="4" borderId="116" xfId="0" applyFont="1" applyFill="1" applyBorder="1" applyAlignment="1">
      <alignment horizontal="center"/>
    </xf>
    <xf numFmtId="2" fontId="0" fillId="4" borderId="32" xfId="0" applyNumberFormat="1" applyFill="1" applyBorder="1"/>
    <xf numFmtId="9" fontId="0" fillId="4" borderId="1" xfId="0" applyNumberFormat="1" applyFill="1" applyBorder="1"/>
    <xf numFmtId="10" fontId="0" fillId="4" borderId="40" xfId="0" applyNumberFormat="1" applyFill="1" applyBorder="1"/>
    <xf numFmtId="10" fontId="0" fillId="4" borderId="42" xfId="0" applyNumberFormat="1" applyFill="1" applyBorder="1"/>
    <xf numFmtId="0" fontId="46" fillId="4" borderId="32" xfId="0" applyFont="1" applyFill="1" applyBorder="1"/>
    <xf numFmtId="10" fontId="30" fillId="4" borderId="116" xfId="0" applyNumberFormat="1" applyFont="1" applyFill="1" applyBorder="1" applyAlignment="1">
      <alignment horizontal="center" vertical="center"/>
    </xf>
    <xf numFmtId="10" fontId="22" fillId="4" borderId="0" xfId="0" applyNumberFormat="1" applyFont="1" applyFill="1" applyBorder="1" applyAlignment="1">
      <alignment horizontal="center" vertical="center"/>
    </xf>
    <xf numFmtId="10" fontId="22" fillId="4" borderId="0" xfId="0" applyNumberFormat="1" applyFont="1" applyFill="1" applyBorder="1" applyAlignment="1">
      <alignment horizontal="right" vertical="center"/>
    </xf>
    <xf numFmtId="9" fontId="0" fillId="4" borderId="116" xfId="0" applyNumberFormat="1" applyFill="1" applyBorder="1" applyAlignment="1">
      <alignment vertical="center"/>
    </xf>
    <xf numFmtId="10" fontId="0" fillId="4" borderId="116" xfId="1" applyNumberFormat="1" applyFont="1" applyFill="1" applyBorder="1" applyAlignment="1">
      <alignment horizontal="center" vertical="center"/>
    </xf>
    <xf numFmtId="10" fontId="0" fillId="4" borderId="0" xfId="0" applyNumberFormat="1" applyFill="1" applyBorder="1" applyAlignment="1">
      <alignment horizontal="center"/>
    </xf>
    <xf numFmtId="10" fontId="0" fillId="4" borderId="0" xfId="0" applyNumberFormat="1" applyFill="1" applyBorder="1" applyAlignment="1">
      <alignment horizontal="center" vertical="center"/>
    </xf>
    <xf numFmtId="0" fontId="30" fillId="0" borderId="0" xfId="0" applyFont="1" applyAlignment="1">
      <alignment horizontal="center"/>
    </xf>
    <xf numFmtId="1" fontId="32" fillId="0" borderId="0" xfId="0" quotePrefix="1" applyNumberFormat="1" applyFont="1" applyAlignment="1">
      <alignment horizontal="right"/>
    </xf>
    <xf numFmtId="1" fontId="32" fillId="0" borderId="0" xfId="0" applyNumberFormat="1" applyFont="1" applyAlignment="1">
      <alignment horizontal="right"/>
    </xf>
    <xf numFmtId="1" fontId="30" fillId="0" borderId="0" xfId="0" applyNumberFormat="1" applyFont="1" applyAlignment="1">
      <alignment horizontal="center"/>
    </xf>
    <xf numFmtId="2" fontId="0" fillId="0" borderId="0" xfId="0" applyNumberFormat="1" applyAlignment="1">
      <alignment horizontal="right"/>
    </xf>
    <xf numFmtId="2" fontId="0" fillId="0" borderId="0" xfId="0" quotePrefix="1" applyNumberFormat="1"/>
    <xf numFmtId="2" fontId="30" fillId="11" borderId="0" xfId="2" applyNumberFormat="1" applyFont="1" applyFill="1" applyAlignment="1">
      <alignment horizontal="right"/>
    </xf>
    <xf numFmtId="2" fontId="50" fillId="0" borderId="0" xfId="0" applyNumberFormat="1" applyFont="1"/>
    <xf numFmtId="2" fontId="30" fillId="0" borderId="0" xfId="2" applyNumberFormat="1" applyFont="1" applyAlignment="1">
      <alignment horizontal="right"/>
    </xf>
    <xf numFmtId="2" fontId="30" fillId="11" borderId="0" xfId="0" applyNumberFormat="1" applyFont="1" applyFill="1" applyAlignment="1">
      <alignment horizontal="center"/>
    </xf>
    <xf numFmtId="178" fontId="22" fillId="0" borderId="0" xfId="2" applyFont="1" applyAlignment="1">
      <alignment horizontal="right"/>
    </xf>
    <xf numFmtId="10" fontId="0" fillId="0" borderId="0" xfId="0" applyNumberFormat="1" applyAlignment="1">
      <alignment horizontal="right"/>
    </xf>
    <xf numFmtId="10" fontId="22" fillId="0" borderId="0" xfId="0" applyNumberFormat="1" applyFont="1" applyAlignment="1">
      <alignment horizontal="center"/>
    </xf>
    <xf numFmtId="10" fontId="30" fillId="0" borderId="0" xfId="0" applyNumberFormat="1" applyFont="1" applyAlignment="1">
      <alignment horizontal="center"/>
    </xf>
    <xf numFmtId="198" fontId="0" fillId="0" borderId="0" xfId="0" applyNumberFormat="1"/>
    <xf numFmtId="198" fontId="0" fillId="0" borderId="0" xfId="0" applyNumberFormat="1" applyFont="1"/>
    <xf numFmtId="198" fontId="23" fillId="0" borderId="0" xfId="2" applyNumberFormat="1" applyFont="1"/>
    <xf numFmtId="178" fontId="30" fillId="0" borderId="0" xfId="0" applyNumberFormat="1" applyFont="1" applyAlignment="1">
      <alignment horizontal="center"/>
    </xf>
    <xf numFmtId="4" fontId="32" fillId="0" borderId="0" xfId="2" applyNumberFormat="1" applyFont="1"/>
    <xf numFmtId="171" fontId="0" fillId="6" borderId="23" xfId="0" applyNumberFormat="1" applyFill="1" applyBorder="1" applyAlignment="1">
      <alignment vertical="center"/>
    </xf>
    <xf numFmtId="0" fontId="0" fillId="5" borderId="0" xfId="0" applyFill="1"/>
    <xf numFmtId="0" fontId="0" fillId="5" borderId="129" xfId="0" applyFill="1" applyBorder="1"/>
    <xf numFmtId="0" fontId="43" fillId="5" borderId="130" xfId="0" applyFont="1" applyFill="1" applyBorder="1"/>
    <xf numFmtId="0" fontId="43" fillId="5" borderId="131" xfId="0" applyFont="1" applyFill="1" applyBorder="1"/>
    <xf numFmtId="0" fontId="0" fillId="5" borderId="132" xfId="0" applyFill="1" applyBorder="1"/>
    <xf numFmtId="0" fontId="0" fillId="5" borderId="133" xfId="0" applyNumberFormat="1" applyFill="1" applyBorder="1"/>
    <xf numFmtId="0" fontId="0" fillId="5" borderId="133" xfId="0" applyFill="1" applyBorder="1"/>
    <xf numFmtId="0" fontId="0" fillId="66" borderId="0" xfId="0" applyFill="1" applyAlignment="1">
      <alignment wrapText="1"/>
    </xf>
    <xf numFmtId="0" fontId="0" fillId="66" borderId="0" xfId="0" applyFill="1" applyBorder="1"/>
    <xf numFmtId="0" fontId="0" fillId="4" borderId="118" xfId="0" applyFill="1" applyBorder="1" applyAlignment="1">
      <alignment horizontal="left"/>
    </xf>
    <xf numFmtId="1" fontId="0" fillId="4" borderId="118" xfId="0" applyNumberFormat="1" applyFill="1" applyBorder="1" applyAlignment="1">
      <alignment horizontal="right"/>
    </xf>
    <xf numFmtId="0" fontId="0" fillId="4" borderId="118" xfId="0" applyFill="1" applyBorder="1" applyAlignment="1">
      <alignment horizontal="right"/>
    </xf>
    <xf numFmtId="0" fontId="32" fillId="4" borderId="118" xfId="0" applyFont="1" applyFill="1" applyBorder="1" applyAlignment="1">
      <alignment horizontal="left"/>
    </xf>
    <xf numFmtId="0" fontId="30" fillId="4" borderId="120" xfId="0" applyNumberFormat="1" applyFont="1" applyFill="1" applyBorder="1" applyAlignment="1">
      <alignment horizontal="right" vertical="center"/>
    </xf>
    <xf numFmtId="174" fontId="0" fillId="4" borderId="118" xfId="0" applyNumberFormat="1" applyFill="1" applyBorder="1" applyAlignment="1">
      <alignment horizontal="left"/>
    </xf>
    <xf numFmtId="178" fontId="118" fillId="4" borderId="0" xfId="4" applyNumberFormat="1" applyFont="1" applyFill="1" applyBorder="1" applyAlignment="1">
      <alignment horizontal="right" vertical="center"/>
    </xf>
    <xf numFmtId="0" fontId="23" fillId="57" borderId="0" xfId="905" applyFont="1" applyFill="1" applyBorder="1" applyAlignment="1">
      <alignment horizontal="center" vertical="center"/>
    </xf>
    <xf numFmtId="0" fontId="32" fillId="57" borderId="0" xfId="905" applyFont="1" applyFill="1" applyBorder="1" applyAlignment="1">
      <alignment horizontal="center" vertical="center"/>
    </xf>
    <xf numFmtId="0" fontId="32" fillId="57" borderId="0" xfId="905" applyFont="1" applyFill="1" applyBorder="1" applyAlignment="1"/>
    <xf numFmtId="0" fontId="0" fillId="4" borderId="14" xfId="0" applyFill="1" applyBorder="1"/>
    <xf numFmtId="0" fontId="0" fillId="0" borderId="0" xfId="905" applyFont="1" applyFill="1" applyBorder="1" applyAlignment="1">
      <alignment horizontal="center"/>
    </xf>
    <xf numFmtId="0" fontId="32" fillId="57" borderId="0" xfId="0" applyFont="1" applyFill="1"/>
    <xf numFmtId="0" fontId="32" fillId="6" borderId="16" xfId="0" applyFont="1" applyFill="1" applyBorder="1" applyAlignment="1">
      <alignment vertical="center"/>
    </xf>
    <xf numFmtId="0" fontId="30" fillId="4" borderId="134" xfId="0" applyFont="1" applyFill="1" applyBorder="1" applyAlignment="1">
      <alignment vertical="center"/>
    </xf>
    <xf numFmtId="0" fontId="30" fillId="6" borderId="35" xfId="0" applyNumberFormat="1" applyFont="1" applyFill="1" applyBorder="1" applyAlignment="1">
      <alignment horizontal="left" vertical="center"/>
    </xf>
    <xf numFmtId="0" fontId="30" fillId="6" borderId="9" xfId="0" applyNumberFormat="1" applyFont="1" applyFill="1" applyBorder="1" applyAlignment="1">
      <alignment horizontal="left" vertical="center"/>
    </xf>
    <xf numFmtId="0" fontId="30" fillId="19" borderId="35" xfId="0" applyNumberFormat="1" applyFont="1" applyFill="1" applyBorder="1" applyAlignment="1">
      <alignment horizontal="left" vertical="center"/>
    </xf>
    <xf numFmtId="0" fontId="30" fillId="19" borderId="9" xfId="0" applyNumberFormat="1" applyFont="1" applyFill="1" applyBorder="1" applyAlignment="1">
      <alignment horizontal="left" vertical="center"/>
    </xf>
    <xf numFmtId="0" fontId="30" fillId="5" borderId="9" xfId="0" applyFont="1" applyFill="1" applyBorder="1" applyAlignment="1">
      <alignment vertical="center"/>
    </xf>
    <xf numFmtId="9" fontId="0" fillId="4" borderId="116" xfId="2" applyNumberFormat="1" applyFont="1" applyFill="1" applyBorder="1" applyAlignment="1">
      <alignment horizontal="center" vertical="center"/>
    </xf>
    <xf numFmtId="9" fontId="0" fillId="4" borderId="117" xfId="2" applyNumberFormat="1" applyFont="1" applyFill="1" applyBorder="1" applyAlignment="1">
      <alignment horizontal="center" vertical="center"/>
    </xf>
    <xf numFmtId="0" fontId="0" fillId="57" borderId="0" xfId="2" applyNumberFormat="1" applyFont="1" applyFill="1" applyBorder="1" applyAlignment="1">
      <alignment vertical="center"/>
    </xf>
    <xf numFmtId="9" fontId="0" fillId="57" borderId="0" xfId="2" applyNumberFormat="1" applyFont="1" applyFill="1" applyBorder="1" applyAlignment="1">
      <alignment vertical="center"/>
    </xf>
    <xf numFmtId="0" fontId="30" fillId="57" borderId="68" xfId="0" applyFont="1" applyFill="1" applyBorder="1" applyAlignment="1">
      <alignment horizontal="right" vertical="center"/>
    </xf>
    <xf numFmtId="1" fontId="0" fillId="57" borderId="0" xfId="2" applyNumberFormat="1" applyFont="1" applyFill="1" applyBorder="1" applyAlignment="1">
      <alignment vertical="center"/>
    </xf>
    <xf numFmtId="172" fontId="0" fillId="57" borderId="0" xfId="2" applyNumberFormat="1" applyFont="1" applyFill="1" applyBorder="1" applyAlignment="1">
      <alignment vertical="center"/>
    </xf>
    <xf numFmtId="2" fontId="0" fillId="57" borderId="0" xfId="2" applyNumberFormat="1" applyFont="1" applyFill="1" applyBorder="1" applyAlignment="1">
      <alignment vertical="center"/>
    </xf>
    <xf numFmtId="174" fontId="0" fillId="57" borderId="0" xfId="2" applyNumberFormat="1" applyFont="1" applyFill="1" applyBorder="1" applyAlignment="1">
      <alignment vertical="center"/>
    </xf>
    <xf numFmtId="2" fontId="0" fillId="57" borderId="0" xfId="2" applyNumberFormat="1" applyFont="1" applyFill="1" applyBorder="1" applyAlignment="1">
      <alignment horizontal="right" vertical="center"/>
    </xf>
    <xf numFmtId="0" fontId="32" fillId="57" borderId="0" xfId="0" applyNumberFormat="1" applyFont="1" applyFill="1" applyBorder="1" applyAlignment="1">
      <alignment horizontal="right"/>
    </xf>
    <xf numFmtId="199" fontId="0" fillId="57" borderId="0" xfId="2" applyNumberFormat="1" applyFont="1" applyFill="1" applyBorder="1" applyAlignment="1">
      <alignment vertical="center"/>
    </xf>
    <xf numFmtId="0" fontId="0" fillId="57" borderId="0" xfId="0" applyFill="1" applyAlignment="1">
      <alignment horizontal="right"/>
    </xf>
    <xf numFmtId="0" fontId="32" fillId="57" borderId="0" xfId="0" applyFont="1" applyFill="1" applyBorder="1" applyAlignment="1">
      <alignment horizontal="center"/>
    </xf>
    <xf numFmtId="0" fontId="30" fillId="5" borderId="9" xfId="0" applyNumberFormat="1" applyFont="1" applyFill="1" applyBorder="1" applyAlignment="1">
      <alignment horizontal="right" vertical="center"/>
    </xf>
    <xf numFmtId="0" fontId="30" fillId="5" borderId="11" xfId="0" applyNumberFormat="1" applyFont="1" applyFill="1" applyBorder="1" applyAlignment="1">
      <alignment horizontal="right" vertical="center"/>
    </xf>
    <xf numFmtId="9" fontId="0" fillId="5" borderId="0" xfId="0" applyNumberFormat="1" applyFill="1" applyBorder="1" applyAlignment="1">
      <alignment vertical="center"/>
    </xf>
    <xf numFmtId="179" fontId="109" fillId="5" borderId="0" xfId="456" applyNumberFormat="1" applyFont="1" applyFill="1" applyBorder="1" applyAlignment="1">
      <alignment vertical="center"/>
    </xf>
    <xf numFmtId="200" fontId="133" fillId="5" borderId="0" xfId="2" applyNumberFormat="1" applyFont="1" applyFill="1" applyAlignment="1">
      <alignment horizontal="right"/>
    </xf>
    <xf numFmtId="1" fontId="0" fillId="5" borderId="0" xfId="0" applyNumberFormat="1" applyFill="1" applyAlignment="1">
      <alignment horizontal="right"/>
    </xf>
    <xf numFmtId="200" fontId="0" fillId="5" borderId="0" xfId="0" applyNumberFormat="1" applyFill="1" applyAlignment="1">
      <alignment horizontal="right"/>
    </xf>
    <xf numFmtId="0" fontId="0" fillId="5" borderId="10" xfId="0" applyNumberFormat="1" applyFill="1" applyBorder="1" applyAlignment="1">
      <alignment vertical="center"/>
    </xf>
    <xf numFmtId="0" fontId="0" fillId="5" borderId="10" xfId="0" applyFill="1" applyBorder="1" applyAlignment="1">
      <alignment vertical="center"/>
    </xf>
    <xf numFmtId="0" fontId="0" fillId="5" borderId="46" xfId="0" applyNumberFormat="1" applyFill="1" applyBorder="1" applyAlignment="1">
      <alignment horizontal="center" vertical="center"/>
    </xf>
    <xf numFmtId="0" fontId="0" fillId="5" borderId="46" xfId="0" applyFill="1" applyBorder="1" applyAlignment="1">
      <alignment vertical="center"/>
    </xf>
    <xf numFmtId="179" fontId="0" fillId="5" borderId="46" xfId="2" applyNumberFormat="1" applyFont="1" applyFill="1" applyBorder="1" applyAlignment="1">
      <alignment horizontal="right" vertical="center"/>
    </xf>
    <xf numFmtId="179" fontId="38" fillId="5" borderId="12" xfId="456" applyNumberFormat="1" applyFont="1" applyFill="1" applyBorder="1" applyAlignment="1">
      <alignment vertical="center"/>
    </xf>
    <xf numFmtId="179" fontId="38" fillId="5" borderId="0" xfId="456" applyNumberFormat="1" applyFont="1" applyFill="1" applyBorder="1" applyAlignment="1">
      <alignment vertical="center"/>
    </xf>
    <xf numFmtId="179" fontId="38" fillId="5" borderId="12" xfId="456" applyNumberFormat="1" applyFont="1" applyFill="1" applyBorder="1" applyAlignment="1">
      <alignment horizontal="right" vertical="center"/>
    </xf>
    <xf numFmtId="179" fontId="38" fillId="5" borderId="0" xfId="456" applyNumberFormat="1" applyFont="1" applyFill="1" applyBorder="1" applyAlignment="1">
      <alignment horizontal="right" vertical="center"/>
    </xf>
    <xf numFmtId="179" fontId="109" fillId="5" borderId="10" xfId="456" applyNumberFormat="1" applyFont="1" applyFill="1" applyBorder="1" applyAlignment="1">
      <alignment vertical="center"/>
    </xf>
    <xf numFmtId="179" fontId="38" fillId="5" borderId="18" xfId="456" applyNumberFormat="1" applyFont="1" applyFill="1" applyBorder="1" applyAlignment="1">
      <alignment horizontal="right" vertical="center"/>
    </xf>
    <xf numFmtId="179" fontId="38" fillId="5" borderId="8" xfId="456" applyNumberFormat="1" applyFont="1" applyFill="1" applyBorder="1" applyAlignment="1">
      <alignment horizontal="right" vertical="center"/>
    </xf>
    <xf numFmtId="0" fontId="0" fillId="5" borderId="0" xfId="0" applyNumberFormat="1" applyFill="1" applyBorder="1" applyAlignment="1">
      <alignment horizontal="center" vertical="center"/>
    </xf>
    <xf numFmtId="179" fontId="0" fillId="5" borderId="0" xfId="2" applyNumberFormat="1" applyFont="1" applyFill="1" applyBorder="1" applyAlignment="1">
      <alignment horizontal="right" vertical="center"/>
    </xf>
    <xf numFmtId="0" fontId="32" fillId="5" borderId="0" xfId="0" applyNumberFormat="1" applyFont="1" applyFill="1" applyBorder="1" applyAlignment="1">
      <alignment horizontal="left" vertical="center"/>
    </xf>
    <xf numFmtId="0" fontId="32" fillId="5" borderId="115" xfId="0" applyNumberFormat="1" applyFont="1" applyFill="1" applyBorder="1" applyAlignment="1">
      <alignment horizontal="center" vertical="center"/>
    </xf>
    <xf numFmtId="179" fontId="32" fillId="5" borderId="116" xfId="2" applyNumberFormat="1" applyFont="1" applyFill="1" applyBorder="1" applyAlignment="1">
      <alignment vertical="center"/>
    </xf>
    <xf numFmtId="179" fontId="32" fillId="5" borderId="121" xfId="2" applyNumberFormat="1" applyFont="1" applyFill="1" applyBorder="1" applyAlignment="1">
      <alignment horizontal="center" vertical="center"/>
    </xf>
    <xf numFmtId="0" fontId="0" fillId="5" borderId="39" xfId="0" applyNumberFormat="1" applyFill="1" applyBorder="1" applyAlignment="1">
      <alignment horizontal="center" vertical="center"/>
    </xf>
    <xf numFmtId="9" fontId="0" fillId="5" borderId="0" xfId="0" applyNumberFormat="1" applyFill="1" applyBorder="1" applyAlignment="1">
      <alignment horizontal="center" vertical="center"/>
    </xf>
    <xf numFmtId="177" fontId="0" fillId="5" borderId="0" xfId="0" applyNumberFormat="1" applyFill="1" applyBorder="1" applyAlignment="1">
      <alignment horizontal="center" vertical="center"/>
    </xf>
    <xf numFmtId="177" fontId="0" fillId="5" borderId="0" xfId="2" applyNumberFormat="1" applyFont="1" applyFill="1" applyBorder="1" applyAlignment="1">
      <alignment horizontal="center" vertical="center"/>
    </xf>
    <xf numFmtId="9" fontId="0" fillId="5" borderId="63" xfId="2" applyNumberFormat="1" applyFont="1" applyFill="1" applyBorder="1" applyAlignment="1">
      <alignment horizontal="center" vertical="center"/>
    </xf>
    <xf numFmtId="0" fontId="0" fillId="5" borderId="49" xfId="0" applyNumberFormat="1" applyFill="1" applyBorder="1" applyAlignment="1">
      <alignment horizontal="center" vertical="center"/>
    </xf>
    <xf numFmtId="177" fontId="0" fillId="5" borderId="48" xfId="2" applyNumberFormat="1" applyFont="1" applyFill="1" applyBorder="1" applyAlignment="1">
      <alignment horizontal="center" vertical="center"/>
    </xf>
    <xf numFmtId="177" fontId="0" fillId="5" borderId="50" xfId="2" applyNumberFormat="1" applyFont="1" applyFill="1" applyBorder="1" applyAlignment="1">
      <alignment horizontal="center" vertical="center"/>
    </xf>
    <xf numFmtId="9" fontId="38" fillId="5" borderId="12" xfId="456" applyNumberFormat="1" applyFont="1" applyFill="1" applyBorder="1" applyAlignment="1">
      <alignment vertical="center"/>
    </xf>
    <xf numFmtId="9" fontId="38" fillId="5" borderId="0" xfId="456" applyNumberFormat="1" applyFont="1" applyFill="1" applyBorder="1" applyAlignment="1">
      <alignment vertical="center"/>
    </xf>
    <xf numFmtId="9" fontId="38" fillId="5" borderId="0" xfId="456" applyNumberFormat="1" applyFont="1" applyFill="1" applyBorder="1" applyAlignment="1">
      <alignment horizontal="right" vertical="center"/>
    </xf>
    <xf numFmtId="9" fontId="38" fillId="5" borderId="8" xfId="456" applyNumberFormat="1" applyFont="1" applyFill="1" applyBorder="1" applyAlignment="1">
      <alignment horizontal="right" vertical="center"/>
    </xf>
    <xf numFmtId="9" fontId="0" fillId="5" borderId="46" xfId="2" applyNumberFormat="1" applyFont="1" applyFill="1" applyBorder="1" applyAlignment="1">
      <alignment horizontal="right" vertical="center"/>
    </xf>
    <xf numFmtId="0" fontId="25" fillId="5" borderId="0" xfId="0" applyFont="1" applyFill="1" applyBorder="1" applyAlignment="1">
      <alignment horizontal="left" vertical="center" indent="1"/>
    </xf>
    <xf numFmtId="0" fontId="0" fillId="5" borderId="1" xfId="0" applyNumberFormat="1" applyFill="1" applyBorder="1" applyAlignment="1">
      <alignment vertical="center"/>
    </xf>
    <xf numFmtId="0" fontId="0" fillId="5" borderId="1" xfId="0" applyFill="1" applyBorder="1" applyAlignment="1">
      <alignment vertical="center"/>
    </xf>
    <xf numFmtId="9" fontId="38" fillId="5" borderId="1" xfId="456" applyNumberFormat="1" applyFont="1" applyFill="1" applyBorder="1" applyAlignment="1">
      <alignment horizontal="right" vertical="center"/>
    </xf>
    <xf numFmtId="177" fontId="38" fillId="5" borderId="12" xfId="456" applyNumberFormat="1" applyFont="1" applyFill="1" applyBorder="1" applyAlignment="1">
      <alignment vertical="center"/>
    </xf>
    <xf numFmtId="177" fontId="38" fillId="5" borderId="0" xfId="0" applyNumberFormat="1" applyFont="1" applyFill="1" applyBorder="1" applyAlignment="1">
      <alignment vertical="center"/>
    </xf>
    <xf numFmtId="177" fontId="38" fillId="5" borderId="0" xfId="456" applyNumberFormat="1" applyFont="1" applyFill="1" applyBorder="1" applyAlignment="1">
      <alignment vertical="center"/>
    </xf>
    <xf numFmtId="177" fontId="38" fillId="5" borderId="1" xfId="0" applyNumberFormat="1" applyFont="1" applyFill="1" applyBorder="1" applyAlignment="1">
      <alignment vertical="center"/>
    </xf>
    <xf numFmtId="0" fontId="102" fillId="5" borderId="8" xfId="0" applyFont="1" applyFill="1" applyBorder="1" applyAlignment="1">
      <alignment horizontal="center" vertical="center"/>
    </xf>
    <xf numFmtId="0" fontId="102" fillId="5" borderId="8" xfId="0" applyNumberFormat="1" applyFont="1" applyFill="1" applyBorder="1" applyAlignment="1">
      <alignment horizontal="center" vertical="center"/>
    </xf>
    <xf numFmtId="0" fontId="102" fillId="5" borderId="18" xfId="0" applyNumberFormat="1" applyFont="1" applyFill="1" applyBorder="1" applyAlignment="1">
      <alignment horizontal="center" vertical="center"/>
    </xf>
    <xf numFmtId="0" fontId="32" fillId="5" borderId="116" xfId="0" applyFont="1" applyFill="1" applyBorder="1" applyAlignment="1">
      <alignment horizontal="center" vertical="center"/>
    </xf>
    <xf numFmtId="0" fontId="0" fillId="57" borderId="0" xfId="0" applyFill="1" applyBorder="1" applyAlignment="1">
      <alignment horizontal="left" indent="1"/>
    </xf>
    <xf numFmtId="0" fontId="26" fillId="57" borderId="0" xfId="0" applyFont="1" applyFill="1" applyBorder="1" applyAlignment="1">
      <alignment horizontal="left" vertical="center" indent="1"/>
    </xf>
    <xf numFmtId="0" fontId="0" fillId="57" borderId="0" xfId="0" applyFill="1" applyBorder="1" applyAlignment="1">
      <alignment horizontal="right" vertical="center"/>
    </xf>
    <xf numFmtId="0" fontId="30" fillId="57" borderId="0" xfId="0" applyFont="1" applyFill="1" applyBorder="1" applyAlignment="1">
      <alignment horizontal="center" vertical="center"/>
    </xf>
    <xf numFmtId="178" fontId="0" fillId="57" borderId="0" xfId="2" applyFont="1" applyFill="1" applyBorder="1"/>
    <xf numFmtId="0" fontId="25" fillId="57" borderId="0" xfId="0" applyFont="1" applyFill="1" applyBorder="1" applyAlignment="1">
      <alignment horizontal="left" indent="1"/>
    </xf>
    <xf numFmtId="0" fontId="22" fillId="57" borderId="0" xfId="0" applyFont="1" applyFill="1" applyBorder="1" applyAlignment="1">
      <alignment vertical="center"/>
    </xf>
    <xf numFmtId="177" fontId="22" fillId="57" borderId="0" xfId="905" applyNumberFormat="1" applyFont="1" applyFill="1" applyBorder="1" applyAlignment="1">
      <alignment horizontal="right" vertical="center"/>
    </xf>
    <xf numFmtId="177" fontId="22" fillId="57" borderId="0" xfId="7" applyNumberFormat="1" applyFont="1" applyFill="1" applyBorder="1" applyAlignment="1">
      <alignment horizontal="right" vertical="center"/>
    </xf>
    <xf numFmtId="178" fontId="0" fillId="57" borderId="0" xfId="2" applyFont="1" applyFill="1" applyBorder="1" applyAlignment="1"/>
    <xf numFmtId="178" fontId="0" fillId="57" borderId="0" xfId="2" applyNumberFormat="1" applyFont="1" applyFill="1" applyBorder="1"/>
    <xf numFmtId="0" fontId="42" fillId="57" borderId="0" xfId="4" applyNumberFormat="1" applyFill="1" applyBorder="1" applyAlignment="1">
      <alignment horizontal="left" indent="1"/>
    </xf>
    <xf numFmtId="0" fontId="38" fillId="57" borderId="0" xfId="4" applyNumberFormat="1" applyFont="1" applyFill="1" applyBorder="1" applyAlignment="1">
      <alignment horizontal="right"/>
    </xf>
    <xf numFmtId="0" fontId="38" fillId="57" borderId="0" xfId="4" applyNumberFormat="1" applyFont="1" applyFill="1" applyBorder="1" applyAlignment="1">
      <alignment horizontal="left"/>
    </xf>
    <xf numFmtId="0" fontId="42" fillId="57" borderId="0" xfId="4" applyNumberFormat="1" applyFill="1" applyBorder="1"/>
    <xf numFmtId="0" fontId="38" fillId="57" borderId="0" xfId="4" applyNumberFormat="1" applyFont="1" applyFill="1" applyBorder="1"/>
    <xf numFmtId="0" fontId="23" fillId="57" borderId="0" xfId="6" applyFont="1" applyFill="1" applyBorder="1" applyAlignment="1">
      <alignment horizontal="left" indent="1"/>
    </xf>
    <xf numFmtId="0" fontId="32" fillId="57" borderId="0" xfId="6" applyFont="1" applyFill="1" applyBorder="1"/>
    <xf numFmtId="0" fontId="23" fillId="57" borderId="0" xfId="6" applyFont="1" applyFill="1" applyBorder="1"/>
    <xf numFmtId="0" fontId="23" fillId="57" borderId="0" xfId="6" applyFont="1" applyFill="1" applyBorder="1" applyAlignment="1">
      <alignment horizontal="right"/>
    </xf>
    <xf numFmtId="0" fontId="23" fillId="57" borderId="0" xfId="6" applyFont="1" applyFill="1" applyBorder="1" applyAlignment="1">
      <alignment horizontal="right" vertical="center"/>
    </xf>
    <xf numFmtId="178" fontId="23" fillId="57" borderId="0" xfId="2" applyFont="1" applyFill="1" applyBorder="1"/>
    <xf numFmtId="0" fontId="25" fillId="57" borderId="0" xfId="6" applyFont="1" applyFill="1" applyBorder="1" applyAlignment="1">
      <alignment horizontal="left" indent="1"/>
    </xf>
    <xf numFmtId="0" fontId="30" fillId="57" borderId="0" xfId="6" applyFont="1" applyFill="1" applyBorder="1" applyAlignment="1">
      <alignment vertical="center"/>
    </xf>
    <xf numFmtId="0" fontId="22" fillId="57" borderId="0" xfId="6" applyFont="1" applyFill="1" applyBorder="1" applyAlignment="1">
      <alignment vertical="center"/>
    </xf>
    <xf numFmtId="177" fontId="22" fillId="57" borderId="0" xfId="6" applyNumberFormat="1" applyFont="1" applyFill="1" applyBorder="1" applyAlignment="1">
      <alignment horizontal="right" vertical="center"/>
    </xf>
    <xf numFmtId="0" fontId="23" fillId="57" borderId="0" xfId="6" applyNumberFormat="1" applyFont="1" applyFill="1" applyBorder="1" applyAlignment="1">
      <alignment horizontal="right" vertical="center"/>
    </xf>
    <xf numFmtId="0" fontId="22" fillId="57" borderId="0" xfId="0" applyFont="1" applyFill="1" applyBorder="1" applyAlignment="1">
      <alignment horizontal="right" vertical="center"/>
    </xf>
    <xf numFmtId="174" fontId="22" fillId="57" borderId="0" xfId="1" applyNumberFormat="1" applyFont="1" applyFill="1" applyBorder="1" applyAlignment="1">
      <alignment horizontal="right" vertical="center"/>
    </xf>
    <xf numFmtId="174" fontId="0" fillId="57" borderId="0" xfId="0" applyNumberFormat="1" applyFill="1" applyBorder="1" applyAlignment="1">
      <alignment vertical="center"/>
    </xf>
    <xf numFmtId="201" fontId="0" fillId="57" borderId="0" xfId="0" applyNumberFormat="1" applyFill="1" applyBorder="1"/>
    <xf numFmtId="179" fontId="23" fillId="4" borderId="116" xfId="2" applyNumberFormat="1" applyFont="1" applyFill="1" applyBorder="1" applyAlignment="1">
      <alignment vertical="center"/>
    </xf>
    <xf numFmtId="179" fontId="23" fillId="4" borderId="117" xfId="2" applyNumberFormat="1" applyFont="1" applyFill="1" applyBorder="1" applyAlignment="1">
      <alignment vertical="center"/>
    </xf>
    <xf numFmtId="0" fontId="30" fillId="4" borderId="115" xfId="0" applyFont="1" applyFill="1" applyBorder="1" applyAlignment="1">
      <alignment vertical="center"/>
    </xf>
    <xf numFmtId="0" fontId="30" fillId="4" borderId="114" xfId="0" applyNumberFormat="1" applyFont="1" applyFill="1" applyBorder="1" applyAlignment="1">
      <alignment horizontal="right" vertical="center"/>
    </xf>
    <xf numFmtId="179" fontId="23" fillId="4" borderId="118" xfId="2" applyNumberFormat="1" applyFont="1" applyFill="1" applyBorder="1" applyAlignment="1">
      <alignment vertical="center"/>
    </xf>
    <xf numFmtId="179" fontId="23" fillId="4" borderId="38" xfId="2" applyNumberFormat="1" applyFont="1" applyFill="1" applyBorder="1" applyAlignment="1">
      <alignment vertical="center"/>
    </xf>
    <xf numFmtId="179" fontId="23" fillId="4" borderId="40" xfId="2" applyNumberFormat="1" applyFont="1" applyFill="1" applyBorder="1" applyAlignment="1">
      <alignment vertical="center"/>
    </xf>
    <xf numFmtId="179" fontId="23" fillId="4" borderId="1" xfId="2" applyNumberFormat="1" applyFont="1" applyFill="1" applyBorder="1" applyAlignment="1">
      <alignment vertical="center"/>
    </xf>
    <xf numFmtId="179" fontId="23" fillId="4" borderId="42" xfId="2" applyNumberFormat="1" applyFont="1" applyFill="1" applyBorder="1" applyAlignment="1">
      <alignment vertical="center"/>
    </xf>
    <xf numFmtId="0" fontId="189" fillId="4" borderId="0" xfId="0" applyFont="1" applyFill="1" applyBorder="1"/>
    <xf numFmtId="178" fontId="190" fillId="6" borderId="0" xfId="0" applyNumberFormat="1" applyFont="1" applyFill="1" applyBorder="1" applyAlignment="1">
      <alignment vertical="center"/>
    </xf>
    <xf numFmtId="181" fontId="0" fillId="5" borderId="0" xfId="2" applyNumberFormat="1" applyFont="1" applyFill="1" applyBorder="1" applyAlignment="1">
      <alignment horizontal="right" vertical="center"/>
    </xf>
    <xf numFmtId="2" fontId="0" fillId="5" borderId="46" xfId="2" applyNumberFormat="1" applyFont="1" applyFill="1" applyBorder="1" applyAlignment="1">
      <alignment horizontal="right" vertical="center"/>
    </xf>
    <xf numFmtId="177" fontId="22" fillId="57" borderId="0" xfId="7" applyNumberFormat="1" applyFont="1" applyFill="1" applyBorder="1" applyAlignment="1">
      <alignment horizontal="left" vertical="center"/>
    </xf>
    <xf numFmtId="1" fontId="23" fillId="57" borderId="0" xfId="6" applyNumberFormat="1" applyFont="1" applyFill="1" applyBorder="1"/>
    <xf numFmtId="172" fontId="0" fillId="4" borderId="118" xfId="2" applyNumberFormat="1" applyFont="1" applyFill="1" applyBorder="1" applyAlignment="1">
      <alignment vertical="center"/>
    </xf>
    <xf numFmtId="1" fontId="40" fillId="4" borderId="0" xfId="6" applyNumberFormat="1" applyFill="1" applyBorder="1"/>
    <xf numFmtId="1" fontId="38" fillId="4" borderId="0" xfId="2" applyNumberFormat="1" applyFont="1" applyFill="1" applyBorder="1" applyAlignment="1">
      <alignment vertical="center"/>
    </xf>
    <xf numFmtId="174" fontId="40" fillId="4" borderId="0" xfId="6" applyNumberFormat="1" applyFill="1" applyBorder="1"/>
    <xf numFmtId="1" fontId="22" fillId="0" borderId="0" xfId="2" applyNumberFormat="1" applyFont="1" applyAlignment="1">
      <alignment horizontal="right"/>
    </xf>
    <xf numFmtId="1" fontId="22" fillId="0" borderId="0" xfId="1043" applyNumberFormat="1" applyFont="1" applyFill="1" applyBorder="1" applyAlignment="1">
      <alignment vertical="center"/>
    </xf>
    <xf numFmtId="1" fontId="22" fillId="0" borderId="0" xfId="1043" applyNumberFormat="1" applyFont="1" applyFill="1" applyBorder="1" applyAlignment="1">
      <alignment horizontal="right" vertical="center"/>
    </xf>
    <xf numFmtId="1" fontId="0" fillId="0" borderId="0" xfId="2" applyNumberFormat="1" applyFont="1" applyAlignment="1">
      <alignment vertical="center"/>
    </xf>
    <xf numFmtId="0" fontId="32" fillId="0" borderId="0" xfId="0" applyFont="1" applyAlignment="1">
      <alignment horizontal="left"/>
    </xf>
    <xf numFmtId="178" fontId="190" fillId="5" borderId="0" xfId="0" applyNumberFormat="1" applyFont="1" applyFill="1" applyBorder="1" applyAlignment="1">
      <alignment vertical="center"/>
    </xf>
    <xf numFmtId="178" fontId="0" fillId="0" borderId="0" xfId="2" applyNumberFormat="1" applyFont="1"/>
    <xf numFmtId="178" fontId="0" fillId="2" borderId="0" xfId="2" applyNumberFormat="1" applyFont="1" applyFill="1"/>
    <xf numFmtId="0" fontId="0" fillId="5" borderId="7" xfId="0" applyFill="1" applyBorder="1" applyAlignment="1">
      <alignment vertical="center"/>
    </xf>
    <xf numFmtId="0" fontId="0" fillId="5" borderId="7" xfId="0" applyNumberFormat="1" applyFill="1" applyBorder="1" applyAlignment="1">
      <alignment vertical="center"/>
    </xf>
    <xf numFmtId="178" fontId="0" fillId="0" borderId="7" xfId="2" applyNumberFormat="1" applyFont="1" applyBorder="1"/>
    <xf numFmtId="178" fontId="0" fillId="25" borderId="135" xfId="2" applyNumberFormat="1" applyFont="1" applyFill="1" applyBorder="1"/>
    <xf numFmtId="0" fontId="32" fillId="5" borderId="118" xfId="0" applyFont="1" applyFill="1" applyBorder="1" applyAlignment="1">
      <alignment vertical="center"/>
    </xf>
    <xf numFmtId="178" fontId="32" fillId="5" borderId="118" xfId="0" applyNumberFormat="1" applyFont="1" applyFill="1" applyBorder="1" applyAlignment="1">
      <alignment vertical="center"/>
    </xf>
    <xf numFmtId="178" fontId="0" fillId="25" borderId="101" xfId="2" applyNumberFormat="1" applyFont="1" applyFill="1" applyBorder="1"/>
    <xf numFmtId="0" fontId="102" fillId="5" borderId="0" xfId="0" applyFont="1" applyFill="1" applyBorder="1" applyAlignment="1">
      <alignment vertical="center"/>
    </xf>
    <xf numFmtId="178" fontId="0" fillId="0" borderId="101" xfId="2" applyNumberFormat="1" applyFont="1" applyBorder="1"/>
    <xf numFmtId="0" fontId="0" fillId="6" borderId="7" xfId="0" applyFont="1" applyFill="1" applyBorder="1" applyAlignment="1">
      <alignment vertical="center"/>
    </xf>
    <xf numFmtId="0" fontId="0" fillId="6" borderId="1" xfId="0" applyFont="1" applyFill="1" applyBorder="1" applyAlignment="1">
      <alignment vertical="center"/>
    </xf>
    <xf numFmtId="0" fontId="32" fillId="4" borderId="116" xfId="0" applyFont="1" applyFill="1" applyBorder="1" applyAlignment="1">
      <alignment vertical="center"/>
    </xf>
    <xf numFmtId="4" fontId="0" fillId="4" borderId="136" xfId="2" applyNumberFormat="1" applyFont="1" applyFill="1" applyBorder="1" applyAlignment="1">
      <alignment vertical="center"/>
    </xf>
    <xf numFmtId="0" fontId="32" fillId="4" borderId="116" xfId="0" applyNumberFormat="1" applyFont="1" applyFill="1" applyBorder="1" applyAlignment="1">
      <alignment vertical="center"/>
    </xf>
    <xf numFmtId="0" fontId="32" fillId="4" borderId="116" xfId="0" applyNumberFormat="1" applyFont="1" applyFill="1" applyBorder="1" applyAlignment="1">
      <alignment horizontal="right" vertical="center"/>
    </xf>
    <xf numFmtId="2" fontId="38" fillId="4" borderId="0" xfId="1" applyNumberFormat="1" applyFont="1" applyFill="1" applyBorder="1" applyAlignment="1">
      <alignment vertical="center"/>
    </xf>
    <xf numFmtId="9" fontId="32" fillId="4" borderId="0" xfId="0" applyNumberFormat="1" applyFont="1" applyFill="1" applyBorder="1" applyAlignment="1">
      <alignment vertical="center"/>
    </xf>
    <xf numFmtId="9" fontId="0" fillId="4" borderId="0" xfId="1" applyNumberFormat="1" applyFont="1" applyFill="1" applyBorder="1" applyAlignment="1">
      <alignment horizontal="right" vertical="center"/>
    </xf>
    <xf numFmtId="0" fontId="0" fillId="4" borderId="0" xfId="0" applyNumberFormat="1" applyFont="1" applyFill="1" applyBorder="1"/>
    <xf numFmtId="0" fontId="26" fillId="7" borderId="28" xfId="0" applyFont="1" applyFill="1" applyBorder="1" applyAlignment="1">
      <alignment horizontal="left" vertical="center" indent="1"/>
    </xf>
    <xf numFmtId="0" fontId="0" fillId="7" borderId="24" xfId="0" applyFill="1" applyBorder="1" applyAlignment="1">
      <alignment vertical="center"/>
    </xf>
    <xf numFmtId="0" fontId="0" fillId="7" borderId="29" xfId="0" applyFill="1" applyBorder="1" applyAlignment="1">
      <alignment vertical="center"/>
    </xf>
    <xf numFmtId="9" fontId="32" fillId="4" borderId="116" xfId="0" applyNumberFormat="1" applyFont="1" applyFill="1" applyBorder="1" applyAlignment="1">
      <alignment vertical="center"/>
    </xf>
    <xf numFmtId="178" fontId="0" fillId="4" borderId="0" xfId="2" applyNumberFormat="1" applyFont="1" applyFill="1" applyBorder="1"/>
    <xf numFmtId="0" fontId="0" fillId="4" borderId="0" xfId="0" applyFill="1" applyBorder="1" applyAlignment="1">
      <alignment horizontal="left" vertical="center"/>
    </xf>
    <xf numFmtId="0" fontId="0" fillId="4" borderId="1" xfId="0" applyFont="1" applyFill="1" applyBorder="1"/>
    <xf numFmtId="0" fontId="0" fillId="4" borderId="0" xfId="0" applyNumberFormat="1" applyFont="1" applyFill="1" applyBorder="1" applyAlignment="1">
      <alignment horizontal="center" vertical="center"/>
    </xf>
    <xf numFmtId="0" fontId="0" fillId="4" borderId="0" xfId="0" applyFont="1" applyFill="1" applyBorder="1" applyAlignment="1">
      <alignment horizontal="center"/>
    </xf>
    <xf numFmtId="0" fontId="0" fillId="4" borderId="1" xfId="0" applyFont="1" applyFill="1" applyBorder="1" applyAlignment="1">
      <alignment horizontal="center"/>
    </xf>
    <xf numFmtId="0" fontId="0" fillId="0" borderId="0" xfId="0" applyNumberFormat="1" applyFill="1" applyBorder="1"/>
    <xf numFmtId="0" fontId="0" fillId="0" borderId="24" xfId="0" applyBorder="1"/>
    <xf numFmtId="0" fontId="26" fillId="7" borderId="0" xfId="0" applyFont="1" applyFill="1" applyBorder="1" applyAlignment="1">
      <alignment horizontal="left" vertical="center" indent="1"/>
    </xf>
    <xf numFmtId="1" fontId="30" fillId="4" borderId="0" xfId="0" applyNumberFormat="1" applyFont="1" applyFill="1" applyBorder="1" applyAlignment="1">
      <alignment horizontal="right" vertical="center"/>
    </xf>
    <xf numFmtId="0" fontId="32" fillId="0" borderId="0" xfId="0" applyFont="1" applyFill="1" applyBorder="1" applyAlignment="1">
      <alignment horizontal="center"/>
    </xf>
    <xf numFmtId="9" fontId="22" fillId="0" borderId="0" xfId="2" applyNumberFormat="1" applyFont="1" applyAlignment="1">
      <alignment horizontal="right"/>
    </xf>
    <xf numFmtId="178" fontId="191" fillId="0" borderId="0" xfId="2" applyFont="1" applyAlignment="1">
      <alignment horizontal="right"/>
    </xf>
    <xf numFmtId="0" fontId="0" fillId="0" borderId="0" xfId="0" quotePrefix="1" applyAlignment="1">
      <alignment horizontal="right"/>
    </xf>
    <xf numFmtId="3" fontId="22" fillId="0" borderId="0" xfId="2" applyNumberFormat="1" applyFont="1" applyAlignment="1">
      <alignment horizontal="right"/>
    </xf>
    <xf numFmtId="4" fontId="191" fillId="0" borderId="0" xfId="2" applyNumberFormat="1" applyFont="1" applyAlignment="1">
      <alignment horizontal="right"/>
    </xf>
    <xf numFmtId="4" fontId="32" fillId="4" borderId="136" xfId="2" applyNumberFormat="1" applyFont="1" applyFill="1" applyBorder="1" applyAlignment="1">
      <alignment vertical="center"/>
    </xf>
    <xf numFmtId="0" fontId="0" fillId="4" borderId="138" xfId="0" applyFont="1" applyFill="1" applyBorder="1" applyAlignment="1">
      <alignment vertical="center"/>
    </xf>
    <xf numFmtId="0" fontId="0" fillId="4" borderId="139" xfId="0" applyFont="1" applyFill="1" applyBorder="1" applyAlignment="1">
      <alignment vertical="center"/>
    </xf>
    <xf numFmtId="0" fontId="32" fillId="4" borderId="140" xfId="0" applyFont="1" applyFill="1" applyBorder="1" applyAlignment="1">
      <alignment vertical="center"/>
    </xf>
    <xf numFmtId="0" fontId="0" fillId="4" borderId="7" xfId="0" applyNumberFormat="1" applyFont="1" applyFill="1" applyBorder="1" applyAlignment="1">
      <alignment vertical="center"/>
    </xf>
    <xf numFmtId="0" fontId="102" fillId="4" borderId="141" xfId="0" applyFont="1" applyFill="1" applyBorder="1" applyAlignment="1">
      <alignment vertical="center"/>
    </xf>
    <xf numFmtId="0" fontId="102" fillId="4" borderId="16" xfId="0" applyFont="1" applyFill="1" applyBorder="1" applyAlignment="1">
      <alignment horizontal="center" vertical="center"/>
    </xf>
    <xf numFmtId="0" fontId="102" fillId="4" borderId="137" xfId="0" applyFont="1" applyFill="1" applyBorder="1" applyAlignment="1">
      <alignment horizontal="left" vertical="center"/>
    </xf>
    <xf numFmtId="0" fontId="102" fillId="4" borderId="1" xfId="0" applyFont="1" applyFill="1" applyBorder="1" applyAlignment="1">
      <alignment horizontal="left" vertical="center"/>
    </xf>
    <xf numFmtId="3" fontId="38" fillId="4" borderId="7" xfId="2" applyNumberFormat="1" applyFont="1" applyFill="1" applyBorder="1" applyAlignment="1">
      <alignment vertical="center"/>
    </xf>
    <xf numFmtId="3" fontId="0" fillId="4" borderId="136" xfId="2" applyNumberFormat="1" applyFont="1" applyFill="1" applyBorder="1" applyAlignment="1">
      <alignment vertical="center"/>
    </xf>
    <xf numFmtId="3" fontId="0" fillId="4" borderId="66" xfId="2" applyNumberFormat="1" applyFont="1" applyFill="1" applyBorder="1" applyAlignment="1">
      <alignment vertical="center"/>
    </xf>
    <xf numFmtId="3" fontId="0" fillId="4" borderId="20" xfId="2" applyNumberFormat="1" applyFont="1" applyFill="1" applyBorder="1" applyAlignment="1">
      <alignment vertical="center"/>
    </xf>
    <xf numFmtId="1" fontId="0" fillId="4" borderId="0" xfId="1" applyNumberFormat="1" applyFont="1" applyFill="1" applyBorder="1" applyAlignment="1">
      <alignment vertical="center"/>
    </xf>
    <xf numFmtId="1" fontId="32" fillId="4" borderId="136" xfId="2" applyNumberFormat="1" applyFont="1" applyFill="1" applyBorder="1" applyAlignment="1">
      <alignment vertical="center"/>
    </xf>
    <xf numFmtId="178" fontId="191" fillId="0" borderId="0" xfId="2" applyNumberFormat="1" applyFont="1" applyAlignment="1">
      <alignment horizontal="right"/>
    </xf>
    <xf numFmtId="0" fontId="32" fillId="15" borderId="0" xfId="0" applyFont="1" applyFill="1" applyBorder="1"/>
    <xf numFmtId="4" fontId="0" fillId="4" borderId="0" xfId="2" applyNumberFormat="1" applyFont="1" applyFill="1" applyBorder="1" applyAlignment="1">
      <alignment vertical="center"/>
    </xf>
    <xf numFmtId="3" fontId="38" fillId="4" borderId="0" xfId="2" applyNumberFormat="1" applyFont="1" applyFill="1" applyBorder="1" applyAlignment="1">
      <alignment vertical="center"/>
    </xf>
    <xf numFmtId="3" fontId="0" fillId="4" borderId="0" xfId="2" applyNumberFormat="1" applyFont="1" applyFill="1" applyBorder="1" applyAlignment="1">
      <alignment vertical="center"/>
    </xf>
    <xf numFmtId="0" fontId="30" fillId="4" borderId="124" xfId="0" applyFont="1" applyFill="1" applyBorder="1" applyAlignment="1">
      <alignment horizontal="right" vertical="center"/>
    </xf>
    <xf numFmtId="0" fontId="38" fillId="4" borderId="0" xfId="2" applyNumberFormat="1" applyFont="1" applyFill="1" applyBorder="1" applyAlignment="1">
      <alignment vertical="center"/>
    </xf>
    <xf numFmtId="174" fontId="0" fillId="4" borderId="0" xfId="0" quotePrefix="1" applyNumberFormat="1" applyFont="1" applyFill="1" applyBorder="1" applyAlignment="1">
      <alignment horizontal="right"/>
    </xf>
    <xf numFmtId="0" fontId="32" fillId="4" borderId="115" xfId="0" applyNumberFormat="1" applyFont="1" applyFill="1" applyBorder="1" applyAlignment="1">
      <alignment horizontal="right" vertical="center"/>
    </xf>
    <xf numFmtId="179" fontId="32" fillId="4" borderId="118" xfId="2" applyNumberFormat="1" applyFont="1" applyFill="1" applyBorder="1" applyAlignment="1">
      <alignment horizontal="right" vertical="center"/>
    </xf>
    <xf numFmtId="179" fontId="32" fillId="4" borderId="38" xfId="2" applyNumberFormat="1" applyFont="1" applyFill="1" applyBorder="1" applyAlignment="1">
      <alignment horizontal="center" vertical="center"/>
    </xf>
    <xf numFmtId="9" fontId="0" fillId="4" borderId="76" xfId="2" applyNumberFormat="1" applyFont="1" applyFill="1" applyBorder="1" applyAlignment="1">
      <alignment vertical="center"/>
    </xf>
    <xf numFmtId="9" fontId="0" fillId="4" borderId="118" xfId="2" applyNumberFormat="1" applyFont="1" applyFill="1" applyBorder="1" applyAlignment="1">
      <alignment vertical="center"/>
    </xf>
    <xf numFmtId="9" fontId="0" fillId="4" borderId="38" xfId="2" applyNumberFormat="1" applyFont="1" applyFill="1" applyBorder="1" applyAlignment="1">
      <alignment vertical="center"/>
    </xf>
    <xf numFmtId="9" fontId="0" fillId="4" borderId="40" xfId="2" applyNumberFormat="1" applyFont="1" applyFill="1" applyBorder="1" applyAlignment="1">
      <alignment vertical="center"/>
    </xf>
    <xf numFmtId="0" fontId="32" fillId="4" borderId="116" xfId="0" applyNumberFormat="1" applyFont="1" applyFill="1" applyBorder="1" applyAlignment="1">
      <alignment horizontal="center" vertical="center"/>
    </xf>
    <xf numFmtId="177" fontId="0" fillId="4" borderId="0" xfId="2" applyNumberFormat="1" applyFont="1" applyFill="1" applyBorder="1" applyAlignment="1">
      <alignment vertical="center"/>
    </xf>
    <xf numFmtId="9" fontId="22" fillId="4" borderId="0" xfId="2" applyNumberFormat="1" applyFont="1" applyFill="1" applyBorder="1" applyAlignment="1">
      <alignment horizontal="right" vertical="center"/>
    </xf>
    <xf numFmtId="9" fontId="32" fillId="4" borderId="1" xfId="0" applyNumberFormat="1" applyFont="1" applyFill="1" applyBorder="1" applyAlignment="1">
      <alignment vertical="center"/>
    </xf>
    <xf numFmtId="177" fontId="0" fillId="4" borderId="1" xfId="2" applyNumberFormat="1" applyFont="1" applyFill="1" applyBorder="1" applyAlignment="1">
      <alignment vertical="center"/>
    </xf>
    <xf numFmtId="9" fontId="22" fillId="4" borderId="1" xfId="2" applyNumberFormat="1" applyFont="1" applyFill="1" applyBorder="1" applyAlignment="1">
      <alignment horizontal="right" vertical="center"/>
    </xf>
    <xf numFmtId="9" fontId="191" fillId="0" borderId="0" xfId="2" applyNumberFormat="1" applyFont="1" applyAlignment="1">
      <alignment horizontal="right"/>
    </xf>
    <xf numFmtId="174" fontId="0" fillId="4" borderId="40" xfId="0" applyNumberFormat="1" applyFill="1" applyBorder="1" applyAlignment="1">
      <alignment horizontal="right"/>
    </xf>
    <xf numFmtId="178" fontId="0" fillId="4" borderId="40" xfId="2" applyNumberFormat="1" applyFont="1" applyFill="1" applyBorder="1" applyAlignment="1">
      <alignment vertical="center"/>
    </xf>
    <xf numFmtId="174" fontId="0" fillId="4" borderId="42" xfId="0" applyNumberFormat="1" applyFill="1" applyBorder="1"/>
    <xf numFmtId="0" fontId="0" fillId="4" borderId="115" xfId="0" applyFill="1" applyBorder="1"/>
    <xf numFmtId="179" fontId="32" fillId="4" borderId="117" xfId="2" applyNumberFormat="1" applyFont="1" applyFill="1" applyBorder="1"/>
    <xf numFmtId="0" fontId="0" fillId="4" borderId="39" xfId="0" applyFont="1" applyFill="1" applyBorder="1"/>
    <xf numFmtId="0" fontId="0" fillId="4" borderId="41" xfId="0" applyFont="1" applyFill="1" applyBorder="1"/>
    <xf numFmtId="0" fontId="22" fillId="4" borderId="0" xfId="0" applyFont="1" applyFill="1" applyBorder="1" applyAlignment="1">
      <alignment horizontal="left" vertical="center"/>
    </xf>
    <xf numFmtId="0" fontId="0" fillId="4" borderId="0" xfId="0" applyFont="1" applyFill="1" applyBorder="1" applyAlignment="1"/>
    <xf numFmtId="174" fontId="0" fillId="4" borderId="0" xfId="0" applyNumberFormat="1" applyFill="1" applyBorder="1" applyAlignment="1">
      <alignment vertical="center"/>
    </xf>
    <xf numFmtId="202" fontId="22" fillId="4" borderId="0" xfId="2" applyNumberFormat="1" applyFont="1" applyFill="1" applyBorder="1" applyAlignment="1">
      <alignment horizontal="right" vertical="center"/>
    </xf>
    <xf numFmtId="0" fontId="22" fillId="4" borderId="39" xfId="0" applyFont="1" applyFill="1" applyBorder="1" applyAlignment="1">
      <alignment vertical="center"/>
    </xf>
    <xf numFmtId="179" fontId="0" fillId="4" borderId="40" xfId="2" applyNumberFormat="1" applyFont="1" applyFill="1" applyBorder="1" applyAlignment="1">
      <alignment vertical="center"/>
    </xf>
    <xf numFmtId="0" fontId="22" fillId="4" borderId="41" xfId="0" applyFont="1" applyFill="1" applyBorder="1" applyAlignment="1">
      <alignment vertical="center"/>
    </xf>
    <xf numFmtId="174" fontId="0" fillId="4" borderId="1" xfId="0" applyNumberFormat="1" applyFill="1" applyBorder="1" applyAlignment="1">
      <alignment vertical="center"/>
    </xf>
    <xf numFmtId="202" fontId="22" fillId="4" borderId="1" xfId="2" applyNumberFormat="1" applyFont="1" applyFill="1" applyBorder="1" applyAlignment="1">
      <alignment horizontal="right" vertical="center"/>
    </xf>
    <xf numFmtId="179" fontId="0" fillId="4" borderId="42" xfId="2" applyNumberFormat="1" applyFont="1" applyFill="1" applyBorder="1" applyAlignment="1">
      <alignment vertical="center"/>
    </xf>
    <xf numFmtId="0" fontId="32" fillId="4" borderId="115" xfId="0" applyNumberFormat="1" applyFont="1" applyFill="1" applyBorder="1" applyAlignment="1">
      <alignment horizontal="left" vertical="center"/>
    </xf>
    <xf numFmtId="179" fontId="0" fillId="4" borderId="117" xfId="2" applyNumberFormat="1" applyFont="1" applyFill="1" applyBorder="1" applyAlignment="1">
      <alignment vertical="center"/>
    </xf>
    <xf numFmtId="0" fontId="0" fillId="0" borderId="1" xfId="0" applyBorder="1" applyAlignment="1">
      <alignment horizontal="center" vertical="center"/>
    </xf>
    <xf numFmtId="178" fontId="23" fillId="0" borderId="1" xfId="2" applyFont="1" applyBorder="1"/>
    <xf numFmtId="0" fontId="35" fillId="0" borderId="1" xfId="0" applyFont="1" applyBorder="1"/>
    <xf numFmtId="0" fontId="0" fillId="0" borderId="1" xfId="0" applyBorder="1" applyAlignment="1">
      <alignment horizontal="right"/>
    </xf>
    <xf numFmtId="178" fontId="22" fillId="0" borderId="1" xfId="2" applyFont="1" applyBorder="1" applyAlignment="1">
      <alignment horizontal="right"/>
    </xf>
    <xf numFmtId="0" fontId="0" fillId="0" borderId="142" xfId="0" applyBorder="1"/>
    <xf numFmtId="0" fontId="32" fillId="0" borderId="142" xfId="0" applyFont="1" applyBorder="1" applyAlignment="1">
      <alignment vertical="center"/>
    </xf>
    <xf numFmtId="0" fontId="32" fillId="0" borderId="142" xfId="0" applyFont="1" applyBorder="1"/>
    <xf numFmtId="0" fontId="0" fillId="0" borderId="142" xfId="0" applyBorder="1" applyAlignment="1">
      <alignment vertical="center"/>
    </xf>
    <xf numFmtId="178" fontId="32" fillId="0" borderId="142" xfId="2" applyFont="1" applyBorder="1"/>
    <xf numFmtId="178" fontId="0" fillId="11" borderId="7" xfId="2" applyNumberFormat="1" applyFont="1" applyFill="1" applyBorder="1"/>
    <xf numFmtId="0" fontId="0" fillId="5" borderId="0" xfId="0" applyFill="1" applyAlignment="1">
      <alignment vertical="center"/>
    </xf>
    <xf numFmtId="0" fontId="107" fillId="0" borderId="0" xfId="0" applyFont="1" applyBorder="1"/>
    <xf numFmtId="0" fontId="108" fillId="0" borderId="0" xfId="0" applyFont="1" applyBorder="1"/>
    <xf numFmtId="0" fontId="27" fillId="0" borderId="0" xfId="0" applyFont="1" applyBorder="1" applyAlignment="1">
      <alignment vertical="center"/>
    </xf>
    <xf numFmtId="0" fontId="56" fillId="0" borderId="0" xfId="0" applyFont="1" applyBorder="1"/>
    <xf numFmtId="0" fontId="26" fillId="9" borderId="0" xfId="0" applyFont="1" applyFill="1" applyBorder="1" applyAlignment="1">
      <alignment horizontal="left" vertical="center" indent="1"/>
    </xf>
    <xf numFmtId="0" fontId="0" fillId="57" borderId="27" xfId="0" applyFill="1" applyBorder="1"/>
    <xf numFmtId="0" fontId="25" fillId="6" borderId="0" xfId="0" applyFont="1" applyFill="1" applyBorder="1"/>
    <xf numFmtId="0" fontId="0" fillId="57" borderId="31" xfId="0" applyFill="1" applyBorder="1"/>
    <xf numFmtId="0" fontId="56" fillId="0" borderId="0" xfId="0" applyFont="1" applyBorder="1" applyAlignment="1">
      <alignment vertical="center"/>
    </xf>
    <xf numFmtId="0" fontId="0" fillId="57" borderId="27" xfId="0" applyFill="1" applyBorder="1" applyAlignment="1">
      <alignment vertical="center"/>
    </xf>
    <xf numFmtId="0" fontId="0" fillId="57" borderId="43" xfId="0" applyFill="1" applyBorder="1"/>
    <xf numFmtId="0" fontId="193" fillId="4" borderId="0" xfId="0" applyFont="1" applyFill="1" applyBorder="1"/>
    <xf numFmtId="0" fontId="42" fillId="0" borderId="0" xfId="4" applyNumberFormat="1" applyBorder="1"/>
    <xf numFmtId="10" fontId="22" fillId="4" borderId="0" xfId="0" applyNumberFormat="1" applyFont="1" applyFill="1" applyBorder="1" applyAlignment="1">
      <alignment vertical="center"/>
    </xf>
    <xf numFmtId="177" fontId="29" fillId="0" borderId="0" xfId="1" applyNumberFormat="1" applyFont="1"/>
    <xf numFmtId="0" fontId="57" fillId="4" borderId="0" xfId="4" applyNumberFormat="1" applyFont="1" applyFill="1" applyBorder="1"/>
    <xf numFmtId="0" fontId="42" fillId="57" borderId="33" xfId="4" applyNumberFormat="1" applyFill="1" applyBorder="1"/>
    <xf numFmtId="178" fontId="192" fillId="4" borderId="0" xfId="2" applyFont="1" applyFill="1" applyBorder="1" applyAlignment="1">
      <alignment vertical="center"/>
    </xf>
    <xf numFmtId="0" fontId="0" fillId="0" borderId="0" xfId="0" applyBorder="1" applyAlignment="1">
      <alignment horizontal="left" indent="1"/>
    </xf>
    <xf numFmtId="0" fontId="25" fillId="57" borderId="0" xfId="0" applyFont="1" applyFill="1" applyBorder="1"/>
    <xf numFmtId="0" fontId="0" fillId="4" borderId="116" xfId="0" applyFill="1" applyBorder="1" applyAlignment="1">
      <alignment vertical="center"/>
    </xf>
    <xf numFmtId="181" fontId="0" fillId="4" borderId="0" xfId="2" applyNumberFormat="1" applyFont="1" applyFill="1" applyBorder="1" applyAlignment="1">
      <alignment horizontal="left"/>
    </xf>
    <xf numFmtId="2" fontId="192" fillId="4" borderId="0" xfId="2" applyNumberFormat="1" applyFont="1" applyFill="1" applyBorder="1" applyAlignment="1">
      <alignment vertical="center"/>
    </xf>
    <xf numFmtId="2" fontId="23" fillId="4" borderId="0" xfId="2" applyNumberFormat="1" applyFont="1" applyFill="1" applyBorder="1" applyAlignment="1">
      <alignment vertical="center"/>
    </xf>
    <xf numFmtId="2" fontId="183" fillId="4" borderId="0" xfId="2" applyNumberFormat="1" applyFont="1" applyFill="1" applyBorder="1" applyAlignment="1">
      <alignment vertical="center"/>
    </xf>
    <xf numFmtId="0" fontId="194" fillId="7" borderId="0" xfId="0" applyFont="1" applyFill="1" applyBorder="1" applyAlignment="1">
      <alignment horizontal="left" vertical="center" indent="1"/>
    </xf>
    <xf numFmtId="184" fontId="195" fillId="4" borderId="40" xfId="1" applyFont="1" applyFill="1" applyBorder="1"/>
    <xf numFmtId="184" fontId="111" fillId="4" borderId="36" xfId="1" applyFont="1" applyFill="1" applyBorder="1" applyAlignment="1">
      <alignment vertical="center"/>
    </xf>
    <xf numFmtId="0" fontId="195" fillId="4" borderId="0" xfId="0" applyFont="1" applyFill="1" applyBorder="1" applyAlignment="1">
      <alignment horizontal="left" vertical="center"/>
    </xf>
    <xf numFmtId="0" fontId="195" fillId="4" borderId="0" xfId="0" applyFont="1" applyFill="1" applyBorder="1" applyAlignment="1">
      <alignment horizontal="left"/>
    </xf>
    <xf numFmtId="0" fontId="195" fillId="4" borderId="0" xfId="0" applyFont="1" applyFill="1" applyBorder="1" applyAlignment="1">
      <alignment horizontal="left" vertical="center" wrapText="1"/>
    </xf>
    <xf numFmtId="174" fontId="195" fillId="4" borderId="0" xfId="1" applyNumberFormat="1" applyFont="1" applyFill="1" applyBorder="1"/>
    <xf numFmtId="174" fontId="111" fillId="4" borderId="0" xfId="1" applyNumberFormat="1" applyFont="1" applyFill="1" applyBorder="1" applyAlignment="1">
      <alignment vertical="center"/>
    </xf>
    <xf numFmtId="0" fontId="32" fillId="0" borderId="0" xfId="0" applyFont="1" applyAlignment="1">
      <alignment horizontal="right" vertical="center"/>
    </xf>
    <xf numFmtId="178" fontId="32" fillId="0" borderId="143" xfId="2" applyFont="1" applyBorder="1" applyAlignment="1">
      <alignment vertical="center"/>
    </xf>
    <xf numFmtId="10" fontId="0" fillId="0" borderId="0" xfId="1" applyNumberFormat="1" applyFont="1" applyAlignment="1">
      <alignment horizontal="center"/>
    </xf>
    <xf numFmtId="0" fontId="0" fillId="0" borderId="0" xfId="0" applyFont="1" applyAlignment="1">
      <alignment horizontal="center"/>
    </xf>
    <xf numFmtId="184" fontId="111" fillId="4" borderId="0" xfId="1" applyFont="1" applyFill="1" applyBorder="1" applyAlignment="1">
      <alignment vertical="center"/>
    </xf>
    <xf numFmtId="174" fontId="0" fillId="15" borderId="0" xfId="0" applyNumberFormat="1" applyFill="1" applyBorder="1"/>
    <xf numFmtId="0" fontId="0" fillId="4" borderId="0" xfId="0" applyFill="1" applyBorder="1" applyAlignment="1">
      <alignment vertical="center" wrapText="1"/>
    </xf>
    <xf numFmtId="0" fontId="0" fillId="4" borderId="0" xfId="0" applyFill="1" applyBorder="1" applyAlignment="1">
      <alignment wrapText="1"/>
    </xf>
    <xf numFmtId="2" fontId="25" fillId="6" borderId="32" xfId="0" applyNumberFormat="1" applyFont="1" applyFill="1" applyBorder="1"/>
    <xf numFmtId="2" fontId="0" fillId="6" borderId="0" xfId="0" applyNumberFormat="1" applyFill="1" applyBorder="1" applyAlignment="1">
      <alignment vertical="center"/>
    </xf>
    <xf numFmtId="2" fontId="0" fillId="6" borderId="33" xfId="0" applyNumberFormat="1" applyFill="1" applyBorder="1"/>
    <xf numFmtId="1" fontId="25" fillId="4" borderId="32" xfId="0" applyNumberFormat="1" applyFont="1" applyFill="1" applyBorder="1"/>
    <xf numFmtId="1" fontId="32" fillId="4" borderId="0" xfId="0" applyNumberFormat="1" applyFont="1" applyFill="1"/>
    <xf numFmtId="1" fontId="32" fillId="4" borderId="0" xfId="2" applyNumberFormat="1" applyFont="1" applyFill="1" applyBorder="1" applyAlignment="1">
      <alignment vertical="center"/>
    </xf>
    <xf numFmtId="10" fontId="32" fillId="4" borderId="0" xfId="0" applyNumberFormat="1" applyFont="1" applyFill="1" applyBorder="1"/>
    <xf numFmtId="10" fontId="0" fillId="4" borderId="0" xfId="0" applyNumberFormat="1" applyFill="1"/>
    <xf numFmtId="10" fontId="32" fillId="4" borderId="116" xfId="0" applyNumberFormat="1" applyFont="1" applyFill="1" applyBorder="1"/>
    <xf numFmtId="10" fontId="0" fillId="4" borderId="116" xfId="0" applyNumberFormat="1" applyFill="1" applyBorder="1"/>
    <xf numFmtId="1" fontId="32" fillId="4" borderId="116" xfId="0" applyNumberFormat="1" applyFont="1" applyFill="1" applyBorder="1"/>
    <xf numFmtId="1" fontId="32" fillId="4" borderId="116" xfId="2" applyNumberFormat="1" applyFont="1" applyFill="1" applyBorder="1" applyAlignment="1">
      <alignment vertical="center"/>
    </xf>
    <xf numFmtId="2" fontId="32" fillId="0" borderId="0" xfId="0" applyNumberFormat="1" applyFont="1" applyAlignment="1">
      <alignment wrapText="1"/>
    </xf>
    <xf numFmtId="2" fontId="50" fillId="0" borderId="0" xfId="0" applyNumberFormat="1" applyFont="1" applyAlignment="1">
      <alignment wrapText="1"/>
    </xf>
    <xf numFmtId="0" fontId="0" fillId="0" borderId="0" xfId="0" applyFont="1" applyAlignment="1">
      <alignment wrapText="1"/>
    </xf>
    <xf numFmtId="2" fontId="22" fillId="0" borderId="0" xfId="0" applyNumberFormat="1" applyFont="1" applyAlignment="1">
      <alignment horizontal="center"/>
    </xf>
    <xf numFmtId="2" fontId="0" fillId="0" borderId="0" xfId="0" applyNumberFormat="1" applyAlignment="1">
      <alignment vertical="center"/>
    </xf>
    <xf numFmtId="2" fontId="23" fillId="0" borderId="0" xfId="2" applyNumberFormat="1" applyFont="1"/>
    <xf numFmtId="2" fontId="25" fillId="0" borderId="0" xfId="0" applyNumberFormat="1" applyFont="1"/>
    <xf numFmtId="2" fontId="22" fillId="6" borderId="0" xfId="0" applyNumberFormat="1" applyFont="1" applyFill="1" applyBorder="1" applyAlignment="1">
      <alignment vertical="center"/>
    </xf>
    <xf numFmtId="0" fontId="22" fillId="6" borderId="1" xfId="0" applyFont="1" applyFill="1" applyBorder="1" applyAlignment="1">
      <alignment vertical="center"/>
    </xf>
    <xf numFmtId="0" fontId="38" fillId="19" borderId="0" xfId="0" applyFont="1" applyFill="1" applyBorder="1" applyAlignment="1">
      <alignment vertical="center"/>
    </xf>
    <xf numFmtId="0" fontId="32" fillId="10" borderId="25" xfId="0" applyFont="1" applyFill="1" applyBorder="1"/>
    <xf numFmtId="204" fontId="22" fillId="6" borderId="0" xfId="2" applyNumberFormat="1" applyFont="1" applyFill="1" applyBorder="1" applyAlignment="1">
      <alignment vertical="center"/>
    </xf>
    <xf numFmtId="204" fontId="0" fillId="6" borderId="0" xfId="2" applyNumberFormat="1" applyFont="1" applyFill="1" applyBorder="1" applyAlignment="1">
      <alignment vertical="center"/>
    </xf>
    <xf numFmtId="204" fontId="0" fillId="6" borderId="33" xfId="0" applyNumberFormat="1" applyFill="1" applyBorder="1"/>
    <xf numFmtId="0" fontId="0" fillId="4" borderId="7" xfId="0" applyFill="1" applyBorder="1" applyAlignment="1">
      <alignment vertical="center" wrapText="1"/>
    </xf>
    <xf numFmtId="0" fontId="0" fillId="4" borderId="10" xfId="0" applyFill="1" applyBorder="1" applyAlignment="1">
      <alignment vertical="center" wrapText="1"/>
    </xf>
    <xf numFmtId="9" fontId="0" fillId="4" borderId="14" xfId="7" applyNumberFormat="1" applyFont="1" applyFill="1" applyBorder="1" applyAlignment="1">
      <alignment vertical="center"/>
    </xf>
    <xf numFmtId="0" fontId="107" fillId="0" borderId="0" xfId="1047" applyFont="1" applyBorder="1"/>
    <xf numFmtId="0" fontId="108" fillId="0" borderId="0" xfId="1047" applyFont="1" applyBorder="1"/>
    <xf numFmtId="0" fontId="108" fillId="0" borderId="0" xfId="1047" applyFont="1"/>
    <xf numFmtId="0" fontId="23" fillId="0" borderId="0" xfId="1047"/>
    <xf numFmtId="0" fontId="23" fillId="0" borderId="0" xfId="1047" applyBorder="1"/>
    <xf numFmtId="0" fontId="9" fillId="0" borderId="0" xfId="1048" applyBorder="1"/>
    <xf numFmtId="0" fontId="9" fillId="0" borderId="0" xfId="1048"/>
    <xf numFmtId="0" fontId="197" fillId="0" borderId="0" xfId="1047" applyFont="1" applyBorder="1"/>
    <xf numFmtId="0" fontId="26" fillId="9" borderId="26" xfId="1048" applyFont="1" applyFill="1" applyBorder="1" applyAlignment="1">
      <alignment horizontal="left" vertical="center" indent="1"/>
    </xf>
    <xf numFmtId="0" fontId="32" fillId="9" borderId="25" xfId="1048" applyFont="1" applyFill="1" applyBorder="1"/>
    <xf numFmtId="0" fontId="9" fillId="9" borderId="25" xfId="1048" applyFill="1" applyBorder="1"/>
    <xf numFmtId="0" fontId="9" fillId="9" borderId="25" xfId="1048" applyFill="1" applyBorder="1" applyAlignment="1">
      <alignment horizontal="right"/>
    </xf>
    <xf numFmtId="0" fontId="9" fillId="9" borderId="0" xfId="1048" applyFill="1" applyBorder="1"/>
    <xf numFmtId="0" fontId="9" fillId="6" borderId="32" xfId="1048" applyFill="1" applyBorder="1"/>
    <xf numFmtId="0" fontId="9" fillId="6" borderId="0" xfId="1048" applyFont="1" applyFill="1" applyBorder="1"/>
    <xf numFmtId="0" fontId="9" fillId="6" borderId="0" xfId="1048" applyFill="1" applyBorder="1"/>
    <xf numFmtId="0" fontId="9" fillId="6" borderId="0" xfId="1048" applyFill="1" applyBorder="1" applyAlignment="1">
      <alignment horizontal="right"/>
    </xf>
    <xf numFmtId="0" fontId="27" fillId="0" borderId="0" xfId="1047" applyFont="1" applyBorder="1" applyAlignment="1">
      <alignment vertical="center"/>
    </xf>
    <xf numFmtId="0" fontId="25" fillId="6" borderId="32" xfId="1048" applyFont="1" applyFill="1" applyBorder="1"/>
    <xf numFmtId="0" fontId="32" fillId="6" borderId="9" xfId="1048" applyFont="1" applyFill="1" applyBorder="1" applyAlignment="1">
      <alignment vertical="center"/>
    </xf>
    <xf numFmtId="0" fontId="9" fillId="6" borderId="14" xfId="1048" applyFill="1" applyBorder="1" applyAlignment="1">
      <alignment vertical="center"/>
    </xf>
    <xf numFmtId="0" fontId="25" fillId="6" borderId="30" xfId="1048" applyFont="1" applyFill="1" applyBorder="1"/>
    <xf numFmtId="0" fontId="9" fillId="6" borderId="23" xfId="1048" applyFill="1" applyBorder="1" applyAlignment="1">
      <alignment vertical="center"/>
    </xf>
    <xf numFmtId="0" fontId="9" fillId="6" borderId="23" xfId="1048" applyFill="1" applyBorder="1"/>
    <xf numFmtId="0" fontId="27" fillId="0" borderId="0" xfId="1047" applyFont="1" applyAlignment="1">
      <alignment vertical="center"/>
    </xf>
    <xf numFmtId="0" fontId="23" fillId="0" borderId="0" xfId="1047" applyAlignment="1">
      <alignment vertical="center"/>
    </xf>
    <xf numFmtId="0" fontId="23" fillId="0" borderId="0" xfId="1047" applyBorder="1" applyAlignment="1">
      <alignment vertical="center"/>
    </xf>
    <xf numFmtId="0" fontId="56" fillId="0" borderId="0" xfId="1047" applyFont="1" applyBorder="1" applyAlignment="1">
      <alignment vertical="center"/>
    </xf>
    <xf numFmtId="0" fontId="26" fillId="7" borderId="0" xfId="1047" applyFont="1" applyFill="1" applyBorder="1" applyAlignment="1">
      <alignment horizontal="left" vertical="center" indent="1"/>
    </xf>
    <xf numFmtId="0" fontId="23" fillId="7" borderId="25" xfId="1047" applyFill="1" applyBorder="1" applyAlignment="1">
      <alignment vertical="center"/>
    </xf>
    <xf numFmtId="0" fontId="23" fillId="7" borderId="0" xfId="1047" applyFill="1" applyBorder="1" applyAlignment="1">
      <alignment vertical="center"/>
    </xf>
    <xf numFmtId="0" fontId="23" fillId="4" borderId="0" xfId="1047" applyFill="1" applyBorder="1"/>
    <xf numFmtId="0" fontId="32" fillId="4" borderId="0" xfId="1047" applyFont="1" applyFill="1" applyBorder="1"/>
    <xf numFmtId="0" fontId="23" fillId="4" borderId="0" xfId="1047" applyFill="1" applyBorder="1" applyAlignment="1">
      <alignment horizontal="right"/>
    </xf>
    <xf numFmtId="0" fontId="25" fillId="4" borderId="0" xfId="1047" applyFont="1" applyFill="1" applyBorder="1"/>
    <xf numFmtId="0" fontId="23" fillId="4" borderId="0" xfId="1047" applyNumberFormat="1" applyFill="1" applyBorder="1" applyAlignment="1">
      <alignment vertical="center"/>
    </xf>
    <xf numFmtId="0" fontId="23" fillId="4" borderId="0" xfId="1047" applyFill="1" applyBorder="1" applyAlignment="1">
      <alignment vertical="center"/>
    </xf>
    <xf numFmtId="9" fontId="23" fillId="4" borderId="0" xfId="1047" applyNumberFormat="1" applyFill="1" applyBorder="1" applyAlignment="1">
      <alignment vertical="center"/>
    </xf>
    <xf numFmtId="9" fontId="23" fillId="4" borderId="1" xfId="1047" applyNumberFormat="1" applyFill="1" applyBorder="1" applyAlignment="1">
      <alignment vertical="center"/>
    </xf>
    <xf numFmtId="0" fontId="23" fillId="4" borderId="1" xfId="1047" applyNumberFormat="1" applyFill="1" applyBorder="1" applyAlignment="1">
      <alignment vertical="center"/>
    </xf>
    <xf numFmtId="0" fontId="23" fillId="4" borderId="1" xfId="1047" applyFill="1" applyBorder="1" applyAlignment="1">
      <alignment vertical="center"/>
    </xf>
    <xf numFmtId="0" fontId="9" fillId="0" borderId="1" xfId="1048" applyBorder="1"/>
    <xf numFmtId="0" fontId="23" fillId="4" borderId="1" xfId="1047" applyFill="1" applyBorder="1"/>
    <xf numFmtId="180" fontId="23" fillId="4" borderId="0" xfId="1049" applyNumberFormat="1" applyFont="1" applyFill="1" applyBorder="1" applyAlignment="1">
      <alignment vertical="center"/>
    </xf>
    <xf numFmtId="180" fontId="23" fillId="4" borderId="0" xfId="1049" applyNumberFormat="1" applyFont="1" applyFill="1" applyBorder="1" applyAlignment="1">
      <alignment horizontal="right" vertical="center"/>
    </xf>
    <xf numFmtId="0" fontId="25" fillId="57" borderId="0" xfId="1047" applyFont="1" applyFill="1" applyBorder="1"/>
    <xf numFmtId="0" fontId="30" fillId="4" borderId="46" xfId="1047" applyFont="1" applyFill="1" applyBorder="1" applyAlignment="1">
      <alignment horizontal="right" vertical="center"/>
    </xf>
    <xf numFmtId="0" fontId="30" fillId="4" borderId="46" xfId="1047" applyFont="1" applyFill="1" applyBorder="1" applyAlignment="1">
      <alignment vertical="center"/>
    </xf>
    <xf numFmtId="0" fontId="30" fillId="4" borderId="46" xfId="1047" applyNumberFormat="1" applyFont="1" applyFill="1" applyBorder="1" applyAlignment="1">
      <alignment horizontal="right" vertical="center"/>
    </xf>
    <xf numFmtId="0" fontId="30" fillId="4" borderId="47" xfId="1047" applyNumberFormat="1" applyFont="1" applyFill="1" applyBorder="1" applyAlignment="1">
      <alignment horizontal="right" vertical="center"/>
    </xf>
    <xf numFmtId="0" fontId="30" fillId="4" borderId="0" xfId="1047" applyNumberFormat="1" applyFont="1" applyFill="1" applyBorder="1" applyAlignment="1">
      <alignment horizontal="right" vertical="center"/>
    </xf>
    <xf numFmtId="0" fontId="22" fillId="4" borderId="116" xfId="1047" applyFont="1" applyFill="1" applyBorder="1" applyAlignment="1">
      <alignment horizontal="right" vertical="center"/>
    </xf>
    <xf numFmtId="0" fontId="198" fillId="4" borderId="116" xfId="1047" applyFont="1" applyFill="1" applyBorder="1" applyAlignment="1">
      <alignment vertical="center"/>
    </xf>
    <xf numFmtId="179" fontId="38" fillId="4" borderId="116" xfId="1049" applyNumberFormat="1" applyFont="1" applyFill="1" applyBorder="1" applyAlignment="1">
      <alignment vertical="center"/>
    </xf>
    <xf numFmtId="179" fontId="38" fillId="4" borderId="0" xfId="1049" applyNumberFormat="1" applyFont="1" applyFill="1" applyBorder="1" applyAlignment="1">
      <alignment vertical="center"/>
    </xf>
    <xf numFmtId="9" fontId="38" fillId="4" borderId="116" xfId="1049" applyNumberFormat="1" applyFont="1" applyFill="1" applyBorder="1" applyAlignment="1">
      <alignment vertical="center"/>
    </xf>
    <xf numFmtId="205" fontId="38" fillId="4" borderId="116" xfId="1049" applyNumberFormat="1" applyFont="1" applyFill="1" applyBorder="1" applyAlignment="1">
      <alignment vertical="center"/>
    </xf>
    <xf numFmtId="9" fontId="38" fillId="4" borderId="0" xfId="1049" applyNumberFormat="1" applyFont="1" applyFill="1" applyBorder="1" applyAlignment="1">
      <alignment vertical="center"/>
    </xf>
    <xf numFmtId="184" fontId="32" fillId="4" borderId="0" xfId="1050" applyFont="1" applyFill="1" applyBorder="1" applyAlignment="1">
      <alignment horizontal="left" vertical="center"/>
    </xf>
    <xf numFmtId="184" fontId="32" fillId="4" borderId="0" xfId="1050" applyFont="1" applyFill="1" applyBorder="1" applyAlignment="1">
      <alignment horizontal="right" vertical="center"/>
    </xf>
    <xf numFmtId="184" fontId="23" fillId="4" borderId="0" xfId="1050" applyFont="1" applyFill="1" applyBorder="1" applyAlignment="1">
      <alignment horizontal="right" vertical="center"/>
    </xf>
    <xf numFmtId="184" fontId="38" fillId="4" borderId="0" xfId="1050" applyFont="1" applyFill="1" applyBorder="1" applyAlignment="1">
      <alignment vertical="center"/>
    </xf>
    <xf numFmtId="0" fontId="22" fillId="4" borderId="0" xfId="1047" applyFont="1" applyFill="1" applyBorder="1" applyAlignment="1">
      <alignment horizontal="right" vertical="center"/>
    </xf>
    <xf numFmtId="0" fontId="198" fillId="4" borderId="0" xfId="1047" applyFont="1" applyFill="1" applyBorder="1" applyAlignment="1">
      <alignment vertical="center"/>
    </xf>
    <xf numFmtId="3" fontId="38" fillId="4" borderId="0" xfId="1049" applyNumberFormat="1" applyFont="1" applyFill="1" applyBorder="1" applyAlignment="1">
      <alignment vertical="center"/>
    </xf>
    <xf numFmtId="1" fontId="23" fillId="4" borderId="1" xfId="1047" applyNumberFormat="1" applyFill="1" applyBorder="1"/>
    <xf numFmtId="179" fontId="38" fillId="4" borderId="1" xfId="1049" applyNumberFormat="1" applyFont="1" applyFill="1" applyBorder="1" applyAlignment="1">
      <alignment vertical="center"/>
    </xf>
    <xf numFmtId="184" fontId="0" fillId="4" borderId="0" xfId="1050" applyFont="1" applyFill="1" applyBorder="1" applyAlignment="1">
      <alignment horizontal="right" vertical="center"/>
    </xf>
    <xf numFmtId="0" fontId="22" fillId="4" borderId="118" xfId="1047" applyFont="1" applyFill="1" applyBorder="1" applyAlignment="1">
      <alignment horizontal="right" vertical="center"/>
    </xf>
    <xf numFmtId="0" fontId="198" fillId="4" borderId="118" xfId="1047" applyFont="1" applyFill="1" applyBorder="1" applyAlignment="1">
      <alignment vertical="center"/>
    </xf>
    <xf numFmtId="0" fontId="22" fillId="4" borderId="1" xfId="1047" applyFont="1" applyFill="1" applyBorder="1" applyAlignment="1">
      <alignment horizontal="right" vertical="center"/>
    </xf>
    <xf numFmtId="0" fontId="198" fillId="4" borderId="1" xfId="1047" applyFont="1" applyFill="1" applyBorder="1" applyAlignment="1">
      <alignment vertical="center"/>
    </xf>
    <xf numFmtId="181" fontId="23" fillId="4" borderId="0" xfId="1049" applyNumberFormat="1" applyFont="1" applyFill="1" applyAlignment="1">
      <alignment horizontal="left"/>
    </xf>
    <xf numFmtId="0" fontId="102" fillId="4" borderId="46" xfId="1047" applyNumberFormat="1" applyFont="1" applyFill="1" applyBorder="1" applyAlignment="1">
      <alignment horizontal="right" vertical="center"/>
    </xf>
    <xf numFmtId="0" fontId="9" fillId="4" borderId="0" xfId="1048" applyFill="1" applyBorder="1"/>
    <xf numFmtId="0" fontId="23" fillId="4" borderId="118" xfId="1047" applyFill="1" applyBorder="1"/>
    <xf numFmtId="177" fontId="29" fillId="0" borderId="0" xfId="1050" applyNumberFormat="1" applyFont="1" applyBorder="1"/>
    <xf numFmtId="0" fontId="9" fillId="4" borderId="1" xfId="1048" applyFill="1" applyBorder="1"/>
    <xf numFmtId="9" fontId="38" fillId="4" borderId="0" xfId="1047" applyNumberFormat="1" applyFont="1" applyFill="1" applyBorder="1" applyAlignment="1">
      <alignment vertical="center"/>
    </xf>
    <xf numFmtId="183" fontId="38" fillId="4" borderId="0" xfId="1049" applyNumberFormat="1" applyFont="1" applyFill="1" applyBorder="1" applyAlignment="1">
      <alignment vertical="center"/>
    </xf>
    <xf numFmtId="0" fontId="30" fillId="4" borderId="0" xfId="1047" applyFont="1" applyFill="1" applyBorder="1" applyAlignment="1">
      <alignment vertical="center"/>
    </xf>
    <xf numFmtId="9" fontId="9" fillId="4" borderId="0" xfId="1048" applyNumberFormat="1" applyFill="1"/>
    <xf numFmtId="0" fontId="23" fillId="4" borderId="116" xfId="1047" applyNumberFormat="1" applyFill="1" applyBorder="1" applyAlignment="1">
      <alignment vertical="center"/>
    </xf>
    <xf numFmtId="0" fontId="110" fillId="4" borderId="116" xfId="1047" applyFont="1" applyFill="1" applyBorder="1" applyAlignment="1">
      <alignment vertical="center"/>
    </xf>
    <xf numFmtId="203" fontId="38" fillId="4" borderId="116" xfId="1049" applyNumberFormat="1" applyFont="1" applyFill="1" applyBorder="1" applyAlignment="1">
      <alignment vertical="center"/>
    </xf>
    <xf numFmtId="0" fontId="102" fillId="4" borderId="9" xfId="1047" applyNumberFormat="1" applyFont="1" applyFill="1" applyBorder="1" applyAlignment="1">
      <alignment horizontal="right" vertical="center"/>
    </xf>
    <xf numFmtId="0" fontId="110" fillId="4" borderId="0" xfId="1047" applyFont="1" applyFill="1" applyBorder="1" applyAlignment="1">
      <alignment vertical="center"/>
    </xf>
    <xf numFmtId="203" fontId="38" fillId="4" borderId="0" xfId="1049" applyNumberFormat="1" applyFont="1" applyFill="1" applyBorder="1" applyAlignment="1">
      <alignment vertical="center"/>
    </xf>
    <xf numFmtId="0" fontId="23" fillId="0" borderId="0" xfId="1047" applyBorder="1" applyAlignment="1">
      <alignment horizontal="left" indent="1"/>
    </xf>
    <xf numFmtId="0" fontId="23" fillId="0" borderId="0" xfId="1047" applyFill="1" applyBorder="1"/>
    <xf numFmtId="0" fontId="23" fillId="0" borderId="0" xfId="1047" applyFill="1" applyBorder="1" applyAlignment="1"/>
    <xf numFmtId="0" fontId="23" fillId="57" borderId="0" xfId="1047" applyFill="1" applyBorder="1"/>
    <xf numFmtId="179" fontId="23" fillId="57" borderId="0" xfId="1049" applyNumberFormat="1" applyFont="1" applyFill="1" applyBorder="1"/>
    <xf numFmtId="0" fontId="23" fillId="57" borderId="0" xfId="1047" applyFill="1" applyBorder="1" applyAlignment="1">
      <alignment vertical="center"/>
    </xf>
    <xf numFmtId="179" fontId="38" fillId="57" borderId="0" xfId="1049" applyNumberFormat="1" applyFont="1" applyFill="1" applyBorder="1" applyAlignment="1">
      <alignment vertical="center"/>
    </xf>
    <xf numFmtId="179" fontId="22" fillId="57" borderId="0" xfId="1049" applyNumberFormat="1" applyFont="1" applyFill="1" applyBorder="1" applyAlignment="1">
      <alignment horizontal="right"/>
    </xf>
    <xf numFmtId="179" fontId="32" fillId="57" borderId="0" xfId="1049" applyNumberFormat="1" applyFont="1" applyFill="1" applyBorder="1" applyAlignment="1">
      <alignment horizontal="right"/>
    </xf>
    <xf numFmtId="0" fontId="23" fillId="57" borderId="0" xfId="1047" applyFill="1" applyBorder="1" applyAlignment="1"/>
    <xf numFmtId="0" fontId="9" fillId="57" borderId="0" xfId="1048" applyFill="1"/>
    <xf numFmtId="0" fontId="23" fillId="0" borderId="0" xfId="1047" applyFill="1" applyBorder="1" applyAlignment="1">
      <alignment horizontal="left" indent="1"/>
    </xf>
    <xf numFmtId="0" fontId="23" fillId="0" borderId="0" xfId="1047" applyFill="1"/>
    <xf numFmtId="0" fontId="23" fillId="0" borderId="0" xfId="1047" applyFill="1" applyBorder="1" applyAlignment="1">
      <alignment vertical="center"/>
    </xf>
    <xf numFmtId="0" fontId="46" fillId="0" borderId="0" xfId="1047" applyFont="1" applyBorder="1"/>
    <xf numFmtId="0" fontId="199" fillId="0" borderId="0" xfId="1047" applyFont="1" applyBorder="1"/>
    <xf numFmtId="0" fontId="110" fillId="0" borderId="0" xfId="1047" applyFont="1" applyBorder="1"/>
    <xf numFmtId="0" fontId="110" fillId="0" borderId="0" xfId="1047" applyFont="1"/>
    <xf numFmtId="0" fontId="23" fillId="0" borderId="0" xfId="1047" applyFont="1" applyBorder="1"/>
    <xf numFmtId="0" fontId="200" fillId="0" borderId="0" xfId="1048" applyFont="1" applyBorder="1"/>
    <xf numFmtId="0" fontId="179" fillId="0" borderId="0" xfId="1048" applyFont="1" applyBorder="1"/>
    <xf numFmtId="0" fontId="9" fillId="0" borderId="0" xfId="1048" applyFont="1"/>
    <xf numFmtId="179" fontId="9" fillId="0" borderId="0" xfId="1048" applyNumberFormat="1"/>
    <xf numFmtId="0" fontId="9" fillId="0" borderId="0" xfId="1048" applyFont="1" applyAlignment="1">
      <alignment horizontal="right"/>
    </xf>
    <xf numFmtId="9" fontId="9" fillId="0" borderId="0" xfId="1048" applyNumberFormat="1"/>
    <xf numFmtId="0" fontId="9" fillId="0" borderId="0" xfId="1048" applyAlignment="1">
      <alignment horizontal="right" vertical="center"/>
    </xf>
    <xf numFmtId="0" fontId="9" fillId="0" borderId="0" xfId="1048" applyAlignment="1">
      <alignment horizontal="right"/>
    </xf>
    <xf numFmtId="174" fontId="9" fillId="0" borderId="0" xfId="1048" applyNumberFormat="1"/>
    <xf numFmtId="179" fontId="22" fillId="0" borderId="0" xfId="1049" applyNumberFormat="1" applyFont="1" applyFill="1" applyBorder="1" applyAlignment="1">
      <alignment horizontal="right"/>
    </xf>
    <xf numFmtId="2" fontId="9" fillId="0" borderId="0" xfId="1048" applyNumberFormat="1"/>
    <xf numFmtId="1" fontId="9" fillId="0" borderId="0" xfId="1048" applyNumberFormat="1"/>
    <xf numFmtId="179" fontId="38" fillId="0" borderId="0" xfId="1049" applyNumberFormat="1" applyFont="1" applyFill="1" applyBorder="1" applyAlignment="1">
      <alignment vertical="center"/>
    </xf>
    <xf numFmtId="0" fontId="23" fillId="0" borderId="0" xfId="1047" applyFont="1" applyFill="1" applyBorder="1"/>
    <xf numFmtId="179" fontId="23" fillId="0" borderId="0" xfId="1049" applyNumberFormat="1" applyFont="1" applyFill="1" applyBorder="1"/>
    <xf numFmtId="179" fontId="23" fillId="0" borderId="0" xfId="1049" applyNumberFormat="1" applyFont="1" applyFill="1" applyBorder="1" applyAlignment="1">
      <alignment horizontal="right"/>
    </xf>
    <xf numFmtId="203" fontId="9" fillId="0" borderId="0" xfId="1048" applyNumberFormat="1"/>
    <xf numFmtId="0" fontId="30" fillId="0" borderId="0" xfId="1047" applyFont="1" applyFill="1" applyBorder="1" applyAlignment="1">
      <alignment horizontal="right"/>
    </xf>
    <xf numFmtId="0" fontId="35" fillId="0" borderId="0" xfId="1047" applyFont="1" applyFill="1" applyBorder="1"/>
    <xf numFmtId="0" fontId="179" fillId="0" borderId="0" xfId="1048" applyFont="1"/>
    <xf numFmtId="0" fontId="35" fillId="0" borderId="0" xfId="1047" applyFont="1" applyFill="1" applyBorder="1" applyAlignment="1">
      <alignment vertical="center"/>
    </xf>
    <xf numFmtId="179" fontId="201" fillId="0" borderId="0" xfId="1049" applyNumberFormat="1" applyFont="1" applyFill="1" applyBorder="1" applyAlignment="1">
      <alignment vertical="center"/>
    </xf>
    <xf numFmtId="0" fontId="110" fillId="0" borderId="0" xfId="1047" applyFont="1" applyFill="1" applyBorder="1"/>
    <xf numFmtId="0" fontId="110" fillId="0" borderId="0" xfId="1047" applyFont="1" applyFill="1" applyBorder="1" applyAlignment="1">
      <alignment vertical="center"/>
    </xf>
    <xf numFmtId="1" fontId="9" fillId="0" borderId="0" xfId="1048" applyNumberFormat="1" applyFont="1"/>
    <xf numFmtId="0" fontId="32" fillId="0" borderId="0" xfId="1047" applyFont="1" applyBorder="1"/>
    <xf numFmtId="0" fontId="32" fillId="0" borderId="0" xfId="1047" applyFont="1" applyFill="1" applyBorder="1"/>
    <xf numFmtId="0" fontId="9" fillId="9" borderId="27" xfId="1048" applyFill="1" applyBorder="1"/>
    <xf numFmtId="0" fontId="9" fillId="6" borderId="33" xfId="1048" applyFill="1" applyBorder="1"/>
    <xf numFmtId="0" fontId="32" fillId="6" borderId="0" xfId="1048" applyFont="1" applyFill="1" applyBorder="1"/>
    <xf numFmtId="0" fontId="22" fillId="6" borderId="0" xfId="1048" applyFont="1" applyFill="1" applyBorder="1" applyAlignment="1">
      <alignment vertical="center"/>
    </xf>
    <xf numFmtId="0" fontId="9" fillId="6" borderId="0" xfId="1048" applyFill="1" applyBorder="1" applyAlignment="1">
      <alignment vertical="center"/>
    </xf>
    <xf numFmtId="0" fontId="9" fillId="6" borderId="0" xfId="1048" applyFont="1" applyFill="1" applyBorder="1" applyAlignment="1">
      <alignment vertical="center"/>
    </xf>
    <xf numFmtId="0" fontId="28" fillId="6" borderId="0" xfId="0" applyNumberFormat="1" applyFont="1" applyFill="1" applyBorder="1" applyAlignment="1" applyProtection="1">
      <alignment vertical="center"/>
    </xf>
    <xf numFmtId="178" fontId="28" fillId="6" borderId="0" xfId="0" applyNumberFormat="1" applyFont="1" applyFill="1" applyBorder="1" applyAlignment="1" applyProtection="1">
      <alignment vertical="center"/>
    </xf>
    <xf numFmtId="178" fontId="9" fillId="6" borderId="0" xfId="1048" applyNumberFormat="1" applyFont="1" applyFill="1" applyBorder="1" applyAlignment="1">
      <alignment vertical="center"/>
    </xf>
    <xf numFmtId="0" fontId="56" fillId="0" borderId="0" xfId="1047" applyFont="1" applyBorder="1"/>
    <xf numFmtId="0" fontId="25" fillId="0" borderId="0" xfId="1047" applyFont="1" applyBorder="1"/>
    <xf numFmtId="178" fontId="9" fillId="6" borderId="0" xfId="1048" applyNumberFormat="1" applyFill="1" applyBorder="1"/>
    <xf numFmtId="0" fontId="0" fillId="4" borderId="0" xfId="0" applyNumberFormat="1" applyFill="1" applyBorder="1" applyAlignment="1">
      <alignment horizontal="center" vertical="center"/>
    </xf>
    <xf numFmtId="184" fontId="38" fillId="4" borderId="14" xfId="1" applyFont="1" applyFill="1" applyBorder="1" applyAlignment="1">
      <alignment vertical="center"/>
    </xf>
    <xf numFmtId="0" fontId="30" fillId="6" borderId="11" xfId="0" applyNumberFormat="1" applyFont="1" applyFill="1" applyBorder="1" applyAlignment="1">
      <alignment horizontal="left" vertical="center"/>
    </xf>
    <xf numFmtId="0" fontId="30" fillId="19" borderId="11" xfId="0" applyNumberFormat="1" applyFont="1" applyFill="1" applyBorder="1" applyAlignment="1">
      <alignment horizontal="left" vertical="center"/>
    </xf>
    <xf numFmtId="0" fontId="0" fillId="4" borderId="0" xfId="0" applyNumberFormat="1" applyFill="1" applyBorder="1" applyAlignment="1">
      <alignment horizontal="center" vertical="center"/>
    </xf>
    <xf numFmtId="1" fontId="0" fillId="0" borderId="0" xfId="1" applyNumberFormat="1" applyFont="1" applyFill="1" applyBorder="1" applyAlignment="1">
      <alignment horizontal="center" vertical="center"/>
    </xf>
    <xf numFmtId="9" fontId="202" fillId="0" borderId="0" xfId="0" applyNumberFormat="1" applyFont="1" applyFill="1" applyBorder="1"/>
    <xf numFmtId="9" fontId="202" fillId="0" borderId="144" xfId="0" applyNumberFormat="1" applyFont="1" applyFill="1" applyBorder="1"/>
    <xf numFmtId="0" fontId="32" fillId="0" borderId="0" xfId="1043" applyFont="1" applyFill="1" applyBorder="1" applyAlignment="1">
      <alignment vertical="center"/>
    </xf>
    <xf numFmtId="0" fontId="23" fillId="0" borderId="0" xfId="1043" applyFont="1" applyFill="1" applyBorder="1"/>
    <xf numFmtId="179" fontId="23" fillId="0" borderId="0" xfId="1043" applyNumberFormat="1" applyFont="1" applyFill="1" applyBorder="1"/>
    <xf numFmtId="0" fontId="23" fillId="0" borderId="0" xfId="1043" applyFont="1" applyFill="1"/>
    <xf numFmtId="0" fontId="13" fillId="0" borderId="0" xfId="1043" applyFont="1" applyFill="1"/>
    <xf numFmtId="0" fontId="23" fillId="0" borderId="0" xfId="1043" applyFont="1" applyFill="1" applyBorder="1" applyAlignment="1">
      <alignment horizontal="center"/>
    </xf>
    <xf numFmtId="178" fontId="0" fillId="4" borderId="46" xfId="2" applyNumberFormat="1" applyFont="1" applyFill="1" applyBorder="1" applyAlignment="1">
      <alignment horizontal="right" vertical="center"/>
    </xf>
    <xf numFmtId="174" fontId="0" fillId="4" borderId="46" xfId="2" applyNumberFormat="1" applyFont="1" applyFill="1" applyBorder="1" applyAlignment="1">
      <alignment vertical="center"/>
    </xf>
    <xf numFmtId="0" fontId="0" fillId="0" borderId="0" xfId="0" applyAlignment="1">
      <alignment horizontal="center"/>
    </xf>
    <xf numFmtId="0" fontId="0" fillId="0" borderId="145" xfId="0" applyBorder="1"/>
    <xf numFmtId="0" fontId="0" fillId="0" borderId="146" xfId="0" applyBorder="1"/>
    <xf numFmtId="191" fontId="0" fillId="0" borderId="147" xfId="2" applyNumberFormat="1" applyFont="1" applyBorder="1"/>
    <xf numFmtId="1" fontId="0" fillId="4" borderId="0" xfId="0" applyNumberFormat="1" applyFill="1" applyAlignment="1">
      <alignment horizontal="right"/>
    </xf>
    <xf numFmtId="181" fontId="0" fillId="15" borderId="46" xfId="2" applyNumberFormat="1" applyFont="1" applyFill="1" applyBorder="1" applyAlignment="1">
      <alignment vertical="center"/>
    </xf>
    <xf numFmtId="0" fontId="30" fillId="15" borderId="9" xfId="0" applyNumberFormat="1" applyFont="1" applyFill="1" applyBorder="1" applyAlignment="1">
      <alignment horizontal="right" vertical="center"/>
    </xf>
    <xf numFmtId="178" fontId="190" fillId="2" borderId="0" xfId="0" applyNumberFormat="1" applyFont="1" applyFill="1" applyBorder="1" applyAlignment="1">
      <alignment vertical="center"/>
    </xf>
    <xf numFmtId="0" fontId="0" fillId="18" borderId="0" xfId="0" applyFill="1"/>
    <xf numFmtId="0" fontId="126" fillId="18" borderId="25" xfId="0" applyFont="1" applyFill="1" applyBorder="1"/>
    <xf numFmtId="178" fontId="22" fillId="6" borderId="1" xfId="2" applyFont="1" applyFill="1" applyBorder="1" applyAlignment="1">
      <alignment vertical="center"/>
    </xf>
    <xf numFmtId="0" fontId="0" fillId="4" borderId="0" xfId="0" applyNumberFormat="1" applyFill="1" applyBorder="1" applyAlignment="1">
      <alignment horizontal="right"/>
    </xf>
    <xf numFmtId="0" fontId="0" fillId="4" borderId="118" xfId="0" applyNumberFormat="1" applyFill="1" applyBorder="1" applyAlignment="1">
      <alignment horizontal="right"/>
    </xf>
    <xf numFmtId="0" fontId="0" fillId="4" borderId="1" xfId="0" applyNumberFormat="1" applyFill="1" applyBorder="1" applyAlignment="1">
      <alignment horizontal="right"/>
    </xf>
    <xf numFmtId="0" fontId="42" fillId="4" borderId="0" xfId="4" applyNumberFormat="1" applyFill="1"/>
    <xf numFmtId="177" fontId="0" fillId="0" borderId="0" xfId="1" applyNumberFormat="1" applyFont="1"/>
    <xf numFmtId="0" fontId="48" fillId="0" borderId="0" xfId="0" applyFont="1"/>
    <xf numFmtId="0" fontId="0" fillId="4" borderId="16" xfId="0" applyNumberFormat="1" applyFill="1" applyBorder="1" applyAlignment="1">
      <alignment horizontal="center" vertical="center"/>
    </xf>
    <xf numFmtId="0" fontId="0" fillId="4" borderId="16" xfId="0" applyFill="1" applyBorder="1" applyAlignment="1">
      <alignment vertical="center"/>
    </xf>
    <xf numFmtId="181" fontId="0" fillId="4" borderId="16" xfId="2" applyNumberFormat="1" applyFont="1" applyFill="1" applyBorder="1" applyAlignment="1">
      <alignment vertical="center"/>
    </xf>
    <xf numFmtId="181" fontId="0" fillId="4" borderId="17" xfId="2" applyNumberFormat="1" applyFont="1" applyFill="1" applyBorder="1" applyAlignment="1">
      <alignment vertical="center"/>
    </xf>
    <xf numFmtId="0" fontId="30" fillId="4" borderId="8" xfId="0" applyFont="1" applyFill="1" applyBorder="1" applyAlignment="1">
      <alignment vertical="center"/>
    </xf>
    <xf numFmtId="0" fontId="30" fillId="4" borderId="8" xfId="0" applyNumberFormat="1" applyFont="1" applyFill="1" applyBorder="1" applyAlignment="1">
      <alignment horizontal="right" vertical="center"/>
    </xf>
    <xf numFmtId="0" fontId="30" fillId="4" borderId="18" xfId="0" applyNumberFormat="1" applyFont="1" applyFill="1" applyBorder="1" applyAlignment="1">
      <alignment horizontal="right" vertical="center"/>
    </xf>
    <xf numFmtId="181" fontId="0" fillId="4" borderId="1" xfId="2" applyNumberFormat="1" applyFont="1" applyFill="1" applyBorder="1" applyAlignment="1">
      <alignment vertical="center"/>
    </xf>
    <xf numFmtId="0" fontId="32" fillId="4" borderId="1" xfId="0" applyNumberFormat="1" applyFont="1" applyFill="1" applyBorder="1" applyAlignment="1">
      <alignment horizontal="center" vertical="center"/>
    </xf>
    <xf numFmtId="0" fontId="32" fillId="4" borderId="46" xfId="0" applyNumberFormat="1" applyFont="1" applyFill="1" applyBorder="1" applyAlignment="1">
      <alignment horizontal="center" vertical="center"/>
    </xf>
    <xf numFmtId="177" fontId="32" fillId="4" borderId="46" xfId="2" applyNumberFormat="1" applyFont="1" applyFill="1" applyBorder="1" applyAlignment="1">
      <alignment vertical="center"/>
    </xf>
    <xf numFmtId="0" fontId="26" fillId="57" borderId="26" xfId="0" applyFont="1" applyFill="1" applyBorder="1" applyAlignment="1">
      <alignment horizontal="left" vertical="center" indent="1"/>
    </xf>
    <xf numFmtId="0" fontId="25" fillId="57" borderId="32" xfId="0" applyFont="1" applyFill="1" applyBorder="1"/>
    <xf numFmtId="0" fontId="25" fillId="57" borderId="30" xfId="0" applyFont="1" applyFill="1" applyBorder="1"/>
    <xf numFmtId="0" fontId="0" fillId="57" borderId="28" xfId="0" applyFill="1" applyBorder="1"/>
    <xf numFmtId="0" fontId="28" fillId="57" borderId="32" xfId="0" applyFont="1" applyFill="1" applyBorder="1"/>
    <xf numFmtId="0" fontId="28" fillId="57" borderId="30" xfId="0" applyFont="1" applyFill="1" applyBorder="1"/>
    <xf numFmtId="0" fontId="58" fillId="9" borderId="25" xfId="0" applyFont="1" applyFill="1" applyBorder="1"/>
    <xf numFmtId="0" fontId="30" fillId="6" borderId="116" xfId="0" applyNumberFormat="1" applyFont="1" applyFill="1" applyBorder="1" applyAlignment="1">
      <alignment horizontal="center" vertical="center"/>
    </xf>
    <xf numFmtId="0" fontId="30" fillId="6" borderId="148" xfId="0" applyNumberFormat="1" applyFont="1" applyFill="1" applyBorder="1" applyAlignment="1">
      <alignment horizontal="center" vertical="center"/>
    </xf>
    <xf numFmtId="0" fontId="0" fillId="4" borderId="0" xfId="0" applyNumberFormat="1" applyFill="1" applyBorder="1" applyAlignment="1">
      <alignment horizontal="center" vertical="center"/>
    </xf>
    <xf numFmtId="0" fontId="25" fillId="0" borderId="0" xfId="0" applyFont="1" applyAlignment="1">
      <alignment horizontal="left" vertical="center" wrapText="1"/>
    </xf>
    <xf numFmtId="0" fontId="0" fillId="0" borderId="0" xfId="0" applyAlignment="1">
      <alignment horizontal="center"/>
    </xf>
    <xf numFmtId="174" fontId="0" fillId="6" borderId="1" xfId="0" applyNumberFormat="1" applyFill="1" applyBorder="1" applyAlignment="1">
      <alignment vertical="center"/>
    </xf>
    <xf numFmtId="0" fontId="185" fillId="4" borderId="0" xfId="1055" applyFont="1" applyFill="1"/>
    <xf numFmtId="0" fontId="186" fillId="0" borderId="121" xfId="1055" applyFont="1" applyBorder="1" applyAlignment="1">
      <alignment horizontal="center"/>
    </xf>
    <xf numFmtId="0" fontId="122" fillId="7" borderId="0" xfId="1055" applyFont="1" applyFill="1" applyAlignment="1">
      <alignment vertical="center"/>
    </xf>
    <xf numFmtId="0" fontId="0" fillId="7" borderId="0" xfId="0" applyNumberFormat="1" applyFill="1" applyBorder="1" applyAlignment="1">
      <alignment horizontal="right" vertical="center"/>
    </xf>
    <xf numFmtId="181" fontId="0" fillId="7" borderId="0" xfId="2" applyNumberFormat="1" applyFont="1" applyFill="1" applyBorder="1" applyAlignment="1">
      <alignment vertical="center"/>
    </xf>
    <xf numFmtId="0" fontId="0" fillId="7" borderId="33" xfId="0" applyFill="1" applyBorder="1" applyAlignment="1">
      <alignment vertical="center"/>
    </xf>
    <xf numFmtId="0" fontId="0" fillId="7" borderId="0" xfId="0" applyFill="1" applyAlignment="1">
      <alignment vertical="center"/>
    </xf>
    <xf numFmtId="0" fontId="186" fillId="4" borderId="116" xfId="1055" applyFont="1" applyFill="1" applyBorder="1" applyAlignment="1">
      <alignment horizontal="center"/>
    </xf>
    <xf numFmtId="0" fontId="204" fillId="4" borderId="0" xfId="1055" applyFont="1" applyFill="1" applyAlignment="1">
      <alignment horizontal="center"/>
    </xf>
    <xf numFmtId="0" fontId="5" fillId="4" borderId="0" xfId="1055" applyFill="1"/>
    <xf numFmtId="9" fontId="204" fillId="4" borderId="0" xfId="1055" applyNumberFormat="1" applyFont="1" applyFill="1" applyAlignment="1">
      <alignment horizontal="center"/>
    </xf>
    <xf numFmtId="0" fontId="204" fillId="4" borderId="1" xfId="1055" applyFont="1" applyFill="1" applyBorder="1" applyAlignment="1">
      <alignment horizontal="center"/>
    </xf>
    <xf numFmtId="0" fontId="204" fillId="4" borderId="1" xfId="1055" applyFont="1" applyFill="1" applyBorder="1"/>
    <xf numFmtId="9" fontId="204" fillId="4" borderId="1" xfId="1055" applyNumberFormat="1" applyFont="1" applyFill="1" applyBorder="1" applyAlignment="1">
      <alignment horizontal="center"/>
    </xf>
    <xf numFmtId="0" fontId="204" fillId="4" borderId="116" xfId="1055" applyFont="1" applyFill="1" applyBorder="1" applyAlignment="1">
      <alignment horizontal="center"/>
    </xf>
    <xf numFmtId="0" fontId="204" fillId="4" borderId="116" xfId="1055" applyFont="1" applyFill="1" applyBorder="1"/>
    <xf numFmtId="9" fontId="204" fillId="4" borderId="116" xfId="1055" applyNumberFormat="1" applyFont="1" applyFill="1" applyBorder="1" applyAlignment="1">
      <alignment horizontal="center"/>
    </xf>
    <xf numFmtId="0" fontId="204" fillId="57" borderId="0" xfId="1055" applyFont="1" applyFill="1" applyBorder="1" applyAlignment="1">
      <alignment horizontal="center"/>
    </xf>
    <xf numFmtId="0" fontId="204" fillId="57" borderId="0" xfId="1055" applyFont="1" applyFill="1" applyBorder="1"/>
    <xf numFmtId="9" fontId="204" fillId="57" borderId="0" xfId="1055" applyNumberFormat="1" applyFont="1" applyFill="1" applyBorder="1" applyAlignment="1">
      <alignment horizontal="center"/>
    </xf>
    <xf numFmtId="0" fontId="38" fillId="57" borderId="0" xfId="0" applyFont="1" applyFill="1"/>
    <xf numFmtId="0" fontId="205" fillId="7" borderId="0" xfId="1055" applyFont="1" applyFill="1" applyBorder="1" applyAlignment="1">
      <alignment horizontal="center"/>
    </xf>
    <xf numFmtId="0" fontId="205" fillId="7" borderId="0" xfId="1055" applyFont="1" applyFill="1" applyBorder="1" applyAlignment="1">
      <alignment vertical="center"/>
    </xf>
    <xf numFmtId="0" fontId="205" fillId="7" borderId="0" xfId="1055" applyFont="1" applyFill="1" applyBorder="1"/>
    <xf numFmtId="9" fontId="205" fillId="7" borderId="0" xfId="1055" applyNumberFormat="1" applyFont="1" applyFill="1" applyBorder="1" applyAlignment="1">
      <alignment horizontal="center"/>
    </xf>
    <xf numFmtId="181" fontId="38" fillId="7" borderId="0" xfId="2" applyNumberFormat="1" applyFont="1" applyFill="1" applyBorder="1" applyAlignment="1">
      <alignment vertical="center"/>
    </xf>
    <xf numFmtId="0" fontId="38" fillId="7" borderId="33" xfId="0" applyFont="1" applyFill="1" applyBorder="1"/>
    <xf numFmtId="0" fontId="38" fillId="7" borderId="0" xfId="0" applyFont="1" applyFill="1"/>
    <xf numFmtId="0" fontId="204" fillId="4" borderId="0" xfId="1055" applyFont="1" applyFill="1" applyBorder="1" applyAlignment="1">
      <alignment horizontal="center"/>
    </xf>
    <xf numFmtId="0" fontId="204" fillId="4" borderId="0" xfId="1055" applyFont="1" applyFill="1" applyBorder="1"/>
    <xf numFmtId="9" fontId="204" fillId="4" borderId="0" xfId="1055" applyNumberFormat="1" applyFont="1" applyFill="1" applyBorder="1" applyAlignment="1">
      <alignment horizontal="center"/>
    </xf>
    <xf numFmtId="0" fontId="186" fillId="4" borderId="0" xfId="1055" applyFont="1" applyFill="1"/>
    <xf numFmtId="0" fontId="204" fillId="4" borderId="0" xfId="1055" applyFont="1" applyFill="1"/>
    <xf numFmtId="0" fontId="206" fillId="4" borderId="0" xfId="1055" applyFont="1" applyFill="1"/>
    <xf numFmtId="0" fontId="207" fillId="4" borderId="0" xfId="1055" applyFont="1" applyFill="1"/>
    <xf numFmtId="177" fontId="204" fillId="4" borderId="0" xfId="1055" applyNumberFormat="1" applyFont="1" applyFill="1" applyAlignment="1">
      <alignment horizontal="center"/>
    </xf>
    <xf numFmtId="0" fontId="42" fillId="57" borderId="0" xfId="4" applyNumberFormat="1" applyFill="1"/>
    <xf numFmtId="0" fontId="204" fillId="4" borderId="0" xfId="1055" applyNumberFormat="1" applyFont="1" applyFill="1" applyAlignment="1">
      <alignment horizontal="center"/>
    </xf>
    <xf numFmtId="0" fontId="204" fillId="4" borderId="1" xfId="1055" applyNumberFormat="1" applyFont="1" applyFill="1" applyBorder="1" applyAlignment="1">
      <alignment horizontal="center"/>
    </xf>
    <xf numFmtId="2" fontId="204" fillId="4" borderId="0" xfId="1055" applyNumberFormat="1" applyFont="1" applyFill="1" applyAlignment="1">
      <alignment horizontal="center"/>
    </xf>
    <xf numFmtId="2" fontId="204" fillId="4" borderId="1" xfId="1055" applyNumberFormat="1" applyFont="1" applyFill="1" applyBorder="1" applyAlignment="1">
      <alignment horizontal="center"/>
    </xf>
    <xf numFmtId="0" fontId="208" fillId="0" borderId="0" xfId="1055" applyFont="1" applyBorder="1"/>
    <xf numFmtId="0" fontId="204" fillId="0" borderId="0" xfId="1055" applyFont="1" applyBorder="1"/>
    <xf numFmtId="0" fontId="209" fillId="93" borderId="0" xfId="1055" applyFont="1" applyFill="1" applyBorder="1" applyAlignment="1">
      <alignment horizontal="center"/>
    </xf>
    <xf numFmtId="0" fontId="210" fillId="93" borderId="0" xfId="1055" applyFont="1" applyFill="1" applyBorder="1"/>
    <xf numFmtId="0" fontId="209" fillId="93" borderId="0" xfId="1055" applyFont="1" applyFill="1" applyBorder="1"/>
    <xf numFmtId="0" fontId="186" fillId="0" borderId="116" xfId="1055" applyFont="1" applyBorder="1" applyAlignment="1">
      <alignment horizontal="center"/>
    </xf>
    <xf numFmtId="2" fontId="204" fillId="0" borderId="0" xfId="1055" applyNumberFormat="1" applyFont="1" applyBorder="1"/>
    <xf numFmtId="0" fontId="5" fillId="0" borderId="0" xfId="1055"/>
    <xf numFmtId="0" fontId="204" fillId="0" borderId="0" xfId="1055" applyFont="1"/>
    <xf numFmtId="2" fontId="204" fillId="0" borderId="0" xfId="1055" applyNumberFormat="1" applyFont="1"/>
    <xf numFmtId="9" fontId="204" fillId="0" borderId="0" xfId="1055" applyNumberFormat="1" applyFont="1"/>
    <xf numFmtId="0" fontId="186" fillId="0" borderId="0" xfId="1055" applyFont="1"/>
    <xf numFmtId="2" fontId="204" fillId="6" borderId="0" xfId="1055" applyNumberFormat="1" applyFont="1" applyFill="1" applyBorder="1" applyAlignment="1">
      <alignment horizontal="center"/>
    </xf>
    <xf numFmtId="174" fontId="0" fillId="6" borderId="0" xfId="0" applyNumberFormat="1" applyFill="1" applyBorder="1" applyAlignment="1">
      <alignment vertical="center"/>
    </xf>
    <xf numFmtId="0" fontId="30" fillId="4" borderId="137" xfId="0" applyNumberFormat="1" applyFont="1" applyFill="1" applyBorder="1" applyAlignment="1">
      <alignment horizontal="right" vertical="center"/>
    </xf>
    <xf numFmtId="2" fontId="204" fillId="4" borderId="116" xfId="1055" applyNumberFormat="1" applyFont="1" applyFill="1" applyBorder="1" applyAlignment="1">
      <alignment horizontal="right"/>
    </xf>
    <xf numFmtId="2" fontId="205" fillId="57" borderId="0" xfId="1055" applyNumberFormat="1" applyFont="1" applyFill="1" applyBorder="1"/>
    <xf numFmtId="0" fontId="186" fillId="0" borderId="116" xfId="1055" applyFont="1" applyBorder="1" applyAlignment="1">
      <alignment horizontal="right" vertical="center"/>
    </xf>
    <xf numFmtId="0" fontId="204" fillId="0" borderId="0" xfId="1055" applyFont="1" applyBorder="1" applyAlignment="1">
      <alignment horizontal="center"/>
    </xf>
    <xf numFmtId="0" fontId="5" fillId="0" borderId="0" xfId="1055" applyAlignment="1">
      <alignment horizontal="center"/>
    </xf>
    <xf numFmtId="0" fontId="186" fillId="0" borderId="116" xfId="1055" applyFont="1" applyBorder="1" applyAlignment="1">
      <alignment horizontal="right"/>
    </xf>
    <xf numFmtId="0" fontId="0" fillId="4" borderId="0" xfId="0" applyNumberFormat="1" applyFill="1" applyBorder="1" applyAlignment="1">
      <alignment horizontal="center" vertical="center"/>
    </xf>
    <xf numFmtId="0" fontId="32" fillId="0" borderId="0" xfId="905" applyFont="1" applyFill="1" applyBorder="1" applyAlignment="1">
      <alignment horizontal="center" vertical="center"/>
    </xf>
    <xf numFmtId="0" fontId="58" fillId="0" borderId="0" xfId="0" applyFont="1" applyAlignment="1">
      <alignment horizontal="left" vertical="center" wrapText="1"/>
    </xf>
    <xf numFmtId="0" fontId="25" fillId="0" borderId="0" xfId="0" applyFont="1" applyAlignment="1">
      <alignment horizontal="left" vertical="center" wrapText="1"/>
    </xf>
    <xf numFmtId="0" fontId="204" fillId="6" borderId="0" xfId="1055" applyNumberFormat="1" applyFont="1" applyFill="1" applyBorder="1" applyAlignment="1">
      <alignment horizontal="center"/>
    </xf>
    <xf numFmtId="0" fontId="32" fillId="6" borderId="64" xfId="0" applyFont="1" applyFill="1" applyBorder="1" applyAlignment="1">
      <alignment vertical="center"/>
    </xf>
    <xf numFmtId="178" fontId="32" fillId="6" borderId="64" xfId="0" applyNumberFormat="1" applyFont="1" applyFill="1" applyBorder="1" applyAlignment="1">
      <alignment vertical="center"/>
    </xf>
    <xf numFmtId="0" fontId="204" fillId="6" borderId="7" xfId="1055" applyNumberFormat="1" applyFont="1" applyFill="1" applyBorder="1" applyAlignment="1">
      <alignment horizontal="center"/>
    </xf>
    <xf numFmtId="178" fontId="211" fillId="5" borderId="0" xfId="0" applyNumberFormat="1" applyFont="1" applyFill="1" applyBorder="1" applyAlignment="1">
      <alignment vertical="center"/>
    </xf>
    <xf numFmtId="0" fontId="102" fillId="6" borderId="0" xfId="0" applyFont="1" applyFill="1" applyBorder="1" applyAlignment="1">
      <alignment vertical="center"/>
    </xf>
    <xf numFmtId="0" fontId="102" fillId="6" borderId="0" xfId="0" applyNumberFormat="1" applyFont="1" applyFill="1" applyBorder="1" applyAlignment="1">
      <alignment horizontal="left" vertical="center"/>
    </xf>
    <xf numFmtId="0" fontId="102" fillId="6" borderId="12" xfId="0" applyNumberFormat="1" applyFont="1" applyFill="1" applyBorder="1" applyAlignment="1">
      <alignment horizontal="left" vertical="center"/>
    </xf>
    <xf numFmtId="2" fontId="4" fillId="6" borderId="7" xfId="1055" applyNumberFormat="1" applyFont="1" applyFill="1" applyBorder="1" applyAlignment="1">
      <alignment horizontal="center"/>
    </xf>
    <xf numFmtId="204" fontId="4" fillId="6" borderId="0" xfId="1055" applyNumberFormat="1" applyFont="1" applyFill="1" applyBorder="1" applyAlignment="1">
      <alignment horizontal="center"/>
    </xf>
    <xf numFmtId="2" fontId="4" fillId="6" borderId="0" xfId="1055" applyNumberFormat="1" applyFont="1" applyFill="1" applyBorder="1" applyAlignment="1">
      <alignment horizontal="center"/>
    </xf>
    <xf numFmtId="0" fontId="0" fillId="94" borderId="90" xfId="0" applyFont="1" applyFill="1" applyBorder="1" applyAlignment="1">
      <alignment vertical="center"/>
    </xf>
    <xf numFmtId="0" fontId="0" fillId="94" borderId="26" xfId="0" applyFont="1" applyFill="1" applyBorder="1" applyAlignment="1">
      <alignment horizontal="left" vertical="center" wrapText="1"/>
    </xf>
    <xf numFmtId="0" fontId="0" fillId="95" borderId="90" xfId="0" applyFont="1" applyFill="1" applyBorder="1" applyAlignment="1">
      <alignment vertical="center"/>
    </xf>
    <xf numFmtId="0" fontId="0" fillId="95" borderId="26" xfId="0" applyFont="1" applyFill="1" applyBorder="1" applyAlignment="1">
      <alignment horizontal="left" vertical="center" wrapText="1"/>
    </xf>
    <xf numFmtId="0" fontId="0" fillId="94" borderId="90" xfId="0" applyFont="1" applyFill="1" applyBorder="1"/>
    <xf numFmtId="0" fontId="0" fillId="95" borderId="90" xfId="0" applyFont="1" applyFill="1" applyBorder="1"/>
    <xf numFmtId="0" fontId="0" fillId="95" borderId="26" xfId="0" applyFont="1" applyFill="1" applyBorder="1" applyAlignment="1">
      <alignment vertical="center"/>
    </xf>
    <xf numFmtId="0" fontId="206" fillId="6" borderId="0" xfId="1055" applyNumberFormat="1" applyFont="1" applyFill="1" applyAlignment="1">
      <alignment horizontal="center"/>
    </xf>
    <xf numFmtId="178" fontId="42" fillId="6" borderId="20" xfId="4" applyNumberFormat="1" applyFill="1" applyBorder="1"/>
    <xf numFmtId="178" fontId="42" fillId="6" borderId="20" xfId="4" applyNumberFormat="1" applyFont="1" applyFill="1" applyBorder="1"/>
    <xf numFmtId="178" fontId="42" fillId="6" borderId="0" xfId="4" applyNumberFormat="1" applyFont="1" applyFill="1" applyBorder="1"/>
    <xf numFmtId="0" fontId="0" fillId="6" borderId="10" xfId="0" applyFill="1" applyBorder="1" applyAlignment="1">
      <alignment vertical="center"/>
    </xf>
    <xf numFmtId="0" fontId="30" fillId="63" borderId="119" xfId="0" applyNumberFormat="1" applyFont="1" applyFill="1" applyBorder="1" applyAlignment="1">
      <alignment horizontal="center" vertical="center"/>
    </xf>
    <xf numFmtId="0" fontId="30" fillId="63" borderId="118" xfId="0" applyNumberFormat="1" applyFont="1" applyFill="1" applyBorder="1" applyAlignment="1">
      <alignment horizontal="center" vertical="center"/>
    </xf>
    <xf numFmtId="0" fontId="30" fillId="63" borderId="149" xfId="0" applyNumberFormat="1" applyFont="1" applyFill="1" applyBorder="1" applyAlignment="1">
      <alignment horizontal="center" vertical="center"/>
    </xf>
    <xf numFmtId="0" fontId="30" fillId="63" borderId="134" xfId="0" applyNumberFormat="1" applyFont="1" applyFill="1" applyBorder="1" applyAlignment="1">
      <alignment horizontal="center" vertical="center"/>
    </xf>
    <xf numFmtId="178" fontId="22" fillId="6" borderId="20" xfId="2" applyFont="1" applyFill="1" applyBorder="1" applyAlignment="1">
      <alignment vertical="center"/>
    </xf>
    <xf numFmtId="177" fontId="0" fillId="4" borderId="19" xfId="1" applyNumberFormat="1" applyFont="1" applyFill="1" applyBorder="1" applyAlignment="1">
      <alignment vertical="center"/>
    </xf>
    <xf numFmtId="178" fontId="0" fillId="4" borderId="67" xfId="2" applyFont="1" applyFill="1" applyBorder="1" applyAlignment="1">
      <alignment vertical="center"/>
    </xf>
    <xf numFmtId="184" fontId="0" fillId="4" borderId="116" xfId="1" applyFont="1" applyFill="1" applyBorder="1"/>
    <xf numFmtId="0" fontId="0" fillId="0" borderId="30" xfId="0" applyFill="1" applyBorder="1"/>
    <xf numFmtId="0" fontId="0" fillId="0" borderId="23" xfId="0" applyFill="1" applyBorder="1"/>
    <xf numFmtId="0" fontId="0" fillId="0" borderId="31" xfId="0" applyFill="1" applyBorder="1"/>
    <xf numFmtId="0" fontId="212" fillId="0" borderId="0" xfId="0" applyFont="1"/>
    <xf numFmtId="0" fontId="30" fillId="63" borderId="35" xfId="0" applyNumberFormat="1" applyFont="1" applyFill="1" applyBorder="1" applyAlignment="1">
      <alignment horizontal="center" vertical="center"/>
    </xf>
    <xf numFmtId="0" fontId="30" fillId="63" borderId="9" xfId="0" applyNumberFormat="1" applyFont="1" applyFill="1" applyBorder="1" applyAlignment="1">
      <alignment horizontal="center" vertical="center"/>
    </xf>
    <xf numFmtId="178" fontId="211" fillId="6" borderId="0" xfId="0" applyNumberFormat="1" applyFont="1" applyFill="1" applyBorder="1" applyAlignment="1">
      <alignment vertical="center"/>
    </xf>
    <xf numFmtId="0" fontId="0" fillId="6" borderId="32" xfId="0" applyFill="1" applyBorder="1" applyAlignment="1">
      <alignment horizontal="left" indent="1"/>
    </xf>
    <xf numFmtId="0" fontId="25" fillId="6" borderId="32" xfId="0" applyFont="1" applyFill="1" applyBorder="1" applyAlignment="1">
      <alignment horizontal="left" indent="1"/>
    </xf>
    <xf numFmtId="0" fontId="25" fillId="6" borderId="30" xfId="0" applyFont="1" applyFill="1" applyBorder="1" applyAlignment="1">
      <alignment horizontal="left" indent="1"/>
    </xf>
    <xf numFmtId="1" fontId="30" fillId="4" borderId="9" xfId="0" applyNumberFormat="1" applyFont="1" applyFill="1" applyBorder="1" applyAlignment="1">
      <alignment horizontal="right" vertical="center"/>
    </xf>
    <xf numFmtId="178" fontId="0" fillId="4" borderId="36" xfId="2" applyFont="1" applyFill="1" applyBorder="1" applyAlignment="1">
      <alignment vertical="center"/>
    </xf>
    <xf numFmtId="0" fontId="42" fillId="4" borderId="0" xfId="0" applyFont="1" applyFill="1" applyBorder="1"/>
    <xf numFmtId="0" fontId="0" fillId="4" borderId="28" xfId="0" applyFill="1" applyBorder="1"/>
    <xf numFmtId="178" fontId="32" fillId="4" borderId="0" xfId="2" applyNumberFormat="1" applyFont="1" applyFill="1" applyBorder="1" applyAlignment="1">
      <alignment horizontal="right" vertical="center"/>
    </xf>
    <xf numFmtId="183" fontId="0" fillId="4" borderId="0" xfId="2" applyNumberFormat="1" applyFont="1" applyFill="1" applyBorder="1" applyAlignment="1">
      <alignment horizontal="right" vertical="center"/>
    </xf>
    <xf numFmtId="183" fontId="38" fillId="4" borderId="0" xfId="2" applyNumberFormat="1" applyFont="1" applyFill="1" applyBorder="1" applyAlignment="1">
      <alignment horizontal="right" vertical="center"/>
    </xf>
    <xf numFmtId="183" fontId="38" fillId="4" borderId="0" xfId="0" applyNumberFormat="1" applyFont="1" applyFill="1" applyBorder="1" applyAlignment="1">
      <alignment horizontal="right" vertical="center"/>
    </xf>
    <xf numFmtId="0" fontId="13" fillId="17" borderId="0" xfId="1043" applyFont="1" applyBorder="1" applyAlignment="1">
      <alignment vertical="center"/>
    </xf>
    <xf numFmtId="0" fontId="22" fillId="4" borderId="32" xfId="0" applyFont="1" applyFill="1" applyBorder="1"/>
    <xf numFmtId="0" fontId="13" fillId="17" borderId="0" xfId="1043" applyFont="1" applyBorder="1"/>
    <xf numFmtId="0" fontId="27" fillId="4" borderId="32" xfId="0" applyFont="1" applyFill="1" applyBorder="1"/>
    <xf numFmtId="0" fontId="27" fillId="4" borderId="32" xfId="0" applyFont="1" applyFill="1" applyBorder="1" applyAlignment="1">
      <alignment vertical="center"/>
    </xf>
    <xf numFmtId="178" fontId="0" fillId="4" borderId="0" xfId="2" applyNumberFormat="1" applyFont="1" applyFill="1" applyBorder="1" applyAlignment="1">
      <alignment horizontal="right" vertical="center"/>
    </xf>
    <xf numFmtId="206" fontId="0" fillId="0" borderId="0" xfId="0" applyNumberFormat="1"/>
    <xf numFmtId="0" fontId="0" fillId="0" borderId="0" xfId="0"/>
    <xf numFmtId="0" fontId="0" fillId="0" borderId="0" xfId="0" quotePrefix="1" applyAlignment="1">
      <alignment vertical="center"/>
    </xf>
    <xf numFmtId="0" fontId="32" fillId="0" borderId="0" xfId="0" quotePrefix="1" applyFont="1" applyAlignment="1">
      <alignment vertical="center"/>
    </xf>
    <xf numFmtId="173" fontId="35" fillId="0" borderId="0" xfId="0" applyNumberFormat="1" applyFont="1" applyAlignment="1">
      <alignment vertical="center"/>
    </xf>
    <xf numFmtId="173" fontId="0" fillId="0" borderId="0" xfId="0" applyNumberFormat="1" applyAlignment="1">
      <alignment vertical="center"/>
    </xf>
    <xf numFmtId="173" fontId="32" fillId="0" borderId="0" xfId="0" applyNumberFormat="1" applyFont="1" applyAlignment="1">
      <alignment vertical="center"/>
    </xf>
    <xf numFmtId="178" fontId="23" fillId="0" borderId="0" xfId="2" applyFont="1" applyBorder="1" applyAlignment="1">
      <alignment vertical="center"/>
    </xf>
    <xf numFmtId="178" fontId="35" fillId="0" borderId="0" xfId="2" applyFont="1" applyBorder="1" applyAlignment="1">
      <alignment vertical="center"/>
    </xf>
    <xf numFmtId="207" fontId="0" fillId="0" borderId="0" xfId="0" applyNumberFormat="1"/>
    <xf numFmtId="0" fontId="28" fillId="6" borderId="32" xfId="0" applyFont="1" applyFill="1" applyBorder="1"/>
    <xf numFmtId="0" fontId="28" fillId="6" borderId="30" xfId="0" applyFont="1" applyFill="1" applyBorder="1"/>
    <xf numFmtId="171" fontId="0" fillId="6" borderId="31" xfId="0" applyNumberFormat="1" applyFill="1" applyBorder="1" applyAlignment="1">
      <alignment vertical="center"/>
    </xf>
    <xf numFmtId="178" fontId="23" fillId="5" borderId="0" xfId="0" applyNumberFormat="1" applyFont="1" applyFill="1" applyBorder="1" applyAlignment="1">
      <alignment vertical="center"/>
    </xf>
    <xf numFmtId="0" fontId="43" fillId="5" borderId="150" xfId="0" applyFont="1" applyFill="1" applyBorder="1"/>
    <xf numFmtId="0" fontId="43" fillId="5" borderId="151" xfId="0" applyFont="1" applyFill="1" applyBorder="1"/>
    <xf numFmtId="0" fontId="43" fillId="5" borderId="152" xfId="0" applyFont="1" applyFill="1" applyBorder="1"/>
    <xf numFmtId="0" fontId="0" fillId="5" borderId="153" xfId="0" applyFill="1" applyBorder="1"/>
    <xf numFmtId="0" fontId="0" fillId="5" borderId="154" xfId="0" applyNumberFormat="1" applyFill="1" applyBorder="1"/>
    <xf numFmtId="0" fontId="0" fillId="5" borderId="154" xfId="0" applyFill="1" applyBorder="1"/>
    <xf numFmtId="179" fontId="0" fillId="5" borderId="154" xfId="2" applyNumberFormat="1" applyFont="1" applyFill="1" applyBorder="1"/>
    <xf numFmtId="179" fontId="0" fillId="5" borderId="155" xfId="2" applyNumberFormat="1" applyFont="1" applyFill="1" applyBorder="1"/>
    <xf numFmtId="0" fontId="0" fillId="5" borderId="156" xfId="0" applyFill="1" applyBorder="1"/>
    <xf numFmtId="0" fontId="0" fillId="5" borderId="157" xfId="0" applyNumberFormat="1" applyFill="1" applyBorder="1"/>
    <xf numFmtId="0" fontId="0" fillId="5" borderId="157" xfId="0" applyFill="1" applyBorder="1"/>
    <xf numFmtId="179" fontId="0" fillId="5" borderId="157" xfId="2" applyNumberFormat="1" applyFont="1" applyFill="1" applyBorder="1"/>
    <xf numFmtId="179" fontId="0" fillId="5" borderId="158" xfId="2" applyNumberFormat="1" applyFont="1" applyFill="1" applyBorder="1"/>
    <xf numFmtId="0" fontId="0" fillId="5" borderId="159" xfId="0" applyFill="1" applyBorder="1"/>
    <xf numFmtId="0" fontId="0" fillId="5" borderId="160" xfId="0" applyNumberFormat="1" applyFill="1" applyBorder="1"/>
    <xf numFmtId="0" fontId="0" fillId="5" borderId="160" xfId="0" applyFill="1" applyBorder="1"/>
    <xf numFmtId="179" fontId="0" fillId="5" borderId="160" xfId="2" applyNumberFormat="1" applyFont="1" applyFill="1" applyBorder="1"/>
    <xf numFmtId="179" fontId="0" fillId="5" borderId="161" xfId="2" applyNumberFormat="1" applyFont="1" applyFill="1" applyBorder="1"/>
    <xf numFmtId="203" fontId="23" fillId="0" borderId="0" xfId="0" applyNumberFormat="1" applyFont="1" applyFill="1" applyBorder="1" applyAlignment="1">
      <alignment vertical="center"/>
    </xf>
    <xf numFmtId="0" fontId="120" fillId="0" borderId="0" xfId="4" applyNumberFormat="1" applyFont="1" applyBorder="1" applyAlignment="1">
      <alignment vertical="center"/>
    </xf>
    <xf numFmtId="1" fontId="30" fillId="63" borderId="9" xfId="0" applyNumberFormat="1" applyFont="1" applyFill="1" applyBorder="1" applyAlignment="1">
      <alignment horizontal="center" vertical="center"/>
    </xf>
    <xf numFmtId="0" fontId="211" fillId="0" borderId="0" xfId="0" applyFont="1" applyAlignment="1">
      <alignment vertical="center"/>
    </xf>
    <xf numFmtId="0" fontId="211" fillId="0" borderId="0" xfId="0" applyFont="1" applyAlignment="1">
      <alignment horizontal="left" vertical="center" wrapText="1"/>
    </xf>
    <xf numFmtId="203" fontId="0" fillId="0" borderId="0" xfId="0" applyNumberFormat="1" applyAlignment="1">
      <alignment vertical="center"/>
    </xf>
    <xf numFmtId="171" fontId="0" fillId="4" borderId="0" xfId="2" applyNumberFormat="1" applyFont="1" applyFill="1" applyBorder="1" applyAlignment="1">
      <alignment horizontal="right" vertical="center"/>
    </xf>
    <xf numFmtId="184" fontId="23" fillId="0" borderId="0" xfId="1" applyFont="1" applyAlignment="1">
      <alignment horizontal="right" vertical="center"/>
    </xf>
    <xf numFmtId="0" fontId="30" fillId="0" borderId="0" xfId="0" applyFont="1" applyBorder="1" applyAlignment="1">
      <alignment vertical="center"/>
    </xf>
    <xf numFmtId="178" fontId="0" fillId="6" borderId="116" xfId="2" applyFont="1" applyFill="1" applyBorder="1" applyAlignment="1">
      <alignment vertical="center"/>
    </xf>
    <xf numFmtId="178" fontId="0" fillId="6" borderId="118" xfId="2" applyFont="1" applyFill="1" applyBorder="1" applyAlignment="1">
      <alignment vertical="center"/>
    </xf>
    <xf numFmtId="0" fontId="30" fillId="5" borderId="0" xfId="0" applyFont="1" applyFill="1" applyBorder="1" applyAlignment="1">
      <alignment horizontal="center" vertical="center"/>
    </xf>
    <xf numFmtId="178" fontId="0" fillId="5" borderId="0" xfId="2" applyNumberFormat="1" applyFont="1" applyFill="1" applyBorder="1" applyAlignment="1">
      <alignment horizontal="center" vertical="center"/>
    </xf>
    <xf numFmtId="9" fontId="0" fillId="4" borderId="24" xfId="0" applyNumberFormat="1" applyFill="1" applyBorder="1"/>
    <xf numFmtId="10" fontId="0" fillId="4" borderId="24" xfId="0" applyNumberFormat="1" applyFill="1" applyBorder="1"/>
    <xf numFmtId="177" fontId="0" fillId="4" borderId="46" xfId="2" applyNumberFormat="1" applyFont="1" applyFill="1" applyBorder="1" applyAlignment="1">
      <alignment vertical="center"/>
    </xf>
    <xf numFmtId="177" fontId="0" fillId="4" borderId="47" xfId="2" applyNumberFormat="1" applyFont="1" applyFill="1" applyBorder="1" applyAlignment="1">
      <alignment vertical="center"/>
    </xf>
    <xf numFmtId="177" fontId="0" fillId="4" borderId="46" xfId="2" applyNumberFormat="1" applyFont="1" applyFill="1" applyBorder="1" applyAlignment="1">
      <alignment horizontal="right" vertical="center"/>
    </xf>
    <xf numFmtId="177" fontId="0" fillId="4" borderId="20" xfId="2" applyNumberFormat="1" applyFont="1" applyFill="1" applyBorder="1" applyAlignment="1">
      <alignment vertical="center"/>
    </xf>
    <xf numFmtId="9" fontId="0" fillId="4" borderId="20" xfId="2" applyNumberFormat="1" applyFont="1" applyFill="1" applyBorder="1" applyAlignment="1">
      <alignment vertical="center"/>
    </xf>
    <xf numFmtId="10" fontId="0" fillId="4" borderId="20" xfId="2" applyNumberFormat="1" applyFont="1" applyFill="1" applyBorder="1" applyAlignment="1">
      <alignment vertical="center"/>
    </xf>
    <xf numFmtId="2" fontId="0" fillId="4" borderId="15" xfId="1" applyNumberFormat="1" applyFont="1" applyFill="1" applyBorder="1" applyAlignment="1">
      <alignment vertical="center"/>
    </xf>
    <xf numFmtId="2" fontId="0" fillId="4" borderId="10" xfId="1" applyNumberFormat="1" applyFont="1" applyFill="1" applyBorder="1" applyAlignment="1">
      <alignment vertical="center"/>
    </xf>
    <xf numFmtId="0" fontId="0" fillId="4" borderId="14" xfId="0" applyFont="1" applyFill="1" applyBorder="1"/>
    <xf numFmtId="2" fontId="0" fillId="0" borderId="0" xfId="1" applyNumberFormat="1" applyFont="1"/>
    <xf numFmtId="0" fontId="30" fillId="4" borderId="137" xfId="0" applyNumberFormat="1" applyFont="1" applyFill="1" applyBorder="1" applyAlignment="1">
      <alignment horizontal="left" vertical="center"/>
    </xf>
    <xf numFmtId="0" fontId="30" fillId="4" borderId="16" xfId="0" applyNumberFormat="1" applyFont="1" applyFill="1" applyBorder="1" applyAlignment="1">
      <alignment horizontal="left" vertical="center"/>
    </xf>
    <xf numFmtId="0" fontId="30" fillId="4" borderId="35" xfId="0" applyNumberFormat="1" applyFont="1" applyFill="1" applyBorder="1" applyAlignment="1">
      <alignment horizontal="left" vertical="center"/>
    </xf>
    <xf numFmtId="0" fontId="26" fillId="0" borderId="0" xfId="0" applyFont="1" applyFill="1" applyBorder="1" applyAlignment="1">
      <alignment vertical="center"/>
    </xf>
    <xf numFmtId="0" fontId="211" fillId="0" borderId="0" xfId="0" applyFont="1"/>
    <xf numFmtId="0" fontId="211" fillId="6" borderId="0" xfId="0" applyFont="1" applyFill="1" applyBorder="1" applyAlignment="1">
      <alignment vertical="center"/>
    </xf>
    <xf numFmtId="178" fontId="211" fillId="6" borderId="0" xfId="2" applyFont="1" applyFill="1" applyBorder="1" applyAlignment="1">
      <alignment vertical="center"/>
    </xf>
    <xf numFmtId="0" fontId="30" fillId="5" borderId="68" xfId="0" applyFont="1" applyFill="1" applyBorder="1" applyAlignment="1">
      <alignment horizontal="center" vertical="center"/>
    </xf>
    <xf numFmtId="0" fontId="30" fillId="5" borderId="69" xfId="0" applyNumberFormat="1" applyFont="1" applyFill="1" applyBorder="1" applyAlignment="1">
      <alignment horizontal="center" vertical="center"/>
    </xf>
    <xf numFmtId="0" fontId="30" fillId="5" borderId="70" xfId="0" applyNumberFormat="1" applyFont="1" applyFill="1" applyBorder="1" applyAlignment="1">
      <alignment horizontal="center" vertical="center"/>
    </xf>
    <xf numFmtId="0" fontId="0" fillId="19" borderId="7" xfId="0" applyFill="1" applyBorder="1" applyAlignment="1">
      <alignment vertical="center"/>
    </xf>
    <xf numFmtId="178" fontId="0" fillId="19" borderId="118" xfId="2" applyNumberFormat="1" applyFont="1" applyFill="1" applyBorder="1" applyAlignment="1">
      <alignment vertical="center"/>
    </xf>
    <xf numFmtId="178" fontId="0" fillId="19" borderId="1" xfId="2" applyNumberFormat="1" applyFont="1" applyFill="1" applyBorder="1" applyAlignment="1">
      <alignment vertical="center"/>
    </xf>
    <xf numFmtId="178" fontId="43" fillId="4" borderId="22" xfId="2" applyFont="1" applyFill="1" applyBorder="1" applyAlignment="1">
      <alignment horizontal="right" vertical="center"/>
    </xf>
    <xf numFmtId="179" fontId="32" fillId="63" borderId="96" xfId="2" applyNumberFormat="1" applyFont="1" applyFill="1" applyBorder="1" applyAlignment="1">
      <alignment vertical="center"/>
    </xf>
    <xf numFmtId="0" fontId="50" fillId="0" borderId="0" xfId="0" applyFont="1" applyAlignment="1">
      <alignment vertical="center"/>
    </xf>
    <xf numFmtId="0" fontId="0" fillId="6" borderId="134" xfId="0" applyFill="1" applyBorder="1" applyAlignment="1">
      <alignment horizontal="left" vertical="center"/>
    </xf>
    <xf numFmtId="0" fontId="0" fillId="6" borderId="134" xfId="0" applyFill="1" applyBorder="1" applyAlignment="1">
      <alignment horizontal="right" vertical="center"/>
    </xf>
    <xf numFmtId="0" fontId="30" fillId="6" borderId="134" xfId="0" applyFont="1" applyFill="1" applyBorder="1" applyAlignment="1">
      <alignment vertical="center"/>
    </xf>
    <xf numFmtId="0" fontId="0" fillId="2" borderId="134" xfId="0" applyFill="1" applyBorder="1"/>
    <xf numFmtId="0" fontId="66" fillId="0" borderId="0" xfId="4" applyNumberFormat="1" applyFont="1" applyFill="1" applyBorder="1" applyAlignment="1">
      <alignment horizontal="right" vertical="center"/>
    </xf>
    <xf numFmtId="178" fontId="38" fillId="6" borderId="96" xfId="2" applyFont="1" applyFill="1" applyBorder="1" applyAlignment="1">
      <alignment vertical="center"/>
    </xf>
    <xf numFmtId="0" fontId="42" fillId="16" borderId="8" xfId="4" applyNumberFormat="1" applyFill="1" applyBorder="1" applyAlignment="1">
      <alignment vertical="center"/>
    </xf>
    <xf numFmtId="0" fontId="102" fillId="6" borderId="163" xfId="0" applyFont="1" applyFill="1" applyBorder="1" applyAlignment="1">
      <alignment vertical="center"/>
    </xf>
    <xf numFmtId="0" fontId="102" fillId="6" borderId="164" xfId="0" applyFont="1" applyFill="1" applyBorder="1" applyAlignment="1">
      <alignment vertical="center"/>
    </xf>
    <xf numFmtId="0" fontId="32" fillId="16" borderId="0" xfId="0" applyFont="1" applyFill="1"/>
    <xf numFmtId="0" fontId="25" fillId="2" borderId="134" xfId="0" applyFont="1" applyFill="1" applyBorder="1" applyAlignment="1">
      <alignment vertical="center"/>
    </xf>
    <xf numFmtId="0" fontId="58" fillId="2" borderId="134" xfId="0" applyFont="1" applyFill="1" applyBorder="1" applyAlignment="1">
      <alignment vertical="center"/>
    </xf>
    <xf numFmtId="0" fontId="25" fillId="2" borderId="134" xfId="0" applyFont="1" applyFill="1" applyBorder="1"/>
    <xf numFmtId="0" fontId="0" fillId="2" borderId="134" xfId="0" applyFont="1" applyFill="1" applyBorder="1" applyAlignment="1">
      <alignment horizontal="right" vertical="center"/>
    </xf>
    <xf numFmtId="0" fontId="32" fillId="2" borderId="134" xfId="0" applyFont="1" applyFill="1" applyBorder="1" applyAlignment="1">
      <alignment vertical="center"/>
    </xf>
    <xf numFmtId="0" fontId="62" fillId="2" borderId="134" xfId="0" applyFont="1" applyFill="1" applyBorder="1" applyAlignment="1">
      <alignment vertical="center"/>
    </xf>
    <xf numFmtId="0" fontId="66" fillId="2" borderId="134" xfId="0" applyFont="1" applyFill="1" applyBorder="1" applyAlignment="1">
      <alignment vertical="center"/>
    </xf>
    <xf numFmtId="0" fontId="53" fillId="0" borderId="0" xfId="0" applyFont="1" applyBorder="1" applyAlignment="1">
      <alignment horizontal="center" vertical="center"/>
    </xf>
    <xf numFmtId="0" fontId="0" fillId="0" borderId="0" xfId="0" applyFont="1" applyFill="1" applyAlignment="1">
      <alignment horizontal="left"/>
    </xf>
    <xf numFmtId="0" fontId="53" fillId="0" borderId="0" xfId="0" applyFont="1" applyFill="1" applyBorder="1" applyAlignment="1">
      <alignment horizontal="center" vertical="center"/>
    </xf>
    <xf numFmtId="10" fontId="0" fillId="4" borderId="7" xfId="0" applyNumberFormat="1" applyFill="1" applyBorder="1" applyAlignment="1">
      <alignment vertical="center"/>
    </xf>
    <xf numFmtId="1" fontId="0" fillId="4" borderId="10" xfId="0" applyNumberFormat="1" applyFill="1" applyBorder="1" applyAlignment="1">
      <alignment vertical="center"/>
    </xf>
    <xf numFmtId="10" fontId="0" fillId="4" borderId="10" xfId="0" applyNumberFormat="1" applyFill="1" applyBorder="1" applyAlignment="1">
      <alignment vertical="center"/>
    </xf>
    <xf numFmtId="10" fontId="0" fillId="4" borderId="46" xfId="0" applyNumberFormat="1" applyFill="1" applyBorder="1" applyAlignment="1">
      <alignment horizontal="center" vertical="center"/>
    </xf>
    <xf numFmtId="10" fontId="0" fillId="4" borderId="46" xfId="0" applyNumberFormat="1" applyFill="1" applyBorder="1" applyAlignment="1">
      <alignment vertical="center"/>
    </xf>
    <xf numFmtId="10" fontId="0" fillId="4" borderId="46" xfId="2" applyNumberFormat="1" applyFont="1" applyFill="1" applyBorder="1" applyAlignment="1">
      <alignment horizontal="right" vertical="center"/>
    </xf>
    <xf numFmtId="10" fontId="0" fillId="0" borderId="0" xfId="0" applyNumberFormat="1" applyAlignment="1">
      <alignment vertical="center"/>
    </xf>
    <xf numFmtId="10" fontId="25" fillId="4" borderId="32" xfId="0" applyNumberFormat="1" applyFont="1" applyFill="1" applyBorder="1" applyAlignment="1">
      <alignment vertical="center"/>
    </xf>
    <xf numFmtId="10" fontId="0" fillId="4" borderId="14" xfId="0" applyNumberFormat="1" applyFill="1" applyBorder="1" applyAlignment="1">
      <alignment vertical="center"/>
    </xf>
    <xf numFmtId="10" fontId="0" fillId="4" borderId="14" xfId="1" applyNumberFormat="1" applyFont="1" applyFill="1" applyBorder="1"/>
    <xf numFmtId="10" fontId="0" fillId="4" borderId="33" xfId="0" applyNumberFormat="1" applyFill="1" applyBorder="1" applyAlignment="1">
      <alignment vertical="center"/>
    </xf>
    <xf numFmtId="10" fontId="0" fillId="4" borderId="14" xfId="2" applyNumberFormat="1" applyFont="1" applyFill="1" applyBorder="1" applyAlignment="1">
      <alignment vertical="center"/>
    </xf>
    <xf numFmtId="10" fontId="0" fillId="4" borderId="32" xfId="0" applyNumberFormat="1" applyFont="1" applyFill="1" applyBorder="1"/>
    <xf numFmtId="10" fontId="100" fillId="0" borderId="0" xfId="0" applyNumberFormat="1" applyFont="1" applyBorder="1" applyAlignment="1">
      <alignment horizontal="right" vertical="center"/>
    </xf>
    <xf numFmtId="10" fontId="100" fillId="0" borderId="0" xfId="0" applyNumberFormat="1" applyFont="1" applyBorder="1" applyAlignment="1">
      <alignment horizontal="right"/>
    </xf>
    <xf numFmtId="10" fontId="100" fillId="0" borderId="144" xfId="0" applyNumberFormat="1" applyFont="1" applyBorder="1" applyAlignment="1">
      <alignment horizontal="right"/>
    </xf>
    <xf numFmtId="10" fontId="23" fillId="0" borderId="0" xfId="0" applyNumberFormat="1" applyFont="1" applyFill="1" applyBorder="1"/>
    <xf numFmtId="10" fontId="32" fillId="0" borderId="0" xfId="1043" applyNumberFormat="1" applyFont="1" applyFill="1" applyBorder="1" applyAlignment="1">
      <alignment vertical="center"/>
    </xf>
    <xf numFmtId="10" fontId="23" fillId="0" borderId="0" xfId="0" applyNumberFormat="1" applyFont="1" applyFill="1" applyBorder="1" applyAlignment="1">
      <alignment vertical="center"/>
    </xf>
    <xf numFmtId="10" fontId="23" fillId="0" borderId="0" xfId="0" applyNumberFormat="1" applyFont="1" applyFill="1" applyBorder="1" applyAlignment="1">
      <alignment horizontal="right" vertical="center"/>
    </xf>
    <xf numFmtId="10" fontId="23" fillId="0" borderId="0" xfId="2" applyNumberFormat="1" applyFont="1" applyFill="1" applyBorder="1" applyAlignment="1">
      <alignment horizontal="right" vertical="center"/>
    </xf>
    <xf numFmtId="10" fontId="23" fillId="0" borderId="0" xfId="0" applyNumberFormat="1" applyFont="1" applyFill="1" applyBorder="1" applyAlignment="1">
      <alignment horizontal="left"/>
    </xf>
    <xf numFmtId="10" fontId="0" fillId="4" borderId="14" xfId="1" applyNumberFormat="1" applyFont="1" applyFill="1" applyBorder="1" applyAlignment="1">
      <alignment vertical="center"/>
    </xf>
    <xf numFmtId="10" fontId="0" fillId="4" borderId="15" xfId="1" applyNumberFormat="1" applyFont="1" applyFill="1" applyBorder="1" applyAlignment="1">
      <alignment vertical="center"/>
    </xf>
    <xf numFmtId="10" fontId="0" fillId="4" borderId="46" xfId="2" applyNumberFormat="1" applyFont="1" applyFill="1" applyBorder="1" applyAlignment="1">
      <alignment vertical="center"/>
    </xf>
    <xf numFmtId="0" fontId="32" fillId="4" borderId="0" xfId="1058" applyFont="1" applyFill="1"/>
    <xf numFmtId="0" fontId="186" fillId="16" borderId="121" xfId="1058" applyFont="1" applyFill="1" applyBorder="1" applyAlignment="1">
      <alignment horizontal="center"/>
    </xf>
    <xf numFmtId="0" fontId="0" fillId="4" borderId="7" xfId="0" applyFill="1" applyBorder="1" applyAlignment="1">
      <alignment wrapText="1"/>
    </xf>
    <xf numFmtId="0" fontId="0" fillId="4" borderId="65" xfId="0" applyFill="1" applyBorder="1"/>
    <xf numFmtId="0" fontId="30" fillId="4" borderId="1" xfId="0" applyFont="1" applyFill="1" applyBorder="1" applyAlignment="1">
      <alignment vertical="center"/>
    </xf>
    <xf numFmtId="0" fontId="32" fillId="4" borderId="116" xfId="0" applyNumberFormat="1" applyFont="1" applyFill="1" applyBorder="1" applyAlignment="1">
      <alignment horizontal="left" vertical="center"/>
    </xf>
    <xf numFmtId="2" fontId="0" fillId="4" borderId="116" xfId="0" applyNumberFormat="1" applyFill="1" applyBorder="1"/>
    <xf numFmtId="0" fontId="0" fillId="4" borderId="116" xfId="0" applyFont="1" applyFill="1" applyBorder="1"/>
    <xf numFmtId="177" fontId="0" fillId="4" borderId="116" xfId="0" applyNumberFormat="1" applyFill="1" applyBorder="1"/>
    <xf numFmtId="0" fontId="0" fillId="4" borderId="7" xfId="0" applyFill="1" applyBorder="1" applyAlignment="1"/>
    <xf numFmtId="178" fontId="0" fillId="4" borderId="66" xfId="2" applyFont="1" applyFill="1" applyBorder="1" applyAlignment="1">
      <alignment vertical="center"/>
    </xf>
    <xf numFmtId="0" fontId="0" fillId="4" borderId="0" xfId="0" applyFill="1" applyBorder="1" applyAlignment="1"/>
    <xf numFmtId="0" fontId="0" fillId="4" borderId="1" xfId="0" applyFill="1" applyBorder="1" applyAlignment="1"/>
    <xf numFmtId="9" fontId="0" fillId="4" borderId="65" xfId="0" applyNumberFormat="1" applyFill="1" applyBorder="1"/>
    <xf numFmtId="2" fontId="0" fillId="4" borderId="20" xfId="2" applyNumberFormat="1" applyFont="1" applyFill="1" applyBorder="1" applyAlignment="1">
      <alignment vertical="center"/>
    </xf>
    <xf numFmtId="2" fontId="0" fillId="4" borderId="20" xfId="2" applyNumberFormat="1" applyFont="1" applyFill="1" applyBorder="1" applyAlignment="1">
      <alignment horizontal="right" vertical="center"/>
    </xf>
    <xf numFmtId="0" fontId="0" fillId="4" borderId="0" xfId="0" applyFill="1" applyBorder="1" applyAlignment="1">
      <alignment vertical="top"/>
    </xf>
    <xf numFmtId="0" fontId="0" fillId="4" borderId="116" xfId="0" applyFill="1" applyBorder="1" applyAlignment="1">
      <alignment vertical="top"/>
    </xf>
    <xf numFmtId="0" fontId="0" fillId="4" borderId="116" xfId="0" applyFill="1" applyBorder="1" applyAlignment="1">
      <alignment wrapText="1"/>
    </xf>
    <xf numFmtId="178" fontId="0" fillId="4" borderId="116" xfId="2" applyFont="1" applyFill="1" applyBorder="1" applyAlignment="1">
      <alignment horizontal="right" vertical="center"/>
    </xf>
    <xf numFmtId="0" fontId="0" fillId="4" borderId="118" xfId="0" applyFill="1" applyBorder="1" applyAlignment="1">
      <alignment vertical="top"/>
    </xf>
    <xf numFmtId="0" fontId="0" fillId="4" borderId="118" xfId="0" applyFill="1" applyBorder="1" applyAlignment="1">
      <alignment wrapText="1"/>
    </xf>
    <xf numFmtId="178" fontId="0" fillId="4" borderId="118" xfId="2" applyFont="1" applyFill="1" applyBorder="1" applyAlignment="1">
      <alignment horizontal="right" vertical="center"/>
    </xf>
    <xf numFmtId="0" fontId="106" fillId="0" borderId="0" xfId="0" applyFont="1"/>
    <xf numFmtId="4" fontId="23" fillId="0" borderId="0" xfId="2" applyNumberFormat="1" applyFont="1"/>
    <xf numFmtId="0" fontId="32" fillId="15" borderId="0" xfId="0" applyFont="1" applyFill="1"/>
    <xf numFmtId="0" fontId="32" fillId="15" borderId="0" xfId="0" applyFont="1" applyFill="1" applyAlignment="1">
      <alignment horizontal="right"/>
    </xf>
    <xf numFmtId="2" fontId="32" fillId="0" borderId="0" xfId="1" applyNumberFormat="1" applyFont="1"/>
    <xf numFmtId="9" fontId="23" fillId="0" borderId="0" xfId="2" applyNumberFormat="1" applyFont="1"/>
    <xf numFmtId="0" fontId="25" fillId="0" borderId="0" xfId="0" applyFont="1" applyAlignment="1">
      <alignment horizontal="center" vertical="center" wrapText="1"/>
    </xf>
    <xf numFmtId="0" fontId="0" fillId="6" borderId="1" xfId="0" applyFill="1" applyBorder="1"/>
    <xf numFmtId="0" fontId="25" fillId="14" borderId="0" xfId="0" applyFont="1" applyFill="1" applyBorder="1" applyAlignment="1">
      <alignment vertical="center"/>
    </xf>
    <xf numFmtId="179" fontId="27" fillId="63" borderId="99" xfId="2" applyNumberFormat="1" applyFont="1" applyFill="1" applyBorder="1" applyAlignment="1">
      <alignment vertical="center"/>
    </xf>
    <xf numFmtId="3" fontId="42" fillId="63" borderId="0" xfId="4" applyNumberFormat="1" applyFill="1" applyBorder="1"/>
    <xf numFmtId="0" fontId="0" fillId="57" borderId="1" xfId="0" applyNumberFormat="1" applyFill="1" applyBorder="1" applyAlignment="1">
      <alignment vertical="center"/>
    </xf>
    <xf numFmtId="2" fontId="0" fillId="57" borderId="1" xfId="0" applyNumberFormat="1" applyFill="1" applyBorder="1"/>
    <xf numFmtId="9" fontId="0" fillId="4" borderId="39" xfId="2" applyNumberFormat="1" applyFont="1" applyFill="1" applyBorder="1" applyAlignment="1">
      <alignment vertical="center"/>
    </xf>
    <xf numFmtId="9" fontId="0" fillId="57" borderId="0" xfId="0" applyNumberFormat="1" applyFill="1" applyBorder="1"/>
    <xf numFmtId="177" fontId="0" fillId="0" borderId="0" xfId="0" applyNumberFormat="1" applyFont="1" applyFill="1" applyBorder="1" applyAlignment="1">
      <alignment horizontal="center"/>
    </xf>
    <xf numFmtId="0" fontId="0" fillId="0" borderId="0" xfId="0" applyFont="1" applyFill="1" applyBorder="1" applyAlignment="1">
      <alignment horizontal="center"/>
    </xf>
    <xf numFmtId="174" fontId="43" fillId="57" borderId="0" xfId="2" applyNumberFormat="1" applyFont="1" applyFill="1" applyBorder="1" applyAlignment="1">
      <alignment vertical="center"/>
    </xf>
    <xf numFmtId="179" fontId="43" fillId="57" borderId="0" xfId="2" applyNumberFormat="1" applyFont="1" applyFill="1" applyBorder="1" applyAlignment="1">
      <alignment horizontal="left" vertical="center"/>
    </xf>
    <xf numFmtId="0" fontId="26" fillId="6" borderId="26" xfId="0" applyFont="1" applyFill="1" applyBorder="1" applyAlignment="1">
      <alignment horizontal="left" vertical="center" indent="1"/>
    </xf>
    <xf numFmtId="0" fontId="32" fillId="6" borderId="0" xfId="0" applyFont="1" applyFill="1"/>
    <xf numFmtId="178" fontId="40" fillId="16" borderId="0" xfId="2" applyNumberFormat="1" applyFont="1" applyFill="1"/>
    <xf numFmtId="0" fontId="26" fillId="18" borderId="28" xfId="0" applyFont="1" applyFill="1" applyBorder="1" applyAlignment="1">
      <alignment horizontal="left" vertical="center" indent="1"/>
    </xf>
    <xf numFmtId="0" fontId="102" fillId="19" borderId="16" xfId="0" applyFont="1" applyFill="1" applyBorder="1" applyAlignment="1">
      <alignment vertical="center"/>
    </xf>
    <xf numFmtId="0" fontId="102" fillId="5" borderId="16" xfId="0" applyFont="1" applyFill="1" applyBorder="1" applyAlignment="1">
      <alignment horizontal="center" vertical="center"/>
    </xf>
    <xf numFmtId="0" fontId="102" fillId="5" borderId="17" xfId="0" applyNumberFormat="1" applyFont="1" applyFill="1" applyBorder="1" applyAlignment="1">
      <alignment horizontal="center" vertical="center"/>
    </xf>
    <xf numFmtId="0" fontId="102" fillId="5" borderId="162" xfId="0" applyNumberFormat="1" applyFont="1" applyFill="1" applyBorder="1" applyAlignment="1">
      <alignment horizontal="center" vertical="center"/>
    </xf>
    <xf numFmtId="177" fontId="32" fillId="6" borderId="0" xfId="2" applyNumberFormat="1" applyFont="1" applyFill="1" applyBorder="1" applyAlignment="1">
      <alignment vertical="center"/>
    </xf>
    <xf numFmtId="184" fontId="20" fillId="2" borderId="0" xfId="1" applyFont="1" applyFill="1" applyBorder="1"/>
    <xf numFmtId="184" fontId="25" fillId="2" borderId="0" xfId="1" applyFont="1" applyFill="1" applyBorder="1" applyAlignment="1">
      <alignment horizontal="right" vertical="center"/>
    </xf>
    <xf numFmtId="184" fontId="25" fillId="2" borderId="0" xfId="1" applyFont="1" applyFill="1" applyBorder="1"/>
    <xf numFmtId="2" fontId="25" fillId="2" borderId="0" xfId="1" applyNumberFormat="1" applyFont="1" applyFill="1" applyBorder="1"/>
    <xf numFmtId="179" fontId="25" fillId="2" borderId="0" xfId="2" applyNumberFormat="1" applyFont="1" applyFill="1" applyBorder="1" applyAlignment="1">
      <alignment horizontal="right" vertical="center"/>
    </xf>
    <xf numFmtId="179" fontId="25" fillId="2" borderId="0" xfId="2" applyNumberFormat="1" applyFont="1" applyFill="1" applyBorder="1" applyAlignment="1">
      <alignment horizontal="right"/>
    </xf>
    <xf numFmtId="0" fontId="213" fillId="97" borderId="0" xfId="1059" applyFont="1" applyFill="1" applyAlignment="1" applyProtection="1">
      <alignment horizontal="center" vertical="center" wrapText="1"/>
    </xf>
    <xf numFmtId="0" fontId="214" fillId="97" borderId="0" xfId="1059" applyFont="1" applyFill="1" applyAlignment="1" applyProtection="1">
      <alignment horizontal="center" vertical="center" wrapText="1"/>
    </xf>
    <xf numFmtId="0" fontId="2" fillId="0" borderId="0" xfId="1059"/>
    <xf numFmtId="0" fontId="213" fillId="98" borderId="0" xfId="1059" applyFont="1" applyFill="1" applyAlignment="1" applyProtection="1">
      <alignment horizontal="center" vertical="center" wrapText="1"/>
    </xf>
    <xf numFmtId="0" fontId="214" fillId="98" borderId="0" xfId="1059" applyFont="1" applyFill="1" applyAlignment="1" applyProtection="1">
      <alignment horizontal="center" vertical="center" wrapText="1"/>
    </xf>
    <xf numFmtId="0" fontId="215" fillId="16" borderId="0" xfId="1059" applyFont="1" applyFill="1" applyBorder="1" applyAlignment="1" applyProtection="1">
      <alignment vertical="center"/>
    </xf>
    <xf numFmtId="0" fontId="215" fillId="16" borderId="0" xfId="1059" applyFont="1" applyFill="1" applyBorder="1" applyAlignment="1" applyProtection="1">
      <alignment vertical="center" wrapText="1"/>
    </xf>
    <xf numFmtId="0" fontId="215" fillId="58" borderId="0" xfId="1059" applyFont="1" applyFill="1" applyBorder="1" applyAlignment="1" applyProtection="1">
      <alignment vertical="center"/>
    </xf>
    <xf numFmtId="0" fontId="215" fillId="58" borderId="25" xfId="1059" applyFont="1" applyFill="1" applyBorder="1" applyAlignment="1" applyProtection="1">
      <alignment horizontal="center" vertical="center"/>
      <protection locked="0"/>
    </xf>
    <xf numFmtId="0" fontId="22" fillId="58" borderId="25" xfId="1059" applyFont="1" applyFill="1" applyBorder="1" applyAlignment="1" applyProtection="1">
      <alignment vertical="center"/>
    </xf>
    <xf numFmtId="0" fontId="22" fillId="58" borderId="25" xfId="1059" applyFont="1" applyFill="1" applyBorder="1" applyAlignment="1" applyProtection="1">
      <alignment horizontal="right" vertical="center"/>
    </xf>
    <xf numFmtId="0" fontId="117" fillId="6" borderId="0" xfId="1059" applyFont="1" applyFill="1" applyBorder="1" applyAlignment="1" applyProtection="1">
      <alignment vertical="center"/>
    </xf>
    <xf numFmtId="0" fontId="117" fillId="58" borderId="0" xfId="1059" applyFont="1" applyFill="1" applyBorder="1" applyAlignment="1" applyProtection="1">
      <alignment vertical="center"/>
    </xf>
    <xf numFmtId="0" fontId="117" fillId="58" borderId="25" xfId="1059" applyFont="1" applyFill="1" applyBorder="1" applyAlignment="1" applyProtection="1">
      <alignment horizontal="center" vertical="center"/>
      <protection locked="0"/>
    </xf>
    <xf numFmtId="0" fontId="22" fillId="0" borderId="170" xfId="1059" applyFont="1" applyBorder="1" applyAlignment="1" applyProtection="1">
      <alignment horizontal="center" vertical="center" wrapText="1"/>
    </xf>
    <xf numFmtId="0" fontId="219" fillId="98" borderId="0" xfId="1059" applyFont="1" applyFill="1" applyAlignment="1" applyProtection="1">
      <alignment horizontal="left" vertical="center"/>
    </xf>
    <xf numFmtId="0" fontId="213" fillId="98" borderId="0" xfId="1059" applyFont="1" applyFill="1" applyAlignment="1" applyProtection="1">
      <alignment horizontal="center" vertical="center" wrapText="1"/>
      <protection locked="0"/>
    </xf>
    <xf numFmtId="0" fontId="34" fillId="11" borderId="0" xfId="1059" applyFont="1" applyFill="1" applyAlignment="1" applyProtection="1">
      <alignment wrapText="1"/>
    </xf>
    <xf numFmtId="0" fontId="22" fillId="11" borderId="0" xfId="1059" applyFont="1" applyFill="1" applyProtection="1"/>
    <xf numFmtId="0" fontId="215" fillId="11" borderId="0" xfId="1059" applyFont="1" applyFill="1" applyBorder="1" applyAlignment="1" applyProtection="1">
      <alignment vertical="center"/>
    </xf>
    <xf numFmtId="0" fontId="215" fillId="11" borderId="0" xfId="1059" applyFont="1" applyFill="1" applyBorder="1" applyAlignment="1" applyProtection="1">
      <alignment horizontal="center" vertical="center"/>
    </xf>
    <xf numFmtId="0" fontId="22" fillId="11" borderId="0" xfId="1059" applyFont="1" applyFill="1" applyBorder="1" applyAlignment="1" applyProtection="1">
      <alignment horizontal="center" vertical="center"/>
    </xf>
    <xf numFmtId="0" fontId="22" fillId="0" borderId="173" xfId="1059" applyFont="1" applyBorder="1" applyAlignment="1" applyProtection="1">
      <alignment vertical="center" wrapText="1"/>
    </xf>
    <xf numFmtId="0" fontId="216" fillId="57" borderId="0" xfId="1059" applyFont="1" applyFill="1" applyBorder="1" applyAlignment="1" applyProtection="1">
      <alignment vertical="center" textRotation="90" wrapText="1"/>
    </xf>
    <xf numFmtId="0" fontId="22" fillId="57" borderId="0" xfId="1059" applyFont="1" applyFill="1" applyBorder="1" applyAlignment="1" applyProtection="1">
      <alignment vertical="center" wrapText="1"/>
    </xf>
    <xf numFmtId="0" fontId="22" fillId="57" borderId="0" xfId="1059" applyFont="1" applyFill="1" applyBorder="1" applyAlignment="1" applyProtection="1">
      <alignment vertical="center"/>
    </xf>
    <xf numFmtId="0" fontId="22" fillId="57" borderId="0" xfId="1059" applyFont="1" applyFill="1" applyBorder="1" applyAlignment="1" applyProtection="1">
      <alignment horizontal="center" vertical="center"/>
      <protection locked="0"/>
    </xf>
    <xf numFmtId="0" fontId="22" fillId="57" borderId="0" xfId="1059" applyFont="1" applyFill="1" applyBorder="1" applyAlignment="1" applyProtection="1">
      <alignment horizontal="right" vertical="center"/>
    </xf>
    <xf numFmtId="0" fontId="0" fillId="0" borderId="0" xfId="0"/>
    <xf numFmtId="0" fontId="22" fillId="6" borderId="25" xfId="1059" applyFont="1" applyFill="1" applyBorder="1" applyAlignment="1" applyProtection="1">
      <alignment vertical="center"/>
    </xf>
    <xf numFmtId="0" fontId="22" fillId="6" borderId="25" xfId="1059" applyFont="1" applyFill="1" applyBorder="1" applyAlignment="1" applyProtection="1">
      <alignment horizontal="center" vertical="center"/>
      <protection locked="0"/>
    </xf>
    <xf numFmtId="0" fontId="22" fillId="6" borderId="25" xfId="1059" applyFont="1" applyFill="1" applyBorder="1" applyAlignment="1" applyProtection="1">
      <alignment horizontal="right" vertical="center"/>
    </xf>
    <xf numFmtId="0" fontId="217" fillId="6" borderId="25" xfId="1059" applyFont="1" applyFill="1" applyBorder="1" applyAlignment="1" applyProtection="1">
      <alignment vertical="center"/>
    </xf>
    <xf numFmtId="0" fontId="117" fillId="6" borderId="25" xfId="1059" applyFont="1" applyFill="1" applyBorder="1" applyAlignment="1" applyProtection="1">
      <alignment vertical="center"/>
    </xf>
    <xf numFmtId="0" fontId="218" fillId="6" borderId="25" xfId="1059" applyFont="1" applyFill="1" applyBorder="1" applyAlignment="1" applyProtection="1">
      <alignment horizontal="center" vertical="center"/>
      <protection locked="0"/>
    </xf>
    <xf numFmtId="0" fontId="22" fillId="4" borderId="25" xfId="1059" applyFont="1" applyFill="1" applyBorder="1" applyAlignment="1" applyProtection="1">
      <alignment vertical="center"/>
    </xf>
    <xf numFmtId="0" fontId="22" fillId="4" borderId="25" xfId="1059" applyFont="1" applyFill="1" applyBorder="1" applyAlignment="1" applyProtection="1">
      <alignment horizontal="center" vertical="center"/>
      <protection locked="0"/>
    </xf>
    <xf numFmtId="0" fontId="22" fillId="4" borderId="25" xfId="1059" applyFont="1" applyFill="1" applyBorder="1" applyAlignment="1" applyProtection="1">
      <alignment horizontal="right" vertical="center"/>
    </xf>
    <xf numFmtId="0" fontId="217" fillId="4" borderId="25" xfId="1059" applyFont="1" applyFill="1" applyBorder="1" applyAlignment="1" applyProtection="1">
      <alignment vertical="center"/>
    </xf>
    <xf numFmtId="0" fontId="117" fillId="4" borderId="25" xfId="1059" applyFont="1" applyFill="1" applyBorder="1" applyAlignment="1" applyProtection="1">
      <alignment vertical="center"/>
    </xf>
    <xf numFmtId="0" fontId="218" fillId="4" borderId="25" xfId="1059" applyFont="1" applyFill="1" applyBorder="1" applyAlignment="1" applyProtection="1">
      <alignment horizontal="center" vertical="center"/>
      <protection locked="0"/>
    </xf>
    <xf numFmtId="0" fontId="191" fillId="4" borderId="25" xfId="1059" applyFont="1" applyFill="1" applyBorder="1" applyAlignment="1" applyProtection="1">
      <alignment vertical="center"/>
    </xf>
    <xf numFmtId="0" fontId="2" fillId="6" borderId="0" xfId="1059" applyFill="1"/>
    <xf numFmtId="0" fontId="117" fillId="6" borderId="25" xfId="1059" applyFont="1" applyFill="1" applyBorder="1" applyAlignment="1" applyProtection="1">
      <alignment horizontal="center" vertical="center"/>
      <protection locked="0"/>
    </xf>
    <xf numFmtId="0" fontId="1" fillId="0" borderId="0" xfId="1059" applyFont="1"/>
    <xf numFmtId="0" fontId="2" fillId="0" borderId="0" xfId="1059" applyBorder="1"/>
    <xf numFmtId="178" fontId="220" fillId="6" borderId="0" xfId="0" applyNumberFormat="1" applyFont="1" applyFill="1" applyBorder="1" applyAlignment="1">
      <alignment vertical="center"/>
    </xf>
    <xf numFmtId="178" fontId="0" fillId="0" borderId="0" xfId="2" applyNumberFormat="1" applyFont="1" applyBorder="1" applyAlignment="1">
      <alignment vertical="center"/>
    </xf>
    <xf numFmtId="0" fontId="0" fillId="4" borderId="100" xfId="0" applyFill="1" applyBorder="1"/>
    <xf numFmtId="181" fontId="32" fillId="0" borderId="0" xfId="2" applyNumberFormat="1" applyFont="1"/>
    <xf numFmtId="0" fontId="0" fillId="0" borderId="0" xfId="0"/>
    <xf numFmtId="181" fontId="0" fillId="0" borderId="0" xfId="2" applyNumberFormat="1" applyFont="1" applyAlignment="1">
      <alignment vertical="center"/>
    </xf>
    <xf numFmtId="0" fontId="221" fillId="6" borderId="25" xfId="230" applyFont="1" applyFill="1" applyBorder="1" applyAlignment="1" applyProtection="1">
      <alignment vertical="center"/>
    </xf>
    <xf numFmtId="0" fontId="0" fillId="0" borderId="0" xfId="0"/>
    <xf numFmtId="0" fontId="0" fillId="6" borderId="166" xfId="0" applyFill="1" applyBorder="1" applyAlignment="1">
      <alignment vertical="center"/>
    </xf>
    <xf numFmtId="0" fontId="220" fillId="6" borderId="0" xfId="0" applyFont="1" applyFill="1" applyBorder="1" applyAlignment="1">
      <alignment vertical="center"/>
    </xf>
    <xf numFmtId="181" fontId="40" fillId="59" borderId="0" xfId="2" applyNumberFormat="1" applyFont="1" applyFill="1" applyBorder="1"/>
    <xf numFmtId="178" fontId="0" fillId="6" borderId="118" xfId="2" applyNumberFormat="1" applyFont="1" applyFill="1" applyBorder="1" applyAlignment="1">
      <alignment vertical="center"/>
    </xf>
    <xf numFmtId="0" fontId="102" fillId="5" borderId="118" xfId="0" applyFont="1" applyFill="1" applyBorder="1" applyAlignment="1">
      <alignment horizontal="center" vertical="center"/>
    </xf>
    <xf numFmtId="0" fontId="102" fillId="5" borderId="120" xfId="0" applyNumberFormat="1" applyFont="1" applyFill="1" applyBorder="1" applyAlignment="1">
      <alignment horizontal="center" vertical="center"/>
    </xf>
    <xf numFmtId="0" fontId="102" fillId="5" borderId="184" xfId="0" applyNumberFormat="1" applyFont="1" applyFill="1" applyBorder="1" applyAlignment="1">
      <alignment horizontal="center" vertical="center"/>
    </xf>
    <xf numFmtId="0" fontId="102" fillId="6" borderId="16" xfId="0" applyFont="1" applyFill="1" applyBorder="1" applyAlignment="1">
      <alignment vertical="center"/>
    </xf>
    <xf numFmtId="179" fontId="40" fillId="59" borderId="101" xfId="2" applyNumberFormat="1" applyFont="1" applyFill="1" applyBorder="1"/>
    <xf numFmtId="177" fontId="38" fillId="5" borderId="12" xfId="456" applyNumberFormat="1" applyFont="1" applyFill="1" applyBorder="1" applyAlignment="1">
      <alignment horizontal="right" vertical="center"/>
    </xf>
    <xf numFmtId="0" fontId="126" fillId="5" borderId="0" xfId="0" applyFont="1" applyFill="1" applyAlignment="1">
      <alignment vertical="center"/>
    </xf>
    <xf numFmtId="0" fontId="123" fillId="5" borderId="24" xfId="0" applyFont="1" applyFill="1" applyBorder="1"/>
    <xf numFmtId="178" fontId="0" fillId="5" borderId="24" xfId="2" applyFont="1" applyFill="1" applyBorder="1"/>
    <xf numFmtId="178" fontId="0" fillId="5" borderId="29" xfId="2" applyFont="1" applyFill="1" applyBorder="1"/>
    <xf numFmtId="0" fontId="26" fillId="5" borderId="26" xfId="0" applyFont="1" applyFill="1" applyBorder="1" applyAlignment="1">
      <alignment horizontal="left" vertical="center" indent="1"/>
    </xf>
    <xf numFmtId="178" fontId="42" fillId="5" borderId="0" xfId="4" applyNumberFormat="1" applyFill="1" applyBorder="1"/>
    <xf numFmtId="178" fontId="124" fillId="5" borderId="0" xfId="4" applyNumberFormat="1" applyFont="1" applyFill="1" applyBorder="1"/>
    <xf numFmtId="178" fontId="0" fillId="5" borderId="0" xfId="2" applyFont="1" applyFill="1" applyBorder="1"/>
    <xf numFmtId="178" fontId="0" fillId="5" borderId="33" xfId="2" applyFont="1" applyFill="1" applyBorder="1"/>
    <xf numFmtId="0" fontId="32" fillId="5" borderId="7" xfId="0" applyFont="1" applyFill="1" applyBorder="1" applyAlignment="1">
      <alignment vertical="center"/>
    </xf>
    <xf numFmtId="178" fontId="32" fillId="5" borderId="7" xfId="2" applyFont="1" applyFill="1" applyBorder="1" applyAlignment="1">
      <alignment vertical="center"/>
    </xf>
    <xf numFmtId="178" fontId="32" fillId="5" borderId="0" xfId="2" applyFont="1" applyFill="1" applyBorder="1" applyAlignment="1">
      <alignment vertical="center"/>
    </xf>
    <xf numFmtId="178" fontId="125" fillId="5" borderId="0" xfId="2" applyFont="1" applyFill="1" applyBorder="1" applyAlignment="1">
      <alignment vertical="center"/>
    </xf>
    <xf numFmtId="178" fontId="0" fillId="5" borderId="33" xfId="2" applyFont="1" applyFill="1" applyBorder="1" applyAlignment="1">
      <alignment vertical="center"/>
    </xf>
    <xf numFmtId="0" fontId="123" fillId="5" borderId="0" xfId="0" applyFont="1" applyFill="1" applyBorder="1"/>
    <xf numFmtId="0" fontId="46" fillId="5" borderId="32" xfId="0" applyFont="1" applyFill="1" applyBorder="1" applyAlignment="1">
      <alignment vertical="center"/>
    </xf>
    <xf numFmtId="0" fontId="35" fillId="5" borderId="0" xfId="0" applyFont="1" applyFill="1" applyBorder="1"/>
    <xf numFmtId="0" fontId="129" fillId="5" borderId="0" xfId="0" applyFont="1" applyFill="1" applyBorder="1"/>
    <xf numFmtId="178" fontId="35" fillId="5" borderId="0" xfId="2" applyFont="1" applyFill="1" applyBorder="1"/>
    <xf numFmtId="178" fontId="35" fillId="5" borderId="33" xfId="2" applyFont="1" applyFill="1" applyBorder="1"/>
    <xf numFmtId="0" fontId="35" fillId="5" borderId="0" xfId="0" applyFont="1" applyFill="1" applyBorder="1" applyAlignment="1">
      <alignment vertical="center"/>
    </xf>
    <xf numFmtId="178" fontId="35" fillId="5" borderId="0" xfId="2" applyFont="1" applyFill="1" applyBorder="1" applyAlignment="1">
      <alignment vertical="center"/>
    </xf>
    <xf numFmtId="178" fontId="129" fillId="5" borderId="0" xfId="2" applyFont="1" applyFill="1" applyBorder="1" applyAlignment="1">
      <alignment vertical="center"/>
    </xf>
    <xf numFmtId="0" fontId="35" fillId="5" borderId="33" xfId="0" applyFont="1" applyFill="1" applyBorder="1" applyAlignment="1">
      <alignment vertical="center"/>
    </xf>
    <xf numFmtId="0" fontId="35" fillId="5" borderId="32" xfId="0" applyFont="1" applyFill="1" applyBorder="1"/>
    <xf numFmtId="0" fontId="35" fillId="5" borderId="32" xfId="0" applyFont="1" applyFill="1" applyBorder="1" applyAlignment="1">
      <alignment vertical="center"/>
    </xf>
    <xf numFmtId="178" fontId="123" fillId="5" borderId="0" xfId="2" applyFont="1" applyFill="1" applyBorder="1"/>
    <xf numFmtId="0" fontId="0" fillId="5" borderId="33" xfId="0" applyFill="1" applyBorder="1" applyAlignment="1">
      <alignment vertical="center"/>
    </xf>
    <xf numFmtId="0" fontId="26" fillId="5" borderId="32" xfId="0" applyFont="1" applyFill="1" applyBorder="1" applyAlignment="1">
      <alignment horizontal="left" vertical="center" indent="1"/>
    </xf>
    <xf numFmtId="0" fontId="38" fillId="5" borderId="0" xfId="4" applyNumberFormat="1" applyFont="1" applyFill="1" applyBorder="1"/>
    <xf numFmtId="0" fontId="42" fillId="5" borderId="32" xfId="4" applyNumberFormat="1" applyFill="1" applyBorder="1"/>
    <xf numFmtId="0" fontId="0" fillId="5" borderId="134" xfId="0" applyFill="1" applyBorder="1"/>
    <xf numFmtId="0" fontId="30" fillId="5" borderId="134" xfId="0" applyFont="1" applyFill="1" applyBorder="1" applyAlignment="1">
      <alignment vertical="center"/>
    </xf>
    <xf numFmtId="178" fontId="38" fillId="5" borderId="0" xfId="4" applyNumberFormat="1" applyFont="1" applyFill="1" applyBorder="1"/>
    <xf numFmtId="178" fontId="123" fillId="5" borderId="0" xfId="4" applyNumberFormat="1" applyFont="1" applyFill="1" applyBorder="1"/>
    <xf numFmtId="0" fontId="42" fillId="5" borderId="33" xfId="4" applyNumberFormat="1" applyFill="1" applyBorder="1"/>
    <xf numFmtId="0" fontId="32" fillId="5" borderId="7" xfId="0" applyFont="1" applyFill="1" applyBorder="1"/>
    <xf numFmtId="178" fontId="32" fillId="5" borderId="7" xfId="2" applyFont="1" applyFill="1" applyBorder="1"/>
    <xf numFmtId="178" fontId="32" fillId="5" borderId="0" xfId="2" applyFont="1" applyFill="1" applyBorder="1"/>
    <xf numFmtId="178" fontId="125" fillId="5" borderId="0" xfId="2" applyFont="1" applyFill="1" applyBorder="1"/>
    <xf numFmtId="177" fontId="32" fillId="5" borderId="0" xfId="2" applyNumberFormat="1" applyFont="1" applyFill="1" applyBorder="1"/>
    <xf numFmtId="178" fontId="23" fillId="5" borderId="0" xfId="2" applyFont="1" applyFill="1" applyBorder="1"/>
    <xf numFmtId="0" fontId="123" fillId="5" borderId="134" xfId="0" applyFont="1" applyFill="1" applyBorder="1"/>
    <xf numFmtId="0" fontId="123" fillId="5" borderId="0" xfId="4" applyNumberFormat="1" applyFont="1" applyFill="1" applyBorder="1"/>
    <xf numFmtId="0" fontId="125" fillId="5" borderId="7" xfId="0" applyFont="1" applyFill="1" applyBorder="1"/>
    <xf numFmtId="174" fontId="125" fillId="5" borderId="7" xfId="0" applyNumberFormat="1" applyFont="1" applyFill="1" applyBorder="1"/>
    <xf numFmtId="0" fontId="26" fillId="63" borderId="26" xfId="0" applyFont="1" applyFill="1" applyBorder="1" applyAlignment="1">
      <alignment horizontal="left" vertical="center" indent="1"/>
    </xf>
    <xf numFmtId="2" fontId="0" fillId="4" borderId="14" xfId="0" applyNumberFormat="1" applyFill="1" applyBorder="1"/>
    <xf numFmtId="9" fontId="0" fillId="0" borderId="0" xfId="2" applyNumberFormat="1" applyFont="1"/>
    <xf numFmtId="0" fontId="0" fillId="4" borderId="14" xfId="0" applyFont="1" applyFill="1" applyBorder="1" applyAlignment="1">
      <alignment horizontal="left"/>
    </xf>
    <xf numFmtId="190" fontId="0" fillId="4" borderId="19" xfId="1" applyNumberFormat="1" applyFont="1" applyFill="1" applyBorder="1" applyAlignment="1">
      <alignment vertical="center"/>
    </xf>
    <xf numFmtId="172" fontId="32" fillId="0" borderId="0" xfId="0" applyNumberFormat="1" applyFont="1"/>
    <xf numFmtId="10" fontId="100" fillId="4" borderId="0" xfId="0" applyNumberFormat="1" applyFont="1" applyFill="1" applyBorder="1" applyAlignment="1">
      <alignment horizontal="right" vertical="center"/>
    </xf>
    <xf numFmtId="10" fontId="100" fillId="4" borderId="1" xfId="0" applyNumberFormat="1" applyFont="1" applyFill="1" applyBorder="1" applyAlignment="1">
      <alignment horizontal="right" vertical="center"/>
    </xf>
    <xf numFmtId="10" fontId="0" fillId="4" borderId="0" xfId="0" applyNumberFormat="1" applyFont="1" applyFill="1" applyBorder="1"/>
    <xf numFmtId="10" fontId="32" fillId="4" borderId="0" xfId="0" applyNumberFormat="1" applyFont="1" applyFill="1" applyBorder="1" applyAlignment="1">
      <alignment horizontal="right" vertical="center"/>
    </xf>
    <xf numFmtId="10" fontId="29" fillId="4" borderId="0" xfId="0" applyNumberFormat="1" applyFont="1" applyFill="1" applyBorder="1" applyAlignment="1">
      <alignment horizontal="center" vertical="center" wrapText="1"/>
    </xf>
    <xf numFmtId="0" fontId="0" fillId="92" borderId="0" xfId="0" applyFill="1" applyBorder="1"/>
    <xf numFmtId="2" fontId="25" fillId="4" borderId="32" xfId="0" applyNumberFormat="1" applyFont="1" applyFill="1" applyBorder="1"/>
    <xf numFmtId="2" fontId="0" fillId="4" borderId="14" xfId="0" applyNumberFormat="1" applyFill="1" applyBorder="1" applyAlignment="1">
      <alignment vertical="center" wrapText="1"/>
    </xf>
    <xf numFmtId="2" fontId="0" fillId="4" borderId="14" xfId="0" applyNumberFormat="1" applyFill="1" applyBorder="1" applyAlignment="1">
      <alignment wrapText="1"/>
    </xf>
    <xf numFmtId="2" fontId="32" fillId="4" borderId="0" xfId="0" applyNumberFormat="1" applyFont="1" applyFill="1" applyBorder="1" applyAlignment="1">
      <alignment horizontal="right"/>
    </xf>
    <xf numFmtId="2" fontId="23" fillId="0" borderId="0" xfId="0" applyNumberFormat="1" applyFont="1" applyFill="1" applyBorder="1"/>
    <xf numFmtId="2" fontId="32" fillId="0" borderId="0" xfId="859" applyNumberFormat="1" applyFont="1" applyFill="1" applyBorder="1" applyAlignment="1">
      <alignment vertical="center"/>
    </xf>
    <xf numFmtId="2" fontId="23" fillId="0" borderId="0" xfId="859" applyNumberFormat="1" applyFont="1" applyFill="1" applyBorder="1"/>
    <xf numFmtId="2" fontId="23" fillId="0" borderId="0" xfId="2" applyNumberFormat="1" applyFont="1" applyFill="1" applyBorder="1"/>
    <xf numFmtId="2" fontId="13" fillId="0" borderId="0" xfId="859" applyNumberFormat="1" applyFont="1" applyFill="1" applyBorder="1"/>
    <xf numFmtId="2" fontId="25" fillId="4" borderId="0" xfId="0" applyNumberFormat="1" applyFont="1" applyFill="1" applyBorder="1"/>
    <xf numFmtId="2" fontId="0" fillId="4" borderId="1" xfId="0" applyNumberFormat="1" applyFill="1" applyBorder="1" applyAlignment="1">
      <alignment vertical="center"/>
    </xf>
    <xf numFmtId="2" fontId="0" fillId="4" borderId="1" xfId="0" applyNumberFormat="1" applyFill="1" applyBorder="1" applyAlignment="1">
      <alignment wrapText="1"/>
    </xf>
    <xf numFmtId="178" fontId="0" fillId="92" borderId="20" xfId="2" applyFont="1" applyFill="1" applyBorder="1" applyAlignment="1">
      <alignment vertical="center"/>
    </xf>
    <xf numFmtId="174" fontId="0" fillId="92" borderId="0" xfId="0" applyNumberFormat="1" applyFill="1" applyBorder="1"/>
    <xf numFmtId="178" fontId="0" fillId="15" borderId="0" xfId="2" applyFont="1" applyFill="1" applyBorder="1" applyAlignment="1">
      <alignment horizontal="right" vertical="center"/>
    </xf>
    <xf numFmtId="181" fontId="0" fillId="15" borderId="0" xfId="2" applyNumberFormat="1" applyFont="1" applyFill="1" applyBorder="1" applyAlignment="1">
      <alignment vertical="center"/>
    </xf>
    <xf numFmtId="172" fontId="0" fillId="4" borderId="46" xfId="2" applyNumberFormat="1" applyFont="1" applyFill="1" applyBorder="1" applyAlignment="1">
      <alignment vertical="center"/>
    </xf>
    <xf numFmtId="9" fontId="0" fillId="15" borderId="0" xfId="0" applyNumberFormat="1" applyFill="1" applyBorder="1"/>
    <xf numFmtId="0" fontId="0" fillId="0" borderId="0" xfId="0"/>
    <xf numFmtId="178" fontId="32" fillId="57" borderId="0" xfId="2" applyFont="1" applyFill="1"/>
    <xf numFmtId="0" fontId="25" fillId="19" borderId="0" xfId="0" applyFont="1" applyFill="1" applyBorder="1"/>
    <xf numFmtId="0" fontId="25" fillId="57" borderId="0" xfId="0" applyFont="1" applyFill="1" applyBorder="1" applyAlignment="1">
      <alignment horizontal="left" vertical="center" indent="1"/>
    </xf>
    <xf numFmtId="0" fontId="25" fillId="57" borderId="0" xfId="0" applyFont="1" applyFill="1" applyAlignment="1">
      <alignment vertical="center"/>
    </xf>
    <xf numFmtId="178" fontId="190" fillId="57" borderId="0" xfId="0" applyNumberFormat="1" applyFont="1" applyFill="1" applyBorder="1" applyAlignment="1">
      <alignment vertical="center"/>
    </xf>
    <xf numFmtId="0" fontId="0" fillId="57" borderId="23" xfId="0" applyFill="1" applyBorder="1"/>
    <xf numFmtId="0" fontId="0" fillId="0" borderId="0" xfId="0"/>
    <xf numFmtId="0" fontId="26" fillId="57" borderId="0" xfId="0" applyFont="1" applyFill="1" applyBorder="1"/>
    <xf numFmtId="178" fontId="0" fillId="57" borderId="0" xfId="0" applyNumberFormat="1" applyFill="1" applyBorder="1"/>
    <xf numFmtId="0" fontId="43" fillId="57" borderId="0" xfId="0" applyFont="1" applyFill="1" applyBorder="1"/>
    <xf numFmtId="0" fontId="30" fillId="57" borderId="0" xfId="0" applyNumberFormat="1" applyFont="1" applyFill="1" applyBorder="1" applyAlignment="1">
      <alignment horizontal="center" vertical="center"/>
    </xf>
    <xf numFmtId="179" fontId="109" fillId="4" borderId="0" xfId="1060" applyNumberFormat="1" applyFont="1" applyFill="1" applyBorder="1" applyAlignment="1">
      <alignment vertical="center"/>
    </xf>
    <xf numFmtId="179" fontId="38" fillId="4" borderId="12" xfId="1060" applyNumberFormat="1" applyFont="1" applyFill="1" applyBorder="1" applyAlignment="1">
      <alignment vertical="center"/>
    </xf>
    <xf numFmtId="179" fontId="38" fillId="4" borderId="0" xfId="1060" applyNumberFormat="1" applyFont="1" applyFill="1" applyBorder="1" applyAlignment="1">
      <alignment vertical="center"/>
    </xf>
    <xf numFmtId="179" fontId="38" fillId="4" borderId="12" xfId="1060" applyNumberFormat="1" applyFont="1" applyFill="1" applyBorder="1" applyAlignment="1">
      <alignment horizontal="right" vertical="center"/>
    </xf>
    <xf numFmtId="179" fontId="38" fillId="4" borderId="0" xfId="1060" applyNumberFormat="1" applyFont="1" applyFill="1" applyBorder="1" applyAlignment="1">
      <alignment horizontal="right" vertical="center"/>
    </xf>
    <xf numFmtId="179" fontId="109" fillId="4" borderId="10" xfId="1060" applyNumberFormat="1" applyFont="1" applyFill="1" applyBorder="1" applyAlignment="1">
      <alignment vertical="center"/>
    </xf>
    <xf numFmtId="179" fontId="38" fillId="4" borderId="18" xfId="1060" applyNumberFormat="1" applyFont="1" applyFill="1" applyBorder="1" applyAlignment="1">
      <alignment horizontal="right" vertical="center"/>
    </xf>
    <xf numFmtId="179" fontId="38" fillId="4" borderId="8" xfId="1060" applyNumberFormat="1" applyFont="1" applyFill="1" applyBorder="1" applyAlignment="1">
      <alignment horizontal="right" vertical="center"/>
    </xf>
    <xf numFmtId="0" fontId="32" fillId="4" borderId="118" xfId="0" applyNumberFormat="1" applyFont="1" applyFill="1" applyBorder="1" applyAlignment="1">
      <alignment horizontal="right" vertical="center"/>
    </xf>
    <xf numFmtId="0" fontId="0" fillId="4" borderId="166" xfId="0" applyFill="1" applyBorder="1" applyAlignment="1">
      <alignment vertical="center"/>
    </xf>
    <xf numFmtId="184" fontId="43" fillId="4" borderId="166" xfId="1" applyFont="1" applyFill="1" applyBorder="1" applyAlignment="1">
      <alignment vertical="center"/>
    </xf>
    <xf numFmtId="184" fontId="109" fillId="4" borderId="166" xfId="1" applyFont="1" applyFill="1" applyBorder="1" applyAlignment="1">
      <alignment vertical="center"/>
    </xf>
    <xf numFmtId="179" fontId="38" fillId="4" borderId="37" xfId="1060" applyNumberFormat="1" applyFont="1" applyFill="1" applyBorder="1" applyAlignment="1">
      <alignment horizontal="right" vertical="center"/>
    </xf>
    <xf numFmtId="177" fontId="38" fillId="4" borderId="0" xfId="1060" applyNumberFormat="1" applyFont="1" applyFill="1" applyBorder="1" applyAlignment="1">
      <alignment vertical="center"/>
    </xf>
    <xf numFmtId="177" fontId="38" fillId="4" borderId="12" xfId="1060" applyNumberFormat="1" applyFont="1" applyFill="1" applyBorder="1" applyAlignment="1">
      <alignment vertical="center"/>
    </xf>
    <xf numFmtId="177" fontId="38" fillId="4" borderId="12" xfId="1060" applyNumberFormat="1" applyFont="1" applyFill="1" applyBorder="1" applyAlignment="1">
      <alignment horizontal="right" vertical="center"/>
    </xf>
    <xf numFmtId="177" fontId="38" fillId="4" borderId="0" xfId="1060" applyNumberFormat="1" applyFont="1" applyFill="1" applyBorder="1" applyAlignment="1">
      <alignment horizontal="right" vertical="center"/>
    </xf>
    <xf numFmtId="9" fontId="38" fillId="4" borderId="0" xfId="1060" applyNumberFormat="1" applyFont="1" applyFill="1" applyBorder="1" applyAlignment="1">
      <alignment vertical="center"/>
    </xf>
    <xf numFmtId="9" fontId="38" fillId="4" borderId="12" xfId="1060" applyNumberFormat="1" applyFont="1" applyFill="1" applyBorder="1" applyAlignment="1">
      <alignment vertical="center"/>
    </xf>
    <xf numFmtId="9" fontId="38" fillId="4" borderId="12" xfId="1060" applyNumberFormat="1" applyFont="1" applyFill="1" applyBorder="1" applyAlignment="1">
      <alignment horizontal="right" vertical="center"/>
    </xf>
    <xf numFmtId="9" fontId="38" fillId="4" borderId="0" xfId="1060" applyNumberFormat="1" applyFont="1" applyFill="1" applyBorder="1" applyAlignment="1">
      <alignment horizontal="right" vertical="center"/>
    </xf>
    <xf numFmtId="183" fontId="109" fillId="96" borderId="0" xfId="1060" applyNumberFormat="1" applyFont="1" applyFill="1" applyBorder="1" applyAlignment="1">
      <alignment vertical="center"/>
    </xf>
    <xf numFmtId="183" fontId="38" fillId="96" borderId="12" xfId="1060" applyNumberFormat="1" applyFont="1" applyFill="1" applyBorder="1" applyAlignment="1">
      <alignment vertical="center"/>
    </xf>
    <xf numFmtId="183" fontId="38" fillId="96" borderId="0" xfId="1060" applyNumberFormat="1" applyFont="1" applyFill="1" applyBorder="1" applyAlignment="1">
      <alignment vertical="center"/>
    </xf>
    <xf numFmtId="9" fontId="0" fillId="4" borderId="166" xfId="0" applyNumberFormat="1" applyFill="1" applyBorder="1" applyAlignment="1">
      <alignment vertical="center"/>
    </xf>
    <xf numFmtId="0" fontId="0" fillId="57" borderId="118" xfId="0" applyNumberFormat="1" applyFill="1" applyBorder="1" applyAlignment="1">
      <alignment vertical="center"/>
    </xf>
    <xf numFmtId="174" fontId="38" fillId="57" borderId="0" xfId="1060" applyNumberFormat="1" applyFont="1" applyFill="1" applyBorder="1" applyAlignment="1">
      <alignment vertical="center"/>
    </xf>
    <xf numFmtId="178" fontId="23" fillId="6" borderId="0" xfId="0" applyNumberFormat="1" applyFont="1" applyFill="1" applyBorder="1" applyAlignment="1">
      <alignment vertical="center"/>
    </xf>
    <xf numFmtId="9" fontId="109" fillId="4" borderId="0" xfId="1060" applyNumberFormat="1" applyFont="1" applyFill="1" applyBorder="1" applyAlignment="1">
      <alignment vertical="center"/>
    </xf>
    <xf numFmtId="174" fontId="22" fillId="0" borderId="1" xfId="2" applyNumberFormat="1" applyFont="1" applyBorder="1" applyAlignment="1">
      <alignment horizontal="right"/>
    </xf>
    <xf numFmtId="0" fontId="23" fillId="6" borderId="0" xfId="0" applyFont="1" applyFill="1" applyBorder="1" applyAlignment="1">
      <alignment vertical="center"/>
    </xf>
    <xf numFmtId="0" fontId="26" fillId="27" borderId="0" xfId="0" applyFont="1" applyFill="1"/>
    <xf numFmtId="0" fontId="0" fillId="27" borderId="0" xfId="0" applyFill="1"/>
    <xf numFmtId="0" fontId="0" fillId="26" borderId="0" xfId="0" applyFill="1"/>
    <xf numFmtId="0" fontId="32" fillId="26" borderId="0" xfId="0" applyFont="1" applyFill="1"/>
    <xf numFmtId="0" fontId="0" fillId="26" borderId="0" xfId="0" applyFill="1" applyBorder="1" applyAlignment="1">
      <alignment horizontal="right"/>
    </xf>
    <xf numFmtId="0" fontId="38" fillId="26" borderId="185" xfId="0" applyFont="1" applyFill="1" applyBorder="1"/>
    <xf numFmtId="0" fontId="38" fillId="26" borderId="186" xfId="0" applyFont="1" applyFill="1" applyBorder="1"/>
    <xf numFmtId="0" fontId="25" fillId="26" borderId="32" xfId="0" applyFont="1" applyFill="1" applyBorder="1"/>
    <xf numFmtId="0" fontId="0" fillId="26" borderId="187" xfId="0" applyFill="1" applyBorder="1"/>
    <xf numFmtId="0" fontId="0" fillId="26" borderId="188" xfId="0" applyNumberFormat="1" applyFill="1" applyBorder="1"/>
    <xf numFmtId="0" fontId="0" fillId="26" borderId="0" xfId="0" applyFill="1" applyBorder="1" applyAlignment="1">
      <alignment vertical="center"/>
    </xf>
    <xf numFmtId="178" fontId="0" fillId="26" borderId="0" xfId="2" applyFont="1" applyFill="1" applyBorder="1" applyAlignment="1">
      <alignment vertical="center"/>
    </xf>
    <xf numFmtId="0" fontId="0" fillId="26" borderId="33" xfId="0" applyFill="1" applyBorder="1"/>
    <xf numFmtId="0" fontId="0" fillId="26" borderId="189" xfId="0" applyFill="1" applyBorder="1"/>
    <xf numFmtId="0" fontId="0" fillId="26" borderId="190" xfId="0" applyNumberFormat="1" applyFill="1" applyBorder="1"/>
    <xf numFmtId="178" fontId="0" fillId="26" borderId="0" xfId="0" applyNumberFormat="1" applyFont="1" applyFill="1" applyBorder="1" applyAlignment="1">
      <alignment vertical="center"/>
    </xf>
    <xf numFmtId="0" fontId="32" fillId="26" borderId="0" xfId="0" applyFont="1" applyFill="1" applyBorder="1"/>
    <xf numFmtId="208" fontId="38" fillId="4" borderId="0" xfId="1060" applyNumberFormat="1" applyFont="1" applyFill="1" applyBorder="1" applyAlignment="1">
      <alignment horizontal="right" vertical="center"/>
    </xf>
    <xf numFmtId="183" fontId="42" fillId="0" borderId="0" xfId="4" applyNumberFormat="1"/>
    <xf numFmtId="189" fontId="32" fillId="0" borderId="0" xfId="2" applyNumberFormat="1" applyFont="1" applyAlignment="1">
      <alignment vertical="center"/>
    </xf>
    <xf numFmtId="174" fontId="0" fillId="4" borderId="0" xfId="2" applyNumberFormat="1" applyFont="1" applyFill="1" applyBorder="1" applyAlignment="1">
      <alignment vertical="center"/>
    </xf>
    <xf numFmtId="174" fontId="0" fillId="4" borderId="0" xfId="0" applyNumberFormat="1" applyFill="1" applyBorder="1" applyAlignment="1">
      <alignment horizontal="right" vertical="center"/>
    </xf>
    <xf numFmtId="174" fontId="0" fillId="4" borderId="0" xfId="0" applyNumberFormat="1" applyFill="1" applyBorder="1" applyAlignment="1">
      <alignment horizontal="right"/>
    </xf>
    <xf numFmtId="174" fontId="30" fillId="4" borderId="9" xfId="0" applyNumberFormat="1" applyFont="1" applyFill="1" applyBorder="1" applyAlignment="1">
      <alignment horizontal="right" vertical="center"/>
    </xf>
    <xf numFmtId="174" fontId="30" fillId="4" borderId="11" xfId="0" applyNumberFormat="1" applyFont="1" applyFill="1" applyBorder="1" applyAlignment="1">
      <alignment horizontal="right" vertical="center"/>
    </xf>
    <xf numFmtId="174" fontId="0" fillId="4" borderId="0" xfId="2" applyNumberFormat="1" applyFont="1" applyFill="1" applyBorder="1" applyAlignment="1">
      <alignment horizontal="right" vertical="center"/>
    </xf>
    <xf numFmtId="174" fontId="192" fillId="4" borderId="0" xfId="2" applyNumberFormat="1" applyFont="1" applyFill="1" applyBorder="1" applyAlignment="1">
      <alignment horizontal="right" vertical="center"/>
    </xf>
    <xf numFmtId="174" fontId="192" fillId="4" borderId="166" xfId="2" applyNumberFormat="1" applyFont="1" applyFill="1" applyBorder="1" applyAlignment="1">
      <alignment horizontal="right" vertical="center"/>
    </xf>
    <xf numFmtId="174" fontId="192" fillId="4" borderId="0" xfId="2" applyNumberFormat="1" applyFont="1" applyFill="1" applyBorder="1" applyAlignment="1">
      <alignment vertical="center"/>
    </xf>
    <xf numFmtId="174" fontId="192" fillId="4" borderId="1" xfId="2" applyNumberFormat="1" applyFont="1" applyFill="1" applyBorder="1" applyAlignment="1">
      <alignment vertical="center"/>
    </xf>
    <xf numFmtId="0" fontId="32" fillId="0" borderId="166" xfId="0" applyFont="1" applyBorder="1" applyAlignment="1">
      <alignment horizontal="right"/>
    </xf>
    <xf numFmtId="0" fontId="32" fillId="0" borderId="115" xfId="0" applyFont="1" applyBorder="1" applyAlignment="1">
      <alignment horizontal="left"/>
    </xf>
    <xf numFmtId="0" fontId="32" fillId="0" borderId="115" xfId="0" applyFont="1" applyBorder="1" applyAlignment="1">
      <alignment horizontal="right"/>
    </xf>
    <xf numFmtId="0" fontId="32" fillId="0" borderId="117" xfId="0" applyFont="1" applyBorder="1" applyAlignment="1">
      <alignment horizontal="right"/>
    </xf>
    <xf numFmtId="174" fontId="32" fillId="0" borderId="0" xfId="0" applyNumberFormat="1" applyFont="1"/>
    <xf numFmtId="1" fontId="0" fillId="0" borderId="0" xfId="0" applyNumberFormat="1" applyFont="1"/>
    <xf numFmtId="0" fontId="0" fillId="0" borderId="0" xfId="0"/>
    <xf numFmtId="0" fontId="0" fillId="0" borderId="0" xfId="0"/>
    <xf numFmtId="0" fontId="38" fillId="15" borderId="23" xfId="0" applyFont="1" applyFill="1" applyBorder="1"/>
    <xf numFmtId="184" fontId="38" fillId="15" borderId="21" xfId="1" applyFont="1" applyFill="1" applyBorder="1" applyAlignment="1">
      <alignment vertical="center"/>
    </xf>
    <xf numFmtId="184" fontId="38" fillId="15" borderId="12" xfId="1" applyFont="1" applyFill="1" applyBorder="1" applyAlignment="1">
      <alignment vertical="center"/>
    </xf>
    <xf numFmtId="10" fontId="0" fillId="4" borderId="166" xfId="0" applyNumberFormat="1" applyFill="1" applyBorder="1" applyAlignment="1">
      <alignment vertical="center"/>
    </xf>
    <xf numFmtId="184" fontId="38" fillId="15" borderId="8" xfId="1" applyFont="1" applyFill="1" applyBorder="1" applyAlignment="1">
      <alignment vertical="center"/>
    </xf>
    <xf numFmtId="180" fontId="0" fillId="15" borderId="0" xfId="2" applyNumberFormat="1" applyFont="1" applyFill="1" applyBorder="1" applyAlignment="1">
      <alignment horizontal="right" vertical="center"/>
    </xf>
    <xf numFmtId="184" fontId="38" fillId="15" borderId="18" xfId="1" applyFont="1" applyFill="1" applyBorder="1" applyAlignment="1">
      <alignment vertical="center"/>
    </xf>
    <xf numFmtId="184" fontId="0" fillId="15" borderId="0" xfId="1" applyFont="1" applyFill="1" applyBorder="1"/>
    <xf numFmtId="9" fontId="0" fillId="4" borderId="0" xfId="0" applyNumberFormat="1" applyFont="1" applyFill="1" applyBorder="1"/>
    <xf numFmtId="174" fontId="0" fillId="4" borderId="0" xfId="1" applyNumberFormat="1" applyFont="1" applyFill="1" applyBorder="1" applyAlignment="1">
      <alignment vertical="center"/>
    </xf>
    <xf numFmtId="0" fontId="0" fillId="100" borderId="0" xfId="0" applyFill="1"/>
    <xf numFmtId="0" fontId="32" fillId="57" borderId="0" xfId="0" quotePrefix="1" applyFont="1" applyFill="1"/>
    <xf numFmtId="178" fontId="0" fillId="57" borderId="0" xfId="2" applyFont="1" applyFill="1"/>
    <xf numFmtId="184" fontId="0" fillId="57" borderId="0" xfId="1" applyFont="1" applyFill="1"/>
    <xf numFmtId="0" fontId="25" fillId="57" borderId="32" xfId="0" applyFont="1" applyFill="1" applyBorder="1" applyAlignment="1">
      <alignment vertical="center"/>
    </xf>
    <xf numFmtId="178" fontId="23" fillId="57" borderId="0" xfId="2" applyFont="1" applyFill="1"/>
    <xf numFmtId="178" fontId="35" fillId="57" borderId="0" xfId="2" applyFont="1" applyFill="1"/>
    <xf numFmtId="0" fontId="35" fillId="57" borderId="0" xfId="0" applyFont="1" applyFill="1" applyAlignment="1">
      <alignment vertical="center"/>
    </xf>
    <xf numFmtId="0" fontId="0" fillId="57" borderId="0" xfId="0" quotePrefix="1" applyFill="1"/>
    <xf numFmtId="0" fontId="0" fillId="57" borderId="0" xfId="0" applyFill="1" applyAlignment="1">
      <alignment horizontal="left" indent="1"/>
    </xf>
    <xf numFmtId="0" fontId="25" fillId="57" borderId="32" xfId="0" applyFont="1" applyFill="1" applyBorder="1" applyAlignment="1">
      <alignment horizontal="left" indent="1"/>
    </xf>
    <xf numFmtId="179" fontId="32" fillId="57" borderId="0" xfId="2" applyNumberFormat="1" applyFont="1" applyFill="1"/>
    <xf numFmtId="0" fontId="0" fillId="0" borderId="0" xfId="0"/>
    <xf numFmtId="0" fontId="0" fillId="4" borderId="0" xfId="0" applyNumberFormat="1" applyFill="1" applyBorder="1" applyAlignment="1">
      <alignment horizontal="center" vertical="center"/>
    </xf>
    <xf numFmtId="0" fontId="0" fillId="0" borderId="0" xfId="0"/>
    <xf numFmtId="0" fontId="0" fillId="4" borderId="1" xfId="0" applyNumberFormat="1" applyFont="1" applyFill="1" applyBorder="1" applyAlignment="1">
      <alignment vertical="center"/>
    </xf>
    <xf numFmtId="0" fontId="0" fillId="4" borderId="1" xfId="0" applyFont="1" applyFill="1" applyBorder="1" applyAlignment="1">
      <alignment vertical="center"/>
    </xf>
    <xf numFmtId="9" fontId="100" fillId="4" borderId="1" xfId="0" applyNumberFormat="1" applyFont="1" applyFill="1" applyBorder="1" applyAlignment="1">
      <alignment horizontal="right" vertical="center"/>
    </xf>
    <xf numFmtId="2" fontId="0" fillId="0" borderId="0" xfId="0" applyNumberFormat="1" applyFont="1" applyAlignment="1">
      <alignment vertical="center"/>
    </xf>
    <xf numFmtId="2" fontId="32" fillId="0" borderId="0" xfId="0" applyNumberFormat="1" applyFont="1" applyBorder="1" applyAlignment="1">
      <alignment wrapText="1"/>
    </xf>
    <xf numFmtId="2" fontId="0" fillId="0" borderId="0" xfId="0" applyNumberFormat="1" applyFont="1" applyBorder="1"/>
    <xf numFmtId="2" fontId="32" fillId="0" borderId="0" xfId="0" applyNumberFormat="1" applyFont="1" applyBorder="1"/>
    <xf numFmtId="2" fontId="25" fillId="0" borderId="0" xfId="0" applyNumberFormat="1" applyFont="1" applyAlignment="1">
      <alignment vertical="center"/>
    </xf>
    <xf numFmtId="2" fontId="0" fillId="0" borderId="0" xfId="0" applyNumberFormat="1" applyAlignment="1">
      <alignment wrapText="1"/>
    </xf>
    <xf numFmtId="2" fontId="32" fillId="0" borderId="0" xfId="0" applyNumberFormat="1" applyFont="1" applyAlignment="1">
      <alignment horizontal="center"/>
    </xf>
    <xf numFmtId="2" fontId="32" fillId="0" borderId="0" xfId="0" quotePrefix="1" applyNumberFormat="1" applyFont="1" applyAlignment="1">
      <alignment horizontal="right"/>
    </xf>
    <xf numFmtId="2" fontId="32" fillId="0" borderId="0" xfId="0" applyNumberFormat="1" applyFont="1" applyAlignment="1">
      <alignment horizontal="right"/>
    </xf>
    <xf numFmtId="2" fontId="32" fillId="0" borderId="0" xfId="2" applyNumberFormat="1" applyFont="1"/>
    <xf numFmtId="10" fontId="0" fillId="0" borderId="0" xfId="0" applyNumberFormat="1" applyFont="1" applyAlignment="1">
      <alignment vertical="center"/>
    </xf>
    <xf numFmtId="10" fontId="32" fillId="0" borderId="0" xfId="0" quotePrefix="1" applyNumberFormat="1" applyFont="1" applyAlignment="1">
      <alignment horizontal="right"/>
    </xf>
    <xf numFmtId="10" fontId="32" fillId="0" borderId="0" xfId="0" applyNumberFormat="1" applyFont="1" applyBorder="1"/>
    <xf numFmtId="10" fontId="0" fillId="0" borderId="0" xfId="0" applyNumberFormat="1" applyFont="1" applyBorder="1" applyAlignment="1">
      <alignment horizontal="right" vertical="center"/>
    </xf>
    <xf numFmtId="10" fontId="0" fillId="0" borderId="0" xfId="2" applyNumberFormat="1" applyFont="1" applyBorder="1"/>
    <xf numFmtId="10" fontId="0" fillId="0" borderId="0" xfId="0" applyNumberFormat="1" applyFont="1"/>
    <xf numFmtId="10" fontId="0" fillId="0" borderId="0" xfId="0" applyNumberFormat="1" applyFont="1" applyBorder="1"/>
    <xf numFmtId="10" fontId="32" fillId="0" borderId="0" xfId="0" applyNumberFormat="1" applyFont="1" applyAlignment="1">
      <alignment horizontal="right"/>
    </xf>
    <xf numFmtId="10" fontId="32" fillId="0" borderId="0" xfId="0" applyNumberFormat="1" applyFont="1" applyBorder="1" applyAlignment="1">
      <alignment vertical="center"/>
    </xf>
    <xf numFmtId="10" fontId="32" fillId="0" borderId="0" xfId="2" applyNumberFormat="1" applyFont="1" applyBorder="1" applyAlignment="1">
      <alignment vertical="center"/>
    </xf>
    <xf numFmtId="2" fontId="32" fillId="0" borderId="0" xfId="0" applyNumberFormat="1" applyFont="1" applyBorder="1" applyAlignment="1">
      <alignment horizontal="right"/>
    </xf>
    <xf numFmtId="2" fontId="32" fillId="0" borderId="0" xfId="2" applyNumberFormat="1" applyFont="1" applyBorder="1"/>
    <xf numFmtId="2" fontId="0" fillId="4" borderId="33" xfId="0" applyNumberFormat="1" applyFont="1" applyFill="1" applyBorder="1"/>
    <xf numFmtId="2" fontId="0" fillId="4" borderId="0" xfId="2" applyNumberFormat="1" applyFont="1" applyFill="1" applyBorder="1" applyAlignment="1">
      <alignment horizontal="right" vertical="center"/>
    </xf>
    <xf numFmtId="2" fontId="0" fillId="4" borderId="10" xfId="0" applyNumberFormat="1" applyFont="1" applyFill="1" applyBorder="1" applyAlignment="1">
      <alignment vertical="center"/>
    </xf>
    <xf numFmtId="2" fontId="0" fillId="4" borderId="0" xfId="1" applyNumberFormat="1" applyFont="1" applyFill="1" applyBorder="1" applyAlignment="1">
      <alignment horizontal="right" vertical="center"/>
    </xf>
    <xf numFmtId="2" fontId="0" fillId="4" borderId="10" xfId="1" applyNumberFormat="1" applyFont="1" applyFill="1" applyBorder="1" applyAlignment="1">
      <alignment horizontal="right" vertical="center"/>
    </xf>
    <xf numFmtId="1" fontId="0" fillId="4" borderId="0" xfId="0" applyNumberFormat="1" applyFont="1" applyFill="1" applyBorder="1" applyAlignment="1">
      <alignment vertical="center"/>
    </xf>
    <xf numFmtId="1" fontId="0" fillId="4" borderId="10" xfId="0" applyNumberFormat="1" applyFont="1" applyFill="1" applyBorder="1" applyAlignment="1">
      <alignment vertical="center"/>
    </xf>
    <xf numFmtId="2" fontId="0" fillId="4" borderId="0" xfId="0" applyNumberFormat="1" applyFill="1"/>
    <xf numFmtId="10" fontId="0" fillId="6" borderId="0" xfId="2" applyNumberFormat="1" applyFont="1" applyFill="1" applyBorder="1" applyAlignment="1">
      <alignment vertical="center"/>
    </xf>
    <xf numFmtId="197" fontId="0" fillId="0" borderId="0" xfId="0" applyNumberFormat="1"/>
    <xf numFmtId="197" fontId="25" fillId="4" borderId="32" xfId="0" applyNumberFormat="1" applyFont="1" applyFill="1" applyBorder="1"/>
    <xf numFmtId="197" fontId="0" fillId="4" borderId="7" xfId="0" applyNumberFormat="1" applyFill="1" applyBorder="1" applyAlignment="1">
      <alignment vertical="center"/>
    </xf>
    <xf numFmtId="197" fontId="0" fillId="4" borderId="66" xfId="2" applyNumberFormat="1" applyFont="1" applyFill="1" applyBorder="1" applyAlignment="1">
      <alignment vertical="center"/>
    </xf>
    <xf numFmtId="197" fontId="0" fillId="4" borderId="33" xfId="0" applyNumberFormat="1" applyFill="1" applyBorder="1"/>
    <xf numFmtId="10" fontId="22" fillId="0" borderId="0" xfId="2" applyNumberFormat="1" applyFont="1" applyAlignment="1">
      <alignment horizontal="right"/>
    </xf>
    <xf numFmtId="0" fontId="30" fillId="0" borderId="0" xfId="1043" applyNumberFormat="1" applyFont="1" applyFill="1" applyBorder="1" applyAlignment="1">
      <alignment vertical="center"/>
    </xf>
    <xf numFmtId="10" fontId="32" fillId="0" borderId="0" xfId="0" applyNumberFormat="1" applyFont="1" applyAlignment="1">
      <alignment wrapText="1"/>
    </xf>
    <xf numFmtId="0" fontId="0" fillId="0" borderId="0" xfId="0" applyFill="1" applyAlignment="1">
      <alignment horizontal="right"/>
    </xf>
    <xf numFmtId="1" fontId="0" fillId="0" borderId="0" xfId="2" applyNumberFormat="1" applyFont="1" applyFill="1" applyAlignment="1">
      <alignment vertical="center"/>
    </xf>
    <xf numFmtId="178" fontId="0" fillId="0" borderId="0" xfId="2" applyFont="1" applyFill="1" applyAlignment="1">
      <alignment vertical="center"/>
    </xf>
    <xf numFmtId="0" fontId="35" fillId="0" borderId="0" xfId="0" applyFont="1" applyFill="1"/>
    <xf numFmtId="0" fontId="32" fillId="0" borderId="0" xfId="0" applyFont="1" applyFill="1" applyAlignment="1">
      <alignment horizontal="right"/>
    </xf>
    <xf numFmtId="0" fontId="0" fillId="0" borderId="0" xfId="0" applyFont="1" applyFill="1" applyAlignment="1">
      <alignment horizontal="center"/>
    </xf>
    <xf numFmtId="178" fontId="23" fillId="0" borderId="0" xfId="2" applyFont="1" applyFill="1"/>
    <xf numFmtId="0" fontId="0" fillId="0" borderId="0" xfId="0" applyFill="1" applyAlignment="1">
      <alignment horizontal="center" vertical="center"/>
    </xf>
    <xf numFmtId="199" fontId="0" fillId="4" borderId="0" xfId="0" applyNumberFormat="1" applyFill="1" applyBorder="1"/>
    <xf numFmtId="0" fontId="32" fillId="4" borderId="0" xfId="1043" applyFont="1" applyFill="1" applyBorder="1" applyAlignment="1">
      <alignment vertical="center"/>
    </xf>
    <xf numFmtId="0" fontId="32" fillId="4" borderId="166" xfId="0" applyFont="1" applyFill="1" applyBorder="1"/>
    <xf numFmtId="0" fontId="0" fillId="4" borderId="0" xfId="0" applyFill="1" applyAlignment="1">
      <alignment horizontal="center" vertical="center" wrapText="1"/>
    </xf>
    <xf numFmtId="9" fontId="0" fillId="4" borderId="0" xfId="0" applyNumberFormat="1" applyFill="1"/>
    <xf numFmtId="9" fontId="0" fillId="4" borderId="0" xfId="1" applyNumberFormat="1" applyFont="1" applyFill="1"/>
    <xf numFmtId="10" fontId="23" fillId="4" borderId="0" xfId="1043" applyNumberFormat="1" applyFont="1" applyFill="1" applyBorder="1" applyAlignment="1">
      <alignment horizontal="center"/>
    </xf>
    <xf numFmtId="10" fontId="22" fillId="4" borderId="0" xfId="1043" applyNumberFormat="1" applyFont="1" applyFill="1" applyBorder="1" applyAlignment="1">
      <alignment vertical="center"/>
    </xf>
    <xf numFmtId="0" fontId="22" fillId="4" borderId="166" xfId="1043" applyFont="1" applyFill="1" applyBorder="1" applyAlignment="1">
      <alignment vertical="center"/>
    </xf>
    <xf numFmtId="2" fontId="0" fillId="0" borderId="0" xfId="0" applyNumberFormat="1" applyBorder="1"/>
    <xf numFmtId="2" fontId="25" fillId="6" borderId="0" xfId="0" applyNumberFormat="1" applyFont="1" applyFill="1" applyBorder="1"/>
    <xf numFmtId="2" fontId="0" fillId="6" borderId="0" xfId="0" applyNumberFormat="1" applyFill="1" applyBorder="1"/>
    <xf numFmtId="0" fontId="25" fillId="0" borderId="0" xfId="0" applyFont="1" applyFill="1"/>
    <xf numFmtId="0" fontId="0" fillId="0" borderId="32" xfId="0" applyFont="1" applyFill="1" applyBorder="1"/>
    <xf numFmtId="179" fontId="22" fillId="4" borderId="66" xfId="2" applyNumberFormat="1" applyFont="1" applyFill="1" applyBorder="1" applyAlignment="1">
      <alignment horizontal="right" vertical="center"/>
    </xf>
    <xf numFmtId="179" fontId="22" fillId="4" borderId="20" xfId="2" applyNumberFormat="1" applyFont="1" applyFill="1" applyBorder="1" applyAlignment="1">
      <alignment horizontal="right" vertical="center"/>
    </xf>
    <xf numFmtId="179" fontId="22" fillId="4" borderId="67" xfId="2" applyNumberFormat="1" applyFont="1" applyFill="1" applyBorder="1" applyAlignment="1">
      <alignment horizontal="right" vertical="center"/>
    </xf>
    <xf numFmtId="9" fontId="0" fillId="4" borderId="118" xfId="0" applyNumberFormat="1" applyFill="1" applyBorder="1" applyAlignment="1">
      <alignment vertical="center"/>
    </xf>
    <xf numFmtId="177" fontId="0" fillId="4" borderId="118" xfId="0" applyNumberFormat="1" applyFill="1" applyBorder="1"/>
    <xf numFmtId="177" fontId="0" fillId="4" borderId="1" xfId="0" applyNumberFormat="1" applyFill="1" applyBorder="1"/>
    <xf numFmtId="0" fontId="0" fillId="0" borderId="0" xfId="0"/>
    <xf numFmtId="0" fontId="30" fillId="0" borderId="35" xfId="0" applyNumberFormat="1" applyFont="1" applyFill="1" applyBorder="1" applyAlignment="1">
      <alignment horizontal="right" vertical="center"/>
    </xf>
    <xf numFmtId="0" fontId="30" fillId="0" borderId="9" xfId="0" applyNumberFormat="1" applyFont="1" applyFill="1" applyBorder="1" applyAlignment="1">
      <alignment horizontal="right" vertical="center"/>
    </xf>
    <xf numFmtId="178" fontId="0" fillId="0" borderId="14" xfId="2" applyNumberFormat="1" applyFont="1" applyFill="1" applyBorder="1" applyAlignment="1">
      <alignment vertical="center"/>
    </xf>
    <xf numFmtId="0" fontId="0" fillId="0" borderId="0" xfId="0"/>
    <xf numFmtId="0" fontId="0" fillId="4" borderId="166" xfId="0" applyFill="1" applyBorder="1"/>
    <xf numFmtId="0" fontId="0" fillId="4" borderId="166" xfId="2" applyNumberFormat="1" applyFont="1" applyFill="1" applyBorder="1" applyAlignment="1">
      <alignment vertical="center"/>
    </xf>
    <xf numFmtId="0" fontId="0" fillId="5" borderId="7" xfId="0" applyFont="1" applyFill="1" applyBorder="1" applyAlignment="1">
      <alignment vertical="center"/>
    </xf>
    <xf numFmtId="177" fontId="38" fillId="5" borderId="7" xfId="0" applyNumberFormat="1" applyFont="1" applyFill="1" applyBorder="1" applyAlignment="1">
      <alignment vertical="center"/>
    </xf>
    <xf numFmtId="174" fontId="38" fillId="5" borderId="7" xfId="456" applyNumberFormat="1" applyFont="1" applyFill="1" applyBorder="1" applyAlignment="1">
      <alignment horizontal="center" vertical="center"/>
    </xf>
    <xf numFmtId="174" fontId="38" fillId="5" borderId="191" xfId="456" applyNumberFormat="1" applyFont="1" applyFill="1" applyBorder="1" applyAlignment="1">
      <alignment horizontal="center" vertical="center"/>
    </xf>
    <xf numFmtId="0" fontId="0" fillId="5" borderId="192" xfId="0" applyFont="1" applyFill="1" applyBorder="1" applyAlignment="1">
      <alignment vertical="center"/>
    </xf>
    <xf numFmtId="177" fontId="38" fillId="5" borderId="192" xfId="0" applyNumberFormat="1" applyFont="1" applyFill="1" applyBorder="1" applyAlignment="1">
      <alignment vertical="center"/>
    </xf>
    <xf numFmtId="174" fontId="38" fillId="5" borderId="192" xfId="456" applyNumberFormat="1" applyFont="1" applyFill="1" applyBorder="1" applyAlignment="1">
      <alignment horizontal="center" vertical="center"/>
    </xf>
    <xf numFmtId="174" fontId="38" fillId="5" borderId="193" xfId="456" applyNumberFormat="1" applyFont="1" applyFill="1" applyBorder="1" applyAlignment="1">
      <alignment horizontal="center" vertical="center"/>
    </xf>
    <xf numFmtId="0" fontId="0" fillId="5" borderId="7" xfId="0" applyNumberFormat="1" applyFont="1" applyFill="1" applyBorder="1" applyAlignment="1">
      <alignment vertical="center"/>
    </xf>
    <xf numFmtId="0" fontId="0" fillId="5" borderId="192" xfId="0" applyNumberFormat="1" applyFont="1" applyFill="1" applyBorder="1" applyAlignment="1">
      <alignment vertical="center"/>
    </xf>
    <xf numFmtId="0" fontId="102" fillId="5" borderId="0" xfId="0" applyFont="1" applyFill="1" applyBorder="1" applyAlignment="1">
      <alignment horizontal="center" vertical="center"/>
    </xf>
    <xf numFmtId="0" fontId="102" fillId="5" borderId="0" xfId="0" applyNumberFormat="1" applyFont="1" applyFill="1" applyBorder="1" applyAlignment="1">
      <alignment horizontal="center" vertical="center"/>
    </xf>
    <xf numFmtId="0" fontId="102" fillId="5" borderId="12" xfId="0" applyNumberFormat="1" applyFont="1" applyFill="1" applyBorder="1" applyAlignment="1">
      <alignment horizontal="center" vertical="center"/>
    </xf>
    <xf numFmtId="0" fontId="102" fillId="5" borderId="194" xfId="0" applyNumberFormat="1" applyFont="1" applyFill="1" applyBorder="1" applyAlignment="1">
      <alignment horizontal="center" vertical="center"/>
    </xf>
    <xf numFmtId="179" fontId="40" fillId="4" borderId="0" xfId="2" applyNumberFormat="1" applyFont="1" applyFill="1" applyBorder="1"/>
    <xf numFmtId="198" fontId="0" fillId="57" borderId="0" xfId="2" applyNumberFormat="1" applyFont="1" applyFill="1" applyBorder="1" applyAlignment="1">
      <alignment vertical="center"/>
    </xf>
    <xf numFmtId="209" fontId="0" fillId="19" borderId="0" xfId="1" applyNumberFormat="1" applyFont="1" applyFill="1" applyBorder="1" applyAlignment="1">
      <alignment vertical="center"/>
    </xf>
    <xf numFmtId="0" fontId="0" fillId="0" borderId="0" xfId="0" quotePrefix="1" applyFont="1" applyAlignment="1">
      <alignment vertical="center"/>
    </xf>
    <xf numFmtId="179" fontId="0" fillId="5" borderId="22" xfId="2" applyNumberFormat="1" applyFont="1" applyFill="1" applyBorder="1" applyAlignment="1">
      <alignment vertical="center"/>
    </xf>
    <xf numFmtId="179" fontId="32" fillId="5" borderId="7" xfId="2" applyNumberFormat="1" applyFont="1" applyFill="1" applyBorder="1"/>
    <xf numFmtId="2" fontId="0" fillId="15" borderId="0" xfId="0" applyNumberFormat="1" applyFill="1" applyBorder="1"/>
    <xf numFmtId="174" fontId="0" fillId="15" borderId="0" xfId="2" applyNumberFormat="1" applyFont="1" applyFill="1" applyBorder="1" applyAlignment="1">
      <alignment horizontal="right" vertical="center"/>
    </xf>
    <xf numFmtId="0" fontId="104" fillId="0" borderId="0" xfId="4" applyNumberFormat="1" applyFont="1"/>
    <xf numFmtId="0" fontId="104" fillId="6" borderId="32" xfId="4" applyNumberFormat="1" applyFont="1" applyFill="1" applyBorder="1"/>
    <xf numFmtId="0" fontId="104" fillId="6" borderId="0" xfId="4" applyNumberFormat="1" applyFont="1" applyFill="1" applyBorder="1"/>
    <xf numFmtId="178" fontId="104" fillId="6" borderId="0" xfId="4" applyNumberFormat="1" applyFont="1" applyFill="1" applyBorder="1"/>
    <xf numFmtId="178" fontId="104" fillId="6" borderId="33" xfId="4" applyNumberFormat="1" applyFont="1" applyFill="1" applyBorder="1"/>
    <xf numFmtId="178" fontId="104" fillId="0" borderId="0" xfId="4" applyNumberFormat="1" applyFont="1"/>
    <xf numFmtId="183" fontId="104" fillId="0" borderId="0" xfId="4" applyNumberFormat="1" applyFont="1"/>
    <xf numFmtId="0" fontId="50" fillId="6" borderId="0" xfId="0" applyFont="1" applyFill="1" applyBorder="1"/>
    <xf numFmtId="179" fontId="32" fillId="6" borderId="7" xfId="2" applyNumberFormat="1" applyFont="1" applyFill="1" applyBorder="1" applyAlignment="1">
      <alignment vertical="center"/>
    </xf>
    <xf numFmtId="0" fontId="25" fillId="6" borderId="0" xfId="0" applyFont="1" applyFill="1"/>
    <xf numFmtId="0" fontId="102" fillId="5" borderId="8" xfId="0" applyFont="1" applyFill="1" applyBorder="1" applyAlignment="1">
      <alignment vertical="center"/>
    </xf>
    <xf numFmtId="179" fontId="42" fillId="6" borderId="0" xfId="4" applyNumberFormat="1" applyFill="1" applyBorder="1"/>
    <xf numFmtId="179" fontId="0" fillId="6" borderId="0" xfId="2" applyNumberFormat="1" applyFont="1" applyFill="1" applyBorder="1"/>
    <xf numFmtId="0" fontId="120" fillId="16" borderId="8" xfId="4" applyNumberFormat="1" applyFont="1" applyFill="1" applyBorder="1" applyAlignment="1">
      <alignment vertical="center"/>
    </xf>
    <xf numFmtId="179" fontId="222" fillId="16" borderId="0" xfId="2" applyNumberFormat="1" applyFont="1" applyFill="1"/>
    <xf numFmtId="0" fontId="0" fillId="0" borderId="0" xfId="0"/>
    <xf numFmtId="0" fontId="0" fillId="0" borderId="0" xfId="0"/>
    <xf numFmtId="0" fontId="0" fillId="0" borderId="195" xfId="0" applyBorder="1"/>
    <xf numFmtId="0" fontId="0" fillId="0" borderId="76" xfId="0" applyBorder="1"/>
    <xf numFmtId="191" fontId="0" fillId="0" borderId="196" xfId="2" applyNumberFormat="1" applyFont="1" applyBorder="1"/>
    <xf numFmtId="1" fontId="30" fillId="4" borderId="11" xfId="0" applyNumberFormat="1" applyFont="1" applyFill="1" applyBorder="1" applyAlignment="1">
      <alignment horizontal="right" vertical="center"/>
    </xf>
    <xf numFmtId="178" fontId="0" fillId="6" borderId="7" xfId="2" applyNumberFormat="1" applyFont="1" applyFill="1" applyBorder="1" applyAlignment="1">
      <alignment vertical="center"/>
    </xf>
    <xf numFmtId="0" fontId="32" fillId="6" borderId="118" xfId="0" applyFont="1" applyFill="1" applyBorder="1" applyAlignment="1">
      <alignment vertical="center"/>
    </xf>
    <xf numFmtId="178" fontId="32" fillId="6" borderId="118" xfId="0" applyNumberFormat="1" applyFont="1" applyFill="1" applyBorder="1" applyAlignment="1">
      <alignment vertical="center"/>
    </xf>
    <xf numFmtId="0" fontId="0" fillId="0" borderId="0" xfId="0"/>
    <xf numFmtId="0" fontId="0" fillId="15" borderId="0" xfId="0" applyFill="1" applyBorder="1" applyAlignment="1">
      <alignment vertical="center"/>
    </xf>
    <xf numFmtId="0" fontId="35" fillId="15" borderId="0" xfId="0" applyFont="1" applyFill="1"/>
    <xf numFmtId="178" fontId="0" fillId="19" borderId="7" xfId="2" applyNumberFormat="1" applyFont="1" applyFill="1" applyBorder="1" applyAlignment="1">
      <alignment vertical="center"/>
    </xf>
    <xf numFmtId="0" fontId="0" fillId="19" borderId="118" xfId="0" applyFill="1" applyBorder="1" applyAlignment="1">
      <alignment vertical="center"/>
    </xf>
    <xf numFmtId="0" fontId="0" fillId="19" borderId="118" xfId="0" applyFont="1" applyFill="1" applyBorder="1" applyAlignment="1">
      <alignment vertical="center"/>
    </xf>
    <xf numFmtId="0" fontId="102" fillId="19" borderId="0" xfId="0" applyFont="1" applyFill="1" applyBorder="1" applyAlignment="1">
      <alignment vertical="center"/>
    </xf>
    <xf numFmtId="0" fontId="43" fillId="0" borderId="0" xfId="0" applyFont="1" applyFill="1" applyBorder="1"/>
    <xf numFmtId="0" fontId="30" fillId="15" borderId="9" xfId="0" applyFont="1" applyFill="1" applyBorder="1" applyAlignment="1">
      <alignment vertical="center"/>
    </xf>
    <xf numFmtId="0" fontId="30" fillId="15" borderId="9" xfId="0" applyNumberFormat="1" applyFont="1" applyFill="1" applyBorder="1" applyAlignment="1">
      <alignment horizontal="left" vertical="center"/>
    </xf>
    <xf numFmtId="0" fontId="30" fillId="15" borderId="0" xfId="0" applyFont="1" applyFill="1" applyBorder="1" applyAlignment="1">
      <alignment vertical="center"/>
    </xf>
    <xf numFmtId="0" fontId="22" fillId="15" borderId="0" xfId="0" applyFont="1" applyFill="1" applyBorder="1" applyAlignment="1">
      <alignment vertical="center"/>
    </xf>
    <xf numFmtId="0" fontId="22" fillId="15" borderId="0" xfId="0" applyNumberFormat="1" applyFont="1" applyFill="1" applyBorder="1" applyAlignment="1">
      <alignment horizontal="right" vertical="center"/>
    </xf>
    <xf numFmtId="0" fontId="22" fillId="15" borderId="7" xfId="0" applyNumberFormat="1" applyFont="1" applyFill="1" applyBorder="1" applyAlignment="1">
      <alignment horizontal="left" vertical="center"/>
    </xf>
    <xf numFmtId="0" fontId="30" fillId="15" borderId="7" xfId="0" applyNumberFormat="1" applyFont="1" applyFill="1" applyBorder="1" applyAlignment="1">
      <alignment horizontal="left" vertical="center"/>
    </xf>
    <xf numFmtId="179" fontId="22" fillId="15" borderId="0" xfId="2" applyNumberFormat="1" applyFont="1" applyFill="1" applyBorder="1" applyAlignment="1">
      <alignment horizontal="right" vertical="center"/>
    </xf>
    <xf numFmtId="0" fontId="0" fillId="15" borderId="0" xfId="0" applyFill="1" applyBorder="1" applyAlignment="1">
      <alignment horizontal="left"/>
    </xf>
    <xf numFmtId="0" fontId="30" fillId="15" borderId="0" xfId="0" applyNumberFormat="1" applyFont="1" applyFill="1" applyBorder="1" applyAlignment="1">
      <alignment horizontal="left" vertical="center"/>
    </xf>
    <xf numFmtId="0" fontId="0" fillId="15" borderId="1" xfId="0" applyNumberFormat="1" applyFill="1" applyBorder="1" applyAlignment="1">
      <alignment vertical="center"/>
    </xf>
    <xf numFmtId="0" fontId="0" fillId="15" borderId="1" xfId="0" applyFill="1" applyBorder="1" applyAlignment="1">
      <alignment vertical="center"/>
    </xf>
    <xf numFmtId="179" fontId="0" fillId="15" borderId="1" xfId="2" applyNumberFormat="1" applyFont="1" applyFill="1" applyBorder="1" applyAlignment="1">
      <alignment vertical="center"/>
    </xf>
    <xf numFmtId="0" fontId="0" fillId="15" borderId="1" xfId="0" applyFill="1" applyBorder="1" applyAlignment="1">
      <alignment horizontal="left"/>
    </xf>
    <xf numFmtId="0" fontId="23" fillId="4" borderId="0" xfId="0" applyFont="1" applyFill="1" applyBorder="1" applyAlignment="1">
      <alignment horizontal="right"/>
    </xf>
    <xf numFmtId="0" fontId="23" fillId="4" borderId="0" xfId="0" applyNumberFormat="1" applyFont="1" applyFill="1" applyBorder="1"/>
    <xf numFmtId="190" fontId="38" fillId="4" borderId="0" xfId="4" applyNumberFormat="1" applyFont="1" applyFill="1" applyBorder="1"/>
    <xf numFmtId="0" fontId="38" fillId="4" borderId="31" xfId="4" applyNumberFormat="1" applyFont="1" applyFill="1" applyBorder="1"/>
    <xf numFmtId="0" fontId="38" fillId="0" borderId="0" xfId="4" applyNumberFormat="1" applyFont="1"/>
    <xf numFmtId="197" fontId="0" fillId="4" borderId="0" xfId="0" applyNumberFormat="1" applyFill="1" applyBorder="1" applyAlignment="1">
      <alignment vertical="center"/>
    </xf>
    <xf numFmtId="197" fontId="0" fillId="4" borderId="0" xfId="2" applyNumberFormat="1" applyFont="1" applyFill="1" applyBorder="1" applyAlignment="1">
      <alignment vertical="center"/>
    </xf>
    <xf numFmtId="0" fontId="32" fillId="15" borderId="0" xfId="0" quotePrefix="1" applyFont="1" applyFill="1" applyAlignment="1">
      <alignment horizontal="right"/>
    </xf>
    <xf numFmtId="178" fontId="32" fillId="15" borderId="0" xfId="0" applyNumberFormat="1" applyFont="1" applyFill="1" applyBorder="1" applyAlignment="1">
      <alignment horizontal="right" vertical="center"/>
    </xf>
    <xf numFmtId="0" fontId="0" fillId="0" borderId="0" xfId="0"/>
    <xf numFmtId="178" fontId="23" fillId="26" borderId="0" xfId="0" applyNumberFormat="1" applyFont="1" applyFill="1" applyBorder="1" applyAlignment="1">
      <alignment vertical="center"/>
    </xf>
    <xf numFmtId="178" fontId="223" fillId="6" borderId="0" xfId="0" applyNumberFormat="1" applyFont="1" applyFill="1" applyBorder="1" applyAlignment="1">
      <alignment vertical="center"/>
    </xf>
    <xf numFmtId="177" fontId="0" fillId="6" borderId="0" xfId="2" applyNumberFormat="1" applyFont="1" applyFill="1" applyBorder="1"/>
    <xf numFmtId="0" fontId="30" fillId="4" borderId="0" xfId="0" applyFont="1" applyFill="1" applyBorder="1" applyAlignment="1">
      <alignment horizontal="left" vertical="center"/>
    </xf>
    <xf numFmtId="39" fontId="38" fillId="4" borderId="0" xfId="2" applyNumberFormat="1" applyFont="1" applyFill="1" applyBorder="1" applyAlignment="1">
      <alignment vertical="center"/>
    </xf>
    <xf numFmtId="0" fontId="0" fillId="59" borderId="0" xfId="0" applyFill="1"/>
    <xf numFmtId="0" fontId="32" fillId="59" borderId="0" xfId="0" applyFont="1" applyFill="1"/>
    <xf numFmtId="0" fontId="32" fillId="59" borderId="0" xfId="0" applyFont="1" applyFill="1" applyAlignment="1">
      <alignment wrapText="1"/>
    </xf>
    <xf numFmtId="0" fontId="32" fillId="101" borderId="0" xfId="0" applyFont="1" applyFill="1"/>
    <xf numFmtId="177" fontId="0" fillId="0" borderId="0" xfId="0" applyNumberFormat="1"/>
    <xf numFmtId="9" fontId="0" fillId="15" borderId="7" xfId="0" applyNumberFormat="1" applyFill="1" applyBorder="1" applyAlignment="1">
      <alignment vertical="center"/>
    </xf>
    <xf numFmtId="9" fontId="0" fillId="15" borderId="0" xfId="0" applyNumberFormat="1" applyFill="1" applyBorder="1" applyAlignment="1">
      <alignment vertical="center"/>
    </xf>
    <xf numFmtId="0" fontId="0" fillId="15" borderId="0" xfId="0" applyFill="1" applyBorder="1" applyAlignment="1">
      <alignment horizontal="right"/>
    </xf>
    <xf numFmtId="0" fontId="32" fillId="15" borderId="116" xfId="0" applyFont="1" applyFill="1" applyBorder="1" applyAlignment="1">
      <alignment horizontal="center"/>
    </xf>
    <xf numFmtId="0" fontId="0" fillId="15" borderId="116" xfId="0" applyFill="1" applyBorder="1"/>
    <xf numFmtId="10" fontId="0" fillId="15" borderId="116" xfId="0" applyNumberFormat="1" applyFill="1" applyBorder="1" applyAlignment="1">
      <alignment horizontal="center"/>
    </xf>
    <xf numFmtId="0" fontId="32" fillId="15" borderId="116" xfId="0" applyFont="1" applyFill="1" applyBorder="1"/>
    <xf numFmtId="0" fontId="0" fillId="15" borderId="1" xfId="0" applyFill="1" applyBorder="1"/>
    <xf numFmtId="2" fontId="0" fillId="15" borderId="1" xfId="0" applyNumberFormat="1" applyFill="1" applyBorder="1"/>
    <xf numFmtId="179" fontId="38" fillId="15" borderId="0" xfId="1060" applyNumberFormat="1" applyFont="1" applyFill="1" applyBorder="1" applyAlignment="1">
      <alignment vertical="center"/>
    </xf>
    <xf numFmtId="1" fontId="0" fillId="15" borderId="0" xfId="0" applyNumberFormat="1" applyFont="1" applyFill="1" applyBorder="1" applyAlignment="1">
      <alignment vertical="center"/>
    </xf>
    <xf numFmtId="2" fontId="0" fillId="15" borderId="0" xfId="0" applyNumberFormat="1" applyFont="1" applyFill="1" applyBorder="1" applyAlignment="1">
      <alignment vertical="center"/>
    </xf>
    <xf numFmtId="2" fontId="0" fillId="15" borderId="0" xfId="0" applyNumberFormat="1" applyFill="1"/>
    <xf numFmtId="1" fontId="0" fillId="15" borderId="10" xfId="0" applyNumberFormat="1" applyFont="1" applyFill="1" applyBorder="1" applyAlignment="1">
      <alignment vertical="center"/>
    </xf>
    <xf numFmtId="2" fontId="0" fillId="15" borderId="10" xfId="0" applyNumberFormat="1" applyFont="1" applyFill="1" applyBorder="1" applyAlignment="1">
      <alignment vertical="center"/>
    </xf>
    <xf numFmtId="0" fontId="0" fillId="15" borderId="46" xfId="0" applyNumberFormat="1" applyFont="1" applyFill="1" applyBorder="1" applyAlignment="1">
      <alignment horizontal="center" vertical="center"/>
    </xf>
    <xf numFmtId="0" fontId="0" fillId="15" borderId="46" xfId="0" applyFont="1" applyFill="1" applyBorder="1" applyAlignment="1">
      <alignment vertical="center"/>
    </xf>
    <xf numFmtId="178" fontId="0" fillId="15" borderId="46" xfId="2" applyNumberFormat="1" applyFont="1" applyFill="1" applyBorder="1" applyAlignment="1">
      <alignment vertical="center"/>
    </xf>
    <xf numFmtId="0" fontId="0" fillId="15" borderId="0" xfId="0" applyNumberFormat="1" applyFont="1" applyFill="1" applyBorder="1" applyAlignment="1">
      <alignment vertical="center"/>
    </xf>
    <xf numFmtId="0" fontId="0" fillId="15" borderId="0" xfId="0" applyFont="1" applyFill="1" applyBorder="1" applyAlignment="1">
      <alignment vertical="center"/>
    </xf>
    <xf numFmtId="178" fontId="0" fillId="15" borderId="0" xfId="2" applyFont="1" applyFill="1" applyBorder="1" applyAlignment="1">
      <alignment vertical="center"/>
    </xf>
    <xf numFmtId="0" fontId="0" fillId="15" borderId="0" xfId="0" applyFont="1" applyFill="1" applyBorder="1" applyAlignment="1">
      <alignment horizontal="right" vertical="center"/>
    </xf>
    <xf numFmtId="0" fontId="0" fillId="15" borderId="0" xfId="0" applyFont="1" applyFill="1" applyBorder="1"/>
    <xf numFmtId="0" fontId="0" fillId="15" borderId="0" xfId="0" quotePrefix="1" applyFont="1" applyFill="1" applyBorder="1" applyAlignment="1">
      <alignment horizontal="right"/>
    </xf>
    <xf numFmtId="0" fontId="32" fillId="15" borderId="9" xfId="0" applyFont="1" applyFill="1" applyBorder="1" applyAlignment="1">
      <alignment vertical="center"/>
    </xf>
    <xf numFmtId="0" fontId="32" fillId="15" borderId="9" xfId="0" applyNumberFormat="1" applyFont="1" applyFill="1" applyBorder="1" applyAlignment="1">
      <alignment horizontal="right" vertical="center"/>
    </xf>
    <xf numFmtId="0" fontId="32" fillId="15" borderId="11" xfId="0" applyNumberFormat="1" applyFont="1" applyFill="1" applyBorder="1" applyAlignment="1">
      <alignment horizontal="right" vertical="center"/>
    </xf>
    <xf numFmtId="178" fontId="0" fillId="15" borderId="47" xfId="2" applyNumberFormat="1" applyFont="1" applyFill="1" applyBorder="1" applyAlignment="1">
      <alignment vertical="center"/>
    </xf>
    <xf numFmtId="190" fontId="23" fillId="15" borderId="0" xfId="1" applyNumberFormat="1" applyFont="1" applyFill="1" applyBorder="1" applyAlignment="1">
      <alignment vertical="center"/>
    </xf>
    <xf numFmtId="0" fontId="22" fillId="57" borderId="0" xfId="0" applyNumberFormat="1" applyFont="1" applyFill="1" applyBorder="1" applyAlignment="1">
      <alignment vertical="center"/>
    </xf>
    <xf numFmtId="178" fontId="22" fillId="57" borderId="0" xfId="2" applyFont="1" applyFill="1" applyBorder="1" applyAlignment="1">
      <alignment vertical="center"/>
    </xf>
    <xf numFmtId="178" fontId="30" fillId="57" borderId="0" xfId="2" applyFont="1" applyFill="1" applyBorder="1" applyAlignment="1">
      <alignment horizontal="right" vertical="center"/>
    </xf>
    <xf numFmtId="0" fontId="0" fillId="57" borderId="14" xfId="0" applyFill="1" applyBorder="1" applyAlignment="1">
      <alignment vertical="center"/>
    </xf>
    <xf numFmtId="179" fontId="0" fillId="57" borderId="14" xfId="2" applyNumberFormat="1" applyFont="1" applyFill="1" applyBorder="1" applyAlignment="1">
      <alignment vertical="center"/>
    </xf>
    <xf numFmtId="178" fontId="0" fillId="57" borderId="0" xfId="2" applyNumberFormat="1" applyFont="1" applyFill="1" applyBorder="1" applyAlignment="1">
      <alignment horizontal="right" vertical="center"/>
    </xf>
    <xf numFmtId="178" fontId="22" fillId="57" borderId="0" xfId="2" applyFont="1" applyFill="1" applyBorder="1" applyAlignment="1">
      <alignment horizontal="right" vertical="center"/>
    </xf>
    <xf numFmtId="179" fontId="0" fillId="57" borderId="14" xfId="2" applyNumberFormat="1" applyFont="1" applyFill="1" applyBorder="1"/>
    <xf numFmtId="179" fontId="0" fillId="57" borderId="15" xfId="2" applyNumberFormat="1" applyFont="1" applyFill="1" applyBorder="1"/>
    <xf numFmtId="174" fontId="32" fillId="6" borderId="0" xfId="0" applyNumberFormat="1" applyFont="1" applyFill="1"/>
    <xf numFmtId="9" fontId="0" fillId="0" borderId="0" xfId="0" applyNumberFormat="1"/>
    <xf numFmtId="0" fontId="32" fillId="6" borderId="0" xfId="0" applyFont="1" applyFill="1" applyAlignment="1">
      <alignment wrapText="1"/>
    </xf>
    <xf numFmtId="0" fontId="75" fillId="6" borderId="0" xfId="230" applyFill="1" applyAlignment="1" applyProtection="1"/>
    <xf numFmtId="2" fontId="32" fillId="6" borderId="0" xfId="0" applyNumberFormat="1" applyFont="1" applyFill="1"/>
    <xf numFmtId="0" fontId="0" fillId="0" borderId="0" xfId="0"/>
    <xf numFmtId="0" fontId="32" fillId="0" borderId="0" xfId="0" applyFont="1" applyAlignment="1">
      <alignment horizontal="center"/>
    </xf>
    <xf numFmtId="0" fontId="182" fillId="8" borderId="22" xfId="0" applyFont="1" applyFill="1" applyBorder="1" applyAlignment="1">
      <alignment horizontal="center" textRotation="90"/>
    </xf>
    <xf numFmtId="0" fontId="182" fillId="8" borderId="22" xfId="0" applyFont="1" applyFill="1" applyBorder="1" applyAlignment="1">
      <alignment horizontal="left" textRotation="90"/>
    </xf>
    <xf numFmtId="0" fontId="101" fillId="6" borderId="22" xfId="0" applyNumberFormat="1" applyFont="1" applyFill="1" applyBorder="1" applyAlignment="1">
      <alignment horizontal="center" vertical="center"/>
    </xf>
    <xf numFmtId="0" fontId="224" fillId="54" borderId="22" xfId="0" applyFont="1" applyFill="1" applyBorder="1" applyAlignment="1">
      <alignment horizontal="center" vertical="center"/>
    </xf>
    <xf numFmtId="0" fontId="225" fillId="12" borderId="22" xfId="0" applyNumberFormat="1" applyFont="1" applyFill="1" applyBorder="1" applyAlignment="1">
      <alignment vertical="center" wrapText="1"/>
    </xf>
    <xf numFmtId="0" fontId="225" fillId="12" borderId="22" xfId="0" applyNumberFormat="1" applyFont="1" applyFill="1" applyBorder="1" applyAlignment="1">
      <alignment horizontal="center" vertical="center" wrapText="1"/>
    </xf>
    <xf numFmtId="0" fontId="226" fillId="55" borderId="22" xfId="0" applyFont="1" applyFill="1" applyBorder="1" applyAlignment="1">
      <alignment horizontal="center" vertical="center" wrapText="1"/>
    </xf>
    <xf numFmtId="0" fontId="101" fillId="0" borderId="0" xfId="0" applyFont="1"/>
    <xf numFmtId="0" fontId="101" fillId="0" borderId="0" xfId="0" applyNumberFormat="1" applyFont="1" applyFill="1" applyBorder="1" applyAlignment="1">
      <alignment horizontal="center" vertical="center"/>
    </xf>
    <xf numFmtId="0" fontId="224" fillId="0" borderId="0" xfId="0" applyFont="1" applyFill="1" applyBorder="1" applyAlignment="1">
      <alignment horizontal="center" vertical="center"/>
    </xf>
    <xf numFmtId="0" fontId="43" fillId="8" borderId="33" xfId="0" applyFont="1" applyFill="1" applyBorder="1" applyAlignment="1">
      <alignment horizontal="center" textRotation="90"/>
    </xf>
    <xf numFmtId="0" fontId="43" fillId="8" borderId="22" xfId="0" applyFont="1" applyFill="1" applyBorder="1" applyAlignment="1">
      <alignment horizontal="center" textRotation="90"/>
    </xf>
    <xf numFmtId="0" fontId="38" fillId="6" borderId="33" xfId="0" applyNumberFormat="1" applyFont="1" applyFill="1" applyBorder="1" applyAlignment="1">
      <alignment horizontal="center" vertical="center"/>
    </xf>
    <xf numFmtId="0" fontId="0" fillId="60" borderId="0" xfId="0" applyFill="1" applyBorder="1" applyAlignment="1">
      <alignment horizontal="right"/>
    </xf>
    <xf numFmtId="0" fontId="227" fillId="15" borderId="0" xfId="0" applyFont="1" applyFill="1" applyBorder="1"/>
    <xf numFmtId="0" fontId="227" fillId="15" borderId="0" xfId="0" applyFont="1" applyFill="1"/>
    <xf numFmtId="0" fontId="227" fillId="15" borderId="0" xfId="0" applyFont="1" applyFill="1" applyBorder="1" applyAlignment="1">
      <alignment horizontal="left"/>
    </xf>
    <xf numFmtId="0" fontId="227" fillId="15" borderId="24" xfId="0" applyFont="1" applyFill="1" applyBorder="1"/>
    <xf numFmtId="179" fontId="0" fillId="15" borderId="0" xfId="2" applyNumberFormat="1" applyFont="1" applyFill="1" applyBorder="1" applyAlignment="1">
      <alignment vertical="center"/>
    </xf>
    <xf numFmtId="0" fontId="0" fillId="19" borderId="118" xfId="0" applyNumberFormat="1" applyFill="1" applyBorder="1" applyAlignment="1">
      <alignment vertical="center"/>
    </xf>
    <xf numFmtId="178" fontId="227" fillId="15" borderId="118" xfId="2" applyNumberFormat="1" applyFont="1" applyFill="1" applyBorder="1" applyAlignment="1">
      <alignment vertical="center"/>
    </xf>
    <xf numFmtId="185" fontId="38" fillId="0" borderId="0" xfId="1" applyNumberFormat="1" applyFont="1" applyFill="1" applyBorder="1" applyAlignment="1">
      <alignment vertical="center"/>
    </xf>
    <xf numFmtId="179" fontId="0" fillId="15" borderId="46" xfId="2" applyNumberFormat="1" applyFont="1" applyFill="1" applyBorder="1" applyAlignment="1">
      <alignment horizontal="right" vertical="center"/>
    </xf>
    <xf numFmtId="0" fontId="227" fillId="4" borderId="0" xfId="0" applyFont="1" applyFill="1" applyBorder="1"/>
    <xf numFmtId="0" fontId="38" fillId="4" borderId="0" xfId="0" applyNumberFormat="1" applyFont="1" applyFill="1" applyBorder="1" applyAlignment="1">
      <alignment horizontal="right" vertical="center"/>
    </xf>
    <xf numFmtId="0" fontId="38" fillId="4" borderId="33" xfId="0" applyFont="1" applyFill="1" applyBorder="1"/>
    <xf numFmtId="0" fontId="101" fillId="4" borderId="0" xfId="0" applyFont="1" applyFill="1" applyBorder="1"/>
    <xf numFmtId="0" fontId="101" fillId="4" borderId="0" xfId="0" applyNumberFormat="1" applyFont="1" applyFill="1" applyBorder="1"/>
    <xf numFmtId="1" fontId="0" fillId="10" borderId="0" xfId="0" applyNumberFormat="1" applyFill="1" applyBorder="1"/>
    <xf numFmtId="0" fontId="38" fillId="18" borderId="25" xfId="0" applyFont="1" applyFill="1" applyBorder="1"/>
    <xf numFmtId="2" fontId="0" fillId="4" borderId="0" xfId="0" applyNumberFormat="1" applyFill="1" applyBorder="1" applyAlignment="1">
      <alignment vertical="center"/>
    </xf>
    <xf numFmtId="0" fontId="0" fillId="4" borderId="166" xfId="0" applyNumberFormat="1" applyFill="1" applyBorder="1" applyAlignment="1">
      <alignment vertical="center"/>
    </xf>
    <xf numFmtId="0" fontId="32" fillId="4" borderId="166" xfId="0" applyFont="1" applyFill="1" applyBorder="1" applyAlignment="1">
      <alignment vertical="center"/>
    </xf>
    <xf numFmtId="172" fontId="192" fillId="4" borderId="166" xfId="2" applyNumberFormat="1" applyFont="1" applyFill="1" applyBorder="1" applyAlignment="1">
      <alignment horizontal="right" vertical="center"/>
    </xf>
    <xf numFmtId="9" fontId="192" fillId="4" borderId="166" xfId="2" applyNumberFormat="1" applyFont="1" applyFill="1" applyBorder="1" applyAlignment="1">
      <alignment horizontal="right" vertical="center"/>
    </xf>
    <xf numFmtId="0" fontId="58" fillId="64" borderId="0" xfId="0" applyFont="1" applyFill="1" applyBorder="1"/>
    <xf numFmtId="0" fontId="0" fillId="64" borderId="0" xfId="0" applyFill="1" applyBorder="1"/>
    <xf numFmtId="2" fontId="192" fillId="4" borderId="166" xfId="2" applyNumberFormat="1" applyFont="1" applyFill="1" applyBorder="1" applyAlignment="1">
      <alignment horizontal="right" vertical="center"/>
    </xf>
    <xf numFmtId="2" fontId="0" fillId="4" borderId="0" xfId="0" applyNumberFormat="1" applyFill="1" applyBorder="1" applyAlignment="1">
      <alignment horizontal="right"/>
    </xf>
    <xf numFmtId="2" fontId="30" fillId="4" borderId="9" xfId="0" applyNumberFormat="1" applyFont="1" applyFill="1" applyBorder="1" applyAlignment="1">
      <alignment horizontal="right" vertical="center"/>
    </xf>
    <xf numFmtId="2" fontId="30" fillId="4" borderId="11" xfId="0" applyNumberFormat="1" applyFont="1" applyFill="1" applyBorder="1" applyAlignment="1">
      <alignment horizontal="right" vertical="center"/>
    </xf>
    <xf numFmtId="174" fontId="192" fillId="4" borderId="166" xfId="2" applyNumberFormat="1" applyFont="1" applyFill="1" applyBorder="1" applyAlignment="1">
      <alignment vertical="center"/>
    </xf>
    <xf numFmtId="0" fontId="195" fillId="4" borderId="1" xfId="0" applyFont="1" applyFill="1" applyBorder="1" applyAlignment="1">
      <alignment horizontal="left" vertical="center" wrapText="1"/>
    </xf>
    <xf numFmtId="1" fontId="0" fillId="4" borderId="1" xfId="2" applyNumberFormat="1" applyFont="1" applyFill="1" applyBorder="1" applyAlignment="1">
      <alignment horizontal="right"/>
    </xf>
    <xf numFmtId="177" fontId="195" fillId="4" borderId="0" xfId="1" applyNumberFormat="1" applyFont="1" applyFill="1" applyBorder="1"/>
    <xf numFmtId="177" fontId="111" fillId="4" borderId="0" xfId="1" applyNumberFormat="1" applyFont="1" applyFill="1" applyBorder="1" applyAlignment="1">
      <alignment vertical="center"/>
    </xf>
    <xf numFmtId="177" fontId="0" fillId="4" borderId="1" xfId="2" applyNumberFormat="1" applyFont="1" applyFill="1" applyBorder="1" applyAlignment="1">
      <alignment horizontal="right"/>
    </xf>
    <xf numFmtId="177" fontId="0" fillId="4" borderId="1" xfId="0" applyNumberFormat="1" applyFill="1" applyBorder="1" applyAlignment="1">
      <alignment horizontal="right"/>
    </xf>
    <xf numFmtId="177" fontId="195" fillId="4" borderId="1" xfId="1" applyNumberFormat="1" applyFont="1" applyFill="1" applyBorder="1"/>
    <xf numFmtId="174" fontId="195" fillId="4" borderId="1" xfId="1" applyNumberFormat="1" applyFont="1" applyFill="1" applyBorder="1"/>
    <xf numFmtId="174" fontId="30" fillId="4" borderId="0" xfId="0" applyNumberFormat="1" applyFont="1" applyFill="1" applyBorder="1" applyAlignment="1">
      <alignment horizontal="right" vertical="center"/>
    </xf>
    <xf numFmtId="0" fontId="22" fillId="57" borderId="0" xfId="0" applyFont="1" applyFill="1"/>
    <xf numFmtId="0" fontId="191" fillId="16" borderId="32" xfId="0" applyFont="1" applyFill="1" applyBorder="1"/>
    <xf numFmtId="0" fontId="117" fillId="16" borderId="0" xfId="6" applyFont="1" applyFill="1"/>
    <xf numFmtId="0" fontId="22" fillId="16" borderId="0" xfId="0" applyFont="1" applyFill="1" applyBorder="1"/>
    <xf numFmtId="0" fontId="22" fillId="16" borderId="0" xfId="0" applyFont="1" applyFill="1"/>
    <xf numFmtId="0" fontId="117" fillId="16" borderId="0" xfId="6" applyNumberFormat="1" applyFont="1" applyFill="1"/>
    <xf numFmtId="179" fontId="117" fillId="16" borderId="0" xfId="2" applyNumberFormat="1" applyFont="1" applyFill="1"/>
    <xf numFmtId="0" fontId="191" fillId="16" borderId="33" xfId="0" applyFont="1" applyFill="1" applyBorder="1"/>
    <xf numFmtId="0" fontId="22" fillId="0" borderId="0" xfId="0" applyFont="1"/>
    <xf numFmtId="0" fontId="30" fillId="102" borderId="0" xfId="0" applyFont="1" applyFill="1"/>
    <xf numFmtId="0" fontId="22" fillId="102" borderId="0" xfId="0" applyFont="1" applyFill="1"/>
    <xf numFmtId="0" fontId="30" fillId="2" borderId="0" xfId="0" applyFont="1" applyFill="1"/>
    <xf numFmtId="0" fontId="22" fillId="2" borderId="0" xfId="0" applyFont="1" applyFill="1"/>
    <xf numFmtId="0" fontId="22" fillId="57" borderId="0" xfId="0" applyFont="1" applyFill="1" applyAlignment="1">
      <alignment vertical="center"/>
    </xf>
    <xf numFmtId="0" fontId="22" fillId="2" borderId="32" xfId="0" applyFont="1" applyFill="1" applyBorder="1" applyAlignment="1">
      <alignment vertical="center"/>
    </xf>
    <xf numFmtId="0" fontId="30" fillId="2" borderId="0" xfId="0" applyFont="1" applyFill="1" applyBorder="1" applyAlignment="1">
      <alignment horizontal="right" vertical="center"/>
    </xf>
    <xf numFmtId="0" fontId="22" fillId="0" borderId="0" xfId="0" applyFont="1" applyAlignment="1">
      <alignment vertical="center"/>
    </xf>
    <xf numFmtId="0" fontId="22" fillId="2" borderId="0" xfId="0" applyFont="1" applyFill="1" applyBorder="1" applyAlignment="1">
      <alignment horizontal="right" vertical="center"/>
    </xf>
    <xf numFmtId="0" fontId="123" fillId="2" borderId="0" xfId="0" applyFont="1" applyFill="1" applyBorder="1" applyAlignment="1">
      <alignment horizontal="right" vertical="center"/>
    </xf>
    <xf numFmtId="1" fontId="117" fillId="2" borderId="0" xfId="849" applyNumberFormat="1" applyFont="1" applyFill="1" applyAlignment="1">
      <alignment vertical="center"/>
    </xf>
    <xf numFmtId="0" fontId="125" fillId="2" borderId="0" xfId="0" applyFont="1" applyFill="1" applyBorder="1" applyAlignment="1">
      <alignment horizontal="right" vertical="center"/>
    </xf>
    <xf numFmtId="1" fontId="117" fillId="2" borderId="0" xfId="849" applyNumberFormat="1" applyFont="1" applyFill="1" applyBorder="1" applyAlignment="1">
      <alignment vertical="center"/>
    </xf>
    <xf numFmtId="0" fontId="30" fillId="9" borderId="0" xfId="0" applyFont="1" applyFill="1"/>
    <xf numFmtId="0" fontId="22" fillId="9" borderId="0" xfId="0" applyFont="1" applyFill="1"/>
    <xf numFmtId="0" fontId="22" fillId="6" borderId="0" xfId="0" applyFont="1" applyFill="1"/>
    <xf numFmtId="0" fontId="30" fillId="6" borderId="0" xfId="0" applyFont="1" applyFill="1"/>
    <xf numFmtId="0" fontId="22" fillId="6" borderId="0" xfId="0" applyFont="1" applyFill="1" applyAlignment="1">
      <alignment horizontal="right"/>
    </xf>
    <xf numFmtId="179" fontId="22" fillId="6" borderId="0" xfId="0" applyNumberFormat="1" applyFont="1" applyFill="1"/>
    <xf numFmtId="0" fontId="22" fillId="6" borderId="0" xfId="0" applyFont="1" applyFill="1" applyBorder="1" applyAlignment="1">
      <alignment horizontal="right"/>
    </xf>
    <xf numFmtId="179" fontId="22" fillId="6" borderId="0" xfId="0" applyNumberFormat="1" applyFont="1" applyFill="1" applyBorder="1" applyAlignment="1">
      <alignment horizontal="center"/>
    </xf>
    <xf numFmtId="0" fontId="22" fillId="6" borderId="0" xfId="0" applyFont="1" applyFill="1" applyBorder="1" applyAlignment="1">
      <alignment horizontal="left"/>
    </xf>
    <xf numFmtId="179" fontId="22" fillId="6" borderId="0" xfId="2" applyNumberFormat="1" applyFont="1" applyFill="1"/>
    <xf numFmtId="0" fontId="228" fillId="103" borderId="0" xfId="229" applyFont="1" applyFill="1" applyBorder="1" applyAlignment="1">
      <alignment horizontal="left"/>
    </xf>
    <xf numFmtId="179" fontId="22" fillId="6" borderId="0" xfId="0" applyNumberFormat="1" applyFont="1" applyFill="1" applyBorder="1" applyAlignment="1">
      <alignment horizontal="right"/>
    </xf>
    <xf numFmtId="179" fontId="22" fillId="0" borderId="0" xfId="0" applyNumberFormat="1" applyFont="1"/>
    <xf numFmtId="179" fontId="22" fillId="0" borderId="0" xfId="2" applyNumberFormat="1" applyFont="1"/>
    <xf numFmtId="0" fontId="22" fillId="57" borderId="0" xfId="0" applyFont="1" applyFill="1" applyBorder="1" applyAlignment="1">
      <alignment horizontal="right"/>
    </xf>
    <xf numFmtId="179" fontId="22" fillId="57" borderId="0" xfId="0" applyNumberFormat="1" applyFont="1" applyFill="1" applyBorder="1" applyAlignment="1">
      <alignment horizontal="center"/>
    </xf>
    <xf numFmtId="0" fontId="22" fillId="57" borderId="0" xfId="0" applyFont="1" applyFill="1" applyBorder="1" applyAlignment="1">
      <alignment horizontal="left"/>
    </xf>
    <xf numFmtId="0" fontId="22" fillId="0" borderId="0" xfId="0" applyFont="1" applyFill="1" applyBorder="1" applyAlignment="1">
      <alignment horizontal="right"/>
    </xf>
    <xf numFmtId="179" fontId="22" fillId="0" borderId="0" xfId="2" applyNumberFormat="1" applyFont="1" applyFill="1"/>
    <xf numFmtId="179" fontId="22" fillId="0" borderId="0" xfId="0" applyNumberFormat="1" applyFont="1" applyFill="1"/>
    <xf numFmtId="0" fontId="228" fillId="0" borderId="0" xfId="229" applyFont="1" applyFill="1" applyBorder="1" applyAlignment="1">
      <alignment horizontal="right"/>
    </xf>
    <xf numFmtId="181" fontId="22" fillId="0" borderId="0" xfId="2" applyNumberFormat="1" applyFont="1" applyFill="1"/>
    <xf numFmtId="181" fontId="22" fillId="0" borderId="0" xfId="0" applyNumberFormat="1" applyFont="1" applyFill="1"/>
    <xf numFmtId="0" fontId="30" fillId="2" borderId="0" xfId="0" applyFont="1" applyFill="1" applyAlignment="1">
      <alignment horizontal="right"/>
    </xf>
    <xf numFmtId="174" fontId="22" fillId="57" borderId="0" xfId="0" applyNumberFormat="1" applyFont="1" applyFill="1" applyBorder="1" applyAlignment="1">
      <alignment horizontal="right"/>
    </xf>
    <xf numFmtId="174" fontId="228" fillId="65" borderId="0" xfId="229" applyNumberFormat="1" applyFont="1" applyFill="1" applyBorder="1" applyAlignment="1">
      <alignment horizontal="right"/>
    </xf>
    <xf numFmtId="0" fontId="0" fillId="15" borderId="0" xfId="0" applyFill="1" applyAlignment="1">
      <alignment vertical="center"/>
    </xf>
    <xf numFmtId="0" fontId="32" fillId="15" borderId="0" xfId="0" applyFont="1" applyFill="1" applyAlignment="1">
      <alignment vertical="center"/>
    </xf>
    <xf numFmtId="0" fontId="182" fillId="0" borderId="0" xfId="0" applyFont="1"/>
    <xf numFmtId="0" fontId="229" fillId="6" borderId="0" xfId="0" applyFont="1" applyFill="1" applyBorder="1"/>
    <xf numFmtId="0" fontId="182" fillId="6" borderId="0" xfId="0" applyFont="1" applyFill="1" applyBorder="1"/>
    <xf numFmtId="0" fontId="101" fillId="6" borderId="0" xfId="0" applyFont="1" applyFill="1" applyBorder="1"/>
    <xf numFmtId="178" fontId="182" fillId="6" borderId="33" xfId="2" applyFont="1" applyFill="1" applyBorder="1"/>
    <xf numFmtId="178" fontId="182" fillId="0" borderId="0" xfId="2" applyFont="1"/>
    <xf numFmtId="0" fontId="227" fillId="6" borderId="32" xfId="0" applyFont="1" applyFill="1" applyBorder="1" applyAlignment="1">
      <alignment horizontal="left"/>
    </xf>
    <xf numFmtId="0" fontId="0" fillId="0" borderId="0" xfId="0"/>
    <xf numFmtId="0" fontId="0" fillId="4" borderId="0" xfId="0" applyNumberFormat="1" applyFill="1" applyBorder="1" applyAlignment="1">
      <alignment horizontal="center" vertical="center"/>
    </xf>
    <xf numFmtId="0" fontId="0" fillId="0" borderId="0" xfId="0"/>
    <xf numFmtId="9" fontId="100" fillId="4" borderId="0" xfId="0" applyNumberFormat="1" applyFont="1" applyFill="1" applyBorder="1" applyAlignment="1">
      <alignment vertical="center"/>
    </xf>
    <xf numFmtId="0" fontId="100" fillId="4" borderId="10" xfId="0" applyFont="1" applyFill="1" applyBorder="1" applyAlignment="1">
      <alignment vertical="center"/>
    </xf>
    <xf numFmtId="184" fontId="38" fillId="4" borderId="1" xfId="1" applyFont="1" applyFill="1" applyBorder="1" applyAlignment="1">
      <alignment vertical="center"/>
    </xf>
    <xf numFmtId="184" fontId="110" fillId="4" borderId="1" xfId="1" applyFont="1" applyFill="1" applyBorder="1" applyAlignment="1">
      <alignment vertical="center"/>
    </xf>
    <xf numFmtId="184" fontId="100" fillId="4" borderId="1" xfId="1" applyFont="1" applyFill="1" applyBorder="1" applyAlignment="1">
      <alignment vertical="center"/>
    </xf>
    <xf numFmtId="9" fontId="0" fillId="4" borderId="41" xfId="2" applyNumberFormat="1" applyFont="1" applyFill="1" applyBorder="1" applyAlignment="1">
      <alignment vertical="center"/>
    </xf>
    <xf numFmtId="0" fontId="25" fillId="0" borderId="32" xfId="0" applyFont="1" applyFill="1" applyBorder="1"/>
    <xf numFmtId="210" fontId="0" fillId="0" borderId="0" xfId="1" applyNumberFormat="1" applyFont="1"/>
    <xf numFmtId="211" fontId="38" fillId="4" borderId="0" xfId="2" applyNumberFormat="1" applyFont="1" applyFill="1" applyBorder="1" applyAlignment="1">
      <alignment vertical="center"/>
    </xf>
    <xf numFmtId="211" fontId="109" fillId="4" borderId="0" xfId="1060" applyNumberFormat="1" applyFont="1" applyFill="1" applyBorder="1" applyAlignment="1">
      <alignment vertical="center"/>
    </xf>
    <xf numFmtId="211" fontId="38" fillId="4" borderId="1" xfId="2" applyNumberFormat="1" applyFont="1" applyFill="1" applyBorder="1" applyAlignment="1">
      <alignment vertical="center"/>
    </xf>
    <xf numFmtId="9" fontId="23" fillId="4" borderId="0" xfId="1060" applyNumberFormat="1" applyFont="1" applyFill="1" applyBorder="1" applyAlignment="1">
      <alignment vertical="center"/>
    </xf>
    <xf numFmtId="9" fontId="23" fillId="4" borderId="12" xfId="1060" applyNumberFormat="1" applyFont="1" applyFill="1" applyBorder="1" applyAlignment="1">
      <alignment horizontal="right" vertical="center"/>
    </xf>
    <xf numFmtId="9" fontId="23" fillId="4" borderId="0" xfId="1060" applyNumberFormat="1" applyFont="1" applyFill="1" applyBorder="1" applyAlignment="1">
      <alignment horizontal="right" vertical="center"/>
    </xf>
    <xf numFmtId="211" fontId="22" fillId="0" borderId="0" xfId="2" applyNumberFormat="1" applyFont="1" applyFill="1" applyBorder="1" applyAlignment="1">
      <alignment horizontal="right"/>
    </xf>
    <xf numFmtId="181" fontId="0" fillId="6" borderId="0" xfId="2" applyNumberFormat="1" applyFont="1" applyFill="1" applyBorder="1"/>
    <xf numFmtId="183" fontId="35" fillId="6" borderId="0" xfId="2" applyNumberFormat="1" applyFont="1" applyFill="1" applyBorder="1"/>
    <xf numFmtId="0" fontId="25" fillId="0" borderId="0" xfId="0" applyFont="1" applyAlignment="1">
      <alignment horizontal="left" vertical="center" wrapText="1"/>
    </xf>
    <xf numFmtId="0" fontId="25" fillId="0" borderId="33" xfId="0" applyFont="1" applyBorder="1" applyAlignment="1">
      <alignment horizontal="left" vertical="center" wrapText="1"/>
    </xf>
    <xf numFmtId="0" fontId="32" fillId="5" borderId="64" xfId="0" applyFont="1" applyFill="1" applyBorder="1" applyAlignment="1">
      <alignment vertical="center"/>
    </xf>
    <xf numFmtId="0" fontId="32" fillId="5" borderId="64" xfId="0" applyFont="1" applyFill="1" applyBorder="1" applyAlignment="1">
      <alignment horizontal="left" vertical="center"/>
    </xf>
    <xf numFmtId="179" fontId="32" fillId="5" borderId="64" xfId="0" applyNumberFormat="1" applyFont="1" applyFill="1" applyBorder="1" applyAlignment="1">
      <alignment vertical="center"/>
    </xf>
    <xf numFmtId="179" fontId="0" fillId="5" borderId="0" xfId="0" applyNumberFormat="1" applyFont="1" applyFill="1" applyBorder="1" applyAlignment="1">
      <alignment vertical="center"/>
    </xf>
    <xf numFmtId="179" fontId="22" fillId="5" borderId="0" xfId="2" applyNumberFormat="1" applyFont="1" applyFill="1" applyAlignment="1">
      <alignment vertical="center"/>
    </xf>
    <xf numFmtId="0" fontId="22" fillId="5" borderId="7" xfId="0" applyFont="1" applyFill="1" applyBorder="1" applyAlignment="1">
      <alignment vertical="center"/>
    </xf>
    <xf numFmtId="0" fontId="0" fillId="5" borderId="7" xfId="0" applyNumberFormat="1" applyFill="1" applyBorder="1" applyAlignment="1">
      <alignment horizontal="left" vertical="center"/>
    </xf>
    <xf numFmtId="179" fontId="22" fillId="5" borderId="7" xfId="2" applyNumberFormat="1" applyFont="1" applyFill="1" applyBorder="1" applyAlignment="1">
      <alignment vertical="center"/>
    </xf>
    <xf numFmtId="179" fontId="22" fillId="5" borderId="118" xfId="2" applyNumberFormat="1" applyFont="1" applyFill="1" applyBorder="1" applyAlignment="1">
      <alignment vertical="center"/>
    </xf>
    <xf numFmtId="0" fontId="0" fillId="5" borderId="118" xfId="0" applyNumberFormat="1" applyFill="1" applyBorder="1" applyAlignment="1">
      <alignment horizontal="left" vertical="center"/>
    </xf>
    <xf numFmtId="0" fontId="102" fillId="5" borderId="16" xfId="0" applyFont="1" applyFill="1" applyBorder="1" applyAlignment="1">
      <alignment vertical="center"/>
    </xf>
    <xf numFmtId="179" fontId="22" fillId="6" borderId="0" xfId="0" applyNumberFormat="1" applyFont="1" applyFill="1" applyBorder="1" applyAlignment="1">
      <alignment horizontal="left"/>
    </xf>
    <xf numFmtId="0" fontId="28" fillId="14" borderId="25" xfId="0" applyFont="1" applyFill="1" applyBorder="1" applyAlignment="1">
      <alignment vertical="center"/>
    </xf>
    <xf numFmtId="0" fontId="25" fillId="15" borderId="32" xfId="0" applyFont="1" applyFill="1" applyBorder="1"/>
    <xf numFmtId="0" fontId="32" fillId="15" borderId="0" xfId="0" applyNumberFormat="1" applyFont="1" applyFill="1" applyBorder="1" applyAlignment="1">
      <alignment vertical="center"/>
    </xf>
    <xf numFmtId="0" fontId="32" fillId="15" borderId="0" xfId="0" applyFont="1" applyFill="1" applyBorder="1" applyAlignment="1">
      <alignment vertical="center"/>
    </xf>
    <xf numFmtId="4" fontId="0" fillId="15" borderId="0" xfId="2" applyNumberFormat="1" applyFont="1" applyFill="1" applyBorder="1" applyAlignment="1">
      <alignment vertical="center"/>
    </xf>
    <xf numFmtId="0" fontId="0" fillId="15" borderId="33" xfId="0" applyFill="1" applyBorder="1"/>
    <xf numFmtId="0" fontId="102" fillId="15" borderId="115" xfId="0" applyFont="1" applyFill="1" applyBorder="1" applyAlignment="1">
      <alignment vertical="center"/>
    </xf>
    <xf numFmtId="0" fontId="102" fillId="15" borderId="116" xfId="0" applyFont="1" applyFill="1" applyBorder="1" applyAlignment="1">
      <alignment horizontal="center" vertical="center"/>
    </xf>
    <xf numFmtId="0" fontId="102" fillId="15" borderId="136" xfId="0" applyFont="1" applyFill="1" applyBorder="1" applyAlignment="1">
      <alignment horizontal="left" vertical="center"/>
    </xf>
    <xf numFmtId="0" fontId="30" fillId="15" borderId="116" xfId="0" applyNumberFormat="1" applyFont="1" applyFill="1" applyBorder="1" applyAlignment="1">
      <alignment horizontal="left" vertical="center"/>
    </xf>
    <xf numFmtId="4" fontId="32" fillId="15" borderId="117" xfId="2" applyNumberFormat="1" applyFont="1" applyFill="1" applyBorder="1" applyAlignment="1">
      <alignment vertical="center"/>
    </xf>
    <xf numFmtId="0" fontId="0" fillId="15" borderId="39" xfId="0" applyFont="1" applyFill="1" applyBorder="1" applyAlignment="1">
      <alignment vertical="center"/>
    </xf>
    <xf numFmtId="177" fontId="0" fillId="15" borderId="0" xfId="0" applyNumberFormat="1" applyFont="1" applyFill="1" applyBorder="1" applyAlignment="1">
      <alignment vertical="center"/>
    </xf>
    <xf numFmtId="177" fontId="0" fillId="15" borderId="40" xfId="0" applyNumberFormat="1" applyFont="1" applyFill="1" applyBorder="1" applyAlignment="1">
      <alignment vertical="center"/>
    </xf>
    <xf numFmtId="177" fontId="0" fillId="15" borderId="7" xfId="0" applyNumberFormat="1" applyFont="1" applyFill="1" applyBorder="1" applyAlignment="1">
      <alignment vertical="center"/>
    </xf>
    <xf numFmtId="177" fontId="0" fillId="15" borderId="102" xfId="0" applyNumberFormat="1" applyFont="1" applyFill="1" applyBorder="1" applyAlignment="1">
      <alignment vertical="center"/>
    </xf>
    <xf numFmtId="0" fontId="32" fillId="15" borderId="115" xfId="0" applyFont="1" applyFill="1" applyBorder="1" applyAlignment="1">
      <alignment vertical="center"/>
    </xf>
    <xf numFmtId="177" fontId="0" fillId="15" borderId="116" xfId="0" applyNumberFormat="1" applyFont="1" applyFill="1" applyBorder="1" applyAlignment="1">
      <alignment vertical="center"/>
    </xf>
    <xf numFmtId="177" fontId="0" fillId="15" borderId="117" xfId="0" applyNumberFormat="1" applyFont="1" applyFill="1" applyBorder="1" applyAlignment="1">
      <alignment vertical="center"/>
    </xf>
    <xf numFmtId="0" fontId="0" fillId="15" borderId="0" xfId="0" applyNumberFormat="1" applyFill="1" applyBorder="1" applyAlignment="1">
      <alignment vertical="center"/>
    </xf>
    <xf numFmtId="0" fontId="230" fillId="0" borderId="0" xfId="0" applyFont="1" applyAlignment="1">
      <alignment vertical="top" wrapText="1"/>
    </xf>
    <xf numFmtId="0" fontId="230" fillId="0" borderId="0" xfId="0" applyFont="1" applyAlignment="1">
      <alignment horizontal="justify" vertical="top"/>
    </xf>
    <xf numFmtId="0" fontId="0" fillId="0" borderId="0" xfId="0"/>
    <xf numFmtId="181" fontId="23" fillId="0" borderId="0" xfId="2" applyNumberFormat="1" applyFont="1"/>
    <xf numFmtId="181" fontId="23" fillId="15" borderId="0" xfId="2" applyNumberFormat="1" applyFont="1" applyFill="1"/>
    <xf numFmtId="183" fontId="23" fillId="0" borderId="0" xfId="2" applyNumberFormat="1" applyFont="1"/>
    <xf numFmtId="183" fontId="23" fillId="15" borderId="0" xfId="2" applyNumberFormat="1" applyFont="1" applyFill="1"/>
    <xf numFmtId="174" fontId="0" fillId="4" borderId="10" xfId="0" applyNumberFormat="1" applyFill="1" applyBorder="1" applyAlignment="1">
      <alignment vertical="center"/>
    </xf>
    <xf numFmtId="10" fontId="30" fillId="4" borderId="0" xfId="0" applyNumberFormat="1" applyFont="1" applyFill="1" applyBorder="1" applyAlignment="1">
      <alignment horizontal="center" vertical="center"/>
    </xf>
    <xf numFmtId="172" fontId="32" fillId="57" borderId="0" xfId="2" applyNumberFormat="1" applyFont="1" applyFill="1" applyBorder="1" applyAlignment="1">
      <alignment vertical="center"/>
    </xf>
    <xf numFmtId="174" fontId="32" fillId="4" borderId="46" xfId="2" applyNumberFormat="1" applyFont="1" applyFill="1" applyBorder="1" applyAlignment="1">
      <alignment vertical="center"/>
    </xf>
    <xf numFmtId="174" fontId="30" fillId="4" borderId="35" xfId="0" applyNumberFormat="1" applyFont="1" applyFill="1" applyBorder="1" applyAlignment="1">
      <alignment horizontal="right" vertical="center"/>
    </xf>
    <xf numFmtId="0" fontId="0" fillId="57" borderId="166" xfId="0" applyFill="1" applyBorder="1" applyAlignment="1">
      <alignment vertical="center" wrapText="1"/>
    </xf>
    <xf numFmtId="0" fontId="25" fillId="15" borderId="25" xfId="0" applyFont="1" applyFill="1" applyBorder="1" applyAlignment="1">
      <alignment vertical="center"/>
    </xf>
    <xf numFmtId="0" fontId="25" fillId="15" borderId="0" xfId="0" applyFont="1" applyFill="1" applyBorder="1" applyAlignment="1">
      <alignment vertical="center"/>
    </xf>
    <xf numFmtId="0" fontId="230" fillId="57" borderId="0" xfId="0" applyFont="1" applyFill="1" applyAlignment="1">
      <alignment vertical="top" wrapText="1"/>
    </xf>
    <xf numFmtId="0" fontId="233" fillId="0" borderId="0" xfId="0" applyFont="1"/>
    <xf numFmtId="0" fontId="234" fillId="0" borderId="0" xfId="0" applyFont="1"/>
    <xf numFmtId="2" fontId="13" fillId="0" borderId="0" xfId="0" applyNumberFormat="1" applyFont="1"/>
    <xf numFmtId="179" fontId="0" fillId="0" borderId="0" xfId="2" applyNumberFormat="1" applyFont="1" applyAlignment="1">
      <alignment horizontal="right"/>
    </xf>
    <xf numFmtId="0" fontId="0" fillId="0" borderId="0" xfId="2" applyNumberFormat="1" applyFont="1"/>
    <xf numFmtId="0" fontId="0" fillId="0" borderId="0" xfId="0"/>
    <xf numFmtId="164" fontId="0" fillId="0" borderId="39" xfId="0" applyNumberFormat="1" applyBorder="1" applyAlignment="1">
      <alignment vertical="center"/>
    </xf>
    <xf numFmtId="174" fontId="22" fillId="0" borderId="0" xfId="0" applyNumberFormat="1" applyFont="1"/>
    <xf numFmtId="0" fontId="0" fillId="0" borderId="0" xfId="0"/>
    <xf numFmtId="0" fontId="0" fillId="0" borderId="0" xfId="0"/>
    <xf numFmtId="190" fontId="0" fillId="4" borderId="0" xfId="0" applyNumberFormat="1" applyFill="1" applyBorder="1"/>
    <xf numFmtId="174" fontId="0" fillId="4" borderId="24" xfId="0" applyNumberFormat="1" applyFill="1" applyBorder="1"/>
    <xf numFmtId="1" fontId="101" fillId="6" borderId="0" xfId="0" applyNumberFormat="1" applyFont="1" applyFill="1" applyBorder="1"/>
    <xf numFmtId="179" fontId="235" fillId="6" borderId="0" xfId="2" applyNumberFormat="1" applyFont="1" applyFill="1" applyBorder="1"/>
    <xf numFmtId="0" fontId="0" fillId="0" borderId="0" xfId="0"/>
    <xf numFmtId="0" fontId="0" fillId="0" borderId="0" xfId="0"/>
    <xf numFmtId="1" fontId="235" fillId="6" borderId="0" xfId="0" applyNumberFormat="1" applyFont="1" applyFill="1" applyBorder="1"/>
    <xf numFmtId="177" fontId="35" fillId="6" borderId="0" xfId="2" applyNumberFormat="1" applyFont="1" applyFill="1" applyBorder="1"/>
    <xf numFmtId="178" fontId="50" fillId="6" borderId="0" xfId="2" applyFont="1" applyFill="1" applyBorder="1"/>
    <xf numFmtId="178" fontId="50" fillId="16" borderId="0" xfId="2" applyFont="1" applyFill="1" applyBorder="1"/>
    <xf numFmtId="0" fontId="236" fillId="6" borderId="0" xfId="0" applyFont="1" applyFill="1" applyBorder="1"/>
    <xf numFmtId="0" fontId="50" fillId="57" borderId="0" xfId="0" applyFont="1" applyFill="1" applyBorder="1"/>
    <xf numFmtId="9" fontId="235" fillId="6" borderId="0" xfId="0" applyNumberFormat="1" applyFont="1" applyFill="1" applyBorder="1"/>
    <xf numFmtId="1" fontId="50" fillId="6" borderId="0" xfId="0" applyNumberFormat="1" applyFont="1" applyFill="1" applyBorder="1"/>
    <xf numFmtId="177" fontId="235" fillId="6" borderId="0" xfId="0" applyNumberFormat="1" applyFont="1" applyFill="1" applyBorder="1"/>
    <xf numFmtId="10" fontId="235" fillId="6" borderId="0" xfId="0" applyNumberFormat="1" applyFont="1" applyFill="1" applyBorder="1"/>
    <xf numFmtId="183" fontId="40" fillId="16" borderId="0" xfId="2" applyNumberFormat="1" applyFont="1" applyFill="1"/>
    <xf numFmtId="179" fontId="116" fillId="6" borderId="98" xfId="2" applyNumberFormat="1" applyFont="1" applyFill="1" applyBorder="1" applyAlignment="1">
      <alignment vertical="center"/>
    </xf>
    <xf numFmtId="9" fontId="0" fillId="6" borderId="0" xfId="0" applyNumberFormat="1" applyFill="1" applyBorder="1"/>
    <xf numFmtId="9" fontId="35" fillId="6" borderId="0" xfId="0" applyNumberFormat="1" applyFont="1" applyFill="1" applyBorder="1"/>
    <xf numFmtId="190" fontId="0" fillId="57" borderId="0" xfId="2" applyNumberFormat="1" applyFont="1" applyFill="1" applyBorder="1" applyAlignment="1">
      <alignment vertical="center"/>
    </xf>
    <xf numFmtId="0" fontId="182" fillId="98" borderId="0" xfId="0" applyFont="1" applyFill="1" applyBorder="1"/>
    <xf numFmtId="177" fontId="235" fillId="98" borderId="0" xfId="0" applyNumberFormat="1" applyFont="1" applyFill="1" applyBorder="1"/>
    <xf numFmtId="0" fontId="0" fillId="0" borderId="0" xfId="0"/>
    <xf numFmtId="10" fontId="0" fillId="4" borderId="12" xfId="2" applyNumberFormat="1" applyFont="1" applyFill="1" applyBorder="1" applyAlignment="1">
      <alignment vertical="center"/>
    </xf>
    <xf numFmtId="10" fontId="0" fillId="4" borderId="12" xfId="2" applyNumberFormat="1" applyFont="1" applyFill="1" applyBorder="1" applyAlignment="1">
      <alignment horizontal="right" vertical="center"/>
    </xf>
    <xf numFmtId="9" fontId="0" fillId="4" borderId="0" xfId="0" applyNumberFormat="1" applyFont="1" applyFill="1"/>
    <xf numFmtId="9" fontId="111" fillId="4" borderId="166" xfId="0" applyNumberFormat="1" applyFont="1" applyFill="1" applyBorder="1"/>
    <xf numFmtId="9" fontId="111" fillId="4" borderId="117" xfId="0" applyNumberFormat="1" applyFont="1" applyFill="1" applyBorder="1"/>
    <xf numFmtId="212" fontId="109" fillId="4" borderId="0" xfId="1060" applyNumberFormat="1" applyFont="1" applyFill="1" applyBorder="1" applyAlignment="1">
      <alignment vertical="center"/>
    </xf>
    <xf numFmtId="212" fontId="38" fillId="4" borderId="0" xfId="2" applyNumberFormat="1" applyFont="1" applyFill="1" applyBorder="1" applyAlignment="1">
      <alignment vertical="center"/>
    </xf>
    <xf numFmtId="212" fontId="38" fillId="4" borderId="1" xfId="2" applyNumberFormat="1" applyFont="1" applyFill="1" applyBorder="1" applyAlignment="1">
      <alignment vertical="center"/>
    </xf>
    <xf numFmtId="212" fontId="109" fillId="4" borderId="0" xfId="2" applyNumberFormat="1" applyFont="1" applyFill="1" applyBorder="1" applyAlignment="1">
      <alignment vertical="center"/>
    </xf>
    <xf numFmtId="212" fontId="38" fillId="4" borderId="1" xfId="1060" applyNumberFormat="1" applyFont="1" applyFill="1" applyBorder="1" applyAlignment="1">
      <alignment horizontal="right" vertical="center"/>
    </xf>
    <xf numFmtId="0" fontId="0" fillId="0" borderId="0" xfId="0"/>
    <xf numFmtId="0" fontId="0" fillId="0" borderId="0" xfId="0"/>
    <xf numFmtId="179" fontId="40" fillId="15" borderId="0" xfId="2" applyNumberFormat="1" applyFont="1" applyFill="1"/>
    <xf numFmtId="179" fontId="0" fillId="0" borderId="0" xfId="0" applyNumberFormat="1" applyFont="1" applyBorder="1" applyAlignment="1">
      <alignment vertical="center"/>
    </xf>
    <xf numFmtId="1" fontId="0" fillId="0" borderId="14" xfId="0" applyNumberFormat="1" applyBorder="1"/>
    <xf numFmtId="179" fontId="23" fillId="0" borderId="0" xfId="0" applyNumberFormat="1" applyFont="1" applyBorder="1" applyAlignment="1">
      <alignment vertical="center"/>
    </xf>
    <xf numFmtId="0" fontId="235" fillId="6" borderId="0" xfId="0" applyFont="1" applyFill="1" applyBorder="1"/>
    <xf numFmtId="178" fontId="22" fillId="0" borderId="0" xfId="0" applyNumberFormat="1" applyFont="1"/>
    <xf numFmtId="181" fontId="42" fillId="6" borderId="0" xfId="4" applyNumberFormat="1" applyFill="1" applyBorder="1"/>
    <xf numFmtId="177" fontId="22" fillId="57" borderId="0" xfId="0" applyNumberFormat="1" applyFont="1" applyFill="1" applyBorder="1" applyAlignment="1">
      <alignment horizontal="right"/>
    </xf>
    <xf numFmtId="179" fontId="30" fillId="6" borderId="0" xfId="2" applyNumberFormat="1" applyFont="1" applyFill="1"/>
    <xf numFmtId="9" fontId="22" fillId="6" borderId="0" xfId="0" applyNumberFormat="1" applyFont="1" applyFill="1" applyBorder="1" applyAlignment="1">
      <alignment horizontal="center"/>
    </xf>
    <xf numFmtId="177" fontId="22" fillId="6" borderId="0" xfId="0" applyNumberFormat="1" applyFont="1" applyFill="1" applyBorder="1" applyAlignment="1">
      <alignment horizontal="center"/>
    </xf>
    <xf numFmtId="2" fontId="35" fillId="63" borderId="0" xfId="0" applyNumberFormat="1" applyFont="1" applyFill="1" applyBorder="1"/>
    <xf numFmtId="2" fontId="22" fillId="57" borderId="0" xfId="0" applyNumberFormat="1" applyFont="1" applyFill="1" applyBorder="1" applyAlignment="1">
      <alignment horizontal="right"/>
    </xf>
    <xf numFmtId="179" fontId="22" fillId="0" borderId="0" xfId="2" applyNumberFormat="1" applyFont="1" applyAlignment="1">
      <alignment wrapText="1"/>
    </xf>
    <xf numFmtId="10" fontId="22" fillId="57" borderId="0" xfId="0" applyNumberFormat="1" applyFont="1" applyFill="1" applyBorder="1" applyAlignment="1">
      <alignment horizontal="right"/>
    </xf>
    <xf numFmtId="10" fontId="32" fillId="16" borderId="0" xfId="0" applyNumberFormat="1" applyFont="1" applyFill="1" applyBorder="1"/>
    <xf numFmtId="179" fontId="30" fillId="0" borderId="0" xfId="0" applyNumberFormat="1" applyFont="1" applyAlignment="1">
      <alignment wrapText="1"/>
    </xf>
    <xf numFmtId="179" fontId="30" fillId="0" borderId="0" xfId="0" applyNumberFormat="1" applyFont="1"/>
    <xf numFmtId="0" fontId="30" fillId="57" borderId="0" xfId="0" applyFont="1" applyFill="1" applyBorder="1" applyAlignment="1">
      <alignment horizontal="right" wrapText="1"/>
    </xf>
    <xf numFmtId="0" fontId="30" fillId="0" borderId="0" xfId="0" applyFont="1" applyAlignment="1">
      <alignment wrapText="1"/>
    </xf>
    <xf numFmtId="179" fontId="30" fillId="57" borderId="0" xfId="0" applyNumberFormat="1" applyFont="1" applyFill="1" applyBorder="1" applyAlignment="1">
      <alignment horizontal="center" wrapText="1"/>
    </xf>
    <xf numFmtId="0" fontId="30" fillId="57" borderId="0" xfId="0" applyFont="1" applyFill="1" applyBorder="1" applyAlignment="1">
      <alignment horizontal="left" wrapText="1"/>
    </xf>
    <xf numFmtId="179" fontId="30" fillId="0" borderId="0" xfId="2" applyNumberFormat="1" applyFont="1" applyAlignment="1">
      <alignment wrapText="1"/>
    </xf>
    <xf numFmtId="179" fontId="30" fillId="0" borderId="0" xfId="2" applyNumberFormat="1" applyFont="1"/>
    <xf numFmtId="0" fontId="0" fillId="0" borderId="0" xfId="0"/>
    <xf numFmtId="0" fontId="102" fillId="59" borderId="197" xfId="0" applyNumberFormat="1" applyFont="1" applyFill="1" applyBorder="1" applyAlignment="1">
      <alignment horizontal="center" vertical="center"/>
    </xf>
    <xf numFmtId="0" fontId="102" fillId="59" borderId="198" xfId="0" applyNumberFormat="1" applyFont="1" applyFill="1" applyBorder="1" applyAlignment="1">
      <alignment horizontal="center" vertical="center"/>
    </xf>
    <xf numFmtId="0" fontId="102" fillId="59" borderId="199" xfId="0" applyNumberFormat="1" applyFont="1" applyFill="1" applyBorder="1" applyAlignment="1">
      <alignment horizontal="center" vertical="center"/>
    </xf>
    <xf numFmtId="39" fontId="0" fillId="0" borderId="0" xfId="0" applyNumberFormat="1"/>
    <xf numFmtId="37" fontId="0" fillId="0" borderId="0" xfId="0" applyNumberFormat="1"/>
    <xf numFmtId="0" fontId="32" fillId="58" borderId="200" xfId="0" applyFont="1" applyFill="1" applyBorder="1"/>
    <xf numFmtId="0" fontId="0" fillId="58" borderId="201" xfId="0" applyFill="1" applyBorder="1"/>
    <xf numFmtId="0" fontId="0" fillId="58" borderId="202" xfId="0" applyFill="1" applyBorder="1"/>
    <xf numFmtId="0" fontId="32" fillId="0" borderId="144" xfId="0" applyFont="1" applyBorder="1"/>
    <xf numFmtId="0" fontId="0" fillId="0" borderId="72" xfId="0" applyBorder="1"/>
    <xf numFmtId="0" fontId="32" fillId="0" borderId="203" xfId="0" applyFont="1" applyBorder="1"/>
    <xf numFmtId="0" fontId="32" fillId="0" borderId="49" xfId="0" applyFont="1" applyBorder="1"/>
    <xf numFmtId="0" fontId="32" fillId="0" borderId="48" xfId="0" applyFont="1" applyBorder="1"/>
    <xf numFmtId="0" fontId="32" fillId="0" borderId="50" xfId="0" applyFont="1" applyBorder="1"/>
    <xf numFmtId="0" fontId="0" fillId="0" borderId="144" xfId="0" applyBorder="1"/>
    <xf numFmtId="177" fontId="0" fillId="0" borderId="144" xfId="0" applyNumberFormat="1" applyBorder="1"/>
    <xf numFmtId="0" fontId="0" fillId="0" borderId="203" xfId="0" applyBorder="1"/>
    <xf numFmtId="0" fontId="0" fillId="0" borderId="204" xfId="0" applyBorder="1"/>
    <xf numFmtId="177" fontId="0" fillId="0" borderId="205" xfId="0" applyNumberFormat="1" applyBorder="1"/>
    <xf numFmtId="0" fontId="0" fillId="58" borderId="200" xfId="0" applyFill="1" applyBorder="1"/>
    <xf numFmtId="0" fontId="32" fillId="58" borderId="201" xfId="0" applyFont="1" applyFill="1" applyBorder="1"/>
    <xf numFmtId="0" fontId="38" fillId="0" borderId="72" xfId="4" applyNumberFormat="1" applyFont="1" applyBorder="1"/>
    <xf numFmtId="0" fontId="23" fillId="0" borderId="72" xfId="0" applyFont="1" applyBorder="1"/>
    <xf numFmtId="0" fontId="32" fillId="0" borderId="48" xfId="0" applyFont="1" applyBorder="1" applyAlignment="1">
      <alignment wrapText="1"/>
    </xf>
    <xf numFmtId="0" fontId="32" fillId="0" borderId="48" xfId="0" applyFont="1" applyBorder="1" applyAlignment="1">
      <alignment horizontal="center" vertical="center" wrapText="1"/>
    </xf>
    <xf numFmtId="0" fontId="38" fillId="0" borderId="200" xfId="4" applyNumberFormat="1" applyFont="1" applyBorder="1"/>
    <xf numFmtId="0" fontId="43" fillId="0" borderId="49" xfId="4" applyNumberFormat="1" applyFont="1" applyBorder="1"/>
    <xf numFmtId="1" fontId="0" fillId="0" borderId="0" xfId="0" applyNumberFormat="1" applyBorder="1" applyAlignment="1">
      <alignment horizontal="center"/>
    </xf>
    <xf numFmtId="1" fontId="0" fillId="0" borderId="204" xfId="0" applyNumberFormat="1" applyBorder="1" applyAlignment="1">
      <alignment horizontal="center"/>
    </xf>
    <xf numFmtId="1" fontId="0" fillId="0" borderId="0" xfId="0" applyNumberFormat="1" applyAlignment="1">
      <alignment horizontal="center"/>
    </xf>
    <xf numFmtId="9" fontId="0" fillId="0" borderId="144" xfId="0" applyNumberFormat="1" applyBorder="1" applyAlignment="1">
      <alignment horizontal="center"/>
    </xf>
    <xf numFmtId="1" fontId="0" fillId="0" borderId="48" xfId="0" applyNumberFormat="1" applyBorder="1" applyAlignment="1">
      <alignment horizontal="center"/>
    </xf>
    <xf numFmtId="9" fontId="32" fillId="0" borderId="50" xfId="0" applyNumberFormat="1" applyFont="1" applyBorder="1" applyAlignment="1">
      <alignment horizontal="center"/>
    </xf>
    <xf numFmtId="1" fontId="0" fillId="0" borderId="201" xfId="0" applyNumberFormat="1" applyBorder="1" applyAlignment="1">
      <alignment horizontal="center"/>
    </xf>
    <xf numFmtId="9" fontId="0" fillId="0" borderId="50" xfId="0" applyNumberFormat="1" applyBorder="1" applyAlignment="1">
      <alignment horizontal="center"/>
    </xf>
    <xf numFmtId="0" fontId="32" fillId="0" borderId="50" xfId="0" applyFont="1" applyBorder="1" applyAlignment="1">
      <alignment horizontal="center" vertical="center"/>
    </xf>
    <xf numFmtId="0" fontId="0" fillId="0" borderId="0" xfId="0" applyBorder="1" applyAlignment="1">
      <alignment horizontal="center"/>
    </xf>
    <xf numFmtId="0" fontId="0" fillId="0" borderId="204" xfId="0" applyBorder="1" applyAlignment="1">
      <alignment horizontal="center"/>
    </xf>
    <xf numFmtId="9" fontId="0" fillId="0" borderId="205" xfId="0" applyNumberFormat="1" applyBorder="1" applyAlignment="1">
      <alignment horizontal="center"/>
    </xf>
    <xf numFmtId="0" fontId="22" fillId="0" borderId="40" xfId="0" applyFont="1" applyBorder="1"/>
    <xf numFmtId="179" fontId="22" fillId="0" borderId="39" xfId="2" applyNumberFormat="1" applyFont="1" applyBorder="1"/>
    <xf numFmtId="179" fontId="0" fillId="0" borderId="39" xfId="2" applyNumberFormat="1" applyFont="1" applyBorder="1"/>
    <xf numFmtId="179" fontId="0" fillId="0" borderId="41" xfId="2" applyNumberFormat="1" applyFont="1" applyBorder="1"/>
    <xf numFmtId="0" fontId="0" fillId="0" borderId="42" xfId="0" applyBorder="1"/>
    <xf numFmtId="179" fontId="22" fillId="0" borderId="39" xfId="0" applyNumberFormat="1" applyFont="1" applyBorder="1" applyAlignment="1">
      <alignment horizontal="center" vertical="center"/>
    </xf>
    <xf numFmtId="179" fontId="22" fillId="0" borderId="0" xfId="0" applyNumberFormat="1" applyFont="1" applyBorder="1" applyAlignment="1">
      <alignment horizontal="center" vertical="center"/>
    </xf>
    <xf numFmtId="1" fontId="22" fillId="57" borderId="0" xfId="0" applyNumberFormat="1" applyFont="1" applyFill="1" applyBorder="1" applyAlignment="1">
      <alignment horizontal="center" vertical="center"/>
    </xf>
    <xf numFmtId="1" fontId="22" fillId="0" borderId="0" xfId="0" applyNumberFormat="1" applyFont="1" applyBorder="1" applyAlignment="1">
      <alignment horizontal="center" vertical="center"/>
    </xf>
    <xf numFmtId="1" fontId="22" fillId="0" borderId="40" xfId="0" applyNumberFormat="1" applyFont="1" applyBorder="1" applyAlignment="1">
      <alignment horizontal="center" vertical="center"/>
    </xf>
    <xf numFmtId="177" fontId="22" fillId="57" borderId="39" xfId="0" applyNumberFormat="1" applyFont="1" applyFill="1" applyBorder="1" applyAlignment="1">
      <alignment horizontal="center" vertical="center"/>
    </xf>
    <xf numFmtId="177" fontId="22" fillId="57" borderId="0" xfId="0" applyNumberFormat="1" applyFont="1" applyFill="1" applyBorder="1" applyAlignment="1">
      <alignment horizontal="center" vertical="center"/>
    </xf>
    <xf numFmtId="2" fontId="22" fillId="57" borderId="0" xfId="0" applyNumberFormat="1" applyFont="1" applyFill="1" applyBorder="1" applyAlignment="1">
      <alignment horizontal="center" vertical="center"/>
    </xf>
    <xf numFmtId="2" fontId="22" fillId="57" borderId="40" xfId="0" applyNumberFormat="1" applyFont="1" applyFill="1" applyBorder="1" applyAlignment="1">
      <alignment horizontal="center" vertical="center"/>
    </xf>
    <xf numFmtId="179" fontId="22" fillId="0" borderId="41" xfId="0" applyNumberFormat="1" applyFont="1" applyBorder="1" applyAlignment="1">
      <alignment horizontal="center" vertical="center"/>
    </xf>
    <xf numFmtId="179" fontId="22" fillId="0" borderId="1" xfId="0" applyNumberFormat="1" applyFont="1" applyBorder="1" applyAlignment="1">
      <alignment horizontal="center" vertical="center"/>
    </xf>
    <xf numFmtId="1" fontId="22" fillId="57" borderId="1" xfId="0" applyNumberFormat="1" applyFont="1" applyFill="1" applyBorder="1" applyAlignment="1">
      <alignment horizontal="center" vertical="center"/>
    </xf>
    <xf numFmtId="1" fontId="22" fillId="0" borderId="1" xfId="0" applyNumberFormat="1" applyFont="1" applyBorder="1" applyAlignment="1">
      <alignment horizontal="center" vertical="center"/>
    </xf>
    <xf numFmtId="1" fontId="22" fillId="0" borderId="42" xfId="0" applyNumberFormat="1" applyFont="1" applyBorder="1" applyAlignment="1">
      <alignment horizontal="center" vertical="center"/>
    </xf>
    <xf numFmtId="177" fontId="22" fillId="57" borderId="41" xfId="0" applyNumberFormat="1" applyFont="1" applyFill="1" applyBorder="1" applyAlignment="1">
      <alignment horizontal="center" vertical="center"/>
    </xf>
    <xf numFmtId="177" fontId="22" fillId="57" borderId="1" xfId="0" applyNumberFormat="1" applyFont="1" applyFill="1" applyBorder="1" applyAlignment="1">
      <alignment horizontal="center" vertical="center"/>
    </xf>
    <xf numFmtId="2" fontId="22" fillId="57" borderId="1" xfId="0" applyNumberFormat="1" applyFont="1" applyFill="1" applyBorder="1" applyAlignment="1">
      <alignment horizontal="center" vertical="center"/>
    </xf>
    <xf numFmtId="2" fontId="22" fillId="57" borderId="42" xfId="0" applyNumberFormat="1" applyFont="1" applyFill="1" applyBorder="1" applyAlignment="1">
      <alignment horizontal="center" vertical="center"/>
    </xf>
    <xf numFmtId="179" fontId="30" fillId="58" borderId="166" xfId="0" applyNumberFormat="1" applyFont="1" applyFill="1" applyBorder="1" applyAlignment="1">
      <alignment horizontal="center"/>
    </xf>
    <xf numFmtId="0" fontId="30" fillId="58" borderId="166" xfId="0" applyFont="1" applyFill="1" applyBorder="1" applyAlignment="1">
      <alignment horizontal="center" wrapText="1"/>
    </xf>
    <xf numFmtId="0" fontId="30" fillId="58" borderId="117" xfId="0" applyFont="1" applyFill="1" applyBorder="1" applyAlignment="1">
      <alignment horizontal="center" wrapText="1"/>
    </xf>
    <xf numFmtId="179" fontId="30" fillId="58" borderId="115" xfId="0" applyNumberFormat="1" applyFont="1" applyFill="1" applyBorder="1" applyAlignment="1">
      <alignment horizontal="center" vertical="center" wrapText="1"/>
    </xf>
    <xf numFmtId="0" fontId="30" fillId="58" borderId="166" xfId="0" applyFont="1" applyFill="1" applyBorder="1" applyAlignment="1">
      <alignment horizontal="left" vertical="center" wrapText="1"/>
    </xf>
    <xf numFmtId="0" fontId="30" fillId="58" borderId="166" xfId="0" applyFont="1" applyFill="1" applyBorder="1" applyAlignment="1">
      <alignment vertical="center" wrapText="1"/>
    </xf>
    <xf numFmtId="0" fontId="30" fillId="58" borderId="117" xfId="0" applyFont="1" applyFill="1" applyBorder="1" applyAlignment="1">
      <alignment horizontal="center" vertical="center" wrapText="1"/>
    </xf>
    <xf numFmtId="0" fontId="30" fillId="58" borderId="166" xfId="0" applyFont="1" applyFill="1" applyBorder="1" applyAlignment="1">
      <alignment horizontal="center" vertical="center" wrapText="1"/>
    </xf>
    <xf numFmtId="179" fontId="0" fillId="0" borderId="39" xfId="2" applyNumberFormat="1" applyFont="1" applyFill="1" applyBorder="1"/>
    <xf numFmtId="0" fontId="32" fillId="58" borderId="0" xfId="0" applyFont="1" applyFill="1" applyAlignment="1">
      <alignment horizontal="center"/>
    </xf>
    <xf numFmtId="0" fontId="32" fillId="58" borderId="0" xfId="0" applyFont="1" applyFill="1" applyAlignment="1">
      <alignment horizontal="left"/>
    </xf>
    <xf numFmtId="0" fontId="32" fillId="0" borderId="115" xfId="0" applyFont="1" applyBorder="1"/>
    <xf numFmtId="0" fontId="32" fillId="0" borderId="166" xfId="0" applyFont="1" applyBorder="1"/>
    <xf numFmtId="0" fontId="32" fillId="0" borderId="166" xfId="0" applyFont="1" applyBorder="1" applyAlignment="1">
      <alignment wrapText="1"/>
    </xf>
    <xf numFmtId="0" fontId="32" fillId="0" borderId="117" xfId="0" applyFont="1" applyBorder="1" applyAlignment="1">
      <alignment wrapText="1"/>
    </xf>
    <xf numFmtId="177" fontId="0" fillId="0" borderId="0" xfId="0" applyNumberFormat="1" applyBorder="1"/>
    <xf numFmtId="177" fontId="0" fillId="0" borderId="204" xfId="0" applyNumberFormat="1" applyBorder="1"/>
    <xf numFmtId="179" fontId="30" fillId="58" borderId="166" xfId="0" applyNumberFormat="1" applyFont="1" applyFill="1" applyBorder="1" applyAlignment="1">
      <alignment horizontal="center" wrapText="1"/>
    </xf>
    <xf numFmtId="179" fontId="22" fillId="0" borderId="37" xfId="0" applyNumberFormat="1" applyFont="1" applyBorder="1" applyAlignment="1">
      <alignment horizontal="center" vertical="center"/>
    </xf>
    <xf numFmtId="179" fontId="22" fillId="0" borderId="118" xfId="0" applyNumberFormat="1" applyFont="1" applyBorder="1" applyAlignment="1">
      <alignment horizontal="center" vertical="center"/>
    </xf>
    <xf numFmtId="0" fontId="22" fillId="57" borderId="118" xfId="0" applyFont="1" applyFill="1" applyBorder="1" applyAlignment="1">
      <alignment horizontal="center" vertical="center"/>
    </xf>
    <xf numFmtId="0" fontId="22" fillId="0" borderId="118" xfId="0" applyFont="1" applyBorder="1" applyAlignment="1">
      <alignment horizontal="center" vertical="center"/>
    </xf>
    <xf numFmtId="0" fontId="22" fillId="0" borderId="38" xfId="0" applyFont="1" applyBorder="1" applyAlignment="1">
      <alignment horizontal="center" vertical="center"/>
    </xf>
    <xf numFmtId="179" fontId="22" fillId="57" borderId="37" xfId="0" applyNumberFormat="1" applyFont="1" applyFill="1" applyBorder="1" applyAlignment="1">
      <alignment horizontal="center" vertical="center"/>
    </xf>
    <xf numFmtId="0" fontId="22" fillId="57" borderId="38" xfId="0" applyFont="1" applyFill="1" applyBorder="1" applyAlignment="1">
      <alignment horizontal="center" vertical="center"/>
    </xf>
    <xf numFmtId="0" fontId="0" fillId="0" borderId="0" xfId="0"/>
    <xf numFmtId="0" fontId="32" fillId="0" borderId="0" xfId="0" applyFont="1" applyAlignment="1">
      <alignment horizontal="center"/>
    </xf>
    <xf numFmtId="178" fontId="237" fillId="6" borderId="0" xfId="4" applyNumberFormat="1" applyFont="1" applyFill="1" applyBorder="1"/>
    <xf numFmtId="0" fontId="124" fillId="6" borderId="0" xfId="4" applyNumberFormat="1" applyFont="1" applyFill="1" applyBorder="1"/>
    <xf numFmtId="178" fontId="238" fillId="6" borderId="0" xfId="4" applyNumberFormat="1" applyFont="1" applyFill="1" applyBorder="1"/>
    <xf numFmtId="178" fontId="53" fillId="6" borderId="0" xfId="4" applyNumberFormat="1" applyFont="1" applyFill="1" applyBorder="1"/>
    <xf numFmtId="0" fontId="53" fillId="6" borderId="0" xfId="4" applyNumberFormat="1" applyFont="1" applyFill="1" applyBorder="1"/>
    <xf numFmtId="178" fontId="123" fillId="6" borderId="0" xfId="2" applyFont="1" applyFill="1" applyBorder="1"/>
    <xf numFmtId="178" fontId="32" fillId="6" borderId="0" xfId="2" applyFont="1" applyFill="1" applyBorder="1"/>
    <xf numFmtId="178" fontId="125" fillId="6" borderId="0" xfId="2" applyFont="1" applyFill="1" applyBorder="1"/>
    <xf numFmtId="178" fontId="129" fillId="6" borderId="0" xfId="2" applyFont="1" applyFill="1" applyBorder="1"/>
    <xf numFmtId="9" fontId="23" fillId="6" borderId="0" xfId="2" applyNumberFormat="1" applyFont="1" applyFill="1" applyBorder="1"/>
    <xf numFmtId="0" fontId="0" fillId="6" borderId="118" xfId="0" applyFill="1" applyBorder="1"/>
    <xf numFmtId="178" fontId="32" fillId="6" borderId="118" xfId="2" applyFont="1" applyFill="1" applyBorder="1" applyAlignment="1">
      <alignment vertical="center"/>
    </xf>
    <xf numFmtId="178" fontId="125" fillId="6" borderId="118" xfId="2" applyFont="1" applyFill="1" applyBorder="1" applyAlignment="1">
      <alignment vertical="center"/>
    </xf>
    <xf numFmtId="178" fontId="0" fillId="6" borderId="118" xfId="2" applyFont="1" applyFill="1" applyBorder="1"/>
    <xf numFmtId="178" fontId="32" fillId="6" borderId="206" xfId="2" applyFont="1" applyFill="1" applyBorder="1" applyAlignment="1">
      <alignment vertical="center"/>
    </xf>
    <xf numFmtId="0" fontId="32" fillId="6" borderId="23" xfId="0" applyFont="1" applyFill="1" applyBorder="1" applyAlignment="1">
      <alignment vertical="center"/>
    </xf>
    <xf numFmtId="178" fontId="32" fillId="6" borderId="23" xfId="2" applyFont="1" applyFill="1" applyBorder="1" applyAlignment="1">
      <alignment vertical="center"/>
    </xf>
    <xf numFmtId="178" fontId="125" fillId="6" borderId="23" xfId="2" applyFont="1" applyFill="1" applyBorder="1" applyAlignment="1">
      <alignment vertical="center"/>
    </xf>
    <xf numFmtId="178" fontId="32" fillId="6" borderId="31" xfId="2" applyFont="1" applyFill="1" applyBorder="1" applyAlignment="1">
      <alignment vertical="center"/>
    </xf>
    <xf numFmtId="0" fontId="0" fillId="63" borderId="0" xfId="0" applyFont="1" applyFill="1" applyBorder="1" applyAlignment="1">
      <alignment horizontal="left" vertical="center"/>
    </xf>
    <xf numFmtId="174" fontId="0" fillId="63" borderId="0" xfId="1" applyNumberFormat="1" applyFont="1" applyFill="1" applyBorder="1"/>
    <xf numFmtId="209" fontId="0" fillId="63" borderId="0" xfId="1" applyNumberFormat="1" applyFont="1" applyFill="1" applyBorder="1"/>
    <xf numFmtId="2" fontId="0" fillId="63" borderId="0" xfId="1" applyNumberFormat="1" applyFont="1" applyFill="1" applyBorder="1"/>
    <xf numFmtId="1" fontId="0" fillId="63" borderId="0" xfId="1" applyNumberFormat="1" applyFont="1" applyFill="1" applyBorder="1"/>
    <xf numFmtId="0" fontId="32" fillId="63" borderId="0" xfId="0" applyFont="1" applyFill="1" applyBorder="1" applyAlignment="1">
      <alignment horizontal="left" vertical="center"/>
    </xf>
    <xf numFmtId="1" fontId="32" fillId="63" borderId="0" xfId="1" applyNumberFormat="1" applyFont="1" applyFill="1" applyBorder="1"/>
    <xf numFmtId="209" fontId="32" fillId="63" borderId="0" xfId="1" applyNumberFormat="1" applyFont="1" applyFill="1" applyBorder="1"/>
    <xf numFmtId="179" fontId="104" fillId="63" borderId="0" xfId="4" applyNumberFormat="1" applyFont="1" applyFill="1" applyBorder="1"/>
    <xf numFmtId="1" fontId="41" fillId="63" borderId="0" xfId="849" applyNumberFormat="1" applyFont="1" applyFill="1" applyAlignment="1">
      <alignment vertical="center"/>
    </xf>
    <xf numFmtId="179" fontId="0" fillId="63" borderId="33" xfId="0" applyNumberFormat="1" applyFill="1" applyBorder="1"/>
    <xf numFmtId="0" fontId="0" fillId="63" borderId="0" xfId="0" applyFill="1" applyBorder="1" applyAlignment="1">
      <alignment horizontal="center"/>
    </xf>
    <xf numFmtId="0" fontId="123" fillId="63" borderId="0" xfId="0" applyFont="1" applyFill="1" applyBorder="1" applyAlignment="1">
      <alignment horizontal="center"/>
    </xf>
    <xf numFmtId="9" fontId="0" fillId="63" borderId="0" xfId="0" quotePrefix="1" applyNumberFormat="1" applyFill="1" applyBorder="1"/>
    <xf numFmtId="0" fontId="0" fillId="63" borderId="0" xfId="0" quotePrefix="1" applyFill="1" applyBorder="1"/>
    <xf numFmtId="179" fontId="32" fillId="63" borderId="0" xfId="2" applyNumberFormat="1" applyFont="1" applyFill="1" applyBorder="1"/>
    <xf numFmtId="179" fontId="125" fillId="63" borderId="0" xfId="2" applyNumberFormat="1" applyFont="1" applyFill="1" applyBorder="1"/>
    <xf numFmtId="184" fontId="32" fillId="63" borderId="0" xfId="1" applyFont="1" applyFill="1" applyBorder="1"/>
    <xf numFmtId="0" fontId="32" fillId="63" borderId="33" xfId="0" applyFont="1" applyFill="1" applyBorder="1"/>
    <xf numFmtId="0" fontId="32" fillId="63" borderId="32" xfId="0" applyFont="1" applyFill="1" applyBorder="1"/>
    <xf numFmtId="184" fontId="35" fillId="63" borderId="0" xfId="1" applyFont="1" applyFill="1" applyBorder="1"/>
    <xf numFmtId="0" fontId="43" fillId="63" borderId="0" xfId="0" applyFont="1" applyFill="1" applyBorder="1"/>
    <xf numFmtId="0" fontId="43" fillId="63" borderId="0" xfId="0" applyFont="1" applyFill="1" applyBorder="1" applyAlignment="1">
      <alignment horizontal="left" vertical="center"/>
    </xf>
    <xf numFmtId="0" fontId="49" fillId="63" borderId="0" xfId="0" applyFont="1" applyFill="1" applyBorder="1" applyAlignment="1">
      <alignment horizontal="right" vertical="center"/>
    </xf>
    <xf numFmtId="184" fontId="49" fillId="63" borderId="0" xfId="1" applyFont="1" applyFill="1" applyBorder="1" applyAlignment="1">
      <alignment vertical="center"/>
    </xf>
    <xf numFmtId="0" fontId="38" fillId="63" borderId="0" xfId="0" applyFont="1" applyFill="1" applyBorder="1" applyAlignment="1">
      <alignment horizontal="right" vertical="center"/>
    </xf>
    <xf numFmtId="0" fontId="38" fillId="63" borderId="0" xfId="0" applyFont="1" applyFill="1" applyBorder="1" applyAlignment="1">
      <alignment vertical="center"/>
    </xf>
    <xf numFmtId="1" fontId="49" fillId="63" borderId="0" xfId="1" applyNumberFormat="1" applyFont="1" applyFill="1" applyBorder="1" applyAlignment="1">
      <alignment vertical="center"/>
    </xf>
    <xf numFmtId="0" fontId="49" fillId="63" borderId="0" xfId="0" applyFont="1" applyFill="1" applyBorder="1" applyAlignment="1">
      <alignment vertical="center"/>
    </xf>
    <xf numFmtId="0" fontId="102" fillId="6" borderId="134" xfId="0" applyFont="1" applyFill="1" applyBorder="1" applyAlignment="1">
      <alignment vertical="center"/>
    </xf>
    <xf numFmtId="184" fontId="38" fillId="63" borderId="0" xfId="1" applyNumberFormat="1" applyFont="1" applyFill="1" applyBorder="1" applyAlignment="1">
      <alignment vertical="center"/>
    </xf>
    <xf numFmtId="0" fontId="32" fillId="63" borderId="0" xfId="0" applyFont="1" applyFill="1" applyBorder="1" applyAlignment="1">
      <alignment vertical="center"/>
    </xf>
    <xf numFmtId="0" fontId="38" fillId="63" borderId="0" xfId="4" applyNumberFormat="1" applyFont="1" applyFill="1" applyBorder="1"/>
    <xf numFmtId="0" fontId="43" fillId="63" borderId="0" xfId="0" applyFont="1" applyFill="1" applyAlignment="1">
      <alignment horizontal="left" vertical="center"/>
    </xf>
    <xf numFmtId="0" fontId="43" fillId="63" borderId="0" xfId="0" applyFont="1" applyFill="1" applyAlignment="1">
      <alignment vertical="center"/>
    </xf>
    <xf numFmtId="0" fontId="38" fillId="63" borderId="0" xfId="0" applyFont="1" applyFill="1" applyAlignment="1">
      <alignment vertical="center"/>
    </xf>
    <xf numFmtId="179" fontId="23" fillId="63" borderId="0" xfId="2" applyNumberFormat="1" applyFont="1" applyFill="1" applyBorder="1" applyAlignment="1">
      <alignment vertical="center"/>
    </xf>
    <xf numFmtId="0" fontId="74" fillId="65" borderId="0" xfId="229" applyFont="1" applyFill="1" applyBorder="1" applyAlignment="1">
      <alignment horizontal="left"/>
    </xf>
    <xf numFmtId="179" fontId="0" fillId="0" borderId="0" xfId="2" applyNumberFormat="1" applyFont="1" applyFill="1"/>
    <xf numFmtId="0" fontId="74" fillId="0" borderId="0" xfId="229" applyFont="1" applyFill="1" applyBorder="1" applyAlignment="1">
      <alignment horizontal="right"/>
    </xf>
    <xf numFmtId="181" fontId="0" fillId="0" borderId="0" xfId="2" applyNumberFormat="1" applyFont="1" applyFill="1"/>
    <xf numFmtId="181" fontId="0" fillId="0" borderId="0" xfId="0" applyNumberFormat="1" applyFill="1"/>
    <xf numFmtId="179" fontId="0" fillId="57" borderId="0" xfId="2" applyNumberFormat="1" applyFont="1" applyFill="1" applyBorder="1" applyAlignment="1">
      <alignment horizontal="center"/>
    </xf>
    <xf numFmtId="178" fontId="101" fillId="6" borderId="0" xfId="2" applyFont="1" applyFill="1" applyBorder="1"/>
    <xf numFmtId="0" fontId="230" fillId="15" borderId="0" xfId="0" applyFont="1" applyFill="1" applyAlignment="1">
      <alignment vertical="top" wrapText="1"/>
    </xf>
    <xf numFmtId="0" fontId="232" fillId="0" borderId="0" xfId="0" applyFont="1" applyAlignment="1">
      <alignment horizontal="left" vertical="top" wrapText="1"/>
    </xf>
    <xf numFmtId="0" fontId="182" fillId="8" borderId="33" xfId="0" applyFont="1" applyFill="1" applyBorder="1" applyAlignment="1">
      <alignment horizontal="center" textRotation="90"/>
    </xf>
    <xf numFmtId="0" fontId="101" fillId="6" borderId="33" xfId="0" applyNumberFormat="1" applyFont="1" applyFill="1" applyBorder="1" applyAlignment="1">
      <alignment horizontal="center" vertical="center"/>
    </xf>
    <xf numFmtId="178" fontId="235" fillId="16" borderId="0" xfId="0" applyNumberFormat="1" applyFont="1" applyFill="1" applyBorder="1"/>
    <xf numFmtId="183" fontId="109" fillId="4" borderId="0" xfId="1060" applyNumberFormat="1" applyFont="1" applyFill="1" applyBorder="1" applyAlignment="1">
      <alignment vertical="center"/>
    </xf>
    <xf numFmtId="183" fontId="38" fillId="4" borderId="12" xfId="1060" applyNumberFormat="1" applyFont="1" applyFill="1" applyBorder="1" applyAlignment="1">
      <alignment vertical="center"/>
    </xf>
    <xf numFmtId="183" fontId="38" fillId="4" borderId="0" xfId="1060" applyNumberFormat="1" applyFont="1" applyFill="1" applyBorder="1" applyAlignment="1">
      <alignment vertical="center"/>
    </xf>
    <xf numFmtId="179" fontId="38" fillId="4" borderId="166" xfId="1049" applyNumberFormat="1" applyFont="1" applyFill="1" applyBorder="1" applyAlignment="1">
      <alignment vertical="center"/>
    </xf>
    <xf numFmtId="177" fontId="38" fillId="4" borderId="166" xfId="1049" applyNumberFormat="1" applyFont="1" applyFill="1" applyBorder="1" applyAlignment="1">
      <alignment vertical="center"/>
    </xf>
    <xf numFmtId="0" fontId="0" fillId="0" borderId="0" xfId="0"/>
    <xf numFmtId="0" fontId="30" fillId="4" borderId="9" xfId="0" applyFont="1" applyFill="1" applyBorder="1" applyAlignment="1">
      <alignment horizontal="left" vertical="top"/>
    </xf>
    <xf numFmtId="0" fontId="30" fillId="4" borderId="89" xfId="0" applyFont="1" applyFill="1" applyBorder="1" applyAlignment="1">
      <alignment horizontal="center" vertical="center"/>
    </xf>
    <xf numFmtId="0" fontId="30" fillId="4" borderId="134" xfId="0" applyFont="1" applyFill="1" applyBorder="1" applyAlignment="1">
      <alignment horizontal="center" vertical="center"/>
    </xf>
    <xf numFmtId="0" fontId="30" fillId="4" borderId="165" xfId="0" applyFont="1" applyFill="1" applyBorder="1" applyAlignment="1">
      <alignment horizontal="center" vertical="center"/>
    </xf>
    <xf numFmtId="0" fontId="30" fillId="4" borderId="166" xfId="0" applyFont="1" applyFill="1" applyBorder="1" applyAlignment="1">
      <alignment horizontal="center" vertical="center"/>
    </xf>
    <xf numFmtId="179" fontId="32" fillId="4" borderId="115" xfId="2" applyNumberFormat="1" applyFont="1" applyFill="1" applyBorder="1" applyAlignment="1">
      <alignment horizontal="center" vertical="center"/>
    </xf>
    <xf numFmtId="179" fontId="32" fillId="4" borderId="116" xfId="2" applyNumberFormat="1" applyFont="1" applyFill="1" applyBorder="1" applyAlignment="1">
      <alignment horizontal="center" vertical="center"/>
    </xf>
    <xf numFmtId="179" fontId="32" fillId="4" borderId="117" xfId="2" applyNumberFormat="1" applyFont="1" applyFill="1" applyBorder="1" applyAlignment="1">
      <alignment horizontal="center" vertical="center"/>
    </xf>
    <xf numFmtId="0" fontId="101" fillId="0" borderId="0" xfId="0" applyFont="1" applyAlignment="1">
      <alignment horizontal="center"/>
    </xf>
    <xf numFmtId="0" fontId="0" fillId="4" borderId="7" xfId="0" applyNumberFormat="1" applyFill="1" applyBorder="1" applyAlignment="1">
      <alignment horizontal="center" vertical="center"/>
    </xf>
    <xf numFmtId="0" fontId="0" fillId="4" borderId="0" xfId="0" applyNumberFormat="1" applyFill="1" applyBorder="1" applyAlignment="1">
      <alignment horizontal="center" vertical="center"/>
    </xf>
    <xf numFmtId="0" fontId="0" fillId="4" borderId="10" xfId="0" applyNumberFormat="1" applyFill="1" applyBorder="1" applyAlignment="1">
      <alignment horizontal="center" vertical="center"/>
    </xf>
    <xf numFmtId="0" fontId="22" fillId="0" borderId="173" xfId="1059" applyFont="1" applyBorder="1" applyAlignment="1" applyProtection="1">
      <alignment horizontal="center" vertical="center" wrapText="1"/>
    </xf>
    <xf numFmtId="0" fontId="30" fillId="0" borderId="171" xfId="1059" applyFont="1" applyBorder="1" applyAlignment="1" applyProtection="1">
      <alignment horizontal="center" vertical="center" wrapText="1"/>
    </xf>
    <xf numFmtId="0" fontId="30" fillId="0" borderId="172" xfId="1059" applyFont="1" applyBorder="1" applyAlignment="1" applyProtection="1">
      <alignment horizontal="center" vertical="center" wrapText="1"/>
    </xf>
    <xf numFmtId="0" fontId="61" fillId="27" borderId="0" xfId="1059" applyFont="1" applyFill="1" applyAlignment="1" applyProtection="1">
      <alignment horizontal="center" vertical="center" wrapText="1"/>
    </xf>
    <xf numFmtId="0" fontId="61" fillId="27" borderId="167" xfId="1059" applyFont="1" applyFill="1" applyBorder="1" applyAlignment="1" applyProtection="1">
      <alignment horizontal="center" vertical="center" wrapText="1"/>
    </xf>
    <xf numFmtId="0" fontId="61" fillId="99" borderId="0" xfId="1059" applyFont="1" applyFill="1" applyAlignment="1">
      <alignment horizontal="center"/>
    </xf>
    <xf numFmtId="0" fontId="61" fillId="93" borderId="0" xfId="1059" applyFont="1" applyFill="1" applyAlignment="1" applyProtection="1">
      <alignment horizontal="center" vertical="center" wrapText="1"/>
    </xf>
    <xf numFmtId="0" fontId="61" fillId="93" borderId="167" xfId="1059" applyFont="1" applyFill="1" applyBorder="1" applyAlignment="1" applyProtection="1">
      <alignment horizontal="center" vertical="center" wrapText="1"/>
    </xf>
    <xf numFmtId="0" fontId="216" fillId="0" borderId="176" xfId="1059" applyFont="1" applyBorder="1" applyAlignment="1" applyProtection="1">
      <alignment horizontal="center" vertical="center" textRotation="90" wrapText="1"/>
    </xf>
    <xf numFmtId="0" fontId="216" fillId="0" borderId="174" xfId="1059" applyFont="1" applyBorder="1" applyAlignment="1" applyProtection="1">
      <alignment horizontal="center" vertical="center" textRotation="90" wrapText="1"/>
    </xf>
    <xf numFmtId="0" fontId="216" fillId="0" borderId="175" xfId="1059" applyFont="1" applyBorder="1" applyAlignment="1" applyProtection="1">
      <alignment horizontal="center" vertical="center" textRotation="90" wrapText="1"/>
    </xf>
    <xf numFmtId="0" fontId="216" fillId="0" borderId="173" xfId="1059" applyFont="1" applyBorder="1" applyAlignment="1" applyProtection="1">
      <alignment horizontal="center" vertical="center" textRotation="90" wrapText="1"/>
    </xf>
    <xf numFmtId="0" fontId="216" fillId="0" borderId="178" xfId="1059" applyFont="1" applyBorder="1" applyAlignment="1" applyProtection="1">
      <alignment horizontal="center" vertical="center" textRotation="90" wrapText="1"/>
    </xf>
    <xf numFmtId="0" fontId="216" fillId="0" borderId="179" xfId="1059" applyFont="1" applyBorder="1" applyAlignment="1" applyProtection="1">
      <alignment horizontal="center" vertical="center" textRotation="90" wrapText="1"/>
    </xf>
    <xf numFmtId="0" fontId="216" fillId="0" borderId="181" xfId="1059" applyFont="1" applyBorder="1" applyAlignment="1" applyProtection="1">
      <alignment horizontal="center" vertical="center" textRotation="90" wrapText="1"/>
    </xf>
    <xf numFmtId="0" fontId="216" fillId="0" borderId="182" xfId="1059" applyFont="1" applyBorder="1" applyAlignment="1" applyProtection="1">
      <alignment horizontal="center" vertical="center" textRotation="90" wrapText="1"/>
    </xf>
    <xf numFmtId="0" fontId="216" fillId="0" borderId="183" xfId="1059" applyFont="1" applyBorder="1" applyAlignment="1" applyProtection="1">
      <alignment horizontal="center" vertical="center" textRotation="90" wrapText="1"/>
    </xf>
    <xf numFmtId="0" fontId="22" fillId="0" borderId="180" xfId="1059" applyFont="1" applyBorder="1" applyAlignment="1" applyProtection="1">
      <alignment horizontal="center" vertical="center" wrapText="1"/>
    </xf>
    <xf numFmtId="0" fontId="26" fillId="0" borderId="181" xfId="1059" applyFont="1" applyBorder="1" applyAlignment="1" applyProtection="1">
      <alignment horizontal="center" vertical="center" textRotation="90" wrapText="1"/>
    </xf>
    <xf numFmtId="0" fontId="26" fillId="0" borderId="182" xfId="1059" applyFont="1" applyBorder="1" applyAlignment="1" applyProtection="1">
      <alignment horizontal="center" vertical="center" textRotation="90" wrapText="1"/>
    </xf>
    <xf numFmtId="0" fontId="26" fillId="0" borderId="183" xfId="1059" applyFont="1" applyBorder="1" applyAlignment="1" applyProtection="1">
      <alignment horizontal="center" vertical="center" textRotation="90" wrapText="1"/>
    </xf>
    <xf numFmtId="0" fontId="216" fillId="0" borderId="177" xfId="1059" applyFont="1" applyBorder="1" applyAlignment="1" applyProtection="1">
      <alignment horizontal="center" vertical="center" textRotation="90" wrapText="1"/>
    </xf>
    <xf numFmtId="0" fontId="216" fillId="0" borderId="168" xfId="1059" applyFont="1" applyBorder="1" applyAlignment="1" applyProtection="1">
      <alignment horizontal="center" vertical="center" textRotation="90" wrapText="1"/>
    </xf>
    <xf numFmtId="0" fontId="216" fillId="0" borderId="169" xfId="1059" applyFont="1" applyBorder="1" applyAlignment="1" applyProtection="1">
      <alignment horizontal="center" vertical="center" textRotation="90" wrapText="1"/>
    </xf>
    <xf numFmtId="0" fontId="22" fillId="0" borderId="177" xfId="1059" applyFont="1" applyBorder="1" applyAlignment="1" applyProtection="1">
      <alignment horizontal="center" vertical="center" wrapText="1"/>
    </xf>
    <xf numFmtId="0" fontId="22" fillId="0" borderId="168" xfId="1059" applyFont="1" applyBorder="1" applyAlignment="1" applyProtection="1">
      <alignment horizontal="center" vertical="center" wrapText="1"/>
    </xf>
    <xf numFmtId="0" fontId="22" fillId="0" borderId="169" xfId="1059" applyFont="1" applyBorder="1" applyAlignment="1" applyProtection="1">
      <alignment horizontal="center" vertical="center" wrapText="1"/>
    </xf>
    <xf numFmtId="0" fontId="25" fillId="0" borderId="33" xfId="0" applyFont="1" applyBorder="1" applyAlignment="1">
      <alignment horizontal="left" vertical="center" wrapText="1"/>
    </xf>
    <xf numFmtId="0" fontId="25" fillId="0" borderId="33" xfId="0" applyFont="1" applyBorder="1" applyAlignment="1">
      <alignment horizontal="center" vertical="center" wrapText="1"/>
    </xf>
    <xf numFmtId="0" fontId="25" fillId="0" borderId="0" xfId="0" applyFont="1" applyAlignment="1">
      <alignment horizontal="center" vertical="center" wrapText="1"/>
    </xf>
    <xf numFmtId="0" fontId="58" fillId="0" borderId="0" xfId="0" applyFont="1" applyAlignment="1">
      <alignment horizontal="left" vertical="center" wrapText="1"/>
    </xf>
    <xf numFmtId="0" fontId="58" fillId="0" borderId="0" xfId="0" applyFont="1" applyAlignment="1">
      <alignment horizontal="center" vertical="center" wrapText="1"/>
    </xf>
    <xf numFmtId="0" fontId="25" fillId="0" borderId="0" xfId="0" applyFont="1" applyAlignment="1">
      <alignment horizontal="left" vertical="center" wrapText="1"/>
    </xf>
    <xf numFmtId="0" fontId="61" fillId="13" borderId="0" xfId="0" applyFont="1" applyFill="1" applyAlignment="1">
      <alignment horizontal="center" vertical="center"/>
    </xf>
    <xf numFmtId="179" fontId="32" fillId="58" borderId="115" xfId="0" applyNumberFormat="1" applyFont="1" applyFill="1" applyBorder="1" applyAlignment="1">
      <alignment horizontal="center" vertical="center"/>
    </xf>
    <xf numFmtId="179" fontId="32" fillId="58" borderId="166" xfId="0" applyNumberFormat="1" applyFont="1" applyFill="1" applyBorder="1" applyAlignment="1">
      <alignment horizontal="center" vertical="center"/>
    </xf>
    <xf numFmtId="179" fontId="32" fillId="58" borderId="117" xfId="0" applyNumberFormat="1" applyFont="1" applyFill="1" applyBorder="1" applyAlignment="1">
      <alignment horizontal="center" vertical="center"/>
    </xf>
    <xf numFmtId="179" fontId="216" fillId="0" borderId="0" xfId="2" applyNumberFormat="1" applyFont="1" applyAlignment="1">
      <alignment horizontal="center"/>
    </xf>
    <xf numFmtId="179" fontId="216" fillId="58" borderId="37" xfId="2" applyNumberFormat="1" applyFont="1" applyFill="1" applyBorder="1" applyAlignment="1">
      <alignment horizontal="center" vertical="center"/>
    </xf>
    <xf numFmtId="179" fontId="216" fillId="58" borderId="38" xfId="2" applyNumberFormat="1" applyFont="1" applyFill="1" applyBorder="1" applyAlignment="1">
      <alignment horizontal="center" vertical="center"/>
    </xf>
    <xf numFmtId="179" fontId="216" fillId="58" borderId="41" xfId="2" applyNumberFormat="1" applyFont="1" applyFill="1" applyBorder="1" applyAlignment="1">
      <alignment horizontal="center" vertical="center"/>
    </xf>
    <xf numFmtId="179" fontId="216" fillId="58" borderId="42" xfId="2" applyNumberFormat="1" applyFont="1" applyFill="1" applyBorder="1" applyAlignment="1">
      <alignment horizontal="center" vertical="center"/>
    </xf>
    <xf numFmtId="179" fontId="32" fillId="58" borderId="118" xfId="0" applyNumberFormat="1" applyFont="1" applyFill="1" applyBorder="1" applyAlignment="1">
      <alignment horizontal="center" vertical="center" wrapText="1"/>
    </xf>
    <xf numFmtId="179" fontId="32" fillId="58" borderId="38" xfId="0" applyNumberFormat="1" applyFont="1" applyFill="1" applyBorder="1" applyAlignment="1">
      <alignment horizontal="center" vertical="center" wrapText="1"/>
    </xf>
    <xf numFmtId="0" fontId="32" fillId="101" borderId="0" xfId="0" applyFont="1" applyFill="1" applyAlignment="1">
      <alignment horizontal="center" vertical="center"/>
    </xf>
    <xf numFmtId="0" fontId="32" fillId="0" borderId="0" xfId="0" applyFont="1" applyAlignment="1">
      <alignment horizontal="center"/>
    </xf>
    <xf numFmtId="174" fontId="32" fillId="0" borderId="0" xfId="0" applyNumberFormat="1" applyFont="1" applyFill="1" applyBorder="1" applyAlignment="1">
      <alignment horizontal="center" vertical="center"/>
    </xf>
    <xf numFmtId="0" fontId="0" fillId="0" borderId="0" xfId="0" applyFont="1" applyFill="1" applyBorder="1" applyAlignment="1">
      <alignment horizontal="center" vertical="center"/>
    </xf>
    <xf numFmtId="1" fontId="0" fillId="0" borderId="0" xfId="1" applyNumberFormat="1" applyFont="1" applyFill="1" applyBorder="1" applyAlignment="1">
      <alignment horizontal="center" vertical="center"/>
    </xf>
    <xf numFmtId="0" fontId="0" fillId="0" borderId="0" xfId="0" applyAlignment="1">
      <alignment horizontal="center"/>
    </xf>
  </cellXfs>
  <cellStyles count="1102">
    <cellStyle name="20% - Accent1 2" xfId="453"/>
    <cellStyle name="20% - Accent1 3" xfId="831"/>
    <cellStyle name="20% - Accent1 4" xfId="835"/>
    <cellStyle name="20% - Accent1 5" xfId="849"/>
    <cellStyle name="20% - Accent2" xfId="812" builtinId="34" customBuiltin="1"/>
    <cellStyle name="20% - Accent2 2" xfId="837"/>
    <cellStyle name="20% - Accent2 3" xfId="851"/>
    <cellStyle name="20% - Accent3" xfId="816" builtinId="38" customBuiltin="1"/>
    <cellStyle name="20% - Accent3 2" xfId="839"/>
    <cellStyle name="20% - Accent3 3" xfId="853"/>
    <cellStyle name="20% - Accent4" xfId="820" builtinId="42" customBuiltin="1"/>
    <cellStyle name="20% - Accent4 2" xfId="841"/>
    <cellStyle name="20% - Accent4 3" xfId="855"/>
    <cellStyle name="20% - Accent5" xfId="824" builtinId="46" customBuiltin="1"/>
    <cellStyle name="20% - Accent5 2" xfId="843"/>
    <cellStyle name="20% - Accent5 3" xfId="857"/>
    <cellStyle name="20% - Accent6" xfId="8" builtinId="50"/>
    <cellStyle name="20% - Accent6 2" xfId="233"/>
    <cellStyle name="20% - Accent6 3" xfId="789"/>
    <cellStyle name="20% - Accent6 3 2" xfId="1043"/>
    <cellStyle name="20% - Accent6 4" xfId="792"/>
    <cellStyle name="20% - Accent6 4 2" xfId="905"/>
    <cellStyle name="20% - Accent6 5" xfId="832"/>
    <cellStyle name="20% - Accent6 6" xfId="845"/>
    <cellStyle name="20% - Accent6 7" xfId="859"/>
    <cellStyle name="20% - Accent6 8" xfId="1046"/>
    <cellStyle name="20% - Colore 1" xfId="911"/>
    <cellStyle name="20% - Colore 2" xfId="912"/>
    <cellStyle name="20% - Colore 3" xfId="913"/>
    <cellStyle name="20% - Colore 4" xfId="914"/>
    <cellStyle name="20% - Colore 5" xfId="915"/>
    <cellStyle name="20% - Colore 6" xfId="916"/>
    <cellStyle name="40% - Accent1" xfId="809" builtinId="31" customBuiltin="1"/>
    <cellStyle name="40% - Accent1 2" xfId="836"/>
    <cellStyle name="40% - Accent1 3" xfId="850"/>
    <cellStyle name="40% - Accent2" xfId="813" builtinId="35" customBuiltin="1"/>
    <cellStyle name="40% - Accent2 2" xfId="838"/>
    <cellStyle name="40% - Accent2 3" xfId="852"/>
    <cellStyle name="40% - Accent3" xfId="817" builtinId="39" customBuiltin="1"/>
    <cellStyle name="40% - Accent3 2" xfId="840"/>
    <cellStyle name="40% - Accent3 3" xfId="854"/>
    <cellStyle name="40% - Accent4" xfId="821" builtinId="43" customBuiltin="1"/>
    <cellStyle name="40% - Accent4 2" xfId="842"/>
    <cellStyle name="40% - Accent4 3" xfId="856"/>
    <cellStyle name="40% - Accent5" xfId="825" builtinId="47" customBuiltin="1"/>
    <cellStyle name="40% - Accent5 2" xfId="844"/>
    <cellStyle name="40% - Accent5 3" xfId="858"/>
    <cellStyle name="40% - Accent6" xfId="827" builtinId="51" customBuiltin="1"/>
    <cellStyle name="40% - Accent6 2" xfId="846"/>
    <cellStyle name="40% - Accent6 3" xfId="860"/>
    <cellStyle name="40% - Colore 1" xfId="917"/>
    <cellStyle name="40% - Colore 2" xfId="918"/>
    <cellStyle name="40% - Colore 3" xfId="919"/>
    <cellStyle name="40% - Colore 4" xfId="920"/>
    <cellStyle name="40% - Colore 5" xfId="921"/>
    <cellStyle name="40% - Colore 6" xfId="922"/>
    <cellStyle name="60% - Accent1" xfId="810" builtinId="32" customBuiltin="1"/>
    <cellStyle name="60% - Accent2" xfId="814" builtinId="36" customBuiltin="1"/>
    <cellStyle name="60% - Accent3" xfId="818" builtinId="40" customBuiltin="1"/>
    <cellStyle name="60% - Accent4" xfId="822" builtinId="44" customBuiltin="1"/>
    <cellStyle name="60% - Accent5" xfId="826" builtinId="48" customBuiltin="1"/>
    <cellStyle name="60% - Accent6" xfId="828" builtinId="52" customBuiltin="1"/>
    <cellStyle name="60% - Colore 1" xfId="923"/>
    <cellStyle name="60% - Colore 2" xfId="924"/>
    <cellStyle name="60% - Colore 3" xfId="925"/>
    <cellStyle name="60% - Colore 4" xfId="926"/>
    <cellStyle name="60% - Colore 5" xfId="927"/>
    <cellStyle name="60% - Colore 6" xfId="928"/>
    <cellStyle name="Accent1" xfId="808" builtinId="29" customBuiltin="1"/>
    <cellStyle name="Accent2" xfId="811" builtinId="33" customBuiltin="1"/>
    <cellStyle name="Accent3" xfId="815" builtinId="37" customBuiltin="1"/>
    <cellStyle name="Accent4" xfId="819" builtinId="41" customBuiltin="1"/>
    <cellStyle name="Accent5" xfId="823" builtinId="45" customBuiltin="1"/>
    <cellStyle name="Accent6" xfId="793" builtinId="49" customBuiltin="1"/>
    <cellStyle name="Bad" xfId="799" builtinId="27" customBuiltin="1"/>
    <cellStyle name="Best" xfId="929"/>
    <cellStyle name="BORDERS" xfId="930"/>
    <cellStyle name="BORDERS 2" xfId="931"/>
    <cellStyle name="Calc Currency (0)" xfId="932"/>
    <cellStyle name="Calcolo" xfId="933"/>
    <cellStyle name="Calcolo 2" xfId="934"/>
    <cellStyle name="Calcolo 3" xfId="935"/>
    <cellStyle name="Calculation" xfId="802" builtinId="22" customBuiltin="1"/>
    <cellStyle name="Cella collegata" xfId="936"/>
    <cellStyle name="Cella da controllare" xfId="937"/>
    <cellStyle name="Check Cell" xfId="804" builtinId="23" customBuiltin="1"/>
    <cellStyle name="Colore 1" xfId="938"/>
    <cellStyle name="Colore 2" xfId="939"/>
    <cellStyle name="Colore 3" xfId="940"/>
    <cellStyle name="Colore 4" xfId="941"/>
    <cellStyle name="Colore 5" xfId="942"/>
    <cellStyle name="Colore 6" xfId="943"/>
    <cellStyle name="Column - Style5" xfId="944"/>
    <cellStyle name="Column - Style6" xfId="945"/>
    <cellStyle name="Column headings" xfId="946"/>
    <cellStyle name="Comma" xfId="2" builtinId="3" customBuiltin="1"/>
    <cellStyle name="Comma 2" xfId="456"/>
    <cellStyle name="Comma 2 2" xfId="947"/>
    <cellStyle name="Comma 2 3" xfId="907"/>
    <cellStyle name="Comma 2 4" xfId="1060"/>
    <cellStyle name="Comma 3" xfId="903"/>
    <cellStyle name="Comma 3 2" xfId="949"/>
    <cellStyle name="Comma 3 3" xfId="948"/>
    <cellStyle name="Comma 4" xfId="950"/>
    <cellStyle name="Comma 4 2" xfId="1049"/>
    <cellStyle name="Comma 5" xfId="951"/>
    <cellStyle name="Comma 6" xfId="909"/>
    <cellStyle name="Comma0" xfId="952"/>
    <cellStyle name="Copied" xfId="953"/>
    <cellStyle name="Currency 2" xfId="1044"/>
    <cellStyle name="Currency0" xfId="954"/>
    <cellStyle name="Data (Number)" xfId="955"/>
    <cellStyle name="Data (Text)" xfId="956"/>
    <cellStyle name="Date" xfId="957"/>
    <cellStyle name="Entered" xfId="958"/>
    <cellStyle name="Excel Built-in Normal" xfId="229"/>
    <cellStyle name="Explanatory Text" xfId="806" builtinId="53" customBuiltin="1"/>
    <cellStyle name="FIGURES" xfId="959"/>
    <cellStyle name="Fixed" xfId="960"/>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77" builtinId="9" hidden="1"/>
    <cellStyle name="Followed Hyperlink" xfId="673" builtinId="9" hidden="1"/>
    <cellStyle name="Followed Hyperlink" xfId="669" builtinId="9" hidden="1"/>
    <cellStyle name="Followed Hyperlink" xfId="665" builtinId="9" hidden="1"/>
    <cellStyle name="Followed Hyperlink" xfId="661" builtinId="9" hidden="1"/>
    <cellStyle name="Followed Hyperlink" xfId="657" builtinId="9" hidden="1"/>
    <cellStyle name="Followed Hyperlink" xfId="653" builtinId="9" hidden="1"/>
    <cellStyle name="Followed Hyperlink" xfId="649" builtinId="9" hidden="1"/>
    <cellStyle name="Followed Hyperlink" xfId="645" builtinId="9" hidden="1"/>
    <cellStyle name="Followed Hyperlink" xfId="641" builtinId="9" hidden="1"/>
    <cellStyle name="Followed Hyperlink" xfId="637" builtinId="9" hidden="1"/>
    <cellStyle name="Followed Hyperlink" xfId="633" builtinId="9" hidden="1"/>
    <cellStyle name="Followed Hyperlink" xfId="629" builtinId="9" hidden="1"/>
    <cellStyle name="Followed Hyperlink" xfId="625" builtinId="9" hidden="1"/>
    <cellStyle name="Followed Hyperlink" xfId="621" builtinId="9" hidden="1"/>
    <cellStyle name="Followed Hyperlink" xfId="617" builtinId="9" hidden="1"/>
    <cellStyle name="Followed Hyperlink" xfId="613" builtinId="9" hidden="1"/>
    <cellStyle name="Followed Hyperlink" xfId="609" builtinId="9" hidden="1"/>
    <cellStyle name="Followed Hyperlink" xfId="605" builtinId="9" hidden="1"/>
    <cellStyle name="Followed Hyperlink" xfId="601" builtinId="9" hidden="1"/>
    <cellStyle name="Followed Hyperlink" xfId="597" builtinId="9" hidden="1"/>
    <cellStyle name="Followed Hyperlink" xfId="593" builtinId="9" hidden="1"/>
    <cellStyle name="Followed Hyperlink" xfId="589" builtinId="9" hidden="1"/>
    <cellStyle name="Followed Hyperlink" xfId="585" builtinId="9" hidden="1"/>
    <cellStyle name="Followed Hyperlink" xfId="581" builtinId="9" hidden="1"/>
    <cellStyle name="Followed Hyperlink" xfId="577" builtinId="9" hidden="1"/>
    <cellStyle name="Followed Hyperlink" xfId="573" builtinId="9" hidden="1"/>
    <cellStyle name="Followed Hyperlink" xfId="569" builtinId="9" hidden="1"/>
    <cellStyle name="Followed Hyperlink" xfId="565" builtinId="9" hidden="1"/>
    <cellStyle name="Followed Hyperlink" xfId="561" builtinId="9" hidden="1"/>
    <cellStyle name="Followed Hyperlink" xfId="557" builtinId="9" hidden="1"/>
    <cellStyle name="Followed Hyperlink" xfId="553" builtinId="9" hidden="1"/>
    <cellStyle name="Followed Hyperlink" xfId="549" builtinId="9" hidden="1"/>
    <cellStyle name="Followed Hyperlink" xfId="545" builtinId="9" hidden="1"/>
    <cellStyle name="Followed Hyperlink" xfId="541" builtinId="9" hidden="1"/>
    <cellStyle name="Followed Hyperlink" xfId="537" builtinId="9" hidden="1"/>
    <cellStyle name="Followed Hyperlink" xfId="533" builtinId="9" hidden="1"/>
    <cellStyle name="Followed Hyperlink" xfId="529" builtinId="9" hidden="1"/>
    <cellStyle name="Followed Hyperlink" xfId="525" builtinId="9" hidden="1"/>
    <cellStyle name="Followed Hyperlink" xfId="521" builtinId="9" hidden="1"/>
    <cellStyle name="Followed Hyperlink" xfId="517" builtinId="9" hidden="1"/>
    <cellStyle name="Followed Hyperlink" xfId="513" builtinId="9" hidden="1"/>
    <cellStyle name="Followed Hyperlink" xfId="509" builtinId="9" hidden="1"/>
    <cellStyle name="Followed Hyperlink" xfId="505" builtinId="9" hidden="1"/>
    <cellStyle name="Followed Hyperlink" xfId="501" builtinId="9" hidden="1"/>
    <cellStyle name="Followed Hyperlink" xfId="497" builtinId="9" hidden="1"/>
    <cellStyle name="Followed Hyperlink" xfId="493" builtinId="9" hidden="1"/>
    <cellStyle name="Followed Hyperlink" xfId="489" builtinId="9" hidden="1"/>
    <cellStyle name="Followed Hyperlink" xfId="485" builtinId="9" hidden="1"/>
    <cellStyle name="Followed Hyperlink" xfId="481" builtinId="9" hidden="1"/>
    <cellStyle name="Followed Hyperlink" xfId="477" builtinId="9" hidden="1"/>
    <cellStyle name="Followed Hyperlink" xfId="473" builtinId="9" hidden="1"/>
    <cellStyle name="Followed Hyperlink" xfId="469" builtinId="9" hidden="1"/>
    <cellStyle name="Followed Hyperlink" xfId="465" builtinId="9" hidden="1"/>
    <cellStyle name="Followed Hyperlink" xfId="461" builtinId="9" hidden="1"/>
    <cellStyle name="Followed Hyperlink" xfId="679" builtinId="9" hidden="1"/>
    <cellStyle name="Followed Hyperlink" xfId="232" builtinId="9" hidden="1"/>
    <cellStyle name="Followed Hyperlink" xfId="680"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862" builtinId="9" hidden="1"/>
    <cellStyle name="Followed Hyperlink" xfId="863" builtinId="9" hidden="1"/>
    <cellStyle name="Followed Hyperlink" xfId="864" builtinId="9" hidden="1"/>
    <cellStyle name="Followed Hyperlink" xfId="865" builtinId="9" hidden="1"/>
    <cellStyle name="Followed Hyperlink" xfId="866" builtinId="9" hidden="1"/>
    <cellStyle name="Followed Hyperlink" xfId="867" builtinId="9" hidden="1"/>
    <cellStyle name="Followed Hyperlink" xfId="868" builtinId="9" hidden="1"/>
    <cellStyle name="Followed Hyperlink" xfId="869" builtinId="9" hidden="1"/>
    <cellStyle name="Followed Hyperlink" xfId="870" builtinId="9" hidden="1"/>
    <cellStyle name="Followed Hyperlink" xfId="871" builtinId="9" hidden="1"/>
    <cellStyle name="Followed Hyperlink" xfId="872" builtinId="9" hidden="1"/>
    <cellStyle name="Followed Hyperlink" xfId="873" builtinId="9" hidden="1"/>
    <cellStyle name="Followed Hyperlink" xfId="874" builtinId="9" hidden="1"/>
    <cellStyle name="Followed Hyperlink" xfId="875" builtinId="9" hidden="1"/>
    <cellStyle name="Followed Hyperlink" xfId="876" builtinId="9" hidden="1"/>
    <cellStyle name="Followed Hyperlink" xfId="877" builtinId="9" hidden="1"/>
    <cellStyle name="Followed Hyperlink" xfId="878" builtinId="9" hidden="1"/>
    <cellStyle name="Followed Hyperlink" xfId="879" builtinId="9" hidden="1"/>
    <cellStyle name="Followed Hyperlink" xfId="880" builtinId="9" hidden="1"/>
    <cellStyle name="Followed Hyperlink" xfId="881" builtinId="9" hidden="1"/>
    <cellStyle name="Followed Hyperlink" xfId="882" builtinId="9" hidden="1"/>
    <cellStyle name="Followed Hyperlink" xfId="883" builtinId="9" hidden="1"/>
    <cellStyle name="Followed Hyperlink" xfId="884" builtinId="9" hidden="1"/>
    <cellStyle name="Followed Hyperlink" xfId="885" builtinId="9" hidden="1"/>
    <cellStyle name="Followed Hyperlink" xfId="886" builtinId="9" hidden="1"/>
    <cellStyle name="Followed Hyperlink" xfId="887" builtinId="9" hidden="1"/>
    <cellStyle name="Followed Hyperlink" xfId="888" builtinId="9" hidden="1"/>
    <cellStyle name="Followed Hyperlink" xfId="889" builtinId="9" hidden="1"/>
    <cellStyle name="Followed Hyperlink" xfId="890" builtinId="9" hidden="1"/>
    <cellStyle name="Followed Hyperlink" xfId="891" builtinId="9" hidden="1"/>
    <cellStyle name="Followed Hyperlink" xfId="892" builtinId="9" hidden="1"/>
    <cellStyle name="Followed Hyperlink" xfId="893" builtinId="9" hidden="1"/>
    <cellStyle name="Followed Hyperlink" xfId="894" builtinId="9" hidden="1"/>
    <cellStyle name="Followed Hyperlink" xfId="895" builtinId="9" hidden="1"/>
    <cellStyle name="Followed Hyperlink" xfId="896" builtinId="9" hidden="1"/>
    <cellStyle name="Followed Hyperlink" xfId="897" builtinId="9" hidden="1"/>
    <cellStyle name="Followed Hyperlink" xfId="898" builtinId="9" hidden="1"/>
    <cellStyle name="Followed Hyperlink" xfId="899" builtinId="9" hidden="1"/>
    <cellStyle name="Followed Hyperlink" xfId="900" builtinId="9" hidden="1"/>
    <cellStyle name="Followed Hyperlink" xfId="901" builtinId="9" hidden="1"/>
    <cellStyle name="Followed Hyperlink" xfId="902"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otnote Text" xfId="961"/>
    <cellStyle name="Good" xfId="788" builtinId="26" customBuiltin="1"/>
    <cellStyle name="Grey" xfId="962"/>
    <cellStyle name="Header1" xfId="963"/>
    <cellStyle name="Header2" xfId="964"/>
    <cellStyle name="Header2 2" xfId="965"/>
    <cellStyle name="Header2 3" xfId="966"/>
    <cellStyle name="Heading 1" xfId="795" builtinId="16" customBuiltin="1"/>
    <cellStyle name="Heading 2" xfId="796" builtinId="17" customBuiltin="1"/>
    <cellStyle name="Heading 3" xfId="797" builtinId="18" customBuiltin="1"/>
    <cellStyle name="Heading 4" xfId="798" builtinId="19" customBuilti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30" builtinId="8"/>
    <cellStyle name="Hyperlink 10" xfId="249" hidden="1"/>
    <cellStyle name="Hyperlink 10" xfId="647"/>
    <cellStyle name="Hyperlink 100" xfId="429" hidden="1"/>
    <cellStyle name="Hyperlink 100" xfId="763"/>
    <cellStyle name="Hyperlink 101" xfId="431" hidden="1"/>
    <cellStyle name="Hyperlink 101" xfId="765"/>
    <cellStyle name="Hyperlink 102" xfId="433" hidden="1"/>
    <cellStyle name="Hyperlink 102" xfId="767"/>
    <cellStyle name="Hyperlink 103" xfId="435" hidden="1"/>
    <cellStyle name="Hyperlink 103" xfId="769"/>
    <cellStyle name="Hyperlink 104" xfId="437" hidden="1"/>
    <cellStyle name="Hyperlink 104" xfId="771"/>
    <cellStyle name="Hyperlink 105" xfId="439" hidden="1"/>
    <cellStyle name="Hyperlink 105" xfId="773"/>
    <cellStyle name="Hyperlink 106" xfId="441" hidden="1"/>
    <cellStyle name="Hyperlink 106" xfId="775"/>
    <cellStyle name="Hyperlink 107" xfId="443" hidden="1"/>
    <cellStyle name="Hyperlink 107" xfId="777"/>
    <cellStyle name="Hyperlink 108" xfId="445" hidden="1"/>
    <cellStyle name="Hyperlink 108" xfId="779"/>
    <cellStyle name="Hyperlink 109" xfId="447" hidden="1"/>
    <cellStyle name="Hyperlink 109" xfId="781"/>
    <cellStyle name="Hyperlink 11" xfId="251" hidden="1"/>
    <cellStyle name="Hyperlink 11" xfId="643"/>
    <cellStyle name="Hyperlink 110" xfId="449" hidden="1"/>
    <cellStyle name="Hyperlink 110" xfId="783"/>
    <cellStyle name="Hyperlink 111" xfId="451" hidden="1"/>
    <cellStyle name="Hyperlink 111" xfId="785"/>
    <cellStyle name="Hyperlink 112" xfId="1042"/>
    <cellStyle name="Hyperlink 12" xfId="253" hidden="1"/>
    <cellStyle name="Hyperlink 12" xfId="639"/>
    <cellStyle name="Hyperlink 13" xfId="255" hidden="1"/>
    <cellStyle name="Hyperlink 13" xfId="635"/>
    <cellStyle name="Hyperlink 14" xfId="257" hidden="1"/>
    <cellStyle name="Hyperlink 14" xfId="631"/>
    <cellStyle name="Hyperlink 15" xfId="259" hidden="1"/>
    <cellStyle name="Hyperlink 15" xfId="627"/>
    <cellStyle name="Hyperlink 16" xfId="261" hidden="1"/>
    <cellStyle name="Hyperlink 16" xfId="623"/>
    <cellStyle name="Hyperlink 17" xfId="263" hidden="1"/>
    <cellStyle name="Hyperlink 17" xfId="619"/>
    <cellStyle name="Hyperlink 18" xfId="265" hidden="1"/>
    <cellStyle name="Hyperlink 18" xfId="615"/>
    <cellStyle name="Hyperlink 19" xfId="267" hidden="1"/>
    <cellStyle name="Hyperlink 19" xfId="611"/>
    <cellStyle name="Hyperlink 2" xfId="231" hidden="1"/>
    <cellStyle name="Hyperlink 2" xfId="454" hidden="1"/>
    <cellStyle name="Hyperlink 2" xfId="681" hidden="1"/>
    <cellStyle name="Hyperlink 2" xfId="787"/>
    <cellStyle name="Hyperlink 2 2" xfId="967"/>
    <cellStyle name="Hyperlink 20" xfId="269" hidden="1"/>
    <cellStyle name="Hyperlink 20" xfId="607"/>
    <cellStyle name="Hyperlink 21" xfId="271" hidden="1"/>
    <cellStyle name="Hyperlink 21" xfId="603"/>
    <cellStyle name="Hyperlink 22" xfId="273" hidden="1"/>
    <cellStyle name="Hyperlink 22" xfId="599"/>
    <cellStyle name="Hyperlink 23" xfId="275" hidden="1"/>
    <cellStyle name="Hyperlink 23" xfId="595"/>
    <cellStyle name="Hyperlink 24" xfId="277" hidden="1"/>
    <cellStyle name="Hyperlink 24" xfId="591"/>
    <cellStyle name="Hyperlink 25" xfId="279" hidden="1"/>
    <cellStyle name="Hyperlink 25" xfId="587"/>
    <cellStyle name="Hyperlink 26" xfId="281" hidden="1"/>
    <cellStyle name="Hyperlink 26" xfId="583"/>
    <cellStyle name="Hyperlink 27" xfId="283" hidden="1"/>
    <cellStyle name="Hyperlink 27" xfId="579"/>
    <cellStyle name="Hyperlink 28" xfId="285" hidden="1"/>
    <cellStyle name="Hyperlink 28" xfId="575"/>
    <cellStyle name="Hyperlink 29" xfId="287" hidden="1"/>
    <cellStyle name="Hyperlink 29" xfId="571"/>
    <cellStyle name="Hyperlink 3" xfId="235" hidden="1"/>
    <cellStyle name="Hyperlink 3" xfId="675"/>
    <cellStyle name="Hyperlink 30" xfId="289" hidden="1"/>
    <cellStyle name="Hyperlink 30" xfId="567"/>
    <cellStyle name="Hyperlink 31" xfId="291" hidden="1"/>
    <cellStyle name="Hyperlink 31" xfId="563"/>
    <cellStyle name="Hyperlink 32" xfId="293" hidden="1"/>
    <cellStyle name="Hyperlink 32" xfId="559"/>
    <cellStyle name="Hyperlink 33" xfId="295" hidden="1"/>
    <cellStyle name="Hyperlink 33" xfId="555"/>
    <cellStyle name="Hyperlink 34" xfId="297" hidden="1"/>
    <cellStyle name="Hyperlink 34" xfId="551"/>
    <cellStyle name="Hyperlink 35" xfId="299" hidden="1"/>
    <cellStyle name="Hyperlink 35" xfId="547"/>
    <cellStyle name="Hyperlink 36" xfId="301" hidden="1"/>
    <cellStyle name="Hyperlink 36" xfId="543"/>
    <cellStyle name="Hyperlink 37" xfId="303" hidden="1"/>
    <cellStyle name="Hyperlink 37" xfId="539"/>
    <cellStyle name="Hyperlink 38" xfId="305" hidden="1"/>
    <cellStyle name="Hyperlink 38" xfId="535"/>
    <cellStyle name="Hyperlink 39" xfId="307" hidden="1"/>
    <cellStyle name="Hyperlink 39" xfId="531"/>
    <cellStyle name="Hyperlink 4" xfId="237" hidden="1"/>
    <cellStyle name="Hyperlink 4" xfId="671"/>
    <cellStyle name="Hyperlink 40" xfId="309" hidden="1"/>
    <cellStyle name="Hyperlink 40" xfId="527"/>
    <cellStyle name="Hyperlink 41" xfId="311" hidden="1"/>
    <cellStyle name="Hyperlink 41" xfId="523"/>
    <cellStyle name="Hyperlink 42" xfId="313" hidden="1"/>
    <cellStyle name="Hyperlink 42" xfId="519"/>
    <cellStyle name="Hyperlink 43" xfId="315" hidden="1"/>
    <cellStyle name="Hyperlink 43" xfId="515"/>
    <cellStyle name="Hyperlink 44" xfId="317" hidden="1"/>
    <cellStyle name="Hyperlink 44" xfId="511"/>
    <cellStyle name="Hyperlink 45" xfId="319" hidden="1"/>
    <cellStyle name="Hyperlink 45" xfId="507"/>
    <cellStyle name="Hyperlink 46" xfId="321" hidden="1"/>
    <cellStyle name="Hyperlink 46" xfId="503"/>
    <cellStyle name="Hyperlink 47" xfId="323" hidden="1"/>
    <cellStyle name="Hyperlink 47" xfId="499"/>
    <cellStyle name="Hyperlink 48" xfId="325" hidden="1"/>
    <cellStyle name="Hyperlink 48" xfId="495"/>
    <cellStyle name="Hyperlink 49" xfId="327" hidden="1"/>
    <cellStyle name="Hyperlink 49" xfId="491"/>
    <cellStyle name="Hyperlink 5" xfId="239" hidden="1"/>
    <cellStyle name="Hyperlink 5" xfId="667"/>
    <cellStyle name="Hyperlink 50" xfId="329" hidden="1"/>
    <cellStyle name="Hyperlink 50" xfId="487"/>
    <cellStyle name="Hyperlink 51" xfId="331" hidden="1"/>
    <cellStyle name="Hyperlink 51" xfId="483"/>
    <cellStyle name="Hyperlink 52" xfId="333" hidden="1"/>
    <cellStyle name="Hyperlink 52" xfId="479"/>
    <cellStyle name="Hyperlink 53" xfId="335" hidden="1"/>
    <cellStyle name="Hyperlink 53" xfId="475"/>
    <cellStyle name="Hyperlink 54" xfId="337" hidden="1"/>
    <cellStyle name="Hyperlink 54" xfId="471"/>
    <cellStyle name="Hyperlink 55" xfId="339" hidden="1"/>
    <cellStyle name="Hyperlink 55" xfId="467"/>
    <cellStyle name="Hyperlink 56" xfId="341" hidden="1"/>
    <cellStyle name="Hyperlink 56" xfId="463"/>
    <cellStyle name="Hyperlink 57" xfId="343" hidden="1"/>
    <cellStyle name="Hyperlink 57" xfId="459"/>
    <cellStyle name="Hyperlink 58" xfId="345" hidden="1"/>
    <cellStyle name="Hyperlink 58" xfId="682"/>
    <cellStyle name="Hyperlink 59" xfId="347" hidden="1"/>
    <cellStyle name="Hyperlink 59" xfId="458"/>
    <cellStyle name="Hyperlink 6" xfId="241" hidden="1"/>
    <cellStyle name="Hyperlink 6" xfId="663"/>
    <cellStyle name="Hyperlink 60" xfId="349" hidden="1"/>
    <cellStyle name="Hyperlink 60" xfId="683"/>
    <cellStyle name="Hyperlink 61" xfId="351" hidden="1"/>
    <cellStyle name="Hyperlink 61" xfId="685"/>
    <cellStyle name="Hyperlink 62" xfId="353" hidden="1"/>
    <cellStyle name="Hyperlink 62" xfId="687"/>
    <cellStyle name="Hyperlink 63" xfId="355" hidden="1"/>
    <cellStyle name="Hyperlink 63" xfId="689"/>
    <cellStyle name="Hyperlink 64" xfId="357" hidden="1"/>
    <cellStyle name="Hyperlink 64" xfId="691"/>
    <cellStyle name="Hyperlink 65" xfId="359" hidden="1"/>
    <cellStyle name="Hyperlink 65" xfId="693"/>
    <cellStyle name="Hyperlink 66" xfId="361" hidden="1"/>
    <cellStyle name="Hyperlink 66" xfId="695"/>
    <cellStyle name="Hyperlink 67" xfId="363" hidden="1"/>
    <cellStyle name="Hyperlink 67" xfId="697"/>
    <cellStyle name="Hyperlink 68" xfId="365" hidden="1"/>
    <cellStyle name="Hyperlink 68" xfId="699"/>
    <cellStyle name="Hyperlink 69" xfId="367" hidden="1"/>
    <cellStyle name="Hyperlink 69" xfId="701"/>
    <cellStyle name="Hyperlink 7" xfId="243" hidden="1"/>
    <cellStyle name="Hyperlink 7" xfId="659"/>
    <cellStyle name="Hyperlink 70" xfId="369" hidden="1"/>
    <cellStyle name="Hyperlink 70" xfId="703"/>
    <cellStyle name="Hyperlink 71" xfId="371" hidden="1"/>
    <cellStyle name="Hyperlink 71" xfId="705"/>
    <cellStyle name="Hyperlink 72" xfId="373" hidden="1"/>
    <cellStyle name="Hyperlink 72" xfId="707"/>
    <cellStyle name="Hyperlink 73" xfId="375" hidden="1"/>
    <cellStyle name="Hyperlink 73" xfId="709"/>
    <cellStyle name="Hyperlink 74" xfId="377" hidden="1"/>
    <cellStyle name="Hyperlink 74" xfId="711"/>
    <cellStyle name="Hyperlink 75" xfId="379" hidden="1"/>
    <cellStyle name="Hyperlink 75" xfId="713"/>
    <cellStyle name="Hyperlink 76" xfId="381" hidden="1"/>
    <cellStyle name="Hyperlink 76" xfId="715"/>
    <cellStyle name="Hyperlink 77" xfId="383" hidden="1"/>
    <cellStyle name="Hyperlink 77" xfId="717"/>
    <cellStyle name="Hyperlink 78" xfId="385" hidden="1"/>
    <cellStyle name="Hyperlink 78" xfId="719"/>
    <cellStyle name="Hyperlink 79" xfId="387" hidden="1"/>
    <cellStyle name="Hyperlink 79" xfId="721"/>
    <cellStyle name="Hyperlink 8" xfId="245" hidden="1"/>
    <cellStyle name="Hyperlink 8" xfId="655"/>
    <cellStyle name="Hyperlink 80" xfId="389" hidden="1"/>
    <cellStyle name="Hyperlink 80" xfId="723"/>
    <cellStyle name="Hyperlink 81" xfId="391" hidden="1"/>
    <cellStyle name="Hyperlink 81" xfId="725"/>
    <cellStyle name="Hyperlink 82" xfId="393" hidden="1"/>
    <cellStyle name="Hyperlink 82" xfId="727"/>
    <cellStyle name="Hyperlink 83" xfId="395" hidden="1"/>
    <cellStyle name="Hyperlink 83" xfId="729"/>
    <cellStyle name="Hyperlink 84" xfId="397" hidden="1"/>
    <cellStyle name="Hyperlink 84" xfId="731"/>
    <cellStyle name="Hyperlink 85" xfId="399" hidden="1"/>
    <cellStyle name="Hyperlink 85" xfId="733"/>
    <cellStyle name="Hyperlink 86" xfId="401" hidden="1"/>
    <cellStyle name="Hyperlink 86" xfId="735"/>
    <cellStyle name="Hyperlink 87" xfId="403" hidden="1"/>
    <cellStyle name="Hyperlink 87" xfId="737"/>
    <cellStyle name="Hyperlink 88" xfId="405" hidden="1"/>
    <cellStyle name="Hyperlink 88" xfId="739"/>
    <cellStyle name="Hyperlink 89" xfId="407" hidden="1"/>
    <cellStyle name="Hyperlink 89" xfId="741"/>
    <cellStyle name="Hyperlink 9" xfId="247" hidden="1"/>
    <cellStyle name="Hyperlink 9" xfId="651"/>
    <cellStyle name="Hyperlink 90" xfId="409" hidden="1"/>
    <cellStyle name="Hyperlink 90" xfId="743"/>
    <cellStyle name="Hyperlink 91" xfId="411" hidden="1"/>
    <cellStyle name="Hyperlink 91" xfId="745"/>
    <cellStyle name="Hyperlink 92" xfId="413" hidden="1"/>
    <cellStyle name="Hyperlink 92" xfId="747"/>
    <cellStyle name="Hyperlink 93" xfId="415" hidden="1"/>
    <cellStyle name="Hyperlink 93" xfId="749"/>
    <cellStyle name="Hyperlink 94" xfId="417" hidden="1"/>
    <cellStyle name="Hyperlink 94" xfId="751"/>
    <cellStyle name="Hyperlink 95" xfId="419" hidden="1"/>
    <cellStyle name="Hyperlink 95" xfId="753"/>
    <cellStyle name="Hyperlink 96" xfId="421" hidden="1"/>
    <cellStyle name="Hyperlink 96" xfId="755"/>
    <cellStyle name="Hyperlink 97" xfId="423" hidden="1"/>
    <cellStyle name="Hyperlink 97" xfId="757"/>
    <cellStyle name="Hyperlink 98" xfId="425" hidden="1"/>
    <cellStyle name="Hyperlink 98" xfId="759"/>
    <cellStyle name="Hyperlink 99" xfId="427" hidden="1"/>
    <cellStyle name="Hyperlink 99" xfId="761"/>
    <cellStyle name="Input" xfId="3" builtinId="20" customBuiltin="1"/>
    <cellStyle name="Input [yellow]" xfId="968"/>
    <cellStyle name="Input [yellow] 2" xfId="969"/>
    <cellStyle name="Input [yellow] 3" xfId="970"/>
    <cellStyle name="ITEMS" xfId="971"/>
    <cellStyle name="Linked Cell" xfId="803" builtinId="24" customBuiltin="1"/>
    <cellStyle name="m1 - Style1" xfId="972"/>
    <cellStyle name="MANKAD" xfId="973"/>
    <cellStyle name="Neutral" xfId="800" builtinId="28" customBuiltin="1"/>
    <cellStyle name="Neutrale" xfId="974"/>
    <cellStyle name="no dec" xfId="975"/>
    <cellStyle name="Normal" xfId="0" builtinId="0" customBuiltin="1"/>
    <cellStyle name="Normal - Style1" xfId="976"/>
    <cellStyle name="Normal 10" xfId="977"/>
    <cellStyle name="Normal 11" xfId="906"/>
    <cellStyle name="Normal 12" xfId="1053"/>
    <cellStyle name="Normal 13" xfId="1059"/>
    <cellStyle name="Normal 2" xfId="6"/>
    <cellStyle name="Normal 2 2" xfId="457"/>
    <cellStyle name="Normal 2 2 2" xfId="791"/>
    <cellStyle name="Normal 2 2 2 2" xfId="979"/>
    <cellStyle name="Normal 2 2 3" xfId="980"/>
    <cellStyle name="Normal 2 2 4" xfId="978"/>
    <cellStyle name="Normal 2 3" xfId="981"/>
    <cellStyle name="Normal 3" xfId="455"/>
    <cellStyle name="Normal 3 2" xfId="790"/>
    <cellStyle name="Normal 3 2 2" xfId="983"/>
    <cellStyle name="Normal 3 3" xfId="984"/>
    <cellStyle name="Normal 3 4" xfId="982"/>
    <cellStyle name="Normal 4" xfId="829"/>
    <cellStyle name="Normal 4 2" xfId="986"/>
    <cellStyle name="Normal 4 3" xfId="985"/>
    <cellStyle name="Normal 5" xfId="833"/>
    <cellStyle name="Normal 5 2" xfId="987"/>
    <cellStyle name="Normal 6" xfId="847"/>
    <cellStyle name="Normal 6 2" xfId="988"/>
    <cellStyle name="Normal 7" xfId="861"/>
    <cellStyle name="Normal 7 2" xfId="904"/>
    <cellStyle name="Normal 7 3" xfId="989"/>
    <cellStyle name="Normal 7 3 2" xfId="1051"/>
    <cellStyle name="Normal 7 3 2 2" xfId="1057"/>
    <cellStyle name="Normal 8" xfId="990"/>
    <cellStyle name="Normal 8 2" xfId="991"/>
    <cellStyle name="Normal 8 2 2" xfId="1047"/>
    <cellStyle name="Normal 8 3" xfId="1048"/>
    <cellStyle name="Normal 9" xfId="992"/>
    <cellStyle name="Normal 9 2" xfId="1045"/>
    <cellStyle name="Normal 9 3" xfId="1052"/>
    <cellStyle name="Normal 9 4" xfId="1055"/>
    <cellStyle name="Normal 9 5" xfId="1056"/>
    <cellStyle name="Normal 9 6" xfId="1058"/>
    <cellStyle name="Nota" xfId="993"/>
    <cellStyle name="Nota 2" xfId="994"/>
    <cellStyle name="Nota 3" xfId="995"/>
    <cellStyle name="Note 2" xfId="830"/>
    <cellStyle name="Note 3" xfId="834"/>
    <cellStyle name="Note 4" xfId="848"/>
    <cellStyle name="Num0 - Style7" xfId="996"/>
    <cellStyle name="Num2 - Style8" xfId="997"/>
    <cellStyle name="Numeri - Style1" xfId="998"/>
    <cellStyle name="Numeri - Style1 2" xfId="999"/>
    <cellStyle name="ofwhich" xfId="4"/>
    <cellStyle name="Output" xfId="801" builtinId="21" customBuiltin="1"/>
    <cellStyle name="Percent" xfId="1" builtinId="5" customBuiltin="1"/>
    <cellStyle name="Percent [2]" xfId="1000"/>
    <cellStyle name="Percent 2" xfId="7"/>
    <cellStyle name="Percent 2 2" xfId="910"/>
    <cellStyle name="Percent 3" xfId="1001"/>
    <cellStyle name="Percent 3 2" xfId="1002"/>
    <cellStyle name="Percent 3 3" xfId="1003"/>
    <cellStyle name="Percent 3 4" xfId="1050"/>
    <cellStyle name="Percent 4" xfId="1004"/>
    <cellStyle name="Percent 4 2" xfId="1005"/>
    <cellStyle name="Percent 5" xfId="1006"/>
    <cellStyle name="Percent 6" xfId="908"/>
    <cellStyle name="Percent 7" xfId="1054"/>
    <cellStyle name="RevList" xfId="1007"/>
    <cellStyle name="Row headings" xfId="1008"/>
    <cellStyle name="Row headings Level 1" xfId="1009"/>
    <cellStyle name="Row headings Level 2" xfId="1010"/>
    <cellStyle name="Source - Style2" xfId="1011"/>
    <cellStyle name="Sources list" xfId="1012"/>
    <cellStyle name="Sources list 2" xfId="1013"/>
    <cellStyle name="Sources Title" xfId="1014"/>
    <cellStyle name="Sources Title 2" xfId="1015"/>
    <cellStyle name="style" xfId="1016"/>
    <cellStyle name="style 2" xfId="1017"/>
    <cellStyle name="style 3" xfId="1018"/>
    <cellStyle name="style1" xfId="1019"/>
    <cellStyle name="style2" xfId="1020"/>
    <cellStyle name="Subtotal" xfId="1021"/>
    <cellStyle name="Table  - Style3" xfId="1022"/>
    <cellStyle name="Table  - Style4" xfId="1023"/>
    <cellStyle name="Table  - Style4 2" xfId="1024"/>
    <cellStyle name="Table  - Style6" xfId="1025"/>
    <cellStyle name="Table  - Style6 2" xfId="1026"/>
    <cellStyle name="Table no" xfId="1027"/>
    <cellStyle name="Table_HeaderRow" xfId="5"/>
    <cellStyle name="Testo avviso" xfId="1028"/>
    <cellStyle name="Testo descrittivo" xfId="1029"/>
    <cellStyle name="þ_x001d_ð &amp;ý&amp;†ýG_x0008_ X_x000a__x0007__x0001__x0001_" xfId="1030"/>
    <cellStyle name="þ_x001d_ð&quot;_x000c_Býò_x000c_5ýU_x0001_e_x0005_¹,_x0007__x0001__x0001_" xfId="1031"/>
    <cellStyle name="Title" xfId="794" builtinId="15" customBuiltin="1"/>
    <cellStyle name="Titolo" xfId="1032"/>
    <cellStyle name="Titolo 1" xfId="1033"/>
    <cellStyle name="Titolo 2" xfId="1034"/>
    <cellStyle name="Titolo 3" xfId="1035"/>
    <cellStyle name="Titolo 4" xfId="1036"/>
    <cellStyle name="Total" xfId="807" builtinId="25" customBuiltin="1"/>
    <cellStyle name="Totale" xfId="1037"/>
    <cellStyle name="Totale 2" xfId="1038"/>
    <cellStyle name="Totale 3" xfId="1039"/>
    <cellStyle name="Valore non valido" xfId="1040"/>
    <cellStyle name="Valore valido" xfId="1041"/>
    <cellStyle name="Warning Text" xfId="805" builtinId="11" customBuiltin="1"/>
  </cellStyles>
  <dxfs count="3131">
    <dxf>
      <font>
        <color theme="1"/>
      </font>
      <fill>
        <patternFill>
          <bgColor theme="5" tint="0.79998168889431442"/>
        </patternFill>
      </fill>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theme="5" tint="0.59999389629810485"/>
          <bgColor theme="3" tint="0.79998168889431442"/>
        </patternFill>
      </fill>
      <alignment horizontal="left" vertical="center" textRotation="0" wrapText="1" indent="0" relativeIndent="0" justifyLastLine="0" shrinkToFit="0" readingOrder="0"/>
    </dxf>
    <dxf>
      <fill>
        <patternFill patternType="solid">
          <fgColor theme="5" tint="0.59999389629810485"/>
          <bgColor theme="3" tint="0.79998168889431442"/>
        </patternFill>
      </fill>
      <alignment horizontal="general" vertical="center" textRotation="0" wrapText="0" indent="0" relativeIndent="0" justifyLastLine="0" shrinkToFit="0" readingOrder="0"/>
      <border diagonalUp="0" diagonalDown="0">
        <left/>
        <right style="thin">
          <color theme="0"/>
        </right>
        <top/>
        <bottom/>
        <vertical/>
        <horizontal/>
      </border>
    </dxf>
    <dxf>
      <fill>
        <patternFill patternType="solid">
          <fgColor theme="5" tint="0.59999389629810485"/>
          <bgColor theme="3" tint="0.79998168889431442"/>
        </patternFill>
      </fill>
      <border diagonalUp="0" diagonalDown="0">
        <left/>
        <right style="thin">
          <color theme="0"/>
        </right>
        <top/>
        <bottom/>
        <vertical/>
        <horizontal/>
      </border>
    </dxf>
    <dxf>
      <border outline="0">
        <left style="thin">
          <color theme="0"/>
        </left>
        <bottom style="thin">
          <color theme="0"/>
        </bottom>
      </border>
    </dxf>
    <dxf>
      <border outline="0">
        <bottom style="thick">
          <color theme="0"/>
        </bottom>
      </border>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alignment horizontal="left" vertical="center" textRotation="0" wrapText="1" indent="0" relativeIndent="0" justifyLastLine="0" shrinkToFit="0" readingOrder="0"/>
    </dxf>
    <dxf>
      <font>
        <b val="0"/>
        <i val="0"/>
        <strike val="0"/>
        <condense val="0"/>
        <extend val="0"/>
        <outline val="0"/>
        <shadow val="0"/>
        <u val="none"/>
        <vertAlign val="baseline"/>
        <sz val="10"/>
        <color theme="1"/>
        <name val="Cambria"/>
        <scheme val="minor"/>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strike val="0"/>
        <outline val="0"/>
        <shadow val="0"/>
        <u val="none"/>
        <vertAlign val="baseline"/>
        <sz val="11"/>
        <color theme="1"/>
        <name val="Calibri"/>
        <scheme val="major"/>
      </font>
      <alignment horizontal="general" vertical="center" textRotation="0" wrapText="0" indent="0" relativeIndent="0" justifyLastLine="0" shrinkToFit="0" readingOrder="0"/>
    </dxf>
    <dxf>
      <alignment horizontal="general" vertical="center" textRotation="0" wrapText="0" indent="0" relativeIndent="255" justifyLastLine="0" shrinkToFit="0" readingOrder="0"/>
    </dxf>
    <dxf>
      <numFmt numFmtId="0" formatCode="General"/>
      <alignment horizontal="general" vertical="center" textRotation="0" wrapText="0" indent="0" relativeIndent="0" justifyLastLine="0" shrinkToFit="0" readingOrder="0"/>
    </dxf>
    <dxf>
      <numFmt numFmtId="0" formatCode="General"/>
      <alignment horizontal="general" vertical="center" textRotation="0" wrapText="0" indent="0" relativeIndent="0" justifyLastLine="0" shrinkToFit="0" readingOrder="0"/>
    </dxf>
    <dxf>
      <alignment horizontal="general" vertical="center" textRotation="0" wrapText="0" indent="0" relativeIndent="255" justifyLastLine="0" shrinkToFit="0" readingOrder="0"/>
    </dxf>
    <dxf>
      <alignment horizontal="left"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center" vertical="center" textRotation="0" wrapText="1" indent="0" relativeIndent="255" justifyLastLine="0" shrinkToFit="0" readingOrder="0"/>
    </dxf>
    <dxf>
      <alignment horizontal="left" vertical="center" textRotation="0" wrapText="0" indent="0" relativeIndent="255" justifyLastLine="0" shrinkToFit="0" readingOrder="0"/>
    </dxf>
    <dxf>
      <alignment horizontal="left" vertical="center" textRotation="0" wrapText="0" indent="0" relativeIndent="255" justifyLastLine="0" shrinkToFit="0" readingOrder="0"/>
    </dxf>
    <dxf>
      <alignment horizontal="left" vertical="center" textRotation="0" wrapText="0" indent="0" relativeIndent="255" justifyLastLine="0" shrinkToFit="0" readingOrder="0"/>
    </dxf>
    <dxf>
      <alignment horizontal="center" vertical="center" textRotation="0" wrapText="1" indent="0" relativeIndent="255" justifyLastLine="0" shrinkToFit="0" readingOrder="0"/>
    </dxf>
    <dxf>
      <numFmt numFmtId="172" formatCode="0.000"/>
    </dxf>
    <dxf>
      <numFmt numFmtId="172" formatCode="0.000"/>
    </dxf>
    <dxf>
      <numFmt numFmtId="172" formatCode="0.000"/>
    </dxf>
    <dxf>
      <numFmt numFmtId="172" formatCode="0.000"/>
    </dxf>
    <dxf>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5" formatCode="0.00E+00"/>
      <alignment horizontal="general" vertical="center" textRotation="0" wrapText="0" indent="0" relativeIndent="0"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numFmt numFmtId="0" formatCode="General"/>
      <alignment horizontal="general" vertical="center" textRotation="0" wrapText="0" indent="0" relativeIndent="255" justifyLastLine="0" shrinkToFit="0" readingOrder="0"/>
      <border diagonalUp="0" diagonalDown="0" outline="0">
        <left/>
        <right/>
        <top/>
        <bottom/>
      </border>
    </dxf>
    <dxf>
      <numFmt numFmtId="0" formatCode="Genera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alignment horizontal="general" vertical="center" textRotation="0" wrapText="0" indent="0" relativeIndent="255" justifyLastLine="0" shrinkToFit="0" readingOrder="0"/>
      <border diagonalUp="0" diagonalDown="0" outline="0">
        <left/>
        <right/>
        <top/>
        <bottom/>
      </border>
    </dxf>
    <dxf>
      <numFmt numFmtId="179" formatCode="#,##0_);\(#,##0\);&quot;-&quot;_);@"/>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border diagonalUp="0" diagonalDown="0" outline="0">
        <left/>
        <right/>
        <top/>
        <bottom/>
      </border>
    </dxf>
    <dxf>
      <font>
        <name val="Calibri"/>
        <scheme val="major"/>
      </font>
      <numFmt numFmtId="1" formatCode="0"/>
      <fill>
        <patternFill patternType="solid">
          <fgColor indexed="64"/>
          <bgColor theme="9" tint="0.79998168889431442"/>
        </patternFill>
      </fill>
      <alignment horizontal="right"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alignment horizontal="general" vertical="center" textRotation="0" wrapText="0" indent="0" relativeIndent="255" justifyLastLine="0" shrinkToFit="0" readingOrder="0"/>
      <border diagonalUp="0" diagonalDown="0" outline="0">
        <left/>
        <right/>
        <top/>
        <bottom/>
      </border>
    </dxf>
    <dxf>
      <font>
        <name val="Calibri"/>
        <scheme val="major"/>
      </font>
      <numFmt numFmtId="1" formatCode="0"/>
      <fill>
        <patternFill patternType="solid">
          <fgColor indexed="64"/>
          <bgColor theme="9" tint="0.79998168889431442"/>
        </patternFill>
      </fill>
      <alignment horizontal="general" vertical="center" textRotation="0" wrapText="0" indent="0" relativeIndent="255" justifyLastLine="0" shrinkToFit="0" readingOrder="0"/>
      <border diagonalUp="0" diagonalDown="0" outline="0">
        <left/>
        <right/>
        <top/>
        <bottom style="thin">
          <color auto="1"/>
        </bottom>
      </border>
    </dxf>
    <dxf>
      <font>
        <b val="0"/>
        <i val="0"/>
        <strike val="0"/>
        <condense val="0"/>
        <extend val="0"/>
        <outline val="0"/>
        <shadow val="0"/>
        <u val="none"/>
        <vertAlign val="baseline"/>
        <sz val="10"/>
        <color theme="1"/>
        <name val="Cambria"/>
        <scheme val="minor"/>
      </font>
      <numFmt numFmtId="179" formatCode="#,##0_);\(#,##0\);&quot;-&quot;_);@"/>
      <alignment horizontal="general" vertical="center" textRotation="0" wrapText="0" indent="0" relativeIndent="255" justifyLastLine="0" shrinkToFit="0" readingOrder="0"/>
      <border diagonalUp="0" diagonalDown="0" outline="0">
        <left/>
        <right/>
        <top/>
        <bottom/>
      </border>
    </dxf>
    <dxf>
      <font>
        <color auto="1"/>
        <name val="Cambria"/>
        <scheme val="minor"/>
      </font>
      <numFmt numFmtId="179" formatCode="#,##0_);\(#,##0\);&quot;-&quot;_);@"/>
      <fill>
        <patternFill patternType="solid">
          <fgColor indexed="64"/>
          <bgColor theme="9" tint="0.79998168889431442"/>
        </patternFill>
      </fill>
      <alignment horizontal="general" vertical="center" textRotation="0" wrapText="0" indent="0" relativeIndent="255" justifyLastLine="0" shrinkToFit="0" readingOrder="0"/>
      <border diagonalUp="0" diagonalDown="0" outline="0">
        <left/>
        <right/>
        <top style="thin">
          <color theme="0" tint="-0.34998626667073579"/>
        </top>
        <bottom style="thin">
          <color auto="1"/>
        </bottom>
      </border>
    </dxf>
    <dxf>
      <alignment horizontal="general" vertical="center" textRotation="0" wrapText="0" indent="0" relativeIndent="255" justifyLastLine="0" shrinkToFit="0" readingOrder="0"/>
      <border diagonalUp="0" diagonalDown="0" outline="0">
        <left/>
        <right/>
        <top/>
        <bottom/>
      </border>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rgb="FF0D0D0D"/>
        </top>
        <bottom style="thin">
          <color rgb="FF0D0D0D"/>
        </bottom>
      </border>
    </dxf>
    <dxf>
      <font>
        <b val="0"/>
        <i val="0"/>
        <strike val="0"/>
        <condense val="0"/>
        <extend val="0"/>
        <outline val="0"/>
        <shadow val="0"/>
        <u val="none"/>
        <vertAlign val="baseline"/>
        <sz val="10"/>
        <color rgb="FF000000"/>
        <name val="Cambria"/>
        <scheme val="none"/>
      </font>
      <fill>
        <patternFill patternType="solid">
          <fgColor rgb="FF000000"/>
          <bgColor rgb="FFE4DFEC"/>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color theme="0"/>
      </font>
      <fill>
        <patternFill>
          <bgColor rgb="FFC00000"/>
        </patternFill>
      </fill>
    </dxf>
    <dxf>
      <fill>
        <patternFill>
          <bgColor rgb="FFFFFF00"/>
        </patternFill>
      </fill>
    </dxf>
    <dxf>
      <fill>
        <patternFill>
          <bgColor rgb="FFFFC000"/>
        </patternFill>
      </fill>
    </dxf>
    <dxf>
      <font>
        <color theme="0"/>
      </font>
      <fill>
        <patternFill>
          <bgColor rgb="FFC00000"/>
        </patternFill>
      </fill>
    </dxf>
    <dxf>
      <fill>
        <patternFill>
          <bgColor rgb="FFFFFF00"/>
        </patternFill>
      </fill>
    </dxf>
    <dxf>
      <fill>
        <patternFill>
          <bgColor rgb="FFFFC000"/>
        </patternFill>
      </fill>
    </dxf>
    <dxf>
      <fill>
        <patternFill>
          <bgColor rgb="FF92D050"/>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fill>
        <patternFill>
          <bgColor rgb="FFC00000"/>
        </patternFill>
      </fill>
    </dxf>
    <dxf>
      <fill>
        <patternFill>
          <bgColor rgb="FFFFFF00"/>
        </patternFill>
      </fill>
    </dxf>
    <dxf>
      <fill>
        <patternFill>
          <bgColor rgb="FFFFC000"/>
        </patternFill>
      </fill>
    </dxf>
    <dxf>
      <font>
        <color theme="0"/>
      </font>
      <fill>
        <patternFill>
          <bgColor rgb="FFC00000"/>
        </patternFill>
      </fill>
    </dxf>
    <dxf>
      <fill>
        <patternFill>
          <bgColor rgb="FFFFFF00"/>
        </patternFill>
      </fill>
    </dxf>
    <dxf>
      <fill>
        <patternFill>
          <bgColor rgb="FFFFC000"/>
        </patternFill>
      </fill>
    </dxf>
    <dxf>
      <font>
        <color theme="0"/>
      </font>
      <fill>
        <patternFill>
          <bgColor rgb="FFC00000"/>
        </patternFill>
      </fill>
    </dxf>
    <dxf>
      <fill>
        <patternFill>
          <bgColor rgb="FFFFFF00"/>
        </patternFill>
      </fill>
    </dxf>
    <dxf>
      <fill>
        <patternFill>
          <bgColor rgb="FFFFC000"/>
        </patternFill>
      </fill>
    </dxf>
    <dxf>
      <fill>
        <patternFill>
          <bgColor rgb="FF92D050"/>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fill>
        <patternFill>
          <bgColor rgb="FFC00000"/>
        </patternFill>
      </fill>
    </dxf>
    <dxf>
      <fill>
        <patternFill>
          <bgColor rgb="FFFFFF00"/>
        </patternFill>
      </fill>
    </dxf>
    <dxf>
      <fill>
        <patternFill>
          <bgColor rgb="FFFFC000"/>
        </patternFill>
      </fill>
    </dxf>
    <dxf>
      <font>
        <color theme="0"/>
      </font>
      <fill>
        <patternFill>
          <bgColor rgb="FFC00000"/>
        </patternFill>
      </fill>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alignment horizontal="general" vertical="center" textRotation="0" wrapText="0" indent="0" relativeIndent="0" justifyLastLine="0" shrinkToFit="0" readingOrder="0"/>
    </dxf>
    <dxf>
      <font>
        <b val="0"/>
        <i/>
        <strike val="0"/>
        <condense val="0"/>
        <extend val="0"/>
        <outline val="0"/>
        <shadow val="0"/>
        <u val="none"/>
        <vertAlign val="baseline"/>
        <sz val="10"/>
        <color auto="1"/>
        <name val="Cambria"/>
        <scheme val="none"/>
      </font>
      <fill>
        <patternFill patternType="solid">
          <fgColor rgb="FF000000"/>
          <bgColor rgb="FFF2F2F2"/>
        </patternFill>
      </fill>
      <alignment horizontal="general" vertical="center" textRotation="0" wrapText="0" indent="0" relativeIndent="0" justifyLastLine="0" shrinkToFit="0" readingOrder="0"/>
    </dxf>
    <dxf>
      <font>
        <b val="0"/>
        <i/>
        <strike val="0"/>
        <condense val="0"/>
        <extend val="0"/>
        <outline val="0"/>
        <shadow val="0"/>
        <u val="none"/>
        <vertAlign val="baseline"/>
        <sz val="10"/>
        <color auto="1"/>
        <name val="Cambria"/>
        <scheme val="minor"/>
      </font>
      <numFmt numFmtId="1" formatCode="0"/>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border diagonalUp="0" diagonalDown="0">
        <left/>
        <right style="thin">
          <color theme="0" tint="-0.34998626667073579"/>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border outline="0">
        <top style="thin">
          <color theme="1" tint="4.9989318521683403E-2"/>
        </top>
      </border>
    </dxf>
    <dxf>
      <font>
        <b val="0"/>
        <i val="0"/>
        <strike val="0"/>
        <condense val="0"/>
        <extend val="0"/>
        <outline val="0"/>
        <shadow val="0"/>
        <u val="none"/>
        <vertAlign val="baseline"/>
        <sz val="8"/>
        <color auto="1"/>
        <name val="Cambria"/>
        <scheme val="minor"/>
      </font>
      <fill>
        <patternFill patternType="solid">
          <fgColor indexed="64"/>
          <bgColor theme="6" tint="0.79998168889431442"/>
        </patternFill>
      </fill>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rgb="FF000000"/>
          <bgColor rgb="FFC5D9F1"/>
        </patternFill>
      </fill>
    </dxf>
    <dxf>
      <border outline="0">
        <top style="thin">
          <color rgb="FF0D0D0D"/>
        </top>
        <bottom style="thin">
          <color auto="1"/>
        </bottom>
      </border>
    </dxf>
    <dxf>
      <font>
        <b val="0"/>
        <i val="0"/>
        <strike val="0"/>
        <condense val="0"/>
        <extend val="0"/>
        <outline val="0"/>
        <shadow val="0"/>
        <u val="none"/>
        <vertAlign val="baseline"/>
        <sz val="10"/>
        <color rgb="FF000000"/>
        <name val="Cambria"/>
        <scheme val="none"/>
      </font>
      <fill>
        <patternFill patternType="solid">
          <fgColor rgb="FF000000"/>
          <bgColor rgb="FFC5D9F1"/>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rgb="FF0D0D0D"/>
        </top>
        <bottom style="thin">
          <color rgb="FF0D0D0D"/>
        </bottom>
      </border>
    </dxf>
    <dxf>
      <font>
        <b val="0"/>
        <i val="0"/>
        <strike val="0"/>
        <condense val="0"/>
        <extend val="0"/>
        <outline val="0"/>
        <shadow val="0"/>
        <u val="none"/>
        <vertAlign val="baseline"/>
        <sz val="10"/>
        <color rgb="FF000000"/>
        <name val="Cambria"/>
        <scheme val="none"/>
      </font>
      <fill>
        <patternFill patternType="solid">
          <fgColor rgb="FF000000"/>
          <bgColor rgb="FFE4DFEC"/>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style="thin">
          <color theme="0" tint="-0.34998626667073579"/>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style="thin">
          <color theme="0" tint="-0.34998626667073579"/>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rgb="FF0D0D0D"/>
        </top>
        <bottom style="thin">
          <color rgb="FF0D0D0D"/>
        </bottom>
      </border>
    </dxf>
    <dxf>
      <font>
        <b val="0"/>
        <i val="0"/>
        <strike val="0"/>
        <condense val="0"/>
        <extend val="0"/>
        <outline val="0"/>
        <shadow val="0"/>
        <u val="none"/>
        <vertAlign val="baseline"/>
        <sz val="10"/>
        <color rgb="FF000000"/>
        <name val="Cambria"/>
        <scheme val="none"/>
      </font>
      <fill>
        <patternFill patternType="solid">
          <fgColor rgb="FF000000"/>
          <bgColor rgb="FFE4DFEC"/>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1"/>
        <color theme="1"/>
        <name val="Cambria"/>
        <scheme val="minor"/>
      </font>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1"/>
        <color theme="1"/>
        <name val="Cambria"/>
        <scheme val="minor"/>
      </font>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1"/>
        <color theme="1"/>
        <name val="Cambria"/>
        <scheme val="minor"/>
      </font>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rgb="FF0D0D0D"/>
        </top>
        <bottom style="thin">
          <color rgb="FF0D0D0D"/>
        </bottom>
      </border>
    </dxf>
    <dxf>
      <font>
        <b val="0"/>
        <i val="0"/>
        <strike val="0"/>
        <condense val="0"/>
        <extend val="0"/>
        <outline val="0"/>
        <shadow val="0"/>
        <u val="none"/>
        <vertAlign val="baseline"/>
        <sz val="10"/>
        <color rgb="FF000000"/>
        <name val="Cambria"/>
        <scheme val="none"/>
      </font>
      <fill>
        <patternFill patternType="solid">
          <fgColor rgb="FF000000"/>
          <bgColor rgb="FFE5E0EC"/>
        </patternFill>
      </fill>
      <alignment horizontal="general" vertical="center" textRotation="0" wrapText="0" indent="0" relativeIndent="0" justifyLastLine="0" shrinkToFit="0" readingOrder="0"/>
    </dxf>
    <dxf>
      <border outline="0">
        <bottom style="thin">
          <color rgb="FFA5A5A5"/>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rgb="FF0D0D0D"/>
        </bottom>
      </border>
    </dxf>
    <dxf>
      <font>
        <b val="0"/>
        <i val="0"/>
        <strike val="0"/>
        <condense val="0"/>
        <extend val="0"/>
        <outline val="0"/>
        <shadow val="0"/>
        <u val="none"/>
        <vertAlign val="baseline"/>
        <sz val="10"/>
        <color theme="1"/>
        <name val="Cambria"/>
        <scheme val="minor"/>
      </font>
      <fill>
        <patternFill patternType="solid">
          <fgColor theme="4" tint="0.79998168889431442"/>
          <bgColor theme="4" tint="0.79998168889431442"/>
        </patternFill>
      </fill>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rgb="FF0D0D0D"/>
        </bottom>
      </border>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rgb="FF0D0D0D"/>
        </top>
        <bottom style="thin">
          <color rgb="FF0D0D0D"/>
        </bottom>
      </border>
    </dxf>
    <dxf>
      <font>
        <b val="0"/>
        <i val="0"/>
        <strike val="0"/>
        <condense val="0"/>
        <extend val="0"/>
        <outline val="0"/>
        <shadow val="0"/>
        <u val="none"/>
        <vertAlign val="baseline"/>
        <sz val="10"/>
        <color rgb="FF000000"/>
        <name val="Cambria"/>
        <scheme val="none"/>
      </font>
      <fill>
        <patternFill patternType="solid">
          <fgColor rgb="FF000000"/>
          <bgColor rgb="FFE4DFEC"/>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83" formatCode="#,##0.000_);\(#,##0.0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rgb="FF0D0D0D"/>
        </bottom>
      </border>
    </dxf>
    <dxf>
      <font>
        <b val="0"/>
        <i val="0"/>
        <strike val="0"/>
        <condense val="0"/>
        <extend val="0"/>
        <outline val="0"/>
        <shadow val="0"/>
        <u val="none"/>
        <vertAlign val="baseline"/>
        <sz val="10"/>
        <color theme="1"/>
        <name val="Cambria"/>
        <scheme val="minor"/>
      </font>
      <fill>
        <patternFill patternType="solid">
          <fgColor theme="4" tint="0.79998168889431442"/>
          <bgColor theme="4" tint="0.79998168889431442"/>
        </patternFill>
      </fill>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rgb="FF0D0D0D"/>
        </bottom>
      </border>
    </dxf>
    <dxf>
      <font>
        <b val="0"/>
        <i val="0"/>
        <strike val="0"/>
        <condense val="0"/>
        <extend val="0"/>
        <outline val="0"/>
        <shadow val="0"/>
        <u val="none"/>
        <vertAlign val="baseline"/>
        <sz val="10"/>
        <color theme="1"/>
        <name val="Cambria"/>
        <scheme val="minor"/>
      </font>
      <fill>
        <patternFill patternType="solid">
          <fgColor theme="4" tint="0.79998168889431442"/>
          <bgColor theme="4" tint="0.79998168889431442"/>
        </patternFill>
      </fill>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theme="1" tint="4.9989318521683403E-2"/>
        </top>
        <bottom style="thin">
          <color theme="1" tint="4.9989318521683403E-2"/>
        </bottom>
      </border>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theme="1" tint="4.9989318521683403E-2"/>
        </top>
        <bottom style="thin">
          <color theme="1" tint="4.9989318521683403E-2"/>
        </bottom>
      </border>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0" justifyLastLine="0" shrinkToFit="0" readingOrder="0"/>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5" tint="0.59999389629810485"/>
        </patternFill>
      </fill>
      <alignment horizontal="general" vertical="center" textRotation="0" wrapText="0" indent="0" relativeIndent="0" justifyLastLine="0" shrinkToFit="0" readingOrder="0"/>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5" tint="0.59999389629810485"/>
        </patternFill>
      </fill>
      <alignment horizontal="general" vertical="center" textRotation="0" wrapText="0" indent="0" relativeIndent="0" justifyLastLine="0" shrinkToFit="0" readingOrder="0"/>
      <border diagonalUp="0" diagonalDown="0" outline="0">
        <left style="thin">
          <color theme="5" tint="0.59996337778862885"/>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5" tint="0.59999389629810485"/>
        </patternFill>
      </fill>
      <alignment horizontal="general" vertical="center" textRotation="0" wrapText="0" indent="0" relativeIndent="0" justifyLastLine="0" shrinkToFit="0" readingOrder="0"/>
      <border diagonalUp="0" diagonalDown="0">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0" justifyLastLine="0" shrinkToFit="0" readingOrder="0"/>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5" tint="0.59999389629810485"/>
        </patternFill>
      </fill>
      <alignment horizontal="general" vertical="center" textRotation="0" wrapText="0" indent="0" relativeIndent="0" justifyLastLine="0" shrinkToFit="0" readingOrder="0"/>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5" tint="0.59999389629810485"/>
        </patternFill>
      </fill>
      <alignment horizontal="general" vertical="center" textRotation="0" wrapText="0" indent="0" relativeIndent="0" justifyLastLine="0" shrinkToFit="0" readingOrder="0"/>
      <border diagonalUp="0" diagonalDown="0" outline="0">
        <left style="thin">
          <color theme="5" tint="0.59996337778862885"/>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5" tint="0.59999389629810485"/>
        </patternFill>
      </fill>
      <alignment horizontal="general" vertical="center" textRotation="0" wrapText="0" indent="0" relativeIndent="0" justifyLastLine="0" shrinkToFit="0" readingOrder="0"/>
      <border diagonalUp="0" diagonalDown="0">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0" justifyLastLine="0" shrinkToFit="0" readingOrder="0"/>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5" tint="0.59999389629810485"/>
        </patternFill>
      </fill>
      <alignment horizontal="general" vertical="center" textRotation="0" wrapText="0" indent="0" relativeIndent="0" justifyLastLine="0" shrinkToFit="0" readingOrder="0"/>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5" tint="0.59999389629810485"/>
        </patternFill>
      </fill>
      <alignment horizontal="general" vertical="center" textRotation="0" wrapText="0" indent="0" relativeIndent="0" justifyLastLine="0" shrinkToFit="0" readingOrder="0"/>
      <border diagonalUp="0" diagonalDown="0" outline="0">
        <left style="thin">
          <color theme="5" tint="0.59996337778862885"/>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5" tint="0.59999389629810485"/>
        </patternFill>
      </fill>
      <alignment horizontal="general" vertical="center" textRotation="0" wrapText="0" indent="0" relativeIndent="0" justifyLastLine="0" shrinkToFit="0" readingOrder="0"/>
      <border diagonalUp="0" diagonalDown="0">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5" tint="0.59999389629810485"/>
        </patternFill>
      </fill>
      <alignment horizontal="general" vertical="center" textRotation="0" wrapText="0" indent="0" relativeIndent="0" justifyLastLine="0" shrinkToFit="0" readingOrder="0"/>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5" tint="0.59999389629810485"/>
        </patternFill>
      </fill>
      <alignment horizontal="general" vertical="center" textRotation="0" wrapText="0" indent="0" relativeIndent="0" justifyLastLine="0" shrinkToFit="0" readingOrder="0"/>
      <border diagonalUp="0" diagonalDown="0" outline="0">
        <left style="thin">
          <color theme="5" tint="0.59996337778862885"/>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5" tint="0.59999389629810485"/>
        </patternFill>
      </fill>
      <alignment horizontal="general" vertical="center" textRotation="0" wrapText="0" indent="0" relativeIndent="0" justifyLastLine="0" shrinkToFit="0" readingOrder="0"/>
      <border diagonalUp="0" diagonalDown="0" outline="0">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border diagonalUp="0" diagonalDown="0" outline="0"/>
    </dxf>
    <dxf>
      <border outline="0">
        <bottom style="thin">
          <color theme="5" tint="0.59996337778862885"/>
        </bottom>
      </border>
    </dxf>
    <dxf>
      <font>
        <b val="0"/>
        <i val="0"/>
        <strike val="0"/>
        <condense val="0"/>
        <extend val="0"/>
        <outline val="0"/>
        <shadow val="0"/>
        <u val="none"/>
        <vertAlign val="baseline"/>
        <sz val="10"/>
        <color auto="1"/>
        <name val="Cambria"/>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rgb="FF000000"/>
          <bgColor rgb="FFEAF1DD"/>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83" formatCode="#,##0.000_);\(#,##0.0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rgb="FF0D0D0D"/>
        </bottom>
      </border>
    </dxf>
    <dxf>
      <font>
        <b val="0"/>
        <i val="0"/>
        <strike val="0"/>
        <condense val="0"/>
        <extend val="0"/>
        <outline val="0"/>
        <shadow val="0"/>
        <u val="none"/>
        <vertAlign val="baseline"/>
        <sz val="10"/>
        <color theme="1"/>
        <name val="Cambria"/>
        <scheme val="minor"/>
      </font>
      <fill>
        <patternFill patternType="solid">
          <fgColor theme="4" tint="0.79998168889431442"/>
          <bgColor theme="4" tint="0.79998168889431442"/>
        </patternFill>
      </fill>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rgb="FF0D0D0D"/>
        </bottom>
      </border>
    </dxf>
    <dxf>
      <font>
        <b val="0"/>
        <i val="0"/>
        <strike val="0"/>
        <condense val="0"/>
        <extend val="0"/>
        <outline val="0"/>
        <shadow val="0"/>
        <u val="none"/>
        <vertAlign val="baseline"/>
        <sz val="10"/>
        <color theme="1"/>
        <name val="Cambria"/>
        <scheme val="minor"/>
      </font>
      <fill>
        <patternFill patternType="solid">
          <fgColor theme="4" tint="0.79998168889431442"/>
          <bgColor theme="4" tint="0.79998168889431442"/>
        </patternFill>
      </fill>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rgb="FF0D0D0D"/>
        </bottom>
      </border>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rgb="FF0D0D0D"/>
        </top>
        <bottom style="thin">
          <color rgb="FF0D0D0D"/>
        </bottom>
      </border>
    </dxf>
    <dxf>
      <font>
        <b val="0"/>
        <i val="0"/>
        <strike val="0"/>
        <condense val="0"/>
        <extend val="0"/>
        <outline val="0"/>
        <shadow val="0"/>
        <u val="none"/>
        <vertAlign val="baseline"/>
        <sz val="10"/>
        <color rgb="FF000000"/>
        <name val="Cambria"/>
        <scheme val="none"/>
      </font>
      <fill>
        <patternFill patternType="solid">
          <fgColor rgb="FF000000"/>
          <bgColor rgb="FFE4DFEC"/>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numFmt numFmtId="183" formatCode="#,##0.000_);\(#,##0.0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condense val="0"/>
        <extend val="0"/>
        <color rgb="FF006100"/>
      </font>
      <fill>
        <patternFill>
          <bgColor rgb="FFC6EFCE"/>
        </patternFill>
      </fill>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fill>
        <patternFill patternType="solid">
          <fgColor indexed="64"/>
          <bgColor theme="7" tint="0.79998168889431442"/>
        </patternFill>
      </fill>
      <border diagonalUp="0" diagonalDown="0" outline="0">
        <left style="thin">
          <color theme="5" tint="0.79998168889431442"/>
        </left>
        <right style="thin">
          <color theme="5" tint="0.79998168889431442"/>
        </right>
        <top style="thin">
          <color theme="5" tint="0.79998168889431442"/>
        </top>
        <bottom style="thin">
          <color theme="5" tint="0.79998168889431442"/>
        </bottom>
      </border>
    </dxf>
    <dxf>
      <numFmt numFmtId="0" formatCode="General"/>
      <fill>
        <patternFill patternType="solid">
          <fgColor indexed="64"/>
          <bgColor theme="7" tint="0.79998168889431442"/>
        </patternFill>
      </fill>
      <border diagonalUp="0" diagonalDown="0" outline="0">
        <left style="thin">
          <color theme="5" tint="0.79998168889431442"/>
        </left>
        <right style="thin">
          <color theme="5" tint="0.79998168889431442"/>
        </right>
        <top style="thin">
          <color theme="5" tint="0.79998168889431442"/>
        </top>
        <bottom style="thin">
          <color theme="5" tint="0.79998168889431442"/>
        </bottom>
      </border>
    </dxf>
    <dxf>
      <fill>
        <patternFill patternType="solid">
          <fgColor indexed="64"/>
          <bgColor theme="7" tint="0.79998168889431442"/>
        </patternFill>
      </fill>
      <border diagonalUp="0" diagonalDown="0" outline="0">
        <left/>
        <right style="thin">
          <color theme="5" tint="0.79998168889431442"/>
        </right>
        <top style="thin">
          <color theme="5" tint="0.79998168889431442"/>
        </top>
        <bottom style="thin">
          <color theme="5" tint="0.79998168889431442"/>
        </bottom>
      </border>
    </dxf>
    <dxf>
      <border outline="0">
        <top style="thin">
          <color theme="5" tint="0.59996337778862885"/>
        </top>
      </border>
    </dxf>
    <dxf>
      <border outline="0">
        <left style="thin">
          <color theme="5" tint="0.79998168889431442"/>
        </left>
        <right style="thin">
          <color theme="5" tint="0.79998168889431442"/>
        </right>
        <top style="thin">
          <color theme="5" tint="0.79998168889431442"/>
        </top>
        <bottom style="thin">
          <color indexed="64"/>
        </bottom>
      </border>
    </dxf>
    <dxf>
      <fill>
        <patternFill patternType="solid">
          <fgColor indexed="64"/>
          <bgColor theme="7" tint="0.79998168889431442"/>
        </patternFill>
      </fill>
      <border diagonalUp="0" diagonalDown="0" outline="0"/>
    </dxf>
    <dxf>
      <border>
        <bottom style="thin">
          <color theme="0" tint="-0.34998626667073579"/>
        </bottom>
        <vertical/>
        <horizontal/>
      </border>
    </dxf>
    <dxf>
      <font>
        <b/>
        <i val="0"/>
        <strike val="0"/>
        <condense val="0"/>
        <extend val="0"/>
        <outline val="0"/>
        <shadow val="0"/>
        <u val="none"/>
        <vertAlign val="baseline"/>
        <sz val="10"/>
        <color auto="1"/>
        <name val="Cambria"/>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fill>
        <patternFill patternType="solid">
          <fgColor indexed="64"/>
          <bgColor theme="7" tint="0.79998168889431442"/>
        </patternFill>
      </fill>
      <border diagonalUp="0" diagonalDown="0">
        <left/>
        <right style="thin">
          <color theme="5" tint="0.79998168889431442"/>
        </right>
        <top style="thin">
          <color theme="5" tint="0.79998168889431442"/>
        </top>
        <bottom style="thin">
          <color theme="5" tint="0.79998168889431442"/>
        </bottom>
      </border>
    </dxf>
    <dxf>
      <border outline="0">
        <top style="thin">
          <color theme="5" tint="0.59996337778862885"/>
        </top>
      </border>
    </dxf>
    <dxf>
      <border outline="0">
        <top style="thin">
          <color theme="1"/>
        </top>
      </border>
    </dxf>
    <dxf>
      <fill>
        <patternFill patternType="solid">
          <fgColor indexed="64"/>
          <bgColor theme="7" tint="0.79998168889431442"/>
        </patternFill>
      </fill>
      <border diagonalUp="0" diagonalDown="0" outline="0"/>
    </dxf>
    <dxf>
      <border>
        <bottom style="thin">
          <color theme="0" tint="-0.34998626667073579"/>
        </bottom>
        <vertical/>
        <horizontal/>
      </border>
    </dxf>
    <dxf>
      <font>
        <b/>
        <i val="0"/>
        <strike val="0"/>
        <condense val="0"/>
        <extend val="0"/>
        <outline val="0"/>
        <shadow val="0"/>
        <u val="none"/>
        <vertAlign val="baseline"/>
        <sz val="10"/>
        <color auto="1"/>
        <name val="Cambria"/>
        <scheme val="minor"/>
      </font>
      <fill>
        <patternFill patternType="solid">
          <fgColor indexed="64"/>
          <bgColor theme="7" tint="0.79998168889431442"/>
        </patternFill>
      </fill>
      <border diagonalUp="0" diagonalDown="0">
        <left style="thin">
          <color theme="5" tint="0.79998168889431442"/>
        </left>
        <right style="thin">
          <color theme="5" tint="0.79998168889431442"/>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strike val="0"/>
        <outline val="0"/>
        <shadow val="0"/>
        <name val="Cambria"/>
        <scheme val="minor"/>
      </font>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dxf>
    <dxf>
      <font>
        <strike val="0"/>
        <outline val="0"/>
        <shadow val="0"/>
        <name val="Cambria"/>
        <scheme val="minor"/>
      </font>
    </dxf>
    <dxf>
      <font>
        <strike val="0"/>
        <outline val="0"/>
        <shadow val="0"/>
        <name val="Cambria"/>
        <scheme val="minor"/>
      </font>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strike val="0"/>
        <outline val="0"/>
        <shadow val="0"/>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strike val="0"/>
        <outline val="0"/>
        <shadow val="0"/>
        <name val="Cambria"/>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strike val="0"/>
        <outline val="0"/>
        <shadow val="0"/>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rgb="FF0D0D0D"/>
        </top>
        <bottom style="thin">
          <color rgb="FF0D0D0D"/>
        </bottom>
      </border>
    </dxf>
    <dxf>
      <font>
        <b val="0"/>
        <i val="0"/>
        <strike val="0"/>
        <condense val="0"/>
        <extend val="0"/>
        <outline val="0"/>
        <shadow val="0"/>
        <u val="none"/>
        <vertAlign val="baseline"/>
        <sz val="10"/>
        <color rgb="FF000000"/>
        <name val="Cambria"/>
        <scheme val="none"/>
      </font>
      <fill>
        <patternFill patternType="solid">
          <fgColor rgb="FF000000"/>
          <bgColor rgb="FFE4DFEC"/>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rgb="FF0D0D0D"/>
        </bottom>
      </border>
    </dxf>
    <dxf>
      <font>
        <b val="0"/>
        <i val="0"/>
        <strike val="0"/>
        <condense val="0"/>
        <extend val="0"/>
        <outline val="0"/>
        <shadow val="0"/>
        <u val="none"/>
        <vertAlign val="baseline"/>
        <sz val="10"/>
        <color theme="1"/>
        <name val="Cambria"/>
        <scheme val="minor"/>
      </font>
      <fill>
        <patternFill patternType="solid">
          <fgColor theme="4" tint="0.79998168889431442"/>
          <bgColor theme="4" tint="0.79998168889431442"/>
        </patternFill>
      </fill>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7" formatCode="0.0%"/>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auto="1"/>
        </bottom>
      </border>
    </dxf>
    <dxf>
      <font>
        <b val="0"/>
        <i val="0"/>
        <strike val="0"/>
        <condense val="0"/>
        <extend val="0"/>
        <outline val="0"/>
        <shadow val="0"/>
        <u val="none"/>
        <vertAlign val="baseline"/>
        <sz val="10"/>
        <color auto="1"/>
        <name val="Cambria"/>
        <scheme val="none"/>
      </font>
      <fill>
        <patternFill patternType="solid">
          <fgColor rgb="FF000000"/>
          <bgColor rgb="FFE4DFEC"/>
        </patternFill>
      </fill>
      <alignment horizontal="general" vertical="center" textRotation="0" wrapText="0" indent="0" relativeIndent="255" justifyLastLine="0" shrinkToFit="0" readingOrder="0"/>
    </dxf>
    <dxf>
      <border outline="0">
        <bottom style="thin">
          <color rgb="FFA6A6A6"/>
        </bottom>
      </border>
    </dxf>
    <dxf>
      <font>
        <b/>
        <i val="0"/>
        <strike val="0"/>
        <condense val="0"/>
        <extend val="0"/>
        <outline val="0"/>
        <shadow val="0"/>
        <u val="none"/>
        <vertAlign val="baseline"/>
        <sz val="10"/>
        <color auto="1"/>
        <name val="Calibri"/>
        <scheme val="major"/>
      </font>
      <numFmt numFmtId="0" formatCode="General"/>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font>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7" formatCode="0.0%"/>
      <fill>
        <patternFill patternType="solid">
          <fgColor indexed="64"/>
          <bgColor theme="7" tint="0.79998168889431442"/>
        </patternFill>
      </fill>
      <alignment horizontal="general"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Cambria"/>
        <scheme val="minor"/>
      </font>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border diagonalUp="0" diagonalDown="0">
        <left/>
        <right/>
        <top style="thin">
          <color theme="4" tint="0.39997558519241921"/>
        </top>
        <bottom/>
        <vertical/>
        <horizontal/>
      </border>
    </dxf>
    <dxf>
      <border outline="0">
        <left style="thin">
          <color theme="4" tint="0.39997558519241921"/>
        </left>
        <top style="thin">
          <color rgb="FF0D0D0D"/>
        </top>
        <bottom style="thin">
          <color auto="1"/>
        </bottom>
      </border>
    </dxf>
    <dxf>
      <font>
        <b val="0"/>
        <i val="0"/>
        <strike val="0"/>
        <condense val="0"/>
        <extend val="0"/>
        <outline val="0"/>
        <shadow val="0"/>
        <u val="none"/>
        <vertAlign val="baseline"/>
        <sz val="10"/>
        <color auto="1"/>
        <name val="Cambria"/>
        <scheme val="minor"/>
      </font>
      <fill>
        <patternFill patternType="solid">
          <fgColor indexed="64"/>
          <bgColor theme="7" tint="0.79998168889431442"/>
        </patternFill>
      </fill>
      <alignment horizontal="center" vertical="center" textRotation="0" wrapText="0" indent="0" relativeIndent="255" justifyLastLine="0" shrinkToFit="0" readingOrder="0"/>
    </dxf>
    <dxf>
      <font>
        <b/>
        <i val="0"/>
        <strike val="0"/>
        <condense val="0"/>
        <extend val="0"/>
        <outline val="0"/>
        <shadow val="0"/>
        <u val="none"/>
        <vertAlign val="baseline"/>
        <sz val="10"/>
        <color auto="1"/>
        <name val="Calibri"/>
        <scheme val="major"/>
      </font>
      <numFmt numFmtId="0" formatCode="General"/>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7" formatCode="0.0%"/>
      <fill>
        <patternFill patternType="solid">
          <fgColor indexed="64"/>
          <bgColor theme="7" tint="0.79998168889431442"/>
        </patternFill>
      </fill>
      <alignment horizontal="general"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Cambria"/>
        <scheme val="minor"/>
      </font>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border diagonalUp="0" diagonalDown="0">
        <left/>
        <right/>
        <top style="thin">
          <color theme="4" tint="0.39997558519241921"/>
        </top>
        <bottom/>
        <vertical/>
        <horizontal/>
      </border>
    </dxf>
    <dxf>
      <border outline="0">
        <left style="thin">
          <color theme="4" tint="0.39997558519241921"/>
        </left>
        <top style="thin">
          <color rgb="FF0D0D0D"/>
        </top>
        <bottom style="thin">
          <color auto="1"/>
        </bottom>
      </border>
    </dxf>
    <dxf>
      <font>
        <b val="0"/>
        <i val="0"/>
        <strike val="0"/>
        <condense val="0"/>
        <extend val="0"/>
        <outline val="0"/>
        <shadow val="0"/>
        <u val="none"/>
        <vertAlign val="baseline"/>
        <sz val="10"/>
        <color auto="1"/>
        <name val="Cambria"/>
        <scheme val="minor"/>
      </font>
      <fill>
        <patternFill patternType="solid">
          <fgColor indexed="64"/>
          <bgColor theme="7" tint="0.79998168889431442"/>
        </patternFill>
      </fill>
      <alignment horizontal="center" vertical="center" textRotation="0" wrapText="0" indent="0" relativeIndent="255" justifyLastLine="0" shrinkToFit="0" readingOrder="0"/>
    </dxf>
    <dxf>
      <font>
        <b/>
        <i val="0"/>
        <strike val="0"/>
        <condense val="0"/>
        <extend val="0"/>
        <outline val="0"/>
        <shadow val="0"/>
        <u val="none"/>
        <vertAlign val="baseline"/>
        <sz val="10"/>
        <color auto="1"/>
        <name val="Calibri"/>
        <scheme val="major"/>
      </font>
      <numFmt numFmtId="0" formatCode="General"/>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2"/>
        <color theme="1"/>
        <name val="Cambria"/>
        <scheme val="minor"/>
      </font>
      <fill>
        <patternFill patternType="solid">
          <fgColor indexed="64"/>
          <bgColor theme="6" tint="0.79998168889431442"/>
        </patternFill>
      </fill>
    </dxf>
    <dxf>
      <border outline="0">
        <bottom style="thin">
          <color theme="0"/>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dxf>
    <dxf>
      <font>
        <b/>
        <i val="0"/>
        <strike val="0"/>
        <condense val="0"/>
        <extend val="0"/>
        <outline val="0"/>
        <shadow val="0"/>
        <u val="none"/>
        <vertAlign val="baseline"/>
        <sz val="10"/>
        <color theme="1"/>
        <name val="Calibri"/>
        <scheme val="major"/>
      </font>
      <numFmt numFmtId="0" formatCode="General"/>
      <fill>
        <patternFill patternType="solid">
          <fgColor indexed="64"/>
          <bgColor theme="7" tint="0.79998168889431442"/>
        </patternFill>
      </fill>
      <alignment horizontal="center" vertical="center" textRotation="0" wrapText="0" indent="0" relativeIndent="255" justifyLastLine="0" shrinkToFit="0" readingOrder="0"/>
    </dxf>
    <dxf>
      <border outline="0">
        <bottom style="thin">
          <color rgb="FFFFFFFF"/>
        </bottom>
      </border>
    </dxf>
    <dxf>
      <font>
        <b/>
        <i val="0"/>
        <strike val="0"/>
        <condense val="0"/>
        <extend val="0"/>
        <outline val="0"/>
        <shadow val="0"/>
        <u val="none"/>
        <vertAlign val="baseline"/>
        <sz val="10"/>
        <color theme="1"/>
        <name val="Calibri"/>
        <scheme val="major"/>
      </font>
      <numFmt numFmtId="0" formatCode="General"/>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font>
      <numFmt numFmtId="179" formatCode="#,##0_);\(#,##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7" tint="0.79998168889431442"/>
        </patternFill>
      </fill>
      <alignment horizontal="left"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left"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rgb="FF0D0D0D"/>
        </top>
      </border>
    </dxf>
    <dxf>
      <font>
        <b val="0"/>
        <i val="0"/>
        <strike val="0"/>
        <condense val="0"/>
        <extend val="0"/>
        <outline val="0"/>
        <shadow val="0"/>
        <u val="none"/>
        <vertAlign val="baseline"/>
        <sz val="10"/>
        <color rgb="FF000000"/>
        <name val="Cambria"/>
        <scheme val="none"/>
      </font>
      <fill>
        <patternFill patternType="solid">
          <fgColor rgb="FF000000"/>
          <bgColor rgb="FFE4DFEC"/>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255" justifyLastLine="0" shrinkToFit="0" readingOrder="0"/>
    </dxf>
    <dxf>
      <font>
        <b/>
        <i val="0"/>
        <strike val="0"/>
        <condense val="0"/>
        <extend val="0"/>
        <outline val="0"/>
        <shadow val="0"/>
        <u val="none"/>
        <vertAlign val="baseline"/>
        <sz val="10"/>
        <color auto="1"/>
        <name val="Calibri"/>
        <scheme val="major"/>
      </font>
      <fill>
        <patternFill patternType="solid">
          <fgColor indexed="64"/>
          <bgColor theme="4"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4" tint="0.79998168889431442"/>
        </patternFill>
      </fill>
      <alignment horizontal="general" vertical="center" textRotation="0" wrapText="0" indent="0" relativeIndent="255" justifyLastLine="0" shrinkToFit="0" readingOrder="0"/>
    </dxf>
    <dxf>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ill>
        <patternFill patternType="solid">
          <fgColor indexed="64"/>
          <bgColor theme="4" tint="0.79998168889431442"/>
        </patternFill>
      </fill>
    </dxf>
    <dxf>
      <fill>
        <patternFill patternType="solid">
          <fgColor indexed="64"/>
          <bgColor theme="4" tint="0.79998168889431442"/>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4"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rgb="FF0D0D0D"/>
        </bottom>
      </border>
    </dxf>
    <dxf>
      <font>
        <b val="0"/>
        <i val="0"/>
        <strike val="0"/>
        <condense val="0"/>
        <extend val="0"/>
        <outline val="0"/>
        <shadow val="0"/>
        <u val="none"/>
        <vertAlign val="baseline"/>
        <sz val="10"/>
        <color theme="1"/>
        <name val="Cambria"/>
        <scheme val="minor"/>
      </font>
      <fill>
        <patternFill patternType="solid">
          <fgColor theme="4" tint="0.79998168889431442"/>
          <bgColor theme="4" tint="0.79998168889431442"/>
        </patternFill>
      </fill>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alignment horizontal="right" vertical="bottom" textRotation="0" wrapText="0" indent="0" relativeIndent="255" justifyLastLine="0" shrinkToFit="0" readingOrder="0"/>
    </dxf>
    <dxf>
      <fill>
        <patternFill patternType="solid">
          <fgColor indexed="64"/>
          <bgColor theme="9" tint="0.79998168889431442"/>
        </patternFill>
      </fill>
    </dxf>
    <dxf>
      <font>
        <b/>
        <i val="0"/>
        <strike val="0"/>
        <condense val="0"/>
        <extend val="0"/>
        <outline val="0"/>
        <shadow val="0"/>
        <u val="none"/>
        <vertAlign val="baseline"/>
        <sz val="10"/>
        <color theme="1"/>
        <name val="Cambria"/>
        <scheme val="minor"/>
      </font>
      <fill>
        <patternFill patternType="solid">
          <fgColor indexed="64"/>
          <bgColor theme="9" tint="0.79998168889431442"/>
        </patternFill>
      </fill>
    </dxf>
    <dxf>
      <border outline="0">
        <left style="thin">
          <color auto="1"/>
        </left>
        <right style="thin">
          <color auto="1"/>
        </right>
        <top style="thin">
          <color auto="1"/>
        </top>
        <bottom style="thin">
          <color auto="1"/>
        </bottom>
      </border>
    </dxf>
    <dxf>
      <fill>
        <patternFill patternType="solid">
          <fgColor indexed="64"/>
          <bgColor theme="9" tint="0.79998168889431442"/>
        </patternFill>
      </fill>
    </dxf>
    <dxf>
      <border outline="0">
        <bottom style="thin">
          <color auto="1"/>
        </bottom>
      </border>
    </dxf>
    <dxf>
      <font>
        <b/>
        <i val="0"/>
        <strike val="0"/>
        <condense val="0"/>
        <extend val="0"/>
        <outline val="0"/>
        <shadow val="0"/>
        <u val="none"/>
        <vertAlign val="baseline"/>
        <sz val="10"/>
        <color auto="1"/>
        <name val="Calibri"/>
        <scheme val="major"/>
      </font>
      <numFmt numFmtId="0" formatCode="General"/>
      <fill>
        <patternFill patternType="solid">
          <fgColor indexed="64"/>
          <bgColor theme="9"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4" tint="0.79998168889431442"/>
        </patternFill>
      </fill>
      <alignment horizontal="general" vertical="center" textRotation="0" wrapText="0" indent="0" relativeIndent="255"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rgb="FF000000"/>
          <bgColor rgb="FFC5D9F1"/>
        </patternFill>
      </fill>
    </dxf>
    <dxf>
      <border outline="0">
        <top style="thin">
          <color rgb="FF0D0D0D"/>
        </top>
        <bottom style="thin">
          <color auto="1"/>
        </bottom>
      </border>
    </dxf>
    <dxf>
      <font>
        <b val="0"/>
        <i val="0"/>
        <strike val="0"/>
        <condense val="0"/>
        <extend val="0"/>
        <outline val="0"/>
        <shadow val="0"/>
        <u val="none"/>
        <vertAlign val="baseline"/>
        <sz val="10"/>
        <color rgb="FF000000"/>
        <name val="Cambria"/>
        <scheme val="none"/>
      </font>
      <fill>
        <patternFill patternType="solid">
          <fgColor rgb="FF000000"/>
          <bgColor rgb="FFC5D9F1"/>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4"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i val="0"/>
        <strike val="0"/>
        <condense val="0"/>
        <extend val="0"/>
        <outline val="0"/>
        <shadow val="0"/>
        <u val="none"/>
        <vertAlign val="baseline"/>
        <sz val="10"/>
        <color theme="1"/>
        <name val="Calibri"/>
        <scheme val="major"/>
      </font>
      <numFmt numFmtId="0" formatCode="General"/>
      <fill>
        <patternFill patternType="solid">
          <fgColor indexed="64"/>
          <bgColor theme="7" tint="0.79998168889431442"/>
        </patternFill>
      </fill>
      <alignment horizontal="center" vertical="center" textRotation="0" wrapText="0" indent="0" relativeIndent="255" justifyLastLine="0" shrinkToFit="0" readingOrder="0"/>
    </dxf>
    <dxf>
      <border outline="0">
        <bottom style="thin">
          <color theme="0"/>
        </bottom>
      </border>
    </dxf>
    <dxf>
      <font>
        <b/>
        <i val="0"/>
        <strike val="0"/>
        <condense val="0"/>
        <extend val="0"/>
        <outline val="0"/>
        <shadow val="0"/>
        <u val="none"/>
        <vertAlign val="baseline"/>
        <sz val="10"/>
        <color theme="1"/>
        <name val="Calibri"/>
        <scheme val="major"/>
      </font>
      <numFmt numFmtId="0" formatCode="General"/>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7" formatCode="0.0%"/>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theme="1" tint="4.9989318521683403E-2"/>
        </top>
        <bottom style="thin">
          <color auto="1"/>
        </bottom>
      </border>
    </dxf>
    <dxf>
      <font>
        <b val="0"/>
        <i val="0"/>
        <strike val="0"/>
        <condense val="0"/>
        <extend val="0"/>
        <outline val="0"/>
        <shadow val="0"/>
        <u val="none"/>
        <vertAlign val="baseline"/>
        <sz val="10"/>
        <color auto="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libri"/>
        <scheme val="major"/>
      </font>
      <numFmt numFmtId="0" formatCode="General"/>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font>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numFmt numFmtId="171" formatCode="#,##0.0"/>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255" justifyLastLine="0" shrinkToFit="0" readingOrder="0"/>
      <border diagonalUp="0" diagonalDown="0" outline="0">
        <left/>
        <right/>
        <top style="thin">
          <color theme="0" tint="-0.34998626667073579"/>
        </top>
        <bottom/>
      </border>
    </dxf>
    <dxf>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ill>
        <patternFill patternType="solid">
          <fgColor indexed="64"/>
          <bgColor theme="3" tint="0.79998168889431442"/>
        </patternFill>
      </fill>
      <alignment horizontal="general" vertical="center" textRotation="0" wrapText="0" indent="0" relativeIndent="255" justifyLastLine="0" shrinkToFit="0" readingOrder="0"/>
      <border diagonalUp="0" diagonalDown="0" outline="0">
        <left/>
        <right/>
        <top style="thin">
          <color theme="0" tint="-0.34998626667073579"/>
        </top>
        <bottom/>
      </border>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255" justifyLastLine="0" shrinkToFit="0" readingOrder="0"/>
    </dxf>
    <dxf>
      <font>
        <b/>
        <i val="0"/>
        <strike val="0"/>
        <condense val="0"/>
        <extend val="0"/>
        <outline val="0"/>
        <shadow val="0"/>
        <u val="none"/>
        <vertAlign val="baseline"/>
        <sz val="10"/>
        <color auto="1"/>
        <name val="Cambria"/>
        <scheme val="minor"/>
      </font>
      <fill>
        <patternFill patternType="none">
          <fgColor indexed="64"/>
          <bgColor indexed="65"/>
        </patternFill>
      </fill>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numFmt numFmtId="171" formatCode="#,##0.0"/>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numFmt numFmtId="171" formatCode="#,##0.0"/>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numFmt numFmtId="171" formatCode="#,##0.0"/>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font>
        <b val="0"/>
        <i val="0"/>
        <strike val="0"/>
        <condense val="0"/>
        <extend val="0"/>
        <outline val="0"/>
        <shadow val="0"/>
        <u val="none"/>
        <vertAlign val="baseline"/>
        <sz val="9"/>
        <color theme="1"/>
        <name val="Cambria"/>
        <scheme val="minor"/>
      </font>
      <numFmt numFmtId="0" formatCode="General"/>
      <fill>
        <patternFill patternType="solid">
          <fgColor indexed="64"/>
          <bgColor theme="6" tint="0.79998168889431442"/>
        </patternFill>
      </fill>
      <alignment horizontal="center" vertical="bottom" textRotation="0" wrapText="0" indent="0" relativeIndent="255" justifyLastLine="0" shrinkToFit="0" readingOrder="0"/>
    </dxf>
    <dxf>
      <font>
        <b val="0"/>
        <i val="0"/>
        <strike val="0"/>
        <condense val="0"/>
        <extend val="0"/>
        <outline val="0"/>
        <shadow val="0"/>
        <u val="none"/>
        <vertAlign val="baseline"/>
        <sz val="9"/>
        <color theme="1"/>
        <name val="Cambria"/>
        <scheme val="minor"/>
      </font>
      <numFmt numFmtId="0" formatCode="General"/>
      <fill>
        <patternFill patternType="solid">
          <fgColor indexed="64"/>
          <bgColor theme="6" tint="0.79998168889431442"/>
        </patternFill>
      </fill>
      <alignment horizontal="center" vertical="bottom"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dxf>
    <dxf>
      <border outline="0">
        <top style="thin">
          <color theme="1" tint="4.9989318521683403E-2"/>
        </top>
      </border>
    </dxf>
    <dxf>
      <font>
        <b/>
        <i val="0"/>
        <strike val="0"/>
        <condense val="0"/>
        <extend val="0"/>
        <outline val="0"/>
        <shadow val="0"/>
        <u val="none"/>
        <vertAlign val="baseline"/>
        <sz val="10"/>
        <color auto="1"/>
        <name val="Calibri"/>
        <scheme val="major"/>
      </font>
      <numFmt numFmtId="0" formatCode="General"/>
      <fill>
        <patternFill patternType="solid">
          <fgColor indexed="64"/>
          <bgColor theme="6" tint="0.79998168889431442"/>
        </patternFill>
      </fill>
      <alignment horizontal="left"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sz val="9"/>
      </font>
      <numFmt numFmtId="0" formatCode="General"/>
      <fill>
        <patternFill patternType="solid">
          <fgColor indexed="64"/>
          <bgColor theme="6" tint="0.79998168889431442"/>
        </patternFill>
      </fill>
      <alignment horizontal="center" vertical="bottom" textRotation="0" wrapText="0" indent="0" relativeIndent="255"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rgb="FF0D0D0D"/>
        </top>
        <bottom style="thin">
          <color rgb="FF0D0D0D"/>
        </bottom>
      </border>
    </dxf>
    <dxf>
      <font>
        <b val="0"/>
        <i val="0"/>
        <strike val="0"/>
        <condense val="0"/>
        <extend val="0"/>
        <outline val="0"/>
        <shadow val="0"/>
        <u val="none"/>
        <vertAlign val="baseline"/>
        <sz val="10"/>
        <color rgb="FF000000"/>
        <name val="Cambria"/>
        <scheme val="none"/>
      </font>
      <fill>
        <patternFill patternType="solid">
          <fgColor rgb="FF000000"/>
          <bgColor rgb="FFE4DFEC"/>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255"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numFmt numFmtId="171" formatCode="#,##0.0"/>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ill>
        <patternFill>
          <bgColor theme="4" tint="0.79998168889431442"/>
        </patternFill>
      </fill>
    </dxf>
    <dxf>
      <font>
        <b/>
        <i val="0"/>
      </font>
      <border>
        <top style="thin">
          <color auto="1"/>
        </top>
      </border>
    </dxf>
    <dxf>
      <font>
        <b/>
        <i val="0"/>
      </font>
      <fill>
        <patternFill patternType="none">
          <bgColor auto="1"/>
        </patternFill>
      </fill>
      <border>
        <bottom style="thin">
          <color theme="0" tint="-0.34998626667073579"/>
        </bottom>
      </border>
    </dxf>
    <dxf>
      <border>
        <top style="thin">
          <color theme="1" tint="4.9989318521683403E-2"/>
        </top>
        <bottom style="thin">
          <color theme="1" tint="4.9989318521683403E-2"/>
        </bottom>
      </border>
    </dxf>
  </dxfs>
  <tableStyles count="1" defaultTableStyle="TableStyleMedium2" defaultPivotStyle="PivotStyleLight16">
    <tableStyle name="EnergyCalcTables" pivot="0" count="4">
      <tableStyleElement type="wholeTable" dxfId="3130"/>
      <tableStyleElement type="headerRow" dxfId="3129"/>
      <tableStyleElement type="totalRow" dxfId="3128"/>
      <tableStyleElement type="secondRowStripe" dxfId="3127"/>
    </tableStyle>
  </tableStyles>
  <colors>
    <mruColors>
      <color rgb="FFFFFFFF"/>
      <color rgb="FFFF00FF"/>
      <color rgb="FFE9EFF7"/>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externalLink" Target="externalLinks/externalLink1.xml"/><Relationship Id="rId68" Type="http://schemas.openxmlformats.org/officeDocument/2006/relationships/externalLink" Target="externalLinks/externalLink6.xml"/><Relationship Id="rId76" Type="http://schemas.openxmlformats.org/officeDocument/2006/relationships/externalLink" Target="externalLinks/externalLink14.xml"/><Relationship Id="rId7" Type="http://schemas.openxmlformats.org/officeDocument/2006/relationships/worksheet" Target="worksheets/sheet7.xml"/><Relationship Id="rId71" Type="http://schemas.openxmlformats.org/officeDocument/2006/relationships/externalLink" Target="externalLinks/externalLink9.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externalLink" Target="externalLinks/externalLink4.xml"/><Relationship Id="rId74" Type="http://schemas.openxmlformats.org/officeDocument/2006/relationships/externalLink" Target="externalLinks/externalLink12.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3.xml"/><Relationship Id="rId73" Type="http://schemas.openxmlformats.org/officeDocument/2006/relationships/externalLink" Target="externalLinks/externalLink11.xml"/><Relationship Id="rId78" Type="http://schemas.openxmlformats.org/officeDocument/2006/relationships/theme" Target="theme/theme1.xml"/><Relationship Id="rId8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2.xml"/><Relationship Id="rId69" Type="http://schemas.openxmlformats.org/officeDocument/2006/relationships/externalLink" Target="externalLinks/externalLink7.xml"/><Relationship Id="rId77" Type="http://schemas.openxmlformats.org/officeDocument/2006/relationships/externalLink" Target="externalLinks/externalLink1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0.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5.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8.xml"/><Relationship Id="rId75" Type="http://schemas.openxmlformats.org/officeDocument/2006/relationships/externalLink" Target="externalLinks/externalLink1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charts/chart1.xml><?xml version="1.0" encoding="utf-8"?>
<c:chartSpace xmlns:c="http://schemas.openxmlformats.org/drawingml/2006/chart" xmlns:a="http://schemas.openxmlformats.org/drawingml/2006/main" xmlns:r="http://schemas.openxmlformats.org/officeDocument/2006/relationships">
  <c:lang val="en-IN"/>
  <c:chart>
    <c:title>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plotArea>
      <c:layout/>
      <c:lineChart>
        <c:grouping val="standard"/>
        <c:ser>
          <c:idx val="0"/>
          <c:order val="0"/>
          <c:spPr>
            <a:ln w="28575" cap="rnd">
              <a:solidFill>
                <a:schemeClr val="accent1"/>
              </a:solidFill>
              <a:round/>
            </a:ln>
            <a:effectLst/>
          </c:spPr>
          <c:marker>
            <c:symbol val="none"/>
          </c:marker>
          <c:val>
            <c:numRef>
              <c:f>XV.a!$G$109:$N$109</c:f>
              <c:numCache>
                <c:formatCode>#,##0.0_);\(#,##0.0\);"-"_);@</c:formatCode>
                <c:ptCount val="8"/>
                <c:pt idx="0">
                  <c:v>449.1920925</c:v>
                </c:pt>
                <c:pt idx="1">
                  <c:v>507.09261100499998</c:v>
                </c:pt>
                <c:pt idx="2">
                  <c:v>548.56099701000005</c:v>
                </c:pt>
                <c:pt idx="3">
                  <c:v>586.57321805615095</c:v>
                </c:pt>
                <c:pt idx="4">
                  <c:v>641.54155989156084</c:v>
                </c:pt>
                <c:pt idx="5">
                  <c:v>680.54187544379761</c:v>
                </c:pt>
                <c:pt idx="6">
                  <c:v>722.92972840858988</c:v>
                </c:pt>
                <c:pt idx="7">
                  <c:v>769.07133311204609</c:v>
                </c:pt>
              </c:numCache>
            </c:numRef>
          </c:val>
        </c:ser>
        <c:ser>
          <c:idx val="1"/>
          <c:order val="1"/>
          <c:spPr>
            <a:ln w="28575" cap="rnd">
              <a:solidFill>
                <a:schemeClr val="accent2"/>
              </a:solidFill>
              <a:round/>
            </a:ln>
            <a:effectLst/>
          </c:spPr>
          <c:marker>
            <c:symbol val="none"/>
          </c:marker>
          <c:val>
            <c:numRef>
              <c:f>XV.a!$G$110:$N$110</c:f>
              <c:numCache>
                <c:formatCode>#,##0.0_);\(#,##0.0\);"-"_);@</c:formatCode>
                <c:ptCount val="8"/>
                <c:pt idx="0">
                  <c:v>449.1920925</c:v>
                </c:pt>
                <c:pt idx="1">
                  <c:v>544.10816250000005</c:v>
                </c:pt>
                <c:pt idx="2">
                  <c:v>641.25855000000001</c:v>
                </c:pt>
                <c:pt idx="3">
                  <c:v>750.05190000000005</c:v>
                </c:pt>
                <c:pt idx="4">
                  <c:v>881.75407500000006</c:v>
                </c:pt>
                <c:pt idx="5">
                  <c:v>1000.9176750000001</c:v>
                </c:pt>
                <c:pt idx="6">
                  <c:v>1137.9935250000001</c:v>
                </c:pt>
                <c:pt idx="7">
                  <c:v>1201.5348750000001</c:v>
                </c:pt>
              </c:numCache>
            </c:numRef>
          </c:val>
        </c:ser>
        <c:ser>
          <c:idx val="2"/>
          <c:order val="2"/>
          <c:spPr>
            <a:ln w="28575" cap="rnd">
              <a:solidFill>
                <a:schemeClr val="accent3"/>
              </a:solidFill>
              <a:round/>
            </a:ln>
            <a:effectLst/>
          </c:spPr>
          <c:marker>
            <c:symbol val="none"/>
          </c:marker>
          <c:val>
            <c:numRef>
              <c:f>XV.a!$G$111:$N$111</c:f>
              <c:numCache>
                <c:formatCode>#,##0.0_);\(#,##0.0\);"-"_);@</c:formatCode>
                <c:ptCount val="8"/>
                <c:pt idx="0">
                  <c:v>449.1920925</c:v>
                </c:pt>
                <c:pt idx="1">
                  <c:v>555.69039304500006</c:v>
                </c:pt>
                <c:pt idx="2">
                  <c:v>667.62836109</c:v>
                </c:pt>
                <c:pt idx="3">
                  <c:v>820.87143426523426</c:v>
                </c:pt>
                <c:pt idx="4">
                  <c:v>986.64637060113739</c:v>
                </c:pt>
                <c:pt idx="5">
                  <c:v>1186.8079343838267</c:v>
                </c:pt>
                <c:pt idx="6">
                  <c:v>1379.4548977487639</c:v>
                </c:pt>
                <c:pt idx="7">
                  <c:v>1607.7218660043191</c:v>
                </c:pt>
              </c:numCache>
            </c:numRef>
          </c:val>
        </c:ser>
        <c:ser>
          <c:idx val="3"/>
          <c:order val="3"/>
          <c:spPr>
            <a:ln w="28575" cap="rnd">
              <a:solidFill>
                <a:schemeClr val="accent4"/>
              </a:solidFill>
              <a:round/>
            </a:ln>
            <a:effectLst/>
          </c:spPr>
          <c:marker>
            <c:symbol val="none"/>
          </c:marker>
          <c:val>
            <c:numRef>
              <c:f>XV.a!$G$112:$N$112</c:f>
              <c:numCache>
                <c:formatCode>#,##0.0_);\(#,##0.0\);"-"_);@</c:formatCode>
                <c:ptCount val="8"/>
                <c:pt idx="0">
                  <c:v>449.1920925</c:v>
                </c:pt>
                <c:pt idx="1">
                  <c:v>581.72388750000005</c:v>
                </c:pt>
                <c:pt idx="2">
                  <c:v>742.69845000000009</c:v>
                </c:pt>
                <c:pt idx="3">
                  <c:v>930.11715000000004</c:v>
                </c:pt>
                <c:pt idx="4">
                  <c:v>1169.6699250000001</c:v>
                </c:pt>
                <c:pt idx="5">
                  <c:v>1450.1380500000002</c:v>
                </c:pt>
                <c:pt idx="6">
                  <c:v>1752.0066000000002</c:v>
                </c:pt>
                <c:pt idx="7">
                  <c:v>2115.0596249999999</c:v>
                </c:pt>
              </c:numCache>
            </c:numRef>
          </c:val>
        </c:ser>
        <c:dLbls/>
        <c:marker val="1"/>
        <c:axId val="65408000"/>
        <c:axId val="65422080"/>
      </c:lineChart>
      <c:catAx>
        <c:axId val="65408000"/>
        <c:scaling>
          <c:orientation val="minMax"/>
        </c:scaling>
        <c:axPos val="b"/>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22080"/>
        <c:crosses val="autoZero"/>
        <c:auto val="1"/>
        <c:lblAlgn val="ctr"/>
        <c:lblOffset val="100"/>
      </c:catAx>
      <c:valAx>
        <c:axId val="65422080"/>
        <c:scaling>
          <c:orientation val="minMax"/>
        </c:scaling>
        <c:axPos val="l"/>
        <c:majorGridlines>
          <c:spPr>
            <a:ln w="9525" cap="flat" cmpd="sng" algn="ctr">
              <a:solidFill>
                <a:schemeClr val="tx1">
                  <a:lumMod val="15000"/>
                  <a:lumOff val="85000"/>
                </a:schemeClr>
              </a:solidFill>
              <a:round/>
            </a:ln>
            <a:effectLst/>
          </c:spPr>
        </c:majorGridlines>
        <c:numFmt formatCode="#,##0.0_);\(#,##0.0\);&quot;-&quot;_);@"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08000"/>
        <c:crosses val="autoZero"/>
        <c:crossBetween val="between"/>
      </c:valAx>
      <c:spPr>
        <a:no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IN"/>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US" sz="1200" b="1">
                <a:solidFill>
                  <a:schemeClr val="tx1"/>
                </a:solidFill>
              </a:rPr>
              <a:t>Land</a:t>
            </a:r>
            <a:r>
              <a:rPr lang="en-US" sz="1200" b="1" baseline="0">
                <a:solidFill>
                  <a:schemeClr val="tx1"/>
                </a:solidFill>
              </a:rPr>
              <a:t> Requirement  for your Pathway, 2047 </a:t>
            </a:r>
            <a:endParaRPr lang="en-US" sz="1200" b="1">
              <a:solidFill>
                <a:schemeClr val="tx1"/>
              </a:solidFill>
            </a:endParaRPr>
          </a:p>
        </c:rich>
      </c:tx>
      <c:spPr>
        <a:noFill/>
        <a:ln>
          <a:noFill/>
        </a:ln>
        <a:effectLst/>
      </c:spPr>
    </c:title>
    <c:plotArea>
      <c:layout/>
      <c:barChart>
        <c:barDir val="bar"/>
        <c:grouping val="clustered"/>
        <c:ser>
          <c:idx val="0"/>
          <c:order val="0"/>
          <c:tx>
            <c:strRef>
              <c:f>'Land Use'!$J$36</c:f>
              <c:strCache>
                <c:ptCount val="1"/>
                <c:pt idx="0">
                  <c:v>Least Effort Pathway</c:v>
                </c:pt>
              </c:strCache>
            </c:strRef>
          </c:tx>
          <c:spPr>
            <a:solidFill>
              <a:schemeClr val="accent1"/>
            </a:solidFill>
            <a:ln>
              <a:noFill/>
            </a:ln>
            <a:effectLst/>
          </c:spPr>
          <c:dLbls>
            <c:dLbl>
              <c:idx val="0"/>
              <c:showVal val="1"/>
              <c:extLst>
                <c:ext xmlns:c15="http://schemas.microsoft.com/office/drawing/2012/chart" uri="{CE6537A1-D6FC-4f65-9D91-7224C49458BB}"/>
              </c:extLst>
            </c:dLbl>
            <c:dLbl>
              <c:idx val="1"/>
              <c:showVal val="1"/>
              <c:extLst>
                <c:ext xmlns:c15="http://schemas.microsoft.com/office/drawing/2012/chart" uri="{CE6537A1-D6FC-4f65-9D91-7224C49458BB}"/>
              </c:extLst>
            </c:dLbl>
            <c:dLbl>
              <c:idx val="2"/>
              <c:showVal val="1"/>
              <c:extLst>
                <c:ext xmlns:c15="http://schemas.microsoft.com/office/drawing/2012/chart" uri="{CE6537A1-D6FC-4f65-9D91-7224C49458BB}"/>
              </c:extLst>
            </c:dLbl>
            <c:dLbl>
              <c:idx val="3"/>
              <c:showVal val="1"/>
              <c:extLst>
                <c:ext xmlns:c15="http://schemas.microsoft.com/office/drawing/2012/chart" uri="{CE6537A1-D6FC-4f65-9D91-7224C49458BB}"/>
              </c:extLst>
            </c:dLbl>
            <c:delete val="1"/>
            <c:spPr>
              <a:noFill/>
              <a:ln>
                <a:noFill/>
              </a:ln>
              <a:effectLst/>
            </c:spPr>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'Land Use'!$D$37:$I$40</c:f>
              <c:strCache>
                <c:ptCount val="4"/>
                <c:pt idx="0">
                  <c:v>Conventional</c:v>
                </c:pt>
                <c:pt idx="1">
                  <c:v>Renewables</c:v>
                </c:pt>
                <c:pt idx="2">
                  <c:v>Bio Energy</c:v>
                </c:pt>
                <c:pt idx="3">
                  <c:v>Total</c:v>
                </c:pt>
              </c:strCache>
            </c:strRef>
          </c:cat>
          <c:val>
            <c:numRef>
              <c:f>'Land Use'!$J$37:$J$40</c:f>
              <c:numCache>
                <c:formatCode>#,##0_);\(#,##0\);"-"_);@</c:formatCode>
                <c:ptCount val="4"/>
                <c:pt idx="0">
                  <c:v>214102.146408673</c:v>
                </c:pt>
                <c:pt idx="1">
                  <c:v>113186.872761654</c:v>
                </c:pt>
                <c:pt idx="2">
                  <c:v>461492.77357743902</c:v>
                </c:pt>
                <c:pt idx="3">
                  <c:v>788781.79274776601</c:v>
                </c:pt>
              </c:numCache>
            </c:numRef>
          </c:val>
        </c:ser>
        <c:ser>
          <c:idx val="1"/>
          <c:order val="1"/>
          <c:tx>
            <c:strRef>
              <c:f>'Land Use'!$K$36</c:f>
              <c:strCache>
                <c:ptCount val="1"/>
                <c:pt idx="0">
                  <c:v>Your Pathway</c:v>
                </c:pt>
              </c:strCache>
            </c:strRef>
          </c:tx>
          <c:spPr>
            <a:solidFill>
              <a:schemeClr val="accent2"/>
            </a:solidFill>
            <a:ln>
              <a:noFill/>
            </a:ln>
            <a:effectLst/>
          </c:spPr>
          <c:dLbls>
            <c:dLbl>
              <c:idx val="0"/>
              <c:showVal val="1"/>
              <c:extLst>
                <c:ext xmlns:c15="http://schemas.microsoft.com/office/drawing/2012/chart" uri="{CE6537A1-D6FC-4f65-9D91-7224C49458BB}"/>
              </c:extLst>
            </c:dLbl>
            <c:dLbl>
              <c:idx val="1"/>
              <c:showVal val="1"/>
              <c:extLst>
                <c:ext xmlns:c15="http://schemas.microsoft.com/office/drawing/2012/chart" uri="{CE6537A1-D6FC-4f65-9D91-7224C49458BB}"/>
              </c:extLst>
            </c:dLbl>
            <c:dLbl>
              <c:idx val="2"/>
              <c:showVal val="1"/>
              <c:extLst>
                <c:ext xmlns:c15="http://schemas.microsoft.com/office/drawing/2012/chart" uri="{CE6537A1-D6FC-4f65-9D91-7224C49458BB}"/>
              </c:extLst>
            </c:dLbl>
            <c:dLbl>
              <c:idx val="3"/>
              <c:showVal val="1"/>
              <c:extLst>
                <c:ext xmlns:c15="http://schemas.microsoft.com/office/drawing/2012/chart" uri="{CE6537A1-D6FC-4f65-9D91-7224C49458BB}"/>
              </c:extLst>
            </c:dLbl>
            <c:delete val="1"/>
            <c:spPr>
              <a:noFill/>
              <a:ln>
                <a:noFill/>
              </a:ln>
              <a:effectLst/>
            </c:spPr>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'Land Use'!$D$37:$I$40</c:f>
              <c:strCache>
                <c:ptCount val="4"/>
                <c:pt idx="0">
                  <c:v>Conventional</c:v>
                </c:pt>
                <c:pt idx="1">
                  <c:v>Renewables</c:v>
                </c:pt>
                <c:pt idx="2">
                  <c:v>Bio Energy</c:v>
                </c:pt>
                <c:pt idx="3">
                  <c:v>Total</c:v>
                </c:pt>
              </c:strCache>
            </c:strRef>
          </c:cat>
          <c:val>
            <c:numRef>
              <c:f>'Land Use'!$K$37:$K$40</c:f>
              <c:numCache>
                <c:formatCode>#,##0_);\(#,##0\);"-"_);@</c:formatCode>
                <c:ptCount val="4"/>
                <c:pt idx="0">
                  <c:v>213984.72979574677</c:v>
                </c:pt>
                <c:pt idx="1">
                  <c:v>113186.8727616539</c:v>
                </c:pt>
                <c:pt idx="2">
                  <c:v>461492.77357743925</c:v>
                </c:pt>
                <c:pt idx="3">
                  <c:v>788664.37613483984</c:v>
                </c:pt>
              </c:numCache>
            </c:numRef>
          </c:val>
        </c:ser>
        <c:dLbls/>
        <c:gapWidth val="182"/>
        <c:axId val="99451264"/>
        <c:axId val="99453184"/>
      </c:barChart>
      <c:catAx>
        <c:axId val="99451264"/>
        <c:scaling>
          <c:orientation val="minMax"/>
        </c:scaling>
        <c:axPos val="l"/>
        <c:title>
          <c:tx>
            <c:strRef>
              <c:f>'Land Use'!$D$36</c:f>
              <c:strCache>
                <c:ptCount val="1"/>
                <c:pt idx="0">
                  <c:v>Area in ha</c:v>
                </c:pt>
              </c:strCache>
            </c:strRef>
          </c:tx>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j-lt"/>
                  <a:ea typeface="+mn-ea"/>
                  <a:cs typeface="+mn-cs"/>
                </a:defRPr>
              </a:pPr>
              <a:endParaRPr lang="en-US"/>
            </a:p>
          </c:txPr>
        </c:title>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453184"/>
        <c:crosses val="autoZero"/>
        <c:auto val="1"/>
        <c:lblAlgn val="ctr"/>
        <c:lblOffset val="100"/>
      </c:catAx>
      <c:valAx>
        <c:axId val="99453184"/>
        <c:scaling>
          <c:orientation val="minMax"/>
        </c:scaling>
        <c:delete val="1"/>
        <c:axPos val="b"/>
        <c:majorGridlines>
          <c:spPr>
            <a:ln w="9525" cap="flat" cmpd="sng" algn="ctr">
              <a:solidFill>
                <a:schemeClr val="tx1">
                  <a:lumMod val="15000"/>
                  <a:lumOff val="85000"/>
                </a:schemeClr>
              </a:solidFill>
              <a:round/>
            </a:ln>
            <a:effectLst/>
          </c:spPr>
        </c:majorGridlines>
        <c:numFmt formatCode="#,##0_);\(#,##0\);&quot;-&quot;_);@" sourceLinked="1"/>
        <c:majorTickMark val="none"/>
        <c:tickLblPos val="none"/>
        <c:crossAx val="99451264"/>
        <c:crosses val="autoZero"/>
        <c:crossBetween val="between"/>
      </c:valAx>
      <c:spPr>
        <a:no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 l="0.70000000000000062" r="0.70000000000000062" t="0.750000000000001"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IN"/>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 Share of</a:t>
            </a:r>
            <a:r>
              <a:rPr lang="en-US" sz="1200" b="1" baseline="0"/>
              <a:t> Energy Demand</a:t>
            </a:r>
            <a:endParaRPr lang="en-US" sz="1200" b="1"/>
          </a:p>
        </c:rich>
      </c:tx>
      <c:spPr>
        <a:noFill/>
        <a:ln>
          <a:noFill/>
        </a:ln>
        <a:effectLst/>
      </c:spPr>
    </c:title>
    <c:plotArea>
      <c:layout>
        <c:manualLayout>
          <c:layoutTarget val="inner"/>
          <c:xMode val="edge"/>
          <c:yMode val="edge"/>
          <c:x val="0.11709029689774295"/>
          <c:y val="0.16858814523184601"/>
          <c:w val="0.850244521216586"/>
          <c:h val="0.51389690871974258"/>
        </c:manualLayout>
      </c:layout>
      <c:lineChart>
        <c:grouping val="standard"/>
        <c:ser>
          <c:idx val="0"/>
          <c:order val="0"/>
          <c:spPr>
            <a:ln w="28575" cap="rnd">
              <a:solidFill>
                <a:schemeClr val="accent6">
                  <a:lumMod val="60000"/>
                  <a:lumOff val="40000"/>
                </a:schemeClr>
              </a:solidFill>
              <a:round/>
            </a:ln>
            <a:effectLst/>
          </c:spPr>
          <c:marker>
            <c:symbol val="circle"/>
            <c:size val="5"/>
            <c:spPr>
              <a:solidFill>
                <a:schemeClr val="accent6">
                  <a:lumMod val="40000"/>
                  <a:lumOff val="60000"/>
                </a:schemeClr>
              </a:solidFill>
              <a:ln w="9525">
                <a:solidFill>
                  <a:schemeClr val="accent1"/>
                </a:solidFill>
              </a:ln>
              <a:effectLst/>
            </c:spPr>
          </c:marker>
          <c:dLbls>
            <c:dLbl>
              <c:idx val="0"/>
              <c:layout>
                <c:manualLayout>
                  <c:x val="-3.5634743875278457E-2"/>
                  <c:y val="-5.555555555555545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Val val="1"/>
              <c:extLst>
                <c:ext xmlns:c15="http://schemas.microsoft.com/office/drawing/2012/chart" uri="{CE6537A1-D6FC-4f65-9D91-7224C49458BB}"/>
              </c:extLst>
            </c:dLbl>
            <c:dLbl>
              <c:idx val="1"/>
              <c:delete val="1"/>
              <c:extLst>
                <c:ext xmlns:c15="http://schemas.microsoft.com/office/drawing/2012/chart" uri="{CE6537A1-D6FC-4f65-9D91-7224C49458BB}"/>
              </c:extLst>
            </c:dLbl>
            <c:dLbl>
              <c:idx val="2"/>
              <c:delete val="1"/>
              <c:extLst>
                <c:ext xmlns:c15="http://schemas.microsoft.com/office/drawing/2012/chart" uri="{CE6537A1-D6FC-4f65-9D91-7224C49458BB}"/>
              </c:extLst>
            </c:dLbl>
            <c:dLbl>
              <c:idx val="3"/>
              <c:delete val="1"/>
              <c:extLst>
                <c:ext xmlns:c15="http://schemas.microsoft.com/office/drawing/2012/chart" uri="{CE6537A1-D6FC-4f65-9D91-7224C49458BB}"/>
              </c:extLst>
            </c:dLbl>
            <c:dLbl>
              <c:idx val="4"/>
              <c:delete val="1"/>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dLbl>
              <c:idx val="7"/>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Lst>
        </c:ser>
        <c:ser>
          <c:idx val="1"/>
          <c:order val="1"/>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2.6726057906458798E-2"/>
                  <c:y val="-4.6296296296296391E-2"/>
                </c:manualLayout>
              </c:layout>
              <c:showVal val="1"/>
              <c:extLst>
                <c:ext xmlns:c15="http://schemas.microsoft.com/office/drawing/2012/chart" uri="{CE6537A1-D6FC-4f65-9D91-7224C49458BB}"/>
              </c:extLst>
            </c:dLbl>
            <c:dLbl>
              <c:idx val="7"/>
              <c:showVal val="1"/>
              <c:extLst>
                <c:ext xmlns:c15="http://schemas.microsoft.com/office/drawing/2012/chart" uri="{CE6537A1-D6FC-4f65-9D91-7224C49458BB}"/>
              </c:extLst>
            </c:dLbl>
            <c:delete val="1"/>
            <c:spPr>
              <a:noFill/>
              <a:ln>
                <a:noFill/>
              </a:ln>
              <a:effectLst/>
            </c:spPr>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Lst>
        </c:ser>
        <c:ser>
          <c:idx val="2"/>
          <c:order val="2"/>
          <c:spPr>
            <a:ln w="28575" cap="rnd">
              <a:solidFill>
                <a:schemeClr val="accent3"/>
              </a:solidFill>
              <a:round/>
            </a:ln>
            <a:effectLst/>
          </c:spPr>
          <c:marker>
            <c:symbol val="circle"/>
            <c:size val="5"/>
            <c:spPr>
              <a:solidFill>
                <a:schemeClr val="accent3"/>
              </a:solidFill>
              <a:ln w="9525">
                <a:solidFill>
                  <a:schemeClr val="accent3"/>
                </a:solidFill>
              </a:ln>
              <a:effectLst/>
            </c:spPr>
          </c:marker>
          <c:dLbls>
            <c:dLbl>
              <c:idx val="0"/>
              <c:layout>
                <c:manualLayout>
                  <c:x val="-7.4239049740163321E-2"/>
                  <c:y val="-1.388888888888893E-2"/>
                </c:manualLayout>
              </c:layout>
              <c:showVal val="1"/>
              <c:extLst>
                <c:ext xmlns:c15="http://schemas.microsoft.com/office/drawing/2012/chart" uri="{CE6537A1-D6FC-4f65-9D91-7224C49458BB}"/>
              </c:extLst>
            </c:dLbl>
            <c:dLbl>
              <c:idx val="7"/>
              <c:showVal val="1"/>
              <c:extLst>
                <c:ext xmlns:c15="http://schemas.microsoft.com/office/drawing/2012/chart" uri="{CE6537A1-D6FC-4f65-9D91-7224C49458BB}"/>
              </c:extLst>
            </c:dLbl>
            <c:delete val="1"/>
            <c:spPr>
              <a:noFill/>
              <a:ln>
                <a:noFill/>
              </a:ln>
              <a:effectLst/>
            </c:spPr>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Lst>
        </c:ser>
        <c:ser>
          <c:idx val="3"/>
          <c:order val="3"/>
          <c:spPr>
            <a:ln w="28575" cap="rnd">
              <a:solidFill>
                <a:schemeClr val="accent4"/>
              </a:solidFill>
              <a:round/>
            </a:ln>
            <a:effectLst/>
          </c:spPr>
          <c:marker>
            <c:symbol val="circle"/>
            <c:size val="5"/>
            <c:spPr>
              <a:solidFill>
                <a:schemeClr val="accent4"/>
              </a:solidFill>
              <a:ln w="9525">
                <a:solidFill>
                  <a:schemeClr val="accent4"/>
                </a:solidFill>
              </a:ln>
              <a:effectLst/>
            </c:spPr>
          </c:marker>
          <c:dLbls>
            <c:dLbl>
              <c:idx val="7"/>
              <c:showVal val="1"/>
              <c:extLst>
                <c:ext xmlns:c15="http://schemas.microsoft.com/office/drawing/2012/chart" uri="{CE6537A1-D6FC-4f65-9D91-7224C49458BB}"/>
              </c:extLst>
            </c:dLbl>
            <c:delete val="1"/>
            <c:spPr>
              <a:noFill/>
              <a:ln>
                <a:noFill/>
              </a:ln>
              <a:effectLst/>
            </c:spPr>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Lst>
        </c:ser>
        <c:ser>
          <c:idx val="4"/>
          <c:order val="4"/>
          <c:spPr>
            <a:ln w="28575" cap="rnd">
              <a:solidFill>
                <a:schemeClr val="accent5"/>
              </a:solidFill>
              <a:round/>
            </a:ln>
            <a:effectLst/>
          </c:spPr>
          <c:marker>
            <c:symbol val="circle"/>
            <c:size val="5"/>
            <c:spPr>
              <a:solidFill>
                <a:schemeClr val="accent5"/>
              </a:solidFill>
              <a:ln w="9525">
                <a:solidFill>
                  <a:schemeClr val="accent5"/>
                </a:solidFill>
              </a:ln>
              <a:effectLst/>
            </c:spPr>
          </c:marker>
          <c:dLbls>
            <c:dLbl>
              <c:idx val="7"/>
              <c:showVal val="1"/>
              <c:extLst>
                <c:ext xmlns:c15="http://schemas.microsoft.com/office/drawing/2012/chart" uri="{CE6537A1-D6FC-4f65-9D91-7224C49458BB}"/>
              </c:extLst>
            </c:dLbl>
            <c:delete val="1"/>
            <c:spPr>
              <a:noFill/>
              <a:ln>
                <a:noFill/>
              </a:ln>
              <a:effectLst/>
            </c:spPr>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Lst>
        </c:ser>
        <c:ser>
          <c:idx val="5"/>
          <c:order val="5"/>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Lst>
        </c:ser>
        <c:dLbls/>
        <c:marker val="1"/>
        <c:axId val="106560896"/>
        <c:axId val="106468480"/>
      </c:lineChart>
      <c:catAx>
        <c:axId val="106560896"/>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6468480"/>
        <c:crosses val="autoZero"/>
        <c:auto val="1"/>
        <c:lblAlgn val="ctr"/>
        <c:lblOffset val="100"/>
      </c:catAx>
      <c:valAx>
        <c:axId val="106468480"/>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6560896"/>
        <c:crosses val="autoZero"/>
        <c:crossBetween val="between"/>
      </c:valAx>
      <c:spPr>
        <a:noFill/>
        <a:ln>
          <a:noFill/>
        </a:ln>
        <a:effectLst/>
      </c:spPr>
    </c:plotArea>
    <c:legend>
      <c:legendPos val="b"/>
      <c:layout>
        <c:manualLayout>
          <c:xMode val="edge"/>
          <c:yMode val="edge"/>
          <c:x val="0.17895913344907638"/>
          <c:y val="0.75077209098862663"/>
          <c:w val="0.75789441687272541"/>
          <c:h val="0.221450131233596"/>
        </c:manualLayout>
      </c:layout>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 l="0.70000000000000062" r="0.70000000000000062" t="0.750000000000001"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IN"/>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Share of Fuels in the Primary Energy Supply</a:t>
            </a:r>
          </a:p>
        </c:rich>
      </c:tx>
      <c:layout>
        <c:manualLayout>
          <c:xMode val="edge"/>
          <c:yMode val="edge"/>
          <c:x val="0.16664566929133859"/>
          <c:y val="3.4632039878657601E-2"/>
        </c:manualLayout>
      </c:layout>
      <c:spPr>
        <a:noFill/>
        <a:ln>
          <a:noFill/>
        </a:ln>
        <a:effectLst/>
      </c:spPr>
    </c:title>
    <c:plotArea>
      <c:layout>
        <c:manualLayout>
          <c:layoutTarget val="inner"/>
          <c:xMode val="edge"/>
          <c:yMode val="edge"/>
          <c:x val="9.0555774278215248E-2"/>
          <c:y val="0.14012523284971695"/>
          <c:w val="0.87888867016622962"/>
          <c:h val="0.69537257772665906"/>
        </c:manualLayout>
      </c:layout>
      <c:lineChart>
        <c:grouping val="standard"/>
        <c:ser>
          <c:idx val="0"/>
          <c:order val="0"/>
          <c:tx>
            <c:strRef>
              <c:f>Pathways!$D$97</c:f>
              <c:strCache>
                <c:ptCount val="1"/>
                <c:pt idx="0">
                  <c:v>Coal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delete val="1"/>
              <c:extLst>
                <c:ext xmlns:c15="http://schemas.microsoft.com/office/drawing/2012/chart" uri="{CE6537A1-D6FC-4f65-9D91-7224C49458BB}"/>
              </c:extLst>
            </c:dLbl>
            <c:dLbl>
              <c:idx val="1"/>
              <c:delete val="1"/>
              <c:extLst>
                <c:ext xmlns:c15="http://schemas.microsoft.com/office/drawing/2012/chart" uri="{CE6537A1-D6FC-4f65-9D91-7224C49458BB}"/>
              </c:extLst>
            </c:dLbl>
            <c:dLbl>
              <c:idx val="2"/>
              <c:delete val="1"/>
              <c:extLst>
                <c:ext xmlns:c15="http://schemas.microsoft.com/office/drawing/2012/chart" uri="{CE6537A1-D6FC-4f65-9D91-7224C49458BB}"/>
              </c:extLst>
            </c:dLbl>
            <c:dLbl>
              <c:idx val="3"/>
              <c:delete val="1"/>
              <c:extLst>
                <c:ext xmlns:c15="http://schemas.microsoft.com/office/drawing/2012/chart" uri="{CE6537A1-D6FC-4f65-9D91-7224C49458BB}"/>
              </c:extLst>
            </c:dLbl>
            <c:dLbl>
              <c:idx val="4"/>
              <c:delete val="1"/>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dLbl>
              <c:idx val="7"/>
              <c:layout>
                <c:manualLayout>
                  <c:x val="-5.5555555555556555E-3"/>
                  <c:y val="-6.9264079757315217E-2"/>
                </c:manualLayout>
              </c:layout>
              <c:showVal val="1"/>
              <c:showSerName val="1"/>
              <c:extLs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Val val="1"/>
            <c:showSerName val="1"/>
            <c:extLst>
              <c:ext xmlns:c15="http://schemas.microsoft.com/office/drawing/2012/chart" uri="{CE6537A1-D6FC-4f65-9D91-7224C49458BB}">
                <c15:showLeaderLines val="0"/>
              </c:ext>
            </c:extLst>
          </c:dLbls>
          <c:cat>
            <c:numRef>
              <c:f>Pathways!$BA$96:$BH$96</c:f>
              <c:numCache>
                <c:formatCode>0</c:formatCode>
                <c:ptCount val="8"/>
                <c:pt idx="0">
                  <c:v>2012</c:v>
                </c:pt>
                <c:pt idx="1">
                  <c:v>2017</c:v>
                </c:pt>
                <c:pt idx="2">
                  <c:v>2022</c:v>
                </c:pt>
                <c:pt idx="3">
                  <c:v>2027</c:v>
                </c:pt>
                <c:pt idx="4">
                  <c:v>2032</c:v>
                </c:pt>
                <c:pt idx="5">
                  <c:v>2037</c:v>
                </c:pt>
                <c:pt idx="6">
                  <c:v>2042</c:v>
                </c:pt>
                <c:pt idx="7">
                  <c:v>2047</c:v>
                </c:pt>
              </c:numCache>
            </c:numRef>
          </c:cat>
          <c:val>
            <c:numRef>
              <c:f>Pathways!$BA$97:$BH$97</c:f>
              <c:numCache>
                <c:formatCode>0%</c:formatCode>
                <c:ptCount val="8"/>
                <c:pt idx="0">
                  <c:v>0.46336328178283648</c:v>
                </c:pt>
                <c:pt idx="1">
                  <c:v>0.47589000624098143</c:v>
                </c:pt>
                <c:pt idx="2">
                  <c:v>0.52355541066825562</c:v>
                </c:pt>
                <c:pt idx="3">
                  <c:v>0.55981923810228806</c:v>
                </c:pt>
                <c:pt idx="4">
                  <c:v>0.59117294658746877</c:v>
                </c:pt>
                <c:pt idx="5">
                  <c:v>0.60333802081571886</c:v>
                </c:pt>
                <c:pt idx="6">
                  <c:v>0.61483210958276369</c:v>
                </c:pt>
                <c:pt idx="7">
                  <c:v>0.61629003433096963</c:v>
                </c:pt>
              </c:numCache>
            </c:numRef>
          </c:val>
        </c:ser>
        <c:ser>
          <c:idx val="1"/>
          <c:order val="1"/>
          <c:tx>
            <c:strRef>
              <c:f>Pathways!$D$98</c:f>
              <c:strCache>
                <c:ptCount val="1"/>
                <c:pt idx="0">
                  <c:v>Oil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delete val="1"/>
              <c:extLst>
                <c:ext xmlns:c15="http://schemas.microsoft.com/office/drawing/2012/chart" uri="{CE6537A1-D6FC-4f65-9D91-7224C49458BB}"/>
              </c:extLst>
            </c:dLbl>
            <c:dLbl>
              <c:idx val="1"/>
              <c:delete val="1"/>
              <c:extLst>
                <c:ext xmlns:c15="http://schemas.microsoft.com/office/drawing/2012/chart" uri="{CE6537A1-D6FC-4f65-9D91-7224C49458BB}"/>
              </c:extLst>
            </c:dLbl>
            <c:dLbl>
              <c:idx val="2"/>
              <c:delete val="1"/>
              <c:extLst>
                <c:ext xmlns:c15="http://schemas.microsoft.com/office/drawing/2012/chart" uri="{CE6537A1-D6FC-4f65-9D91-7224C49458BB}"/>
              </c:extLst>
            </c:dLbl>
            <c:dLbl>
              <c:idx val="3"/>
              <c:delete val="1"/>
              <c:extLst>
                <c:ext xmlns:c15="http://schemas.microsoft.com/office/drawing/2012/chart" uri="{CE6537A1-D6FC-4f65-9D91-7224C49458BB}"/>
              </c:extLst>
            </c:dLbl>
            <c:dLbl>
              <c:idx val="4"/>
              <c:delete val="1"/>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dLbl>
              <c:idx val="7"/>
              <c:layout>
                <c:manualLayout>
                  <c:x val="-1.1111111111111122E-2"/>
                  <c:y val="-5.0024057602505383E-2"/>
                </c:manualLayout>
              </c:layout>
              <c:showVal val="1"/>
              <c:showSerName val="1"/>
              <c:extLs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SerName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Pathways!$BA$96:$BH$96</c:f>
              <c:numCache>
                <c:formatCode>0</c:formatCode>
                <c:ptCount val="8"/>
                <c:pt idx="0">
                  <c:v>2012</c:v>
                </c:pt>
                <c:pt idx="1">
                  <c:v>2017</c:v>
                </c:pt>
                <c:pt idx="2">
                  <c:v>2022</c:v>
                </c:pt>
                <c:pt idx="3">
                  <c:v>2027</c:v>
                </c:pt>
                <c:pt idx="4">
                  <c:v>2032</c:v>
                </c:pt>
                <c:pt idx="5">
                  <c:v>2037</c:v>
                </c:pt>
                <c:pt idx="6">
                  <c:v>2042</c:v>
                </c:pt>
                <c:pt idx="7">
                  <c:v>2047</c:v>
                </c:pt>
              </c:numCache>
            </c:numRef>
          </c:cat>
          <c:val>
            <c:numRef>
              <c:f>Pathways!$BA$98:$BH$98</c:f>
              <c:numCache>
                <c:formatCode>0%</c:formatCode>
                <c:ptCount val="8"/>
                <c:pt idx="0">
                  <c:v>0.27324273091743917</c:v>
                </c:pt>
                <c:pt idx="1">
                  <c:v>0.27336323273292673</c:v>
                </c:pt>
                <c:pt idx="2">
                  <c:v>0.27239410781356832</c:v>
                </c:pt>
                <c:pt idx="3">
                  <c:v>0.27024225714196132</c:v>
                </c:pt>
                <c:pt idx="4">
                  <c:v>0.26464134704404024</c:v>
                </c:pt>
                <c:pt idx="5">
                  <c:v>0.26768371298810673</c:v>
                </c:pt>
                <c:pt idx="6">
                  <c:v>0.26765241843370957</c:v>
                </c:pt>
                <c:pt idx="7">
                  <c:v>0.27386877204631777</c:v>
                </c:pt>
              </c:numCache>
            </c:numRef>
          </c:val>
        </c:ser>
        <c:ser>
          <c:idx val="2"/>
          <c:order val="2"/>
          <c:tx>
            <c:strRef>
              <c:f>Pathways!$D$99</c:f>
              <c:strCache>
                <c:ptCount val="1"/>
                <c:pt idx="0">
                  <c:v>Gas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dLbl>
              <c:idx val="7"/>
              <c:spPr>
                <a:solidFill>
                  <a:sysClr val="window" lastClr="FFFFFF">
                    <a:lumMod val="95000"/>
                  </a:sys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t"/>
              <c:showVal val="1"/>
              <c:showSerName val="1"/>
              <c:extLst>
                <c:ext xmlns:c15="http://schemas.microsoft.com/office/drawing/2012/chart" uri="{CE6537A1-D6FC-4f65-9D91-7224C49458BB}">
                  <c15:spPr xmlns:c15="http://schemas.microsoft.com/office/drawing/2012/chart">
                    <a:prstGeom prst="wedgeRectCallout">
                      <a:avLst/>
                    </a:prstGeom>
                  </c15:spPr>
                </c:ext>
              </c:extLst>
            </c:dLbl>
            <c:delete val="1"/>
            <c:spPr>
              <a:solidFill>
                <a:sysClr val="window" lastClr="FFFFFF"/>
              </a:solidFill>
              <a:ln>
                <a:solidFill>
                  <a:sysClr val="windowText" lastClr="000000">
                    <a:lumMod val="65000"/>
                    <a:lumOff val="35000"/>
                  </a:sysClr>
                </a:solidFill>
              </a:ln>
              <a:effectLst/>
            </c:spPr>
            <c:extLst>
              <c:ext xmlns:c15="http://schemas.microsoft.com/office/drawing/2012/chart" uri="{CE6537A1-D6FC-4f65-9D91-7224C49458BB}">
                <c15:spPr xmlns:c15="http://schemas.microsoft.com/office/drawing/2012/chart">
                  <a:prstGeom prst="wedgeRectCallout">
                    <a:avLst/>
                  </a:prstGeom>
                </c15:spPr>
                <c15:showLeaderLines val="1"/>
                <c15:leaderLines>
                  <c:spPr>
                    <a:ln w="9525" cap="flat" cmpd="sng" algn="ctr">
                      <a:solidFill>
                        <a:schemeClr val="tx1">
                          <a:lumMod val="35000"/>
                          <a:lumOff val="65000"/>
                        </a:schemeClr>
                      </a:solidFill>
                      <a:round/>
                    </a:ln>
                    <a:effectLst/>
                  </c:spPr>
                </c15:leaderLines>
              </c:ext>
            </c:extLst>
          </c:dLbls>
          <c:cat>
            <c:numRef>
              <c:f>Pathways!$BA$96:$BH$96</c:f>
              <c:numCache>
                <c:formatCode>0</c:formatCode>
                <c:ptCount val="8"/>
                <c:pt idx="0">
                  <c:v>2012</c:v>
                </c:pt>
                <c:pt idx="1">
                  <c:v>2017</c:v>
                </c:pt>
                <c:pt idx="2">
                  <c:v>2022</c:v>
                </c:pt>
                <c:pt idx="3">
                  <c:v>2027</c:v>
                </c:pt>
                <c:pt idx="4">
                  <c:v>2032</c:v>
                </c:pt>
                <c:pt idx="5">
                  <c:v>2037</c:v>
                </c:pt>
                <c:pt idx="6">
                  <c:v>2042</c:v>
                </c:pt>
                <c:pt idx="7">
                  <c:v>2047</c:v>
                </c:pt>
              </c:numCache>
            </c:numRef>
          </c:cat>
          <c:val>
            <c:numRef>
              <c:f>Pathways!$BA$99:$BH$99</c:f>
              <c:numCache>
                <c:formatCode>0%</c:formatCode>
                <c:ptCount val="8"/>
                <c:pt idx="0">
                  <c:v>8.6998719235746022E-2</c:v>
                </c:pt>
                <c:pt idx="1">
                  <c:v>0.1010914083682298</c:v>
                </c:pt>
                <c:pt idx="2">
                  <c:v>8.888536431206101E-2</c:v>
                </c:pt>
                <c:pt idx="3">
                  <c:v>7.8322207034103586E-2</c:v>
                </c:pt>
                <c:pt idx="4">
                  <c:v>7.0368712225156504E-2</c:v>
                </c:pt>
                <c:pt idx="5">
                  <c:v>6.6748871266358867E-2</c:v>
                </c:pt>
                <c:pt idx="6">
                  <c:v>6.4464921620314405E-2</c:v>
                </c:pt>
                <c:pt idx="7">
                  <c:v>6.384881076911908E-2</c:v>
                </c:pt>
              </c:numCache>
            </c:numRef>
          </c:val>
        </c:ser>
        <c:ser>
          <c:idx val="3"/>
          <c:order val="3"/>
          <c:tx>
            <c:strRef>
              <c:f>Pathways!$D$100</c:f>
              <c:strCache>
                <c:ptCount val="1"/>
                <c:pt idx="0">
                  <c:v>Clean Energy</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dLbl>
              <c:idx val="0"/>
              <c:layout>
                <c:manualLayout>
                  <c:x val="-8.8888888888888976E-2"/>
                  <c:y val="-1.1544013292885874E-2"/>
                </c:manualLayout>
              </c:layout>
              <c:showVal val="1"/>
              <c:showSerName val="1"/>
              <c:extLst>
                <c:ext xmlns:c15="http://schemas.microsoft.com/office/drawing/2012/chart" uri="{CE6537A1-D6FC-4f65-9D91-7224C49458BB}"/>
              </c:extLst>
            </c:dLbl>
            <c:delete val="1"/>
            <c:spPr>
              <a:noFill/>
              <a:ln>
                <a:noFill/>
              </a:ln>
              <a:effectLst/>
            </c:spPr>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Pathways!$BA$96:$BH$96</c:f>
              <c:numCache>
                <c:formatCode>0</c:formatCode>
                <c:ptCount val="8"/>
                <c:pt idx="0">
                  <c:v>2012</c:v>
                </c:pt>
                <c:pt idx="1">
                  <c:v>2017</c:v>
                </c:pt>
                <c:pt idx="2">
                  <c:v>2022</c:v>
                </c:pt>
                <c:pt idx="3">
                  <c:v>2027</c:v>
                </c:pt>
                <c:pt idx="4">
                  <c:v>2032</c:v>
                </c:pt>
                <c:pt idx="5">
                  <c:v>2037</c:v>
                </c:pt>
                <c:pt idx="6">
                  <c:v>2042</c:v>
                </c:pt>
                <c:pt idx="7">
                  <c:v>2047</c:v>
                </c:pt>
              </c:numCache>
            </c:numRef>
          </c:cat>
          <c:val>
            <c:numRef>
              <c:f>Pathways!$BA$100:$BH$100</c:f>
              <c:numCache>
                <c:formatCode>0%</c:formatCode>
                <c:ptCount val="8"/>
                <c:pt idx="0">
                  <c:v>3.8620826283690478E-2</c:v>
                </c:pt>
                <c:pt idx="1">
                  <c:v>4.6287531526294563E-2</c:v>
                </c:pt>
                <c:pt idx="2">
                  <c:v>3.7512349142637937E-2</c:v>
                </c:pt>
                <c:pt idx="3">
                  <c:v>3.1577116099685595E-2</c:v>
                </c:pt>
                <c:pt idx="4">
                  <c:v>2.6905063875841431E-2</c:v>
                </c:pt>
                <c:pt idx="5">
                  <c:v>2.3350817776538177E-2</c:v>
                </c:pt>
                <c:pt idx="6">
                  <c:v>2.0215483797401138E-2</c:v>
                </c:pt>
                <c:pt idx="7">
                  <c:v>1.7470988786164925E-2</c:v>
                </c:pt>
              </c:numCache>
            </c:numRef>
          </c:val>
        </c:ser>
        <c:ser>
          <c:idx val="4"/>
          <c:order val="4"/>
          <c:tx>
            <c:strRef>
              <c:f>Pathways!$D$101</c:f>
              <c:strCache>
                <c:ptCount val="1"/>
                <c:pt idx="0">
                  <c:v>Bio Energy</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dLbl>
              <c:idx val="0"/>
              <c:layout>
                <c:manualLayout>
                  <c:x val="-4.7222222222222283E-2"/>
                  <c:y val="-2.30880265857718E-2"/>
                </c:manualLayout>
              </c:layout>
              <c:showVal val="1"/>
              <c:showSerName val="1"/>
              <c:extLst>
                <c:ext xmlns:c15="http://schemas.microsoft.com/office/drawing/2012/chart" uri="{CE6537A1-D6FC-4f65-9D91-7224C49458BB}"/>
              </c:extLst>
            </c:dLbl>
            <c:dLbl>
              <c:idx val="7"/>
              <c:layout>
                <c:manualLayout>
                  <c:x val="-5.5555555555557561E-3"/>
                  <c:y val="-3.8480044309619566E-3"/>
                </c:manualLayout>
              </c:layout>
              <c:showVal val="1"/>
              <c:extLst>
                <c:ext xmlns:c15="http://schemas.microsoft.com/office/drawing/2012/chart" uri="{CE6537A1-D6FC-4f65-9D91-7224C49458BB}"/>
              </c:extLst>
            </c:dLbl>
            <c:delete val="1"/>
            <c:spPr>
              <a:noFill/>
              <a:ln>
                <a:noFill/>
              </a:ln>
              <a:effectLst/>
            </c:spPr>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Pathways!$BA$96:$BH$96</c:f>
              <c:numCache>
                <c:formatCode>0</c:formatCode>
                <c:ptCount val="8"/>
                <c:pt idx="0">
                  <c:v>2012</c:v>
                </c:pt>
                <c:pt idx="1">
                  <c:v>2017</c:v>
                </c:pt>
                <c:pt idx="2">
                  <c:v>2022</c:v>
                </c:pt>
                <c:pt idx="3">
                  <c:v>2027</c:v>
                </c:pt>
                <c:pt idx="4">
                  <c:v>2032</c:v>
                </c:pt>
                <c:pt idx="5">
                  <c:v>2037</c:v>
                </c:pt>
                <c:pt idx="6">
                  <c:v>2042</c:v>
                </c:pt>
                <c:pt idx="7">
                  <c:v>2047</c:v>
                </c:pt>
              </c:numCache>
            </c:numRef>
          </c:cat>
          <c:val>
            <c:numRef>
              <c:f>Pathways!$BA$101:$BH$101</c:f>
              <c:numCache>
                <c:formatCode>0%</c:formatCode>
                <c:ptCount val="8"/>
                <c:pt idx="0">
                  <c:v>0.13720207901963813</c:v>
                </c:pt>
                <c:pt idx="1">
                  <c:v>0.10188488090133842</c:v>
                </c:pt>
                <c:pt idx="2">
                  <c:v>7.6000023011860679E-2</c:v>
                </c:pt>
                <c:pt idx="3">
                  <c:v>5.8180598933037474E-2</c:v>
                </c:pt>
                <c:pt idx="4">
                  <c:v>4.5065650135411368E-2</c:v>
                </c:pt>
                <c:pt idx="5">
                  <c:v>3.7032476875492257E-2</c:v>
                </c:pt>
                <c:pt idx="6">
                  <c:v>3.1102699088850834E-2</c:v>
                </c:pt>
                <c:pt idx="7">
                  <c:v>2.7024757306803576E-2</c:v>
                </c:pt>
              </c:numCache>
            </c:numRef>
          </c:val>
        </c:ser>
        <c:dLbls/>
        <c:marker val="1"/>
        <c:axId val="110039424"/>
        <c:axId val="114531328"/>
      </c:lineChart>
      <c:catAx>
        <c:axId val="110039424"/>
        <c:scaling>
          <c:orientation val="minMax"/>
        </c:scaling>
        <c:axPos val="b"/>
        <c:numFmt formatCode="0"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4531328"/>
        <c:crosses val="autoZero"/>
        <c:auto val="1"/>
        <c:lblAlgn val="ctr"/>
        <c:lblOffset val="100"/>
      </c:catAx>
      <c:valAx>
        <c:axId val="114531328"/>
        <c:scaling>
          <c:orientation val="minMax"/>
        </c:scaling>
        <c:axPos val="l"/>
        <c:majorGridlines>
          <c:spPr>
            <a:ln w="9525" cap="flat" cmpd="sng" algn="ctr">
              <a:solidFill>
                <a:schemeClr val="tx1">
                  <a:lumMod val="15000"/>
                  <a:lumOff val="85000"/>
                </a:schemeClr>
              </a:solidFill>
              <a:round/>
            </a:ln>
            <a:effectLst/>
          </c:spPr>
        </c:majorGridlines>
        <c:numFmt formatCode="0%"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0039424"/>
        <c:crosses val="autoZero"/>
        <c:crossBetween val="between"/>
      </c:valAx>
      <c:spPr>
        <a:noFill/>
        <a:ln>
          <a:noFill/>
        </a:ln>
        <a:effectLst/>
      </c:spPr>
    </c:plotArea>
    <c:plotVisOnly val="1"/>
    <c:dispBlanksAs val="gap"/>
  </c:chart>
  <c:spPr>
    <a:solidFill>
      <a:schemeClr val="bg1">
        <a:lumMod val="95000"/>
      </a:schemeClr>
    </a:solidFill>
    <a:ln w="25400" cap="flat"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000000000000044" l="0.7000000000000004" r="0.7000000000000004" t="0.75000000000000044" header="0.30000000000000021" footer="0.30000000000000021"/>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IN"/>
  <c:chart>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a:latin typeface="Times New Roman" panose="02020603050405020304" pitchFamily="18" charset="0"/>
                <a:cs typeface="Times New Roman" panose="02020603050405020304" pitchFamily="18" charset="0"/>
              </a:rPr>
              <a:t>CAGR -Energy Demand for Sectors in your pathway  ( 2012-47)</a:t>
            </a:r>
          </a:p>
        </c:rich>
      </c:tx>
      <c:spPr>
        <a:noFill/>
        <a:ln>
          <a:noFill/>
        </a:ln>
        <a:effectLst/>
      </c:spPr>
    </c:title>
    <c:plotArea>
      <c:layout/>
      <c:barChart>
        <c:barDir val="bar"/>
        <c:grouping val="clustered"/>
        <c:ser>
          <c:idx val="0"/>
          <c:order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idx val="0"/>
            <c:spPr>
              <a:solidFill>
                <a:schemeClr val="accent3"/>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Pathways!$D$25:$D$31</c:f>
              <c:strCache>
                <c:ptCount val="7"/>
                <c:pt idx="0">
                  <c:v>Total Demand Growth</c:v>
                </c:pt>
                <c:pt idx="1">
                  <c:v>Transport</c:v>
                </c:pt>
                <c:pt idx="2">
                  <c:v>Industry</c:v>
                </c:pt>
                <c:pt idx="3">
                  <c:v>Lighting &amp; Appliances</c:v>
                </c:pt>
                <c:pt idx="4">
                  <c:v>Cooking</c:v>
                </c:pt>
                <c:pt idx="5">
                  <c:v>Agriculture</c:v>
                </c:pt>
                <c:pt idx="6">
                  <c:v>Telecom</c:v>
                </c:pt>
              </c:strCache>
            </c:strRef>
          </c:cat>
          <c:val>
            <c:numRef>
              <c:f>Pathways!$E$25:$E$31</c:f>
              <c:numCache>
                <c:formatCode>0.0%</c:formatCode>
                <c:ptCount val="7"/>
                <c:pt idx="0">
                  <c:v>4.6011030273909403E-2</c:v>
                </c:pt>
                <c:pt idx="1">
                  <c:v>5.7927275135660317E-2</c:v>
                </c:pt>
                <c:pt idx="2">
                  <c:v>4.6879694049321463E-2</c:v>
                </c:pt>
                <c:pt idx="3">
                  <c:v>7.6632700839467827E-2</c:v>
                </c:pt>
                <c:pt idx="4">
                  <c:v>1.1340963055647357E-2</c:v>
                </c:pt>
                <c:pt idx="5">
                  <c:v>4.5729353294961417E-2</c:v>
                </c:pt>
                <c:pt idx="6">
                  <c:v>3.0542330415930685E-2</c:v>
                </c:pt>
              </c:numCache>
            </c:numRef>
          </c:val>
        </c:ser>
        <c:dLbls/>
        <c:gapWidth val="115"/>
        <c:overlap val="-20"/>
        <c:axId val="110069632"/>
        <c:axId val="110071168"/>
      </c:barChart>
      <c:catAx>
        <c:axId val="110069632"/>
        <c:scaling>
          <c:orientation val="minMax"/>
        </c:scaling>
        <c:axPos val="l"/>
        <c:numFmt formatCode="General" sourceLinked="1"/>
        <c:maj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0071168"/>
        <c:crosses val="autoZero"/>
        <c:auto val="1"/>
        <c:lblAlgn val="ctr"/>
        <c:lblOffset val="100"/>
      </c:catAx>
      <c:valAx>
        <c:axId val="110071168"/>
        <c:scaling>
          <c:orientation val="minMax"/>
        </c:scaling>
        <c:delete val="1"/>
        <c:axPos val="b"/>
        <c:majorGridlines>
          <c:spPr>
            <a:ln w="9525" cap="flat" cmpd="sng" algn="ctr">
              <a:solidFill>
                <a:schemeClr val="tx1">
                  <a:lumMod val="15000"/>
                  <a:lumOff val="85000"/>
                </a:schemeClr>
              </a:solidFill>
              <a:round/>
            </a:ln>
            <a:effectLst/>
          </c:spPr>
        </c:majorGridlines>
        <c:numFmt formatCode="0.0%" sourceLinked="1"/>
        <c:majorTickMark val="none"/>
        <c:tickLblPos val="none"/>
        <c:crossAx val="110069632"/>
        <c:crosses val="autoZero"/>
        <c:crossBetween val="between"/>
      </c:valAx>
      <c:spPr>
        <a:noFill/>
        <a:ln>
          <a:noFill/>
        </a:ln>
        <a:effectLst/>
      </c:spPr>
    </c:plotArea>
    <c:plotVisOnly val="1"/>
    <c:dispBlanksAs val="gap"/>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44" l="0.7000000000000004" r="0.7000000000000004" t="0.75000000000000044" header="0.30000000000000021" footer="0.30000000000000021"/>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IN"/>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Electrification of Demand Sectors</a:t>
            </a:r>
          </a:p>
        </c:rich>
      </c:tx>
      <c:spPr>
        <a:noFill/>
        <a:ln>
          <a:noFill/>
        </a:ln>
        <a:effectLst/>
      </c:spPr>
    </c:title>
    <c:plotArea>
      <c:layout/>
      <c:barChart>
        <c:barDir val="bar"/>
        <c:grouping val="clustered"/>
        <c:ser>
          <c:idx val="0"/>
          <c:order val="0"/>
          <c:tx>
            <c:strRef>
              <c:f>Pathways!$E$103</c:f>
              <c:strCache>
                <c:ptCount val="1"/>
                <c:pt idx="0">
                  <c:v>2012</c:v>
                </c:pt>
              </c:strCache>
            </c:strRef>
          </c:tx>
          <c:spPr>
            <a:solidFill>
              <a:schemeClr val="accent1"/>
            </a:solidFill>
            <a:ln>
              <a:noFill/>
            </a:ln>
            <a:effectLst/>
          </c:spPr>
          <c:dLbls>
            <c:dLbl>
              <c:idx val="0"/>
              <c:layout>
                <c:manualLayout>
                  <c:x val="-5.0925337632080131E-17"/>
                  <c:y val="1.8518518518518531E-2"/>
                </c:manualLayout>
              </c:layout>
              <c:showVal val="1"/>
              <c:extLst>
                <c:ext xmlns:c15="http://schemas.microsoft.com/office/drawing/2012/chart" uri="{CE6537A1-D6FC-4f65-9D91-7224C49458BB}"/>
              </c:extLst>
            </c:dLbl>
            <c:dLbl>
              <c:idx val="1"/>
              <c:layout>
                <c:manualLayout>
                  <c:x val="-5.0925337632080131E-17"/>
                  <c:y val="1.8518518518518618E-2"/>
                </c:manualLayout>
              </c:layout>
              <c:showVal val="1"/>
              <c:extLst>
                <c:ext xmlns:c15="http://schemas.microsoft.com/office/drawing/2012/chart" uri="{CE6537A1-D6FC-4f65-9D91-7224C49458BB}"/>
              </c:extLst>
            </c:dLbl>
            <c:dLbl>
              <c:idx val="2"/>
              <c:layout>
                <c:manualLayout>
                  <c:x val="0"/>
                  <c:y val="1.3888888888888904E-2"/>
                </c:manualLayout>
              </c:layout>
              <c:showVal val="1"/>
              <c:extLst>
                <c:ext xmlns:c15="http://schemas.microsoft.com/office/drawing/2012/chart" uri="{CE6537A1-D6FC-4f65-9D91-7224C49458BB}"/>
              </c:extLst>
            </c:dLbl>
            <c:dLbl>
              <c:idx val="3"/>
              <c:layout>
                <c:manualLayout>
                  <c:x val="0"/>
                  <c:y val="1.3888888888888904E-2"/>
                </c:manualLayout>
              </c:layout>
              <c:showVal val="1"/>
              <c:extLst>
                <c:ext xmlns:c15="http://schemas.microsoft.com/office/drawing/2012/chart" uri="{CE6537A1-D6FC-4f65-9D91-7224C49458BB}"/>
              </c:extLst>
            </c:dLbl>
            <c:dLbl>
              <c:idx val="4"/>
              <c:layout>
                <c:manualLayout>
                  <c:x val="0"/>
                  <c:y val="2.7777777777777745E-2"/>
                </c:manualLayout>
              </c:layout>
              <c:showVal val="1"/>
              <c:extLst>
                <c:ext xmlns:c15="http://schemas.microsoft.com/office/drawing/2012/chart" uri="{CE6537A1-D6FC-4f65-9D91-7224C49458BB}"/>
              </c:extLst>
            </c:dLbl>
            <c:dLbl>
              <c:idx val="5"/>
              <c:layout>
                <c:manualLayout>
                  <c:x val="0"/>
                  <c:y val="1.8518518518518531E-2"/>
                </c:manualLayout>
              </c:layout>
              <c:showVal val="1"/>
              <c:extLst>
                <c:ext xmlns:c15="http://schemas.microsoft.com/office/drawing/2012/chart" uri="{CE6537A1-D6FC-4f65-9D91-7224C49458BB}"/>
              </c:extLst>
            </c:dLbl>
            <c:dLbl>
              <c:idx val="6"/>
              <c:layout>
                <c:manualLayout>
                  <c:x val="-1.0185067526416028E-16"/>
                  <c:y val="2.7777777777777821E-2"/>
                </c:manualLayout>
              </c:layout>
              <c:showVal val="1"/>
              <c:extLst>
                <c:ext xmlns:c15="http://schemas.microsoft.com/office/drawing/2012/chart" uri="{CE6537A1-D6FC-4f65-9D91-7224C49458BB}"/>
              </c:extLst>
            </c:dLbl>
            <c:dLbl>
              <c:idx val="7"/>
              <c:layout>
                <c:manualLayout>
                  <c:x val="2.7777777777777835E-3"/>
                  <c:y val="1.8518518518518531E-2"/>
                </c:manualLayout>
              </c:layout>
              <c:showVal val="1"/>
              <c:extLs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Pathways!$D$104:$D$111</c:f>
              <c:strCache>
                <c:ptCount val="8"/>
                <c:pt idx="0">
                  <c:v>Renewables In Electricity</c:v>
                </c:pt>
                <c:pt idx="1">
                  <c:v>Biofuels in Transport</c:v>
                </c:pt>
                <c:pt idx="2">
                  <c:v>Passenger Transport</c:v>
                </c:pt>
                <c:pt idx="3">
                  <c:v>Freight Transport</c:v>
                </c:pt>
                <c:pt idx="4">
                  <c:v>Industry</c:v>
                </c:pt>
                <c:pt idx="5">
                  <c:v>Cooking</c:v>
                </c:pt>
                <c:pt idx="6">
                  <c:v>Agriculture</c:v>
                </c:pt>
                <c:pt idx="7">
                  <c:v>Telecom</c:v>
                </c:pt>
              </c:strCache>
            </c:strRef>
          </c:cat>
          <c:val>
            <c:numRef>
              <c:f>Pathways!$E$104:$E$111</c:f>
              <c:numCache>
                <c:formatCode>0%</c:formatCode>
                <c:ptCount val="8"/>
                <c:pt idx="0">
                  <c:v>4.0782189528434883E-2</c:v>
                </c:pt>
                <c:pt idx="1">
                  <c:v>1.5950398074686509E-4</c:v>
                </c:pt>
                <c:pt idx="2">
                  <c:v>1.5438954656340889E-2</c:v>
                </c:pt>
                <c:pt idx="3">
                  <c:v>1.8609096080286377E-2</c:v>
                </c:pt>
                <c:pt idx="4">
                  <c:v>0.17607299817461564</c:v>
                </c:pt>
                <c:pt idx="5">
                  <c:v>3.5162634659177965E-4</c:v>
                </c:pt>
                <c:pt idx="6">
                  <c:v>0.57267985682480338</c:v>
                </c:pt>
                <c:pt idx="7">
                  <c:v>0.17043519107561989</c:v>
                </c:pt>
              </c:numCache>
            </c:numRef>
          </c:val>
        </c:ser>
        <c:ser>
          <c:idx val="1"/>
          <c:order val="1"/>
          <c:tx>
            <c:strRef>
              <c:f>Pathways!$F$103</c:f>
              <c:strCache>
                <c:ptCount val="1"/>
                <c:pt idx="0">
                  <c:v>2047</c:v>
                </c:pt>
              </c:strCache>
            </c:strRef>
          </c:tx>
          <c:spPr>
            <a:solidFill>
              <a:schemeClr val="accent2"/>
            </a:solidFill>
            <a:ln>
              <a:noFill/>
            </a:ln>
            <a:effectLst/>
          </c:spPr>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Pathways!$D$104:$D$111</c:f>
              <c:strCache>
                <c:ptCount val="8"/>
                <c:pt idx="0">
                  <c:v>Renewables In Electricity</c:v>
                </c:pt>
                <c:pt idx="1">
                  <c:v>Biofuels in Transport</c:v>
                </c:pt>
                <c:pt idx="2">
                  <c:v>Passenger Transport</c:v>
                </c:pt>
                <c:pt idx="3">
                  <c:v>Freight Transport</c:v>
                </c:pt>
                <c:pt idx="4">
                  <c:v>Industry</c:v>
                </c:pt>
                <c:pt idx="5">
                  <c:v>Cooking</c:v>
                </c:pt>
                <c:pt idx="6">
                  <c:v>Agriculture</c:v>
                </c:pt>
                <c:pt idx="7">
                  <c:v>Telecom</c:v>
                </c:pt>
              </c:strCache>
            </c:strRef>
          </c:cat>
          <c:val>
            <c:numRef>
              <c:f>Pathways!$F$104:$F$111</c:f>
              <c:numCache>
                <c:formatCode>0%</c:formatCode>
                <c:ptCount val="8"/>
                <c:pt idx="0">
                  <c:v>4.6611470686127421E-2</c:v>
                </c:pt>
                <c:pt idx="1">
                  <c:v>7.2624835133099129E-3</c:v>
                </c:pt>
                <c:pt idx="2">
                  <c:v>7.9428615243838981E-3</c:v>
                </c:pt>
                <c:pt idx="3">
                  <c:v>1.2164014459985254E-2</c:v>
                </c:pt>
                <c:pt idx="4">
                  <c:v>0.15469790384000662</c:v>
                </c:pt>
                <c:pt idx="5">
                  <c:v>2.3735693349032909E-2</c:v>
                </c:pt>
                <c:pt idx="6">
                  <c:v>0.62852050401468529</c:v>
                </c:pt>
                <c:pt idx="7">
                  <c:v>0.32666991071479351</c:v>
                </c:pt>
              </c:numCache>
            </c:numRef>
          </c:val>
        </c:ser>
        <c:dLbls/>
        <c:gapWidth val="182"/>
        <c:axId val="114766208"/>
        <c:axId val="114767744"/>
      </c:barChart>
      <c:catAx>
        <c:axId val="114766208"/>
        <c:scaling>
          <c:orientation val="minMax"/>
        </c:scaling>
        <c:axPos val="l"/>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4767744"/>
        <c:crosses val="autoZero"/>
        <c:auto val="1"/>
        <c:lblAlgn val="ctr"/>
        <c:lblOffset val="100"/>
      </c:catAx>
      <c:valAx>
        <c:axId val="1147677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tickLblPos val="none"/>
        <c:crossAx val="114766208"/>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chart>
  <c:spPr>
    <a:solidFill>
      <a:schemeClr val="bg1">
        <a:lumMod val="95000"/>
      </a:schemeClr>
    </a:solidFill>
    <a:ln w="25400" cap="flat"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000000000000044" l="0.7000000000000004" r="0.7000000000000004" t="0.75000000000000044" header="0.30000000000000021" footer="0.30000000000000021"/>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en-IN"/>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Industrial</a:t>
            </a:r>
            <a:r>
              <a:rPr lang="en-US" b="1" baseline="0"/>
              <a:t> Energy Consumption in Twh</a:t>
            </a:r>
            <a:endParaRPr lang="en-US" b="1"/>
          </a:p>
        </c:rich>
      </c:tx>
      <c:spPr>
        <a:noFill/>
        <a:ln>
          <a:noFill/>
        </a:ln>
        <a:effectLst/>
      </c:spPr>
    </c:title>
    <c:plotArea>
      <c:layout/>
      <c:lineChart>
        <c:grouping val="standard"/>
        <c:ser>
          <c:idx val="0"/>
          <c:order val="0"/>
          <c:tx>
            <c:strRef>
              <c:f>XI!$C$691</c:f>
              <c:strCache>
                <c:ptCount val="1"/>
                <c:pt idx="0">
                  <c:v>Level 1</c:v>
                </c:pt>
              </c:strCache>
            </c:strRef>
          </c:tx>
          <c:spPr>
            <a:ln w="28575" cap="rnd">
              <a:solidFill>
                <a:schemeClr val="accent1"/>
              </a:solidFill>
              <a:round/>
            </a:ln>
            <a:effectLst/>
          </c:spPr>
          <c:marker>
            <c:symbol val="none"/>
          </c:marker>
          <c:cat>
            <c:strRef>
              <c:f>XI!$F$686:$M$686</c:f>
              <c:strCache>
                <c:ptCount val="8"/>
                <c:pt idx="0">
                  <c:v>2012</c:v>
                </c:pt>
                <c:pt idx="1">
                  <c:v>2017</c:v>
                </c:pt>
                <c:pt idx="2">
                  <c:v>2022</c:v>
                </c:pt>
                <c:pt idx="3">
                  <c:v>2027</c:v>
                </c:pt>
                <c:pt idx="4">
                  <c:v>2032</c:v>
                </c:pt>
                <c:pt idx="5">
                  <c:v>2037</c:v>
                </c:pt>
                <c:pt idx="6">
                  <c:v>2042</c:v>
                </c:pt>
                <c:pt idx="7">
                  <c:v>2047</c:v>
                </c:pt>
              </c:strCache>
            </c:strRef>
          </c:cat>
          <c:val>
            <c:numRef>
              <c:f>XI!$F$691:$M$691</c:f>
              <c:numCache>
                <c:formatCode>0</c:formatCode>
                <c:ptCount val="8"/>
                <c:pt idx="0">
                  <c:v>1985.4462531996901</c:v>
                </c:pt>
                <c:pt idx="1">
                  <c:v>2661.4220916210802</c:v>
                </c:pt>
                <c:pt idx="2">
                  <c:v>3693.4666103561799</c:v>
                </c:pt>
                <c:pt idx="3">
                  <c:v>4871.4605495875903</c:v>
                </c:pt>
                <c:pt idx="4">
                  <c:v>6183.9482975337996</c:v>
                </c:pt>
                <c:pt idx="5">
                  <c:v>7655.3134489976401</c:v>
                </c:pt>
                <c:pt idx="6">
                  <c:v>9104.8143559893906</c:v>
                </c:pt>
                <c:pt idx="7">
                  <c:v>10494.825028851699</c:v>
                </c:pt>
              </c:numCache>
            </c:numRef>
          </c:val>
        </c:ser>
        <c:ser>
          <c:idx val="1"/>
          <c:order val="1"/>
          <c:tx>
            <c:strRef>
              <c:f>XI!$C$692</c:f>
              <c:strCache>
                <c:ptCount val="1"/>
                <c:pt idx="0">
                  <c:v>Level 2</c:v>
                </c:pt>
              </c:strCache>
            </c:strRef>
          </c:tx>
          <c:spPr>
            <a:ln w="28575" cap="rnd">
              <a:solidFill>
                <a:schemeClr val="accent2"/>
              </a:solidFill>
              <a:round/>
            </a:ln>
            <a:effectLst/>
          </c:spPr>
          <c:marker>
            <c:symbol val="none"/>
          </c:marker>
          <c:cat>
            <c:strRef>
              <c:f>XI!$F$686:$M$686</c:f>
              <c:strCache>
                <c:ptCount val="8"/>
                <c:pt idx="0">
                  <c:v>2012</c:v>
                </c:pt>
                <c:pt idx="1">
                  <c:v>2017</c:v>
                </c:pt>
                <c:pt idx="2">
                  <c:v>2022</c:v>
                </c:pt>
                <c:pt idx="3">
                  <c:v>2027</c:v>
                </c:pt>
                <c:pt idx="4">
                  <c:v>2032</c:v>
                </c:pt>
                <c:pt idx="5">
                  <c:v>2037</c:v>
                </c:pt>
                <c:pt idx="6">
                  <c:v>2042</c:v>
                </c:pt>
                <c:pt idx="7">
                  <c:v>2047</c:v>
                </c:pt>
              </c:strCache>
            </c:strRef>
          </c:cat>
          <c:val>
            <c:numRef>
              <c:f>XI!$F$692:$M$692</c:f>
              <c:numCache>
                <c:formatCode>0</c:formatCode>
                <c:ptCount val="8"/>
                <c:pt idx="0">
                  <c:v>1985.42703431323</c:v>
                </c:pt>
                <c:pt idx="1">
                  <c:v>2619.0964516847998</c:v>
                </c:pt>
                <c:pt idx="2">
                  <c:v>3490.4634334253901</c:v>
                </c:pt>
                <c:pt idx="3">
                  <c:v>4433.1919193072899</c:v>
                </c:pt>
                <c:pt idx="4">
                  <c:v>5432.87507625942</c:v>
                </c:pt>
                <c:pt idx="5">
                  <c:v>6513.2809638839099</c:v>
                </c:pt>
                <c:pt idx="6">
                  <c:v>7533.1034437198696</c:v>
                </c:pt>
                <c:pt idx="7">
                  <c:v>8487.0564372362405</c:v>
                </c:pt>
              </c:numCache>
            </c:numRef>
          </c:val>
        </c:ser>
        <c:ser>
          <c:idx val="2"/>
          <c:order val="2"/>
          <c:tx>
            <c:strRef>
              <c:f>XI!$C$693</c:f>
              <c:strCache>
                <c:ptCount val="1"/>
                <c:pt idx="0">
                  <c:v>Level 3</c:v>
                </c:pt>
              </c:strCache>
            </c:strRef>
          </c:tx>
          <c:spPr>
            <a:ln w="28575" cap="rnd">
              <a:solidFill>
                <a:schemeClr val="accent3"/>
              </a:solidFill>
              <a:round/>
            </a:ln>
            <a:effectLst/>
          </c:spPr>
          <c:marker>
            <c:symbol val="none"/>
          </c:marker>
          <c:cat>
            <c:strRef>
              <c:f>XI!$F$686:$M$686</c:f>
              <c:strCache>
                <c:ptCount val="8"/>
                <c:pt idx="0">
                  <c:v>2012</c:v>
                </c:pt>
                <c:pt idx="1">
                  <c:v>2017</c:v>
                </c:pt>
                <c:pt idx="2">
                  <c:v>2022</c:v>
                </c:pt>
                <c:pt idx="3">
                  <c:v>2027</c:v>
                </c:pt>
                <c:pt idx="4">
                  <c:v>2032</c:v>
                </c:pt>
                <c:pt idx="5">
                  <c:v>2037</c:v>
                </c:pt>
                <c:pt idx="6">
                  <c:v>2042</c:v>
                </c:pt>
                <c:pt idx="7">
                  <c:v>2047</c:v>
                </c:pt>
              </c:strCache>
            </c:strRef>
          </c:cat>
          <c:val>
            <c:numRef>
              <c:f>XI!$F$693:$M$693</c:f>
              <c:numCache>
                <c:formatCode>0</c:formatCode>
                <c:ptCount val="8"/>
                <c:pt idx="0">
                  <c:v>1985.4311034498701</c:v>
                </c:pt>
                <c:pt idx="1">
                  <c:v>2267.3789052065499</c:v>
                </c:pt>
                <c:pt idx="2">
                  <c:v>3231.2294842757501</c:v>
                </c:pt>
                <c:pt idx="3">
                  <c:v>4244.3149026401497</c:v>
                </c:pt>
                <c:pt idx="4">
                  <c:v>5285.3626216517796</c:v>
                </c:pt>
                <c:pt idx="5">
                  <c:v>6287.0644770538802</c:v>
                </c:pt>
                <c:pt idx="6">
                  <c:v>7072.1101177437604</c:v>
                </c:pt>
                <c:pt idx="7">
                  <c:v>7649.18786163816</c:v>
                </c:pt>
              </c:numCache>
            </c:numRef>
          </c:val>
        </c:ser>
        <c:ser>
          <c:idx val="3"/>
          <c:order val="3"/>
          <c:tx>
            <c:strRef>
              <c:f>XI!$C$694</c:f>
              <c:strCache>
                <c:ptCount val="1"/>
                <c:pt idx="0">
                  <c:v>Level 4</c:v>
                </c:pt>
              </c:strCache>
            </c:strRef>
          </c:tx>
          <c:spPr>
            <a:ln w="28575" cap="rnd">
              <a:solidFill>
                <a:schemeClr val="accent4"/>
              </a:solidFill>
              <a:round/>
            </a:ln>
            <a:effectLst/>
          </c:spPr>
          <c:marker>
            <c:symbol val="none"/>
          </c:marker>
          <c:cat>
            <c:strRef>
              <c:f>XI!$F$686:$M$686</c:f>
              <c:strCache>
                <c:ptCount val="8"/>
                <c:pt idx="0">
                  <c:v>2012</c:v>
                </c:pt>
                <c:pt idx="1">
                  <c:v>2017</c:v>
                </c:pt>
                <c:pt idx="2">
                  <c:v>2022</c:v>
                </c:pt>
                <c:pt idx="3">
                  <c:v>2027</c:v>
                </c:pt>
                <c:pt idx="4">
                  <c:v>2032</c:v>
                </c:pt>
                <c:pt idx="5">
                  <c:v>2037</c:v>
                </c:pt>
                <c:pt idx="6">
                  <c:v>2042</c:v>
                </c:pt>
                <c:pt idx="7">
                  <c:v>2047</c:v>
                </c:pt>
              </c:strCache>
            </c:strRef>
          </c:cat>
          <c:val>
            <c:numRef>
              <c:f>XI!$F$694:$M$694</c:f>
              <c:numCache>
                <c:formatCode>0</c:formatCode>
                <c:ptCount val="8"/>
                <c:pt idx="0">
                  <c:v>1985.42703431323</c:v>
                </c:pt>
                <c:pt idx="1">
                  <c:v>2243.81013730425</c:v>
                </c:pt>
                <c:pt idx="2">
                  <c:v>3161.48674032596</c:v>
                </c:pt>
                <c:pt idx="3">
                  <c:v>4104.5991697238096</c:v>
                </c:pt>
                <c:pt idx="4">
                  <c:v>5059.4386754584702</c:v>
                </c:pt>
                <c:pt idx="5">
                  <c:v>5952.2738451329296</c:v>
                </c:pt>
                <c:pt idx="6">
                  <c:v>6631.3348816939197</c:v>
                </c:pt>
                <c:pt idx="7">
                  <c:v>7129.1014224269002</c:v>
                </c:pt>
              </c:numCache>
            </c:numRef>
          </c:val>
        </c:ser>
        <c:dLbls/>
        <c:marker val="1"/>
        <c:axId val="85264640"/>
        <c:axId val="85278720"/>
      </c:lineChart>
      <c:catAx>
        <c:axId val="85264640"/>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78720"/>
        <c:crosses val="autoZero"/>
        <c:auto val="1"/>
        <c:lblAlgn val="ctr"/>
        <c:lblOffset val="100"/>
      </c:catAx>
      <c:valAx>
        <c:axId val="85278720"/>
        <c:scaling>
          <c:orientation val="minMax"/>
        </c:scaling>
        <c:axPos val="l"/>
        <c:majorGridlines>
          <c:spPr>
            <a:ln w="9525" cap="flat" cmpd="sng" algn="ctr">
              <a:solidFill>
                <a:schemeClr val="tx1">
                  <a:lumMod val="15000"/>
                  <a:lumOff val="85000"/>
                </a:schemeClr>
              </a:solidFill>
              <a:round/>
            </a:ln>
            <a:effectLst/>
          </c:spPr>
        </c:majorGridlines>
        <c:numFmt formatCode="0"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64640"/>
        <c:crosses val="autoZero"/>
        <c:crossBetween val="between"/>
      </c:valAx>
      <c:spPr>
        <a:no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n-IN"/>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Land</a:t>
            </a:r>
            <a:r>
              <a:rPr lang="en-US" baseline="0"/>
              <a:t> Requirement  for your Pathway </a:t>
            </a:r>
            <a:endParaRPr lang="en-US"/>
          </a:p>
        </c:rich>
      </c:tx>
      <c:spPr>
        <a:noFill/>
        <a:ln>
          <a:noFill/>
        </a:ln>
        <a:effectLst/>
      </c:spPr>
    </c:title>
    <c:plotArea>
      <c:layout/>
      <c:barChart>
        <c:barDir val="bar"/>
        <c:grouping val="clustered"/>
        <c:ser>
          <c:idx val="0"/>
          <c:order val="0"/>
          <c:tx>
            <c:strRef>
              <c:f>'Land Use'!$J$36</c:f>
              <c:strCache>
                <c:ptCount val="1"/>
                <c:pt idx="0">
                  <c:v>Least Effort Pathway</c:v>
                </c:pt>
              </c:strCache>
            </c:strRef>
          </c:tx>
          <c:spPr>
            <a:solidFill>
              <a:schemeClr val="accent1"/>
            </a:solidFill>
            <a:ln>
              <a:noFill/>
            </a:ln>
            <a:effectLst/>
          </c:spPr>
          <c:cat>
            <c:strRef>
              <c:f>'Land Use'!$D$37:$I$40</c:f>
              <c:strCache>
                <c:ptCount val="4"/>
                <c:pt idx="0">
                  <c:v>Conventional</c:v>
                </c:pt>
                <c:pt idx="1">
                  <c:v>Renewables</c:v>
                </c:pt>
                <c:pt idx="2">
                  <c:v>Bio Energy</c:v>
                </c:pt>
                <c:pt idx="3">
                  <c:v>Total</c:v>
                </c:pt>
              </c:strCache>
            </c:strRef>
          </c:cat>
          <c:val>
            <c:numRef>
              <c:f>'Land Use'!$J$37:$J$40</c:f>
              <c:numCache>
                <c:formatCode>#,##0_);\(#,##0\);"-"_);@</c:formatCode>
                <c:ptCount val="4"/>
                <c:pt idx="0">
                  <c:v>214102.146408673</c:v>
                </c:pt>
                <c:pt idx="1">
                  <c:v>113186.872761654</c:v>
                </c:pt>
                <c:pt idx="2">
                  <c:v>461492.77357743902</c:v>
                </c:pt>
                <c:pt idx="3">
                  <c:v>788781.79274776601</c:v>
                </c:pt>
              </c:numCache>
            </c:numRef>
          </c:val>
        </c:ser>
        <c:ser>
          <c:idx val="1"/>
          <c:order val="1"/>
          <c:tx>
            <c:strRef>
              <c:f>'Land Use'!$K$36</c:f>
              <c:strCache>
                <c:ptCount val="1"/>
                <c:pt idx="0">
                  <c:v>Your Pathway</c:v>
                </c:pt>
              </c:strCache>
            </c:strRef>
          </c:tx>
          <c:spPr>
            <a:solidFill>
              <a:schemeClr val="accent2"/>
            </a:solidFill>
            <a:ln>
              <a:noFill/>
            </a:ln>
            <a:effectLst/>
          </c:spPr>
          <c:cat>
            <c:strRef>
              <c:f>'Land Use'!$D$37:$I$40</c:f>
              <c:strCache>
                <c:ptCount val="4"/>
                <c:pt idx="0">
                  <c:v>Conventional</c:v>
                </c:pt>
                <c:pt idx="1">
                  <c:v>Renewables</c:v>
                </c:pt>
                <c:pt idx="2">
                  <c:v>Bio Energy</c:v>
                </c:pt>
                <c:pt idx="3">
                  <c:v>Total</c:v>
                </c:pt>
              </c:strCache>
            </c:strRef>
          </c:cat>
          <c:val>
            <c:numRef>
              <c:f>'Land Use'!$K$37:$K$40</c:f>
              <c:numCache>
                <c:formatCode>#,##0_);\(#,##0\);"-"_);@</c:formatCode>
                <c:ptCount val="4"/>
                <c:pt idx="0">
                  <c:v>213984.72979574677</c:v>
                </c:pt>
                <c:pt idx="1">
                  <c:v>113186.8727616539</c:v>
                </c:pt>
                <c:pt idx="2">
                  <c:v>461492.77357743925</c:v>
                </c:pt>
                <c:pt idx="3">
                  <c:v>788664.37613483984</c:v>
                </c:pt>
              </c:numCache>
            </c:numRef>
          </c:val>
        </c:ser>
        <c:dLbls/>
        <c:gapWidth val="182"/>
        <c:axId val="117108736"/>
        <c:axId val="117110656"/>
      </c:barChart>
      <c:catAx>
        <c:axId val="117108736"/>
        <c:scaling>
          <c:orientation val="minMax"/>
        </c:scaling>
        <c:axPos val="l"/>
        <c:title>
          <c:tx>
            <c:strRef>
              <c:f>'Land Use'!$D$36</c:f>
              <c:strCache>
                <c:ptCount val="1"/>
                <c:pt idx="0">
                  <c:v>Area in ha</c:v>
                </c:pt>
              </c:strCache>
            </c:strRef>
          </c:tx>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j-lt"/>
                  <a:ea typeface="+mn-ea"/>
                  <a:cs typeface="+mn-cs"/>
                </a:defRPr>
              </a:pPr>
              <a:endParaRPr lang="en-US"/>
            </a:p>
          </c:txPr>
        </c:title>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10656"/>
        <c:crosses val="autoZero"/>
        <c:auto val="1"/>
        <c:lblAlgn val="ctr"/>
        <c:lblOffset val="100"/>
      </c:catAx>
      <c:valAx>
        <c:axId val="117110656"/>
        <c:scaling>
          <c:orientation val="minMax"/>
        </c:scaling>
        <c:axPos val="b"/>
        <c:majorGridlines>
          <c:spPr>
            <a:ln w="9525" cap="flat" cmpd="sng" algn="ctr">
              <a:solidFill>
                <a:schemeClr val="tx1">
                  <a:lumMod val="15000"/>
                  <a:lumOff val="85000"/>
                </a:schemeClr>
              </a:solidFill>
              <a:round/>
            </a:ln>
            <a:effectLst/>
          </c:spPr>
        </c:majorGridlines>
        <c:numFmt formatCode="#,##0_);\(#,##0\);&quot;-&quot;_);@"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08736"/>
        <c:crosses val="autoZero"/>
        <c:crossBetween val="between"/>
      </c:valAx>
      <c:spPr>
        <a:no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1" l="0.70000000000000062" r="0.70000000000000062" t="0.750000000000001" header="0.30000000000000032" footer="0.30000000000000032"/>
    <c:pageSetup/>
  </c:printSettings>
</c:chartSpace>
</file>

<file path=xl/ctrlProps/ctrlProp1.xml><?xml version="1.0" encoding="utf-8"?>
<formControlPr xmlns="http://schemas.microsoft.com/office/spreadsheetml/2009/9/main" objectType="Radio" checked="Checked" firstButton="1" fmlaLink="Control!$E$32" lockText="1"/>
</file>

<file path=xl/ctrlProps/ctrlProp2.xml><?xml version="1.0" encoding="utf-8"?>
<formControlPr xmlns="http://schemas.microsoft.com/office/spreadsheetml/2009/9/main" objectType="Radio" lockText="1"/>
</file>

<file path=xl/ctrlProps/ctrlProp3.xml><?xml version="1.0" encoding="utf-8"?>
<formControlPr xmlns="http://schemas.microsoft.com/office/spreadsheetml/2009/9/main" objectType="Radio" lockText="1"/>
</file>

<file path=xl/ctrlProps/ctrlProp4.xml><?xml version="1.0" encoding="utf-8"?>
<formControlPr xmlns="http://schemas.microsoft.com/office/spreadsheetml/2009/9/main" objectType="Radio" lockText="1"/>
</file>

<file path=xl/ctrlProps/ctrlProp5.xml><?xml version="1.0" encoding="utf-8"?>
<formControlPr xmlns="http://schemas.microsoft.com/office/spreadsheetml/2009/9/main" objectType="GBox"/>
</file>

<file path=xl/ctrlProps/ctrlProp6.xml><?xml version="1.0" encoding="utf-8"?>
<formControlPr xmlns="http://schemas.microsoft.com/office/spreadsheetml/2009/9/main" objectType="Radio" checked="Checked" firstButton="1" fmlaLink="Control!$E$33" lockText="1"/>
</file>

<file path=xl/ctrlProps/ctrlProp7.xml><?xml version="1.0" encoding="utf-8"?>
<formControlPr xmlns="http://schemas.microsoft.com/office/spreadsheetml/2009/9/main" objectType="Radio" lockText="1"/>
</file>

<file path=xl/ctrlProps/ctrlProp8.xml><?xml version="1.0" encoding="utf-8"?>
<formControlPr xmlns="http://schemas.microsoft.com/office/spreadsheetml/2009/9/main" objectType="Radio" lockText="1"/>
</file>

<file path=xl/ctrlProps/ctrlProp9.xml><?xml version="1.0" encoding="utf-8"?>
<formControlPr xmlns="http://schemas.microsoft.com/office/spreadsheetml/2009/9/main" objectType="Radio" lockText="1"/>
</file>

<file path=xl/ctrlProps/ctrlProp10.xml><?xml version="1.0" encoding="utf-8"?>
<formControlPr xmlns="http://schemas.microsoft.com/office/spreadsheetml/2009/9/main" objectType="GBox"/>
</file>

<file path=xl/ctrlProps/ctrlProp11.xml><?xml version="1.0" encoding="utf-8"?>
<formControlPr xmlns="http://schemas.microsoft.com/office/spreadsheetml/2009/9/main" objectType="Radio" checked="Checked" firstButton="1" fmlaLink="Control!$E$34" lockText="1"/>
</file>

<file path=xl/ctrlProps/ctrlProp12.xml><?xml version="1.0" encoding="utf-8"?>
<formControlPr xmlns="http://schemas.microsoft.com/office/spreadsheetml/2009/9/main" objectType="Radio" lockText="1"/>
</file>

<file path=xl/ctrlProps/ctrlProp13.xml><?xml version="1.0" encoding="utf-8"?>
<formControlPr xmlns="http://schemas.microsoft.com/office/spreadsheetml/2009/9/main" objectType="Radio" lockText="1"/>
</file>

<file path=xl/ctrlProps/ctrlProp14.xml><?xml version="1.0" encoding="utf-8"?>
<formControlPr xmlns="http://schemas.microsoft.com/office/spreadsheetml/2009/9/main" objectType="Radio" lockText="1"/>
</file>

<file path=xl/ctrlProps/ctrlProp15.xml><?xml version="1.0" encoding="utf-8"?>
<formControlPr xmlns="http://schemas.microsoft.com/office/spreadsheetml/2009/9/main" objectType="GBox"/>
</file>

<file path=xl/ctrlProps/ctrlProp16.xml><?xml version="1.0" encoding="utf-8"?>
<formControlPr xmlns="http://schemas.microsoft.com/office/spreadsheetml/2009/9/main" objectType="Radio" checked="Checked" firstButton="1" fmlaLink="Control!$E$37" lockText="1"/>
</file>

<file path=xl/ctrlProps/ctrlProp17.xml><?xml version="1.0" encoding="utf-8"?>
<formControlPr xmlns="http://schemas.microsoft.com/office/spreadsheetml/2009/9/main" objectType="Radio" lockText="1"/>
</file>

<file path=xl/ctrlProps/ctrlProp18.xml><?xml version="1.0" encoding="utf-8"?>
<formControlPr xmlns="http://schemas.microsoft.com/office/spreadsheetml/2009/9/main" objectType="Radio" lockText="1"/>
</file>

<file path=xl/ctrlProps/ctrlProp19.xml><?xml version="1.0" encoding="utf-8"?>
<formControlPr xmlns="http://schemas.microsoft.com/office/spreadsheetml/2009/9/main" objectType="Radio" lockText="1"/>
</file>

<file path=xl/ctrlProps/ctrlProp20.xml><?xml version="1.0" encoding="utf-8"?>
<formControlPr xmlns="http://schemas.microsoft.com/office/spreadsheetml/2009/9/main" objectType="GBox"/>
</file>

<file path=xl/ctrlProps/ctrlProp21.xml><?xml version="1.0" encoding="utf-8"?>
<formControlPr xmlns="http://schemas.microsoft.com/office/spreadsheetml/2009/9/main" objectType="Radio" checked="Checked" firstButton="1" fmlaLink="Control!$E$38" lockText="1"/>
</file>

<file path=xl/ctrlProps/ctrlProp22.xml><?xml version="1.0" encoding="utf-8"?>
<formControlPr xmlns="http://schemas.microsoft.com/office/spreadsheetml/2009/9/main" objectType="Radio" lockText="1"/>
</file>

<file path=xl/ctrlProps/ctrlProp23.xml><?xml version="1.0" encoding="utf-8"?>
<formControlPr xmlns="http://schemas.microsoft.com/office/spreadsheetml/2009/9/main" objectType="Radio" lockText="1"/>
</file>

<file path=xl/ctrlProps/ctrlProp24.xml><?xml version="1.0" encoding="utf-8"?>
<formControlPr xmlns="http://schemas.microsoft.com/office/spreadsheetml/2009/9/main" objectType="Radio" lockText="1"/>
</file>

<file path=xl/ctrlProps/ctrlProp25.xml><?xml version="1.0" encoding="utf-8"?>
<formControlPr xmlns="http://schemas.microsoft.com/office/spreadsheetml/2009/9/main" objectType="GBox"/>
</file>

<file path=xl/ctrlProps/ctrlProp26.xml><?xml version="1.0" encoding="utf-8"?>
<formControlPr xmlns="http://schemas.microsoft.com/office/spreadsheetml/2009/9/main" objectType="Radio" checked="Checked" firstButton="1" fmlaLink="Control!$E$41" lockText="1"/>
</file>

<file path=xl/ctrlProps/ctrlProp27.xml><?xml version="1.0" encoding="utf-8"?>
<formControlPr xmlns="http://schemas.microsoft.com/office/spreadsheetml/2009/9/main" objectType="Radio" lockText="1"/>
</file>

<file path=xl/ctrlProps/ctrlProp28.xml><?xml version="1.0" encoding="utf-8"?>
<formControlPr xmlns="http://schemas.microsoft.com/office/spreadsheetml/2009/9/main" objectType="Radio" lockText="1"/>
</file>

<file path=xl/ctrlProps/ctrlProp29.xml><?xml version="1.0" encoding="utf-8"?>
<formControlPr xmlns="http://schemas.microsoft.com/office/spreadsheetml/2009/9/main" objectType="Radio" lockText="1"/>
</file>

<file path=xl/ctrlProps/ctrlProp30.xml><?xml version="1.0" encoding="utf-8"?>
<formControlPr xmlns="http://schemas.microsoft.com/office/spreadsheetml/2009/9/main" objectType="GBox"/>
</file>

<file path=xl/ctrlProps/ctrlProp31.xml><?xml version="1.0" encoding="utf-8"?>
<formControlPr xmlns="http://schemas.microsoft.com/office/spreadsheetml/2009/9/main" objectType="Radio" checked="Checked" firstButton="1" fmlaLink="Control!$E$42" lockText="1"/>
</file>

<file path=xl/ctrlProps/ctrlProp32.xml><?xml version="1.0" encoding="utf-8"?>
<formControlPr xmlns="http://schemas.microsoft.com/office/spreadsheetml/2009/9/main" objectType="Radio" lockText="1"/>
</file>

<file path=xl/ctrlProps/ctrlProp33.xml><?xml version="1.0" encoding="utf-8"?>
<formControlPr xmlns="http://schemas.microsoft.com/office/spreadsheetml/2009/9/main" objectType="Radio" lockText="1"/>
</file>

<file path=xl/ctrlProps/ctrlProp34.xml><?xml version="1.0" encoding="utf-8"?>
<formControlPr xmlns="http://schemas.microsoft.com/office/spreadsheetml/2009/9/main" objectType="Radio" lockText="1"/>
</file>

<file path=xl/ctrlProps/ctrlProp35.xml><?xml version="1.0" encoding="utf-8"?>
<formControlPr xmlns="http://schemas.microsoft.com/office/spreadsheetml/2009/9/main" objectType="GBox"/>
</file>

<file path=xl/ctrlProps/ctrlProp36.xml><?xml version="1.0" encoding="utf-8"?>
<formControlPr xmlns="http://schemas.microsoft.com/office/spreadsheetml/2009/9/main" objectType="GBox"/>
</file>

<file path=xl/ctrlProps/ctrlProp37.xml><?xml version="1.0" encoding="utf-8"?>
<formControlPr xmlns="http://schemas.microsoft.com/office/spreadsheetml/2009/9/main" objectType="Radio" checked="Checked" firstButton="1" fmlaLink="Control!$E$49" lockText="1"/>
</file>

<file path=xl/ctrlProps/ctrlProp38.xml><?xml version="1.0" encoding="utf-8"?>
<formControlPr xmlns="http://schemas.microsoft.com/office/spreadsheetml/2009/9/main" objectType="Radio" lockText="1"/>
</file>

<file path=xl/ctrlProps/ctrlProp39.xml><?xml version="1.0" encoding="utf-8"?>
<formControlPr xmlns="http://schemas.microsoft.com/office/spreadsheetml/2009/9/main" objectType="Radio" lockText="1"/>
</file>

<file path=xl/ctrlProps/ctrlProp40.xml><?xml version="1.0" encoding="utf-8"?>
<formControlPr xmlns="http://schemas.microsoft.com/office/spreadsheetml/2009/9/main" objectType="Radio" lockText="1"/>
</file>

<file path=xl/ctrlProps/ctrlProp41.xml><?xml version="1.0" encoding="utf-8"?>
<formControlPr xmlns="http://schemas.microsoft.com/office/spreadsheetml/2009/9/main" objectType="GBox"/>
</file>

<file path=xl/ctrlProps/ctrlProp42.xml><?xml version="1.0" encoding="utf-8"?>
<formControlPr xmlns="http://schemas.microsoft.com/office/spreadsheetml/2009/9/main" objectType="Radio" checked="Checked" firstButton="1" fmlaLink="Control!$E$35" lockText="1"/>
</file>

<file path=xl/ctrlProps/ctrlProp43.xml><?xml version="1.0" encoding="utf-8"?>
<formControlPr xmlns="http://schemas.microsoft.com/office/spreadsheetml/2009/9/main" objectType="Radio" lockText="1"/>
</file>

<file path=xl/ctrlProps/ctrlProp44.xml><?xml version="1.0" encoding="utf-8"?>
<formControlPr xmlns="http://schemas.microsoft.com/office/spreadsheetml/2009/9/main" objectType="Radio" lockText="1"/>
</file>

<file path=xl/ctrlProps/ctrlProp45.xml><?xml version="1.0" encoding="utf-8"?>
<formControlPr xmlns="http://schemas.microsoft.com/office/spreadsheetml/2009/9/main" objectType="Radio" lockText="1"/>
</file>

<file path=xl/ctrlProps/ctrlProp46.xml><?xml version="1.0" encoding="utf-8"?>
<formControlPr xmlns="http://schemas.microsoft.com/office/spreadsheetml/2009/9/main" objectType="GBox"/>
</file>

<file path=xl/ctrlProps/ctrlProp47.xml><?xml version="1.0" encoding="utf-8"?>
<formControlPr xmlns="http://schemas.microsoft.com/office/spreadsheetml/2009/9/main" objectType="Radio" checked="Checked" firstButton="1" fmlaLink="Control!$E$39" lockText="1"/>
</file>

<file path=xl/ctrlProps/ctrlProp48.xml><?xml version="1.0" encoding="utf-8"?>
<formControlPr xmlns="http://schemas.microsoft.com/office/spreadsheetml/2009/9/main" objectType="Radio" lockText="1"/>
</file>

<file path=xl/ctrlProps/ctrlProp49.xml><?xml version="1.0" encoding="utf-8"?>
<formControlPr xmlns="http://schemas.microsoft.com/office/spreadsheetml/2009/9/main" objectType="Radio" lockText="1"/>
</file>

<file path=xl/ctrlProps/ctrlProp50.xml><?xml version="1.0" encoding="utf-8"?>
<formControlPr xmlns="http://schemas.microsoft.com/office/spreadsheetml/2009/9/main" objectType="Radio" lockText="1"/>
</file>

<file path=xl/ctrlProps/ctrlProp51.xml><?xml version="1.0" encoding="utf-8"?>
<formControlPr xmlns="http://schemas.microsoft.com/office/spreadsheetml/2009/9/main" objectType="GBox"/>
</file>

<file path=xl/ctrlProps/ctrlProp52.xml><?xml version="1.0" encoding="utf-8"?>
<formControlPr xmlns="http://schemas.microsoft.com/office/spreadsheetml/2009/9/main" objectType="Radio" checked="Checked" firstButton="1" fmlaLink="Control!$E$51" lockText="1"/>
</file>

<file path=xl/ctrlProps/ctrlProp53.xml><?xml version="1.0" encoding="utf-8"?>
<formControlPr xmlns="http://schemas.microsoft.com/office/spreadsheetml/2009/9/main" objectType="Radio" lockText="1"/>
</file>

<file path=xl/ctrlProps/ctrlProp54.xml><?xml version="1.0" encoding="utf-8"?>
<formControlPr xmlns="http://schemas.microsoft.com/office/spreadsheetml/2009/9/main" objectType="Radio" lockText="1"/>
</file>

<file path=xl/ctrlProps/ctrlProp55.xml><?xml version="1.0" encoding="utf-8"?>
<formControlPr xmlns="http://schemas.microsoft.com/office/spreadsheetml/2009/9/main" objectType="Radio" lockText="1"/>
</file>

<file path=xl/ctrlProps/ctrlProp56.xml><?xml version="1.0" encoding="utf-8"?>
<formControlPr xmlns="http://schemas.microsoft.com/office/spreadsheetml/2009/9/main" objectType="GBox"/>
</file>

<file path=xl/ctrlProps/ctrlProp57.xml><?xml version="1.0" encoding="utf-8"?>
<formControlPr xmlns="http://schemas.microsoft.com/office/spreadsheetml/2009/9/main" objectType="Radio" checked="Checked" firstButton="1" fmlaLink="Control!$E$50" lockText="1"/>
</file>

<file path=xl/ctrlProps/ctrlProp58.xml><?xml version="1.0" encoding="utf-8"?>
<formControlPr xmlns="http://schemas.microsoft.com/office/spreadsheetml/2009/9/main" objectType="Radio" lockText="1"/>
</file>

<file path=xl/ctrlProps/ctrlProp59.xml><?xml version="1.0" encoding="utf-8"?>
<formControlPr xmlns="http://schemas.microsoft.com/office/spreadsheetml/2009/9/main" objectType="Radio" lockText="1"/>
</file>

<file path=xl/ctrlProps/ctrlProp60.xml><?xml version="1.0" encoding="utf-8"?>
<formControlPr xmlns="http://schemas.microsoft.com/office/spreadsheetml/2009/9/main" objectType="Radio" lockText="1"/>
</file>

<file path=xl/ctrlProps/ctrlProp61.xml><?xml version="1.0" encoding="utf-8"?>
<formControlPr xmlns="http://schemas.microsoft.com/office/spreadsheetml/2009/9/main" objectType="GBox"/>
</file>

<file path=xl/ctrlProps/ctrlProp62.xml><?xml version="1.0" encoding="utf-8"?>
<formControlPr xmlns="http://schemas.microsoft.com/office/spreadsheetml/2009/9/main" objectType="Radio" checked="Checked" firstButton="1" fmlaLink="Control!$E$43" lockText="1"/>
</file>

<file path=xl/ctrlProps/ctrlProp63.xml><?xml version="1.0" encoding="utf-8"?>
<formControlPr xmlns="http://schemas.microsoft.com/office/spreadsheetml/2009/9/main" objectType="Radio" lockText="1"/>
</file>

<file path=xl/ctrlProps/ctrlProp64.xml><?xml version="1.0" encoding="utf-8"?>
<formControlPr xmlns="http://schemas.microsoft.com/office/spreadsheetml/2009/9/main" objectType="Radio" lockText="1"/>
</file>

<file path=xl/ctrlProps/ctrlProp65.xml><?xml version="1.0" encoding="utf-8"?>
<formControlPr xmlns="http://schemas.microsoft.com/office/spreadsheetml/2009/9/main" objectType="Radio" lockText="1"/>
</file>

<file path=xl/ctrlProps/ctrlProp66.xml><?xml version="1.0" encoding="utf-8"?>
<formControlPr xmlns="http://schemas.microsoft.com/office/spreadsheetml/2009/9/main" objectType="GBox"/>
</file>

<file path=xl/ctrlProps/ctrlProp67.xml><?xml version="1.0" encoding="utf-8"?>
<formControlPr xmlns="http://schemas.microsoft.com/office/spreadsheetml/2009/9/main" objectType="Radio" checked="Checked" firstButton="1" fmlaLink="Control!$E$46" lockText="1"/>
</file>

<file path=xl/ctrlProps/ctrlProp68.xml><?xml version="1.0" encoding="utf-8"?>
<formControlPr xmlns="http://schemas.microsoft.com/office/spreadsheetml/2009/9/main" objectType="Radio" lockText="1"/>
</file>

<file path=xl/ctrlProps/ctrlProp69.xml><?xml version="1.0" encoding="utf-8"?>
<formControlPr xmlns="http://schemas.microsoft.com/office/spreadsheetml/2009/9/main" objectType="Radio" lockText="1"/>
</file>

<file path=xl/ctrlProps/ctrlProp70.xml><?xml version="1.0" encoding="utf-8"?>
<formControlPr xmlns="http://schemas.microsoft.com/office/spreadsheetml/2009/9/main" objectType="Radio" lockText="1"/>
</file>

<file path=xl/ctrlProps/ctrlProp71.xml><?xml version="1.0" encoding="utf-8"?>
<formControlPr xmlns="http://schemas.microsoft.com/office/spreadsheetml/2009/9/main" objectType="GBox"/>
</file>

<file path=xl/ctrlProps/ctrlProp72.xml><?xml version="1.0" encoding="utf-8"?>
<formControlPr xmlns="http://schemas.microsoft.com/office/spreadsheetml/2009/9/main" objectType="Radio" checked="Checked" firstButton="1" fmlaLink="Control!$E$47" lockText="1"/>
</file>

<file path=xl/ctrlProps/ctrlProp73.xml><?xml version="1.0" encoding="utf-8"?>
<formControlPr xmlns="http://schemas.microsoft.com/office/spreadsheetml/2009/9/main" objectType="Radio" lockText="1"/>
</file>

<file path=xl/ctrlProps/ctrlProp74.xml><?xml version="1.0" encoding="utf-8"?>
<formControlPr xmlns="http://schemas.microsoft.com/office/spreadsheetml/2009/9/main" objectType="Radio" lockText="1"/>
</file>

<file path=xl/ctrlProps/ctrlProp75.xml><?xml version="1.0" encoding="utf-8"?>
<formControlPr xmlns="http://schemas.microsoft.com/office/spreadsheetml/2009/9/main" objectType="Radio" lockText="1"/>
</file>

<file path=xl/ctrlProps/ctrlProp76.xml><?xml version="1.0" encoding="utf-8"?>
<formControlPr xmlns="http://schemas.microsoft.com/office/spreadsheetml/2009/9/main" objectType="GBox"/>
</file>

<file path=xl/ctrlProps/ctrlProp77.xml><?xml version="1.0" encoding="utf-8"?>
<formControlPr xmlns="http://schemas.microsoft.com/office/spreadsheetml/2009/9/main" objectType="Radio" checked="Checked" firstButton="1" fmlaLink="Control!$E$44" lockText="1"/>
</file>

<file path=xl/ctrlProps/ctrlProp78.xml><?xml version="1.0" encoding="utf-8"?>
<formControlPr xmlns="http://schemas.microsoft.com/office/spreadsheetml/2009/9/main" objectType="Radio" lockText="1"/>
</file>

<file path=xl/ctrlProps/ctrlProp79.xml><?xml version="1.0" encoding="utf-8"?>
<formControlPr xmlns="http://schemas.microsoft.com/office/spreadsheetml/2009/9/main" objectType="Radio" lockText="1"/>
</file>

<file path=xl/ctrlProps/ctrlProp80.xml><?xml version="1.0" encoding="utf-8"?>
<formControlPr xmlns="http://schemas.microsoft.com/office/spreadsheetml/2009/9/main" objectType="Radio" lockText="1"/>
</file>

<file path=xl/ctrlProps/ctrlProp81.xml><?xml version="1.0" encoding="utf-8"?>
<formControlPr xmlns="http://schemas.microsoft.com/office/spreadsheetml/2009/9/main" objectType="GBox"/>
</file>

<file path=xl/ctrlProps/ctrlProp82.xml><?xml version="1.0" encoding="utf-8"?>
<formControlPr xmlns="http://schemas.microsoft.com/office/spreadsheetml/2009/9/main" objectType="Radio" checked="Checked" firstButton="1" fmlaLink="Control!$E$5" lockText="1"/>
</file>

<file path=xl/ctrlProps/ctrlProp83.xml><?xml version="1.0" encoding="utf-8"?>
<formControlPr xmlns="http://schemas.microsoft.com/office/spreadsheetml/2009/9/main" objectType="Radio" lockText="1"/>
</file>

<file path=xl/ctrlProps/ctrlProp84.xml><?xml version="1.0" encoding="utf-8"?>
<formControlPr xmlns="http://schemas.microsoft.com/office/spreadsheetml/2009/9/main" objectType="Radio" lockText="1"/>
</file>

<file path=xl/ctrlProps/ctrlProp85.xml><?xml version="1.0" encoding="utf-8"?>
<formControlPr xmlns="http://schemas.microsoft.com/office/spreadsheetml/2009/9/main" objectType="Radio" lockText="1"/>
</file>

<file path=xl/ctrlProps/ctrlProp86.xml><?xml version="1.0" encoding="utf-8"?>
<formControlPr xmlns="http://schemas.microsoft.com/office/spreadsheetml/2009/9/main" objectType="GBox"/>
</file>

<file path=xl/ctrlProps/ctrlProp87.xml><?xml version="1.0" encoding="utf-8"?>
<formControlPr xmlns="http://schemas.microsoft.com/office/spreadsheetml/2009/9/main" objectType="Radio" checked="Checked" firstButton="1" fmlaLink="Control!$E$7" lockText="1"/>
</file>

<file path=xl/ctrlProps/ctrlProp88.xml><?xml version="1.0" encoding="utf-8"?>
<formControlPr xmlns="http://schemas.microsoft.com/office/spreadsheetml/2009/9/main" objectType="Radio" lockText="1"/>
</file>

<file path=xl/ctrlProps/ctrlProp89.xml><?xml version="1.0" encoding="utf-8"?>
<formControlPr xmlns="http://schemas.microsoft.com/office/spreadsheetml/2009/9/main" objectType="Radio" lockText="1"/>
</file>

<file path=xl/ctrlProps/ctrlProp90.xml><?xml version="1.0" encoding="utf-8"?>
<formControlPr xmlns="http://schemas.microsoft.com/office/spreadsheetml/2009/9/main" objectType="Radio" lockText="1"/>
</file>

<file path=xl/ctrlProps/ctrlProp91.xml><?xml version="1.0" encoding="utf-8"?>
<formControlPr xmlns="http://schemas.microsoft.com/office/spreadsheetml/2009/9/main" objectType="GBox"/>
</file>

<file path=xl/ctrlProps/ctrlProp92.xml><?xml version="1.0" encoding="utf-8"?>
<formControlPr xmlns="http://schemas.microsoft.com/office/spreadsheetml/2009/9/main" objectType="Radio" checked="Checked" firstButton="1" fmlaLink="Control!$E$10" lockText="1"/>
</file>

<file path=xl/ctrlProps/ctrlProp93.xml><?xml version="1.0" encoding="utf-8"?>
<formControlPr xmlns="http://schemas.microsoft.com/office/spreadsheetml/2009/9/main" objectType="Radio" lockText="1"/>
</file>

<file path=xl/ctrlProps/ctrlProp94.xml><?xml version="1.0" encoding="utf-8"?>
<formControlPr xmlns="http://schemas.microsoft.com/office/spreadsheetml/2009/9/main" objectType="Radio" lockText="1"/>
</file>

<file path=xl/ctrlProps/ctrlProp95.xml><?xml version="1.0" encoding="utf-8"?>
<formControlPr xmlns="http://schemas.microsoft.com/office/spreadsheetml/2009/9/main" objectType="Radio" lockText="1"/>
</file>

<file path=xl/ctrlProps/ctrlProp96.xml><?xml version="1.0" encoding="utf-8"?>
<formControlPr xmlns="http://schemas.microsoft.com/office/spreadsheetml/2009/9/main" objectType="GBox"/>
</file>

<file path=xl/ctrlProps/ctrlProp97.xml><?xml version="1.0" encoding="utf-8"?>
<formControlPr xmlns="http://schemas.microsoft.com/office/spreadsheetml/2009/9/main" objectType="Radio" checked="Checked" firstButton="1" fmlaLink="Control!$E$12" lockText="1"/>
</file>

<file path=xl/ctrlProps/ctrlProp98.xml><?xml version="1.0" encoding="utf-8"?>
<formControlPr xmlns="http://schemas.microsoft.com/office/spreadsheetml/2009/9/main" objectType="Radio" lockText="1"/>
</file>

<file path=xl/ctrlProps/ctrlProp99.xml><?xml version="1.0" encoding="utf-8"?>
<formControlPr xmlns="http://schemas.microsoft.com/office/spreadsheetml/2009/9/main" objectType="Radio" lockText="1"/>
</file>

<file path=xl/ctrlProps/ctrlProp100.xml><?xml version="1.0" encoding="utf-8"?>
<formControlPr xmlns="http://schemas.microsoft.com/office/spreadsheetml/2009/9/main" objectType="Radio" lockText="1"/>
</file>

<file path=xl/ctrlProps/ctrlProp101.xml><?xml version="1.0" encoding="utf-8"?>
<formControlPr xmlns="http://schemas.microsoft.com/office/spreadsheetml/2009/9/main" objectType="GBox"/>
</file>

<file path=xl/ctrlProps/ctrlProp102.xml><?xml version="1.0" encoding="utf-8"?>
<formControlPr xmlns="http://schemas.microsoft.com/office/spreadsheetml/2009/9/main" objectType="Radio" checked="Checked" firstButton="1" fmlaLink="Control!$E$13" lockText="1"/>
</file>

<file path=xl/ctrlProps/ctrlProp103.xml><?xml version="1.0" encoding="utf-8"?>
<formControlPr xmlns="http://schemas.microsoft.com/office/spreadsheetml/2009/9/main" objectType="Radio" lockText="1"/>
</file>

<file path=xl/ctrlProps/ctrlProp104.xml><?xml version="1.0" encoding="utf-8"?>
<formControlPr xmlns="http://schemas.microsoft.com/office/spreadsheetml/2009/9/main" objectType="Radio" lockText="1"/>
</file>

<file path=xl/ctrlProps/ctrlProp105.xml><?xml version="1.0" encoding="utf-8"?>
<formControlPr xmlns="http://schemas.microsoft.com/office/spreadsheetml/2009/9/main" objectType="Radio" lockText="1"/>
</file>

<file path=xl/ctrlProps/ctrlProp106.xml><?xml version="1.0" encoding="utf-8"?>
<formControlPr xmlns="http://schemas.microsoft.com/office/spreadsheetml/2009/9/main" objectType="GBox"/>
</file>

<file path=xl/ctrlProps/ctrlProp107.xml><?xml version="1.0" encoding="utf-8"?>
<formControlPr xmlns="http://schemas.microsoft.com/office/spreadsheetml/2009/9/main" objectType="Radio" checked="Checked" firstButton="1" fmlaLink="Control!$E$14" lockText="1"/>
</file>

<file path=xl/ctrlProps/ctrlProp108.xml><?xml version="1.0" encoding="utf-8"?>
<formControlPr xmlns="http://schemas.microsoft.com/office/spreadsheetml/2009/9/main" objectType="Radio" lockText="1"/>
</file>

<file path=xl/ctrlProps/ctrlProp109.xml><?xml version="1.0" encoding="utf-8"?>
<formControlPr xmlns="http://schemas.microsoft.com/office/spreadsheetml/2009/9/main" objectType="Radio" lockText="1"/>
</file>

<file path=xl/ctrlProps/ctrlProp110.xml><?xml version="1.0" encoding="utf-8"?>
<formControlPr xmlns="http://schemas.microsoft.com/office/spreadsheetml/2009/9/main" objectType="Radio" lockText="1"/>
</file>

<file path=xl/ctrlProps/ctrlProp111.xml><?xml version="1.0" encoding="utf-8"?>
<formControlPr xmlns="http://schemas.microsoft.com/office/spreadsheetml/2009/9/main" objectType="GBox"/>
</file>

<file path=xl/ctrlProps/ctrlProp112.xml><?xml version="1.0" encoding="utf-8"?>
<formControlPr xmlns="http://schemas.microsoft.com/office/spreadsheetml/2009/9/main" objectType="Radio" checked="Checked" firstButton="1" fmlaLink="Control!$E$15" lockText="1"/>
</file>

<file path=xl/ctrlProps/ctrlProp113.xml><?xml version="1.0" encoding="utf-8"?>
<formControlPr xmlns="http://schemas.microsoft.com/office/spreadsheetml/2009/9/main" objectType="Radio" lockText="1"/>
</file>

<file path=xl/ctrlProps/ctrlProp114.xml><?xml version="1.0" encoding="utf-8"?>
<formControlPr xmlns="http://schemas.microsoft.com/office/spreadsheetml/2009/9/main" objectType="Radio" lockText="1"/>
</file>

<file path=xl/ctrlProps/ctrlProp115.xml><?xml version="1.0" encoding="utf-8"?>
<formControlPr xmlns="http://schemas.microsoft.com/office/spreadsheetml/2009/9/main" objectType="Radio" lockText="1"/>
</file>

<file path=xl/ctrlProps/ctrlProp116.xml><?xml version="1.0" encoding="utf-8"?>
<formControlPr xmlns="http://schemas.microsoft.com/office/spreadsheetml/2009/9/main" objectType="GBox"/>
</file>

<file path=xl/ctrlProps/ctrlProp117.xml><?xml version="1.0" encoding="utf-8"?>
<formControlPr xmlns="http://schemas.microsoft.com/office/spreadsheetml/2009/9/main" objectType="Radio" checked="Checked" firstButton="1" fmlaLink="Control!$E$16" lockText="1"/>
</file>

<file path=xl/ctrlProps/ctrlProp118.xml><?xml version="1.0" encoding="utf-8"?>
<formControlPr xmlns="http://schemas.microsoft.com/office/spreadsheetml/2009/9/main" objectType="Radio" lockText="1"/>
</file>

<file path=xl/ctrlProps/ctrlProp119.xml><?xml version="1.0" encoding="utf-8"?>
<formControlPr xmlns="http://schemas.microsoft.com/office/spreadsheetml/2009/9/main" objectType="Radio" lockText="1"/>
</file>

<file path=xl/ctrlProps/ctrlProp120.xml><?xml version="1.0" encoding="utf-8"?>
<formControlPr xmlns="http://schemas.microsoft.com/office/spreadsheetml/2009/9/main" objectType="Radio" lockText="1"/>
</file>

<file path=xl/ctrlProps/ctrlProp121.xml><?xml version="1.0" encoding="utf-8"?>
<formControlPr xmlns="http://schemas.microsoft.com/office/spreadsheetml/2009/9/main" objectType="GBox"/>
</file>

<file path=xl/ctrlProps/ctrlProp122.xml><?xml version="1.0" encoding="utf-8"?>
<formControlPr xmlns="http://schemas.microsoft.com/office/spreadsheetml/2009/9/main" objectType="Radio" checked="Checked" firstButton="1" fmlaLink="Control!$E$17" lockText="1"/>
</file>

<file path=xl/ctrlProps/ctrlProp123.xml><?xml version="1.0" encoding="utf-8"?>
<formControlPr xmlns="http://schemas.microsoft.com/office/spreadsheetml/2009/9/main" objectType="Radio" lockText="1"/>
</file>

<file path=xl/ctrlProps/ctrlProp124.xml><?xml version="1.0" encoding="utf-8"?>
<formControlPr xmlns="http://schemas.microsoft.com/office/spreadsheetml/2009/9/main" objectType="Radio" lockText="1"/>
</file>

<file path=xl/ctrlProps/ctrlProp125.xml><?xml version="1.0" encoding="utf-8"?>
<formControlPr xmlns="http://schemas.microsoft.com/office/spreadsheetml/2009/9/main" objectType="Radio" lockText="1"/>
</file>

<file path=xl/ctrlProps/ctrlProp126.xml><?xml version="1.0" encoding="utf-8"?>
<formControlPr xmlns="http://schemas.microsoft.com/office/spreadsheetml/2009/9/main" objectType="GBox"/>
</file>

<file path=xl/ctrlProps/ctrlProp127.xml><?xml version="1.0" encoding="utf-8"?>
<formControlPr xmlns="http://schemas.microsoft.com/office/spreadsheetml/2009/9/main" objectType="Radio" checked="Checked" firstButton="1" fmlaLink="Control!$E$18" lockText="1"/>
</file>

<file path=xl/ctrlProps/ctrlProp128.xml><?xml version="1.0" encoding="utf-8"?>
<formControlPr xmlns="http://schemas.microsoft.com/office/spreadsheetml/2009/9/main" objectType="Radio" lockText="1"/>
</file>

<file path=xl/ctrlProps/ctrlProp129.xml><?xml version="1.0" encoding="utf-8"?>
<formControlPr xmlns="http://schemas.microsoft.com/office/spreadsheetml/2009/9/main" objectType="Radio" lockText="1"/>
</file>

<file path=xl/ctrlProps/ctrlProp130.xml><?xml version="1.0" encoding="utf-8"?>
<formControlPr xmlns="http://schemas.microsoft.com/office/spreadsheetml/2009/9/main" objectType="Radio" lockText="1"/>
</file>

<file path=xl/ctrlProps/ctrlProp131.xml><?xml version="1.0" encoding="utf-8"?>
<formControlPr xmlns="http://schemas.microsoft.com/office/spreadsheetml/2009/9/main" objectType="GBox"/>
</file>

<file path=xl/ctrlProps/ctrlProp132.xml><?xml version="1.0" encoding="utf-8"?>
<formControlPr xmlns="http://schemas.microsoft.com/office/spreadsheetml/2009/9/main" objectType="Radio" checked="Checked" firstButton="1" fmlaLink="Control!$E$19" lockText="1"/>
</file>

<file path=xl/ctrlProps/ctrlProp133.xml><?xml version="1.0" encoding="utf-8"?>
<formControlPr xmlns="http://schemas.microsoft.com/office/spreadsheetml/2009/9/main" objectType="Radio" lockText="1"/>
</file>

<file path=xl/ctrlProps/ctrlProp134.xml><?xml version="1.0" encoding="utf-8"?>
<formControlPr xmlns="http://schemas.microsoft.com/office/spreadsheetml/2009/9/main" objectType="Radio" lockText="1"/>
</file>

<file path=xl/ctrlProps/ctrlProp135.xml><?xml version="1.0" encoding="utf-8"?>
<formControlPr xmlns="http://schemas.microsoft.com/office/spreadsheetml/2009/9/main" objectType="Radio" lockText="1"/>
</file>

<file path=xl/ctrlProps/ctrlProp136.xml><?xml version="1.0" encoding="utf-8"?>
<formControlPr xmlns="http://schemas.microsoft.com/office/spreadsheetml/2009/9/main" objectType="GBox"/>
</file>

<file path=xl/ctrlProps/ctrlProp137.xml><?xml version="1.0" encoding="utf-8"?>
<formControlPr xmlns="http://schemas.microsoft.com/office/spreadsheetml/2009/9/main" objectType="Radio" checked="Checked" firstButton="1" fmlaLink="Control!$E$27" lockText="1"/>
</file>

<file path=xl/ctrlProps/ctrlProp138.xml><?xml version="1.0" encoding="utf-8"?>
<formControlPr xmlns="http://schemas.microsoft.com/office/spreadsheetml/2009/9/main" objectType="Radio" lockText="1"/>
</file>

<file path=xl/ctrlProps/ctrlProp139.xml><?xml version="1.0" encoding="utf-8"?>
<formControlPr xmlns="http://schemas.microsoft.com/office/spreadsheetml/2009/9/main" objectType="Radio" lockText="1"/>
</file>

<file path=xl/ctrlProps/ctrlProp140.xml><?xml version="1.0" encoding="utf-8"?>
<formControlPr xmlns="http://schemas.microsoft.com/office/spreadsheetml/2009/9/main" objectType="Radio" lockText="1"/>
</file>

<file path=xl/ctrlProps/ctrlProp141.xml><?xml version="1.0" encoding="utf-8"?>
<formControlPr xmlns="http://schemas.microsoft.com/office/spreadsheetml/2009/9/main" objectType="GBox"/>
</file>

<file path=xl/ctrlProps/ctrlProp142.xml><?xml version="1.0" encoding="utf-8"?>
<formControlPr xmlns="http://schemas.microsoft.com/office/spreadsheetml/2009/9/main" objectType="Radio" checked="Checked" firstButton="1" fmlaLink="Control!$E$28" lockText="1"/>
</file>

<file path=xl/ctrlProps/ctrlProp143.xml><?xml version="1.0" encoding="utf-8"?>
<formControlPr xmlns="http://schemas.microsoft.com/office/spreadsheetml/2009/9/main" objectType="Radio" lockText="1"/>
</file>

<file path=xl/ctrlProps/ctrlProp144.xml><?xml version="1.0" encoding="utf-8"?>
<formControlPr xmlns="http://schemas.microsoft.com/office/spreadsheetml/2009/9/main" objectType="Radio" lockText="1"/>
</file>

<file path=xl/ctrlProps/ctrlProp145.xml><?xml version="1.0" encoding="utf-8"?>
<formControlPr xmlns="http://schemas.microsoft.com/office/spreadsheetml/2009/9/main" objectType="Radio" lockText="1"/>
</file>

<file path=xl/ctrlProps/ctrlProp146.xml><?xml version="1.0" encoding="utf-8"?>
<formControlPr xmlns="http://schemas.microsoft.com/office/spreadsheetml/2009/9/main" objectType="GBox"/>
</file>

<file path=xl/ctrlProps/ctrlProp147.xml><?xml version="1.0" encoding="utf-8"?>
<formControlPr xmlns="http://schemas.microsoft.com/office/spreadsheetml/2009/9/main" objectType="Radio" checked="Checked" firstButton="1" fmlaLink="Control!$E$29" lockText="1"/>
</file>

<file path=xl/ctrlProps/ctrlProp148.xml><?xml version="1.0" encoding="utf-8"?>
<formControlPr xmlns="http://schemas.microsoft.com/office/spreadsheetml/2009/9/main" objectType="Radio" lockText="1"/>
</file>

<file path=xl/ctrlProps/ctrlProp149.xml><?xml version="1.0" encoding="utf-8"?>
<formControlPr xmlns="http://schemas.microsoft.com/office/spreadsheetml/2009/9/main" objectType="Radio" lockText="1"/>
</file>

<file path=xl/ctrlProps/ctrlProp150.xml><?xml version="1.0" encoding="utf-8"?>
<formControlPr xmlns="http://schemas.microsoft.com/office/spreadsheetml/2009/9/main" objectType="Radio" lockText="1"/>
</file>

<file path=xl/ctrlProps/ctrlProp151.xml><?xml version="1.0" encoding="utf-8"?>
<formControlPr xmlns="http://schemas.microsoft.com/office/spreadsheetml/2009/9/main" objectType="GBox"/>
</file>

<file path=xl/ctrlProps/ctrlProp152.xml><?xml version="1.0" encoding="utf-8"?>
<formControlPr xmlns="http://schemas.microsoft.com/office/spreadsheetml/2009/9/main" objectType="Radio" checked="Checked" firstButton="1" fmlaLink="Control!$E$21" lockText="1"/>
</file>

<file path=xl/ctrlProps/ctrlProp153.xml><?xml version="1.0" encoding="utf-8"?>
<formControlPr xmlns="http://schemas.microsoft.com/office/spreadsheetml/2009/9/main" objectType="Radio" lockText="1"/>
</file>

<file path=xl/ctrlProps/ctrlProp154.xml><?xml version="1.0" encoding="utf-8"?>
<formControlPr xmlns="http://schemas.microsoft.com/office/spreadsheetml/2009/9/main" objectType="Radio" lockText="1"/>
</file>

<file path=xl/ctrlProps/ctrlProp155.xml><?xml version="1.0" encoding="utf-8"?>
<formControlPr xmlns="http://schemas.microsoft.com/office/spreadsheetml/2009/9/main" objectType="Radio" lockText="1"/>
</file>

<file path=xl/ctrlProps/ctrlProp156.xml><?xml version="1.0" encoding="utf-8"?>
<formControlPr xmlns="http://schemas.microsoft.com/office/spreadsheetml/2009/9/main" objectType="GBox"/>
</file>

<file path=xl/ctrlProps/ctrlProp157.xml><?xml version="1.0" encoding="utf-8"?>
<formControlPr xmlns="http://schemas.microsoft.com/office/spreadsheetml/2009/9/main" objectType="Radio" checked="Checked" firstButton="1" fmlaLink="Control!$E$23" lockText="1"/>
</file>

<file path=xl/ctrlProps/ctrlProp158.xml><?xml version="1.0" encoding="utf-8"?>
<formControlPr xmlns="http://schemas.microsoft.com/office/spreadsheetml/2009/9/main" objectType="Radio" lockText="1"/>
</file>

<file path=xl/ctrlProps/ctrlProp159.xml><?xml version="1.0" encoding="utf-8"?>
<formControlPr xmlns="http://schemas.microsoft.com/office/spreadsheetml/2009/9/main" objectType="Radio" lockText="1"/>
</file>

<file path=xl/ctrlProps/ctrlProp160.xml><?xml version="1.0" encoding="utf-8"?>
<formControlPr xmlns="http://schemas.microsoft.com/office/spreadsheetml/2009/9/main" objectType="Radio" lockText="1"/>
</file>

<file path=xl/ctrlProps/ctrlProp161.xml><?xml version="1.0" encoding="utf-8"?>
<formControlPr xmlns="http://schemas.microsoft.com/office/spreadsheetml/2009/9/main" objectType="GBox"/>
</file>

<file path=xl/ctrlProps/ctrlProp162.xml><?xml version="1.0" encoding="utf-8"?>
<formControlPr xmlns="http://schemas.microsoft.com/office/spreadsheetml/2009/9/main" objectType="Radio" checked="Checked" firstButton="1" fmlaLink="Control!$E$24" lockText="1"/>
</file>

<file path=xl/ctrlProps/ctrlProp163.xml><?xml version="1.0" encoding="utf-8"?>
<formControlPr xmlns="http://schemas.microsoft.com/office/spreadsheetml/2009/9/main" objectType="Radio" lockText="1"/>
</file>

<file path=xl/ctrlProps/ctrlProp164.xml><?xml version="1.0" encoding="utf-8"?>
<formControlPr xmlns="http://schemas.microsoft.com/office/spreadsheetml/2009/9/main" objectType="Radio" lockText="1"/>
</file>

<file path=xl/ctrlProps/ctrlProp165.xml><?xml version="1.0" encoding="utf-8"?>
<formControlPr xmlns="http://schemas.microsoft.com/office/spreadsheetml/2009/9/main" objectType="Radio" lockText="1"/>
</file>

<file path=xl/ctrlProps/ctrlProp166.xml><?xml version="1.0" encoding="utf-8"?>
<formControlPr xmlns="http://schemas.microsoft.com/office/spreadsheetml/2009/9/main" objectType="GBox"/>
</file>

<file path=xl/ctrlProps/ctrlProp167.xml><?xml version="1.0" encoding="utf-8"?>
<formControlPr xmlns="http://schemas.microsoft.com/office/spreadsheetml/2009/9/main" objectType="Radio" checked="Checked" firstButton="1" fmlaLink="Control!$E$25" lockText="1"/>
</file>

<file path=xl/ctrlProps/ctrlProp168.xml><?xml version="1.0" encoding="utf-8"?>
<formControlPr xmlns="http://schemas.microsoft.com/office/spreadsheetml/2009/9/main" objectType="Radio" lockText="1"/>
</file>

<file path=xl/ctrlProps/ctrlProp169.xml><?xml version="1.0" encoding="utf-8"?>
<formControlPr xmlns="http://schemas.microsoft.com/office/spreadsheetml/2009/9/main" objectType="Radio" lockText="1"/>
</file>

<file path=xl/ctrlProps/ctrlProp170.xml><?xml version="1.0" encoding="utf-8"?>
<formControlPr xmlns="http://schemas.microsoft.com/office/spreadsheetml/2009/9/main" objectType="Radio" lockText="1"/>
</file>

<file path=xl/ctrlProps/ctrlProp171.xml><?xml version="1.0" encoding="utf-8"?>
<formControlPr xmlns="http://schemas.microsoft.com/office/spreadsheetml/2009/9/main" objectType="GBox"/>
</file>

<file path=xl/ctrlProps/ctrlProp172.xml><?xml version="1.0" encoding="utf-8"?>
<formControlPr xmlns="http://schemas.microsoft.com/office/spreadsheetml/2009/9/main" objectType="Radio" checked="Checked" firstButton="1" fmlaLink="Control!$E$53" lockText="1"/>
</file>

<file path=xl/ctrlProps/ctrlProp173.xml><?xml version="1.0" encoding="utf-8"?>
<formControlPr xmlns="http://schemas.microsoft.com/office/spreadsheetml/2009/9/main" objectType="Radio" lockText="1"/>
</file>

<file path=xl/ctrlProps/ctrlProp174.xml><?xml version="1.0" encoding="utf-8"?>
<formControlPr xmlns="http://schemas.microsoft.com/office/spreadsheetml/2009/9/main" objectType="Radio" lockText="1"/>
</file>

<file path=xl/ctrlProps/ctrlProp175.xml><?xml version="1.0" encoding="utf-8"?>
<formControlPr xmlns="http://schemas.microsoft.com/office/spreadsheetml/2009/9/main" objectType="Radio" lockText="1"/>
</file>

<file path=xl/ctrlProps/ctrlProp176.xml><?xml version="1.0" encoding="utf-8"?>
<formControlPr xmlns="http://schemas.microsoft.com/office/spreadsheetml/2009/9/main" objectType="GBox"/>
</file>

<file path=xl/ctrlProps/ctrlProp177.xml><?xml version="1.0" encoding="utf-8"?>
<formControlPr xmlns="http://schemas.microsoft.com/office/spreadsheetml/2009/9/main" objectType="Radio" checked="Checked" firstButton="1" fmlaLink="Control!$E$8" lockText="1"/>
</file>

<file path=xl/ctrlProps/ctrlProp178.xml><?xml version="1.0" encoding="utf-8"?>
<formControlPr xmlns="http://schemas.microsoft.com/office/spreadsheetml/2009/9/main" objectType="Radio" lockText="1"/>
</file>

<file path=xl/ctrlProps/ctrlProp179.xml><?xml version="1.0" encoding="utf-8"?>
<formControlPr xmlns="http://schemas.microsoft.com/office/spreadsheetml/2009/9/main" objectType="Radio" lockText="1"/>
</file>

<file path=xl/ctrlProps/ctrlProp180.xml><?xml version="1.0" encoding="utf-8"?>
<formControlPr xmlns="http://schemas.microsoft.com/office/spreadsheetml/2009/9/main" objectType="Radio" lockText="1"/>
</file>

<file path=xl/ctrlProps/ctrlProp181.xml><?xml version="1.0" encoding="utf-8"?>
<formControlPr xmlns="http://schemas.microsoft.com/office/spreadsheetml/2009/9/main" objectType="GBox"/>
</file>

<file path=xl/ctrlProps/ctrlProp182.xml><?xml version="1.0" encoding="utf-8"?>
<formControlPr xmlns="http://schemas.microsoft.com/office/spreadsheetml/2009/9/main" objectType="Radio" checked="Checked" firstButton="1" fmlaLink="Control!$E$11" lockText="1"/>
</file>

<file path=xl/ctrlProps/ctrlProp183.xml><?xml version="1.0" encoding="utf-8"?>
<formControlPr xmlns="http://schemas.microsoft.com/office/spreadsheetml/2009/9/main" objectType="Radio" lockText="1"/>
</file>

<file path=xl/ctrlProps/ctrlProp184.xml><?xml version="1.0" encoding="utf-8"?>
<formControlPr xmlns="http://schemas.microsoft.com/office/spreadsheetml/2009/9/main" objectType="Radio" lockText="1"/>
</file>

<file path=xl/ctrlProps/ctrlProp185.xml><?xml version="1.0" encoding="utf-8"?>
<formControlPr xmlns="http://schemas.microsoft.com/office/spreadsheetml/2009/9/main" objectType="Radio" lockText="1"/>
</file>

<file path=xl/ctrlProps/ctrlProp186.xml><?xml version="1.0" encoding="utf-8"?>
<formControlPr xmlns="http://schemas.microsoft.com/office/spreadsheetml/2009/9/main" objectType="GBox"/>
</file>

<file path=xl/ctrlProps/ctrlProp187.xml><?xml version="1.0" encoding="utf-8"?>
<formControlPr xmlns="http://schemas.microsoft.com/office/spreadsheetml/2009/9/main" objectType="Radio" checked="Checked" firstButton="1" fmlaLink="Control!$E$22" lockText="1"/>
</file>

<file path=xl/ctrlProps/ctrlProp188.xml><?xml version="1.0" encoding="utf-8"?>
<formControlPr xmlns="http://schemas.microsoft.com/office/spreadsheetml/2009/9/main" objectType="Radio" lockText="1"/>
</file>

<file path=xl/ctrlProps/ctrlProp189.xml><?xml version="1.0" encoding="utf-8"?>
<formControlPr xmlns="http://schemas.microsoft.com/office/spreadsheetml/2009/9/main" objectType="Radio" lockText="1"/>
</file>

<file path=xl/ctrlProps/ctrlProp190.xml><?xml version="1.0" encoding="utf-8"?>
<formControlPr xmlns="http://schemas.microsoft.com/office/spreadsheetml/2009/9/main" objectType="Radio" lockText="1"/>
</file>

<file path=xl/ctrlProps/ctrlProp191.xml><?xml version="1.0" encoding="utf-8"?>
<formControlPr xmlns="http://schemas.microsoft.com/office/spreadsheetml/2009/9/main" objectType="GBox"/>
</file>

<file path=xl/ctrlProps/ctrlProp192.xml><?xml version="1.0" encoding="utf-8"?>
<formControlPr xmlns="http://schemas.microsoft.com/office/spreadsheetml/2009/9/main" objectType="Radio" checked="Checked" firstButton="1" fmlaLink="Control!$E$32" lockText="1"/>
</file>

<file path=xl/ctrlProps/ctrlProp193.xml><?xml version="1.0" encoding="utf-8"?>
<formControlPr xmlns="http://schemas.microsoft.com/office/spreadsheetml/2009/9/main" objectType="Radio" lockText="1"/>
</file>

<file path=xl/ctrlProps/ctrlProp194.xml><?xml version="1.0" encoding="utf-8"?>
<formControlPr xmlns="http://schemas.microsoft.com/office/spreadsheetml/2009/9/main" objectType="Radio" lockText="1"/>
</file>

<file path=xl/ctrlProps/ctrlProp195.xml><?xml version="1.0" encoding="utf-8"?>
<formControlPr xmlns="http://schemas.microsoft.com/office/spreadsheetml/2009/9/main" objectType="Radio" lockText="1"/>
</file>

<file path=xl/ctrlProps/ctrlProp196.xml><?xml version="1.0" encoding="utf-8"?>
<formControlPr xmlns="http://schemas.microsoft.com/office/spreadsheetml/2009/9/main" objectType="GBox"/>
</file>

<file path=xl/ctrlProps/ctrlProp197.xml><?xml version="1.0" encoding="utf-8"?>
<formControlPr xmlns="http://schemas.microsoft.com/office/spreadsheetml/2009/9/main" objectType="Radio" checked="Checked" firstButton="1" fmlaLink="Control!$E$33" lockText="1"/>
</file>

<file path=xl/ctrlProps/ctrlProp198.xml><?xml version="1.0" encoding="utf-8"?>
<formControlPr xmlns="http://schemas.microsoft.com/office/spreadsheetml/2009/9/main" objectType="Radio" lockText="1"/>
</file>

<file path=xl/ctrlProps/ctrlProp199.xml><?xml version="1.0" encoding="utf-8"?>
<formControlPr xmlns="http://schemas.microsoft.com/office/spreadsheetml/2009/9/main" objectType="Radio" lockText="1"/>
</file>

<file path=xl/ctrlProps/ctrlProp200.xml><?xml version="1.0" encoding="utf-8"?>
<formControlPr xmlns="http://schemas.microsoft.com/office/spreadsheetml/2009/9/main" objectType="Radio" lockText="1"/>
</file>

<file path=xl/ctrlProps/ctrlProp201.xml><?xml version="1.0" encoding="utf-8"?>
<formControlPr xmlns="http://schemas.microsoft.com/office/spreadsheetml/2009/9/main" objectType="GBox"/>
</file>

<file path=xl/ctrlProps/ctrlProp202.xml><?xml version="1.0" encoding="utf-8"?>
<formControlPr xmlns="http://schemas.microsoft.com/office/spreadsheetml/2009/9/main" objectType="Radio" checked="Checked" firstButton="1" fmlaLink="Control!$E$34" lockText="1"/>
</file>

<file path=xl/ctrlProps/ctrlProp203.xml><?xml version="1.0" encoding="utf-8"?>
<formControlPr xmlns="http://schemas.microsoft.com/office/spreadsheetml/2009/9/main" objectType="Radio" lockText="1"/>
</file>

<file path=xl/ctrlProps/ctrlProp204.xml><?xml version="1.0" encoding="utf-8"?>
<formControlPr xmlns="http://schemas.microsoft.com/office/spreadsheetml/2009/9/main" objectType="Radio" lockText="1"/>
</file>

<file path=xl/ctrlProps/ctrlProp205.xml><?xml version="1.0" encoding="utf-8"?>
<formControlPr xmlns="http://schemas.microsoft.com/office/spreadsheetml/2009/9/main" objectType="Radio" lockText="1"/>
</file>

<file path=xl/ctrlProps/ctrlProp206.xml><?xml version="1.0" encoding="utf-8"?>
<formControlPr xmlns="http://schemas.microsoft.com/office/spreadsheetml/2009/9/main" objectType="GBox"/>
</file>

<file path=xl/ctrlProps/ctrlProp207.xml><?xml version="1.0" encoding="utf-8"?>
<formControlPr xmlns="http://schemas.microsoft.com/office/spreadsheetml/2009/9/main" objectType="Radio" checked="Checked" firstButton="1" fmlaLink="Control!$E$37" lockText="1"/>
</file>

<file path=xl/ctrlProps/ctrlProp208.xml><?xml version="1.0" encoding="utf-8"?>
<formControlPr xmlns="http://schemas.microsoft.com/office/spreadsheetml/2009/9/main" objectType="Radio" lockText="1"/>
</file>

<file path=xl/ctrlProps/ctrlProp209.xml><?xml version="1.0" encoding="utf-8"?>
<formControlPr xmlns="http://schemas.microsoft.com/office/spreadsheetml/2009/9/main" objectType="Radio" lockText="1"/>
</file>

<file path=xl/ctrlProps/ctrlProp210.xml><?xml version="1.0" encoding="utf-8"?>
<formControlPr xmlns="http://schemas.microsoft.com/office/spreadsheetml/2009/9/main" objectType="Radio" lockText="1"/>
</file>

<file path=xl/ctrlProps/ctrlProp211.xml><?xml version="1.0" encoding="utf-8"?>
<formControlPr xmlns="http://schemas.microsoft.com/office/spreadsheetml/2009/9/main" objectType="GBox"/>
</file>

<file path=xl/ctrlProps/ctrlProp212.xml><?xml version="1.0" encoding="utf-8"?>
<formControlPr xmlns="http://schemas.microsoft.com/office/spreadsheetml/2009/9/main" objectType="Radio" checked="Checked" firstButton="1" fmlaLink="Control!$E$38" lockText="1"/>
</file>

<file path=xl/ctrlProps/ctrlProp213.xml><?xml version="1.0" encoding="utf-8"?>
<formControlPr xmlns="http://schemas.microsoft.com/office/spreadsheetml/2009/9/main" objectType="Radio" lockText="1"/>
</file>

<file path=xl/ctrlProps/ctrlProp214.xml><?xml version="1.0" encoding="utf-8"?>
<formControlPr xmlns="http://schemas.microsoft.com/office/spreadsheetml/2009/9/main" objectType="Radio" lockText="1"/>
</file>

<file path=xl/ctrlProps/ctrlProp215.xml><?xml version="1.0" encoding="utf-8"?>
<formControlPr xmlns="http://schemas.microsoft.com/office/spreadsheetml/2009/9/main" objectType="Radio" lockText="1"/>
</file>

<file path=xl/ctrlProps/ctrlProp216.xml><?xml version="1.0" encoding="utf-8"?>
<formControlPr xmlns="http://schemas.microsoft.com/office/spreadsheetml/2009/9/main" objectType="GBox"/>
</file>

<file path=xl/ctrlProps/ctrlProp217.xml><?xml version="1.0" encoding="utf-8"?>
<formControlPr xmlns="http://schemas.microsoft.com/office/spreadsheetml/2009/9/main" objectType="Radio" checked="Checked" firstButton="1" fmlaLink="Control!$E$41" lockText="1"/>
</file>

<file path=xl/ctrlProps/ctrlProp218.xml><?xml version="1.0" encoding="utf-8"?>
<formControlPr xmlns="http://schemas.microsoft.com/office/spreadsheetml/2009/9/main" objectType="Radio" lockText="1"/>
</file>

<file path=xl/ctrlProps/ctrlProp219.xml><?xml version="1.0" encoding="utf-8"?>
<formControlPr xmlns="http://schemas.microsoft.com/office/spreadsheetml/2009/9/main" objectType="Radio" lockText="1"/>
</file>

<file path=xl/ctrlProps/ctrlProp220.xml><?xml version="1.0" encoding="utf-8"?>
<formControlPr xmlns="http://schemas.microsoft.com/office/spreadsheetml/2009/9/main" objectType="Radio" lockText="1"/>
</file>

<file path=xl/ctrlProps/ctrlProp221.xml><?xml version="1.0" encoding="utf-8"?>
<formControlPr xmlns="http://schemas.microsoft.com/office/spreadsheetml/2009/9/main" objectType="GBox"/>
</file>

<file path=xl/ctrlProps/ctrlProp222.xml><?xml version="1.0" encoding="utf-8"?>
<formControlPr xmlns="http://schemas.microsoft.com/office/spreadsheetml/2009/9/main" objectType="Radio" checked="Checked" firstButton="1" fmlaLink="Control!$E$42" lockText="1"/>
</file>

<file path=xl/ctrlProps/ctrlProp223.xml><?xml version="1.0" encoding="utf-8"?>
<formControlPr xmlns="http://schemas.microsoft.com/office/spreadsheetml/2009/9/main" objectType="Radio" lockText="1"/>
</file>

<file path=xl/ctrlProps/ctrlProp224.xml><?xml version="1.0" encoding="utf-8"?>
<formControlPr xmlns="http://schemas.microsoft.com/office/spreadsheetml/2009/9/main" objectType="Radio" lockText="1"/>
</file>

<file path=xl/ctrlProps/ctrlProp225.xml><?xml version="1.0" encoding="utf-8"?>
<formControlPr xmlns="http://schemas.microsoft.com/office/spreadsheetml/2009/9/main" objectType="Radio" lockText="1"/>
</file>

<file path=xl/ctrlProps/ctrlProp226.xml><?xml version="1.0" encoding="utf-8"?>
<formControlPr xmlns="http://schemas.microsoft.com/office/spreadsheetml/2009/9/main" objectType="GBox"/>
</file>

<file path=xl/ctrlProps/ctrlProp227.xml><?xml version="1.0" encoding="utf-8"?>
<formControlPr xmlns="http://schemas.microsoft.com/office/spreadsheetml/2009/9/main" objectType="GBox"/>
</file>

<file path=xl/ctrlProps/ctrlProp228.xml><?xml version="1.0" encoding="utf-8"?>
<formControlPr xmlns="http://schemas.microsoft.com/office/spreadsheetml/2009/9/main" objectType="Radio" checked="Checked" firstButton="1" fmlaLink="Control!$E$49" lockText="1"/>
</file>

<file path=xl/ctrlProps/ctrlProp229.xml><?xml version="1.0" encoding="utf-8"?>
<formControlPr xmlns="http://schemas.microsoft.com/office/spreadsheetml/2009/9/main" objectType="Radio" lockText="1"/>
</file>

<file path=xl/ctrlProps/ctrlProp230.xml><?xml version="1.0" encoding="utf-8"?>
<formControlPr xmlns="http://schemas.microsoft.com/office/spreadsheetml/2009/9/main" objectType="Radio" lockText="1"/>
</file>

<file path=xl/ctrlProps/ctrlProp231.xml><?xml version="1.0" encoding="utf-8"?>
<formControlPr xmlns="http://schemas.microsoft.com/office/spreadsheetml/2009/9/main" objectType="Radio" lockText="1"/>
</file>

<file path=xl/ctrlProps/ctrlProp232.xml><?xml version="1.0" encoding="utf-8"?>
<formControlPr xmlns="http://schemas.microsoft.com/office/spreadsheetml/2009/9/main" objectType="GBox"/>
</file>

<file path=xl/ctrlProps/ctrlProp233.xml><?xml version="1.0" encoding="utf-8"?>
<formControlPr xmlns="http://schemas.microsoft.com/office/spreadsheetml/2009/9/main" objectType="Radio" checked="Checked" firstButton="1" fmlaLink="Control!$E$35" lockText="1"/>
</file>

<file path=xl/ctrlProps/ctrlProp234.xml><?xml version="1.0" encoding="utf-8"?>
<formControlPr xmlns="http://schemas.microsoft.com/office/spreadsheetml/2009/9/main" objectType="Radio" lockText="1"/>
</file>

<file path=xl/ctrlProps/ctrlProp235.xml><?xml version="1.0" encoding="utf-8"?>
<formControlPr xmlns="http://schemas.microsoft.com/office/spreadsheetml/2009/9/main" objectType="Radio" lockText="1"/>
</file>

<file path=xl/ctrlProps/ctrlProp236.xml><?xml version="1.0" encoding="utf-8"?>
<formControlPr xmlns="http://schemas.microsoft.com/office/spreadsheetml/2009/9/main" objectType="Radio" lockText="1"/>
</file>

<file path=xl/ctrlProps/ctrlProp237.xml><?xml version="1.0" encoding="utf-8"?>
<formControlPr xmlns="http://schemas.microsoft.com/office/spreadsheetml/2009/9/main" objectType="GBox"/>
</file>

<file path=xl/ctrlProps/ctrlProp238.xml><?xml version="1.0" encoding="utf-8"?>
<formControlPr xmlns="http://schemas.microsoft.com/office/spreadsheetml/2009/9/main" objectType="Radio" checked="Checked" firstButton="1" fmlaLink="Control!$E$39" lockText="1"/>
</file>

<file path=xl/ctrlProps/ctrlProp239.xml><?xml version="1.0" encoding="utf-8"?>
<formControlPr xmlns="http://schemas.microsoft.com/office/spreadsheetml/2009/9/main" objectType="Radio" lockText="1"/>
</file>

<file path=xl/ctrlProps/ctrlProp240.xml><?xml version="1.0" encoding="utf-8"?>
<formControlPr xmlns="http://schemas.microsoft.com/office/spreadsheetml/2009/9/main" objectType="Radio" lockText="1"/>
</file>

<file path=xl/ctrlProps/ctrlProp241.xml><?xml version="1.0" encoding="utf-8"?>
<formControlPr xmlns="http://schemas.microsoft.com/office/spreadsheetml/2009/9/main" objectType="Radio" lockText="1"/>
</file>

<file path=xl/ctrlProps/ctrlProp242.xml><?xml version="1.0" encoding="utf-8"?>
<formControlPr xmlns="http://schemas.microsoft.com/office/spreadsheetml/2009/9/main" objectType="GBox"/>
</file>

<file path=xl/ctrlProps/ctrlProp243.xml><?xml version="1.0" encoding="utf-8"?>
<formControlPr xmlns="http://schemas.microsoft.com/office/spreadsheetml/2009/9/main" objectType="Radio" checked="Checked" firstButton="1" fmlaLink="Control!$E$51" lockText="1"/>
</file>

<file path=xl/ctrlProps/ctrlProp244.xml><?xml version="1.0" encoding="utf-8"?>
<formControlPr xmlns="http://schemas.microsoft.com/office/spreadsheetml/2009/9/main" objectType="Radio" lockText="1"/>
</file>

<file path=xl/ctrlProps/ctrlProp245.xml><?xml version="1.0" encoding="utf-8"?>
<formControlPr xmlns="http://schemas.microsoft.com/office/spreadsheetml/2009/9/main" objectType="Radio" lockText="1"/>
</file>

<file path=xl/ctrlProps/ctrlProp246.xml><?xml version="1.0" encoding="utf-8"?>
<formControlPr xmlns="http://schemas.microsoft.com/office/spreadsheetml/2009/9/main" objectType="Radio" lockText="1"/>
</file>

<file path=xl/ctrlProps/ctrlProp247.xml><?xml version="1.0" encoding="utf-8"?>
<formControlPr xmlns="http://schemas.microsoft.com/office/spreadsheetml/2009/9/main" objectType="GBox"/>
</file>

<file path=xl/ctrlProps/ctrlProp248.xml><?xml version="1.0" encoding="utf-8"?>
<formControlPr xmlns="http://schemas.microsoft.com/office/spreadsheetml/2009/9/main" objectType="Radio" checked="Checked" firstButton="1" fmlaLink="Control!$E$50" lockText="1"/>
</file>

<file path=xl/ctrlProps/ctrlProp249.xml><?xml version="1.0" encoding="utf-8"?>
<formControlPr xmlns="http://schemas.microsoft.com/office/spreadsheetml/2009/9/main" objectType="Radio" lockText="1"/>
</file>

<file path=xl/ctrlProps/ctrlProp250.xml><?xml version="1.0" encoding="utf-8"?>
<formControlPr xmlns="http://schemas.microsoft.com/office/spreadsheetml/2009/9/main" objectType="Radio" lockText="1"/>
</file>

<file path=xl/ctrlProps/ctrlProp251.xml><?xml version="1.0" encoding="utf-8"?>
<formControlPr xmlns="http://schemas.microsoft.com/office/spreadsheetml/2009/9/main" objectType="Radio" lockText="1"/>
</file>

<file path=xl/ctrlProps/ctrlProp252.xml><?xml version="1.0" encoding="utf-8"?>
<formControlPr xmlns="http://schemas.microsoft.com/office/spreadsheetml/2009/9/main" objectType="GBox"/>
</file>

<file path=xl/ctrlProps/ctrlProp253.xml><?xml version="1.0" encoding="utf-8"?>
<formControlPr xmlns="http://schemas.microsoft.com/office/spreadsheetml/2009/9/main" objectType="Radio" checked="Checked" firstButton="1" fmlaLink="Control!$E$43" lockText="1"/>
</file>

<file path=xl/ctrlProps/ctrlProp254.xml><?xml version="1.0" encoding="utf-8"?>
<formControlPr xmlns="http://schemas.microsoft.com/office/spreadsheetml/2009/9/main" objectType="Radio" lockText="1"/>
</file>

<file path=xl/ctrlProps/ctrlProp255.xml><?xml version="1.0" encoding="utf-8"?>
<formControlPr xmlns="http://schemas.microsoft.com/office/spreadsheetml/2009/9/main" objectType="Radio" lockText="1"/>
</file>

<file path=xl/ctrlProps/ctrlProp256.xml><?xml version="1.0" encoding="utf-8"?>
<formControlPr xmlns="http://schemas.microsoft.com/office/spreadsheetml/2009/9/main" objectType="Radio" lockText="1"/>
</file>

<file path=xl/ctrlProps/ctrlProp257.xml><?xml version="1.0" encoding="utf-8"?>
<formControlPr xmlns="http://schemas.microsoft.com/office/spreadsheetml/2009/9/main" objectType="GBox"/>
</file>

<file path=xl/ctrlProps/ctrlProp258.xml><?xml version="1.0" encoding="utf-8"?>
<formControlPr xmlns="http://schemas.microsoft.com/office/spreadsheetml/2009/9/main" objectType="Radio" checked="Checked" firstButton="1" fmlaLink="Control!$E$46" lockText="1"/>
</file>

<file path=xl/ctrlProps/ctrlProp259.xml><?xml version="1.0" encoding="utf-8"?>
<formControlPr xmlns="http://schemas.microsoft.com/office/spreadsheetml/2009/9/main" objectType="Radio" lockText="1"/>
</file>

<file path=xl/ctrlProps/ctrlProp260.xml><?xml version="1.0" encoding="utf-8"?>
<formControlPr xmlns="http://schemas.microsoft.com/office/spreadsheetml/2009/9/main" objectType="Radio" lockText="1"/>
</file>

<file path=xl/ctrlProps/ctrlProp261.xml><?xml version="1.0" encoding="utf-8"?>
<formControlPr xmlns="http://schemas.microsoft.com/office/spreadsheetml/2009/9/main" objectType="Radio" lockText="1"/>
</file>

<file path=xl/ctrlProps/ctrlProp262.xml><?xml version="1.0" encoding="utf-8"?>
<formControlPr xmlns="http://schemas.microsoft.com/office/spreadsheetml/2009/9/main" objectType="GBox"/>
</file>

<file path=xl/ctrlProps/ctrlProp263.xml><?xml version="1.0" encoding="utf-8"?>
<formControlPr xmlns="http://schemas.microsoft.com/office/spreadsheetml/2009/9/main" objectType="Radio" checked="Checked" firstButton="1" fmlaLink="Control!$E$47" lockText="1"/>
</file>

<file path=xl/ctrlProps/ctrlProp264.xml><?xml version="1.0" encoding="utf-8"?>
<formControlPr xmlns="http://schemas.microsoft.com/office/spreadsheetml/2009/9/main" objectType="Radio" lockText="1"/>
</file>

<file path=xl/ctrlProps/ctrlProp265.xml><?xml version="1.0" encoding="utf-8"?>
<formControlPr xmlns="http://schemas.microsoft.com/office/spreadsheetml/2009/9/main" objectType="Radio" lockText="1"/>
</file>

<file path=xl/ctrlProps/ctrlProp266.xml><?xml version="1.0" encoding="utf-8"?>
<formControlPr xmlns="http://schemas.microsoft.com/office/spreadsheetml/2009/9/main" objectType="Radio" lockText="1"/>
</file>

<file path=xl/ctrlProps/ctrlProp267.xml><?xml version="1.0" encoding="utf-8"?>
<formControlPr xmlns="http://schemas.microsoft.com/office/spreadsheetml/2009/9/main" objectType="GBox"/>
</file>

<file path=xl/ctrlProps/ctrlProp268.xml><?xml version="1.0" encoding="utf-8"?>
<formControlPr xmlns="http://schemas.microsoft.com/office/spreadsheetml/2009/9/main" objectType="Radio" checked="Checked" firstButton="1" fmlaLink="Control!$E$44" lockText="1"/>
</file>

<file path=xl/ctrlProps/ctrlProp269.xml><?xml version="1.0" encoding="utf-8"?>
<formControlPr xmlns="http://schemas.microsoft.com/office/spreadsheetml/2009/9/main" objectType="Radio" lockText="1"/>
</file>

<file path=xl/ctrlProps/ctrlProp270.xml><?xml version="1.0" encoding="utf-8"?>
<formControlPr xmlns="http://schemas.microsoft.com/office/spreadsheetml/2009/9/main" objectType="Radio" lockText="1"/>
</file>

<file path=xl/ctrlProps/ctrlProp271.xml><?xml version="1.0" encoding="utf-8"?>
<formControlPr xmlns="http://schemas.microsoft.com/office/spreadsheetml/2009/9/main" objectType="Radio" lockText="1"/>
</file>

<file path=xl/ctrlProps/ctrlProp272.xml><?xml version="1.0" encoding="utf-8"?>
<formControlPr xmlns="http://schemas.microsoft.com/office/spreadsheetml/2009/9/main" objectType="GBox"/>
</file>

<file path=xl/ctrlProps/ctrlProp273.xml><?xml version="1.0" encoding="utf-8"?>
<formControlPr xmlns="http://schemas.microsoft.com/office/spreadsheetml/2009/9/main" objectType="Radio" checked="Checked" firstButton="1" fmlaLink="Control!$E$5" lockText="1"/>
</file>

<file path=xl/ctrlProps/ctrlProp274.xml><?xml version="1.0" encoding="utf-8"?>
<formControlPr xmlns="http://schemas.microsoft.com/office/spreadsheetml/2009/9/main" objectType="Radio" lockText="1"/>
</file>

<file path=xl/ctrlProps/ctrlProp275.xml><?xml version="1.0" encoding="utf-8"?>
<formControlPr xmlns="http://schemas.microsoft.com/office/spreadsheetml/2009/9/main" objectType="Radio" lockText="1"/>
</file>

<file path=xl/ctrlProps/ctrlProp276.xml><?xml version="1.0" encoding="utf-8"?>
<formControlPr xmlns="http://schemas.microsoft.com/office/spreadsheetml/2009/9/main" objectType="Radio" lockText="1"/>
</file>

<file path=xl/ctrlProps/ctrlProp277.xml><?xml version="1.0" encoding="utf-8"?>
<formControlPr xmlns="http://schemas.microsoft.com/office/spreadsheetml/2009/9/main" objectType="GBox"/>
</file>

<file path=xl/ctrlProps/ctrlProp278.xml><?xml version="1.0" encoding="utf-8"?>
<formControlPr xmlns="http://schemas.microsoft.com/office/spreadsheetml/2009/9/main" objectType="Radio" checked="Checked" firstButton="1" fmlaLink="Control!$E$7" lockText="1"/>
</file>

<file path=xl/ctrlProps/ctrlProp279.xml><?xml version="1.0" encoding="utf-8"?>
<formControlPr xmlns="http://schemas.microsoft.com/office/spreadsheetml/2009/9/main" objectType="Radio" lockText="1"/>
</file>

<file path=xl/ctrlProps/ctrlProp280.xml><?xml version="1.0" encoding="utf-8"?>
<formControlPr xmlns="http://schemas.microsoft.com/office/spreadsheetml/2009/9/main" objectType="Radio" lockText="1"/>
</file>

<file path=xl/ctrlProps/ctrlProp281.xml><?xml version="1.0" encoding="utf-8"?>
<formControlPr xmlns="http://schemas.microsoft.com/office/spreadsheetml/2009/9/main" objectType="Radio" lockText="1"/>
</file>

<file path=xl/ctrlProps/ctrlProp282.xml><?xml version="1.0" encoding="utf-8"?>
<formControlPr xmlns="http://schemas.microsoft.com/office/spreadsheetml/2009/9/main" objectType="GBox"/>
</file>

<file path=xl/ctrlProps/ctrlProp283.xml><?xml version="1.0" encoding="utf-8"?>
<formControlPr xmlns="http://schemas.microsoft.com/office/spreadsheetml/2009/9/main" objectType="Radio" checked="Checked" firstButton="1" fmlaLink="Control!$E$10" lockText="1"/>
</file>

<file path=xl/ctrlProps/ctrlProp284.xml><?xml version="1.0" encoding="utf-8"?>
<formControlPr xmlns="http://schemas.microsoft.com/office/spreadsheetml/2009/9/main" objectType="Radio" lockText="1"/>
</file>

<file path=xl/ctrlProps/ctrlProp285.xml><?xml version="1.0" encoding="utf-8"?>
<formControlPr xmlns="http://schemas.microsoft.com/office/spreadsheetml/2009/9/main" objectType="Radio" lockText="1"/>
</file>

<file path=xl/ctrlProps/ctrlProp286.xml><?xml version="1.0" encoding="utf-8"?>
<formControlPr xmlns="http://schemas.microsoft.com/office/spreadsheetml/2009/9/main" objectType="Radio" lockText="1"/>
</file>

<file path=xl/ctrlProps/ctrlProp287.xml><?xml version="1.0" encoding="utf-8"?>
<formControlPr xmlns="http://schemas.microsoft.com/office/spreadsheetml/2009/9/main" objectType="GBox"/>
</file>

<file path=xl/ctrlProps/ctrlProp288.xml><?xml version="1.0" encoding="utf-8"?>
<formControlPr xmlns="http://schemas.microsoft.com/office/spreadsheetml/2009/9/main" objectType="Radio" checked="Checked" firstButton="1" fmlaLink="Control!$E$12" lockText="1"/>
</file>

<file path=xl/ctrlProps/ctrlProp289.xml><?xml version="1.0" encoding="utf-8"?>
<formControlPr xmlns="http://schemas.microsoft.com/office/spreadsheetml/2009/9/main" objectType="Radio" lockText="1"/>
</file>

<file path=xl/ctrlProps/ctrlProp290.xml><?xml version="1.0" encoding="utf-8"?>
<formControlPr xmlns="http://schemas.microsoft.com/office/spreadsheetml/2009/9/main" objectType="Radio" lockText="1"/>
</file>

<file path=xl/ctrlProps/ctrlProp291.xml><?xml version="1.0" encoding="utf-8"?>
<formControlPr xmlns="http://schemas.microsoft.com/office/spreadsheetml/2009/9/main" objectType="Radio" lockText="1"/>
</file>

<file path=xl/ctrlProps/ctrlProp292.xml><?xml version="1.0" encoding="utf-8"?>
<formControlPr xmlns="http://schemas.microsoft.com/office/spreadsheetml/2009/9/main" objectType="GBox"/>
</file>

<file path=xl/ctrlProps/ctrlProp293.xml><?xml version="1.0" encoding="utf-8"?>
<formControlPr xmlns="http://schemas.microsoft.com/office/spreadsheetml/2009/9/main" objectType="Radio" checked="Checked" firstButton="1" fmlaLink="Control!$E$13" lockText="1"/>
</file>

<file path=xl/ctrlProps/ctrlProp294.xml><?xml version="1.0" encoding="utf-8"?>
<formControlPr xmlns="http://schemas.microsoft.com/office/spreadsheetml/2009/9/main" objectType="Radio" lockText="1"/>
</file>

<file path=xl/ctrlProps/ctrlProp295.xml><?xml version="1.0" encoding="utf-8"?>
<formControlPr xmlns="http://schemas.microsoft.com/office/spreadsheetml/2009/9/main" objectType="Radio" lockText="1"/>
</file>

<file path=xl/ctrlProps/ctrlProp296.xml><?xml version="1.0" encoding="utf-8"?>
<formControlPr xmlns="http://schemas.microsoft.com/office/spreadsheetml/2009/9/main" objectType="Radio" lockText="1"/>
</file>

<file path=xl/ctrlProps/ctrlProp297.xml><?xml version="1.0" encoding="utf-8"?>
<formControlPr xmlns="http://schemas.microsoft.com/office/spreadsheetml/2009/9/main" objectType="GBox"/>
</file>

<file path=xl/ctrlProps/ctrlProp298.xml><?xml version="1.0" encoding="utf-8"?>
<formControlPr xmlns="http://schemas.microsoft.com/office/spreadsheetml/2009/9/main" objectType="Radio" checked="Checked" firstButton="1" fmlaLink="Control!$E$14" lockText="1"/>
</file>

<file path=xl/ctrlProps/ctrlProp299.xml><?xml version="1.0" encoding="utf-8"?>
<formControlPr xmlns="http://schemas.microsoft.com/office/spreadsheetml/2009/9/main" objectType="Radio" lockText="1"/>
</file>

<file path=xl/ctrlProps/ctrlProp300.xml><?xml version="1.0" encoding="utf-8"?>
<formControlPr xmlns="http://schemas.microsoft.com/office/spreadsheetml/2009/9/main" objectType="Radio" lockText="1"/>
</file>

<file path=xl/ctrlProps/ctrlProp301.xml><?xml version="1.0" encoding="utf-8"?>
<formControlPr xmlns="http://schemas.microsoft.com/office/spreadsheetml/2009/9/main" objectType="Radio" lockText="1"/>
</file>

<file path=xl/ctrlProps/ctrlProp302.xml><?xml version="1.0" encoding="utf-8"?>
<formControlPr xmlns="http://schemas.microsoft.com/office/spreadsheetml/2009/9/main" objectType="GBox"/>
</file>

<file path=xl/ctrlProps/ctrlProp303.xml><?xml version="1.0" encoding="utf-8"?>
<formControlPr xmlns="http://schemas.microsoft.com/office/spreadsheetml/2009/9/main" objectType="Radio" checked="Checked" firstButton="1" fmlaLink="Control!$E$15" lockText="1"/>
</file>

<file path=xl/ctrlProps/ctrlProp304.xml><?xml version="1.0" encoding="utf-8"?>
<formControlPr xmlns="http://schemas.microsoft.com/office/spreadsheetml/2009/9/main" objectType="Radio" lockText="1"/>
</file>

<file path=xl/ctrlProps/ctrlProp305.xml><?xml version="1.0" encoding="utf-8"?>
<formControlPr xmlns="http://schemas.microsoft.com/office/spreadsheetml/2009/9/main" objectType="Radio" lockText="1"/>
</file>

<file path=xl/ctrlProps/ctrlProp306.xml><?xml version="1.0" encoding="utf-8"?>
<formControlPr xmlns="http://schemas.microsoft.com/office/spreadsheetml/2009/9/main" objectType="Radio" lockText="1"/>
</file>

<file path=xl/ctrlProps/ctrlProp307.xml><?xml version="1.0" encoding="utf-8"?>
<formControlPr xmlns="http://schemas.microsoft.com/office/spreadsheetml/2009/9/main" objectType="GBox"/>
</file>

<file path=xl/ctrlProps/ctrlProp308.xml><?xml version="1.0" encoding="utf-8"?>
<formControlPr xmlns="http://schemas.microsoft.com/office/spreadsheetml/2009/9/main" objectType="Radio" checked="Checked" firstButton="1" fmlaLink="Control!$E$16" lockText="1"/>
</file>

<file path=xl/ctrlProps/ctrlProp309.xml><?xml version="1.0" encoding="utf-8"?>
<formControlPr xmlns="http://schemas.microsoft.com/office/spreadsheetml/2009/9/main" objectType="Radio" lockText="1"/>
</file>

<file path=xl/ctrlProps/ctrlProp310.xml><?xml version="1.0" encoding="utf-8"?>
<formControlPr xmlns="http://schemas.microsoft.com/office/spreadsheetml/2009/9/main" objectType="Radio" lockText="1"/>
</file>

<file path=xl/ctrlProps/ctrlProp311.xml><?xml version="1.0" encoding="utf-8"?>
<formControlPr xmlns="http://schemas.microsoft.com/office/spreadsheetml/2009/9/main" objectType="Radio" lockText="1"/>
</file>

<file path=xl/ctrlProps/ctrlProp312.xml><?xml version="1.0" encoding="utf-8"?>
<formControlPr xmlns="http://schemas.microsoft.com/office/spreadsheetml/2009/9/main" objectType="GBox"/>
</file>

<file path=xl/ctrlProps/ctrlProp313.xml><?xml version="1.0" encoding="utf-8"?>
<formControlPr xmlns="http://schemas.microsoft.com/office/spreadsheetml/2009/9/main" objectType="Radio" checked="Checked" firstButton="1" fmlaLink="Control!$E$17" lockText="1"/>
</file>

<file path=xl/ctrlProps/ctrlProp314.xml><?xml version="1.0" encoding="utf-8"?>
<formControlPr xmlns="http://schemas.microsoft.com/office/spreadsheetml/2009/9/main" objectType="Radio" lockText="1"/>
</file>

<file path=xl/ctrlProps/ctrlProp315.xml><?xml version="1.0" encoding="utf-8"?>
<formControlPr xmlns="http://schemas.microsoft.com/office/spreadsheetml/2009/9/main" objectType="Radio" lockText="1"/>
</file>

<file path=xl/ctrlProps/ctrlProp316.xml><?xml version="1.0" encoding="utf-8"?>
<formControlPr xmlns="http://schemas.microsoft.com/office/spreadsheetml/2009/9/main" objectType="Radio" lockText="1"/>
</file>

<file path=xl/ctrlProps/ctrlProp317.xml><?xml version="1.0" encoding="utf-8"?>
<formControlPr xmlns="http://schemas.microsoft.com/office/spreadsheetml/2009/9/main" objectType="GBox"/>
</file>

<file path=xl/ctrlProps/ctrlProp318.xml><?xml version="1.0" encoding="utf-8"?>
<formControlPr xmlns="http://schemas.microsoft.com/office/spreadsheetml/2009/9/main" objectType="Radio" checked="Checked" firstButton="1" fmlaLink="Control!$E$18" lockText="1"/>
</file>

<file path=xl/ctrlProps/ctrlProp319.xml><?xml version="1.0" encoding="utf-8"?>
<formControlPr xmlns="http://schemas.microsoft.com/office/spreadsheetml/2009/9/main" objectType="Radio" lockText="1"/>
</file>

<file path=xl/ctrlProps/ctrlProp320.xml><?xml version="1.0" encoding="utf-8"?>
<formControlPr xmlns="http://schemas.microsoft.com/office/spreadsheetml/2009/9/main" objectType="Radio" lockText="1"/>
</file>

<file path=xl/ctrlProps/ctrlProp321.xml><?xml version="1.0" encoding="utf-8"?>
<formControlPr xmlns="http://schemas.microsoft.com/office/spreadsheetml/2009/9/main" objectType="Radio" lockText="1"/>
</file>

<file path=xl/ctrlProps/ctrlProp322.xml><?xml version="1.0" encoding="utf-8"?>
<formControlPr xmlns="http://schemas.microsoft.com/office/spreadsheetml/2009/9/main" objectType="GBox"/>
</file>

<file path=xl/ctrlProps/ctrlProp323.xml><?xml version="1.0" encoding="utf-8"?>
<formControlPr xmlns="http://schemas.microsoft.com/office/spreadsheetml/2009/9/main" objectType="Radio" checked="Checked" firstButton="1" fmlaLink="Control!$E$19" lockText="1"/>
</file>

<file path=xl/ctrlProps/ctrlProp324.xml><?xml version="1.0" encoding="utf-8"?>
<formControlPr xmlns="http://schemas.microsoft.com/office/spreadsheetml/2009/9/main" objectType="Radio" lockText="1"/>
</file>

<file path=xl/ctrlProps/ctrlProp325.xml><?xml version="1.0" encoding="utf-8"?>
<formControlPr xmlns="http://schemas.microsoft.com/office/spreadsheetml/2009/9/main" objectType="Radio" lockText="1"/>
</file>

<file path=xl/ctrlProps/ctrlProp326.xml><?xml version="1.0" encoding="utf-8"?>
<formControlPr xmlns="http://schemas.microsoft.com/office/spreadsheetml/2009/9/main" objectType="Radio" lockText="1"/>
</file>

<file path=xl/ctrlProps/ctrlProp327.xml><?xml version="1.0" encoding="utf-8"?>
<formControlPr xmlns="http://schemas.microsoft.com/office/spreadsheetml/2009/9/main" objectType="GBox"/>
</file>

<file path=xl/ctrlProps/ctrlProp328.xml><?xml version="1.0" encoding="utf-8"?>
<formControlPr xmlns="http://schemas.microsoft.com/office/spreadsheetml/2009/9/main" objectType="Radio" checked="Checked" firstButton="1" fmlaLink="Control!$E$27" lockText="1"/>
</file>

<file path=xl/ctrlProps/ctrlProp329.xml><?xml version="1.0" encoding="utf-8"?>
<formControlPr xmlns="http://schemas.microsoft.com/office/spreadsheetml/2009/9/main" objectType="Radio" lockText="1"/>
</file>

<file path=xl/ctrlProps/ctrlProp330.xml><?xml version="1.0" encoding="utf-8"?>
<formControlPr xmlns="http://schemas.microsoft.com/office/spreadsheetml/2009/9/main" objectType="Radio" lockText="1"/>
</file>

<file path=xl/ctrlProps/ctrlProp331.xml><?xml version="1.0" encoding="utf-8"?>
<formControlPr xmlns="http://schemas.microsoft.com/office/spreadsheetml/2009/9/main" objectType="Radio" lockText="1"/>
</file>

<file path=xl/ctrlProps/ctrlProp332.xml><?xml version="1.0" encoding="utf-8"?>
<formControlPr xmlns="http://schemas.microsoft.com/office/spreadsheetml/2009/9/main" objectType="GBox"/>
</file>

<file path=xl/ctrlProps/ctrlProp333.xml><?xml version="1.0" encoding="utf-8"?>
<formControlPr xmlns="http://schemas.microsoft.com/office/spreadsheetml/2009/9/main" objectType="Radio" checked="Checked" firstButton="1" fmlaLink="Control!$E$28" lockText="1"/>
</file>

<file path=xl/ctrlProps/ctrlProp334.xml><?xml version="1.0" encoding="utf-8"?>
<formControlPr xmlns="http://schemas.microsoft.com/office/spreadsheetml/2009/9/main" objectType="Radio" lockText="1"/>
</file>

<file path=xl/ctrlProps/ctrlProp335.xml><?xml version="1.0" encoding="utf-8"?>
<formControlPr xmlns="http://schemas.microsoft.com/office/spreadsheetml/2009/9/main" objectType="Radio" lockText="1"/>
</file>

<file path=xl/ctrlProps/ctrlProp336.xml><?xml version="1.0" encoding="utf-8"?>
<formControlPr xmlns="http://schemas.microsoft.com/office/spreadsheetml/2009/9/main" objectType="Radio" lockText="1"/>
</file>

<file path=xl/ctrlProps/ctrlProp337.xml><?xml version="1.0" encoding="utf-8"?>
<formControlPr xmlns="http://schemas.microsoft.com/office/spreadsheetml/2009/9/main" objectType="GBox"/>
</file>

<file path=xl/ctrlProps/ctrlProp338.xml><?xml version="1.0" encoding="utf-8"?>
<formControlPr xmlns="http://schemas.microsoft.com/office/spreadsheetml/2009/9/main" objectType="Radio" checked="Checked" firstButton="1" fmlaLink="Control!$E$29" lockText="1"/>
</file>

<file path=xl/ctrlProps/ctrlProp339.xml><?xml version="1.0" encoding="utf-8"?>
<formControlPr xmlns="http://schemas.microsoft.com/office/spreadsheetml/2009/9/main" objectType="Radio" lockText="1"/>
</file>

<file path=xl/ctrlProps/ctrlProp340.xml><?xml version="1.0" encoding="utf-8"?>
<formControlPr xmlns="http://schemas.microsoft.com/office/spreadsheetml/2009/9/main" objectType="Radio" lockText="1"/>
</file>

<file path=xl/ctrlProps/ctrlProp341.xml><?xml version="1.0" encoding="utf-8"?>
<formControlPr xmlns="http://schemas.microsoft.com/office/spreadsheetml/2009/9/main" objectType="Radio" lockText="1"/>
</file>

<file path=xl/ctrlProps/ctrlProp342.xml><?xml version="1.0" encoding="utf-8"?>
<formControlPr xmlns="http://schemas.microsoft.com/office/spreadsheetml/2009/9/main" objectType="GBox"/>
</file>

<file path=xl/ctrlProps/ctrlProp343.xml><?xml version="1.0" encoding="utf-8"?>
<formControlPr xmlns="http://schemas.microsoft.com/office/spreadsheetml/2009/9/main" objectType="Radio" checked="Checked" firstButton="1" fmlaLink="Control!$E$21" lockText="1"/>
</file>

<file path=xl/ctrlProps/ctrlProp344.xml><?xml version="1.0" encoding="utf-8"?>
<formControlPr xmlns="http://schemas.microsoft.com/office/spreadsheetml/2009/9/main" objectType="Radio" lockText="1"/>
</file>

<file path=xl/ctrlProps/ctrlProp345.xml><?xml version="1.0" encoding="utf-8"?>
<formControlPr xmlns="http://schemas.microsoft.com/office/spreadsheetml/2009/9/main" objectType="Radio" lockText="1"/>
</file>

<file path=xl/ctrlProps/ctrlProp346.xml><?xml version="1.0" encoding="utf-8"?>
<formControlPr xmlns="http://schemas.microsoft.com/office/spreadsheetml/2009/9/main" objectType="Radio" lockText="1"/>
</file>

<file path=xl/ctrlProps/ctrlProp347.xml><?xml version="1.0" encoding="utf-8"?>
<formControlPr xmlns="http://schemas.microsoft.com/office/spreadsheetml/2009/9/main" objectType="GBox"/>
</file>

<file path=xl/ctrlProps/ctrlProp348.xml><?xml version="1.0" encoding="utf-8"?>
<formControlPr xmlns="http://schemas.microsoft.com/office/spreadsheetml/2009/9/main" objectType="Radio" checked="Checked" firstButton="1" fmlaLink="Control!$E$23" lockText="1"/>
</file>

<file path=xl/ctrlProps/ctrlProp349.xml><?xml version="1.0" encoding="utf-8"?>
<formControlPr xmlns="http://schemas.microsoft.com/office/spreadsheetml/2009/9/main" objectType="Radio" lockText="1"/>
</file>

<file path=xl/ctrlProps/ctrlProp350.xml><?xml version="1.0" encoding="utf-8"?>
<formControlPr xmlns="http://schemas.microsoft.com/office/spreadsheetml/2009/9/main" objectType="Radio" lockText="1"/>
</file>

<file path=xl/ctrlProps/ctrlProp351.xml><?xml version="1.0" encoding="utf-8"?>
<formControlPr xmlns="http://schemas.microsoft.com/office/spreadsheetml/2009/9/main" objectType="Radio" lockText="1"/>
</file>

<file path=xl/ctrlProps/ctrlProp352.xml><?xml version="1.0" encoding="utf-8"?>
<formControlPr xmlns="http://schemas.microsoft.com/office/spreadsheetml/2009/9/main" objectType="GBox"/>
</file>

<file path=xl/ctrlProps/ctrlProp353.xml><?xml version="1.0" encoding="utf-8"?>
<formControlPr xmlns="http://schemas.microsoft.com/office/spreadsheetml/2009/9/main" objectType="Radio" checked="Checked" firstButton="1" fmlaLink="Control!$E$24" lockText="1"/>
</file>

<file path=xl/ctrlProps/ctrlProp354.xml><?xml version="1.0" encoding="utf-8"?>
<formControlPr xmlns="http://schemas.microsoft.com/office/spreadsheetml/2009/9/main" objectType="Radio" lockText="1"/>
</file>

<file path=xl/ctrlProps/ctrlProp355.xml><?xml version="1.0" encoding="utf-8"?>
<formControlPr xmlns="http://schemas.microsoft.com/office/spreadsheetml/2009/9/main" objectType="Radio" lockText="1"/>
</file>

<file path=xl/ctrlProps/ctrlProp356.xml><?xml version="1.0" encoding="utf-8"?>
<formControlPr xmlns="http://schemas.microsoft.com/office/spreadsheetml/2009/9/main" objectType="Radio" lockText="1"/>
</file>

<file path=xl/ctrlProps/ctrlProp357.xml><?xml version="1.0" encoding="utf-8"?>
<formControlPr xmlns="http://schemas.microsoft.com/office/spreadsheetml/2009/9/main" objectType="GBox"/>
</file>

<file path=xl/ctrlProps/ctrlProp358.xml><?xml version="1.0" encoding="utf-8"?>
<formControlPr xmlns="http://schemas.microsoft.com/office/spreadsheetml/2009/9/main" objectType="Radio" checked="Checked" firstButton="1" fmlaLink="Control!$E$25" lockText="1"/>
</file>

<file path=xl/ctrlProps/ctrlProp359.xml><?xml version="1.0" encoding="utf-8"?>
<formControlPr xmlns="http://schemas.microsoft.com/office/spreadsheetml/2009/9/main" objectType="Radio" lockText="1"/>
</file>

<file path=xl/ctrlProps/ctrlProp360.xml><?xml version="1.0" encoding="utf-8"?>
<formControlPr xmlns="http://schemas.microsoft.com/office/spreadsheetml/2009/9/main" objectType="Radio" lockText="1"/>
</file>

<file path=xl/ctrlProps/ctrlProp361.xml><?xml version="1.0" encoding="utf-8"?>
<formControlPr xmlns="http://schemas.microsoft.com/office/spreadsheetml/2009/9/main" objectType="Radio" lockText="1"/>
</file>

<file path=xl/ctrlProps/ctrlProp362.xml><?xml version="1.0" encoding="utf-8"?>
<formControlPr xmlns="http://schemas.microsoft.com/office/spreadsheetml/2009/9/main" objectType="GBox"/>
</file>

<file path=xl/ctrlProps/ctrlProp363.xml><?xml version="1.0" encoding="utf-8"?>
<formControlPr xmlns="http://schemas.microsoft.com/office/spreadsheetml/2009/9/main" objectType="Radio" checked="Checked" firstButton="1" fmlaLink="Control!$E$53" lockText="1"/>
</file>

<file path=xl/ctrlProps/ctrlProp364.xml><?xml version="1.0" encoding="utf-8"?>
<formControlPr xmlns="http://schemas.microsoft.com/office/spreadsheetml/2009/9/main" objectType="Radio" lockText="1"/>
</file>

<file path=xl/ctrlProps/ctrlProp365.xml><?xml version="1.0" encoding="utf-8"?>
<formControlPr xmlns="http://schemas.microsoft.com/office/spreadsheetml/2009/9/main" objectType="Radio" lockText="1"/>
</file>

<file path=xl/ctrlProps/ctrlProp366.xml><?xml version="1.0" encoding="utf-8"?>
<formControlPr xmlns="http://schemas.microsoft.com/office/spreadsheetml/2009/9/main" objectType="Radio" lockText="1"/>
</file>

<file path=xl/ctrlProps/ctrlProp367.xml><?xml version="1.0" encoding="utf-8"?>
<formControlPr xmlns="http://schemas.microsoft.com/office/spreadsheetml/2009/9/main" objectType="GBox"/>
</file>

<file path=xl/ctrlProps/ctrlProp368.xml><?xml version="1.0" encoding="utf-8"?>
<formControlPr xmlns="http://schemas.microsoft.com/office/spreadsheetml/2009/9/main" objectType="Radio" checked="Checked" firstButton="1" fmlaLink="Control!$E$8" lockText="1"/>
</file>

<file path=xl/ctrlProps/ctrlProp369.xml><?xml version="1.0" encoding="utf-8"?>
<formControlPr xmlns="http://schemas.microsoft.com/office/spreadsheetml/2009/9/main" objectType="Radio" lockText="1"/>
</file>

<file path=xl/ctrlProps/ctrlProp370.xml><?xml version="1.0" encoding="utf-8"?>
<formControlPr xmlns="http://schemas.microsoft.com/office/spreadsheetml/2009/9/main" objectType="Radio" lockText="1"/>
</file>

<file path=xl/ctrlProps/ctrlProp371.xml><?xml version="1.0" encoding="utf-8"?>
<formControlPr xmlns="http://schemas.microsoft.com/office/spreadsheetml/2009/9/main" objectType="Radio" lockText="1"/>
</file>

<file path=xl/ctrlProps/ctrlProp372.xml><?xml version="1.0" encoding="utf-8"?>
<formControlPr xmlns="http://schemas.microsoft.com/office/spreadsheetml/2009/9/main" objectType="GBox"/>
</file>

<file path=xl/ctrlProps/ctrlProp373.xml><?xml version="1.0" encoding="utf-8"?>
<formControlPr xmlns="http://schemas.microsoft.com/office/spreadsheetml/2009/9/main" objectType="Radio" checked="Checked" firstButton="1" fmlaLink="Control!$E$11" lockText="1"/>
</file>

<file path=xl/ctrlProps/ctrlProp374.xml><?xml version="1.0" encoding="utf-8"?>
<formControlPr xmlns="http://schemas.microsoft.com/office/spreadsheetml/2009/9/main" objectType="Radio" lockText="1"/>
</file>

<file path=xl/ctrlProps/ctrlProp375.xml><?xml version="1.0" encoding="utf-8"?>
<formControlPr xmlns="http://schemas.microsoft.com/office/spreadsheetml/2009/9/main" objectType="Radio" lockText="1"/>
</file>

<file path=xl/ctrlProps/ctrlProp376.xml><?xml version="1.0" encoding="utf-8"?>
<formControlPr xmlns="http://schemas.microsoft.com/office/spreadsheetml/2009/9/main" objectType="Radio" lockText="1"/>
</file>

<file path=xl/ctrlProps/ctrlProp377.xml><?xml version="1.0" encoding="utf-8"?>
<formControlPr xmlns="http://schemas.microsoft.com/office/spreadsheetml/2009/9/main" objectType="GBox"/>
</file>

<file path=xl/ctrlProps/ctrlProp378.xml><?xml version="1.0" encoding="utf-8"?>
<formControlPr xmlns="http://schemas.microsoft.com/office/spreadsheetml/2009/9/main" objectType="Radio" checked="Checked" firstButton="1" fmlaLink="Control!$E$22" lockText="1"/>
</file>

<file path=xl/ctrlProps/ctrlProp379.xml><?xml version="1.0" encoding="utf-8"?>
<formControlPr xmlns="http://schemas.microsoft.com/office/spreadsheetml/2009/9/main" objectType="Radio" lockText="1"/>
</file>

<file path=xl/ctrlProps/ctrlProp380.xml><?xml version="1.0" encoding="utf-8"?>
<formControlPr xmlns="http://schemas.microsoft.com/office/spreadsheetml/2009/9/main" objectType="Radio" lockText="1"/>
</file>

<file path=xl/ctrlProps/ctrlProp381.xml><?xml version="1.0" encoding="utf-8"?>
<formControlPr xmlns="http://schemas.microsoft.com/office/spreadsheetml/2009/9/main" objectType="Radio" lockText="1"/>
</file>

<file path=xl/ctrlProps/ctrlProp382.xml><?xml version="1.0" encoding="utf-8"?>
<formControlPr xmlns="http://schemas.microsoft.com/office/spreadsheetml/2009/9/main" objectType="GBox"/>
</file>

<file path=xl/ctrlProps/ctrlProp383.xml><?xml version="1.0" encoding="utf-8"?>
<formControlPr xmlns="http://schemas.microsoft.com/office/spreadsheetml/2009/9/main" objectType="Radio" checked="Checked" firstButton="1" fmlaLink="Control!$E$32" lockText="1"/>
</file>

<file path=xl/ctrlProps/ctrlProp384.xml><?xml version="1.0" encoding="utf-8"?>
<formControlPr xmlns="http://schemas.microsoft.com/office/spreadsheetml/2009/9/main" objectType="Radio" lockText="1"/>
</file>

<file path=xl/ctrlProps/ctrlProp385.xml><?xml version="1.0" encoding="utf-8"?>
<formControlPr xmlns="http://schemas.microsoft.com/office/spreadsheetml/2009/9/main" objectType="Radio" lockText="1"/>
</file>

<file path=xl/ctrlProps/ctrlProp386.xml><?xml version="1.0" encoding="utf-8"?>
<formControlPr xmlns="http://schemas.microsoft.com/office/spreadsheetml/2009/9/main" objectType="Radio" lockText="1"/>
</file>

<file path=xl/ctrlProps/ctrlProp387.xml><?xml version="1.0" encoding="utf-8"?>
<formControlPr xmlns="http://schemas.microsoft.com/office/spreadsheetml/2009/9/main" objectType="GBox"/>
</file>

<file path=xl/ctrlProps/ctrlProp388.xml><?xml version="1.0" encoding="utf-8"?>
<formControlPr xmlns="http://schemas.microsoft.com/office/spreadsheetml/2009/9/main" objectType="Radio" checked="Checked" firstButton="1" fmlaLink="Control!$E$33" lockText="1"/>
</file>

<file path=xl/ctrlProps/ctrlProp389.xml><?xml version="1.0" encoding="utf-8"?>
<formControlPr xmlns="http://schemas.microsoft.com/office/spreadsheetml/2009/9/main" objectType="Radio" lockText="1"/>
</file>

<file path=xl/ctrlProps/ctrlProp390.xml><?xml version="1.0" encoding="utf-8"?>
<formControlPr xmlns="http://schemas.microsoft.com/office/spreadsheetml/2009/9/main" objectType="Radio" lockText="1"/>
</file>

<file path=xl/ctrlProps/ctrlProp391.xml><?xml version="1.0" encoding="utf-8"?>
<formControlPr xmlns="http://schemas.microsoft.com/office/spreadsheetml/2009/9/main" objectType="Radio" lockText="1"/>
</file>

<file path=xl/ctrlProps/ctrlProp392.xml><?xml version="1.0" encoding="utf-8"?>
<formControlPr xmlns="http://schemas.microsoft.com/office/spreadsheetml/2009/9/main" objectType="GBox"/>
</file>

<file path=xl/ctrlProps/ctrlProp393.xml><?xml version="1.0" encoding="utf-8"?>
<formControlPr xmlns="http://schemas.microsoft.com/office/spreadsheetml/2009/9/main" objectType="Radio" checked="Checked" firstButton="1" fmlaLink="Control!$E$34" lockText="1"/>
</file>

<file path=xl/ctrlProps/ctrlProp394.xml><?xml version="1.0" encoding="utf-8"?>
<formControlPr xmlns="http://schemas.microsoft.com/office/spreadsheetml/2009/9/main" objectType="Radio" lockText="1"/>
</file>

<file path=xl/ctrlProps/ctrlProp395.xml><?xml version="1.0" encoding="utf-8"?>
<formControlPr xmlns="http://schemas.microsoft.com/office/spreadsheetml/2009/9/main" objectType="Radio" lockText="1"/>
</file>

<file path=xl/ctrlProps/ctrlProp396.xml><?xml version="1.0" encoding="utf-8"?>
<formControlPr xmlns="http://schemas.microsoft.com/office/spreadsheetml/2009/9/main" objectType="Radio" lockText="1"/>
</file>

<file path=xl/ctrlProps/ctrlProp397.xml><?xml version="1.0" encoding="utf-8"?>
<formControlPr xmlns="http://schemas.microsoft.com/office/spreadsheetml/2009/9/main" objectType="GBox"/>
</file>

<file path=xl/ctrlProps/ctrlProp398.xml><?xml version="1.0" encoding="utf-8"?>
<formControlPr xmlns="http://schemas.microsoft.com/office/spreadsheetml/2009/9/main" objectType="Radio" checked="Checked" firstButton="1" fmlaLink="Control!$E$37" lockText="1"/>
</file>

<file path=xl/ctrlProps/ctrlProp399.xml><?xml version="1.0" encoding="utf-8"?>
<formControlPr xmlns="http://schemas.microsoft.com/office/spreadsheetml/2009/9/main" objectType="Radio" lockText="1"/>
</file>

<file path=xl/ctrlProps/ctrlProp400.xml><?xml version="1.0" encoding="utf-8"?>
<formControlPr xmlns="http://schemas.microsoft.com/office/spreadsheetml/2009/9/main" objectType="Radio" lockText="1"/>
</file>

<file path=xl/ctrlProps/ctrlProp401.xml><?xml version="1.0" encoding="utf-8"?>
<formControlPr xmlns="http://schemas.microsoft.com/office/spreadsheetml/2009/9/main" objectType="Radio" lockText="1"/>
</file>

<file path=xl/ctrlProps/ctrlProp402.xml><?xml version="1.0" encoding="utf-8"?>
<formControlPr xmlns="http://schemas.microsoft.com/office/spreadsheetml/2009/9/main" objectType="GBox"/>
</file>

<file path=xl/ctrlProps/ctrlProp403.xml><?xml version="1.0" encoding="utf-8"?>
<formControlPr xmlns="http://schemas.microsoft.com/office/spreadsheetml/2009/9/main" objectType="Radio" checked="Checked" firstButton="1" fmlaLink="Control!$E$38" lockText="1"/>
</file>

<file path=xl/ctrlProps/ctrlProp404.xml><?xml version="1.0" encoding="utf-8"?>
<formControlPr xmlns="http://schemas.microsoft.com/office/spreadsheetml/2009/9/main" objectType="Radio" lockText="1"/>
</file>

<file path=xl/ctrlProps/ctrlProp405.xml><?xml version="1.0" encoding="utf-8"?>
<formControlPr xmlns="http://schemas.microsoft.com/office/spreadsheetml/2009/9/main" objectType="Radio" lockText="1"/>
</file>

<file path=xl/ctrlProps/ctrlProp406.xml><?xml version="1.0" encoding="utf-8"?>
<formControlPr xmlns="http://schemas.microsoft.com/office/spreadsheetml/2009/9/main" objectType="Radio" lockText="1"/>
</file>

<file path=xl/ctrlProps/ctrlProp407.xml><?xml version="1.0" encoding="utf-8"?>
<formControlPr xmlns="http://schemas.microsoft.com/office/spreadsheetml/2009/9/main" objectType="GBox"/>
</file>

<file path=xl/ctrlProps/ctrlProp408.xml><?xml version="1.0" encoding="utf-8"?>
<formControlPr xmlns="http://schemas.microsoft.com/office/spreadsheetml/2009/9/main" objectType="Radio" checked="Checked" firstButton="1" fmlaLink="Control!$E$41" lockText="1"/>
</file>

<file path=xl/ctrlProps/ctrlProp409.xml><?xml version="1.0" encoding="utf-8"?>
<formControlPr xmlns="http://schemas.microsoft.com/office/spreadsheetml/2009/9/main" objectType="Radio" lockText="1"/>
</file>

<file path=xl/ctrlProps/ctrlProp410.xml><?xml version="1.0" encoding="utf-8"?>
<formControlPr xmlns="http://schemas.microsoft.com/office/spreadsheetml/2009/9/main" objectType="Radio" lockText="1"/>
</file>

<file path=xl/ctrlProps/ctrlProp411.xml><?xml version="1.0" encoding="utf-8"?>
<formControlPr xmlns="http://schemas.microsoft.com/office/spreadsheetml/2009/9/main" objectType="Radio" lockText="1"/>
</file>

<file path=xl/ctrlProps/ctrlProp412.xml><?xml version="1.0" encoding="utf-8"?>
<formControlPr xmlns="http://schemas.microsoft.com/office/spreadsheetml/2009/9/main" objectType="GBox"/>
</file>

<file path=xl/ctrlProps/ctrlProp413.xml><?xml version="1.0" encoding="utf-8"?>
<formControlPr xmlns="http://schemas.microsoft.com/office/spreadsheetml/2009/9/main" objectType="Radio" checked="Checked" firstButton="1" fmlaLink="Control!$E$42" lockText="1"/>
</file>

<file path=xl/ctrlProps/ctrlProp414.xml><?xml version="1.0" encoding="utf-8"?>
<formControlPr xmlns="http://schemas.microsoft.com/office/spreadsheetml/2009/9/main" objectType="Radio" lockText="1"/>
</file>

<file path=xl/ctrlProps/ctrlProp415.xml><?xml version="1.0" encoding="utf-8"?>
<formControlPr xmlns="http://schemas.microsoft.com/office/spreadsheetml/2009/9/main" objectType="Radio" lockText="1"/>
</file>

<file path=xl/ctrlProps/ctrlProp416.xml><?xml version="1.0" encoding="utf-8"?>
<formControlPr xmlns="http://schemas.microsoft.com/office/spreadsheetml/2009/9/main" objectType="Radio" lockText="1"/>
</file>

<file path=xl/ctrlProps/ctrlProp417.xml><?xml version="1.0" encoding="utf-8"?>
<formControlPr xmlns="http://schemas.microsoft.com/office/spreadsheetml/2009/9/main" objectType="GBox"/>
</file>

<file path=xl/ctrlProps/ctrlProp418.xml><?xml version="1.0" encoding="utf-8"?>
<formControlPr xmlns="http://schemas.microsoft.com/office/spreadsheetml/2009/9/main" objectType="GBox"/>
</file>

<file path=xl/ctrlProps/ctrlProp419.xml><?xml version="1.0" encoding="utf-8"?>
<formControlPr xmlns="http://schemas.microsoft.com/office/spreadsheetml/2009/9/main" objectType="Radio" checked="Checked" firstButton="1" fmlaLink="Control!$E$49" lockText="1"/>
</file>

<file path=xl/ctrlProps/ctrlProp420.xml><?xml version="1.0" encoding="utf-8"?>
<formControlPr xmlns="http://schemas.microsoft.com/office/spreadsheetml/2009/9/main" objectType="Radio" lockText="1"/>
</file>

<file path=xl/ctrlProps/ctrlProp421.xml><?xml version="1.0" encoding="utf-8"?>
<formControlPr xmlns="http://schemas.microsoft.com/office/spreadsheetml/2009/9/main" objectType="Radio" lockText="1"/>
</file>

<file path=xl/ctrlProps/ctrlProp422.xml><?xml version="1.0" encoding="utf-8"?>
<formControlPr xmlns="http://schemas.microsoft.com/office/spreadsheetml/2009/9/main" objectType="Radio" lockText="1"/>
</file>

<file path=xl/ctrlProps/ctrlProp423.xml><?xml version="1.0" encoding="utf-8"?>
<formControlPr xmlns="http://schemas.microsoft.com/office/spreadsheetml/2009/9/main" objectType="GBox"/>
</file>

<file path=xl/ctrlProps/ctrlProp424.xml><?xml version="1.0" encoding="utf-8"?>
<formControlPr xmlns="http://schemas.microsoft.com/office/spreadsheetml/2009/9/main" objectType="Radio" checked="Checked" firstButton="1" fmlaLink="Control!$E$35" lockText="1"/>
</file>

<file path=xl/ctrlProps/ctrlProp425.xml><?xml version="1.0" encoding="utf-8"?>
<formControlPr xmlns="http://schemas.microsoft.com/office/spreadsheetml/2009/9/main" objectType="Radio" lockText="1"/>
</file>

<file path=xl/ctrlProps/ctrlProp426.xml><?xml version="1.0" encoding="utf-8"?>
<formControlPr xmlns="http://schemas.microsoft.com/office/spreadsheetml/2009/9/main" objectType="Radio" lockText="1"/>
</file>

<file path=xl/ctrlProps/ctrlProp427.xml><?xml version="1.0" encoding="utf-8"?>
<formControlPr xmlns="http://schemas.microsoft.com/office/spreadsheetml/2009/9/main" objectType="Radio" lockText="1"/>
</file>

<file path=xl/ctrlProps/ctrlProp428.xml><?xml version="1.0" encoding="utf-8"?>
<formControlPr xmlns="http://schemas.microsoft.com/office/spreadsheetml/2009/9/main" objectType="GBox"/>
</file>

<file path=xl/ctrlProps/ctrlProp429.xml><?xml version="1.0" encoding="utf-8"?>
<formControlPr xmlns="http://schemas.microsoft.com/office/spreadsheetml/2009/9/main" objectType="Radio" checked="Checked" firstButton="1" fmlaLink="Control!$E$39" lockText="1"/>
</file>

<file path=xl/ctrlProps/ctrlProp430.xml><?xml version="1.0" encoding="utf-8"?>
<formControlPr xmlns="http://schemas.microsoft.com/office/spreadsheetml/2009/9/main" objectType="Radio" lockText="1"/>
</file>

<file path=xl/ctrlProps/ctrlProp431.xml><?xml version="1.0" encoding="utf-8"?>
<formControlPr xmlns="http://schemas.microsoft.com/office/spreadsheetml/2009/9/main" objectType="Radio" lockText="1"/>
</file>

<file path=xl/ctrlProps/ctrlProp432.xml><?xml version="1.0" encoding="utf-8"?>
<formControlPr xmlns="http://schemas.microsoft.com/office/spreadsheetml/2009/9/main" objectType="Radio" lockText="1"/>
</file>

<file path=xl/ctrlProps/ctrlProp433.xml><?xml version="1.0" encoding="utf-8"?>
<formControlPr xmlns="http://schemas.microsoft.com/office/spreadsheetml/2009/9/main" objectType="GBox"/>
</file>

<file path=xl/ctrlProps/ctrlProp434.xml><?xml version="1.0" encoding="utf-8"?>
<formControlPr xmlns="http://schemas.microsoft.com/office/spreadsheetml/2009/9/main" objectType="Radio" checked="Checked" firstButton="1" fmlaLink="Control!$E$51" lockText="1"/>
</file>

<file path=xl/ctrlProps/ctrlProp435.xml><?xml version="1.0" encoding="utf-8"?>
<formControlPr xmlns="http://schemas.microsoft.com/office/spreadsheetml/2009/9/main" objectType="Radio" lockText="1"/>
</file>

<file path=xl/ctrlProps/ctrlProp436.xml><?xml version="1.0" encoding="utf-8"?>
<formControlPr xmlns="http://schemas.microsoft.com/office/spreadsheetml/2009/9/main" objectType="Radio" lockText="1"/>
</file>

<file path=xl/ctrlProps/ctrlProp437.xml><?xml version="1.0" encoding="utf-8"?>
<formControlPr xmlns="http://schemas.microsoft.com/office/spreadsheetml/2009/9/main" objectType="Radio" lockText="1"/>
</file>

<file path=xl/ctrlProps/ctrlProp438.xml><?xml version="1.0" encoding="utf-8"?>
<formControlPr xmlns="http://schemas.microsoft.com/office/spreadsheetml/2009/9/main" objectType="GBox"/>
</file>

<file path=xl/ctrlProps/ctrlProp439.xml><?xml version="1.0" encoding="utf-8"?>
<formControlPr xmlns="http://schemas.microsoft.com/office/spreadsheetml/2009/9/main" objectType="Radio" checked="Checked" firstButton="1" fmlaLink="Control!$E$50" lockText="1"/>
</file>

<file path=xl/ctrlProps/ctrlProp440.xml><?xml version="1.0" encoding="utf-8"?>
<formControlPr xmlns="http://schemas.microsoft.com/office/spreadsheetml/2009/9/main" objectType="Radio" lockText="1"/>
</file>

<file path=xl/ctrlProps/ctrlProp441.xml><?xml version="1.0" encoding="utf-8"?>
<formControlPr xmlns="http://schemas.microsoft.com/office/spreadsheetml/2009/9/main" objectType="Radio" lockText="1"/>
</file>

<file path=xl/ctrlProps/ctrlProp442.xml><?xml version="1.0" encoding="utf-8"?>
<formControlPr xmlns="http://schemas.microsoft.com/office/spreadsheetml/2009/9/main" objectType="Radio" lockText="1"/>
</file>

<file path=xl/ctrlProps/ctrlProp443.xml><?xml version="1.0" encoding="utf-8"?>
<formControlPr xmlns="http://schemas.microsoft.com/office/spreadsheetml/2009/9/main" objectType="GBox"/>
</file>

<file path=xl/ctrlProps/ctrlProp444.xml><?xml version="1.0" encoding="utf-8"?>
<formControlPr xmlns="http://schemas.microsoft.com/office/spreadsheetml/2009/9/main" objectType="Radio" checked="Checked" firstButton="1" fmlaLink="Control!$E$43" lockText="1"/>
</file>

<file path=xl/ctrlProps/ctrlProp445.xml><?xml version="1.0" encoding="utf-8"?>
<formControlPr xmlns="http://schemas.microsoft.com/office/spreadsheetml/2009/9/main" objectType="Radio" lockText="1"/>
</file>

<file path=xl/ctrlProps/ctrlProp446.xml><?xml version="1.0" encoding="utf-8"?>
<formControlPr xmlns="http://schemas.microsoft.com/office/spreadsheetml/2009/9/main" objectType="Radio" lockText="1"/>
</file>

<file path=xl/ctrlProps/ctrlProp447.xml><?xml version="1.0" encoding="utf-8"?>
<formControlPr xmlns="http://schemas.microsoft.com/office/spreadsheetml/2009/9/main" objectType="Radio" lockText="1"/>
</file>

<file path=xl/ctrlProps/ctrlProp448.xml><?xml version="1.0" encoding="utf-8"?>
<formControlPr xmlns="http://schemas.microsoft.com/office/spreadsheetml/2009/9/main" objectType="GBox"/>
</file>

<file path=xl/ctrlProps/ctrlProp449.xml><?xml version="1.0" encoding="utf-8"?>
<formControlPr xmlns="http://schemas.microsoft.com/office/spreadsheetml/2009/9/main" objectType="Radio" checked="Checked" firstButton="1" fmlaLink="Control!$E$46" lockText="1"/>
</file>

<file path=xl/ctrlProps/ctrlProp450.xml><?xml version="1.0" encoding="utf-8"?>
<formControlPr xmlns="http://schemas.microsoft.com/office/spreadsheetml/2009/9/main" objectType="Radio" lockText="1"/>
</file>

<file path=xl/ctrlProps/ctrlProp451.xml><?xml version="1.0" encoding="utf-8"?>
<formControlPr xmlns="http://schemas.microsoft.com/office/spreadsheetml/2009/9/main" objectType="Radio" lockText="1"/>
</file>

<file path=xl/ctrlProps/ctrlProp452.xml><?xml version="1.0" encoding="utf-8"?>
<formControlPr xmlns="http://schemas.microsoft.com/office/spreadsheetml/2009/9/main" objectType="Radio" lockText="1"/>
</file>

<file path=xl/ctrlProps/ctrlProp453.xml><?xml version="1.0" encoding="utf-8"?>
<formControlPr xmlns="http://schemas.microsoft.com/office/spreadsheetml/2009/9/main" objectType="GBox"/>
</file>

<file path=xl/ctrlProps/ctrlProp454.xml><?xml version="1.0" encoding="utf-8"?>
<formControlPr xmlns="http://schemas.microsoft.com/office/spreadsheetml/2009/9/main" objectType="Radio" checked="Checked" firstButton="1" fmlaLink="Control!$E$47" lockText="1"/>
</file>

<file path=xl/ctrlProps/ctrlProp455.xml><?xml version="1.0" encoding="utf-8"?>
<formControlPr xmlns="http://schemas.microsoft.com/office/spreadsheetml/2009/9/main" objectType="Radio" lockText="1"/>
</file>

<file path=xl/ctrlProps/ctrlProp456.xml><?xml version="1.0" encoding="utf-8"?>
<formControlPr xmlns="http://schemas.microsoft.com/office/spreadsheetml/2009/9/main" objectType="Radio" lockText="1"/>
</file>

<file path=xl/ctrlProps/ctrlProp457.xml><?xml version="1.0" encoding="utf-8"?>
<formControlPr xmlns="http://schemas.microsoft.com/office/spreadsheetml/2009/9/main" objectType="Radio" lockText="1"/>
</file>

<file path=xl/ctrlProps/ctrlProp458.xml><?xml version="1.0" encoding="utf-8"?>
<formControlPr xmlns="http://schemas.microsoft.com/office/spreadsheetml/2009/9/main" objectType="GBox"/>
</file>

<file path=xl/ctrlProps/ctrlProp459.xml><?xml version="1.0" encoding="utf-8"?>
<formControlPr xmlns="http://schemas.microsoft.com/office/spreadsheetml/2009/9/main" objectType="Radio" checked="Checked" firstButton="1" fmlaLink="Control!$E$44" lockText="1"/>
</file>

<file path=xl/ctrlProps/ctrlProp460.xml><?xml version="1.0" encoding="utf-8"?>
<formControlPr xmlns="http://schemas.microsoft.com/office/spreadsheetml/2009/9/main" objectType="Radio" lockText="1"/>
</file>

<file path=xl/ctrlProps/ctrlProp461.xml><?xml version="1.0" encoding="utf-8"?>
<formControlPr xmlns="http://schemas.microsoft.com/office/spreadsheetml/2009/9/main" objectType="Radio" lockText="1"/>
</file>

<file path=xl/ctrlProps/ctrlProp462.xml><?xml version="1.0" encoding="utf-8"?>
<formControlPr xmlns="http://schemas.microsoft.com/office/spreadsheetml/2009/9/main" objectType="Radio" lockText="1"/>
</file>

<file path=xl/ctrlProps/ctrlProp463.xml><?xml version="1.0" encoding="utf-8"?>
<formControlPr xmlns="http://schemas.microsoft.com/office/spreadsheetml/2009/9/main" objectType="GBox"/>
</file>

<file path=xl/ctrlProps/ctrlProp464.xml><?xml version="1.0" encoding="utf-8"?>
<formControlPr xmlns="http://schemas.microsoft.com/office/spreadsheetml/2009/9/main" objectType="Radio" checked="Checked" firstButton="1" fmlaLink="Control!$E$5" lockText="1"/>
</file>

<file path=xl/ctrlProps/ctrlProp465.xml><?xml version="1.0" encoding="utf-8"?>
<formControlPr xmlns="http://schemas.microsoft.com/office/spreadsheetml/2009/9/main" objectType="Radio" lockText="1"/>
</file>

<file path=xl/ctrlProps/ctrlProp466.xml><?xml version="1.0" encoding="utf-8"?>
<formControlPr xmlns="http://schemas.microsoft.com/office/spreadsheetml/2009/9/main" objectType="Radio" lockText="1"/>
</file>

<file path=xl/ctrlProps/ctrlProp467.xml><?xml version="1.0" encoding="utf-8"?>
<formControlPr xmlns="http://schemas.microsoft.com/office/spreadsheetml/2009/9/main" objectType="Radio" lockText="1"/>
</file>

<file path=xl/ctrlProps/ctrlProp468.xml><?xml version="1.0" encoding="utf-8"?>
<formControlPr xmlns="http://schemas.microsoft.com/office/spreadsheetml/2009/9/main" objectType="GBox"/>
</file>

<file path=xl/ctrlProps/ctrlProp469.xml><?xml version="1.0" encoding="utf-8"?>
<formControlPr xmlns="http://schemas.microsoft.com/office/spreadsheetml/2009/9/main" objectType="Radio" checked="Checked" firstButton="1" fmlaLink="Control!$E$7" lockText="1"/>
</file>

<file path=xl/ctrlProps/ctrlProp470.xml><?xml version="1.0" encoding="utf-8"?>
<formControlPr xmlns="http://schemas.microsoft.com/office/spreadsheetml/2009/9/main" objectType="Radio" lockText="1"/>
</file>

<file path=xl/ctrlProps/ctrlProp471.xml><?xml version="1.0" encoding="utf-8"?>
<formControlPr xmlns="http://schemas.microsoft.com/office/spreadsheetml/2009/9/main" objectType="Radio" lockText="1"/>
</file>

<file path=xl/ctrlProps/ctrlProp472.xml><?xml version="1.0" encoding="utf-8"?>
<formControlPr xmlns="http://schemas.microsoft.com/office/spreadsheetml/2009/9/main" objectType="Radio" lockText="1"/>
</file>

<file path=xl/ctrlProps/ctrlProp473.xml><?xml version="1.0" encoding="utf-8"?>
<formControlPr xmlns="http://schemas.microsoft.com/office/spreadsheetml/2009/9/main" objectType="GBox"/>
</file>

<file path=xl/ctrlProps/ctrlProp474.xml><?xml version="1.0" encoding="utf-8"?>
<formControlPr xmlns="http://schemas.microsoft.com/office/spreadsheetml/2009/9/main" objectType="Radio" checked="Checked" firstButton="1" fmlaLink="Control!$E$10" lockText="1"/>
</file>

<file path=xl/ctrlProps/ctrlProp475.xml><?xml version="1.0" encoding="utf-8"?>
<formControlPr xmlns="http://schemas.microsoft.com/office/spreadsheetml/2009/9/main" objectType="Radio" lockText="1"/>
</file>

<file path=xl/ctrlProps/ctrlProp476.xml><?xml version="1.0" encoding="utf-8"?>
<formControlPr xmlns="http://schemas.microsoft.com/office/spreadsheetml/2009/9/main" objectType="Radio" lockText="1"/>
</file>

<file path=xl/ctrlProps/ctrlProp477.xml><?xml version="1.0" encoding="utf-8"?>
<formControlPr xmlns="http://schemas.microsoft.com/office/spreadsheetml/2009/9/main" objectType="Radio" lockText="1"/>
</file>

<file path=xl/ctrlProps/ctrlProp478.xml><?xml version="1.0" encoding="utf-8"?>
<formControlPr xmlns="http://schemas.microsoft.com/office/spreadsheetml/2009/9/main" objectType="GBox"/>
</file>

<file path=xl/ctrlProps/ctrlProp479.xml><?xml version="1.0" encoding="utf-8"?>
<formControlPr xmlns="http://schemas.microsoft.com/office/spreadsheetml/2009/9/main" objectType="Radio" checked="Checked" firstButton="1" fmlaLink="Control!$E$12" lockText="1"/>
</file>

<file path=xl/ctrlProps/ctrlProp480.xml><?xml version="1.0" encoding="utf-8"?>
<formControlPr xmlns="http://schemas.microsoft.com/office/spreadsheetml/2009/9/main" objectType="Radio" lockText="1"/>
</file>

<file path=xl/ctrlProps/ctrlProp481.xml><?xml version="1.0" encoding="utf-8"?>
<formControlPr xmlns="http://schemas.microsoft.com/office/spreadsheetml/2009/9/main" objectType="Radio" lockText="1"/>
</file>

<file path=xl/ctrlProps/ctrlProp482.xml><?xml version="1.0" encoding="utf-8"?>
<formControlPr xmlns="http://schemas.microsoft.com/office/spreadsheetml/2009/9/main" objectType="Radio" lockText="1"/>
</file>

<file path=xl/ctrlProps/ctrlProp483.xml><?xml version="1.0" encoding="utf-8"?>
<formControlPr xmlns="http://schemas.microsoft.com/office/spreadsheetml/2009/9/main" objectType="GBox"/>
</file>

<file path=xl/ctrlProps/ctrlProp484.xml><?xml version="1.0" encoding="utf-8"?>
<formControlPr xmlns="http://schemas.microsoft.com/office/spreadsheetml/2009/9/main" objectType="Radio" checked="Checked" firstButton="1" fmlaLink="Control!$E$13" lockText="1"/>
</file>

<file path=xl/ctrlProps/ctrlProp485.xml><?xml version="1.0" encoding="utf-8"?>
<formControlPr xmlns="http://schemas.microsoft.com/office/spreadsheetml/2009/9/main" objectType="Radio" lockText="1"/>
</file>

<file path=xl/ctrlProps/ctrlProp486.xml><?xml version="1.0" encoding="utf-8"?>
<formControlPr xmlns="http://schemas.microsoft.com/office/spreadsheetml/2009/9/main" objectType="Radio" lockText="1"/>
</file>

<file path=xl/ctrlProps/ctrlProp487.xml><?xml version="1.0" encoding="utf-8"?>
<formControlPr xmlns="http://schemas.microsoft.com/office/spreadsheetml/2009/9/main" objectType="Radio" lockText="1"/>
</file>

<file path=xl/ctrlProps/ctrlProp488.xml><?xml version="1.0" encoding="utf-8"?>
<formControlPr xmlns="http://schemas.microsoft.com/office/spreadsheetml/2009/9/main" objectType="GBox"/>
</file>

<file path=xl/ctrlProps/ctrlProp489.xml><?xml version="1.0" encoding="utf-8"?>
<formControlPr xmlns="http://schemas.microsoft.com/office/spreadsheetml/2009/9/main" objectType="Radio" checked="Checked" firstButton="1" fmlaLink="Control!$E$14" lockText="1"/>
</file>

<file path=xl/ctrlProps/ctrlProp490.xml><?xml version="1.0" encoding="utf-8"?>
<formControlPr xmlns="http://schemas.microsoft.com/office/spreadsheetml/2009/9/main" objectType="Radio" lockText="1"/>
</file>

<file path=xl/ctrlProps/ctrlProp491.xml><?xml version="1.0" encoding="utf-8"?>
<formControlPr xmlns="http://schemas.microsoft.com/office/spreadsheetml/2009/9/main" objectType="Radio" lockText="1"/>
</file>

<file path=xl/ctrlProps/ctrlProp492.xml><?xml version="1.0" encoding="utf-8"?>
<formControlPr xmlns="http://schemas.microsoft.com/office/spreadsheetml/2009/9/main" objectType="Radio" lockText="1"/>
</file>

<file path=xl/ctrlProps/ctrlProp493.xml><?xml version="1.0" encoding="utf-8"?>
<formControlPr xmlns="http://schemas.microsoft.com/office/spreadsheetml/2009/9/main" objectType="GBox"/>
</file>

<file path=xl/ctrlProps/ctrlProp494.xml><?xml version="1.0" encoding="utf-8"?>
<formControlPr xmlns="http://schemas.microsoft.com/office/spreadsheetml/2009/9/main" objectType="Radio" checked="Checked" firstButton="1" fmlaLink="Control!$E$15" lockText="1"/>
</file>

<file path=xl/ctrlProps/ctrlProp495.xml><?xml version="1.0" encoding="utf-8"?>
<formControlPr xmlns="http://schemas.microsoft.com/office/spreadsheetml/2009/9/main" objectType="Radio" lockText="1"/>
</file>

<file path=xl/ctrlProps/ctrlProp496.xml><?xml version="1.0" encoding="utf-8"?>
<formControlPr xmlns="http://schemas.microsoft.com/office/spreadsheetml/2009/9/main" objectType="Radio" lockText="1"/>
</file>

<file path=xl/ctrlProps/ctrlProp497.xml><?xml version="1.0" encoding="utf-8"?>
<formControlPr xmlns="http://schemas.microsoft.com/office/spreadsheetml/2009/9/main" objectType="Radio" lockText="1"/>
</file>

<file path=xl/ctrlProps/ctrlProp498.xml><?xml version="1.0" encoding="utf-8"?>
<formControlPr xmlns="http://schemas.microsoft.com/office/spreadsheetml/2009/9/main" objectType="GBox"/>
</file>

<file path=xl/ctrlProps/ctrlProp499.xml><?xml version="1.0" encoding="utf-8"?>
<formControlPr xmlns="http://schemas.microsoft.com/office/spreadsheetml/2009/9/main" objectType="Radio" checked="Checked" firstButton="1" fmlaLink="Control!$E$16" lockText="1"/>
</file>

<file path=xl/ctrlProps/ctrlProp500.xml><?xml version="1.0" encoding="utf-8"?>
<formControlPr xmlns="http://schemas.microsoft.com/office/spreadsheetml/2009/9/main" objectType="Radio" lockText="1"/>
</file>

<file path=xl/ctrlProps/ctrlProp501.xml><?xml version="1.0" encoding="utf-8"?>
<formControlPr xmlns="http://schemas.microsoft.com/office/spreadsheetml/2009/9/main" objectType="Radio" lockText="1"/>
</file>

<file path=xl/ctrlProps/ctrlProp502.xml><?xml version="1.0" encoding="utf-8"?>
<formControlPr xmlns="http://schemas.microsoft.com/office/spreadsheetml/2009/9/main" objectType="Radio" lockText="1"/>
</file>

<file path=xl/ctrlProps/ctrlProp503.xml><?xml version="1.0" encoding="utf-8"?>
<formControlPr xmlns="http://schemas.microsoft.com/office/spreadsheetml/2009/9/main" objectType="GBox"/>
</file>

<file path=xl/ctrlProps/ctrlProp504.xml><?xml version="1.0" encoding="utf-8"?>
<formControlPr xmlns="http://schemas.microsoft.com/office/spreadsheetml/2009/9/main" objectType="Radio" checked="Checked" firstButton="1" fmlaLink="Control!$E$17" lockText="1"/>
</file>

<file path=xl/ctrlProps/ctrlProp505.xml><?xml version="1.0" encoding="utf-8"?>
<formControlPr xmlns="http://schemas.microsoft.com/office/spreadsheetml/2009/9/main" objectType="Radio" lockText="1"/>
</file>

<file path=xl/ctrlProps/ctrlProp506.xml><?xml version="1.0" encoding="utf-8"?>
<formControlPr xmlns="http://schemas.microsoft.com/office/spreadsheetml/2009/9/main" objectType="Radio" lockText="1"/>
</file>

<file path=xl/ctrlProps/ctrlProp507.xml><?xml version="1.0" encoding="utf-8"?>
<formControlPr xmlns="http://schemas.microsoft.com/office/spreadsheetml/2009/9/main" objectType="Radio" lockText="1"/>
</file>

<file path=xl/ctrlProps/ctrlProp508.xml><?xml version="1.0" encoding="utf-8"?>
<formControlPr xmlns="http://schemas.microsoft.com/office/spreadsheetml/2009/9/main" objectType="GBox"/>
</file>

<file path=xl/ctrlProps/ctrlProp509.xml><?xml version="1.0" encoding="utf-8"?>
<formControlPr xmlns="http://schemas.microsoft.com/office/spreadsheetml/2009/9/main" objectType="Radio" checked="Checked" firstButton="1" fmlaLink="Control!$E$18" lockText="1"/>
</file>

<file path=xl/ctrlProps/ctrlProp510.xml><?xml version="1.0" encoding="utf-8"?>
<formControlPr xmlns="http://schemas.microsoft.com/office/spreadsheetml/2009/9/main" objectType="Radio" lockText="1"/>
</file>

<file path=xl/ctrlProps/ctrlProp511.xml><?xml version="1.0" encoding="utf-8"?>
<formControlPr xmlns="http://schemas.microsoft.com/office/spreadsheetml/2009/9/main" objectType="Radio" lockText="1"/>
</file>

<file path=xl/ctrlProps/ctrlProp512.xml><?xml version="1.0" encoding="utf-8"?>
<formControlPr xmlns="http://schemas.microsoft.com/office/spreadsheetml/2009/9/main" objectType="Radio" lockText="1"/>
</file>

<file path=xl/ctrlProps/ctrlProp513.xml><?xml version="1.0" encoding="utf-8"?>
<formControlPr xmlns="http://schemas.microsoft.com/office/spreadsheetml/2009/9/main" objectType="GBox"/>
</file>

<file path=xl/ctrlProps/ctrlProp514.xml><?xml version="1.0" encoding="utf-8"?>
<formControlPr xmlns="http://schemas.microsoft.com/office/spreadsheetml/2009/9/main" objectType="Radio" checked="Checked" firstButton="1" fmlaLink="Control!$E$19" lockText="1"/>
</file>

<file path=xl/ctrlProps/ctrlProp515.xml><?xml version="1.0" encoding="utf-8"?>
<formControlPr xmlns="http://schemas.microsoft.com/office/spreadsheetml/2009/9/main" objectType="Radio" lockText="1"/>
</file>

<file path=xl/ctrlProps/ctrlProp516.xml><?xml version="1.0" encoding="utf-8"?>
<formControlPr xmlns="http://schemas.microsoft.com/office/spreadsheetml/2009/9/main" objectType="Radio" lockText="1"/>
</file>

<file path=xl/ctrlProps/ctrlProp517.xml><?xml version="1.0" encoding="utf-8"?>
<formControlPr xmlns="http://schemas.microsoft.com/office/spreadsheetml/2009/9/main" objectType="Radio" lockText="1"/>
</file>

<file path=xl/ctrlProps/ctrlProp518.xml><?xml version="1.0" encoding="utf-8"?>
<formControlPr xmlns="http://schemas.microsoft.com/office/spreadsheetml/2009/9/main" objectType="GBox"/>
</file>

<file path=xl/ctrlProps/ctrlProp519.xml><?xml version="1.0" encoding="utf-8"?>
<formControlPr xmlns="http://schemas.microsoft.com/office/spreadsheetml/2009/9/main" objectType="Radio" checked="Checked" firstButton="1" fmlaLink="Control!$E$27" lockText="1"/>
</file>

<file path=xl/ctrlProps/ctrlProp520.xml><?xml version="1.0" encoding="utf-8"?>
<formControlPr xmlns="http://schemas.microsoft.com/office/spreadsheetml/2009/9/main" objectType="Radio" lockText="1"/>
</file>

<file path=xl/ctrlProps/ctrlProp521.xml><?xml version="1.0" encoding="utf-8"?>
<formControlPr xmlns="http://schemas.microsoft.com/office/spreadsheetml/2009/9/main" objectType="Radio" lockText="1"/>
</file>

<file path=xl/ctrlProps/ctrlProp522.xml><?xml version="1.0" encoding="utf-8"?>
<formControlPr xmlns="http://schemas.microsoft.com/office/spreadsheetml/2009/9/main" objectType="Radio" lockText="1"/>
</file>

<file path=xl/ctrlProps/ctrlProp523.xml><?xml version="1.0" encoding="utf-8"?>
<formControlPr xmlns="http://schemas.microsoft.com/office/spreadsheetml/2009/9/main" objectType="GBox"/>
</file>

<file path=xl/ctrlProps/ctrlProp524.xml><?xml version="1.0" encoding="utf-8"?>
<formControlPr xmlns="http://schemas.microsoft.com/office/spreadsheetml/2009/9/main" objectType="Radio" checked="Checked" firstButton="1" fmlaLink="Control!$E$28" lockText="1"/>
</file>

<file path=xl/ctrlProps/ctrlProp525.xml><?xml version="1.0" encoding="utf-8"?>
<formControlPr xmlns="http://schemas.microsoft.com/office/spreadsheetml/2009/9/main" objectType="Radio" lockText="1"/>
</file>

<file path=xl/ctrlProps/ctrlProp526.xml><?xml version="1.0" encoding="utf-8"?>
<formControlPr xmlns="http://schemas.microsoft.com/office/spreadsheetml/2009/9/main" objectType="Radio" lockText="1"/>
</file>

<file path=xl/ctrlProps/ctrlProp527.xml><?xml version="1.0" encoding="utf-8"?>
<formControlPr xmlns="http://schemas.microsoft.com/office/spreadsheetml/2009/9/main" objectType="Radio" lockText="1"/>
</file>

<file path=xl/ctrlProps/ctrlProp528.xml><?xml version="1.0" encoding="utf-8"?>
<formControlPr xmlns="http://schemas.microsoft.com/office/spreadsheetml/2009/9/main" objectType="GBox"/>
</file>

<file path=xl/ctrlProps/ctrlProp529.xml><?xml version="1.0" encoding="utf-8"?>
<formControlPr xmlns="http://schemas.microsoft.com/office/spreadsheetml/2009/9/main" objectType="Radio" checked="Checked" firstButton="1" fmlaLink="Control!$E$29" lockText="1"/>
</file>

<file path=xl/ctrlProps/ctrlProp530.xml><?xml version="1.0" encoding="utf-8"?>
<formControlPr xmlns="http://schemas.microsoft.com/office/spreadsheetml/2009/9/main" objectType="Radio" lockText="1"/>
</file>

<file path=xl/ctrlProps/ctrlProp531.xml><?xml version="1.0" encoding="utf-8"?>
<formControlPr xmlns="http://schemas.microsoft.com/office/spreadsheetml/2009/9/main" objectType="Radio" lockText="1"/>
</file>

<file path=xl/ctrlProps/ctrlProp532.xml><?xml version="1.0" encoding="utf-8"?>
<formControlPr xmlns="http://schemas.microsoft.com/office/spreadsheetml/2009/9/main" objectType="Radio" lockText="1"/>
</file>

<file path=xl/ctrlProps/ctrlProp533.xml><?xml version="1.0" encoding="utf-8"?>
<formControlPr xmlns="http://schemas.microsoft.com/office/spreadsheetml/2009/9/main" objectType="GBox"/>
</file>

<file path=xl/ctrlProps/ctrlProp534.xml><?xml version="1.0" encoding="utf-8"?>
<formControlPr xmlns="http://schemas.microsoft.com/office/spreadsheetml/2009/9/main" objectType="Radio" checked="Checked" firstButton="1" fmlaLink="Control!$E$21" lockText="1"/>
</file>

<file path=xl/ctrlProps/ctrlProp535.xml><?xml version="1.0" encoding="utf-8"?>
<formControlPr xmlns="http://schemas.microsoft.com/office/spreadsheetml/2009/9/main" objectType="Radio" lockText="1"/>
</file>

<file path=xl/ctrlProps/ctrlProp536.xml><?xml version="1.0" encoding="utf-8"?>
<formControlPr xmlns="http://schemas.microsoft.com/office/spreadsheetml/2009/9/main" objectType="Radio" lockText="1"/>
</file>

<file path=xl/ctrlProps/ctrlProp537.xml><?xml version="1.0" encoding="utf-8"?>
<formControlPr xmlns="http://schemas.microsoft.com/office/spreadsheetml/2009/9/main" objectType="Radio" lockText="1"/>
</file>

<file path=xl/ctrlProps/ctrlProp538.xml><?xml version="1.0" encoding="utf-8"?>
<formControlPr xmlns="http://schemas.microsoft.com/office/spreadsheetml/2009/9/main" objectType="GBox"/>
</file>

<file path=xl/ctrlProps/ctrlProp539.xml><?xml version="1.0" encoding="utf-8"?>
<formControlPr xmlns="http://schemas.microsoft.com/office/spreadsheetml/2009/9/main" objectType="Radio" checked="Checked" firstButton="1" fmlaLink="Control!$E$23" lockText="1"/>
</file>

<file path=xl/ctrlProps/ctrlProp540.xml><?xml version="1.0" encoding="utf-8"?>
<formControlPr xmlns="http://schemas.microsoft.com/office/spreadsheetml/2009/9/main" objectType="Radio" lockText="1"/>
</file>

<file path=xl/ctrlProps/ctrlProp541.xml><?xml version="1.0" encoding="utf-8"?>
<formControlPr xmlns="http://schemas.microsoft.com/office/spreadsheetml/2009/9/main" objectType="Radio" lockText="1"/>
</file>

<file path=xl/ctrlProps/ctrlProp542.xml><?xml version="1.0" encoding="utf-8"?>
<formControlPr xmlns="http://schemas.microsoft.com/office/spreadsheetml/2009/9/main" objectType="Radio" lockText="1"/>
</file>

<file path=xl/ctrlProps/ctrlProp543.xml><?xml version="1.0" encoding="utf-8"?>
<formControlPr xmlns="http://schemas.microsoft.com/office/spreadsheetml/2009/9/main" objectType="GBox"/>
</file>

<file path=xl/ctrlProps/ctrlProp544.xml><?xml version="1.0" encoding="utf-8"?>
<formControlPr xmlns="http://schemas.microsoft.com/office/spreadsheetml/2009/9/main" objectType="Radio" checked="Checked" firstButton="1" fmlaLink="Control!$E$24" lockText="1"/>
</file>

<file path=xl/ctrlProps/ctrlProp545.xml><?xml version="1.0" encoding="utf-8"?>
<formControlPr xmlns="http://schemas.microsoft.com/office/spreadsheetml/2009/9/main" objectType="Radio" lockText="1"/>
</file>

<file path=xl/ctrlProps/ctrlProp546.xml><?xml version="1.0" encoding="utf-8"?>
<formControlPr xmlns="http://schemas.microsoft.com/office/spreadsheetml/2009/9/main" objectType="Radio" lockText="1"/>
</file>

<file path=xl/ctrlProps/ctrlProp547.xml><?xml version="1.0" encoding="utf-8"?>
<formControlPr xmlns="http://schemas.microsoft.com/office/spreadsheetml/2009/9/main" objectType="Radio" lockText="1"/>
</file>

<file path=xl/ctrlProps/ctrlProp548.xml><?xml version="1.0" encoding="utf-8"?>
<formControlPr xmlns="http://schemas.microsoft.com/office/spreadsheetml/2009/9/main" objectType="GBox"/>
</file>

<file path=xl/ctrlProps/ctrlProp549.xml><?xml version="1.0" encoding="utf-8"?>
<formControlPr xmlns="http://schemas.microsoft.com/office/spreadsheetml/2009/9/main" objectType="Radio" checked="Checked" firstButton="1" fmlaLink="Control!$E$25" lockText="1"/>
</file>

<file path=xl/ctrlProps/ctrlProp550.xml><?xml version="1.0" encoding="utf-8"?>
<formControlPr xmlns="http://schemas.microsoft.com/office/spreadsheetml/2009/9/main" objectType="Radio" lockText="1"/>
</file>

<file path=xl/ctrlProps/ctrlProp551.xml><?xml version="1.0" encoding="utf-8"?>
<formControlPr xmlns="http://schemas.microsoft.com/office/spreadsheetml/2009/9/main" objectType="Radio" lockText="1"/>
</file>

<file path=xl/ctrlProps/ctrlProp552.xml><?xml version="1.0" encoding="utf-8"?>
<formControlPr xmlns="http://schemas.microsoft.com/office/spreadsheetml/2009/9/main" objectType="Radio" lockText="1"/>
</file>

<file path=xl/ctrlProps/ctrlProp553.xml><?xml version="1.0" encoding="utf-8"?>
<formControlPr xmlns="http://schemas.microsoft.com/office/spreadsheetml/2009/9/main" objectType="GBox"/>
</file>

<file path=xl/ctrlProps/ctrlProp554.xml><?xml version="1.0" encoding="utf-8"?>
<formControlPr xmlns="http://schemas.microsoft.com/office/spreadsheetml/2009/9/main" objectType="Radio" checked="Checked" firstButton="1" fmlaLink="Control!$E$53" lockText="1"/>
</file>

<file path=xl/ctrlProps/ctrlProp555.xml><?xml version="1.0" encoding="utf-8"?>
<formControlPr xmlns="http://schemas.microsoft.com/office/spreadsheetml/2009/9/main" objectType="Radio" lockText="1"/>
</file>

<file path=xl/ctrlProps/ctrlProp556.xml><?xml version="1.0" encoding="utf-8"?>
<formControlPr xmlns="http://schemas.microsoft.com/office/spreadsheetml/2009/9/main" objectType="Radio" lockText="1"/>
</file>

<file path=xl/ctrlProps/ctrlProp557.xml><?xml version="1.0" encoding="utf-8"?>
<formControlPr xmlns="http://schemas.microsoft.com/office/spreadsheetml/2009/9/main" objectType="Radio" lockText="1"/>
</file>

<file path=xl/ctrlProps/ctrlProp558.xml><?xml version="1.0" encoding="utf-8"?>
<formControlPr xmlns="http://schemas.microsoft.com/office/spreadsheetml/2009/9/main" objectType="GBox"/>
</file>

<file path=xl/ctrlProps/ctrlProp559.xml><?xml version="1.0" encoding="utf-8"?>
<formControlPr xmlns="http://schemas.microsoft.com/office/spreadsheetml/2009/9/main" objectType="Radio" checked="Checked" firstButton="1" fmlaLink="Control!$E$8" lockText="1"/>
</file>

<file path=xl/ctrlProps/ctrlProp560.xml><?xml version="1.0" encoding="utf-8"?>
<formControlPr xmlns="http://schemas.microsoft.com/office/spreadsheetml/2009/9/main" objectType="Radio" lockText="1"/>
</file>

<file path=xl/ctrlProps/ctrlProp561.xml><?xml version="1.0" encoding="utf-8"?>
<formControlPr xmlns="http://schemas.microsoft.com/office/spreadsheetml/2009/9/main" objectType="Radio" lockText="1"/>
</file>

<file path=xl/ctrlProps/ctrlProp562.xml><?xml version="1.0" encoding="utf-8"?>
<formControlPr xmlns="http://schemas.microsoft.com/office/spreadsheetml/2009/9/main" objectType="Radio" lockText="1"/>
</file>

<file path=xl/ctrlProps/ctrlProp563.xml><?xml version="1.0" encoding="utf-8"?>
<formControlPr xmlns="http://schemas.microsoft.com/office/spreadsheetml/2009/9/main" objectType="GBox"/>
</file>

<file path=xl/ctrlProps/ctrlProp564.xml><?xml version="1.0" encoding="utf-8"?>
<formControlPr xmlns="http://schemas.microsoft.com/office/spreadsheetml/2009/9/main" objectType="Radio" checked="Checked" firstButton="1" fmlaLink="Control!$E$11" lockText="1"/>
</file>

<file path=xl/ctrlProps/ctrlProp565.xml><?xml version="1.0" encoding="utf-8"?>
<formControlPr xmlns="http://schemas.microsoft.com/office/spreadsheetml/2009/9/main" objectType="Radio" lockText="1"/>
</file>

<file path=xl/ctrlProps/ctrlProp566.xml><?xml version="1.0" encoding="utf-8"?>
<formControlPr xmlns="http://schemas.microsoft.com/office/spreadsheetml/2009/9/main" objectType="Radio" lockText="1"/>
</file>

<file path=xl/ctrlProps/ctrlProp567.xml><?xml version="1.0" encoding="utf-8"?>
<formControlPr xmlns="http://schemas.microsoft.com/office/spreadsheetml/2009/9/main" objectType="Radio" lockText="1"/>
</file>

<file path=xl/ctrlProps/ctrlProp568.xml><?xml version="1.0" encoding="utf-8"?>
<formControlPr xmlns="http://schemas.microsoft.com/office/spreadsheetml/2009/9/main" objectType="GBox"/>
</file>

<file path=xl/ctrlProps/ctrlProp569.xml><?xml version="1.0" encoding="utf-8"?>
<formControlPr xmlns="http://schemas.microsoft.com/office/spreadsheetml/2009/9/main" objectType="Radio" checked="Checked" firstButton="1" fmlaLink="Control!$E$22" lockText="1"/>
</file>

<file path=xl/ctrlProps/ctrlProp570.xml><?xml version="1.0" encoding="utf-8"?>
<formControlPr xmlns="http://schemas.microsoft.com/office/spreadsheetml/2009/9/main" objectType="Radio" lockText="1"/>
</file>

<file path=xl/ctrlProps/ctrlProp571.xml><?xml version="1.0" encoding="utf-8"?>
<formControlPr xmlns="http://schemas.microsoft.com/office/spreadsheetml/2009/9/main" objectType="Radio" lockText="1"/>
</file>

<file path=xl/ctrlProps/ctrlProp572.xml><?xml version="1.0" encoding="utf-8"?>
<formControlPr xmlns="http://schemas.microsoft.com/office/spreadsheetml/2009/9/main" objectType="Radio" lockText="1"/>
</file>

<file path=xl/ctrlProps/ctrlProp573.xml><?xml version="1.0" encoding="utf-8"?>
<formControlPr xmlns="http://schemas.microsoft.com/office/spreadsheetml/2009/9/main" objectType="GBox"/>
</file>

<file path=xl/ctrlProps/ctrlProp574.xml><?xml version="1.0" encoding="utf-8"?>
<formControlPr xmlns="http://schemas.microsoft.com/office/spreadsheetml/2009/9/main" objectType="Radio" checked="Checked" firstButton="1" fmlaLink="Control!$E$32" lockText="1"/>
</file>

<file path=xl/ctrlProps/ctrlProp575.xml><?xml version="1.0" encoding="utf-8"?>
<formControlPr xmlns="http://schemas.microsoft.com/office/spreadsheetml/2009/9/main" objectType="Radio" lockText="1"/>
</file>

<file path=xl/ctrlProps/ctrlProp576.xml><?xml version="1.0" encoding="utf-8"?>
<formControlPr xmlns="http://schemas.microsoft.com/office/spreadsheetml/2009/9/main" objectType="Radio" lockText="1"/>
</file>

<file path=xl/ctrlProps/ctrlProp577.xml><?xml version="1.0" encoding="utf-8"?>
<formControlPr xmlns="http://schemas.microsoft.com/office/spreadsheetml/2009/9/main" objectType="Radio" lockText="1"/>
</file>

<file path=xl/ctrlProps/ctrlProp578.xml><?xml version="1.0" encoding="utf-8"?>
<formControlPr xmlns="http://schemas.microsoft.com/office/spreadsheetml/2009/9/main" objectType="GBox"/>
</file>

<file path=xl/ctrlProps/ctrlProp579.xml><?xml version="1.0" encoding="utf-8"?>
<formControlPr xmlns="http://schemas.microsoft.com/office/spreadsheetml/2009/9/main" objectType="Radio" checked="Checked" firstButton="1" fmlaLink="Control!$E$33" lockText="1"/>
</file>

<file path=xl/ctrlProps/ctrlProp580.xml><?xml version="1.0" encoding="utf-8"?>
<formControlPr xmlns="http://schemas.microsoft.com/office/spreadsheetml/2009/9/main" objectType="Radio" lockText="1"/>
</file>

<file path=xl/ctrlProps/ctrlProp581.xml><?xml version="1.0" encoding="utf-8"?>
<formControlPr xmlns="http://schemas.microsoft.com/office/spreadsheetml/2009/9/main" objectType="Radio" lockText="1"/>
</file>

<file path=xl/ctrlProps/ctrlProp582.xml><?xml version="1.0" encoding="utf-8"?>
<formControlPr xmlns="http://schemas.microsoft.com/office/spreadsheetml/2009/9/main" objectType="Radio" lockText="1"/>
</file>

<file path=xl/ctrlProps/ctrlProp583.xml><?xml version="1.0" encoding="utf-8"?>
<formControlPr xmlns="http://schemas.microsoft.com/office/spreadsheetml/2009/9/main" objectType="GBox"/>
</file>

<file path=xl/ctrlProps/ctrlProp584.xml><?xml version="1.0" encoding="utf-8"?>
<formControlPr xmlns="http://schemas.microsoft.com/office/spreadsheetml/2009/9/main" objectType="Radio" checked="Checked" firstButton="1" fmlaLink="Control!$E$34" lockText="1"/>
</file>

<file path=xl/ctrlProps/ctrlProp585.xml><?xml version="1.0" encoding="utf-8"?>
<formControlPr xmlns="http://schemas.microsoft.com/office/spreadsheetml/2009/9/main" objectType="Radio" lockText="1"/>
</file>

<file path=xl/ctrlProps/ctrlProp586.xml><?xml version="1.0" encoding="utf-8"?>
<formControlPr xmlns="http://schemas.microsoft.com/office/spreadsheetml/2009/9/main" objectType="Radio" lockText="1"/>
</file>

<file path=xl/ctrlProps/ctrlProp587.xml><?xml version="1.0" encoding="utf-8"?>
<formControlPr xmlns="http://schemas.microsoft.com/office/spreadsheetml/2009/9/main" objectType="Radio" lockText="1"/>
</file>

<file path=xl/ctrlProps/ctrlProp588.xml><?xml version="1.0" encoding="utf-8"?>
<formControlPr xmlns="http://schemas.microsoft.com/office/spreadsheetml/2009/9/main" objectType="GBox"/>
</file>

<file path=xl/ctrlProps/ctrlProp589.xml><?xml version="1.0" encoding="utf-8"?>
<formControlPr xmlns="http://schemas.microsoft.com/office/spreadsheetml/2009/9/main" objectType="Radio" checked="Checked" firstButton="1" fmlaLink="Control!$E$37" lockText="1"/>
</file>

<file path=xl/ctrlProps/ctrlProp590.xml><?xml version="1.0" encoding="utf-8"?>
<formControlPr xmlns="http://schemas.microsoft.com/office/spreadsheetml/2009/9/main" objectType="Radio" lockText="1"/>
</file>

<file path=xl/ctrlProps/ctrlProp591.xml><?xml version="1.0" encoding="utf-8"?>
<formControlPr xmlns="http://schemas.microsoft.com/office/spreadsheetml/2009/9/main" objectType="Radio" lockText="1"/>
</file>

<file path=xl/ctrlProps/ctrlProp592.xml><?xml version="1.0" encoding="utf-8"?>
<formControlPr xmlns="http://schemas.microsoft.com/office/spreadsheetml/2009/9/main" objectType="Radio" lockText="1"/>
</file>

<file path=xl/ctrlProps/ctrlProp593.xml><?xml version="1.0" encoding="utf-8"?>
<formControlPr xmlns="http://schemas.microsoft.com/office/spreadsheetml/2009/9/main" objectType="GBox"/>
</file>

<file path=xl/ctrlProps/ctrlProp594.xml><?xml version="1.0" encoding="utf-8"?>
<formControlPr xmlns="http://schemas.microsoft.com/office/spreadsheetml/2009/9/main" objectType="Radio" checked="Checked" firstButton="1" fmlaLink="Control!$E$38" lockText="1"/>
</file>

<file path=xl/ctrlProps/ctrlProp595.xml><?xml version="1.0" encoding="utf-8"?>
<formControlPr xmlns="http://schemas.microsoft.com/office/spreadsheetml/2009/9/main" objectType="Radio" lockText="1"/>
</file>

<file path=xl/ctrlProps/ctrlProp596.xml><?xml version="1.0" encoding="utf-8"?>
<formControlPr xmlns="http://schemas.microsoft.com/office/spreadsheetml/2009/9/main" objectType="Radio" lockText="1"/>
</file>

<file path=xl/ctrlProps/ctrlProp597.xml><?xml version="1.0" encoding="utf-8"?>
<formControlPr xmlns="http://schemas.microsoft.com/office/spreadsheetml/2009/9/main" objectType="Radio" lockText="1"/>
</file>

<file path=xl/ctrlProps/ctrlProp598.xml><?xml version="1.0" encoding="utf-8"?>
<formControlPr xmlns="http://schemas.microsoft.com/office/spreadsheetml/2009/9/main" objectType="GBox"/>
</file>

<file path=xl/ctrlProps/ctrlProp599.xml><?xml version="1.0" encoding="utf-8"?>
<formControlPr xmlns="http://schemas.microsoft.com/office/spreadsheetml/2009/9/main" objectType="Radio" checked="Checked" firstButton="1" fmlaLink="Control!$E$41" lockText="1"/>
</file>

<file path=xl/ctrlProps/ctrlProp600.xml><?xml version="1.0" encoding="utf-8"?>
<formControlPr xmlns="http://schemas.microsoft.com/office/spreadsheetml/2009/9/main" objectType="Radio" lockText="1"/>
</file>

<file path=xl/ctrlProps/ctrlProp601.xml><?xml version="1.0" encoding="utf-8"?>
<formControlPr xmlns="http://schemas.microsoft.com/office/spreadsheetml/2009/9/main" objectType="Radio" lockText="1"/>
</file>

<file path=xl/ctrlProps/ctrlProp602.xml><?xml version="1.0" encoding="utf-8"?>
<formControlPr xmlns="http://schemas.microsoft.com/office/spreadsheetml/2009/9/main" objectType="Radio" lockText="1"/>
</file>

<file path=xl/ctrlProps/ctrlProp603.xml><?xml version="1.0" encoding="utf-8"?>
<formControlPr xmlns="http://schemas.microsoft.com/office/spreadsheetml/2009/9/main" objectType="GBox"/>
</file>

<file path=xl/ctrlProps/ctrlProp604.xml><?xml version="1.0" encoding="utf-8"?>
<formControlPr xmlns="http://schemas.microsoft.com/office/spreadsheetml/2009/9/main" objectType="Radio" checked="Checked" firstButton="1" fmlaLink="Control!$E$42" lockText="1"/>
</file>

<file path=xl/ctrlProps/ctrlProp605.xml><?xml version="1.0" encoding="utf-8"?>
<formControlPr xmlns="http://schemas.microsoft.com/office/spreadsheetml/2009/9/main" objectType="Radio" lockText="1"/>
</file>

<file path=xl/ctrlProps/ctrlProp606.xml><?xml version="1.0" encoding="utf-8"?>
<formControlPr xmlns="http://schemas.microsoft.com/office/spreadsheetml/2009/9/main" objectType="Radio" lockText="1"/>
</file>

<file path=xl/ctrlProps/ctrlProp607.xml><?xml version="1.0" encoding="utf-8"?>
<formControlPr xmlns="http://schemas.microsoft.com/office/spreadsheetml/2009/9/main" objectType="Radio" lockText="1"/>
</file>

<file path=xl/ctrlProps/ctrlProp608.xml><?xml version="1.0" encoding="utf-8"?>
<formControlPr xmlns="http://schemas.microsoft.com/office/spreadsheetml/2009/9/main" objectType="GBox"/>
</file>

<file path=xl/ctrlProps/ctrlProp609.xml><?xml version="1.0" encoding="utf-8"?>
<formControlPr xmlns="http://schemas.microsoft.com/office/spreadsheetml/2009/9/main" objectType="GBox"/>
</file>

<file path=xl/ctrlProps/ctrlProp610.xml><?xml version="1.0" encoding="utf-8"?>
<formControlPr xmlns="http://schemas.microsoft.com/office/spreadsheetml/2009/9/main" objectType="Radio" checked="Checked" firstButton="1" fmlaLink="Control!$E$49" lockText="1"/>
</file>

<file path=xl/ctrlProps/ctrlProp611.xml><?xml version="1.0" encoding="utf-8"?>
<formControlPr xmlns="http://schemas.microsoft.com/office/spreadsheetml/2009/9/main" objectType="Radio" firstButton="1" lockText="1"/>
</file>

<file path=xl/ctrlProps/ctrlProp612.xml><?xml version="1.0" encoding="utf-8"?>
<formControlPr xmlns="http://schemas.microsoft.com/office/spreadsheetml/2009/9/main" objectType="Radio" lockText="1"/>
</file>

<file path=xl/ctrlProps/ctrlProp613.xml><?xml version="1.0" encoding="utf-8"?>
<formControlPr xmlns="http://schemas.microsoft.com/office/spreadsheetml/2009/9/main" objectType="Radio" lockText="1"/>
</file>

<file path=xl/ctrlProps/ctrlProp614.xml><?xml version="1.0" encoding="utf-8"?>
<formControlPr xmlns="http://schemas.microsoft.com/office/spreadsheetml/2009/9/main" objectType="GBox"/>
</file>

<file path=xl/ctrlProps/ctrlProp615.xml><?xml version="1.0" encoding="utf-8"?>
<formControlPr xmlns="http://schemas.microsoft.com/office/spreadsheetml/2009/9/main" objectType="Radio" checked="Checked" firstButton="1" fmlaLink="Control!$E$35" lockText="1"/>
</file>

<file path=xl/ctrlProps/ctrlProp616.xml><?xml version="1.0" encoding="utf-8"?>
<formControlPr xmlns="http://schemas.microsoft.com/office/spreadsheetml/2009/9/main" objectType="Radio" lockText="1"/>
</file>

<file path=xl/ctrlProps/ctrlProp617.xml><?xml version="1.0" encoding="utf-8"?>
<formControlPr xmlns="http://schemas.microsoft.com/office/spreadsheetml/2009/9/main" objectType="Radio" lockText="1"/>
</file>

<file path=xl/ctrlProps/ctrlProp618.xml><?xml version="1.0" encoding="utf-8"?>
<formControlPr xmlns="http://schemas.microsoft.com/office/spreadsheetml/2009/9/main" objectType="Radio" lockText="1"/>
</file>

<file path=xl/ctrlProps/ctrlProp619.xml><?xml version="1.0" encoding="utf-8"?>
<formControlPr xmlns="http://schemas.microsoft.com/office/spreadsheetml/2009/9/main" objectType="GBox"/>
</file>

<file path=xl/ctrlProps/ctrlProp620.xml><?xml version="1.0" encoding="utf-8"?>
<formControlPr xmlns="http://schemas.microsoft.com/office/spreadsheetml/2009/9/main" objectType="Radio" checked="Checked" firstButton="1" fmlaLink="Control!$E$39" lockText="1"/>
</file>

<file path=xl/ctrlProps/ctrlProp621.xml><?xml version="1.0" encoding="utf-8"?>
<formControlPr xmlns="http://schemas.microsoft.com/office/spreadsheetml/2009/9/main" objectType="Radio" lockText="1"/>
</file>

<file path=xl/ctrlProps/ctrlProp622.xml><?xml version="1.0" encoding="utf-8"?>
<formControlPr xmlns="http://schemas.microsoft.com/office/spreadsheetml/2009/9/main" objectType="Radio" lockText="1"/>
</file>

<file path=xl/ctrlProps/ctrlProp623.xml><?xml version="1.0" encoding="utf-8"?>
<formControlPr xmlns="http://schemas.microsoft.com/office/spreadsheetml/2009/9/main" objectType="Radio" lockText="1"/>
</file>

<file path=xl/ctrlProps/ctrlProp624.xml><?xml version="1.0" encoding="utf-8"?>
<formControlPr xmlns="http://schemas.microsoft.com/office/spreadsheetml/2009/9/main" objectType="GBox"/>
</file>

<file path=xl/ctrlProps/ctrlProp625.xml><?xml version="1.0" encoding="utf-8"?>
<formControlPr xmlns="http://schemas.microsoft.com/office/spreadsheetml/2009/9/main" objectType="Radio" checked="Checked" firstButton="1" fmlaLink="Control!$E$51" lockText="1"/>
</file>

<file path=xl/ctrlProps/ctrlProp626.xml><?xml version="1.0" encoding="utf-8"?>
<formControlPr xmlns="http://schemas.microsoft.com/office/spreadsheetml/2009/9/main" objectType="Radio" lockText="1"/>
</file>

<file path=xl/ctrlProps/ctrlProp627.xml><?xml version="1.0" encoding="utf-8"?>
<formControlPr xmlns="http://schemas.microsoft.com/office/spreadsheetml/2009/9/main" objectType="Radio" lockText="1"/>
</file>

<file path=xl/ctrlProps/ctrlProp628.xml><?xml version="1.0" encoding="utf-8"?>
<formControlPr xmlns="http://schemas.microsoft.com/office/spreadsheetml/2009/9/main" objectType="Radio" lockText="1"/>
</file>

<file path=xl/ctrlProps/ctrlProp629.xml><?xml version="1.0" encoding="utf-8"?>
<formControlPr xmlns="http://schemas.microsoft.com/office/spreadsheetml/2009/9/main" objectType="GBox"/>
</file>

<file path=xl/ctrlProps/ctrlProp630.xml><?xml version="1.0" encoding="utf-8"?>
<formControlPr xmlns="http://schemas.microsoft.com/office/spreadsheetml/2009/9/main" objectType="Radio" checked="Checked" firstButton="1" fmlaLink="Control!$E$50" lockText="1"/>
</file>

<file path=xl/ctrlProps/ctrlProp631.xml><?xml version="1.0" encoding="utf-8"?>
<formControlPr xmlns="http://schemas.microsoft.com/office/spreadsheetml/2009/9/main" objectType="Radio" lockText="1"/>
</file>

<file path=xl/ctrlProps/ctrlProp632.xml><?xml version="1.0" encoding="utf-8"?>
<formControlPr xmlns="http://schemas.microsoft.com/office/spreadsheetml/2009/9/main" objectType="Radio" lockText="1"/>
</file>

<file path=xl/ctrlProps/ctrlProp633.xml><?xml version="1.0" encoding="utf-8"?>
<formControlPr xmlns="http://schemas.microsoft.com/office/spreadsheetml/2009/9/main" objectType="Radio" lockText="1"/>
</file>

<file path=xl/ctrlProps/ctrlProp634.xml><?xml version="1.0" encoding="utf-8"?>
<formControlPr xmlns="http://schemas.microsoft.com/office/spreadsheetml/2009/9/main" objectType="GBox"/>
</file>

<file path=xl/ctrlProps/ctrlProp635.xml><?xml version="1.0" encoding="utf-8"?>
<formControlPr xmlns="http://schemas.microsoft.com/office/spreadsheetml/2009/9/main" objectType="Radio" checked="Checked" firstButton="1" fmlaLink="Control!$E$43" lockText="1"/>
</file>

<file path=xl/ctrlProps/ctrlProp636.xml><?xml version="1.0" encoding="utf-8"?>
<formControlPr xmlns="http://schemas.microsoft.com/office/spreadsheetml/2009/9/main" objectType="Radio" lockText="1"/>
</file>

<file path=xl/ctrlProps/ctrlProp637.xml><?xml version="1.0" encoding="utf-8"?>
<formControlPr xmlns="http://schemas.microsoft.com/office/spreadsheetml/2009/9/main" objectType="Radio" lockText="1"/>
</file>

<file path=xl/ctrlProps/ctrlProp638.xml><?xml version="1.0" encoding="utf-8"?>
<formControlPr xmlns="http://schemas.microsoft.com/office/spreadsheetml/2009/9/main" objectType="Radio" lockText="1"/>
</file>

<file path=xl/ctrlProps/ctrlProp639.xml><?xml version="1.0" encoding="utf-8"?>
<formControlPr xmlns="http://schemas.microsoft.com/office/spreadsheetml/2009/9/main" objectType="GBox"/>
</file>

<file path=xl/ctrlProps/ctrlProp640.xml><?xml version="1.0" encoding="utf-8"?>
<formControlPr xmlns="http://schemas.microsoft.com/office/spreadsheetml/2009/9/main" objectType="Radio" checked="Checked" firstButton="1" fmlaLink="Control!$E$46" lockText="1"/>
</file>

<file path=xl/ctrlProps/ctrlProp641.xml><?xml version="1.0" encoding="utf-8"?>
<formControlPr xmlns="http://schemas.microsoft.com/office/spreadsheetml/2009/9/main" objectType="Radio" lockText="1"/>
</file>

<file path=xl/ctrlProps/ctrlProp642.xml><?xml version="1.0" encoding="utf-8"?>
<formControlPr xmlns="http://schemas.microsoft.com/office/spreadsheetml/2009/9/main" objectType="Radio" lockText="1"/>
</file>

<file path=xl/ctrlProps/ctrlProp643.xml><?xml version="1.0" encoding="utf-8"?>
<formControlPr xmlns="http://schemas.microsoft.com/office/spreadsheetml/2009/9/main" objectType="Radio" lockText="1"/>
</file>

<file path=xl/ctrlProps/ctrlProp644.xml><?xml version="1.0" encoding="utf-8"?>
<formControlPr xmlns="http://schemas.microsoft.com/office/spreadsheetml/2009/9/main" objectType="GBox"/>
</file>

<file path=xl/ctrlProps/ctrlProp645.xml><?xml version="1.0" encoding="utf-8"?>
<formControlPr xmlns="http://schemas.microsoft.com/office/spreadsheetml/2009/9/main" objectType="Radio" checked="Checked" firstButton="1" fmlaLink="Control!$E$47" lockText="1"/>
</file>

<file path=xl/ctrlProps/ctrlProp646.xml><?xml version="1.0" encoding="utf-8"?>
<formControlPr xmlns="http://schemas.microsoft.com/office/spreadsheetml/2009/9/main" objectType="Radio" lockText="1"/>
</file>

<file path=xl/ctrlProps/ctrlProp647.xml><?xml version="1.0" encoding="utf-8"?>
<formControlPr xmlns="http://schemas.microsoft.com/office/spreadsheetml/2009/9/main" objectType="Radio" lockText="1"/>
</file>

<file path=xl/ctrlProps/ctrlProp648.xml><?xml version="1.0" encoding="utf-8"?>
<formControlPr xmlns="http://schemas.microsoft.com/office/spreadsheetml/2009/9/main" objectType="Radio" lockText="1"/>
</file>

<file path=xl/ctrlProps/ctrlProp649.xml><?xml version="1.0" encoding="utf-8"?>
<formControlPr xmlns="http://schemas.microsoft.com/office/spreadsheetml/2009/9/main" objectType="GBox"/>
</file>

<file path=xl/ctrlProps/ctrlProp650.xml><?xml version="1.0" encoding="utf-8"?>
<formControlPr xmlns="http://schemas.microsoft.com/office/spreadsheetml/2009/9/main" objectType="Radio" checked="Checked" firstButton="1" fmlaLink="Control!$E$44" lockText="1"/>
</file>

<file path=xl/ctrlProps/ctrlProp651.xml><?xml version="1.0" encoding="utf-8"?>
<formControlPr xmlns="http://schemas.microsoft.com/office/spreadsheetml/2009/9/main" objectType="Radio" lockText="1"/>
</file>

<file path=xl/ctrlProps/ctrlProp652.xml><?xml version="1.0" encoding="utf-8"?>
<formControlPr xmlns="http://schemas.microsoft.com/office/spreadsheetml/2009/9/main" objectType="Radio" lockText="1"/>
</file>

<file path=xl/ctrlProps/ctrlProp653.xml><?xml version="1.0" encoding="utf-8"?>
<formControlPr xmlns="http://schemas.microsoft.com/office/spreadsheetml/2009/9/main" objectType="Radio" lockText="1"/>
</file>

<file path=xl/ctrlProps/ctrlProp654.xml><?xml version="1.0" encoding="utf-8"?>
<formControlPr xmlns="http://schemas.microsoft.com/office/spreadsheetml/2009/9/main" objectType="GBox"/>
</file>

<file path=xl/ctrlProps/ctrlProp655.xml><?xml version="1.0" encoding="utf-8"?>
<formControlPr xmlns="http://schemas.microsoft.com/office/spreadsheetml/2009/9/main" objectType="Radio" checked="Checked" firstButton="1" fmlaLink="Control!$E$5" lockText="1"/>
</file>

<file path=xl/ctrlProps/ctrlProp656.xml><?xml version="1.0" encoding="utf-8"?>
<formControlPr xmlns="http://schemas.microsoft.com/office/spreadsheetml/2009/9/main" objectType="Radio" lockText="1"/>
</file>

<file path=xl/ctrlProps/ctrlProp657.xml><?xml version="1.0" encoding="utf-8"?>
<formControlPr xmlns="http://schemas.microsoft.com/office/spreadsheetml/2009/9/main" objectType="Radio" lockText="1"/>
</file>

<file path=xl/ctrlProps/ctrlProp658.xml><?xml version="1.0" encoding="utf-8"?>
<formControlPr xmlns="http://schemas.microsoft.com/office/spreadsheetml/2009/9/main" objectType="Radio" lockText="1"/>
</file>

<file path=xl/ctrlProps/ctrlProp659.xml><?xml version="1.0" encoding="utf-8"?>
<formControlPr xmlns="http://schemas.microsoft.com/office/spreadsheetml/2009/9/main" objectType="GBox"/>
</file>

<file path=xl/ctrlProps/ctrlProp660.xml><?xml version="1.0" encoding="utf-8"?>
<formControlPr xmlns="http://schemas.microsoft.com/office/spreadsheetml/2009/9/main" objectType="Radio" checked="Checked" firstButton="1" fmlaLink="Control!$E$7" lockText="1"/>
</file>

<file path=xl/ctrlProps/ctrlProp661.xml><?xml version="1.0" encoding="utf-8"?>
<formControlPr xmlns="http://schemas.microsoft.com/office/spreadsheetml/2009/9/main" objectType="Radio" lockText="1"/>
</file>

<file path=xl/ctrlProps/ctrlProp662.xml><?xml version="1.0" encoding="utf-8"?>
<formControlPr xmlns="http://schemas.microsoft.com/office/spreadsheetml/2009/9/main" objectType="Radio" lockText="1"/>
</file>

<file path=xl/ctrlProps/ctrlProp663.xml><?xml version="1.0" encoding="utf-8"?>
<formControlPr xmlns="http://schemas.microsoft.com/office/spreadsheetml/2009/9/main" objectType="Radio" lockText="1"/>
</file>

<file path=xl/ctrlProps/ctrlProp664.xml><?xml version="1.0" encoding="utf-8"?>
<formControlPr xmlns="http://schemas.microsoft.com/office/spreadsheetml/2009/9/main" objectType="GBox"/>
</file>

<file path=xl/ctrlProps/ctrlProp665.xml><?xml version="1.0" encoding="utf-8"?>
<formControlPr xmlns="http://schemas.microsoft.com/office/spreadsheetml/2009/9/main" objectType="Radio" checked="Checked" firstButton="1" fmlaLink="Control!$E$10" lockText="1"/>
</file>

<file path=xl/ctrlProps/ctrlProp666.xml><?xml version="1.0" encoding="utf-8"?>
<formControlPr xmlns="http://schemas.microsoft.com/office/spreadsheetml/2009/9/main" objectType="Radio" lockText="1"/>
</file>

<file path=xl/ctrlProps/ctrlProp667.xml><?xml version="1.0" encoding="utf-8"?>
<formControlPr xmlns="http://schemas.microsoft.com/office/spreadsheetml/2009/9/main" objectType="Radio" lockText="1"/>
</file>

<file path=xl/ctrlProps/ctrlProp668.xml><?xml version="1.0" encoding="utf-8"?>
<formControlPr xmlns="http://schemas.microsoft.com/office/spreadsheetml/2009/9/main" objectType="Radio" lockText="1"/>
</file>

<file path=xl/ctrlProps/ctrlProp669.xml><?xml version="1.0" encoding="utf-8"?>
<formControlPr xmlns="http://schemas.microsoft.com/office/spreadsheetml/2009/9/main" objectType="GBox"/>
</file>

<file path=xl/ctrlProps/ctrlProp670.xml><?xml version="1.0" encoding="utf-8"?>
<formControlPr xmlns="http://schemas.microsoft.com/office/spreadsheetml/2009/9/main" objectType="Radio" checked="Checked" firstButton="1" fmlaLink="Control!$E$12" lockText="1"/>
</file>

<file path=xl/ctrlProps/ctrlProp671.xml><?xml version="1.0" encoding="utf-8"?>
<formControlPr xmlns="http://schemas.microsoft.com/office/spreadsheetml/2009/9/main" objectType="Radio" lockText="1"/>
</file>

<file path=xl/ctrlProps/ctrlProp672.xml><?xml version="1.0" encoding="utf-8"?>
<formControlPr xmlns="http://schemas.microsoft.com/office/spreadsheetml/2009/9/main" objectType="Radio" lockText="1"/>
</file>

<file path=xl/ctrlProps/ctrlProp673.xml><?xml version="1.0" encoding="utf-8"?>
<formControlPr xmlns="http://schemas.microsoft.com/office/spreadsheetml/2009/9/main" objectType="Radio" lockText="1"/>
</file>

<file path=xl/ctrlProps/ctrlProp674.xml><?xml version="1.0" encoding="utf-8"?>
<formControlPr xmlns="http://schemas.microsoft.com/office/spreadsheetml/2009/9/main" objectType="GBox"/>
</file>

<file path=xl/ctrlProps/ctrlProp675.xml><?xml version="1.0" encoding="utf-8"?>
<formControlPr xmlns="http://schemas.microsoft.com/office/spreadsheetml/2009/9/main" objectType="Radio" checked="Checked" firstButton="1" fmlaLink="Control!$E$13" lockText="1"/>
</file>

<file path=xl/ctrlProps/ctrlProp676.xml><?xml version="1.0" encoding="utf-8"?>
<formControlPr xmlns="http://schemas.microsoft.com/office/spreadsheetml/2009/9/main" objectType="Radio" lockText="1"/>
</file>

<file path=xl/ctrlProps/ctrlProp677.xml><?xml version="1.0" encoding="utf-8"?>
<formControlPr xmlns="http://schemas.microsoft.com/office/spreadsheetml/2009/9/main" objectType="Radio" lockText="1"/>
</file>

<file path=xl/ctrlProps/ctrlProp678.xml><?xml version="1.0" encoding="utf-8"?>
<formControlPr xmlns="http://schemas.microsoft.com/office/spreadsheetml/2009/9/main" objectType="Radio" lockText="1"/>
</file>

<file path=xl/ctrlProps/ctrlProp679.xml><?xml version="1.0" encoding="utf-8"?>
<formControlPr xmlns="http://schemas.microsoft.com/office/spreadsheetml/2009/9/main" objectType="GBox"/>
</file>

<file path=xl/ctrlProps/ctrlProp680.xml><?xml version="1.0" encoding="utf-8"?>
<formControlPr xmlns="http://schemas.microsoft.com/office/spreadsheetml/2009/9/main" objectType="Radio" checked="Checked" firstButton="1" fmlaLink="Control!$E$14" lockText="1"/>
</file>

<file path=xl/ctrlProps/ctrlProp681.xml><?xml version="1.0" encoding="utf-8"?>
<formControlPr xmlns="http://schemas.microsoft.com/office/spreadsheetml/2009/9/main" objectType="Radio" lockText="1"/>
</file>

<file path=xl/ctrlProps/ctrlProp682.xml><?xml version="1.0" encoding="utf-8"?>
<formControlPr xmlns="http://schemas.microsoft.com/office/spreadsheetml/2009/9/main" objectType="Radio" lockText="1"/>
</file>

<file path=xl/ctrlProps/ctrlProp683.xml><?xml version="1.0" encoding="utf-8"?>
<formControlPr xmlns="http://schemas.microsoft.com/office/spreadsheetml/2009/9/main" objectType="Radio" lockText="1"/>
</file>

<file path=xl/ctrlProps/ctrlProp684.xml><?xml version="1.0" encoding="utf-8"?>
<formControlPr xmlns="http://schemas.microsoft.com/office/spreadsheetml/2009/9/main" objectType="GBox"/>
</file>

<file path=xl/ctrlProps/ctrlProp685.xml><?xml version="1.0" encoding="utf-8"?>
<formControlPr xmlns="http://schemas.microsoft.com/office/spreadsheetml/2009/9/main" objectType="Radio" checked="Checked" firstButton="1" fmlaLink="Control!$E$15" lockText="1"/>
</file>

<file path=xl/ctrlProps/ctrlProp686.xml><?xml version="1.0" encoding="utf-8"?>
<formControlPr xmlns="http://schemas.microsoft.com/office/spreadsheetml/2009/9/main" objectType="Radio" lockText="1"/>
</file>

<file path=xl/ctrlProps/ctrlProp687.xml><?xml version="1.0" encoding="utf-8"?>
<formControlPr xmlns="http://schemas.microsoft.com/office/spreadsheetml/2009/9/main" objectType="Radio" lockText="1"/>
</file>

<file path=xl/ctrlProps/ctrlProp688.xml><?xml version="1.0" encoding="utf-8"?>
<formControlPr xmlns="http://schemas.microsoft.com/office/spreadsheetml/2009/9/main" objectType="Radio" lockText="1"/>
</file>

<file path=xl/ctrlProps/ctrlProp689.xml><?xml version="1.0" encoding="utf-8"?>
<formControlPr xmlns="http://schemas.microsoft.com/office/spreadsheetml/2009/9/main" objectType="GBox"/>
</file>

<file path=xl/ctrlProps/ctrlProp690.xml><?xml version="1.0" encoding="utf-8"?>
<formControlPr xmlns="http://schemas.microsoft.com/office/spreadsheetml/2009/9/main" objectType="Radio" checked="Checked" firstButton="1" fmlaLink="Control!$E$16" lockText="1"/>
</file>

<file path=xl/ctrlProps/ctrlProp691.xml><?xml version="1.0" encoding="utf-8"?>
<formControlPr xmlns="http://schemas.microsoft.com/office/spreadsheetml/2009/9/main" objectType="Radio" lockText="1"/>
</file>

<file path=xl/ctrlProps/ctrlProp692.xml><?xml version="1.0" encoding="utf-8"?>
<formControlPr xmlns="http://schemas.microsoft.com/office/spreadsheetml/2009/9/main" objectType="Radio" lockText="1"/>
</file>

<file path=xl/ctrlProps/ctrlProp693.xml><?xml version="1.0" encoding="utf-8"?>
<formControlPr xmlns="http://schemas.microsoft.com/office/spreadsheetml/2009/9/main" objectType="Radio" lockText="1"/>
</file>

<file path=xl/ctrlProps/ctrlProp694.xml><?xml version="1.0" encoding="utf-8"?>
<formControlPr xmlns="http://schemas.microsoft.com/office/spreadsheetml/2009/9/main" objectType="GBox"/>
</file>

<file path=xl/ctrlProps/ctrlProp695.xml><?xml version="1.0" encoding="utf-8"?>
<formControlPr xmlns="http://schemas.microsoft.com/office/spreadsheetml/2009/9/main" objectType="Radio" checked="Checked" firstButton="1" fmlaLink="Control!$E$17" lockText="1"/>
</file>

<file path=xl/ctrlProps/ctrlProp696.xml><?xml version="1.0" encoding="utf-8"?>
<formControlPr xmlns="http://schemas.microsoft.com/office/spreadsheetml/2009/9/main" objectType="Radio" lockText="1"/>
</file>

<file path=xl/ctrlProps/ctrlProp697.xml><?xml version="1.0" encoding="utf-8"?>
<formControlPr xmlns="http://schemas.microsoft.com/office/spreadsheetml/2009/9/main" objectType="Radio" lockText="1"/>
</file>

<file path=xl/ctrlProps/ctrlProp698.xml><?xml version="1.0" encoding="utf-8"?>
<formControlPr xmlns="http://schemas.microsoft.com/office/spreadsheetml/2009/9/main" objectType="Radio" lockText="1"/>
</file>

<file path=xl/ctrlProps/ctrlProp699.xml><?xml version="1.0" encoding="utf-8"?>
<formControlPr xmlns="http://schemas.microsoft.com/office/spreadsheetml/2009/9/main" objectType="GBox"/>
</file>

<file path=xl/ctrlProps/ctrlProp700.xml><?xml version="1.0" encoding="utf-8"?>
<formControlPr xmlns="http://schemas.microsoft.com/office/spreadsheetml/2009/9/main" objectType="Radio" checked="Checked" firstButton="1" fmlaLink="Control!$E$18" lockText="1"/>
</file>

<file path=xl/ctrlProps/ctrlProp701.xml><?xml version="1.0" encoding="utf-8"?>
<formControlPr xmlns="http://schemas.microsoft.com/office/spreadsheetml/2009/9/main" objectType="Radio" lockText="1"/>
</file>

<file path=xl/ctrlProps/ctrlProp702.xml><?xml version="1.0" encoding="utf-8"?>
<formControlPr xmlns="http://schemas.microsoft.com/office/spreadsheetml/2009/9/main" objectType="Radio" lockText="1"/>
</file>

<file path=xl/ctrlProps/ctrlProp703.xml><?xml version="1.0" encoding="utf-8"?>
<formControlPr xmlns="http://schemas.microsoft.com/office/spreadsheetml/2009/9/main" objectType="Radio" lockText="1"/>
</file>

<file path=xl/ctrlProps/ctrlProp704.xml><?xml version="1.0" encoding="utf-8"?>
<formControlPr xmlns="http://schemas.microsoft.com/office/spreadsheetml/2009/9/main" objectType="GBox"/>
</file>

<file path=xl/ctrlProps/ctrlProp705.xml><?xml version="1.0" encoding="utf-8"?>
<formControlPr xmlns="http://schemas.microsoft.com/office/spreadsheetml/2009/9/main" objectType="Radio" checked="Checked" firstButton="1" fmlaLink="Control!$E$19" lockText="1"/>
</file>

<file path=xl/ctrlProps/ctrlProp706.xml><?xml version="1.0" encoding="utf-8"?>
<formControlPr xmlns="http://schemas.microsoft.com/office/spreadsheetml/2009/9/main" objectType="Radio" lockText="1"/>
</file>

<file path=xl/ctrlProps/ctrlProp707.xml><?xml version="1.0" encoding="utf-8"?>
<formControlPr xmlns="http://schemas.microsoft.com/office/spreadsheetml/2009/9/main" objectType="Radio" lockText="1"/>
</file>

<file path=xl/ctrlProps/ctrlProp708.xml><?xml version="1.0" encoding="utf-8"?>
<formControlPr xmlns="http://schemas.microsoft.com/office/spreadsheetml/2009/9/main" objectType="Radio" lockText="1"/>
</file>

<file path=xl/ctrlProps/ctrlProp709.xml><?xml version="1.0" encoding="utf-8"?>
<formControlPr xmlns="http://schemas.microsoft.com/office/spreadsheetml/2009/9/main" objectType="GBox"/>
</file>

<file path=xl/ctrlProps/ctrlProp710.xml><?xml version="1.0" encoding="utf-8"?>
<formControlPr xmlns="http://schemas.microsoft.com/office/spreadsheetml/2009/9/main" objectType="Radio" checked="Checked" firstButton="1" fmlaLink="Control!$E$27" lockText="1"/>
</file>

<file path=xl/ctrlProps/ctrlProp711.xml><?xml version="1.0" encoding="utf-8"?>
<formControlPr xmlns="http://schemas.microsoft.com/office/spreadsheetml/2009/9/main" objectType="Radio" lockText="1"/>
</file>

<file path=xl/ctrlProps/ctrlProp712.xml><?xml version="1.0" encoding="utf-8"?>
<formControlPr xmlns="http://schemas.microsoft.com/office/spreadsheetml/2009/9/main" objectType="Radio" lockText="1"/>
</file>

<file path=xl/ctrlProps/ctrlProp713.xml><?xml version="1.0" encoding="utf-8"?>
<formControlPr xmlns="http://schemas.microsoft.com/office/spreadsheetml/2009/9/main" objectType="Radio" lockText="1"/>
</file>

<file path=xl/ctrlProps/ctrlProp714.xml><?xml version="1.0" encoding="utf-8"?>
<formControlPr xmlns="http://schemas.microsoft.com/office/spreadsheetml/2009/9/main" objectType="GBox"/>
</file>

<file path=xl/ctrlProps/ctrlProp715.xml><?xml version="1.0" encoding="utf-8"?>
<formControlPr xmlns="http://schemas.microsoft.com/office/spreadsheetml/2009/9/main" objectType="Radio" checked="Checked" firstButton="1" fmlaLink="Control!$E$28" lockText="1"/>
</file>

<file path=xl/ctrlProps/ctrlProp716.xml><?xml version="1.0" encoding="utf-8"?>
<formControlPr xmlns="http://schemas.microsoft.com/office/spreadsheetml/2009/9/main" objectType="Radio" lockText="1"/>
</file>

<file path=xl/ctrlProps/ctrlProp717.xml><?xml version="1.0" encoding="utf-8"?>
<formControlPr xmlns="http://schemas.microsoft.com/office/spreadsheetml/2009/9/main" objectType="Radio" lockText="1"/>
</file>

<file path=xl/ctrlProps/ctrlProp718.xml><?xml version="1.0" encoding="utf-8"?>
<formControlPr xmlns="http://schemas.microsoft.com/office/spreadsheetml/2009/9/main" objectType="Radio" lockText="1"/>
</file>

<file path=xl/ctrlProps/ctrlProp719.xml><?xml version="1.0" encoding="utf-8"?>
<formControlPr xmlns="http://schemas.microsoft.com/office/spreadsheetml/2009/9/main" objectType="GBox"/>
</file>

<file path=xl/ctrlProps/ctrlProp720.xml><?xml version="1.0" encoding="utf-8"?>
<formControlPr xmlns="http://schemas.microsoft.com/office/spreadsheetml/2009/9/main" objectType="Radio" checked="Checked" firstButton="1" fmlaLink="Control!$E$29" lockText="1"/>
</file>

<file path=xl/ctrlProps/ctrlProp721.xml><?xml version="1.0" encoding="utf-8"?>
<formControlPr xmlns="http://schemas.microsoft.com/office/spreadsheetml/2009/9/main" objectType="Radio" lockText="1"/>
</file>

<file path=xl/ctrlProps/ctrlProp722.xml><?xml version="1.0" encoding="utf-8"?>
<formControlPr xmlns="http://schemas.microsoft.com/office/spreadsheetml/2009/9/main" objectType="Radio" lockText="1"/>
</file>

<file path=xl/ctrlProps/ctrlProp723.xml><?xml version="1.0" encoding="utf-8"?>
<formControlPr xmlns="http://schemas.microsoft.com/office/spreadsheetml/2009/9/main" objectType="Radio" lockText="1"/>
</file>

<file path=xl/ctrlProps/ctrlProp724.xml><?xml version="1.0" encoding="utf-8"?>
<formControlPr xmlns="http://schemas.microsoft.com/office/spreadsheetml/2009/9/main" objectType="GBox"/>
</file>

<file path=xl/ctrlProps/ctrlProp725.xml><?xml version="1.0" encoding="utf-8"?>
<formControlPr xmlns="http://schemas.microsoft.com/office/spreadsheetml/2009/9/main" objectType="Radio" checked="Checked" firstButton="1" fmlaLink="Control!$E$21" lockText="1"/>
</file>

<file path=xl/ctrlProps/ctrlProp726.xml><?xml version="1.0" encoding="utf-8"?>
<formControlPr xmlns="http://schemas.microsoft.com/office/spreadsheetml/2009/9/main" objectType="Radio" lockText="1"/>
</file>

<file path=xl/ctrlProps/ctrlProp727.xml><?xml version="1.0" encoding="utf-8"?>
<formControlPr xmlns="http://schemas.microsoft.com/office/spreadsheetml/2009/9/main" objectType="Radio" lockText="1"/>
</file>

<file path=xl/ctrlProps/ctrlProp728.xml><?xml version="1.0" encoding="utf-8"?>
<formControlPr xmlns="http://schemas.microsoft.com/office/spreadsheetml/2009/9/main" objectType="Radio" lockText="1"/>
</file>

<file path=xl/ctrlProps/ctrlProp729.xml><?xml version="1.0" encoding="utf-8"?>
<formControlPr xmlns="http://schemas.microsoft.com/office/spreadsheetml/2009/9/main" objectType="GBox"/>
</file>

<file path=xl/ctrlProps/ctrlProp730.xml><?xml version="1.0" encoding="utf-8"?>
<formControlPr xmlns="http://schemas.microsoft.com/office/spreadsheetml/2009/9/main" objectType="Radio" checked="Checked" firstButton="1" fmlaLink="Control!$E$23" lockText="1"/>
</file>

<file path=xl/ctrlProps/ctrlProp731.xml><?xml version="1.0" encoding="utf-8"?>
<formControlPr xmlns="http://schemas.microsoft.com/office/spreadsheetml/2009/9/main" objectType="Radio" lockText="1"/>
</file>

<file path=xl/ctrlProps/ctrlProp732.xml><?xml version="1.0" encoding="utf-8"?>
<formControlPr xmlns="http://schemas.microsoft.com/office/spreadsheetml/2009/9/main" objectType="Radio" lockText="1"/>
</file>

<file path=xl/ctrlProps/ctrlProp733.xml><?xml version="1.0" encoding="utf-8"?>
<formControlPr xmlns="http://schemas.microsoft.com/office/spreadsheetml/2009/9/main" objectType="Radio" lockText="1"/>
</file>

<file path=xl/ctrlProps/ctrlProp734.xml><?xml version="1.0" encoding="utf-8"?>
<formControlPr xmlns="http://schemas.microsoft.com/office/spreadsheetml/2009/9/main" objectType="GBox"/>
</file>

<file path=xl/ctrlProps/ctrlProp735.xml><?xml version="1.0" encoding="utf-8"?>
<formControlPr xmlns="http://schemas.microsoft.com/office/spreadsheetml/2009/9/main" objectType="Radio" checked="Checked" firstButton="1" fmlaLink="Control!$E$24" lockText="1"/>
</file>

<file path=xl/ctrlProps/ctrlProp736.xml><?xml version="1.0" encoding="utf-8"?>
<formControlPr xmlns="http://schemas.microsoft.com/office/spreadsheetml/2009/9/main" objectType="Radio" lockText="1"/>
</file>

<file path=xl/ctrlProps/ctrlProp737.xml><?xml version="1.0" encoding="utf-8"?>
<formControlPr xmlns="http://schemas.microsoft.com/office/spreadsheetml/2009/9/main" objectType="Radio" lockText="1"/>
</file>

<file path=xl/ctrlProps/ctrlProp738.xml><?xml version="1.0" encoding="utf-8"?>
<formControlPr xmlns="http://schemas.microsoft.com/office/spreadsheetml/2009/9/main" objectType="Radio" lockText="1"/>
</file>

<file path=xl/ctrlProps/ctrlProp739.xml><?xml version="1.0" encoding="utf-8"?>
<formControlPr xmlns="http://schemas.microsoft.com/office/spreadsheetml/2009/9/main" objectType="GBox"/>
</file>

<file path=xl/ctrlProps/ctrlProp740.xml><?xml version="1.0" encoding="utf-8"?>
<formControlPr xmlns="http://schemas.microsoft.com/office/spreadsheetml/2009/9/main" objectType="Radio" checked="Checked" firstButton="1" fmlaLink="Control!$E$25" lockText="1"/>
</file>

<file path=xl/ctrlProps/ctrlProp741.xml><?xml version="1.0" encoding="utf-8"?>
<formControlPr xmlns="http://schemas.microsoft.com/office/spreadsheetml/2009/9/main" objectType="Radio" lockText="1"/>
</file>

<file path=xl/ctrlProps/ctrlProp742.xml><?xml version="1.0" encoding="utf-8"?>
<formControlPr xmlns="http://schemas.microsoft.com/office/spreadsheetml/2009/9/main" objectType="Radio" lockText="1"/>
</file>

<file path=xl/ctrlProps/ctrlProp743.xml><?xml version="1.0" encoding="utf-8"?>
<formControlPr xmlns="http://schemas.microsoft.com/office/spreadsheetml/2009/9/main" objectType="Radio" lockText="1"/>
</file>

<file path=xl/ctrlProps/ctrlProp744.xml><?xml version="1.0" encoding="utf-8"?>
<formControlPr xmlns="http://schemas.microsoft.com/office/spreadsheetml/2009/9/main" objectType="GBox"/>
</file>

<file path=xl/ctrlProps/ctrlProp745.xml><?xml version="1.0" encoding="utf-8"?>
<formControlPr xmlns="http://schemas.microsoft.com/office/spreadsheetml/2009/9/main" objectType="Radio" checked="Checked" firstButton="1" fmlaLink="Control!$E$53" lockText="1"/>
</file>

<file path=xl/ctrlProps/ctrlProp746.xml><?xml version="1.0" encoding="utf-8"?>
<formControlPr xmlns="http://schemas.microsoft.com/office/spreadsheetml/2009/9/main" objectType="Radio" lockText="1"/>
</file>

<file path=xl/ctrlProps/ctrlProp747.xml><?xml version="1.0" encoding="utf-8"?>
<formControlPr xmlns="http://schemas.microsoft.com/office/spreadsheetml/2009/9/main" objectType="Radio" lockText="1"/>
</file>

<file path=xl/ctrlProps/ctrlProp748.xml><?xml version="1.0" encoding="utf-8"?>
<formControlPr xmlns="http://schemas.microsoft.com/office/spreadsheetml/2009/9/main" objectType="Radio" lockText="1"/>
</file>

<file path=xl/ctrlProps/ctrlProp749.xml><?xml version="1.0" encoding="utf-8"?>
<formControlPr xmlns="http://schemas.microsoft.com/office/spreadsheetml/2009/9/main" objectType="GBox"/>
</file>

<file path=xl/ctrlProps/ctrlProp750.xml><?xml version="1.0" encoding="utf-8"?>
<formControlPr xmlns="http://schemas.microsoft.com/office/spreadsheetml/2009/9/main" objectType="Radio" checked="Checked" firstButton="1" fmlaLink="Control!$E$8" lockText="1"/>
</file>

<file path=xl/ctrlProps/ctrlProp751.xml><?xml version="1.0" encoding="utf-8"?>
<formControlPr xmlns="http://schemas.microsoft.com/office/spreadsheetml/2009/9/main" objectType="Radio" lockText="1"/>
</file>

<file path=xl/ctrlProps/ctrlProp752.xml><?xml version="1.0" encoding="utf-8"?>
<formControlPr xmlns="http://schemas.microsoft.com/office/spreadsheetml/2009/9/main" objectType="Radio" lockText="1"/>
</file>

<file path=xl/ctrlProps/ctrlProp753.xml><?xml version="1.0" encoding="utf-8"?>
<formControlPr xmlns="http://schemas.microsoft.com/office/spreadsheetml/2009/9/main" objectType="Radio" lockText="1"/>
</file>

<file path=xl/ctrlProps/ctrlProp754.xml><?xml version="1.0" encoding="utf-8"?>
<formControlPr xmlns="http://schemas.microsoft.com/office/spreadsheetml/2009/9/main" objectType="GBox"/>
</file>

<file path=xl/ctrlProps/ctrlProp755.xml><?xml version="1.0" encoding="utf-8"?>
<formControlPr xmlns="http://schemas.microsoft.com/office/spreadsheetml/2009/9/main" objectType="Radio" checked="Checked" firstButton="1" fmlaLink="Control!$E$11" lockText="1"/>
</file>

<file path=xl/ctrlProps/ctrlProp756.xml><?xml version="1.0" encoding="utf-8"?>
<formControlPr xmlns="http://schemas.microsoft.com/office/spreadsheetml/2009/9/main" objectType="Radio" lockText="1"/>
</file>

<file path=xl/ctrlProps/ctrlProp757.xml><?xml version="1.0" encoding="utf-8"?>
<formControlPr xmlns="http://schemas.microsoft.com/office/spreadsheetml/2009/9/main" objectType="Radio" lockText="1"/>
</file>

<file path=xl/ctrlProps/ctrlProp758.xml><?xml version="1.0" encoding="utf-8"?>
<formControlPr xmlns="http://schemas.microsoft.com/office/spreadsheetml/2009/9/main" objectType="Radio" lockText="1"/>
</file>

<file path=xl/ctrlProps/ctrlProp759.xml><?xml version="1.0" encoding="utf-8"?>
<formControlPr xmlns="http://schemas.microsoft.com/office/spreadsheetml/2009/9/main" objectType="GBox"/>
</file>

<file path=xl/ctrlProps/ctrlProp760.xml><?xml version="1.0" encoding="utf-8"?>
<formControlPr xmlns="http://schemas.microsoft.com/office/spreadsheetml/2009/9/main" objectType="Radio" checked="Checked" firstButton="1" fmlaLink="Control!$E$22" lockText="1"/>
</file>

<file path=xl/ctrlProps/ctrlProp761.xml><?xml version="1.0" encoding="utf-8"?>
<formControlPr xmlns="http://schemas.microsoft.com/office/spreadsheetml/2009/9/main" objectType="Radio" lockText="1"/>
</file>

<file path=xl/ctrlProps/ctrlProp762.xml><?xml version="1.0" encoding="utf-8"?>
<formControlPr xmlns="http://schemas.microsoft.com/office/spreadsheetml/2009/9/main" objectType="Radio" lockText="1"/>
</file>

<file path=xl/ctrlProps/ctrlProp763.xml><?xml version="1.0" encoding="utf-8"?>
<formControlPr xmlns="http://schemas.microsoft.com/office/spreadsheetml/2009/9/main" objectType="Radio" lockText="1"/>
</file>

<file path=xl/ctrlProps/ctrlProp764.xml><?xml version="1.0" encoding="utf-8"?>
<formControlPr xmlns="http://schemas.microsoft.com/office/spreadsheetml/2009/9/main" objectType="GBox"/>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hyperlink" Target="#CHart1"/></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11</xdr:col>
      <xdr:colOff>190500</xdr:colOff>
      <xdr:row>43</xdr:row>
      <xdr:rowOff>57150</xdr:rowOff>
    </xdr:from>
    <xdr:to>
      <xdr:col>15</xdr:col>
      <xdr:colOff>38100</xdr:colOff>
      <xdr:row>58</xdr:row>
      <xdr:rowOff>123825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38100</xdr:colOff>
      <xdr:row>2</xdr:row>
      <xdr:rowOff>171450</xdr:rowOff>
    </xdr:from>
    <xdr:to>
      <xdr:col>11</xdr:col>
      <xdr:colOff>0</xdr:colOff>
      <xdr:row>4</xdr:row>
      <xdr:rowOff>0</xdr:rowOff>
    </xdr:to>
    <xdr:sp macro="" textlink="">
      <xdr:nvSpPr>
        <xdr:cNvPr id="3"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9"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0"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1"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2"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3"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4"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5"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6"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7"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8"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9"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0"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1"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2"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3"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4"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5"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6"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7"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8"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9"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0"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1"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2"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3"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4"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5"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6"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7"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8"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9"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0"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1"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2"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3"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4"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5"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6"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7"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8"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9"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0"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1"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2"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4"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5"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6"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7"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8"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9"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0"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1"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2"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3"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4"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5"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6"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67"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68"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69"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0"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1"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2"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3"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4"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5"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6"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7"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8"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9"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0"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2"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3"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4"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5"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6"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7"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8"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9"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90"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91"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92"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93"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94"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95"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96"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97"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98"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99"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00"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01"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02"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03"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04"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05"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06"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07"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08"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09"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10"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11"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12"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13"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14"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15"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16"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17"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18"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19"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20"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21"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22"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23"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24"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25"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26"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27"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28"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29"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30"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31"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32"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33"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34"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35"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36"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37"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38"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39"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40"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41"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42"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43"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44"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45"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46"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47"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48"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49"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50"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51"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52"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53"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54"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55"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56"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57"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58"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59"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60"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61"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62"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63"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64"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65"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66"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67"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68"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69"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70"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71"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72"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73"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74"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75"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76"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77"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78"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79"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80"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81"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82"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83"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84"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85"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86"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87"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88"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89"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90"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91"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92"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93"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94"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95"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96"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97"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98"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99"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00"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01"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02"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03"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04"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05"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06"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07"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08"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09"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10" name="Group Box 5" hidden="1">
          <a:extLst>
            <a:ext uri="{63B3BB69-23CF-44E3-9099-C40C66FF867C}">
              <a14:compatExt xmlns:a14="http://schemas.microsoft.com/office/drawing/2010/main" xmlns=""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11" name="Group Box 10" hidden="1">
          <a:extLst>
            <a:ext uri="{63B3BB69-23CF-44E3-9099-C40C66FF867C}">
              <a14:compatExt xmlns:a14="http://schemas.microsoft.com/office/drawing/2010/main" xmlns=""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12" name="Group Box 15" hidden="1">
          <a:extLst>
            <a:ext uri="{63B3BB69-23CF-44E3-9099-C40C66FF867C}">
              <a14:compatExt xmlns:a14="http://schemas.microsoft.com/office/drawing/2010/main" xmlns=""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13" name="Group Box 25" hidden="1">
          <a:extLst>
            <a:ext uri="{63B3BB69-23CF-44E3-9099-C40C66FF867C}">
              <a14:compatExt xmlns:a14="http://schemas.microsoft.com/office/drawing/2010/main" xmlns=""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14" name="Group Box 30" hidden="1">
          <a:extLst>
            <a:ext uri="{63B3BB69-23CF-44E3-9099-C40C66FF867C}">
              <a14:compatExt xmlns:a14="http://schemas.microsoft.com/office/drawing/2010/main" xmlns=""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215" name="Group Box 35" hidden="1">
          <a:extLst>
            <a:ext uri="{63B3BB69-23CF-44E3-9099-C40C66FF867C}">
              <a14:compatExt xmlns:a14="http://schemas.microsoft.com/office/drawing/2010/main" xmlns=""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216" name="Group Box 40" hidden="1">
          <a:extLst>
            <a:ext uri="{63B3BB69-23CF-44E3-9099-C40C66FF867C}">
              <a14:compatExt xmlns:a14="http://schemas.microsoft.com/office/drawing/2010/main" xmlns=""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217" name="Group Box 46" hidden="1">
          <a:extLst>
            <a:ext uri="{63B3BB69-23CF-44E3-9099-C40C66FF867C}">
              <a14:compatExt xmlns:a14="http://schemas.microsoft.com/office/drawing/2010/main" xmlns=""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218" name="Group Box 51" hidden="1">
          <a:extLst>
            <a:ext uri="{63B3BB69-23CF-44E3-9099-C40C66FF867C}">
              <a14:compatExt xmlns:a14="http://schemas.microsoft.com/office/drawing/2010/main" xmlns=""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219" name="Group Box 56" hidden="1">
          <a:extLst>
            <a:ext uri="{63B3BB69-23CF-44E3-9099-C40C66FF867C}">
              <a14:compatExt xmlns:a14="http://schemas.microsoft.com/office/drawing/2010/main" xmlns=""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220" name="Group Box 61" hidden="1">
          <a:extLst>
            <a:ext uri="{63B3BB69-23CF-44E3-9099-C40C66FF867C}">
              <a14:compatExt xmlns:a14="http://schemas.microsoft.com/office/drawing/2010/main" xmlns=""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221" name="Group Box 96" hidden="1">
          <a:extLst>
            <a:ext uri="{63B3BB69-23CF-44E3-9099-C40C66FF867C}">
              <a14:compatExt xmlns:a14="http://schemas.microsoft.com/office/drawing/2010/main" xmlns=""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222" name="Group Box 101" hidden="1">
          <a:extLst>
            <a:ext uri="{63B3BB69-23CF-44E3-9099-C40C66FF867C}">
              <a14:compatExt xmlns:a14="http://schemas.microsoft.com/office/drawing/2010/main" xmlns=""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23" name="Group Box 106" hidden="1">
          <a:extLst>
            <a:ext uri="{63B3BB69-23CF-44E3-9099-C40C66FF867C}">
              <a14:compatExt xmlns:a14="http://schemas.microsoft.com/office/drawing/2010/main" xmlns=""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24" name="Group Box 111" hidden="1">
          <a:extLst>
            <a:ext uri="{63B3BB69-23CF-44E3-9099-C40C66FF867C}">
              <a14:compatExt xmlns:a14="http://schemas.microsoft.com/office/drawing/2010/main" xmlns=""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25" name="Group Box 146" hidden="1">
          <a:extLst>
            <a:ext uri="{63B3BB69-23CF-44E3-9099-C40C66FF867C}">
              <a14:compatExt xmlns:a14="http://schemas.microsoft.com/office/drawing/2010/main" xmlns=""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26" name="Group Box 151" hidden="1">
          <a:extLst>
            <a:ext uri="{63B3BB69-23CF-44E3-9099-C40C66FF867C}">
              <a14:compatExt xmlns:a14="http://schemas.microsoft.com/office/drawing/2010/main" xmlns=""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27" name="Group Box 156" hidden="1">
          <a:extLst>
            <a:ext uri="{63B3BB69-23CF-44E3-9099-C40C66FF867C}">
              <a14:compatExt xmlns:a14="http://schemas.microsoft.com/office/drawing/2010/main" xmlns=""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28" name="Group Box 161" hidden="1">
          <a:extLst>
            <a:ext uri="{63B3BB69-23CF-44E3-9099-C40C66FF867C}">
              <a14:compatExt xmlns:a14="http://schemas.microsoft.com/office/drawing/2010/main" xmlns=""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29" name="Group Box 171" hidden="1">
          <a:extLst>
            <a:ext uri="{63B3BB69-23CF-44E3-9099-C40C66FF867C}">
              <a14:compatExt xmlns:a14="http://schemas.microsoft.com/office/drawing/2010/main" xmlns=""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30" name="Group Box 176" hidden="1">
          <a:extLst>
            <a:ext uri="{63B3BB69-23CF-44E3-9099-C40C66FF867C}">
              <a14:compatExt xmlns:a14="http://schemas.microsoft.com/office/drawing/2010/main" xmlns=""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31" name="Group Box 181" hidden="1">
          <a:extLst>
            <a:ext uri="{63B3BB69-23CF-44E3-9099-C40C66FF867C}">
              <a14:compatExt xmlns:a14="http://schemas.microsoft.com/office/drawing/2010/main" xmlns=""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32" name="Group Box 186" hidden="1">
          <a:extLst>
            <a:ext uri="{63B3BB69-23CF-44E3-9099-C40C66FF867C}">
              <a14:compatExt xmlns:a14="http://schemas.microsoft.com/office/drawing/2010/main" xmlns=""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33"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34"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35"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36"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37"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238"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239"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240"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241"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242"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243"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244"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245"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46"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47"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48"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49"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50"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51"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52"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53"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54"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55"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256" name="Group Box 5" hidden="1">
          <a:extLst>
            <a:ext uri="{63B3BB69-23CF-44E3-9099-C40C66FF867C}">
              <a14:compatExt xmlns:a14="http://schemas.microsoft.com/office/drawing/2010/main" xmlns=""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257" name="Group Box 10" hidden="1">
          <a:extLst>
            <a:ext uri="{63B3BB69-23CF-44E3-9099-C40C66FF867C}">
              <a14:compatExt xmlns:a14="http://schemas.microsoft.com/office/drawing/2010/main" xmlns=""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258" name="Group Box 15" hidden="1">
          <a:extLst>
            <a:ext uri="{63B3BB69-23CF-44E3-9099-C40C66FF867C}">
              <a14:compatExt xmlns:a14="http://schemas.microsoft.com/office/drawing/2010/main" xmlns=""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259" name="Group Box 25" hidden="1">
          <a:extLst>
            <a:ext uri="{63B3BB69-23CF-44E3-9099-C40C66FF867C}">
              <a14:compatExt xmlns:a14="http://schemas.microsoft.com/office/drawing/2010/main" xmlns=""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260" name="Group Box 30" hidden="1">
          <a:extLst>
            <a:ext uri="{63B3BB69-23CF-44E3-9099-C40C66FF867C}">
              <a14:compatExt xmlns:a14="http://schemas.microsoft.com/office/drawing/2010/main" xmlns=""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261" name="Group Box 35" hidden="1">
          <a:extLst>
            <a:ext uri="{63B3BB69-23CF-44E3-9099-C40C66FF867C}">
              <a14:compatExt xmlns:a14="http://schemas.microsoft.com/office/drawing/2010/main" xmlns=""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262" name="Group Box 40" hidden="1">
          <a:extLst>
            <a:ext uri="{63B3BB69-23CF-44E3-9099-C40C66FF867C}">
              <a14:compatExt xmlns:a14="http://schemas.microsoft.com/office/drawing/2010/main" xmlns=""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263" name="Group Box 46" hidden="1">
          <a:extLst>
            <a:ext uri="{63B3BB69-23CF-44E3-9099-C40C66FF867C}">
              <a14:compatExt xmlns:a14="http://schemas.microsoft.com/office/drawing/2010/main" xmlns=""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264" name="Group Box 51" hidden="1">
          <a:extLst>
            <a:ext uri="{63B3BB69-23CF-44E3-9099-C40C66FF867C}">
              <a14:compatExt xmlns:a14="http://schemas.microsoft.com/office/drawing/2010/main" xmlns=""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265" name="Group Box 56" hidden="1">
          <a:extLst>
            <a:ext uri="{63B3BB69-23CF-44E3-9099-C40C66FF867C}">
              <a14:compatExt xmlns:a14="http://schemas.microsoft.com/office/drawing/2010/main" xmlns=""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266" name="Group Box 61" hidden="1">
          <a:extLst>
            <a:ext uri="{63B3BB69-23CF-44E3-9099-C40C66FF867C}">
              <a14:compatExt xmlns:a14="http://schemas.microsoft.com/office/drawing/2010/main" xmlns=""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267" name="Group Box 96" hidden="1">
          <a:extLst>
            <a:ext uri="{63B3BB69-23CF-44E3-9099-C40C66FF867C}">
              <a14:compatExt xmlns:a14="http://schemas.microsoft.com/office/drawing/2010/main" xmlns=""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268" name="Group Box 101" hidden="1">
          <a:extLst>
            <a:ext uri="{63B3BB69-23CF-44E3-9099-C40C66FF867C}">
              <a14:compatExt xmlns:a14="http://schemas.microsoft.com/office/drawing/2010/main" xmlns=""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269" name="Group Box 106" hidden="1">
          <a:extLst>
            <a:ext uri="{63B3BB69-23CF-44E3-9099-C40C66FF867C}">
              <a14:compatExt xmlns:a14="http://schemas.microsoft.com/office/drawing/2010/main" xmlns=""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270" name="Group Box 111" hidden="1">
          <a:extLst>
            <a:ext uri="{63B3BB69-23CF-44E3-9099-C40C66FF867C}">
              <a14:compatExt xmlns:a14="http://schemas.microsoft.com/office/drawing/2010/main" xmlns=""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271" name="Group Box 146" hidden="1">
          <a:extLst>
            <a:ext uri="{63B3BB69-23CF-44E3-9099-C40C66FF867C}">
              <a14:compatExt xmlns:a14="http://schemas.microsoft.com/office/drawing/2010/main" xmlns=""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272" name="Group Box 151" hidden="1">
          <a:extLst>
            <a:ext uri="{63B3BB69-23CF-44E3-9099-C40C66FF867C}">
              <a14:compatExt xmlns:a14="http://schemas.microsoft.com/office/drawing/2010/main" xmlns=""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273" name="Group Box 156" hidden="1">
          <a:extLst>
            <a:ext uri="{63B3BB69-23CF-44E3-9099-C40C66FF867C}">
              <a14:compatExt xmlns:a14="http://schemas.microsoft.com/office/drawing/2010/main" xmlns=""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274" name="Group Box 161" hidden="1">
          <a:extLst>
            <a:ext uri="{63B3BB69-23CF-44E3-9099-C40C66FF867C}">
              <a14:compatExt xmlns:a14="http://schemas.microsoft.com/office/drawing/2010/main" xmlns=""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275" name="Group Box 171" hidden="1">
          <a:extLst>
            <a:ext uri="{63B3BB69-23CF-44E3-9099-C40C66FF867C}">
              <a14:compatExt xmlns:a14="http://schemas.microsoft.com/office/drawing/2010/main" xmlns=""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276" name="Group Box 176" hidden="1">
          <a:extLst>
            <a:ext uri="{63B3BB69-23CF-44E3-9099-C40C66FF867C}">
              <a14:compatExt xmlns:a14="http://schemas.microsoft.com/office/drawing/2010/main" xmlns=""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277" name="Group Box 181" hidden="1">
          <a:extLst>
            <a:ext uri="{63B3BB69-23CF-44E3-9099-C40C66FF867C}">
              <a14:compatExt xmlns:a14="http://schemas.microsoft.com/office/drawing/2010/main" xmlns=""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278" name="Group Box 186" hidden="1">
          <a:extLst>
            <a:ext uri="{63B3BB69-23CF-44E3-9099-C40C66FF867C}">
              <a14:compatExt xmlns:a14="http://schemas.microsoft.com/office/drawing/2010/main" xmlns="" spid="_x0000_s533733"/>
            </a:ext>
          </a:extLst>
        </xdr:cNvPr>
        <xdr:cNvSpPr/>
      </xdr:nvSpPr>
      <xdr:spPr>
        <a:xfrm>
          <a:off x="12061825" y="5051425"/>
          <a:ext cx="1431925" cy="22860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279" name="Group Box 5" hidden="1">
          <a:extLst>
            <a:ext uri="{63B3BB69-23CF-44E3-9099-C40C66FF867C}">
              <a14:compatExt xmlns:a14="http://schemas.microsoft.com/office/drawing/2010/main" xmlns=""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280" name="Group Box 10" hidden="1">
          <a:extLst>
            <a:ext uri="{63B3BB69-23CF-44E3-9099-C40C66FF867C}">
              <a14:compatExt xmlns:a14="http://schemas.microsoft.com/office/drawing/2010/main" xmlns=""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281" name="Group Box 15" hidden="1">
          <a:extLst>
            <a:ext uri="{63B3BB69-23CF-44E3-9099-C40C66FF867C}">
              <a14:compatExt xmlns:a14="http://schemas.microsoft.com/office/drawing/2010/main" xmlns=""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282" name="Group Box 25" hidden="1">
          <a:extLst>
            <a:ext uri="{63B3BB69-23CF-44E3-9099-C40C66FF867C}">
              <a14:compatExt xmlns:a14="http://schemas.microsoft.com/office/drawing/2010/main" xmlns=""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283" name="Group Box 30" hidden="1">
          <a:extLst>
            <a:ext uri="{63B3BB69-23CF-44E3-9099-C40C66FF867C}">
              <a14:compatExt xmlns:a14="http://schemas.microsoft.com/office/drawing/2010/main" xmlns=""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284" name="Group Box 35" hidden="1">
          <a:extLst>
            <a:ext uri="{63B3BB69-23CF-44E3-9099-C40C66FF867C}">
              <a14:compatExt xmlns:a14="http://schemas.microsoft.com/office/drawing/2010/main" xmlns=""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285" name="Group Box 40" hidden="1">
          <a:extLst>
            <a:ext uri="{63B3BB69-23CF-44E3-9099-C40C66FF867C}">
              <a14:compatExt xmlns:a14="http://schemas.microsoft.com/office/drawing/2010/main" xmlns=""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286" name="Group Box 46" hidden="1">
          <a:extLst>
            <a:ext uri="{63B3BB69-23CF-44E3-9099-C40C66FF867C}">
              <a14:compatExt xmlns:a14="http://schemas.microsoft.com/office/drawing/2010/main" xmlns=""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287" name="Group Box 51" hidden="1">
          <a:extLst>
            <a:ext uri="{63B3BB69-23CF-44E3-9099-C40C66FF867C}">
              <a14:compatExt xmlns:a14="http://schemas.microsoft.com/office/drawing/2010/main" xmlns=""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288" name="Group Box 56" hidden="1">
          <a:extLst>
            <a:ext uri="{63B3BB69-23CF-44E3-9099-C40C66FF867C}">
              <a14:compatExt xmlns:a14="http://schemas.microsoft.com/office/drawing/2010/main" xmlns=""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289" name="Group Box 61" hidden="1">
          <a:extLst>
            <a:ext uri="{63B3BB69-23CF-44E3-9099-C40C66FF867C}">
              <a14:compatExt xmlns:a14="http://schemas.microsoft.com/office/drawing/2010/main" xmlns=""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290" name="Group Box 96" hidden="1">
          <a:extLst>
            <a:ext uri="{63B3BB69-23CF-44E3-9099-C40C66FF867C}">
              <a14:compatExt xmlns:a14="http://schemas.microsoft.com/office/drawing/2010/main" xmlns=""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291" name="Group Box 101" hidden="1">
          <a:extLst>
            <a:ext uri="{63B3BB69-23CF-44E3-9099-C40C66FF867C}">
              <a14:compatExt xmlns:a14="http://schemas.microsoft.com/office/drawing/2010/main" xmlns=""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292" name="Group Box 106" hidden="1">
          <a:extLst>
            <a:ext uri="{63B3BB69-23CF-44E3-9099-C40C66FF867C}">
              <a14:compatExt xmlns:a14="http://schemas.microsoft.com/office/drawing/2010/main" xmlns=""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293" name="Group Box 111" hidden="1">
          <a:extLst>
            <a:ext uri="{63B3BB69-23CF-44E3-9099-C40C66FF867C}">
              <a14:compatExt xmlns:a14="http://schemas.microsoft.com/office/drawing/2010/main" xmlns=""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294" name="Group Box 146" hidden="1">
          <a:extLst>
            <a:ext uri="{63B3BB69-23CF-44E3-9099-C40C66FF867C}">
              <a14:compatExt xmlns:a14="http://schemas.microsoft.com/office/drawing/2010/main" xmlns=""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295" name="Group Box 151" hidden="1">
          <a:extLst>
            <a:ext uri="{63B3BB69-23CF-44E3-9099-C40C66FF867C}">
              <a14:compatExt xmlns:a14="http://schemas.microsoft.com/office/drawing/2010/main" xmlns=""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296" name="Group Box 156" hidden="1">
          <a:extLst>
            <a:ext uri="{63B3BB69-23CF-44E3-9099-C40C66FF867C}">
              <a14:compatExt xmlns:a14="http://schemas.microsoft.com/office/drawing/2010/main" xmlns=""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297" name="Group Box 161" hidden="1">
          <a:extLst>
            <a:ext uri="{63B3BB69-23CF-44E3-9099-C40C66FF867C}">
              <a14:compatExt xmlns:a14="http://schemas.microsoft.com/office/drawing/2010/main" xmlns=""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298" name="Group Box 171" hidden="1">
          <a:extLst>
            <a:ext uri="{63B3BB69-23CF-44E3-9099-C40C66FF867C}">
              <a14:compatExt xmlns:a14="http://schemas.microsoft.com/office/drawing/2010/main" xmlns=""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299" name="Group Box 176" hidden="1">
          <a:extLst>
            <a:ext uri="{63B3BB69-23CF-44E3-9099-C40C66FF867C}">
              <a14:compatExt xmlns:a14="http://schemas.microsoft.com/office/drawing/2010/main" xmlns=""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300" name="Group Box 181" hidden="1">
          <a:extLst>
            <a:ext uri="{63B3BB69-23CF-44E3-9099-C40C66FF867C}">
              <a14:compatExt xmlns:a14="http://schemas.microsoft.com/office/drawing/2010/main" xmlns=""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301" name="Group Box 186" hidden="1">
          <a:extLst>
            <a:ext uri="{63B3BB69-23CF-44E3-9099-C40C66FF867C}">
              <a14:compatExt xmlns:a14="http://schemas.microsoft.com/office/drawing/2010/main" xmlns="" spid="_x0000_s533733"/>
            </a:ext>
          </a:extLst>
        </xdr:cNvPr>
        <xdr:cNvSpPr/>
      </xdr:nvSpPr>
      <xdr:spPr>
        <a:xfrm>
          <a:off x="12061825" y="5051425"/>
          <a:ext cx="1431925" cy="22860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302" name="Group Box 5" hidden="1">
          <a:extLst>
            <a:ext uri="{63B3BB69-23CF-44E3-9099-C40C66FF867C}">
              <a14:compatExt xmlns:a14="http://schemas.microsoft.com/office/drawing/2010/main" xmlns=""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303" name="Group Box 10" hidden="1">
          <a:extLst>
            <a:ext uri="{63B3BB69-23CF-44E3-9099-C40C66FF867C}">
              <a14:compatExt xmlns:a14="http://schemas.microsoft.com/office/drawing/2010/main" xmlns=""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304" name="Group Box 15" hidden="1">
          <a:extLst>
            <a:ext uri="{63B3BB69-23CF-44E3-9099-C40C66FF867C}">
              <a14:compatExt xmlns:a14="http://schemas.microsoft.com/office/drawing/2010/main" xmlns=""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305" name="Group Box 25" hidden="1">
          <a:extLst>
            <a:ext uri="{63B3BB69-23CF-44E3-9099-C40C66FF867C}">
              <a14:compatExt xmlns:a14="http://schemas.microsoft.com/office/drawing/2010/main" xmlns=""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306" name="Group Box 30" hidden="1">
          <a:extLst>
            <a:ext uri="{63B3BB69-23CF-44E3-9099-C40C66FF867C}">
              <a14:compatExt xmlns:a14="http://schemas.microsoft.com/office/drawing/2010/main" xmlns=""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307" name="Group Box 35" hidden="1">
          <a:extLst>
            <a:ext uri="{63B3BB69-23CF-44E3-9099-C40C66FF867C}">
              <a14:compatExt xmlns:a14="http://schemas.microsoft.com/office/drawing/2010/main" xmlns=""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308" name="Group Box 40" hidden="1">
          <a:extLst>
            <a:ext uri="{63B3BB69-23CF-44E3-9099-C40C66FF867C}">
              <a14:compatExt xmlns:a14="http://schemas.microsoft.com/office/drawing/2010/main" xmlns=""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309" name="Group Box 46" hidden="1">
          <a:extLst>
            <a:ext uri="{63B3BB69-23CF-44E3-9099-C40C66FF867C}">
              <a14:compatExt xmlns:a14="http://schemas.microsoft.com/office/drawing/2010/main" xmlns=""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310" name="Group Box 51" hidden="1">
          <a:extLst>
            <a:ext uri="{63B3BB69-23CF-44E3-9099-C40C66FF867C}">
              <a14:compatExt xmlns:a14="http://schemas.microsoft.com/office/drawing/2010/main" xmlns=""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311" name="Group Box 56" hidden="1">
          <a:extLst>
            <a:ext uri="{63B3BB69-23CF-44E3-9099-C40C66FF867C}">
              <a14:compatExt xmlns:a14="http://schemas.microsoft.com/office/drawing/2010/main" xmlns=""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312" name="Group Box 61" hidden="1">
          <a:extLst>
            <a:ext uri="{63B3BB69-23CF-44E3-9099-C40C66FF867C}">
              <a14:compatExt xmlns:a14="http://schemas.microsoft.com/office/drawing/2010/main" xmlns=""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313" name="Group Box 96" hidden="1">
          <a:extLst>
            <a:ext uri="{63B3BB69-23CF-44E3-9099-C40C66FF867C}">
              <a14:compatExt xmlns:a14="http://schemas.microsoft.com/office/drawing/2010/main" xmlns=""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314" name="Group Box 101" hidden="1">
          <a:extLst>
            <a:ext uri="{63B3BB69-23CF-44E3-9099-C40C66FF867C}">
              <a14:compatExt xmlns:a14="http://schemas.microsoft.com/office/drawing/2010/main" xmlns=""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315" name="Group Box 106" hidden="1">
          <a:extLst>
            <a:ext uri="{63B3BB69-23CF-44E3-9099-C40C66FF867C}">
              <a14:compatExt xmlns:a14="http://schemas.microsoft.com/office/drawing/2010/main" xmlns=""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316" name="Group Box 111" hidden="1">
          <a:extLst>
            <a:ext uri="{63B3BB69-23CF-44E3-9099-C40C66FF867C}">
              <a14:compatExt xmlns:a14="http://schemas.microsoft.com/office/drawing/2010/main" xmlns=""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317" name="Group Box 146" hidden="1">
          <a:extLst>
            <a:ext uri="{63B3BB69-23CF-44E3-9099-C40C66FF867C}">
              <a14:compatExt xmlns:a14="http://schemas.microsoft.com/office/drawing/2010/main" xmlns=""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318" name="Group Box 151" hidden="1">
          <a:extLst>
            <a:ext uri="{63B3BB69-23CF-44E3-9099-C40C66FF867C}">
              <a14:compatExt xmlns:a14="http://schemas.microsoft.com/office/drawing/2010/main" xmlns=""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319" name="Group Box 156" hidden="1">
          <a:extLst>
            <a:ext uri="{63B3BB69-23CF-44E3-9099-C40C66FF867C}">
              <a14:compatExt xmlns:a14="http://schemas.microsoft.com/office/drawing/2010/main" xmlns=""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320" name="Group Box 161" hidden="1">
          <a:extLst>
            <a:ext uri="{63B3BB69-23CF-44E3-9099-C40C66FF867C}">
              <a14:compatExt xmlns:a14="http://schemas.microsoft.com/office/drawing/2010/main" xmlns=""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321" name="Group Box 171" hidden="1">
          <a:extLst>
            <a:ext uri="{63B3BB69-23CF-44E3-9099-C40C66FF867C}">
              <a14:compatExt xmlns:a14="http://schemas.microsoft.com/office/drawing/2010/main" xmlns=""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322" name="Group Box 176" hidden="1">
          <a:extLst>
            <a:ext uri="{63B3BB69-23CF-44E3-9099-C40C66FF867C}">
              <a14:compatExt xmlns:a14="http://schemas.microsoft.com/office/drawing/2010/main" xmlns=""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323" name="Group Box 181" hidden="1">
          <a:extLst>
            <a:ext uri="{63B3BB69-23CF-44E3-9099-C40C66FF867C}">
              <a14:compatExt xmlns:a14="http://schemas.microsoft.com/office/drawing/2010/main" xmlns=""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324" name="Group Box 186" hidden="1">
          <a:extLst>
            <a:ext uri="{63B3BB69-23CF-44E3-9099-C40C66FF867C}">
              <a14:compatExt xmlns:a14="http://schemas.microsoft.com/office/drawing/2010/main" xmlns="" spid="_x0000_s533733"/>
            </a:ext>
          </a:extLst>
        </xdr:cNvPr>
        <xdr:cNvSpPr/>
      </xdr:nvSpPr>
      <xdr:spPr>
        <a:xfrm>
          <a:off x="12061825" y="5051425"/>
          <a:ext cx="1431925" cy="22860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325" name="Group Box 5" hidden="1">
          <a:extLst>
            <a:ext uri="{63B3BB69-23CF-44E3-9099-C40C66FF867C}">
              <a14:compatExt xmlns:a14="http://schemas.microsoft.com/office/drawing/2010/main" xmlns=""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326" name="Group Box 10" hidden="1">
          <a:extLst>
            <a:ext uri="{63B3BB69-23CF-44E3-9099-C40C66FF867C}">
              <a14:compatExt xmlns:a14="http://schemas.microsoft.com/office/drawing/2010/main" xmlns=""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327" name="Group Box 15" hidden="1">
          <a:extLst>
            <a:ext uri="{63B3BB69-23CF-44E3-9099-C40C66FF867C}">
              <a14:compatExt xmlns:a14="http://schemas.microsoft.com/office/drawing/2010/main" xmlns=""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328" name="Group Box 25" hidden="1">
          <a:extLst>
            <a:ext uri="{63B3BB69-23CF-44E3-9099-C40C66FF867C}">
              <a14:compatExt xmlns:a14="http://schemas.microsoft.com/office/drawing/2010/main" xmlns=""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329" name="Group Box 30" hidden="1">
          <a:extLst>
            <a:ext uri="{63B3BB69-23CF-44E3-9099-C40C66FF867C}">
              <a14:compatExt xmlns:a14="http://schemas.microsoft.com/office/drawing/2010/main" xmlns=""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330" name="Group Box 35" hidden="1">
          <a:extLst>
            <a:ext uri="{63B3BB69-23CF-44E3-9099-C40C66FF867C}">
              <a14:compatExt xmlns:a14="http://schemas.microsoft.com/office/drawing/2010/main" xmlns=""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331" name="Group Box 40" hidden="1">
          <a:extLst>
            <a:ext uri="{63B3BB69-23CF-44E3-9099-C40C66FF867C}">
              <a14:compatExt xmlns:a14="http://schemas.microsoft.com/office/drawing/2010/main" xmlns=""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332" name="Group Box 46" hidden="1">
          <a:extLst>
            <a:ext uri="{63B3BB69-23CF-44E3-9099-C40C66FF867C}">
              <a14:compatExt xmlns:a14="http://schemas.microsoft.com/office/drawing/2010/main" xmlns=""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333" name="Group Box 51" hidden="1">
          <a:extLst>
            <a:ext uri="{63B3BB69-23CF-44E3-9099-C40C66FF867C}">
              <a14:compatExt xmlns:a14="http://schemas.microsoft.com/office/drawing/2010/main" xmlns=""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334" name="Group Box 56" hidden="1">
          <a:extLst>
            <a:ext uri="{63B3BB69-23CF-44E3-9099-C40C66FF867C}">
              <a14:compatExt xmlns:a14="http://schemas.microsoft.com/office/drawing/2010/main" xmlns=""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335" name="Group Box 61" hidden="1">
          <a:extLst>
            <a:ext uri="{63B3BB69-23CF-44E3-9099-C40C66FF867C}">
              <a14:compatExt xmlns:a14="http://schemas.microsoft.com/office/drawing/2010/main" xmlns=""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336" name="Group Box 96" hidden="1">
          <a:extLst>
            <a:ext uri="{63B3BB69-23CF-44E3-9099-C40C66FF867C}">
              <a14:compatExt xmlns:a14="http://schemas.microsoft.com/office/drawing/2010/main" xmlns=""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337" name="Group Box 101" hidden="1">
          <a:extLst>
            <a:ext uri="{63B3BB69-23CF-44E3-9099-C40C66FF867C}">
              <a14:compatExt xmlns:a14="http://schemas.microsoft.com/office/drawing/2010/main" xmlns=""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338" name="Group Box 106" hidden="1">
          <a:extLst>
            <a:ext uri="{63B3BB69-23CF-44E3-9099-C40C66FF867C}">
              <a14:compatExt xmlns:a14="http://schemas.microsoft.com/office/drawing/2010/main" xmlns=""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339" name="Group Box 111" hidden="1">
          <a:extLst>
            <a:ext uri="{63B3BB69-23CF-44E3-9099-C40C66FF867C}">
              <a14:compatExt xmlns:a14="http://schemas.microsoft.com/office/drawing/2010/main" xmlns=""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340" name="Group Box 146" hidden="1">
          <a:extLst>
            <a:ext uri="{63B3BB69-23CF-44E3-9099-C40C66FF867C}">
              <a14:compatExt xmlns:a14="http://schemas.microsoft.com/office/drawing/2010/main" xmlns=""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341" name="Group Box 151" hidden="1">
          <a:extLst>
            <a:ext uri="{63B3BB69-23CF-44E3-9099-C40C66FF867C}">
              <a14:compatExt xmlns:a14="http://schemas.microsoft.com/office/drawing/2010/main" xmlns=""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342" name="Group Box 156" hidden="1">
          <a:extLst>
            <a:ext uri="{63B3BB69-23CF-44E3-9099-C40C66FF867C}">
              <a14:compatExt xmlns:a14="http://schemas.microsoft.com/office/drawing/2010/main" xmlns=""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343" name="Group Box 161" hidden="1">
          <a:extLst>
            <a:ext uri="{63B3BB69-23CF-44E3-9099-C40C66FF867C}">
              <a14:compatExt xmlns:a14="http://schemas.microsoft.com/office/drawing/2010/main" xmlns=""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344" name="Group Box 171" hidden="1">
          <a:extLst>
            <a:ext uri="{63B3BB69-23CF-44E3-9099-C40C66FF867C}">
              <a14:compatExt xmlns:a14="http://schemas.microsoft.com/office/drawing/2010/main" xmlns=""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345" name="Group Box 176" hidden="1">
          <a:extLst>
            <a:ext uri="{63B3BB69-23CF-44E3-9099-C40C66FF867C}">
              <a14:compatExt xmlns:a14="http://schemas.microsoft.com/office/drawing/2010/main" xmlns=""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346" name="Group Box 181" hidden="1">
          <a:extLst>
            <a:ext uri="{63B3BB69-23CF-44E3-9099-C40C66FF867C}">
              <a14:compatExt xmlns:a14="http://schemas.microsoft.com/office/drawing/2010/main" xmlns=""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347" name="Group Box 186" hidden="1">
          <a:extLst>
            <a:ext uri="{63B3BB69-23CF-44E3-9099-C40C66FF867C}">
              <a14:compatExt xmlns:a14="http://schemas.microsoft.com/office/drawing/2010/main" xmlns="" spid="_x0000_s533733"/>
            </a:ext>
          </a:extLst>
        </xdr:cNvPr>
        <xdr:cNvSpPr/>
      </xdr:nvSpPr>
      <xdr:spPr>
        <a:xfrm>
          <a:off x="12061825" y="5051425"/>
          <a:ext cx="1431925" cy="22860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348" name="Group Box 5" hidden="1">
          <a:extLst>
            <a:ext uri="{63B3BB69-23CF-44E3-9099-C40C66FF867C}">
              <a14:compatExt xmlns:a14="http://schemas.microsoft.com/office/drawing/2010/main" xmlns=""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49" name="Group Box 10" hidden="1">
          <a:extLst>
            <a:ext uri="{63B3BB69-23CF-44E3-9099-C40C66FF867C}">
              <a14:compatExt xmlns:a14="http://schemas.microsoft.com/office/drawing/2010/main" xmlns=""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350" name="Group Box 15" hidden="1">
          <a:extLst>
            <a:ext uri="{63B3BB69-23CF-44E3-9099-C40C66FF867C}">
              <a14:compatExt xmlns:a14="http://schemas.microsoft.com/office/drawing/2010/main" xmlns=""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351" name="Group Box 25" hidden="1">
          <a:extLst>
            <a:ext uri="{63B3BB69-23CF-44E3-9099-C40C66FF867C}">
              <a14:compatExt xmlns:a14="http://schemas.microsoft.com/office/drawing/2010/main" xmlns=""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52" name="Group Box 30" hidden="1">
          <a:extLst>
            <a:ext uri="{63B3BB69-23CF-44E3-9099-C40C66FF867C}">
              <a14:compatExt xmlns:a14="http://schemas.microsoft.com/office/drawing/2010/main" xmlns=""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53" name="Group Box 35" hidden="1">
          <a:extLst>
            <a:ext uri="{63B3BB69-23CF-44E3-9099-C40C66FF867C}">
              <a14:compatExt xmlns:a14="http://schemas.microsoft.com/office/drawing/2010/main" xmlns=""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54" name="Group Box 40" hidden="1">
          <a:extLst>
            <a:ext uri="{63B3BB69-23CF-44E3-9099-C40C66FF867C}">
              <a14:compatExt xmlns:a14="http://schemas.microsoft.com/office/drawing/2010/main" xmlns=""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55" name="Group Box 46" hidden="1">
          <a:extLst>
            <a:ext uri="{63B3BB69-23CF-44E3-9099-C40C66FF867C}">
              <a14:compatExt xmlns:a14="http://schemas.microsoft.com/office/drawing/2010/main" xmlns=""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56" name="Group Box 51" hidden="1">
          <a:extLst>
            <a:ext uri="{63B3BB69-23CF-44E3-9099-C40C66FF867C}">
              <a14:compatExt xmlns:a14="http://schemas.microsoft.com/office/drawing/2010/main" xmlns=""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57" name="Group Box 56" hidden="1">
          <a:extLst>
            <a:ext uri="{63B3BB69-23CF-44E3-9099-C40C66FF867C}">
              <a14:compatExt xmlns:a14="http://schemas.microsoft.com/office/drawing/2010/main" xmlns=""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58" name="Group Box 61" hidden="1">
          <a:extLst>
            <a:ext uri="{63B3BB69-23CF-44E3-9099-C40C66FF867C}">
              <a14:compatExt xmlns:a14="http://schemas.microsoft.com/office/drawing/2010/main" xmlns=""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59" name="Group Box 96" hidden="1">
          <a:extLst>
            <a:ext uri="{63B3BB69-23CF-44E3-9099-C40C66FF867C}">
              <a14:compatExt xmlns:a14="http://schemas.microsoft.com/office/drawing/2010/main" xmlns=""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60" name="Group Box 101" hidden="1">
          <a:extLst>
            <a:ext uri="{63B3BB69-23CF-44E3-9099-C40C66FF867C}">
              <a14:compatExt xmlns:a14="http://schemas.microsoft.com/office/drawing/2010/main" xmlns=""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61" name="Group Box 106" hidden="1">
          <a:extLst>
            <a:ext uri="{63B3BB69-23CF-44E3-9099-C40C66FF867C}">
              <a14:compatExt xmlns:a14="http://schemas.microsoft.com/office/drawing/2010/main" xmlns=""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362" name="Group Box 111" hidden="1">
          <a:extLst>
            <a:ext uri="{63B3BB69-23CF-44E3-9099-C40C66FF867C}">
              <a14:compatExt xmlns:a14="http://schemas.microsoft.com/office/drawing/2010/main" xmlns=""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363" name="Group Box 146" hidden="1">
          <a:extLst>
            <a:ext uri="{63B3BB69-23CF-44E3-9099-C40C66FF867C}">
              <a14:compatExt xmlns:a14="http://schemas.microsoft.com/office/drawing/2010/main" xmlns=""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364" name="Group Box 151" hidden="1">
          <a:extLst>
            <a:ext uri="{63B3BB69-23CF-44E3-9099-C40C66FF867C}">
              <a14:compatExt xmlns:a14="http://schemas.microsoft.com/office/drawing/2010/main" xmlns=""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365" name="Group Box 156" hidden="1">
          <a:extLst>
            <a:ext uri="{63B3BB69-23CF-44E3-9099-C40C66FF867C}">
              <a14:compatExt xmlns:a14="http://schemas.microsoft.com/office/drawing/2010/main" xmlns=""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366" name="Group Box 161" hidden="1">
          <a:extLst>
            <a:ext uri="{63B3BB69-23CF-44E3-9099-C40C66FF867C}">
              <a14:compatExt xmlns:a14="http://schemas.microsoft.com/office/drawing/2010/main" xmlns=""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367" name="Group Box 171" hidden="1">
          <a:extLst>
            <a:ext uri="{63B3BB69-23CF-44E3-9099-C40C66FF867C}">
              <a14:compatExt xmlns:a14="http://schemas.microsoft.com/office/drawing/2010/main" xmlns=""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368" name="Group Box 176" hidden="1">
          <a:extLst>
            <a:ext uri="{63B3BB69-23CF-44E3-9099-C40C66FF867C}">
              <a14:compatExt xmlns:a14="http://schemas.microsoft.com/office/drawing/2010/main" xmlns=""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369" name="Group Box 181" hidden="1">
          <a:extLst>
            <a:ext uri="{63B3BB69-23CF-44E3-9099-C40C66FF867C}">
              <a14:compatExt xmlns:a14="http://schemas.microsoft.com/office/drawing/2010/main" xmlns=""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370" name="Group Box 186" hidden="1">
          <a:extLst>
            <a:ext uri="{63B3BB69-23CF-44E3-9099-C40C66FF867C}">
              <a14:compatExt xmlns:a14="http://schemas.microsoft.com/office/drawing/2010/main" xmlns=""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371" name="Group Box 5" hidden="1">
          <a:extLst>
            <a:ext uri="{63B3BB69-23CF-44E3-9099-C40C66FF867C}">
              <a14:compatExt xmlns:a14="http://schemas.microsoft.com/office/drawing/2010/main" xmlns=""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72" name="Group Box 10" hidden="1">
          <a:extLst>
            <a:ext uri="{63B3BB69-23CF-44E3-9099-C40C66FF867C}">
              <a14:compatExt xmlns:a14="http://schemas.microsoft.com/office/drawing/2010/main" xmlns=""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373" name="Group Box 15" hidden="1">
          <a:extLst>
            <a:ext uri="{63B3BB69-23CF-44E3-9099-C40C66FF867C}">
              <a14:compatExt xmlns:a14="http://schemas.microsoft.com/office/drawing/2010/main" xmlns=""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374" name="Group Box 25" hidden="1">
          <a:extLst>
            <a:ext uri="{63B3BB69-23CF-44E3-9099-C40C66FF867C}">
              <a14:compatExt xmlns:a14="http://schemas.microsoft.com/office/drawing/2010/main" xmlns=""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75" name="Group Box 30" hidden="1">
          <a:extLst>
            <a:ext uri="{63B3BB69-23CF-44E3-9099-C40C66FF867C}">
              <a14:compatExt xmlns:a14="http://schemas.microsoft.com/office/drawing/2010/main" xmlns=""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76" name="Group Box 35" hidden="1">
          <a:extLst>
            <a:ext uri="{63B3BB69-23CF-44E3-9099-C40C66FF867C}">
              <a14:compatExt xmlns:a14="http://schemas.microsoft.com/office/drawing/2010/main" xmlns=""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77" name="Group Box 40" hidden="1">
          <a:extLst>
            <a:ext uri="{63B3BB69-23CF-44E3-9099-C40C66FF867C}">
              <a14:compatExt xmlns:a14="http://schemas.microsoft.com/office/drawing/2010/main" xmlns=""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78" name="Group Box 46" hidden="1">
          <a:extLst>
            <a:ext uri="{63B3BB69-23CF-44E3-9099-C40C66FF867C}">
              <a14:compatExt xmlns:a14="http://schemas.microsoft.com/office/drawing/2010/main" xmlns=""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79" name="Group Box 51" hidden="1">
          <a:extLst>
            <a:ext uri="{63B3BB69-23CF-44E3-9099-C40C66FF867C}">
              <a14:compatExt xmlns:a14="http://schemas.microsoft.com/office/drawing/2010/main" xmlns=""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80" name="Group Box 56" hidden="1">
          <a:extLst>
            <a:ext uri="{63B3BB69-23CF-44E3-9099-C40C66FF867C}">
              <a14:compatExt xmlns:a14="http://schemas.microsoft.com/office/drawing/2010/main" xmlns=""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81" name="Group Box 61" hidden="1">
          <a:extLst>
            <a:ext uri="{63B3BB69-23CF-44E3-9099-C40C66FF867C}">
              <a14:compatExt xmlns:a14="http://schemas.microsoft.com/office/drawing/2010/main" xmlns=""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82" name="Group Box 96" hidden="1">
          <a:extLst>
            <a:ext uri="{63B3BB69-23CF-44E3-9099-C40C66FF867C}">
              <a14:compatExt xmlns:a14="http://schemas.microsoft.com/office/drawing/2010/main" xmlns=""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83" name="Group Box 101" hidden="1">
          <a:extLst>
            <a:ext uri="{63B3BB69-23CF-44E3-9099-C40C66FF867C}">
              <a14:compatExt xmlns:a14="http://schemas.microsoft.com/office/drawing/2010/main" xmlns=""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84" name="Group Box 106" hidden="1">
          <a:extLst>
            <a:ext uri="{63B3BB69-23CF-44E3-9099-C40C66FF867C}">
              <a14:compatExt xmlns:a14="http://schemas.microsoft.com/office/drawing/2010/main" xmlns=""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385" name="Group Box 111" hidden="1">
          <a:extLst>
            <a:ext uri="{63B3BB69-23CF-44E3-9099-C40C66FF867C}">
              <a14:compatExt xmlns:a14="http://schemas.microsoft.com/office/drawing/2010/main" xmlns=""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386" name="Group Box 146" hidden="1">
          <a:extLst>
            <a:ext uri="{63B3BB69-23CF-44E3-9099-C40C66FF867C}">
              <a14:compatExt xmlns:a14="http://schemas.microsoft.com/office/drawing/2010/main" xmlns=""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387" name="Group Box 151" hidden="1">
          <a:extLst>
            <a:ext uri="{63B3BB69-23CF-44E3-9099-C40C66FF867C}">
              <a14:compatExt xmlns:a14="http://schemas.microsoft.com/office/drawing/2010/main" xmlns=""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388" name="Group Box 156" hidden="1">
          <a:extLst>
            <a:ext uri="{63B3BB69-23CF-44E3-9099-C40C66FF867C}">
              <a14:compatExt xmlns:a14="http://schemas.microsoft.com/office/drawing/2010/main" xmlns=""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389" name="Group Box 161" hidden="1">
          <a:extLst>
            <a:ext uri="{63B3BB69-23CF-44E3-9099-C40C66FF867C}">
              <a14:compatExt xmlns:a14="http://schemas.microsoft.com/office/drawing/2010/main" xmlns=""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390" name="Group Box 171" hidden="1">
          <a:extLst>
            <a:ext uri="{63B3BB69-23CF-44E3-9099-C40C66FF867C}">
              <a14:compatExt xmlns:a14="http://schemas.microsoft.com/office/drawing/2010/main" xmlns=""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391" name="Group Box 176" hidden="1">
          <a:extLst>
            <a:ext uri="{63B3BB69-23CF-44E3-9099-C40C66FF867C}">
              <a14:compatExt xmlns:a14="http://schemas.microsoft.com/office/drawing/2010/main" xmlns=""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392" name="Group Box 181" hidden="1">
          <a:extLst>
            <a:ext uri="{63B3BB69-23CF-44E3-9099-C40C66FF867C}">
              <a14:compatExt xmlns:a14="http://schemas.microsoft.com/office/drawing/2010/main" xmlns=""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393" name="Group Box 186" hidden="1">
          <a:extLst>
            <a:ext uri="{63B3BB69-23CF-44E3-9099-C40C66FF867C}">
              <a14:compatExt xmlns:a14="http://schemas.microsoft.com/office/drawing/2010/main" xmlns=""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394"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95"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396"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397"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98"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99"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00"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01"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02"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03"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04"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05"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06"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07"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08"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09"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10"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11"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12"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13"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14"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15"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16"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17"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18"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19"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20"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21"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22"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23"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24"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25"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26"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27"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28"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29"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30"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31"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32"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33"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34"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35"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36"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37"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38"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39"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40"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41"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42"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43"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44"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45"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46"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47"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48"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49"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50"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51"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52"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53"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54"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55"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56"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57"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58"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59"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60"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61"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62"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63"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64"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65"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66"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67"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68"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69"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70"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71"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72"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73"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74"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75"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76"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77"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78"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79"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80"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81"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82"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83"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84"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85"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86"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87"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88"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89"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90"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91"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92"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93"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94"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95"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96"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97"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98"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99"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00"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01"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02"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03"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04"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05"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06"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07"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08"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00" name="Group Box 5" hidden="1">
          <a:extLst>
            <a:ext uri="{63B3BB69-23CF-44E3-9099-C40C66FF867C}">
              <a14:compatExt xmlns:a14="http://schemas.microsoft.com/office/drawing/2010/main" xmlns=""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01" name="Group Box 10" hidden="1">
          <a:extLst>
            <a:ext uri="{63B3BB69-23CF-44E3-9099-C40C66FF867C}">
              <a14:compatExt xmlns:a14="http://schemas.microsoft.com/office/drawing/2010/main" xmlns=""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02" name="Group Box 15" hidden="1">
          <a:extLst>
            <a:ext uri="{63B3BB69-23CF-44E3-9099-C40C66FF867C}">
              <a14:compatExt xmlns:a14="http://schemas.microsoft.com/office/drawing/2010/main" xmlns=""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03" name="Group Box 25" hidden="1">
          <a:extLst>
            <a:ext uri="{63B3BB69-23CF-44E3-9099-C40C66FF867C}">
              <a14:compatExt xmlns:a14="http://schemas.microsoft.com/office/drawing/2010/main" xmlns=""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04" name="Group Box 30" hidden="1">
          <a:extLst>
            <a:ext uri="{63B3BB69-23CF-44E3-9099-C40C66FF867C}">
              <a14:compatExt xmlns:a14="http://schemas.microsoft.com/office/drawing/2010/main" xmlns=""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05" name="Group Box 35" hidden="1">
          <a:extLst>
            <a:ext uri="{63B3BB69-23CF-44E3-9099-C40C66FF867C}">
              <a14:compatExt xmlns:a14="http://schemas.microsoft.com/office/drawing/2010/main" xmlns=""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06" name="Group Box 40" hidden="1">
          <a:extLst>
            <a:ext uri="{63B3BB69-23CF-44E3-9099-C40C66FF867C}">
              <a14:compatExt xmlns:a14="http://schemas.microsoft.com/office/drawing/2010/main" xmlns=""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07" name="Group Box 46" hidden="1">
          <a:extLst>
            <a:ext uri="{63B3BB69-23CF-44E3-9099-C40C66FF867C}">
              <a14:compatExt xmlns:a14="http://schemas.microsoft.com/office/drawing/2010/main" xmlns=""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08" name="Group Box 51" hidden="1">
          <a:extLst>
            <a:ext uri="{63B3BB69-23CF-44E3-9099-C40C66FF867C}">
              <a14:compatExt xmlns:a14="http://schemas.microsoft.com/office/drawing/2010/main" xmlns=""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09" name="Group Box 56" hidden="1">
          <a:extLst>
            <a:ext uri="{63B3BB69-23CF-44E3-9099-C40C66FF867C}">
              <a14:compatExt xmlns:a14="http://schemas.microsoft.com/office/drawing/2010/main" xmlns=""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10" name="Group Box 61" hidden="1">
          <a:extLst>
            <a:ext uri="{63B3BB69-23CF-44E3-9099-C40C66FF867C}">
              <a14:compatExt xmlns:a14="http://schemas.microsoft.com/office/drawing/2010/main" xmlns=""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11" name="Group Box 96" hidden="1">
          <a:extLst>
            <a:ext uri="{63B3BB69-23CF-44E3-9099-C40C66FF867C}">
              <a14:compatExt xmlns:a14="http://schemas.microsoft.com/office/drawing/2010/main" xmlns=""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12" name="Group Box 101" hidden="1">
          <a:extLst>
            <a:ext uri="{63B3BB69-23CF-44E3-9099-C40C66FF867C}">
              <a14:compatExt xmlns:a14="http://schemas.microsoft.com/office/drawing/2010/main" xmlns=""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13" name="Group Box 106" hidden="1">
          <a:extLst>
            <a:ext uri="{63B3BB69-23CF-44E3-9099-C40C66FF867C}">
              <a14:compatExt xmlns:a14="http://schemas.microsoft.com/office/drawing/2010/main" xmlns=""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14" name="Group Box 111" hidden="1">
          <a:extLst>
            <a:ext uri="{63B3BB69-23CF-44E3-9099-C40C66FF867C}">
              <a14:compatExt xmlns:a14="http://schemas.microsoft.com/office/drawing/2010/main" xmlns=""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15" name="Group Box 146" hidden="1">
          <a:extLst>
            <a:ext uri="{63B3BB69-23CF-44E3-9099-C40C66FF867C}">
              <a14:compatExt xmlns:a14="http://schemas.microsoft.com/office/drawing/2010/main" xmlns=""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16" name="Group Box 151" hidden="1">
          <a:extLst>
            <a:ext uri="{63B3BB69-23CF-44E3-9099-C40C66FF867C}">
              <a14:compatExt xmlns:a14="http://schemas.microsoft.com/office/drawing/2010/main" xmlns=""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17" name="Group Box 156" hidden="1">
          <a:extLst>
            <a:ext uri="{63B3BB69-23CF-44E3-9099-C40C66FF867C}">
              <a14:compatExt xmlns:a14="http://schemas.microsoft.com/office/drawing/2010/main" xmlns=""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18" name="Group Box 161" hidden="1">
          <a:extLst>
            <a:ext uri="{63B3BB69-23CF-44E3-9099-C40C66FF867C}">
              <a14:compatExt xmlns:a14="http://schemas.microsoft.com/office/drawing/2010/main" xmlns=""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19" name="Group Box 171" hidden="1">
          <a:extLst>
            <a:ext uri="{63B3BB69-23CF-44E3-9099-C40C66FF867C}">
              <a14:compatExt xmlns:a14="http://schemas.microsoft.com/office/drawing/2010/main" xmlns=""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20" name="Group Box 176" hidden="1">
          <a:extLst>
            <a:ext uri="{63B3BB69-23CF-44E3-9099-C40C66FF867C}">
              <a14:compatExt xmlns:a14="http://schemas.microsoft.com/office/drawing/2010/main" xmlns=""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21" name="Group Box 181" hidden="1">
          <a:extLst>
            <a:ext uri="{63B3BB69-23CF-44E3-9099-C40C66FF867C}">
              <a14:compatExt xmlns:a14="http://schemas.microsoft.com/office/drawing/2010/main" xmlns=""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22" name="Group Box 186" hidden="1">
          <a:extLst>
            <a:ext uri="{63B3BB69-23CF-44E3-9099-C40C66FF867C}">
              <a14:compatExt xmlns:a14="http://schemas.microsoft.com/office/drawing/2010/main" xmlns=""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23"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24"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25"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26"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27"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28"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29"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30"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31"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32"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33"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34"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35"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36"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37"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38"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39"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40"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41"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42"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43"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44"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45"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812224" name="Group Box 5" hidden="1">
          <a:extLst>
            <a:ext uri="{63B3BB69-23CF-44E3-9099-C40C66FF867C}">
              <a14:compatExt xmlns:a14="http://schemas.microsoft.com/office/drawing/2010/main" xmlns="" spid="_x0000_s8122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12225" name="Group Box 10" hidden="1">
          <a:extLst>
            <a:ext uri="{63B3BB69-23CF-44E3-9099-C40C66FF867C}">
              <a14:compatExt xmlns:a14="http://schemas.microsoft.com/office/drawing/2010/main" xmlns="" spid="_x0000_s8122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12226" name="Group Box 15" hidden="1">
          <a:extLst>
            <a:ext uri="{63B3BB69-23CF-44E3-9099-C40C66FF867C}">
              <a14:compatExt xmlns:a14="http://schemas.microsoft.com/office/drawing/2010/main" xmlns="" spid="_x0000_s8122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12227" name="Group Box 25" hidden="1">
          <a:extLst>
            <a:ext uri="{63B3BB69-23CF-44E3-9099-C40C66FF867C}">
              <a14:compatExt xmlns:a14="http://schemas.microsoft.com/office/drawing/2010/main" xmlns="" spid="_x0000_s8122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12228" name="Group Box 30" hidden="1">
          <a:extLst>
            <a:ext uri="{63B3BB69-23CF-44E3-9099-C40C66FF867C}">
              <a14:compatExt xmlns:a14="http://schemas.microsoft.com/office/drawing/2010/main" xmlns="" spid="_x0000_s8122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12229" name="Group Box 35" hidden="1">
          <a:extLst>
            <a:ext uri="{63B3BB69-23CF-44E3-9099-C40C66FF867C}">
              <a14:compatExt xmlns:a14="http://schemas.microsoft.com/office/drawing/2010/main" xmlns="" spid="_x0000_s8122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12230" name="Group Box 40" hidden="1">
          <a:extLst>
            <a:ext uri="{63B3BB69-23CF-44E3-9099-C40C66FF867C}">
              <a14:compatExt xmlns:a14="http://schemas.microsoft.com/office/drawing/2010/main" xmlns="" spid="_x0000_s8122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12231" name="Group Box 46" hidden="1">
          <a:extLst>
            <a:ext uri="{63B3BB69-23CF-44E3-9099-C40C66FF867C}">
              <a14:compatExt xmlns:a14="http://schemas.microsoft.com/office/drawing/2010/main" xmlns="" spid="_x0000_s8122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12232" name="Group Box 51" hidden="1">
          <a:extLst>
            <a:ext uri="{63B3BB69-23CF-44E3-9099-C40C66FF867C}">
              <a14:compatExt xmlns:a14="http://schemas.microsoft.com/office/drawing/2010/main" xmlns="" spid="_x0000_s8122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2233" name="Group Box 56" hidden="1">
          <a:extLst>
            <a:ext uri="{63B3BB69-23CF-44E3-9099-C40C66FF867C}">
              <a14:compatExt xmlns:a14="http://schemas.microsoft.com/office/drawing/2010/main" xmlns="" spid="_x0000_s8122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12234" name="Group Box 61" hidden="1">
          <a:extLst>
            <a:ext uri="{63B3BB69-23CF-44E3-9099-C40C66FF867C}">
              <a14:compatExt xmlns:a14="http://schemas.microsoft.com/office/drawing/2010/main" xmlns="" spid="_x0000_s81223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2235" name="Group Box 96" hidden="1">
          <a:extLst>
            <a:ext uri="{63B3BB69-23CF-44E3-9099-C40C66FF867C}">
              <a14:compatExt xmlns:a14="http://schemas.microsoft.com/office/drawing/2010/main" xmlns="" spid="_x0000_s81223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2236" name="Group Box 101" hidden="1">
          <a:extLst>
            <a:ext uri="{63B3BB69-23CF-44E3-9099-C40C66FF867C}">
              <a14:compatExt xmlns:a14="http://schemas.microsoft.com/office/drawing/2010/main" xmlns="" spid="_x0000_s81223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2237" name="Group Box 106" hidden="1">
          <a:extLst>
            <a:ext uri="{63B3BB69-23CF-44E3-9099-C40C66FF867C}">
              <a14:compatExt xmlns:a14="http://schemas.microsoft.com/office/drawing/2010/main" xmlns="" spid="_x0000_s81223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2238" name="Group Box 111" hidden="1">
          <a:extLst>
            <a:ext uri="{63B3BB69-23CF-44E3-9099-C40C66FF867C}">
              <a14:compatExt xmlns:a14="http://schemas.microsoft.com/office/drawing/2010/main" xmlns="" spid="_x0000_s81223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2239" name="Group Box 146" hidden="1">
          <a:extLst>
            <a:ext uri="{63B3BB69-23CF-44E3-9099-C40C66FF867C}">
              <a14:compatExt xmlns:a14="http://schemas.microsoft.com/office/drawing/2010/main" xmlns="" spid="_x0000_s81223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2240" name="Group Box 151" hidden="1">
          <a:extLst>
            <a:ext uri="{63B3BB69-23CF-44E3-9099-C40C66FF867C}">
              <a14:compatExt xmlns:a14="http://schemas.microsoft.com/office/drawing/2010/main" xmlns="" spid="_x0000_s81224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2241" name="Group Box 156" hidden="1">
          <a:extLst>
            <a:ext uri="{63B3BB69-23CF-44E3-9099-C40C66FF867C}">
              <a14:compatExt xmlns:a14="http://schemas.microsoft.com/office/drawing/2010/main" xmlns="" spid="_x0000_s81224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2242" name="Group Box 161" hidden="1">
          <a:extLst>
            <a:ext uri="{63B3BB69-23CF-44E3-9099-C40C66FF867C}">
              <a14:compatExt xmlns:a14="http://schemas.microsoft.com/office/drawing/2010/main" xmlns="" spid="_x0000_s81224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2243" name="Group Box 171" hidden="1">
          <a:extLst>
            <a:ext uri="{63B3BB69-23CF-44E3-9099-C40C66FF867C}">
              <a14:compatExt xmlns:a14="http://schemas.microsoft.com/office/drawing/2010/main" xmlns="" spid="_x0000_s81224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2244" name="Group Box 176" hidden="1">
          <a:extLst>
            <a:ext uri="{63B3BB69-23CF-44E3-9099-C40C66FF867C}">
              <a14:compatExt xmlns:a14="http://schemas.microsoft.com/office/drawing/2010/main" xmlns="" spid="_x0000_s81224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2245" name="Group Box 181" hidden="1">
          <a:extLst>
            <a:ext uri="{63B3BB69-23CF-44E3-9099-C40C66FF867C}">
              <a14:compatExt xmlns:a14="http://schemas.microsoft.com/office/drawing/2010/main" xmlns="" spid="_x0000_s81224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2246" name="Group Box 186" hidden="1">
          <a:extLst>
            <a:ext uri="{63B3BB69-23CF-44E3-9099-C40C66FF867C}">
              <a14:compatExt xmlns:a14="http://schemas.microsoft.com/office/drawing/2010/main" xmlns="" spid="_x0000_s81224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xdr:from>
      <xdr:col>11</xdr:col>
      <xdr:colOff>9525</xdr:colOff>
      <xdr:row>1</xdr:row>
      <xdr:rowOff>0</xdr:rowOff>
    </xdr:from>
    <xdr:to>
      <xdr:col>18</xdr:col>
      <xdr:colOff>0</xdr:colOff>
      <xdr:row>15</xdr:row>
      <xdr:rowOff>152400</xdr:rowOff>
    </xdr:to>
    <xdr:graphicFrame macro="">
      <xdr:nvGraphicFramePr>
        <xdr:cNvPr id="769" name="Chart 76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 name="Group Box 5" hidden="1">
          <a:extLst>
            <a:ext uri="{63B3BB69-23CF-44E3-9099-C40C66FF867C}">
              <a14:compatExt xmlns:a14="http://schemas.microsoft.com/office/drawing/2010/main" xmlns="" spid="_x0000_s8122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09" name="Group Box 10" hidden="1">
          <a:extLst>
            <a:ext uri="{63B3BB69-23CF-44E3-9099-C40C66FF867C}">
              <a14:compatExt xmlns:a14="http://schemas.microsoft.com/office/drawing/2010/main" xmlns="" spid="_x0000_s8122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10" name="Group Box 15" hidden="1">
          <a:extLst>
            <a:ext uri="{63B3BB69-23CF-44E3-9099-C40C66FF867C}">
              <a14:compatExt xmlns:a14="http://schemas.microsoft.com/office/drawing/2010/main" xmlns="" spid="_x0000_s8122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11" name="Group Box 25" hidden="1">
          <a:extLst>
            <a:ext uri="{63B3BB69-23CF-44E3-9099-C40C66FF867C}">
              <a14:compatExt xmlns:a14="http://schemas.microsoft.com/office/drawing/2010/main" xmlns="" spid="_x0000_s8122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40" name="Group Box 30" hidden="1">
          <a:extLst>
            <a:ext uri="{63B3BB69-23CF-44E3-9099-C40C66FF867C}">
              <a14:compatExt xmlns:a14="http://schemas.microsoft.com/office/drawing/2010/main" xmlns="" spid="_x0000_s8122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641" name="Group Box 35" hidden="1">
          <a:extLst>
            <a:ext uri="{63B3BB69-23CF-44E3-9099-C40C66FF867C}">
              <a14:compatExt xmlns:a14="http://schemas.microsoft.com/office/drawing/2010/main" xmlns="" spid="_x0000_s8122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642" name="Group Box 40" hidden="1">
          <a:extLst>
            <a:ext uri="{63B3BB69-23CF-44E3-9099-C40C66FF867C}">
              <a14:compatExt xmlns:a14="http://schemas.microsoft.com/office/drawing/2010/main" xmlns="" spid="_x0000_s8122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643" name="Group Box 46" hidden="1">
          <a:extLst>
            <a:ext uri="{63B3BB69-23CF-44E3-9099-C40C66FF867C}">
              <a14:compatExt xmlns:a14="http://schemas.microsoft.com/office/drawing/2010/main" xmlns="" spid="_x0000_s8122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644" name="Group Box 51" hidden="1">
          <a:extLst>
            <a:ext uri="{63B3BB69-23CF-44E3-9099-C40C66FF867C}">
              <a14:compatExt xmlns:a14="http://schemas.microsoft.com/office/drawing/2010/main" xmlns="" spid="_x0000_s8122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645" name="Group Box 56" hidden="1">
          <a:extLst>
            <a:ext uri="{63B3BB69-23CF-44E3-9099-C40C66FF867C}">
              <a14:compatExt xmlns:a14="http://schemas.microsoft.com/office/drawing/2010/main" xmlns="" spid="_x0000_s8122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646" name="Group Box 61" hidden="1">
          <a:extLst>
            <a:ext uri="{63B3BB69-23CF-44E3-9099-C40C66FF867C}">
              <a14:compatExt xmlns:a14="http://schemas.microsoft.com/office/drawing/2010/main" xmlns="" spid="_x0000_s81223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47" name="Group Box 96" hidden="1">
          <a:extLst>
            <a:ext uri="{63B3BB69-23CF-44E3-9099-C40C66FF867C}">
              <a14:compatExt xmlns:a14="http://schemas.microsoft.com/office/drawing/2010/main" xmlns="" spid="_x0000_s81223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48" name="Group Box 101" hidden="1">
          <a:extLst>
            <a:ext uri="{63B3BB69-23CF-44E3-9099-C40C66FF867C}">
              <a14:compatExt xmlns:a14="http://schemas.microsoft.com/office/drawing/2010/main" xmlns="" spid="_x0000_s81223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49" name="Group Box 106" hidden="1">
          <a:extLst>
            <a:ext uri="{63B3BB69-23CF-44E3-9099-C40C66FF867C}">
              <a14:compatExt xmlns:a14="http://schemas.microsoft.com/office/drawing/2010/main" xmlns="" spid="_x0000_s81223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50" name="Group Box 111" hidden="1">
          <a:extLst>
            <a:ext uri="{63B3BB69-23CF-44E3-9099-C40C66FF867C}">
              <a14:compatExt xmlns:a14="http://schemas.microsoft.com/office/drawing/2010/main" xmlns="" spid="_x0000_s81223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51" name="Group Box 146" hidden="1">
          <a:extLst>
            <a:ext uri="{63B3BB69-23CF-44E3-9099-C40C66FF867C}">
              <a14:compatExt xmlns:a14="http://schemas.microsoft.com/office/drawing/2010/main" xmlns="" spid="_x0000_s81223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52" name="Group Box 151" hidden="1">
          <a:extLst>
            <a:ext uri="{63B3BB69-23CF-44E3-9099-C40C66FF867C}">
              <a14:compatExt xmlns:a14="http://schemas.microsoft.com/office/drawing/2010/main" xmlns="" spid="_x0000_s81224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53" name="Group Box 156" hidden="1">
          <a:extLst>
            <a:ext uri="{63B3BB69-23CF-44E3-9099-C40C66FF867C}">
              <a14:compatExt xmlns:a14="http://schemas.microsoft.com/office/drawing/2010/main" xmlns="" spid="_x0000_s81224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654" name="Group Box 161" hidden="1">
          <a:extLst>
            <a:ext uri="{63B3BB69-23CF-44E3-9099-C40C66FF867C}">
              <a14:compatExt xmlns:a14="http://schemas.microsoft.com/office/drawing/2010/main" xmlns="" spid="_x0000_s81224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655" name="Group Box 171" hidden="1">
          <a:extLst>
            <a:ext uri="{63B3BB69-23CF-44E3-9099-C40C66FF867C}">
              <a14:compatExt xmlns:a14="http://schemas.microsoft.com/office/drawing/2010/main" xmlns="" spid="_x0000_s81224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656" name="Group Box 176" hidden="1">
          <a:extLst>
            <a:ext uri="{63B3BB69-23CF-44E3-9099-C40C66FF867C}">
              <a14:compatExt xmlns:a14="http://schemas.microsoft.com/office/drawing/2010/main" xmlns="" spid="_x0000_s81224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657" name="Group Box 181" hidden="1">
          <a:extLst>
            <a:ext uri="{63B3BB69-23CF-44E3-9099-C40C66FF867C}">
              <a14:compatExt xmlns:a14="http://schemas.microsoft.com/office/drawing/2010/main" xmlns="" spid="_x0000_s81224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658" name="Group Box 186" hidden="1">
          <a:extLst>
            <a:ext uri="{63B3BB69-23CF-44E3-9099-C40C66FF867C}">
              <a14:compatExt xmlns:a14="http://schemas.microsoft.com/office/drawing/2010/main" xmlns="" spid="_x0000_s81224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659" name="Group Box 5" hidden="1">
          <a:extLst>
            <a:ext uri="{63B3BB69-23CF-44E3-9099-C40C66FF867C}">
              <a14:compatExt xmlns:a14="http://schemas.microsoft.com/office/drawing/2010/main" xmlns="" spid="_x0000_s8122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660" name="Group Box 10" hidden="1">
          <a:extLst>
            <a:ext uri="{63B3BB69-23CF-44E3-9099-C40C66FF867C}">
              <a14:compatExt xmlns:a14="http://schemas.microsoft.com/office/drawing/2010/main" xmlns="" spid="_x0000_s8122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661" name="Group Box 15" hidden="1">
          <a:extLst>
            <a:ext uri="{63B3BB69-23CF-44E3-9099-C40C66FF867C}">
              <a14:compatExt xmlns:a14="http://schemas.microsoft.com/office/drawing/2010/main" xmlns="" spid="_x0000_s8122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62" name="Group Box 25" hidden="1">
          <a:extLst>
            <a:ext uri="{63B3BB69-23CF-44E3-9099-C40C66FF867C}">
              <a14:compatExt xmlns:a14="http://schemas.microsoft.com/office/drawing/2010/main" xmlns="" spid="_x0000_s8122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63" name="Group Box 30" hidden="1">
          <a:extLst>
            <a:ext uri="{63B3BB69-23CF-44E3-9099-C40C66FF867C}">
              <a14:compatExt xmlns:a14="http://schemas.microsoft.com/office/drawing/2010/main" xmlns="" spid="_x0000_s8122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664" name="Group Box 35" hidden="1">
          <a:extLst>
            <a:ext uri="{63B3BB69-23CF-44E3-9099-C40C66FF867C}">
              <a14:compatExt xmlns:a14="http://schemas.microsoft.com/office/drawing/2010/main" xmlns="" spid="_x0000_s8122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665" name="Group Box 40" hidden="1">
          <a:extLst>
            <a:ext uri="{63B3BB69-23CF-44E3-9099-C40C66FF867C}">
              <a14:compatExt xmlns:a14="http://schemas.microsoft.com/office/drawing/2010/main" xmlns="" spid="_x0000_s8122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666" name="Group Box 46" hidden="1">
          <a:extLst>
            <a:ext uri="{63B3BB69-23CF-44E3-9099-C40C66FF867C}">
              <a14:compatExt xmlns:a14="http://schemas.microsoft.com/office/drawing/2010/main" xmlns="" spid="_x0000_s8122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667" name="Group Box 51" hidden="1">
          <a:extLst>
            <a:ext uri="{63B3BB69-23CF-44E3-9099-C40C66FF867C}">
              <a14:compatExt xmlns:a14="http://schemas.microsoft.com/office/drawing/2010/main" xmlns="" spid="_x0000_s8122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668" name="Group Box 56" hidden="1">
          <a:extLst>
            <a:ext uri="{63B3BB69-23CF-44E3-9099-C40C66FF867C}">
              <a14:compatExt xmlns:a14="http://schemas.microsoft.com/office/drawing/2010/main" xmlns="" spid="_x0000_s8122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669" name="Group Box 61" hidden="1">
          <a:extLst>
            <a:ext uri="{63B3BB69-23CF-44E3-9099-C40C66FF867C}">
              <a14:compatExt xmlns:a14="http://schemas.microsoft.com/office/drawing/2010/main" xmlns="" spid="_x0000_s81223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70" name="Group Box 96" hidden="1">
          <a:extLst>
            <a:ext uri="{63B3BB69-23CF-44E3-9099-C40C66FF867C}">
              <a14:compatExt xmlns:a14="http://schemas.microsoft.com/office/drawing/2010/main" xmlns="" spid="_x0000_s81223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71" name="Group Box 101" hidden="1">
          <a:extLst>
            <a:ext uri="{63B3BB69-23CF-44E3-9099-C40C66FF867C}">
              <a14:compatExt xmlns:a14="http://schemas.microsoft.com/office/drawing/2010/main" xmlns="" spid="_x0000_s81223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72" name="Group Box 106" hidden="1">
          <a:extLst>
            <a:ext uri="{63B3BB69-23CF-44E3-9099-C40C66FF867C}">
              <a14:compatExt xmlns:a14="http://schemas.microsoft.com/office/drawing/2010/main" xmlns="" spid="_x0000_s81223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73" name="Group Box 111" hidden="1">
          <a:extLst>
            <a:ext uri="{63B3BB69-23CF-44E3-9099-C40C66FF867C}">
              <a14:compatExt xmlns:a14="http://schemas.microsoft.com/office/drawing/2010/main" xmlns="" spid="_x0000_s81223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74" name="Group Box 146" hidden="1">
          <a:extLst>
            <a:ext uri="{63B3BB69-23CF-44E3-9099-C40C66FF867C}">
              <a14:compatExt xmlns:a14="http://schemas.microsoft.com/office/drawing/2010/main" xmlns="" spid="_x0000_s81223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75" name="Group Box 151" hidden="1">
          <a:extLst>
            <a:ext uri="{63B3BB69-23CF-44E3-9099-C40C66FF867C}">
              <a14:compatExt xmlns:a14="http://schemas.microsoft.com/office/drawing/2010/main" xmlns="" spid="_x0000_s81224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76" name="Group Box 156" hidden="1">
          <a:extLst>
            <a:ext uri="{63B3BB69-23CF-44E3-9099-C40C66FF867C}">
              <a14:compatExt xmlns:a14="http://schemas.microsoft.com/office/drawing/2010/main" xmlns="" spid="_x0000_s81224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677" name="Group Box 161" hidden="1">
          <a:extLst>
            <a:ext uri="{63B3BB69-23CF-44E3-9099-C40C66FF867C}">
              <a14:compatExt xmlns:a14="http://schemas.microsoft.com/office/drawing/2010/main" xmlns="" spid="_x0000_s81224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678" name="Group Box 171" hidden="1">
          <a:extLst>
            <a:ext uri="{63B3BB69-23CF-44E3-9099-C40C66FF867C}">
              <a14:compatExt xmlns:a14="http://schemas.microsoft.com/office/drawing/2010/main" xmlns="" spid="_x0000_s81224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679" name="Group Box 176" hidden="1">
          <a:extLst>
            <a:ext uri="{63B3BB69-23CF-44E3-9099-C40C66FF867C}">
              <a14:compatExt xmlns:a14="http://schemas.microsoft.com/office/drawing/2010/main" xmlns="" spid="_x0000_s81224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680" name="Group Box 181" hidden="1">
          <a:extLst>
            <a:ext uri="{63B3BB69-23CF-44E3-9099-C40C66FF867C}">
              <a14:compatExt xmlns:a14="http://schemas.microsoft.com/office/drawing/2010/main" xmlns="" spid="_x0000_s81224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681" name="Group Box 186" hidden="1">
          <a:extLst>
            <a:ext uri="{63B3BB69-23CF-44E3-9099-C40C66FF867C}">
              <a14:compatExt xmlns:a14="http://schemas.microsoft.com/office/drawing/2010/main" xmlns="" spid="_x0000_s81224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682" name="Group Box 5" hidden="1">
          <a:extLst>
            <a:ext uri="{63B3BB69-23CF-44E3-9099-C40C66FF867C}">
              <a14:compatExt xmlns:a14="http://schemas.microsoft.com/office/drawing/2010/main" xmlns="" spid="_x0000_s8122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683" name="Group Box 10" hidden="1">
          <a:extLst>
            <a:ext uri="{63B3BB69-23CF-44E3-9099-C40C66FF867C}">
              <a14:compatExt xmlns:a14="http://schemas.microsoft.com/office/drawing/2010/main" xmlns="" spid="_x0000_s8122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684" name="Group Box 15" hidden="1">
          <a:extLst>
            <a:ext uri="{63B3BB69-23CF-44E3-9099-C40C66FF867C}">
              <a14:compatExt xmlns:a14="http://schemas.microsoft.com/office/drawing/2010/main" xmlns="" spid="_x0000_s8122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85" name="Group Box 25" hidden="1">
          <a:extLst>
            <a:ext uri="{63B3BB69-23CF-44E3-9099-C40C66FF867C}">
              <a14:compatExt xmlns:a14="http://schemas.microsoft.com/office/drawing/2010/main" xmlns="" spid="_x0000_s8122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86" name="Group Box 30" hidden="1">
          <a:extLst>
            <a:ext uri="{63B3BB69-23CF-44E3-9099-C40C66FF867C}">
              <a14:compatExt xmlns:a14="http://schemas.microsoft.com/office/drawing/2010/main" xmlns="" spid="_x0000_s8122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687" name="Group Box 35" hidden="1">
          <a:extLst>
            <a:ext uri="{63B3BB69-23CF-44E3-9099-C40C66FF867C}">
              <a14:compatExt xmlns:a14="http://schemas.microsoft.com/office/drawing/2010/main" xmlns="" spid="_x0000_s8122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688" name="Group Box 40" hidden="1">
          <a:extLst>
            <a:ext uri="{63B3BB69-23CF-44E3-9099-C40C66FF867C}">
              <a14:compatExt xmlns:a14="http://schemas.microsoft.com/office/drawing/2010/main" xmlns="" spid="_x0000_s8122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689" name="Group Box 46" hidden="1">
          <a:extLst>
            <a:ext uri="{63B3BB69-23CF-44E3-9099-C40C66FF867C}">
              <a14:compatExt xmlns:a14="http://schemas.microsoft.com/office/drawing/2010/main" xmlns="" spid="_x0000_s8122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690" name="Group Box 51" hidden="1">
          <a:extLst>
            <a:ext uri="{63B3BB69-23CF-44E3-9099-C40C66FF867C}">
              <a14:compatExt xmlns:a14="http://schemas.microsoft.com/office/drawing/2010/main" xmlns="" spid="_x0000_s8122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691" name="Group Box 56" hidden="1">
          <a:extLst>
            <a:ext uri="{63B3BB69-23CF-44E3-9099-C40C66FF867C}">
              <a14:compatExt xmlns:a14="http://schemas.microsoft.com/office/drawing/2010/main" xmlns="" spid="_x0000_s8122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692" name="Group Box 61" hidden="1">
          <a:extLst>
            <a:ext uri="{63B3BB69-23CF-44E3-9099-C40C66FF867C}">
              <a14:compatExt xmlns:a14="http://schemas.microsoft.com/office/drawing/2010/main" xmlns="" spid="_x0000_s81223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93" name="Group Box 96" hidden="1">
          <a:extLst>
            <a:ext uri="{63B3BB69-23CF-44E3-9099-C40C66FF867C}">
              <a14:compatExt xmlns:a14="http://schemas.microsoft.com/office/drawing/2010/main" xmlns="" spid="_x0000_s81223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94" name="Group Box 101" hidden="1">
          <a:extLst>
            <a:ext uri="{63B3BB69-23CF-44E3-9099-C40C66FF867C}">
              <a14:compatExt xmlns:a14="http://schemas.microsoft.com/office/drawing/2010/main" xmlns="" spid="_x0000_s81223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95" name="Group Box 106" hidden="1">
          <a:extLst>
            <a:ext uri="{63B3BB69-23CF-44E3-9099-C40C66FF867C}">
              <a14:compatExt xmlns:a14="http://schemas.microsoft.com/office/drawing/2010/main" xmlns="" spid="_x0000_s81223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96" name="Group Box 111" hidden="1">
          <a:extLst>
            <a:ext uri="{63B3BB69-23CF-44E3-9099-C40C66FF867C}">
              <a14:compatExt xmlns:a14="http://schemas.microsoft.com/office/drawing/2010/main" xmlns="" spid="_x0000_s81223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97" name="Group Box 146" hidden="1">
          <a:extLst>
            <a:ext uri="{63B3BB69-23CF-44E3-9099-C40C66FF867C}">
              <a14:compatExt xmlns:a14="http://schemas.microsoft.com/office/drawing/2010/main" xmlns="" spid="_x0000_s81223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98" name="Group Box 151" hidden="1">
          <a:extLst>
            <a:ext uri="{63B3BB69-23CF-44E3-9099-C40C66FF867C}">
              <a14:compatExt xmlns:a14="http://schemas.microsoft.com/office/drawing/2010/main" xmlns="" spid="_x0000_s81224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99" name="Group Box 156" hidden="1">
          <a:extLst>
            <a:ext uri="{63B3BB69-23CF-44E3-9099-C40C66FF867C}">
              <a14:compatExt xmlns:a14="http://schemas.microsoft.com/office/drawing/2010/main" xmlns="" spid="_x0000_s81224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46" name="Group Box 161" hidden="1">
          <a:extLst>
            <a:ext uri="{63B3BB69-23CF-44E3-9099-C40C66FF867C}">
              <a14:compatExt xmlns:a14="http://schemas.microsoft.com/office/drawing/2010/main" xmlns="" spid="_x0000_s81224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47" name="Group Box 171" hidden="1">
          <a:extLst>
            <a:ext uri="{63B3BB69-23CF-44E3-9099-C40C66FF867C}">
              <a14:compatExt xmlns:a14="http://schemas.microsoft.com/office/drawing/2010/main" xmlns="" spid="_x0000_s81224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48" name="Group Box 176" hidden="1">
          <a:extLst>
            <a:ext uri="{63B3BB69-23CF-44E3-9099-C40C66FF867C}">
              <a14:compatExt xmlns:a14="http://schemas.microsoft.com/office/drawing/2010/main" xmlns="" spid="_x0000_s81224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49" name="Group Box 181" hidden="1">
          <a:extLst>
            <a:ext uri="{63B3BB69-23CF-44E3-9099-C40C66FF867C}">
              <a14:compatExt xmlns:a14="http://schemas.microsoft.com/office/drawing/2010/main" xmlns="" spid="_x0000_s81224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50" name="Group Box 186" hidden="1">
          <a:extLst>
            <a:ext uri="{63B3BB69-23CF-44E3-9099-C40C66FF867C}">
              <a14:compatExt xmlns:a14="http://schemas.microsoft.com/office/drawing/2010/main" xmlns="" spid="_x0000_s81224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51" name="Group Box 5" hidden="1">
          <a:extLst>
            <a:ext uri="{63B3BB69-23CF-44E3-9099-C40C66FF867C}">
              <a14:compatExt xmlns:a14="http://schemas.microsoft.com/office/drawing/2010/main" xmlns="" spid="_x0000_s8122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52" name="Group Box 10" hidden="1">
          <a:extLst>
            <a:ext uri="{63B3BB69-23CF-44E3-9099-C40C66FF867C}">
              <a14:compatExt xmlns:a14="http://schemas.microsoft.com/office/drawing/2010/main" xmlns="" spid="_x0000_s8122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53" name="Group Box 15" hidden="1">
          <a:extLst>
            <a:ext uri="{63B3BB69-23CF-44E3-9099-C40C66FF867C}">
              <a14:compatExt xmlns:a14="http://schemas.microsoft.com/office/drawing/2010/main" xmlns="" spid="_x0000_s8122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54" name="Group Box 25" hidden="1">
          <a:extLst>
            <a:ext uri="{63B3BB69-23CF-44E3-9099-C40C66FF867C}">
              <a14:compatExt xmlns:a14="http://schemas.microsoft.com/office/drawing/2010/main" xmlns="" spid="_x0000_s8122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55" name="Group Box 30" hidden="1">
          <a:extLst>
            <a:ext uri="{63B3BB69-23CF-44E3-9099-C40C66FF867C}">
              <a14:compatExt xmlns:a14="http://schemas.microsoft.com/office/drawing/2010/main" xmlns="" spid="_x0000_s8122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56" name="Group Box 35" hidden="1">
          <a:extLst>
            <a:ext uri="{63B3BB69-23CF-44E3-9099-C40C66FF867C}">
              <a14:compatExt xmlns:a14="http://schemas.microsoft.com/office/drawing/2010/main" xmlns="" spid="_x0000_s8122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57" name="Group Box 40" hidden="1">
          <a:extLst>
            <a:ext uri="{63B3BB69-23CF-44E3-9099-C40C66FF867C}">
              <a14:compatExt xmlns:a14="http://schemas.microsoft.com/office/drawing/2010/main" xmlns="" spid="_x0000_s8122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58" name="Group Box 46" hidden="1">
          <a:extLst>
            <a:ext uri="{63B3BB69-23CF-44E3-9099-C40C66FF867C}">
              <a14:compatExt xmlns:a14="http://schemas.microsoft.com/office/drawing/2010/main" xmlns="" spid="_x0000_s8122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59" name="Group Box 51" hidden="1">
          <a:extLst>
            <a:ext uri="{63B3BB69-23CF-44E3-9099-C40C66FF867C}">
              <a14:compatExt xmlns:a14="http://schemas.microsoft.com/office/drawing/2010/main" xmlns="" spid="_x0000_s8122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60" name="Group Box 56" hidden="1">
          <a:extLst>
            <a:ext uri="{63B3BB69-23CF-44E3-9099-C40C66FF867C}">
              <a14:compatExt xmlns:a14="http://schemas.microsoft.com/office/drawing/2010/main" xmlns="" spid="_x0000_s8122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61" name="Group Box 61" hidden="1">
          <a:extLst>
            <a:ext uri="{63B3BB69-23CF-44E3-9099-C40C66FF867C}">
              <a14:compatExt xmlns:a14="http://schemas.microsoft.com/office/drawing/2010/main" xmlns="" spid="_x0000_s81223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62" name="Group Box 96" hidden="1">
          <a:extLst>
            <a:ext uri="{63B3BB69-23CF-44E3-9099-C40C66FF867C}">
              <a14:compatExt xmlns:a14="http://schemas.microsoft.com/office/drawing/2010/main" xmlns="" spid="_x0000_s81223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63" name="Group Box 101" hidden="1">
          <a:extLst>
            <a:ext uri="{63B3BB69-23CF-44E3-9099-C40C66FF867C}">
              <a14:compatExt xmlns:a14="http://schemas.microsoft.com/office/drawing/2010/main" xmlns="" spid="_x0000_s81223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64" name="Group Box 106" hidden="1">
          <a:extLst>
            <a:ext uri="{63B3BB69-23CF-44E3-9099-C40C66FF867C}">
              <a14:compatExt xmlns:a14="http://schemas.microsoft.com/office/drawing/2010/main" xmlns="" spid="_x0000_s81223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65" name="Group Box 111" hidden="1">
          <a:extLst>
            <a:ext uri="{63B3BB69-23CF-44E3-9099-C40C66FF867C}">
              <a14:compatExt xmlns:a14="http://schemas.microsoft.com/office/drawing/2010/main" xmlns="" spid="_x0000_s81223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66" name="Group Box 146" hidden="1">
          <a:extLst>
            <a:ext uri="{63B3BB69-23CF-44E3-9099-C40C66FF867C}">
              <a14:compatExt xmlns:a14="http://schemas.microsoft.com/office/drawing/2010/main" xmlns="" spid="_x0000_s81223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67" name="Group Box 151" hidden="1">
          <a:extLst>
            <a:ext uri="{63B3BB69-23CF-44E3-9099-C40C66FF867C}">
              <a14:compatExt xmlns:a14="http://schemas.microsoft.com/office/drawing/2010/main" xmlns="" spid="_x0000_s81224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68" name="Group Box 156" hidden="1">
          <a:extLst>
            <a:ext uri="{63B3BB69-23CF-44E3-9099-C40C66FF867C}">
              <a14:compatExt xmlns:a14="http://schemas.microsoft.com/office/drawing/2010/main" xmlns="" spid="_x0000_s81224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71" name="Group Box 161" hidden="1">
          <a:extLst>
            <a:ext uri="{63B3BB69-23CF-44E3-9099-C40C66FF867C}">
              <a14:compatExt xmlns:a14="http://schemas.microsoft.com/office/drawing/2010/main" xmlns="" spid="_x0000_s81224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72" name="Group Box 171" hidden="1">
          <a:extLst>
            <a:ext uri="{63B3BB69-23CF-44E3-9099-C40C66FF867C}">
              <a14:compatExt xmlns:a14="http://schemas.microsoft.com/office/drawing/2010/main" xmlns="" spid="_x0000_s81224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73" name="Group Box 176" hidden="1">
          <a:extLst>
            <a:ext uri="{63B3BB69-23CF-44E3-9099-C40C66FF867C}">
              <a14:compatExt xmlns:a14="http://schemas.microsoft.com/office/drawing/2010/main" xmlns="" spid="_x0000_s81224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74" name="Group Box 181" hidden="1">
          <a:extLst>
            <a:ext uri="{63B3BB69-23CF-44E3-9099-C40C66FF867C}">
              <a14:compatExt xmlns:a14="http://schemas.microsoft.com/office/drawing/2010/main" xmlns="" spid="_x0000_s81224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75" name="Group Box 186" hidden="1">
          <a:extLst>
            <a:ext uri="{63B3BB69-23CF-44E3-9099-C40C66FF867C}">
              <a14:compatExt xmlns:a14="http://schemas.microsoft.com/office/drawing/2010/main" xmlns="" spid="_x0000_s81224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76" name="Group Box 5" hidden="1">
          <a:extLst>
            <a:ext uri="{63B3BB69-23CF-44E3-9099-C40C66FF867C}">
              <a14:compatExt xmlns:a14="http://schemas.microsoft.com/office/drawing/2010/main" xmlns="" spid="_x0000_s8122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77" name="Group Box 10" hidden="1">
          <a:extLst>
            <a:ext uri="{63B3BB69-23CF-44E3-9099-C40C66FF867C}">
              <a14:compatExt xmlns:a14="http://schemas.microsoft.com/office/drawing/2010/main" xmlns="" spid="_x0000_s8122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78" name="Group Box 15" hidden="1">
          <a:extLst>
            <a:ext uri="{63B3BB69-23CF-44E3-9099-C40C66FF867C}">
              <a14:compatExt xmlns:a14="http://schemas.microsoft.com/office/drawing/2010/main" xmlns="" spid="_x0000_s8122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79" name="Group Box 25" hidden="1">
          <a:extLst>
            <a:ext uri="{63B3BB69-23CF-44E3-9099-C40C66FF867C}">
              <a14:compatExt xmlns:a14="http://schemas.microsoft.com/office/drawing/2010/main" xmlns="" spid="_x0000_s8122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80" name="Group Box 30" hidden="1">
          <a:extLst>
            <a:ext uri="{63B3BB69-23CF-44E3-9099-C40C66FF867C}">
              <a14:compatExt xmlns:a14="http://schemas.microsoft.com/office/drawing/2010/main" xmlns="" spid="_x0000_s8122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81" name="Group Box 35" hidden="1">
          <a:extLst>
            <a:ext uri="{63B3BB69-23CF-44E3-9099-C40C66FF867C}">
              <a14:compatExt xmlns:a14="http://schemas.microsoft.com/office/drawing/2010/main" xmlns="" spid="_x0000_s8122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82" name="Group Box 40" hidden="1">
          <a:extLst>
            <a:ext uri="{63B3BB69-23CF-44E3-9099-C40C66FF867C}">
              <a14:compatExt xmlns:a14="http://schemas.microsoft.com/office/drawing/2010/main" xmlns="" spid="_x0000_s8122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83" name="Group Box 46" hidden="1">
          <a:extLst>
            <a:ext uri="{63B3BB69-23CF-44E3-9099-C40C66FF867C}">
              <a14:compatExt xmlns:a14="http://schemas.microsoft.com/office/drawing/2010/main" xmlns="" spid="_x0000_s8122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84" name="Group Box 51" hidden="1">
          <a:extLst>
            <a:ext uri="{63B3BB69-23CF-44E3-9099-C40C66FF867C}">
              <a14:compatExt xmlns:a14="http://schemas.microsoft.com/office/drawing/2010/main" xmlns="" spid="_x0000_s8122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85" name="Group Box 56" hidden="1">
          <a:extLst>
            <a:ext uri="{63B3BB69-23CF-44E3-9099-C40C66FF867C}">
              <a14:compatExt xmlns:a14="http://schemas.microsoft.com/office/drawing/2010/main" xmlns="" spid="_x0000_s8122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86" name="Group Box 61" hidden="1">
          <a:extLst>
            <a:ext uri="{63B3BB69-23CF-44E3-9099-C40C66FF867C}">
              <a14:compatExt xmlns:a14="http://schemas.microsoft.com/office/drawing/2010/main" xmlns="" spid="_x0000_s81223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87" name="Group Box 96" hidden="1">
          <a:extLst>
            <a:ext uri="{63B3BB69-23CF-44E3-9099-C40C66FF867C}">
              <a14:compatExt xmlns:a14="http://schemas.microsoft.com/office/drawing/2010/main" xmlns="" spid="_x0000_s81223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88" name="Group Box 101" hidden="1">
          <a:extLst>
            <a:ext uri="{63B3BB69-23CF-44E3-9099-C40C66FF867C}">
              <a14:compatExt xmlns:a14="http://schemas.microsoft.com/office/drawing/2010/main" xmlns="" spid="_x0000_s81223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89" name="Group Box 106" hidden="1">
          <a:extLst>
            <a:ext uri="{63B3BB69-23CF-44E3-9099-C40C66FF867C}">
              <a14:compatExt xmlns:a14="http://schemas.microsoft.com/office/drawing/2010/main" xmlns="" spid="_x0000_s81223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90" name="Group Box 111" hidden="1">
          <a:extLst>
            <a:ext uri="{63B3BB69-23CF-44E3-9099-C40C66FF867C}">
              <a14:compatExt xmlns:a14="http://schemas.microsoft.com/office/drawing/2010/main" xmlns="" spid="_x0000_s81223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91" name="Group Box 146" hidden="1">
          <a:extLst>
            <a:ext uri="{63B3BB69-23CF-44E3-9099-C40C66FF867C}">
              <a14:compatExt xmlns:a14="http://schemas.microsoft.com/office/drawing/2010/main" xmlns="" spid="_x0000_s81223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92" name="Group Box 151" hidden="1">
          <a:extLst>
            <a:ext uri="{63B3BB69-23CF-44E3-9099-C40C66FF867C}">
              <a14:compatExt xmlns:a14="http://schemas.microsoft.com/office/drawing/2010/main" xmlns="" spid="_x0000_s81224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93" name="Group Box 156" hidden="1">
          <a:extLst>
            <a:ext uri="{63B3BB69-23CF-44E3-9099-C40C66FF867C}">
              <a14:compatExt xmlns:a14="http://schemas.microsoft.com/office/drawing/2010/main" xmlns="" spid="_x0000_s81224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94" name="Group Box 161" hidden="1">
          <a:extLst>
            <a:ext uri="{63B3BB69-23CF-44E3-9099-C40C66FF867C}">
              <a14:compatExt xmlns:a14="http://schemas.microsoft.com/office/drawing/2010/main" xmlns="" spid="_x0000_s81224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95" name="Group Box 171" hidden="1">
          <a:extLst>
            <a:ext uri="{63B3BB69-23CF-44E3-9099-C40C66FF867C}">
              <a14:compatExt xmlns:a14="http://schemas.microsoft.com/office/drawing/2010/main" xmlns="" spid="_x0000_s81224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96" name="Group Box 176" hidden="1">
          <a:extLst>
            <a:ext uri="{63B3BB69-23CF-44E3-9099-C40C66FF867C}">
              <a14:compatExt xmlns:a14="http://schemas.microsoft.com/office/drawing/2010/main" xmlns="" spid="_x0000_s81224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97" name="Group Box 181" hidden="1">
          <a:extLst>
            <a:ext uri="{63B3BB69-23CF-44E3-9099-C40C66FF867C}">
              <a14:compatExt xmlns:a14="http://schemas.microsoft.com/office/drawing/2010/main" xmlns="" spid="_x0000_s81224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98" name="Group Box 186" hidden="1">
          <a:extLst>
            <a:ext uri="{63B3BB69-23CF-44E3-9099-C40C66FF867C}">
              <a14:compatExt xmlns:a14="http://schemas.microsoft.com/office/drawing/2010/main" xmlns="" spid="_x0000_s81224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99" name="Group Box 5" hidden="1">
          <a:extLst>
            <a:ext uri="{63B3BB69-23CF-44E3-9099-C40C66FF867C}">
              <a14:compatExt xmlns:a14="http://schemas.microsoft.com/office/drawing/2010/main" xmlns="" spid="_x0000_s8122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00" name="Group Box 10" hidden="1">
          <a:extLst>
            <a:ext uri="{63B3BB69-23CF-44E3-9099-C40C66FF867C}">
              <a14:compatExt xmlns:a14="http://schemas.microsoft.com/office/drawing/2010/main" xmlns="" spid="_x0000_s8122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01" name="Group Box 15" hidden="1">
          <a:extLst>
            <a:ext uri="{63B3BB69-23CF-44E3-9099-C40C66FF867C}">
              <a14:compatExt xmlns:a14="http://schemas.microsoft.com/office/drawing/2010/main" xmlns="" spid="_x0000_s8122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02" name="Group Box 25" hidden="1">
          <a:extLst>
            <a:ext uri="{63B3BB69-23CF-44E3-9099-C40C66FF867C}">
              <a14:compatExt xmlns:a14="http://schemas.microsoft.com/office/drawing/2010/main" xmlns="" spid="_x0000_s8122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03" name="Group Box 30" hidden="1">
          <a:extLst>
            <a:ext uri="{63B3BB69-23CF-44E3-9099-C40C66FF867C}">
              <a14:compatExt xmlns:a14="http://schemas.microsoft.com/office/drawing/2010/main" xmlns="" spid="_x0000_s8122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04" name="Group Box 35" hidden="1">
          <a:extLst>
            <a:ext uri="{63B3BB69-23CF-44E3-9099-C40C66FF867C}">
              <a14:compatExt xmlns:a14="http://schemas.microsoft.com/office/drawing/2010/main" xmlns="" spid="_x0000_s8122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05" name="Group Box 40" hidden="1">
          <a:extLst>
            <a:ext uri="{63B3BB69-23CF-44E3-9099-C40C66FF867C}">
              <a14:compatExt xmlns:a14="http://schemas.microsoft.com/office/drawing/2010/main" xmlns="" spid="_x0000_s8122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06" name="Group Box 46" hidden="1">
          <a:extLst>
            <a:ext uri="{63B3BB69-23CF-44E3-9099-C40C66FF867C}">
              <a14:compatExt xmlns:a14="http://schemas.microsoft.com/office/drawing/2010/main" xmlns="" spid="_x0000_s8122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07" name="Group Box 51" hidden="1">
          <a:extLst>
            <a:ext uri="{63B3BB69-23CF-44E3-9099-C40C66FF867C}">
              <a14:compatExt xmlns:a14="http://schemas.microsoft.com/office/drawing/2010/main" xmlns="" spid="_x0000_s8122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08" name="Group Box 56" hidden="1">
          <a:extLst>
            <a:ext uri="{63B3BB69-23CF-44E3-9099-C40C66FF867C}">
              <a14:compatExt xmlns:a14="http://schemas.microsoft.com/office/drawing/2010/main" xmlns="" spid="_x0000_s8122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09" name="Group Box 61" hidden="1">
          <a:extLst>
            <a:ext uri="{63B3BB69-23CF-44E3-9099-C40C66FF867C}">
              <a14:compatExt xmlns:a14="http://schemas.microsoft.com/office/drawing/2010/main" xmlns="" spid="_x0000_s81223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0" name="Group Box 96" hidden="1">
          <a:extLst>
            <a:ext uri="{63B3BB69-23CF-44E3-9099-C40C66FF867C}">
              <a14:compatExt xmlns:a14="http://schemas.microsoft.com/office/drawing/2010/main" xmlns="" spid="_x0000_s81223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1" name="Group Box 101" hidden="1">
          <a:extLst>
            <a:ext uri="{63B3BB69-23CF-44E3-9099-C40C66FF867C}">
              <a14:compatExt xmlns:a14="http://schemas.microsoft.com/office/drawing/2010/main" xmlns="" spid="_x0000_s81223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2" name="Group Box 106" hidden="1">
          <a:extLst>
            <a:ext uri="{63B3BB69-23CF-44E3-9099-C40C66FF867C}">
              <a14:compatExt xmlns:a14="http://schemas.microsoft.com/office/drawing/2010/main" xmlns="" spid="_x0000_s81223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3" name="Group Box 111" hidden="1">
          <a:extLst>
            <a:ext uri="{63B3BB69-23CF-44E3-9099-C40C66FF867C}">
              <a14:compatExt xmlns:a14="http://schemas.microsoft.com/office/drawing/2010/main" xmlns="" spid="_x0000_s81223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4" name="Group Box 146" hidden="1">
          <a:extLst>
            <a:ext uri="{63B3BB69-23CF-44E3-9099-C40C66FF867C}">
              <a14:compatExt xmlns:a14="http://schemas.microsoft.com/office/drawing/2010/main" xmlns="" spid="_x0000_s81223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5" name="Group Box 151" hidden="1">
          <a:extLst>
            <a:ext uri="{63B3BB69-23CF-44E3-9099-C40C66FF867C}">
              <a14:compatExt xmlns:a14="http://schemas.microsoft.com/office/drawing/2010/main" xmlns="" spid="_x0000_s81224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6" name="Group Box 156" hidden="1">
          <a:extLst>
            <a:ext uri="{63B3BB69-23CF-44E3-9099-C40C66FF867C}">
              <a14:compatExt xmlns:a14="http://schemas.microsoft.com/office/drawing/2010/main" xmlns="" spid="_x0000_s81224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7" name="Group Box 161" hidden="1">
          <a:extLst>
            <a:ext uri="{63B3BB69-23CF-44E3-9099-C40C66FF867C}">
              <a14:compatExt xmlns:a14="http://schemas.microsoft.com/office/drawing/2010/main" xmlns="" spid="_x0000_s81224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8" name="Group Box 171" hidden="1">
          <a:extLst>
            <a:ext uri="{63B3BB69-23CF-44E3-9099-C40C66FF867C}">
              <a14:compatExt xmlns:a14="http://schemas.microsoft.com/office/drawing/2010/main" xmlns="" spid="_x0000_s81224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9" name="Group Box 176" hidden="1">
          <a:extLst>
            <a:ext uri="{63B3BB69-23CF-44E3-9099-C40C66FF867C}">
              <a14:compatExt xmlns:a14="http://schemas.microsoft.com/office/drawing/2010/main" xmlns="" spid="_x0000_s81224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20" name="Group Box 181" hidden="1">
          <a:extLst>
            <a:ext uri="{63B3BB69-23CF-44E3-9099-C40C66FF867C}">
              <a14:compatExt xmlns:a14="http://schemas.microsoft.com/office/drawing/2010/main" xmlns="" spid="_x0000_s81224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21" name="Group Box 186" hidden="1">
          <a:extLst>
            <a:ext uri="{63B3BB69-23CF-44E3-9099-C40C66FF867C}">
              <a14:compatExt xmlns:a14="http://schemas.microsoft.com/office/drawing/2010/main" xmlns="" spid="_x0000_s81224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812032" name="Group Box 5" hidden="1">
          <a:extLst>
            <a:ext uri="{63B3BB69-23CF-44E3-9099-C40C66FF867C}">
              <a14:compatExt xmlns:a14="http://schemas.microsoft.com/office/drawing/2010/main" xmlns="" spid="_x0000_s812224"/>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12247" name="Group Box 10" hidden="1">
          <a:extLst>
            <a:ext uri="{63B3BB69-23CF-44E3-9099-C40C66FF867C}">
              <a14:compatExt xmlns:a14="http://schemas.microsoft.com/office/drawing/2010/main" xmlns="" spid="_x0000_s812225"/>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12248" name="Group Box 15" hidden="1">
          <a:extLst>
            <a:ext uri="{63B3BB69-23CF-44E3-9099-C40C66FF867C}">
              <a14:compatExt xmlns:a14="http://schemas.microsoft.com/office/drawing/2010/main" xmlns="" spid="_x0000_s812226"/>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12249" name="Group Box 25" hidden="1">
          <a:extLst>
            <a:ext uri="{63B3BB69-23CF-44E3-9099-C40C66FF867C}">
              <a14:compatExt xmlns:a14="http://schemas.microsoft.com/office/drawing/2010/main" xmlns="" spid="_x0000_s812227"/>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12250" name="Group Box 30" hidden="1">
          <a:extLst>
            <a:ext uri="{63B3BB69-23CF-44E3-9099-C40C66FF867C}">
              <a14:compatExt xmlns:a14="http://schemas.microsoft.com/office/drawing/2010/main" xmlns="" spid="_x0000_s812228"/>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12251" name="Group Box 35" hidden="1">
          <a:extLst>
            <a:ext uri="{63B3BB69-23CF-44E3-9099-C40C66FF867C}">
              <a14:compatExt xmlns:a14="http://schemas.microsoft.com/office/drawing/2010/main" xmlns="" spid="_x0000_s812229"/>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12252" name="Group Box 40" hidden="1">
          <a:extLst>
            <a:ext uri="{63B3BB69-23CF-44E3-9099-C40C66FF867C}">
              <a14:compatExt xmlns:a14="http://schemas.microsoft.com/office/drawing/2010/main" xmlns="" spid="_x0000_s812230"/>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12253" name="Group Box 46" hidden="1">
          <a:extLst>
            <a:ext uri="{63B3BB69-23CF-44E3-9099-C40C66FF867C}">
              <a14:compatExt xmlns:a14="http://schemas.microsoft.com/office/drawing/2010/main" xmlns="" spid="_x0000_s812231"/>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12254" name="Group Box 51" hidden="1">
          <a:extLst>
            <a:ext uri="{63B3BB69-23CF-44E3-9099-C40C66FF867C}">
              <a14:compatExt xmlns:a14="http://schemas.microsoft.com/office/drawing/2010/main" xmlns="" spid="_x0000_s812232"/>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2255" name="Group Box 56" hidden="1">
          <a:extLst>
            <a:ext uri="{63B3BB69-23CF-44E3-9099-C40C66FF867C}">
              <a14:compatExt xmlns:a14="http://schemas.microsoft.com/office/drawing/2010/main" xmlns="" spid="_x0000_s812233"/>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22" name="Group Box 61" hidden="1">
          <a:extLst>
            <a:ext uri="{63B3BB69-23CF-44E3-9099-C40C66FF867C}">
              <a14:compatExt xmlns:a14="http://schemas.microsoft.com/office/drawing/2010/main" xmlns="" spid="_x0000_s812234"/>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23" name="Group Box 96" hidden="1">
          <a:extLst>
            <a:ext uri="{63B3BB69-23CF-44E3-9099-C40C66FF867C}">
              <a14:compatExt xmlns:a14="http://schemas.microsoft.com/office/drawing/2010/main" xmlns="" spid="_x0000_s812235"/>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24" name="Group Box 101" hidden="1">
          <a:extLst>
            <a:ext uri="{63B3BB69-23CF-44E3-9099-C40C66FF867C}">
              <a14:compatExt xmlns:a14="http://schemas.microsoft.com/office/drawing/2010/main" xmlns="" spid="_x0000_s812236"/>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25" name="Group Box 106" hidden="1">
          <a:extLst>
            <a:ext uri="{63B3BB69-23CF-44E3-9099-C40C66FF867C}">
              <a14:compatExt xmlns:a14="http://schemas.microsoft.com/office/drawing/2010/main" xmlns="" spid="_x0000_s812237"/>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26" name="Group Box 111" hidden="1">
          <a:extLst>
            <a:ext uri="{63B3BB69-23CF-44E3-9099-C40C66FF867C}">
              <a14:compatExt xmlns:a14="http://schemas.microsoft.com/office/drawing/2010/main" xmlns="" spid="_x0000_s812238"/>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27" name="Group Box 146" hidden="1">
          <a:extLst>
            <a:ext uri="{63B3BB69-23CF-44E3-9099-C40C66FF867C}">
              <a14:compatExt xmlns:a14="http://schemas.microsoft.com/office/drawing/2010/main" xmlns="" spid="_x0000_s812239"/>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28" name="Group Box 151" hidden="1">
          <a:extLst>
            <a:ext uri="{63B3BB69-23CF-44E3-9099-C40C66FF867C}">
              <a14:compatExt xmlns:a14="http://schemas.microsoft.com/office/drawing/2010/main" xmlns="" spid="_x0000_s812240"/>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29" name="Group Box 156" hidden="1">
          <a:extLst>
            <a:ext uri="{63B3BB69-23CF-44E3-9099-C40C66FF867C}">
              <a14:compatExt xmlns:a14="http://schemas.microsoft.com/office/drawing/2010/main" xmlns="" spid="_x0000_s812241"/>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30" name="Group Box 161" hidden="1">
          <a:extLst>
            <a:ext uri="{63B3BB69-23CF-44E3-9099-C40C66FF867C}">
              <a14:compatExt xmlns:a14="http://schemas.microsoft.com/office/drawing/2010/main" xmlns="" spid="_x0000_s812242"/>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31" name="Group Box 171" hidden="1">
          <a:extLst>
            <a:ext uri="{63B3BB69-23CF-44E3-9099-C40C66FF867C}">
              <a14:compatExt xmlns:a14="http://schemas.microsoft.com/office/drawing/2010/main" xmlns="" spid="_x0000_s812243"/>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2256" name="Group Box 176" hidden="1">
          <a:extLst>
            <a:ext uri="{63B3BB69-23CF-44E3-9099-C40C66FF867C}">
              <a14:compatExt xmlns:a14="http://schemas.microsoft.com/office/drawing/2010/main" xmlns="" spid="_x0000_s812244"/>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2257" name="Group Box 181" hidden="1">
          <a:extLst>
            <a:ext uri="{63B3BB69-23CF-44E3-9099-C40C66FF867C}">
              <a14:compatExt xmlns:a14="http://schemas.microsoft.com/office/drawing/2010/main" xmlns="" spid="_x0000_s812245"/>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2258" name="Group Box 186" hidden="1">
          <a:extLst>
            <a:ext uri="{63B3BB69-23CF-44E3-9099-C40C66FF867C}">
              <a14:compatExt xmlns:a14="http://schemas.microsoft.com/office/drawing/2010/main" xmlns="" spid="_x0000_s812246"/>
            </a:ext>
          </a:extLst>
        </xdr:cNvPr>
        <xdr:cNvSpPr/>
      </xdr:nvSpPr>
      <xdr:spPr>
        <a:xfrm>
          <a:off x="0" y="0"/>
          <a:ext cx="0" cy="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812259" name="Group Box 5" hidden="1">
          <a:extLst>
            <a:ext uri="{63B3BB69-23CF-44E3-9099-C40C66FF867C}">
              <a14:compatExt xmlns:a14="http://schemas.microsoft.com/office/drawing/2010/main" xmlns="" spid="_x0000_s812224"/>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12260" name="Group Box 10" hidden="1">
          <a:extLst>
            <a:ext uri="{63B3BB69-23CF-44E3-9099-C40C66FF867C}">
              <a14:compatExt xmlns:a14="http://schemas.microsoft.com/office/drawing/2010/main" xmlns="" spid="_x0000_s812225"/>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12261" name="Group Box 15" hidden="1">
          <a:extLst>
            <a:ext uri="{63B3BB69-23CF-44E3-9099-C40C66FF867C}">
              <a14:compatExt xmlns:a14="http://schemas.microsoft.com/office/drawing/2010/main" xmlns="" spid="_x0000_s812226"/>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12262" name="Group Box 25" hidden="1">
          <a:extLst>
            <a:ext uri="{63B3BB69-23CF-44E3-9099-C40C66FF867C}">
              <a14:compatExt xmlns:a14="http://schemas.microsoft.com/office/drawing/2010/main" xmlns="" spid="_x0000_s812227"/>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12263" name="Group Box 30" hidden="1">
          <a:extLst>
            <a:ext uri="{63B3BB69-23CF-44E3-9099-C40C66FF867C}">
              <a14:compatExt xmlns:a14="http://schemas.microsoft.com/office/drawing/2010/main" xmlns="" spid="_x0000_s812228"/>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12264" name="Group Box 35" hidden="1">
          <a:extLst>
            <a:ext uri="{63B3BB69-23CF-44E3-9099-C40C66FF867C}">
              <a14:compatExt xmlns:a14="http://schemas.microsoft.com/office/drawing/2010/main" xmlns="" spid="_x0000_s812229"/>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12265" name="Group Box 40" hidden="1">
          <a:extLst>
            <a:ext uri="{63B3BB69-23CF-44E3-9099-C40C66FF867C}">
              <a14:compatExt xmlns:a14="http://schemas.microsoft.com/office/drawing/2010/main" xmlns="" spid="_x0000_s812230"/>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12266" name="Group Box 46" hidden="1">
          <a:extLst>
            <a:ext uri="{63B3BB69-23CF-44E3-9099-C40C66FF867C}">
              <a14:compatExt xmlns:a14="http://schemas.microsoft.com/office/drawing/2010/main" xmlns="" spid="_x0000_s812231"/>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12267" name="Group Box 51" hidden="1">
          <a:extLst>
            <a:ext uri="{63B3BB69-23CF-44E3-9099-C40C66FF867C}">
              <a14:compatExt xmlns:a14="http://schemas.microsoft.com/office/drawing/2010/main" xmlns="" spid="_x0000_s812232"/>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2268" name="Group Box 56" hidden="1">
          <a:extLst>
            <a:ext uri="{63B3BB69-23CF-44E3-9099-C40C66FF867C}">
              <a14:compatExt xmlns:a14="http://schemas.microsoft.com/office/drawing/2010/main" xmlns="" spid="_x0000_s812233"/>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12269" name="Group Box 61" hidden="1">
          <a:extLst>
            <a:ext uri="{63B3BB69-23CF-44E3-9099-C40C66FF867C}">
              <a14:compatExt xmlns:a14="http://schemas.microsoft.com/office/drawing/2010/main" xmlns="" spid="_x0000_s812234"/>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2270" name="Group Box 96" hidden="1">
          <a:extLst>
            <a:ext uri="{63B3BB69-23CF-44E3-9099-C40C66FF867C}">
              <a14:compatExt xmlns:a14="http://schemas.microsoft.com/office/drawing/2010/main" xmlns="" spid="_x0000_s812235"/>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2271" name="Group Box 101" hidden="1">
          <a:extLst>
            <a:ext uri="{63B3BB69-23CF-44E3-9099-C40C66FF867C}">
              <a14:compatExt xmlns:a14="http://schemas.microsoft.com/office/drawing/2010/main" xmlns="" spid="_x0000_s812236"/>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2272" name="Group Box 106" hidden="1">
          <a:extLst>
            <a:ext uri="{63B3BB69-23CF-44E3-9099-C40C66FF867C}">
              <a14:compatExt xmlns:a14="http://schemas.microsoft.com/office/drawing/2010/main" xmlns="" spid="_x0000_s812237"/>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2273" name="Group Box 111" hidden="1">
          <a:extLst>
            <a:ext uri="{63B3BB69-23CF-44E3-9099-C40C66FF867C}">
              <a14:compatExt xmlns:a14="http://schemas.microsoft.com/office/drawing/2010/main" xmlns="" spid="_x0000_s812238"/>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2274" name="Group Box 146" hidden="1">
          <a:extLst>
            <a:ext uri="{63B3BB69-23CF-44E3-9099-C40C66FF867C}">
              <a14:compatExt xmlns:a14="http://schemas.microsoft.com/office/drawing/2010/main" xmlns="" spid="_x0000_s812239"/>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2275" name="Group Box 151" hidden="1">
          <a:extLst>
            <a:ext uri="{63B3BB69-23CF-44E3-9099-C40C66FF867C}">
              <a14:compatExt xmlns:a14="http://schemas.microsoft.com/office/drawing/2010/main" xmlns="" spid="_x0000_s812240"/>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2276" name="Group Box 156" hidden="1">
          <a:extLst>
            <a:ext uri="{63B3BB69-23CF-44E3-9099-C40C66FF867C}">
              <a14:compatExt xmlns:a14="http://schemas.microsoft.com/office/drawing/2010/main" xmlns="" spid="_x0000_s812241"/>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2277" name="Group Box 161" hidden="1">
          <a:extLst>
            <a:ext uri="{63B3BB69-23CF-44E3-9099-C40C66FF867C}">
              <a14:compatExt xmlns:a14="http://schemas.microsoft.com/office/drawing/2010/main" xmlns="" spid="_x0000_s812242"/>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2278" name="Group Box 171" hidden="1">
          <a:extLst>
            <a:ext uri="{63B3BB69-23CF-44E3-9099-C40C66FF867C}">
              <a14:compatExt xmlns:a14="http://schemas.microsoft.com/office/drawing/2010/main" xmlns="" spid="_x0000_s812243"/>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2279" name="Group Box 176" hidden="1">
          <a:extLst>
            <a:ext uri="{63B3BB69-23CF-44E3-9099-C40C66FF867C}">
              <a14:compatExt xmlns:a14="http://schemas.microsoft.com/office/drawing/2010/main" xmlns="" spid="_x0000_s812244"/>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2280" name="Group Box 181" hidden="1">
          <a:extLst>
            <a:ext uri="{63B3BB69-23CF-44E3-9099-C40C66FF867C}">
              <a14:compatExt xmlns:a14="http://schemas.microsoft.com/office/drawing/2010/main" xmlns="" spid="_x0000_s812245"/>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2281" name="Group Box 186" hidden="1">
          <a:extLst>
            <a:ext uri="{63B3BB69-23CF-44E3-9099-C40C66FF867C}">
              <a14:compatExt xmlns:a14="http://schemas.microsoft.com/office/drawing/2010/main" xmlns="" spid="_x0000_s812246"/>
            </a:ext>
          </a:extLst>
        </xdr:cNvPr>
        <xdr:cNvSpPr/>
      </xdr:nvSpPr>
      <xdr:spPr>
        <a:xfrm>
          <a:off x="0" y="0"/>
          <a:ext cx="0" cy="0"/>
        </a:xfrm>
        <a:prstGeom prst="rect">
          <a:avLst/>
        </a:prstGeom>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xdr:row>
      <xdr:rowOff>171450</xdr:rowOff>
    </xdr:from>
    <xdr:to>
      <xdr:col>11</xdr:col>
      <xdr:colOff>0</xdr:colOff>
      <xdr:row>4</xdr:row>
      <xdr:rowOff>0</xdr:rowOff>
    </xdr:to>
    <xdr:sp macro="" textlink="">
      <xdr:nvSpPr>
        <xdr:cNvPr id="3"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9"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0"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1"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2"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3"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4"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5"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6"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7"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8"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9"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0"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1"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2"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3"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4"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5"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6"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7"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8"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9"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0"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1"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2"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3"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4"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5"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6"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7"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8"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9"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0"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1"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2"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3"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4"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5"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6"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7"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8"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9"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0"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1"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2"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4"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5"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6"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7"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8"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9"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0"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1"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2"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3"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4"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5"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6"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67"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68"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69"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0"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1"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2"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3"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4"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5"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6"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7"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8"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9"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0"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2"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3"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4"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5"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6"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7"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8"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9"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90"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91"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92"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93"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94"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95"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96"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97"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98"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99"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00"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01"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02"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03"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04"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05"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06"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07"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08"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09"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10"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11"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12"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13"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14"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15"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16"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17"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18"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19"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20"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21"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22"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23"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24"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25"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26"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27"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28"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29"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30"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31"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32"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33"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34"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35"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36"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37"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38"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39"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40"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41"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42"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43"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44"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45"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46"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47"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48"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49"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50"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51"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52"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53"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54"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55"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56"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57"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58"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59"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60"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61"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62"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63"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64"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65"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66"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67"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68"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69"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70"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71"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72"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73"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74"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75"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76"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77"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78"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79"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80"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81"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82"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83"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84"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85"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86"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87"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88"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89"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90"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91"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92"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93"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94"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95"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96"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97"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98"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99"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00"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01"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02"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03"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04"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05"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06"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07"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08"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09"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10" name="Group Box 5" hidden="1">
          <a:extLst>
            <a:ext uri="{63B3BB69-23CF-44E3-9099-C40C66FF867C}">
              <a14:compatExt xmlns:a14="http://schemas.microsoft.com/office/drawing/2010/main" xmlns=""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11" name="Group Box 10" hidden="1">
          <a:extLst>
            <a:ext uri="{63B3BB69-23CF-44E3-9099-C40C66FF867C}">
              <a14:compatExt xmlns:a14="http://schemas.microsoft.com/office/drawing/2010/main" xmlns=""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12" name="Group Box 15" hidden="1">
          <a:extLst>
            <a:ext uri="{63B3BB69-23CF-44E3-9099-C40C66FF867C}">
              <a14:compatExt xmlns:a14="http://schemas.microsoft.com/office/drawing/2010/main" xmlns=""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13" name="Group Box 25" hidden="1">
          <a:extLst>
            <a:ext uri="{63B3BB69-23CF-44E3-9099-C40C66FF867C}">
              <a14:compatExt xmlns:a14="http://schemas.microsoft.com/office/drawing/2010/main" xmlns=""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14" name="Group Box 30" hidden="1">
          <a:extLst>
            <a:ext uri="{63B3BB69-23CF-44E3-9099-C40C66FF867C}">
              <a14:compatExt xmlns:a14="http://schemas.microsoft.com/office/drawing/2010/main" xmlns=""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215" name="Group Box 35" hidden="1">
          <a:extLst>
            <a:ext uri="{63B3BB69-23CF-44E3-9099-C40C66FF867C}">
              <a14:compatExt xmlns:a14="http://schemas.microsoft.com/office/drawing/2010/main" xmlns=""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216" name="Group Box 40" hidden="1">
          <a:extLst>
            <a:ext uri="{63B3BB69-23CF-44E3-9099-C40C66FF867C}">
              <a14:compatExt xmlns:a14="http://schemas.microsoft.com/office/drawing/2010/main" xmlns=""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217" name="Group Box 46" hidden="1">
          <a:extLst>
            <a:ext uri="{63B3BB69-23CF-44E3-9099-C40C66FF867C}">
              <a14:compatExt xmlns:a14="http://schemas.microsoft.com/office/drawing/2010/main" xmlns=""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218" name="Group Box 51" hidden="1">
          <a:extLst>
            <a:ext uri="{63B3BB69-23CF-44E3-9099-C40C66FF867C}">
              <a14:compatExt xmlns:a14="http://schemas.microsoft.com/office/drawing/2010/main" xmlns=""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219" name="Group Box 56" hidden="1">
          <a:extLst>
            <a:ext uri="{63B3BB69-23CF-44E3-9099-C40C66FF867C}">
              <a14:compatExt xmlns:a14="http://schemas.microsoft.com/office/drawing/2010/main" xmlns=""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220" name="Group Box 61" hidden="1">
          <a:extLst>
            <a:ext uri="{63B3BB69-23CF-44E3-9099-C40C66FF867C}">
              <a14:compatExt xmlns:a14="http://schemas.microsoft.com/office/drawing/2010/main" xmlns=""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221" name="Group Box 96" hidden="1">
          <a:extLst>
            <a:ext uri="{63B3BB69-23CF-44E3-9099-C40C66FF867C}">
              <a14:compatExt xmlns:a14="http://schemas.microsoft.com/office/drawing/2010/main" xmlns=""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222" name="Group Box 101" hidden="1">
          <a:extLst>
            <a:ext uri="{63B3BB69-23CF-44E3-9099-C40C66FF867C}">
              <a14:compatExt xmlns:a14="http://schemas.microsoft.com/office/drawing/2010/main" xmlns=""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23" name="Group Box 106" hidden="1">
          <a:extLst>
            <a:ext uri="{63B3BB69-23CF-44E3-9099-C40C66FF867C}">
              <a14:compatExt xmlns:a14="http://schemas.microsoft.com/office/drawing/2010/main" xmlns=""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24" name="Group Box 111" hidden="1">
          <a:extLst>
            <a:ext uri="{63B3BB69-23CF-44E3-9099-C40C66FF867C}">
              <a14:compatExt xmlns:a14="http://schemas.microsoft.com/office/drawing/2010/main" xmlns=""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25" name="Group Box 146" hidden="1">
          <a:extLst>
            <a:ext uri="{63B3BB69-23CF-44E3-9099-C40C66FF867C}">
              <a14:compatExt xmlns:a14="http://schemas.microsoft.com/office/drawing/2010/main" xmlns=""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26" name="Group Box 151" hidden="1">
          <a:extLst>
            <a:ext uri="{63B3BB69-23CF-44E3-9099-C40C66FF867C}">
              <a14:compatExt xmlns:a14="http://schemas.microsoft.com/office/drawing/2010/main" xmlns=""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27" name="Group Box 156" hidden="1">
          <a:extLst>
            <a:ext uri="{63B3BB69-23CF-44E3-9099-C40C66FF867C}">
              <a14:compatExt xmlns:a14="http://schemas.microsoft.com/office/drawing/2010/main" xmlns=""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28" name="Group Box 161" hidden="1">
          <a:extLst>
            <a:ext uri="{63B3BB69-23CF-44E3-9099-C40C66FF867C}">
              <a14:compatExt xmlns:a14="http://schemas.microsoft.com/office/drawing/2010/main" xmlns=""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29" name="Group Box 171" hidden="1">
          <a:extLst>
            <a:ext uri="{63B3BB69-23CF-44E3-9099-C40C66FF867C}">
              <a14:compatExt xmlns:a14="http://schemas.microsoft.com/office/drawing/2010/main" xmlns=""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30" name="Group Box 176" hidden="1">
          <a:extLst>
            <a:ext uri="{63B3BB69-23CF-44E3-9099-C40C66FF867C}">
              <a14:compatExt xmlns:a14="http://schemas.microsoft.com/office/drawing/2010/main" xmlns=""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31" name="Group Box 181" hidden="1">
          <a:extLst>
            <a:ext uri="{63B3BB69-23CF-44E3-9099-C40C66FF867C}">
              <a14:compatExt xmlns:a14="http://schemas.microsoft.com/office/drawing/2010/main" xmlns=""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32" name="Group Box 186" hidden="1">
          <a:extLst>
            <a:ext uri="{63B3BB69-23CF-44E3-9099-C40C66FF867C}">
              <a14:compatExt xmlns:a14="http://schemas.microsoft.com/office/drawing/2010/main" xmlns=""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33"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34"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35"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36"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37"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238"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239"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240"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241"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242"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243"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244"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245"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46"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47"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48"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49"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50"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51"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52"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53"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54"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55"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256" name="Group Box 5" hidden="1">
          <a:extLst>
            <a:ext uri="{63B3BB69-23CF-44E3-9099-C40C66FF867C}">
              <a14:compatExt xmlns:a14="http://schemas.microsoft.com/office/drawing/2010/main" xmlns=""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257" name="Group Box 10" hidden="1">
          <a:extLst>
            <a:ext uri="{63B3BB69-23CF-44E3-9099-C40C66FF867C}">
              <a14:compatExt xmlns:a14="http://schemas.microsoft.com/office/drawing/2010/main" xmlns=""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258" name="Group Box 15" hidden="1">
          <a:extLst>
            <a:ext uri="{63B3BB69-23CF-44E3-9099-C40C66FF867C}">
              <a14:compatExt xmlns:a14="http://schemas.microsoft.com/office/drawing/2010/main" xmlns=""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259" name="Group Box 25" hidden="1">
          <a:extLst>
            <a:ext uri="{63B3BB69-23CF-44E3-9099-C40C66FF867C}">
              <a14:compatExt xmlns:a14="http://schemas.microsoft.com/office/drawing/2010/main" xmlns=""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260" name="Group Box 30" hidden="1">
          <a:extLst>
            <a:ext uri="{63B3BB69-23CF-44E3-9099-C40C66FF867C}">
              <a14:compatExt xmlns:a14="http://schemas.microsoft.com/office/drawing/2010/main" xmlns=""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261" name="Group Box 35" hidden="1">
          <a:extLst>
            <a:ext uri="{63B3BB69-23CF-44E3-9099-C40C66FF867C}">
              <a14:compatExt xmlns:a14="http://schemas.microsoft.com/office/drawing/2010/main" xmlns=""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262" name="Group Box 40" hidden="1">
          <a:extLst>
            <a:ext uri="{63B3BB69-23CF-44E3-9099-C40C66FF867C}">
              <a14:compatExt xmlns:a14="http://schemas.microsoft.com/office/drawing/2010/main" xmlns=""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263" name="Group Box 46" hidden="1">
          <a:extLst>
            <a:ext uri="{63B3BB69-23CF-44E3-9099-C40C66FF867C}">
              <a14:compatExt xmlns:a14="http://schemas.microsoft.com/office/drawing/2010/main" xmlns=""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264" name="Group Box 51" hidden="1">
          <a:extLst>
            <a:ext uri="{63B3BB69-23CF-44E3-9099-C40C66FF867C}">
              <a14:compatExt xmlns:a14="http://schemas.microsoft.com/office/drawing/2010/main" xmlns=""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265" name="Group Box 56" hidden="1">
          <a:extLst>
            <a:ext uri="{63B3BB69-23CF-44E3-9099-C40C66FF867C}">
              <a14:compatExt xmlns:a14="http://schemas.microsoft.com/office/drawing/2010/main" xmlns=""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266" name="Group Box 61" hidden="1">
          <a:extLst>
            <a:ext uri="{63B3BB69-23CF-44E3-9099-C40C66FF867C}">
              <a14:compatExt xmlns:a14="http://schemas.microsoft.com/office/drawing/2010/main" xmlns=""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267" name="Group Box 96" hidden="1">
          <a:extLst>
            <a:ext uri="{63B3BB69-23CF-44E3-9099-C40C66FF867C}">
              <a14:compatExt xmlns:a14="http://schemas.microsoft.com/office/drawing/2010/main" xmlns=""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268" name="Group Box 101" hidden="1">
          <a:extLst>
            <a:ext uri="{63B3BB69-23CF-44E3-9099-C40C66FF867C}">
              <a14:compatExt xmlns:a14="http://schemas.microsoft.com/office/drawing/2010/main" xmlns=""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269" name="Group Box 106" hidden="1">
          <a:extLst>
            <a:ext uri="{63B3BB69-23CF-44E3-9099-C40C66FF867C}">
              <a14:compatExt xmlns:a14="http://schemas.microsoft.com/office/drawing/2010/main" xmlns=""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270" name="Group Box 111" hidden="1">
          <a:extLst>
            <a:ext uri="{63B3BB69-23CF-44E3-9099-C40C66FF867C}">
              <a14:compatExt xmlns:a14="http://schemas.microsoft.com/office/drawing/2010/main" xmlns=""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271" name="Group Box 146" hidden="1">
          <a:extLst>
            <a:ext uri="{63B3BB69-23CF-44E3-9099-C40C66FF867C}">
              <a14:compatExt xmlns:a14="http://schemas.microsoft.com/office/drawing/2010/main" xmlns=""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272" name="Group Box 151" hidden="1">
          <a:extLst>
            <a:ext uri="{63B3BB69-23CF-44E3-9099-C40C66FF867C}">
              <a14:compatExt xmlns:a14="http://schemas.microsoft.com/office/drawing/2010/main" xmlns=""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273" name="Group Box 156" hidden="1">
          <a:extLst>
            <a:ext uri="{63B3BB69-23CF-44E3-9099-C40C66FF867C}">
              <a14:compatExt xmlns:a14="http://schemas.microsoft.com/office/drawing/2010/main" xmlns=""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274" name="Group Box 161" hidden="1">
          <a:extLst>
            <a:ext uri="{63B3BB69-23CF-44E3-9099-C40C66FF867C}">
              <a14:compatExt xmlns:a14="http://schemas.microsoft.com/office/drawing/2010/main" xmlns=""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275" name="Group Box 171" hidden="1">
          <a:extLst>
            <a:ext uri="{63B3BB69-23CF-44E3-9099-C40C66FF867C}">
              <a14:compatExt xmlns:a14="http://schemas.microsoft.com/office/drawing/2010/main" xmlns=""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276" name="Group Box 176" hidden="1">
          <a:extLst>
            <a:ext uri="{63B3BB69-23CF-44E3-9099-C40C66FF867C}">
              <a14:compatExt xmlns:a14="http://schemas.microsoft.com/office/drawing/2010/main" xmlns=""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277" name="Group Box 181" hidden="1">
          <a:extLst>
            <a:ext uri="{63B3BB69-23CF-44E3-9099-C40C66FF867C}">
              <a14:compatExt xmlns:a14="http://schemas.microsoft.com/office/drawing/2010/main" xmlns=""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278" name="Group Box 186" hidden="1">
          <a:extLst>
            <a:ext uri="{63B3BB69-23CF-44E3-9099-C40C66FF867C}">
              <a14:compatExt xmlns:a14="http://schemas.microsoft.com/office/drawing/2010/main" xmlns="" spid="_x0000_s533733"/>
            </a:ext>
          </a:extLst>
        </xdr:cNvPr>
        <xdr:cNvSpPr/>
      </xdr:nvSpPr>
      <xdr:spPr>
        <a:xfrm>
          <a:off x="12061825" y="5051425"/>
          <a:ext cx="1431925" cy="22860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279" name="Group Box 5" hidden="1">
          <a:extLst>
            <a:ext uri="{63B3BB69-23CF-44E3-9099-C40C66FF867C}">
              <a14:compatExt xmlns:a14="http://schemas.microsoft.com/office/drawing/2010/main" xmlns=""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280" name="Group Box 10" hidden="1">
          <a:extLst>
            <a:ext uri="{63B3BB69-23CF-44E3-9099-C40C66FF867C}">
              <a14:compatExt xmlns:a14="http://schemas.microsoft.com/office/drawing/2010/main" xmlns=""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281" name="Group Box 15" hidden="1">
          <a:extLst>
            <a:ext uri="{63B3BB69-23CF-44E3-9099-C40C66FF867C}">
              <a14:compatExt xmlns:a14="http://schemas.microsoft.com/office/drawing/2010/main" xmlns=""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282" name="Group Box 25" hidden="1">
          <a:extLst>
            <a:ext uri="{63B3BB69-23CF-44E3-9099-C40C66FF867C}">
              <a14:compatExt xmlns:a14="http://schemas.microsoft.com/office/drawing/2010/main" xmlns=""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283" name="Group Box 30" hidden="1">
          <a:extLst>
            <a:ext uri="{63B3BB69-23CF-44E3-9099-C40C66FF867C}">
              <a14:compatExt xmlns:a14="http://schemas.microsoft.com/office/drawing/2010/main" xmlns=""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284" name="Group Box 35" hidden="1">
          <a:extLst>
            <a:ext uri="{63B3BB69-23CF-44E3-9099-C40C66FF867C}">
              <a14:compatExt xmlns:a14="http://schemas.microsoft.com/office/drawing/2010/main" xmlns=""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285" name="Group Box 40" hidden="1">
          <a:extLst>
            <a:ext uri="{63B3BB69-23CF-44E3-9099-C40C66FF867C}">
              <a14:compatExt xmlns:a14="http://schemas.microsoft.com/office/drawing/2010/main" xmlns=""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286" name="Group Box 46" hidden="1">
          <a:extLst>
            <a:ext uri="{63B3BB69-23CF-44E3-9099-C40C66FF867C}">
              <a14:compatExt xmlns:a14="http://schemas.microsoft.com/office/drawing/2010/main" xmlns=""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287" name="Group Box 51" hidden="1">
          <a:extLst>
            <a:ext uri="{63B3BB69-23CF-44E3-9099-C40C66FF867C}">
              <a14:compatExt xmlns:a14="http://schemas.microsoft.com/office/drawing/2010/main" xmlns=""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288" name="Group Box 56" hidden="1">
          <a:extLst>
            <a:ext uri="{63B3BB69-23CF-44E3-9099-C40C66FF867C}">
              <a14:compatExt xmlns:a14="http://schemas.microsoft.com/office/drawing/2010/main" xmlns=""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289" name="Group Box 61" hidden="1">
          <a:extLst>
            <a:ext uri="{63B3BB69-23CF-44E3-9099-C40C66FF867C}">
              <a14:compatExt xmlns:a14="http://schemas.microsoft.com/office/drawing/2010/main" xmlns=""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290" name="Group Box 96" hidden="1">
          <a:extLst>
            <a:ext uri="{63B3BB69-23CF-44E3-9099-C40C66FF867C}">
              <a14:compatExt xmlns:a14="http://schemas.microsoft.com/office/drawing/2010/main" xmlns=""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291" name="Group Box 101" hidden="1">
          <a:extLst>
            <a:ext uri="{63B3BB69-23CF-44E3-9099-C40C66FF867C}">
              <a14:compatExt xmlns:a14="http://schemas.microsoft.com/office/drawing/2010/main" xmlns=""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292" name="Group Box 106" hidden="1">
          <a:extLst>
            <a:ext uri="{63B3BB69-23CF-44E3-9099-C40C66FF867C}">
              <a14:compatExt xmlns:a14="http://schemas.microsoft.com/office/drawing/2010/main" xmlns=""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293" name="Group Box 111" hidden="1">
          <a:extLst>
            <a:ext uri="{63B3BB69-23CF-44E3-9099-C40C66FF867C}">
              <a14:compatExt xmlns:a14="http://schemas.microsoft.com/office/drawing/2010/main" xmlns=""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294" name="Group Box 146" hidden="1">
          <a:extLst>
            <a:ext uri="{63B3BB69-23CF-44E3-9099-C40C66FF867C}">
              <a14:compatExt xmlns:a14="http://schemas.microsoft.com/office/drawing/2010/main" xmlns=""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295" name="Group Box 151" hidden="1">
          <a:extLst>
            <a:ext uri="{63B3BB69-23CF-44E3-9099-C40C66FF867C}">
              <a14:compatExt xmlns:a14="http://schemas.microsoft.com/office/drawing/2010/main" xmlns=""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296" name="Group Box 156" hidden="1">
          <a:extLst>
            <a:ext uri="{63B3BB69-23CF-44E3-9099-C40C66FF867C}">
              <a14:compatExt xmlns:a14="http://schemas.microsoft.com/office/drawing/2010/main" xmlns=""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297" name="Group Box 161" hidden="1">
          <a:extLst>
            <a:ext uri="{63B3BB69-23CF-44E3-9099-C40C66FF867C}">
              <a14:compatExt xmlns:a14="http://schemas.microsoft.com/office/drawing/2010/main" xmlns=""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298" name="Group Box 171" hidden="1">
          <a:extLst>
            <a:ext uri="{63B3BB69-23CF-44E3-9099-C40C66FF867C}">
              <a14:compatExt xmlns:a14="http://schemas.microsoft.com/office/drawing/2010/main" xmlns=""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299" name="Group Box 176" hidden="1">
          <a:extLst>
            <a:ext uri="{63B3BB69-23CF-44E3-9099-C40C66FF867C}">
              <a14:compatExt xmlns:a14="http://schemas.microsoft.com/office/drawing/2010/main" xmlns=""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300" name="Group Box 181" hidden="1">
          <a:extLst>
            <a:ext uri="{63B3BB69-23CF-44E3-9099-C40C66FF867C}">
              <a14:compatExt xmlns:a14="http://schemas.microsoft.com/office/drawing/2010/main" xmlns=""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301" name="Group Box 186" hidden="1">
          <a:extLst>
            <a:ext uri="{63B3BB69-23CF-44E3-9099-C40C66FF867C}">
              <a14:compatExt xmlns:a14="http://schemas.microsoft.com/office/drawing/2010/main" xmlns="" spid="_x0000_s533733"/>
            </a:ext>
          </a:extLst>
        </xdr:cNvPr>
        <xdr:cNvSpPr/>
      </xdr:nvSpPr>
      <xdr:spPr>
        <a:xfrm>
          <a:off x="12061825" y="5051425"/>
          <a:ext cx="1431925" cy="22860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302" name="Group Box 5" hidden="1">
          <a:extLst>
            <a:ext uri="{63B3BB69-23CF-44E3-9099-C40C66FF867C}">
              <a14:compatExt xmlns:a14="http://schemas.microsoft.com/office/drawing/2010/main" xmlns=""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303" name="Group Box 10" hidden="1">
          <a:extLst>
            <a:ext uri="{63B3BB69-23CF-44E3-9099-C40C66FF867C}">
              <a14:compatExt xmlns:a14="http://schemas.microsoft.com/office/drawing/2010/main" xmlns=""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304" name="Group Box 15" hidden="1">
          <a:extLst>
            <a:ext uri="{63B3BB69-23CF-44E3-9099-C40C66FF867C}">
              <a14:compatExt xmlns:a14="http://schemas.microsoft.com/office/drawing/2010/main" xmlns=""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305" name="Group Box 25" hidden="1">
          <a:extLst>
            <a:ext uri="{63B3BB69-23CF-44E3-9099-C40C66FF867C}">
              <a14:compatExt xmlns:a14="http://schemas.microsoft.com/office/drawing/2010/main" xmlns=""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306" name="Group Box 30" hidden="1">
          <a:extLst>
            <a:ext uri="{63B3BB69-23CF-44E3-9099-C40C66FF867C}">
              <a14:compatExt xmlns:a14="http://schemas.microsoft.com/office/drawing/2010/main" xmlns=""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307" name="Group Box 35" hidden="1">
          <a:extLst>
            <a:ext uri="{63B3BB69-23CF-44E3-9099-C40C66FF867C}">
              <a14:compatExt xmlns:a14="http://schemas.microsoft.com/office/drawing/2010/main" xmlns=""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308" name="Group Box 40" hidden="1">
          <a:extLst>
            <a:ext uri="{63B3BB69-23CF-44E3-9099-C40C66FF867C}">
              <a14:compatExt xmlns:a14="http://schemas.microsoft.com/office/drawing/2010/main" xmlns=""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309" name="Group Box 46" hidden="1">
          <a:extLst>
            <a:ext uri="{63B3BB69-23CF-44E3-9099-C40C66FF867C}">
              <a14:compatExt xmlns:a14="http://schemas.microsoft.com/office/drawing/2010/main" xmlns=""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310" name="Group Box 51" hidden="1">
          <a:extLst>
            <a:ext uri="{63B3BB69-23CF-44E3-9099-C40C66FF867C}">
              <a14:compatExt xmlns:a14="http://schemas.microsoft.com/office/drawing/2010/main" xmlns=""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311" name="Group Box 56" hidden="1">
          <a:extLst>
            <a:ext uri="{63B3BB69-23CF-44E3-9099-C40C66FF867C}">
              <a14:compatExt xmlns:a14="http://schemas.microsoft.com/office/drawing/2010/main" xmlns=""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312" name="Group Box 61" hidden="1">
          <a:extLst>
            <a:ext uri="{63B3BB69-23CF-44E3-9099-C40C66FF867C}">
              <a14:compatExt xmlns:a14="http://schemas.microsoft.com/office/drawing/2010/main" xmlns=""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313" name="Group Box 96" hidden="1">
          <a:extLst>
            <a:ext uri="{63B3BB69-23CF-44E3-9099-C40C66FF867C}">
              <a14:compatExt xmlns:a14="http://schemas.microsoft.com/office/drawing/2010/main" xmlns=""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314" name="Group Box 101" hidden="1">
          <a:extLst>
            <a:ext uri="{63B3BB69-23CF-44E3-9099-C40C66FF867C}">
              <a14:compatExt xmlns:a14="http://schemas.microsoft.com/office/drawing/2010/main" xmlns=""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315" name="Group Box 106" hidden="1">
          <a:extLst>
            <a:ext uri="{63B3BB69-23CF-44E3-9099-C40C66FF867C}">
              <a14:compatExt xmlns:a14="http://schemas.microsoft.com/office/drawing/2010/main" xmlns=""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316" name="Group Box 111" hidden="1">
          <a:extLst>
            <a:ext uri="{63B3BB69-23CF-44E3-9099-C40C66FF867C}">
              <a14:compatExt xmlns:a14="http://schemas.microsoft.com/office/drawing/2010/main" xmlns=""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317" name="Group Box 146" hidden="1">
          <a:extLst>
            <a:ext uri="{63B3BB69-23CF-44E3-9099-C40C66FF867C}">
              <a14:compatExt xmlns:a14="http://schemas.microsoft.com/office/drawing/2010/main" xmlns=""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318" name="Group Box 151" hidden="1">
          <a:extLst>
            <a:ext uri="{63B3BB69-23CF-44E3-9099-C40C66FF867C}">
              <a14:compatExt xmlns:a14="http://schemas.microsoft.com/office/drawing/2010/main" xmlns=""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319" name="Group Box 156" hidden="1">
          <a:extLst>
            <a:ext uri="{63B3BB69-23CF-44E3-9099-C40C66FF867C}">
              <a14:compatExt xmlns:a14="http://schemas.microsoft.com/office/drawing/2010/main" xmlns=""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320" name="Group Box 161" hidden="1">
          <a:extLst>
            <a:ext uri="{63B3BB69-23CF-44E3-9099-C40C66FF867C}">
              <a14:compatExt xmlns:a14="http://schemas.microsoft.com/office/drawing/2010/main" xmlns=""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321" name="Group Box 171" hidden="1">
          <a:extLst>
            <a:ext uri="{63B3BB69-23CF-44E3-9099-C40C66FF867C}">
              <a14:compatExt xmlns:a14="http://schemas.microsoft.com/office/drawing/2010/main" xmlns=""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322" name="Group Box 176" hidden="1">
          <a:extLst>
            <a:ext uri="{63B3BB69-23CF-44E3-9099-C40C66FF867C}">
              <a14:compatExt xmlns:a14="http://schemas.microsoft.com/office/drawing/2010/main" xmlns=""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323" name="Group Box 181" hidden="1">
          <a:extLst>
            <a:ext uri="{63B3BB69-23CF-44E3-9099-C40C66FF867C}">
              <a14:compatExt xmlns:a14="http://schemas.microsoft.com/office/drawing/2010/main" xmlns=""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324" name="Group Box 186" hidden="1">
          <a:extLst>
            <a:ext uri="{63B3BB69-23CF-44E3-9099-C40C66FF867C}">
              <a14:compatExt xmlns:a14="http://schemas.microsoft.com/office/drawing/2010/main" xmlns="" spid="_x0000_s533733"/>
            </a:ext>
          </a:extLst>
        </xdr:cNvPr>
        <xdr:cNvSpPr/>
      </xdr:nvSpPr>
      <xdr:spPr>
        <a:xfrm>
          <a:off x="12061825" y="5051425"/>
          <a:ext cx="1431925" cy="22860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325" name="Group Box 5" hidden="1">
          <a:extLst>
            <a:ext uri="{63B3BB69-23CF-44E3-9099-C40C66FF867C}">
              <a14:compatExt xmlns:a14="http://schemas.microsoft.com/office/drawing/2010/main" xmlns=""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326" name="Group Box 10" hidden="1">
          <a:extLst>
            <a:ext uri="{63B3BB69-23CF-44E3-9099-C40C66FF867C}">
              <a14:compatExt xmlns:a14="http://schemas.microsoft.com/office/drawing/2010/main" xmlns=""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327" name="Group Box 15" hidden="1">
          <a:extLst>
            <a:ext uri="{63B3BB69-23CF-44E3-9099-C40C66FF867C}">
              <a14:compatExt xmlns:a14="http://schemas.microsoft.com/office/drawing/2010/main" xmlns=""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328" name="Group Box 25" hidden="1">
          <a:extLst>
            <a:ext uri="{63B3BB69-23CF-44E3-9099-C40C66FF867C}">
              <a14:compatExt xmlns:a14="http://schemas.microsoft.com/office/drawing/2010/main" xmlns=""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329" name="Group Box 30" hidden="1">
          <a:extLst>
            <a:ext uri="{63B3BB69-23CF-44E3-9099-C40C66FF867C}">
              <a14:compatExt xmlns:a14="http://schemas.microsoft.com/office/drawing/2010/main" xmlns=""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330" name="Group Box 35" hidden="1">
          <a:extLst>
            <a:ext uri="{63B3BB69-23CF-44E3-9099-C40C66FF867C}">
              <a14:compatExt xmlns:a14="http://schemas.microsoft.com/office/drawing/2010/main" xmlns=""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331" name="Group Box 40" hidden="1">
          <a:extLst>
            <a:ext uri="{63B3BB69-23CF-44E3-9099-C40C66FF867C}">
              <a14:compatExt xmlns:a14="http://schemas.microsoft.com/office/drawing/2010/main" xmlns=""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332" name="Group Box 46" hidden="1">
          <a:extLst>
            <a:ext uri="{63B3BB69-23CF-44E3-9099-C40C66FF867C}">
              <a14:compatExt xmlns:a14="http://schemas.microsoft.com/office/drawing/2010/main" xmlns=""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333" name="Group Box 51" hidden="1">
          <a:extLst>
            <a:ext uri="{63B3BB69-23CF-44E3-9099-C40C66FF867C}">
              <a14:compatExt xmlns:a14="http://schemas.microsoft.com/office/drawing/2010/main" xmlns=""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334" name="Group Box 56" hidden="1">
          <a:extLst>
            <a:ext uri="{63B3BB69-23CF-44E3-9099-C40C66FF867C}">
              <a14:compatExt xmlns:a14="http://schemas.microsoft.com/office/drawing/2010/main" xmlns=""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335" name="Group Box 61" hidden="1">
          <a:extLst>
            <a:ext uri="{63B3BB69-23CF-44E3-9099-C40C66FF867C}">
              <a14:compatExt xmlns:a14="http://schemas.microsoft.com/office/drawing/2010/main" xmlns=""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336" name="Group Box 96" hidden="1">
          <a:extLst>
            <a:ext uri="{63B3BB69-23CF-44E3-9099-C40C66FF867C}">
              <a14:compatExt xmlns:a14="http://schemas.microsoft.com/office/drawing/2010/main" xmlns=""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337" name="Group Box 101" hidden="1">
          <a:extLst>
            <a:ext uri="{63B3BB69-23CF-44E3-9099-C40C66FF867C}">
              <a14:compatExt xmlns:a14="http://schemas.microsoft.com/office/drawing/2010/main" xmlns=""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338" name="Group Box 106" hidden="1">
          <a:extLst>
            <a:ext uri="{63B3BB69-23CF-44E3-9099-C40C66FF867C}">
              <a14:compatExt xmlns:a14="http://schemas.microsoft.com/office/drawing/2010/main" xmlns=""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339" name="Group Box 111" hidden="1">
          <a:extLst>
            <a:ext uri="{63B3BB69-23CF-44E3-9099-C40C66FF867C}">
              <a14:compatExt xmlns:a14="http://schemas.microsoft.com/office/drawing/2010/main" xmlns=""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340" name="Group Box 146" hidden="1">
          <a:extLst>
            <a:ext uri="{63B3BB69-23CF-44E3-9099-C40C66FF867C}">
              <a14:compatExt xmlns:a14="http://schemas.microsoft.com/office/drawing/2010/main" xmlns=""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341" name="Group Box 151" hidden="1">
          <a:extLst>
            <a:ext uri="{63B3BB69-23CF-44E3-9099-C40C66FF867C}">
              <a14:compatExt xmlns:a14="http://schemas.microsoft.com/office/drawing/2010/main" xmlns=""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342" name="Group Box 156" hidden="1">
          <a:extLst>
            <a:ext uri="{63B3BB69-23CF-44E3-9099-C40C66FF867C}">
              <a14:compatExt xmlns:a14="http://schemas.microsoft.com/office/drawing/2010/main" xmlns=""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343" name="Group Box 161" hidden="1">
          <a:extLst>
            <a:ext uri="{63B3BB69-23CF-44E3-9099-C40C66FF867C}">
              <a14:compatExt xmlns:a14="http://schemas.microsoft.com/office/drawing/2010/main" xmlns=""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344" name="Group Box 171" hidden="1">
          <a:extLst>
            <a:ext uri="{63B3BB69-23CF-44E3-9099-C40C66FF867C}">
              <a14:compatExt xmlns:a14="http://schemas.microsoft.com/office/drawing/2010/main" xmlns=""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345" name="Group Box 176" hidden="1">
          <a:extLst>
            <a:ext uri="{63B3BB69-23CF-44E3-9099-C40C66FF867C}">
              <a14:compatExt xmlns:a14="http://schemas.microsoft.com/office/drawing/2010/main" xmlns=""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346" name="Group Box 181" hidden="1">
          <a:extLst>
            <a:ext uri="{63B3BB69-23CF-44E3-9099-C40C66FF867C}">
              <a14:compatExt xmlns:a14="http://schemas.microsoft.com/office/drawing/2010/main" xmlns=""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347" name="Group Box 186" hidden="1">
          <a:extLst>
            <a:ext uri="{63B3BB69-23CF-44E3-9099-C40C66FF867C}">
              <a14:compatExt xmlns:a14="http://schemas.microsoft.com/office/drawing/2010/main" xmlns="" spid="_x0000_s533733"/>
            </a:ext>
          </a:extLst>
        </xdr:cNvPr>
        <xdr:cNvSpPr/>
      </xdr:nvSpPr>
      <xdr:spPr>
        <a:xfrm>
          <a:off x="12061825" y="5051425"/>
          <a:ext cx="1431925" cy="22860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348" name="Group Box 5" hidden="1">
          <a:extLst>
            <a:ext uri="{63B3BB69-23CF-44E3-9099-C40C66FF867C}">
              <a14:compatExt xmlns:a14="http://schemas.microsoft.com/office/drawing/2010/main" xmlns=""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49" name="Group Box 10" hidden="1">
          <a:extLst>
            <a:ext uri="{63B3BB69-23CF-44E3-9099-C40C66FF867C}">
              <a14:compatExt xmlns:a14="http://schemas.microsoft.com/office/drawing/2010/main" xmlns=""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350" name="Group Box 15" hidden="1">
          <a:extLst>
            <a:ext uri="{63B3BB69-23CF-44E3-9099-C40C66FF867C}">
              <a14:compatExt xmlns:a14="http://schemas.microsoft.com/office/drawing/2010/main" xmlns=""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351" name="Group Box 25" hidden="1">
          <a:extLst>
            <a:ext uri="{63B3BB69-23CF-44E3-9099-C40C66FF867C}">
              <a14:compatExt xmlns:a14="http://schemas.microsoft.com/office/drawing/2010/main" xmlns=""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52" name="Group Box 30" hidden="1">
          <a:extLst>
            <a:ext uri="{63B3BB69-23CF-44E3-9099-C40C66FF867C}">
              <a14:compatExt xmlns:a14="http://schemas.microsoft.com/office/drawing/2010/main" xmlns=""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53" name="Group Box 35" hidden="1">
          <a:extLst>
            <a:ext uri="{63B3BB69-23CF-44E3-9099-C40C66FF867C}">
              <a14:compatExt xmlns:a14="http://schemas.microsoft.com/office/drawing/2010/main" xmlns=""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54" name="Group Box 40" hidden="1">
          <a:extLst>
            <a:ext uri="{63B3BB69-23CF-44E3-9099-C40C66FF867C}">
              <a14:compatExt xmlns:a14="http://schemas.microsoft.com/office/drawing/2010/main" xmlns=""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55" name="Group Box 46" hidden="1">
          <a:extLst>
            <a:ext uri="{63B3BB69-23CF-44E3-9099-C40C66FF867C}">
              <a14:compatExt xmlns:a14="http://schemas.microsoft.com/office/drawing/2010/main" xmlns=""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56" name="Group Box 51" hidden="1">
          <a:extLst>
            <a:ext uri="{63B3BB69-23CF-44E3-9099-C40C66FF867C}">
              <a14:compatExt xmlns:a14="http://schemas.microsoft.com/office/drawing/2010/main" xmlns=""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57" name="Group Box 56" hidden="1">
          <a:extLst>
            <a:ext uri="{63B3BB69-23CF-44E3-9099-C40C66FF867C}">
              <a14:compatExt xmlns:a14="http://schemas.microsoft.com/office/drawing/2010/main" xmlns=""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58" name="Group Box 61" hidden="1">
          <a:extLst>
            <a:ext uri="{63B3BB69-23CF-44E3-9099-C40C66FF867C}">
              <a14:compatExt xmlns:a14="http://schemas.microsoft.com/office/drawing/2010/main" xmlns=""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59" name="Group Box 96" hidden="1">
          <a:extLst>
            <a:ext uri="{63B3BB69-23CF-44E3-9099-C40C66FF867C}">
              <a14:compatExt xmlns:a14="http://schemas.microsoft.com/office/drawing/2010/main" xmlns=""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60" name="Group Box 101" hidden="1">
          <a:extLst>
            <a:ext uri="{63B3BB69-23CF-44E3-9099-C40C66FF867C}">
              <a14:compatExt xmlns:a14="http://schemas.microsoft.com/office/drawing/2010/main" xmlns=""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61" name="Group Box 106" hidden="1">
          <a:extLst>
            <a:ext uri="{63B3BB69-23CF-44E3-9099-C40C66FF867C}">
              <a14:compatExt xmlns:a14="http://schemas.microsoft.com/office/drawing/2010/main" xmlns=""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362" name="Group Box 111" hidden="1">
          <a:extLst>
            <a:ext uri="{63B3BB69-23CF-44E3-9099-C40C66FF867C}">
              <a14:compatExt xmlns:a14="http://schemas.microsoft.com/office/drawing/2010/main" xmlns=""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363" name="Group Box 146" hidden="1">
          <a:extLst>
            <a:ext uri="{63B3BB69-23CF-44E3-9099-C40C66FF867C}">
              <a14:compatExt xmlns:a14="http://schemas.microsoft.com/office/drawing/2010/main" xmlns=""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364" name="Group Box 151" hidden="1">
          <a:extLst>
            <a:ext uri="{63B3BB69-23CF-44E3-9099-C40C66FF867C}">
              <a14:compatExt xmlns:a14="http://schemas.microsoft.com/office/drawing/2010/main" xmlns=""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365" name="Group Box 156" hidden="1">
          <a:extLst>
            <a:ext uri="{63B3BB69-23CF-44E3-9099-C40C66FF867C}">
              <a14:compatExt xmlns:a14="http://schemas.microsoft.com/office/drawing/2010/main" xmlns=""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366" name="Group Box 161" hidden="1">
          <a:extLst>
            <a:ext uri="{63B3BB69-23CF-44E3-9099-C40C66FF867C}">
              <a14:compatExt xmlns:a14="http://schemas.microsoft.com/office/drawing/2010/main" xmlns=""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367" name="Group Box 171" hidden="1">
          <a:extLst>
            <a:ext uri="{63B3BB69-23CF-44E3-9099-C40C66FF867C}">
              <a14:compatExt xmlns:a14="http://schemas.microsoft.com/office/drawing/2010/main" xmlns=""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368" name="Group Box 176" hidden="1">
          <a:extLst>
            <a:ext uri="{63B3BB69-23CF-44E3-9099-C40C66FF867C}">
              <a14:compatExt xmlns:a14="http://schemas.microsoft.com/office/drawing/2010/main" xmlns=""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369" name="Group Box 181" hidden="1">
          <a:extLst>
            <a:ext uri="{63B3BB69-23CF-44E3-9099-C40C66FF867C}">
              <a14:compatExt xmlns:a14="http://schemas.microsoft.com/office/drawing/2010/main" xmlns=""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370" name="Group Box 186" hidden="1">
          <a:extLst>
            <a:ext uri="{63B3BB69-23CF-44E3-9099-C40C66FF867C}">
              <a14:compatExt xmlns:a14="http://schemas.microsoft.com/office/drawing/2010/main" xmlns=""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371" name="Group Box 5" hidden="1">
          <a:extLst>
            <a:ext uri="{63B3BB69-23CF-44E3-9099-C40C66FF867C}">
              <a14:compatExt xmlns:a14="http://schemas.microsoft.com/office/drawing/2010/main" xmlns=""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72" name="Group Box 10" hidden="1">
          <a:extLst>
            <a:ext uri="{63B3BB69-23CF-44E3-9099-C40C66FF867C}">
              <a14:compatExt xmlns:a14="http://schemas.microsoft.com/office/drawing/2010/main" xmlns=""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373" name="Group Box 15" hidden="1">
          <a:extLst>
            <a:ext uri="{63B3BB69-23CF-44E3-9099-C40C66FF867C}">
              <a14:compatExt xmlns:a14="http://schemas.microsoft.com/office/drawing/2010/main" xmlns=""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374" name="Group Box 25" hidden="1">
          <a:extLst>
            <a:ext uri="{63B3BB69-23CF-44E3-9099-C40C66FF867C}">
              <a14:compatExt xmlns:a14="http://schemas.microsoft.com/office/drawing/2010/main" xmlns=""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75" name="Group Box 30" hidden="1">
          <a:extLst>
            <a:ext uri="{63B3BB69-23CF-44E3-9099-C40C66FF867C}">
              <a14:compatExt xmlns:a14="http://schemas.microsoft.com/office/drawing/2010/main" xmlns=""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76" name="Group Box 35" hidden="1">
          <a:extLst>
            <a:ext uri="{63B3BB69-23CF-44E3-9099-C40C66FF867C}">
              <a14:compatExt xmlns:a14="http://schemas.microsoft.com/office/drawing/2010/main" xmlns=""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77" name="Group Box 40" hidden="1">
          <a:extLst>
            <a:ext uri="{63B3BB69-23CF-44E3-9099-C40C66FF867C}">
              <a14:compatExt xmlns:a14="http://schemas.microsoft.com/office/drawing/2010/main" xmlns=""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78" name="Group Box 46" hidden="1">
          <a:extLst>
            <a:ext uri="{63B3BB69-23CF-44E3-9099-C40C66FF867C}">
              <a14:compatExt xmlns:a14="http://schemas.microsoft.com/office/drawing/2010/main" xmlns=""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79" name="Group Box 51" hidden="1">
          <a:extLst>
            <a:ext uri="{63B3BB69-23CF-44E3-9099-C40C66FF867C}">
              <a14:compatExt xmlns:a14="http://schemas.microsoft.com/office/drawing/2010/main" xmlns=""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80" name="Group Box 56" hidden="1">
          <a:extLst>
            <a:ext uri="{63B3BB69-23CF-44E3-9099-C40C66FF867C}">
              <a14:compatExt xmlns:a14="http://schemas.microsoft.com/office/drawing/2010/main" xmlns=""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81" name="Group Box 61" hidden="1">
          <a:extLst>
            <a:ext uri="{63B3BB69-23CF-44E3-9099-C40C66FF867C}">
              <a14:compatExt xmlns:a14="http://schemas.microsoft.com/office/drawing/2010/main" xmlns=""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82" name="Group Box 96" hidden="1">
          <a:extLst>
            <a:ext uri="{63B3BB69-23CF-44E3-9099-C40C66FF867C}">
              <a14:compatExt xmlns:a14="http://schemas.microsoft.com/office/drawing/2010/main" xmlns=""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83" name="Group Box 101" hidden="1">
          <a:extLst>
            <a:ext uri="{63B3BB69-23CF-44E3-9099-C40C66FF867C}">
              <a14:compatExt xmlns:a14="http://schemas.microsoft.com/office/drawing/2010/main" xmlns=""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84" name="Group Box 106" hidden="1">
          <a:extLst>
            <a:ext uri="{63B3BB69-23CF-44E3-9099-C40C66FF867C}">
              <a14:compatExt xmlns:a14="http://schemas.microsoft.com/office/drawing/2010/main" xmlns=""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385" name="Group Box 111" hidden="1">
          <a:extLst>
            <a:ext uri="{63B3BB69-23CF-44E3-9099-C40C66FF867C}">
              <a14:compatExt xmlns:a14="http://schemas.microsoft.com/office/drawing/2010/main" xmlns=""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386" name="Group Box 146" hidden="1">
          <a:extLst>
            <a:ext uri="{63B3BB69-23CF-44E3-9099-C40C66FF867C}">
              <a14:compatExt xmlns:a14="http://schemas.microsoft.com/office/drawing/2010/main" xmlns=""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387" name="Group Box 151" hidden="1">
          <a:extLst>
            <a:ext uri="{63B3BB69-23CF-44E3-9099-C40C66FF867C}">
              <a14:compatExt xmlns:a14="http://schemas.microsoft.com/office/drawing/2010/main" xmlns=""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388" name="Group Box 156" hidden="1">
          <a:extLst>
            <a:ext uri="{63B3BB69-23CF-44E3-9099-C40C66FF867C}">
              <a14:compatExt xmlns:a14="http://schemas.microsoft.com/office/drawing/2010/main" xmlns=""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389" name="Group Box 161" hidden="1">
          <a:extLst>
            <a:ext uri="{63B3BB69-23CF-44E3-9099-C40C66FF867C}">
              <a14:compatExt xmlns:a14="http://schemas.microsoft.com/office/drawing/2010/main" xmlns=""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390" name="Group Box 171" hidden="1">
          <a:extLst>
            <a:ext uri="{63B3BB69-23CF-44E3-9099-C40C66FF867C}">
              <a14:compatExt xmlns:a14="http://schemas.microsoft.com/office/drawing/2010/main" xmlns=""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391" name="Group Box 176" hidden="1">
          <a:extLst>
            <a:ext uri="{63B3BB69-23CF-44E3-9099-C40C66FF867C}">
              <a14:compatExt xmlns:a14="http://schemas.microsoft.com/office/drawing/2010/main" xmlns=""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392" name="Group Box 181" hidden="1">
          <a:extLst>
            <a:ext uri="{63B3BB69-23CF-44E3-9099-C40C66FF867C}">
              <a14:compatExt xmlns:a14="http://schemas.microsoft.com/office/drawing/2010/main" xmlns=""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393" name="Group Box 186" hidden="1">
          <a:extLst>
            <a:ext uri="{63B3BB69-23CF-44E3-9099-C40C66FF867C}">
              <a14:compatExt xmlns:a14="http://schemas.microsoft.com/office/drawing/2010/main" xmlns=""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394"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95"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396"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397"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98"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99"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00"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01"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02"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03"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04"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05"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06"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07"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08"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09"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10"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11"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12"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13"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14"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15"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16"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17"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18"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19"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20"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21"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22"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23"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24"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25"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26"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27"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28"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29"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30"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31"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32"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33"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34"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35"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36"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37"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38"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39"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40"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41"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42"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43"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44"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45"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46"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47"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48"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49"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50"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51"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52"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53"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54"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55"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56"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57"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58"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59"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60"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61"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62"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63"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64"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65"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66"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67"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68"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69"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70"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71"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72"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73"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74"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75"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76"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77"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78"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79"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80"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81"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82"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83"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84"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85"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86"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87"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88"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89"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90"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91"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92"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93"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94"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95"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96"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97"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98"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99"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00"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01"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02"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03"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04"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05"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06"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07"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08"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00" name="Group Box 5" hidden="1">
          <a:extLst>
            <a:ext uri="{63B3BB69-23CF-44E3-9099-C40C66FF867C}">
              <a14:compatExt xmlns:a14="http://schemas.microsoft.com/office/drawing/2010/main" xmlns=""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01" name="Group Box 10" hidden="1">
          <a:extLst>
            <a:ext uri="{63B3BB69-23CF-44E3-9099-C40C66FF867C}">
              <a14:compatExt xmlns:a14="http://schemas.microsoft.com/office/drawing/2010/main" xmlns=""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02" name="Group Box 15" hidden="1">
          <a:extLst>
            <a:ext uri="{63B3BB69-23CF-44E3-9099-C40C66FF867C}">
              <a14:compatExt xmlns:a14="http://schemas.microsoft.com/office/drawing/2010/main" xmlns=""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03" name="Group Box 25" hidden="1">
          <a:extLst>
            <a:ext uri="{63B3BB69-23CF-44E3-9099-C40C66FF867C}">
              <a14:compatExt xmlns:a14="http://schemas.microsoft.com/office/drawing/2010/main" xmlns=""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04" name="Group Box 30" hidden="1">
          <a:extLst>
            <a:ext uri="{63B3BB69-23CF-44E3-9099-C40C66FF867C}">
              <a14:compatExt xmlns:a14="http://schemas.microsoft.com/office/drawing/2010/main" xmlns=""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05" name="Group Box 35" hidden="1">
          <a:extLst>
            <a:ext uri="{63B3BB69-23CF-44E3-9099-C40C66FF867C}">
              <a14:compatExt xmlns:a14="http://schemas.microsoft.com/office/drawing/2010/main" xmlns=""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06" name="Group Box 40" hidden="1">
          <a:extLst>
            <a:ext uri="{63B3BB69-23CF-44E3-9099-C40C66FF867C}">
              <a14:compatExt xmlns:a14="http://schemas.microsoft.com/office/drawing/2010/main" xmlns=""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07" name="Group Box 46" hidden="1">
          <a:extLst>
            <a:ext uri="{63B3BB69-23CF-44E3-9099-C40C66FF867C}">
              <a14:compatExt xmlns:a14="http://schemas.microsoft.com/office/drawing/2010/main" xmlns=""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08" name="Group Box 51" hidden="1">
          <a:extLst>
            <a:ext uri="{63B3BB69-23CF-44E3-9099-C40C66FF867C}">
              <a14:compatExt xmlns:a14="http://schemas.microsoft.com/office/drawing/2010/main" xmlns=""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09" name="Group Box 56" hidden="1">
          <a:extLst>
            <a:ext uri="{63B3BB69-23CF-44E3-9099-C40C66FF867C}">
              <a14:compatExt xmlns:a14="http://schemas.microsoft.com/office/drawing/2010/main" xmlns=""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10" name="Group Box 61" hidden="1">
          <a:extLst>
            <a:ext uri="{63B3BB69-23CF-44E3-9099-C40C66FF867C}">
              <a14:compatExt xmlns:a14="http://schemas.microsoft.com/office/drawing/2010/main" xmlns=""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11" name="Group Box 96" hidden="1">
          <a:extLst>
            <a:ext uri="{63B3BB69-23CF-44E3-9099-C40C66FF867C}">
              <a14:compatExt xmlns:a14="http://schemas.microsoft.com/office/drawing/2010/main" xmlns=""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12" name="Group Box 101" hidden="1">
          <a:extLst>
            <a:ext uri="{63B3BB69-23CF-44E3-9099-C40C66FF867C}">
              <a14:compatExt xmlns:a14="http://schemas.microsoft.com/office/drawing/2010/main" xmlns=""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13" name="Group Box 106" hidden="1">
          <a:extLst>
            <a:ext uri="{63B3BB69-23CF-44E3-9099-C40C66FF867C}">
              <a14:compatExt xmlns:a14="http://schemas.microsoft.com/office/drawing/2010/main" xmlns=""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14" name="Group Box 111" hidden="1">
          <a:extLst>
            <a:ext uri="{63B3BB69-23CF-44E3-9099-C40C66FF867C}">
              <a14:compatExt xmlns:a14="http://schemas.microsoft.com/office/drawing/2010/main" xmlns=""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15" name="Group Box 146" hidden="1">
          <a:extLst>
            <a:ext uri="{63B3BB69-23CF-44E3-9099-C40C66FF867C}">
              <a14:compatExt xmlns:a14="http://schemas.microsoft.com/office/drawing/2010/main" xmlns=""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16" name="Group Box 151" hidden="1">
          <a:extLst>
            <a:ext uri="{63B3BB69-23CF-44E3-9099-C40C66FF867C}">
              <a14:compatExt xmlns:a14="http://schemas.microsoft.com/office/drawing/2010/main" xmlns=""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17" name="Group Box 156" hidden="1">
          <a:extLst>
            <a:ext uri="{63B3BB69-23CF-44E3-9099-C40C66FF867C}">
              <a14:compatExt xmlns:a14="http://schemas.microsoft.com/office/drawing/2010/main" xmlns=""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18" name="Group Box 161" hidden="1">
          <a:extLst>
            <a:ext uri="{63B3BB69-23CF-44E3-9099-C40C66FF867C}">
              <a14:compatExt xmlns:a14="http://schemas.microsoft.com/office/drawing/2010/main" xmlns=""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19" name="Group Box 171" hidden="1">
          <a:extLst>
            <a:ext uri="{63B3BB69-23CF-44E3-9099-C40C66FF867C}">
              <a14:compatExt xmlns:a14="http://schemas.microsoft.com/office/drawing/2010/main" xmlns=""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20" name="Group Box 176" hidden="1">
          <a:extLst>
            <a:ext uri="{63B3BB69-23CF-44E3-9099-C40C66FF867C}">
              <a14:compatExt xmlns:a14="http://schemas.microsoft.com/office/drawing/2010/main" xmlns=""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21" name="Group Box 181" hidden="1">
          <a:extLst>
            <a:ext uri="{63B3BB69-23CF-44E3-9099-C40C66FF867C}">
              <a14:compatExt xmlns:a14="http://schemas.microsoft.com/office/drawing/2010/main" xmlns=""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22" name="Group Box 186" hidden="1">
          <a:extLst>
            <a:ext uri="{63B3BB69-23CF-44E3-9099-C40C66FF867C}">
              <a14:compatExt xmlns:a14="http://schemas.microsoft.com/office/drawing/2010/main" xmlns=""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23"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24"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25"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26"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27"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28"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29"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30"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31"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32"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33"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34"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35"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36"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37"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38"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39"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40"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41"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42"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43"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44"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45"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813248" name="Group Box 5" hidden="1">
          <a:extLst>
            <a:ext uri="{63B3BB69-23CF-44E3-9099-C40C66FF867C}">
              <a14:compatExt xmlns:a14="http://schemas.microsoft.com/office/drawing/2010/main" xmlns="" spid="_x0000_s81324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13249" name="Group Box 10" hidden="1">
          <a:extLst>
            <a:ext uri="{63B3BB69-23CF-44E3-9099-C40C66FF867C}">
              <a14:compatExt xmlns:a14="http://schemas.microsoft.com/office/drawing/2010/main" xmlns="" spid="_x0000_s81324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13250" name="Group Box 15" hidden="1">
          <a:extLst>
            <a:ext uri="{63B3BB69-23CF-44E3-9099-C40C66FF867C}">
              <a14:compatExt xmlns:a14="http://schemas.microsoft.com/office/drawing/2010/main" xmlns="" spid="_x0000_s81325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13251" name="Group Box 25" hidden="1">
          <a:extLst>
            <a:ext uri="{63B3BB69-23CF-44E3-9099-C40C66FF867C}">
              <a14:compatExt xmlns:a14="http://schemas.microsoft.com/office/drawing/2010/main" xmlns="" spid="_x0000_s81325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13252" name="Group Box 30" hidden="1">
          <a:extLst>
            <a:ext uri="{63B3BB69-23CF-44E3-9099-C40C66FF867C}">
              <a14:compatExt xmlns:a14="http://schemas.microsoft.com/office/drawing/2010/main" xmlns="" spid="_x0000_s81325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13253" name="Group Box 35" hidden="1">
          <a:extLst>
            <a:ext uri="{63B3BB69-23CF-44E3-9099-C40C66FF867C}">
              <a14:compatExt xmlns:a14="http://schemas.microsoft.com/office/drawing/2010/main" xmlns="" spid="_x0000_s81325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13254" name="Group Box 40" hidden="1">
          <a:extLst>
            <a:ext uri="{63B3BB69-23CF-44E3-9099-C40C66FF867C}">
              <a14:compatExt xmlns:a14="http://schemas.microsoft.com/office/drawing/2010/main" xmlns="" spid="_x0000_s81325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13255" name="Group Box 46" hidden="1">
          <a:extLst>
            <a:ext uri="{63B3BB69-23CF-44E3-9099-C40C66FF867C}">
              <a14:compatExt xmlns:a14="http://schemas.microsoft.com/office/drawing/2010/main" xmlns="" spid="_x0000_s81325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13256" name="Group Box 51" hidden="1">
          <a:extLst>
            <a:ext uri="{63B3BB69-23CF-44E3-9099-C40C66FF867C}">
              <a14:compatExt xmlns:a14="http://schemas.microsoft.com/office/drawing/2010/main" xmlns="" spid="_x0000_s81325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3257" name="Group Box 56" hidden="1">
          <a:extLst>
            <a:ext uri="{63B3BB69-23CF-44E3-9099-C40C66FF867C}">
              <a14:compatExt xmlns:a14="http://schemas.microsoft.com/office/drawing/2010/main" xmlns="" spid="_x0000_s81325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13258" name="Group Box 61" hidden="1">
          <a:extLst>
            <a:ext uri="{63B3BB69-23CF-44E3-9099-C40C66FF867C}">
              <a14:compatExt xmlns:a14="http://schemas.microsoft.com/office/drawing/2010/main" xmlns="" spid="_x0000_s81325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3259" name="Group Box 96" hidden="1">
          <a:extLst>
            <a:ext uri="{63B3BB69-23CF-44E3-9099-C40C66FF867C}">
              <a14:compatExt xmlns:a14="http://schemas.microsoft.com/office/drawing/2010/main" xmlns="" spid="_x0000_s81325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3260" name="Group Box 101" hidden="1">
          <a:extLst>
            <a:ext uri="{63B3BB69-23CF-44E3-9099-C40C66FF867C}">
              <a14:compatExt xmlns:a14="http://schemas.microsoft.com/office/drawing/2010/main" xmlns="" spid="_x0000_s81326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3261" name="Group Box 106" hidden="1">
          <a:extLst>
            <a:ext uri="{63B3BB69-23CF-44E3-9099-C40C66FF867C}">
              <a14:compatExt xmlns:a14="http://schemas.microsoft.com/office/drawing/2010/main" xmlns="" spid="_x0000_s81326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3262" name="Group Box 111" hidden="1">
          <a:extLst>
            <a:ext uri="{63B3BB69-23CF-44E3-9099-C40C66FF867C}">
              <a14:compatExt xmlns:a14="http://schemas.microsoft.com/office/drawing/2010/main" xmlns="" spid="_x0000_s81326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3263" name="Group Box 146" hidden="1">
          <a:extLst>
            <a:ext uri="{63B3BB69-23CF-44E3-9099-C40C66FF867C}">
              <a14:compatExt xmlns:a14="http://schemas.microsoft.com/office/drawing/2010/main" xmlns="" spid="_x0000_s81326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3264" name="Group Box 151" hidden="1">
          <a:extLst>
            <a:ext uri="{63B3BB69-23CF-44E3-9099-C40C66FF867C}">
              <a14:compatExt xmlns:a14="http://schemas.microsoft.com/office/drawing/2010/main" xmlns="" spid="_x0000_s81326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3265" name="Group Box 156" hidden="1">
          <a:extLst>
            <a:ext uri="{63B3BB69-23CF-44E3-9099-C40C66FF867C}">
              <a14:compatExt xmlns:a14="http://schemas.microsoft.com/office/drawing/2010/main" xmlns="" spid="_x0000_s81326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3266" name="Group Box 161" hidden="1">
          <a:extLst>
            <a:ext uri="{63B3BB69-23CF-44E3-9099-C40C66FF867C}">
              <a14:compatExt xmlns:a14="http://schemas.microsoft.com/office/drawing/2010/main" xmlns="" spid="_x0000_s81326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3267" name="Group Box 171" hidden="1">
          <a:extLst>
            <a:ext uri="{63B3BB69-23CF-44E3-9099-C40C66FF867C}">
              <a14:compatExt xmlns:a14="http://schemas.microsoft.com/office/drawing/2010/main" xmlns="" spid="_x0000_s81326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3268" name="Group Box 176" hidden="1">
          <a:extLst>
            <a:ext uri="{63B3BB69-23CF-44E3-9099-C40C66FF867C}">
              <a14:compatExt xmlns:a14="http://schemas.microsoft.com/office/drawing/2010/main" xmlns="" spid="_x0000_s81326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3269" name="Group Box 181" hidden="1">
          <a:extLst>
            <a:ext uri="{63B3BB69-23CF-44E3-9099-C40C66FF867C}">
              <a14:compatExt xmlns:a14="http://schemas.microsoft.com/office/drawing/2010/main" xmlns="" spid="_x0000_s81326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3270" name="Group Box 186" hidden="1">
          <a:extLst>
            <a:ext uri="{63B3BB69-23CF-44E3-9099-C40C66FF867C}">
              <a14:compatExt xmlns:a14="http://schemas.microsoft.com/office/drawing/2010/main" xmlns="" spid="_x0000_s81327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xdr:from>
      <xdr:col>11</xdr:col>
      <xdr:colOff>0</xdr:colOff>
      <xdr:row>35</xdr:row>
      <xdr:rowOff>95250</xdr:rowOff>
    </xdr:from>
    <xdr:to>
      <xdr:col>18</xdr:col>
      <xdr:colOff>9525</xdr:colOff>
      <xdr:row>50</xdr:row>
      <xdr:rowOff>123825</xdr:rowOff>
    </xdr:to>
    <xdr:graphicFrame macro="">
      <xdr:nvGraphicFramePr>
        <xdr:cNvPr id="779" name="Chart 77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 name="Group Box 5" hidden="1">
          <a:extLst>
            <a:ext uri="{63B3BB69-23CF-44E3-9099-C40C66FF867C}">
              <a14:compatExt xmlns:a14="http://schemas.microsoft.com/office/drawing/2010/main" xmlns="" spid="_x0000_s81324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13056" name="Group Box 10" hidden="1">
          <a:extLst>
            <a:ext uri="{63B3BB69-23CF-44E3-9099-C40C66FF867C}">
              <a14:compatExt xmlns:a14="http://schemas.microsoft.com/office/drawing/2010/main" xmlns="" spid="_x0000_s81324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13271" name="Group Box 15" hidden="1">
          <a:extLst>
            <a:ext uri="{63B3BB69-23CF-44E3-9099-C40C66FF867C}">
              <a14:compatExt xmlns:a14="http://schemas.microsoft.com/office/drawing/2010/main" xmlns="" spid="_x0000_s81325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13272" name="Group Box 25" hidden="1">
          <a:extLst>
            <a:ext uri="{63B3BB69-23CF-44E3-9099-C40C66FF867C}">
              <a14:compatExt xmlns:a14="http://schemas.microsoft.com/office/drawing/2010/main" xmlns="" spid="_x0000_s81325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13273" name="Group Box 30" hidden="1">
          <a:extLst>
            <a:ext uri="{63B3BB69-23CF-44E3-9099-C40C66FF867C}">
              <a14:compatExt xmlns:a14="http://schemas.microsoft.com/office/drawing/2010/main" xmlns="" spid="_x0000_s81325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13274" name="Group Box 35" hidden="1">
          <a:extLst>
            <a:ext uri="{63B3BB69-23CF-44E3-9099-C40C66FF867C}">
              <a14:compatExt xmlns:a14="http://schemas.microsoft.com/office/drawing/2010/main" xmlns="" spid="_x0000_s81325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13275" name="Group Box 40" hidden="1">
          <a:extLst>
            <a:ext uri="{63B3BB69-23CF-44E3-9099-C40C66FF867C}">
              <a14:compatExt xmlns:a14="http://schemas.microsoft.com/office/drawing/2010/main" xmlns="" spid="_x0000_s81325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13276" name="Group Box 46" hidden="1">
          <a:extLst>
            <a:ext uri="{63B3BB69-23CF-44E3-9099-C40C66FF867C}">
              <a14:compatExt xmlns:a14="http://schemas.microsoft.com/office/drawing/2010/main" xmlns="" spid="_x0000_s81325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13277" name="Group Box 51" hidden="1">
          <a:extLst>
            <a:ext uri="{63B3BB69-23CF-44E3-9099-C40C66FF867C}">
              <a14:compatExt xmlns:a14="http://schemas.microsoft.com/office/drawing/2010/main" xmlns="" spid="_x0000_s81325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3278" name="Group Box 56" hidden="1">
          <a:extLst>
            <a:ext uri="{63B3BB69-23CF-44E3-9099-C40C66FF867C}">
              <a14:compatExt xmlns:a14="http://schemas.microsoft.com/office/drawing/2010/main" xmlns="" spid="_x0000_s81325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13279" name="Group Box 61" hidden="1">
          <a:extLst>
            <a:ext uri="{63B3BB69-23CF-44E3-9099-C40C66FF867C}">
              <a14:compatExt xmlns:a14="http://schemas.microsoft.com/office/drawing/2010/main" xmlns="" spid="_x0000_s81325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3280" name="Group Box 96" hidden="1">
          <a:extLst>
            <a:ext uri="{63B3BB69-23CF-44E3-9099-C40C66FF867C}">
              <a14:compatExt xmlns:a14="http://schemas.microsoft.com/office/drawing/2010/main" xmlns="" spid="_x0000_s81325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3281" name="Group Box 101" hidden="1">
          <a:extLst>
            <a:ext uri="{63B3BB69-23CF-44E3-9099-C40C66FF867C}">
              <a14:compatExt xmlns:a14="http://schemas.microsoft.com/office/drawing/2010/main" xmlns="" spid="_x0000_s81326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3282" name="Group Box 106" hidden="1">
          <a:extLst>
            <a:ext uri="{63B3BB69-23CF-44E3-9099-C40C66FF867C}">
              <a14:compatExt xmlns:a14="http://schemas.microsoft.com/office/drawing/2010/main" xmlns="" spid="_x0000_s81326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3283" name="Group Box 111" hidden="1">
          <a:extLst>
            <a:ext uri="{63B3BB69-23CF-44E3-9099-C40C66FF867C}">
              <a14:compatExt xmlns:a14="http://schemas.microsoft.com/office/drawing/2010/main" xmlns="" spid="_x0000_s81326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3284" name="Group Box 146" hidden="1">
          <a:extLst>
            <a:ext uri="{63B3BB69-23CF-44E3-9099-C40C66FF867C}">
              <a14:compatExt xmlns:a14="http://schemas.microsoft.com/office/drawing/2010/main" xmlns="" spid="_x0000_s81326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3285" name="Group Box 151" hidden="1">
          <a:extLst>
            <a:ext uri="{63B3BB69-23CF-44E3-9099-C40C66FF867C}">
              <a14:compatExt xmlns:a14="http://schemas.microsoft.com/office/drawing/2010/main" xmlns="" spid="_x0000_s81326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3286" name="Group Box 156" hidden="1">
          <a:extLst>
            <a:ext uri="{63B3BB69-23CF-44E3-9099-C40C66FF867C}">
              <a14:compatExt xmlns:a14="http://schemas.microsoft.com/office/drawing/2010/main" xmlns="" spid="_x0000_s81326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3287" name="Group Box 161" hidden="1">
          <a:extLst>
            <a:ext uri="{63B3BB69-23CF-44E3-9099-C40C66FF867C}">
              <a14:compatExt xmlns:a14="http://schemas.microsoft.com/office/drawing/2010/main" xmlns="" spid="_x0000_s81326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3288" name="Group Box 171" hidden="1">
          <a:extLst>
            <a:ext uri="{63B3BB69-23CF-44E3-9099-C40C66FF867C}">
              <a14:compatExt xmlns:a14="http://schemas.microsoft.com/office/drawing/2010/main" xmlns="" spid="_x0000_s81326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3289" name="Group Box 176" hidden="1">
          <a:extLst>
            <a:ext uri="{63B3BB69-23CF-44E3-9099-C40C66FF867C}">
              <a14:compatExt xmlns:a14="http://schemas.microsoft.com/office/drawing/2010/main" xmlns="" spid="_x0000_s81326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3290" name="Group Box 181" hidden="1">
          <a:extLst>
            <a:ext uri="{63B3BB69-23CF-44E3-9099-C40C66FF867C}">
              <a14:compatExt xmlns:a14="http://schemas.microsoft.com/office/drawing/2010/main" xmlns="" spid="_x0000_s81326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3291" name="Group Box 186" hidden="1">
          <a:extLst>
            <a:ext uri="{63B3BB69-23CF-44E3-9099-C40C66FF867C}">
              <a14:compatExt xmlns:a14="http://schemas.microsoft.com/office/drawing/2010/main" xmlns="" spid="_x0000_s81327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813292" name="Group Box 5" hidden="1">
          <a:extLst>
            <a:ext uri="{63B3BB69-23CF-44E3-9099-C40C66FF867C}">
              <a14:compatExt xmlns:a14="http://schemas.microsoft.com/office/drawing/2010/main" xmlns="" spid="_x0000_s81324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13293" name="Group Box 10" hidden="1">
          <a:extLst>
            <a:ext uri="{63B3BB69-23CF-44E3-9099-C40C66FF867C}">
              <a14:compatExt xmlns:a14="http://schemas.microsoft.com/office/drawing/2010/main" xmlns="" spid="_x0000_s81324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13294" name="Group Box 15" hidden="1">
          <a:extLst>
            <a:ext uri="{63B3BB69-23CF-44E3-9099-C40C66FF867C}">
              <a14:compatExt xmlns:a14="http://schemas.microsoft.com/office/drawing/2010/main" xmlns="" spid="_x0000_s81325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13295" name="Group Box 25" hidden="1">
          <a:extLst>
            <a:ext uri="{63B3BB69-23CF-44E3-9099-C40C66FF867C}">
              <a14:compatExt xmlns:a14="http://schemas.microsoft.com/office/drawing/2010/main" xmlns="" spid="_x0000_s81325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13296" name="Group Box 30" hidden="1">
          <a:extLst>
            <a:ext uri="{63B3BB69-23CF-44E3-9099-C40C66FF867C}">
              <a14:compatExt xmlns:a14="http://schemas.microsoft.com/office/drawing/2010/main" xmlns="" spid="_x0000_s81325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13297" name="Group Box 35" hidden="1">
          <a:extLst>
            <a:ext uri="{63B3BB69-23CF-44E3-9099-C40C66FF867C}">
              <a14:compatExt xmlns:a14="http://schemas.microsoft.com/office/drawing/2010/main" xmlns="" spid="_x0000_s81325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13298" name="Group Box 40" hidden="1">
          <a:extLst>
            <a:ext uri="{63B3BB69-23CF-44E3-9099-C40C66FF867C}">
              <a14:compatExt xmlns:a14="http://schemas.microsoft.com/office/drawing/2010/main" xmlns="" spid="_x0000_s81325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13299" name="Group Box 46" hidden="1">
          <a:extLst>
            <a:ext uri="{63B3BB69-23CF-44E3-9099-C40C66FF867C}">
              <a14:compatExt xmlns:a14="http://schemas.microsoft.com/office/drawing/2010/main" xmlns="" spid="_x0000_s81325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13300" name="Group Box 51" hidden="1">
          <a:extLst>
            <a:ext uri="{63B3BB69-23CF-44E3-9099-C40C66FF867C}">
              <a14:compatExt xmlns:a14="http://schemas.microsoft.com/office/drawing/2010/main" xmlns="" spid="_x0000_s81325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3301" name="Group Box 56" hidden="1">
          <a:extLst>
            <a:ext uri="{63B3BB69-23CF-44E3-9099-C40C66FF867C}">
              <a14:compatExt xmlns:a14="http://schemas.microsoft.com/office/drawing/2010/main" xmlns="" spid="_x0000_s81325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13302" name="Group Box 61" hidden="1">
          <a:extLst>
            <a:ext uri="{63B3BB69-23CF-44E3-9099-C40C66FF867C}">
              <a14:compatExt xmlns:a14="http://schemas.microsoft.com/office/drawing/2010/main" xmlns="" spid="_x0000_s81325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3303" name="Group Box 96" hidden="1">
          <a:extLst>
            <a:ext uri="{63B3BB69-23CF-44E3-9099-C40C66FF867C}">
              <a14:compatExt xmlns:a14="http://schemas.microsoft.com/office/drawing/2010/main" xmlns="" spid="_x0000_s81325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3304" name="Group Box 101" hidden="1">
          <a:extLst>
            <a:ext uri="{63B3BB69-23CF-44E3-9099-C40C66FF867C}">
              <a14:compatExt xmlns:a14="http://schemas.microsoft.com/office/drawing/2010/main" xmlns="" spid="_x0000_s81326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3305" name="Group Box 106" hidden="1">
          <a:extLst>
            <a:ext uri="{63B3BB69-23CF-44E3-9099-C40C66FF867C}">
              <a14:compatExt xmlns:a14="http://schemas.microsoft.com/office/drawing/2010/main" xmlns="" spid="_x0000_s81326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3306" name="Group Box 111" hidden="1">
          <a:extLst>
            <a:ext uri="{63B3BB69-23CF-44E3-9099-C40C66FF867C}">
              <a14:compatExt xmlns:a14="http://schemas.microsoft.com/office/drawing/2010/main" xmlns="" spid="_x0000_s81326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3307" name="Group Box 146" hidden="1">
          <a:extLst>
            <a:ext uri="{63B3BB69-23CF-44E3-9099-C40C66FF867C}">
              <a14:compatExt xmlns:a14="http://schemas.microsoft.com/office/drawing/2010/main" xmlns="" spid="_x0000_s81326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3308" name="Group Box 151" hidden="1">
          <a:extLst>
            <a:ext uri="{63B3BB69-23CF-44E3-9099-C40C66FF867C}">
              <a14:compatExt xmlns:a14="http://schemas.microsoft.com/office/drawing/2010/main" xmlns="" spid="_x0000_s81326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3309" name="Group Box 156" hidden="1">
          <a:extLst>
            <a:ext uri="{63B3BB69-23CF-44E3-9099-C40C66FF867C}">
              <a14:compatExt xmlns:a14="http://schemas.microsoft.com/office/drawing/2010/main" xmlns="" spid="_x0000_s81326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3310" name="Group Box 161" hidden="1">
          <a:extLst>
            <a:ext uri="{63B3BB69-23CF-44E3-9099-C40C66FF867C}">
              <a14:compatExt xmlns:a14="http://schemas.microsoft.com/office/drawing/2010/main" xmlns="" spid="_x0000_s81326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3311" name="Group Box 171" hidden="1">
          <a:extLst>
            <a:ext uri="{63B3BB69-23CF-44E3-9099-C40C66FF867C}">
              <a14:compatExt xmlns:a14="http://schemas.microsoft.com/office/drawing/2010/main" xmlns="" spid="_x0000_s81326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09" name="Group Box 176" hidden="1">
          <a:extLst>
            <a:ext uri="{63B3BB69-23CF-44E3-9099-C40C66FF867C}">
              <a14:compatExt xmlns:a14="http://schemas.microsoft.com/office/drawing/2010/main" xmlns="" spid="_x0000_s81326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10" name="Group Box 181" hidden="1">
          <a:extLst>
            <a:ext uri="{63B3BB69-23CF-44E3-9099-C40C66FF867C}">
              <a14:compatExt xmlns:a14="http://schemas.microsoft.com/office/drawing/2010/main" xmlns="" spid="_x0000_s81326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11" name="Group Box 186" hidden="1">
          <a:extLst>
            <a:ext uri="{63B3BB69-23CF-44E3-9099-C40C66FF867C}">
              <a14:compatExt xmlns:a14="http://schemas.microsoft.com/office/drawing/2010/main" xmlns="" spid="_x0000_s81327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640" name="Group Box 5" hidden="1">
          <a:extLst>
            <a:ext uri="{63B3BB69-23CF-44E3-9099-C40C66FF867C}">
              <a14:compatExt xmlns:a14="http://schemas.microsoft.com/office/drawing/2010/main" xmlns="" spid="_x0000_s81324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641" name="Group Box 10" hidden="1">
          <a:extLst>
            <a:ext uri="{63B3BB69-23CF-44E3-9099-C40C66FF867C}">
              <a14:compatExt xmlns:a14="http://schemas.microsoft.com/office/drawing/2010/main" xmlns="" spid="_x0000_s81324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642" name="Group Box 15" hidden="1">
          <a:extLst>
            <a:ext uri="{63B3BB69-23CF-44E3-9099-C40C66FF867C}">
              <a14:compatExt xmlns:a14="http://schemas.microsoft.com/office/drawing/2010/main" xmlns="" spid="_x0000_s81325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43" name="Group Box 25" hidden="1">
          <a:extLst>
            <a:ext uri="{63B3BB69-23CF-44E3-9099-C40C66FF867C}">
              <a14:compatExt xmlns:a14="http://schemas.microsoft.com/office/drawing/2010/main" xmlns="" spid="_x0000_s81325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44" name="Group Box 30" hidden="1">
          <a:extLst>
            <a:ext uri="{63B3BB69-23CF-44E3-9099-C40C66FF867C}">
              <a14:compatExt xmlns:a14="http://schemas.microsoft.com/office/drawing/2010/main" xmlns="" spid="_x0000_s81325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645" name="Group Box 35" hidden="1">
          <a:extLst>
            <a:ext uri="{63B3BB69-23CF-44E3-9099-C40C66FF867C}">
              <a14:compatExt xmlns:a14="http://schemas.microsoft.com/office/drawing/2010/main" xmlns="" spid="_x0000_s81325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646" name="Group Box 40" hidden="1">
          <a:extLst>
            <a:ext uri="{63B3BB69-23CF-44E3-9099-C40C66FF867C}">
              <a14:compatExt xmlns:a14="http://schemas.microsoft.com/office/drawing/2010/main" xmlns="" spid="_x0000_s81325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647" name="Group Box 46" hidden="1">
          <a:extLst>
            <a:ext uri="{63B3BB69-23CF-44E3-9099-C40C66FF867C}">
              <a14:compatExt xmlns:a14="http://schemas.microsoft.com/office/drawing/2010/main" xmlns="" spid="_x0000_s81325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648" name="Group Box 51" hidden="1">
          <a:extLst>
            <a:ext uri="{63B3BB69-23CF-44E3-9099-C40C66FF867C}">
              <a14:compatExt xmlns:a14="http://schemas.microsoft.com/office/drawing/2010/main" xmlns="" spid="_x0000_s81325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649" name="Group Box 56" hidden="1">
          <a:extLst>
            <a:ext uri="{63B3BB69-23CF-44E3-9099-C40C66FF867C}">
              <a14:compatExt xmlns:a14="http://schemas.microsoft.com/office/drawing/2010/main" xmlns="" spid="_x0000_s81325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650" name="Group Box 61" hidden="1">
          <a:extLst>
            <a:ext uri="{63B3BB69-23CF-44E3-9099-C40C66FF867C}">
              <a14:compatExt xmlns:a14="http://schemas.microsoft.com/office/drawing/2010/main" xmlns="" spid="_x0000_s81325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51" name="Group Box 96" hidden="1">
          <a:extLst>
            <a:ext uri="{63B3BB69-23CF-44E3-9099-C40C66FF867C}">
              <a14:compatExt xmlns:a14="http://schemas.microsoft.com/office/drawing/2010/main" xmlns="" spid="_x0000_s81325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52" name="Group Box 101" hidden="1">
          <a:extLst>
            <a:ext uri="{63B3BB69-23CF-44E3-9099-C40C66FF867C}">
              <a14:compatExt xmlns:a14="http://schemas.microsoft.com/office/drawing/2010/main" xmlns="" spid="_x0000_s81326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53" name="Group Box 106" hidden="1">
          <a:extLst>
            <a:ext uri="{63B3BB69-23CF-44E3-9099-C40C66FF867C}">
              <a14:compatExt xmlns:a14="http://schemas.microsoft.com/office/drawing/2010/main" xmlns="" spid="_x0000_s81326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54" name="Group Box 111" hidden="1">
          <a:extLst>
            <a:ext uri="{63B3BB69-23CF-44E3-9099-C40C66FF867C}">
              <a14:compatExt xmlns:a14="http://schemas.microsoft.com/office/drawing/2010/main" xmlns="" spid="_x0000_s81326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55" name="Group Box 146" hidden="1">
          <a:extLst>
            <a:ext uri="{63B3BB69-23CF-44E3-9099-C40C66FF867C}">
              <a14:compatExt xmlns:a14="http://schemas.microsoft.com/office/drawing/2010/main" xmlns="" spid="_x0000_s81326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56" name="Group Box 151" hidden="1">
          <a:extLst>
            <a:ext uri="{63B3BB69-23CF-44E3-9099-C40C66FF867C}">
              <a14:compatExt xmlns:a14="http://schemas.microsoft.com/office/drawing/2010/main" xmlns="" spid="_x0000_s81326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57" name="Group Box 156" hidden="1">
          <a:extLst>
            <a:ext uri="{63B3BB69-23CF-44E3-9099-C40C66FF867C}">
              <a14:compatExt xmlns:a14="http://schemas.microsoft.com/office/drawing/2010/main" xmlns="" spid="_x0000_s81326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658" name="Group Box 161" hidden="1">
          <a:extLst>
            <a:ext uri="{63B3BB69-23CF-44E3-9099-C40C66FF867C}">
              <a14:compatExt xmlns:a14="http://schemas.microsoft.com/office/drawing/2010/main" xmlns="" spid="_x0000_s81326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659" name="Group Box 171" hidden="1">
          <a:extLst>
            <a:ext uri="{63B3BB69-23CF-44E3-9099-C40C66FF867C}">
              <a14:compatExt xmlns:a14="http://schemas.microsoft.com/office/drawing/2010/main" xmlns="" spid="_x0000_s81326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660" name="Group Box 176" hidden="1">
          <a:extLst>
            <a:ext uri="{63B3BB69-23CF-44E3-9099-C40C66FF867C}">
              <a14:compatExt xmlns:a14="http://schemas.microsoft.com/office/drawing/2010/main" xmlns="" spid="_x0000_s81326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661" name="Group Box 181" hidden="1">
          <a:extLst>
            <a:ext uri="{63B3BB69-23CF-44E3-9099-C40C66FF867C}">
              <a14:compatExt xmlns:a14="http://schemas.microsoft.com/office/drawing/2010/main" xmlns="" spid="_x0000_s81326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662" name="Group Box 186" hidden="1">
          <a:extLst>
            <a:ext uri="{63B3BB69-23CF-44E3-9099-C40C66FF867C}">
              <a14:compatExt xmlns:a14="http://schemas.microsoft.com/office/drawing/2010/main" xmlns="" spid="_x0000_s81327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663" name="Group Box 5" hidden="1">
          <a:extLst>
            <a:ext uri="{63B3BB69-23CF-44E3-9099-C40C66FF867C}">
              <a14:compatExt xmlns:a14="http://schemas.microsoft.com/office/drawing/2010/main" xmlns="" spid="_x0000_s81324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664" name="Group Box 10" hidden="1">
          <a:extLst>
            <a:ext uri="{63B3BB69-23CF-44E3-9099-C40C66FF867C}">
              <a14:compatExt xmlns:a14="http://schemas.microsoft.com/office/drawing/2010/main" xmlns="" spid="_x0000_s81324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665" name="Group Box 15" hidden="1">
          <a:extLst>
            <a:ext uri="{63B3BB69-23CF-44E3-9099-C40C66FF867C}">
              <a14:compatExt xmlns:a14="http://schemas.microsoft.com/office/drawing/2010/main" xmlns="" spid="_x0000_s81325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66" name="Group Box 25" hidden="1">
          <a:extLst>
            <a:ext uri="{63B3BB69-23CF-44E3-9099-C40C66FF867C}">
              <a14:compatExt xmlns:a14="http://schemas.microsoft.com/office/drawing/2010/main" xmlns="" spid="_x0000_s81325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67" name="Group Box 30" hidden="1">
          <a:extLst>
            <a:ext uri="{63B3BB69-23CF-44E3-9099-C40C66FF867C}">
              <a14:compatExt xmlns:a14="http://schemas.microsoft.com/office/drawing/2010/main" xmlns="" spid="_x0000_s81325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668" name="Group Box 35" hidden="1">
          <a:extLst>
            <a:ext uri="{63B3BB69-23CF-44E3-9099-C40C66FF867C}">
              <a14:compatExt xmlns:a14="http://schemas.microsoft.com/office/drawing/2010/main" xmlns="" spid="_x0000_s81325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669" name="Group Box 40" hidden="1">
          <a:extLst>
            <a:ext uri="{63B3BB69-23CF-44E3-9099-C40C66FF867C}">
              <a14:compatExt xmlns:a14="http://schemas.microsoft.com/office/drawing/2010/main" xmlns="" spid="_x0000_s81325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670" name="Group Box 46" hidden="1">
          <a:extLst>
            <a:ext uri="{63B3BB69-23CF-44E3-9099-C40C66FF867C}">
              <a14:compatExt xmlns:a14="http://schemas.microsoft.com/office/drawing/2010/main" xmlns="" spid="_x0000_s81325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671" name="Group Box 51" hidden="1">
          <a:extLst>
            <a:ext uri="{63B3BB69-23CF-44E3-9099-C40C66FF867C}">
              <a14:compatExt xmlns:a14="http://schemas.microsoft.com/office/drawing/2010/main" xmlns="" spid="_x0000_s81325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672" name="Group Box 56" hidden="1">
          <a:extLst>
            <a:ext uri="{63B3BB69-23CF-44E3-9099-C40C66FF867C}">
              <a14:compatExt xmlns:a14="http://schemas.microsoft.com/office/drawing/2010/main" xmlns="" spid="_x0000_s81325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673" name="Group Box 61" hidden="1">
          <a:extLst>
            <a:ext uri="{63B3BB69-23CF-44E3-9099-C40C66FF867C}">
              <a14:compatExt xmlns:a14="http://schemas.microsoft.com/office/drawing/2010/main" xmlns="" spid="_x0000_s81325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74" name="Group Box 96" hidden="1">
          <a:extLst>
            <a:ext uri="{63B3BB69-23CF-44E3-9099-C40C66FF867C}">
              <a14:compatExt xmlns:a14="http://schemas.microsoft.com/office/drawing/2010/main" xmlns="" spid="_x0000_s81325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75" name="Group Box 101" hidden="1">
          <a:extLst>
            <a:ext uri="{63B3BB69-23CF-44E3-9099-C40C66FF867C}">
              <a14:compatExt xmlns:a14="http://schemas.microsoft.com/office/drawing/2010/main" xmlns="" spid="_x0000_s81326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76" name="Group Box 106" hidden="1">
          <a:extLst>
            <a:ext uri="{63B3BB69-23CF-44E3-9099-C40C66FF867C}">
              <a14:compatExt xmlns:a14="http://schemas.microsoft.com/office/drawing/2010/main" xmlns="" spid="_x0000_s81326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77" name="Group Box 111" hidden="1">
          <a:extLst>
            <a:ext uri="{63B3BB69-23CF-44E3-9099-C40C66FF867C}">
              <a14:compatExt xmlns:a14="http://schemas.microsoft.com/office/drawing/2010/main" xmlns="" spid="_x0000_s81326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78" name="Group Box 146" hidden="1">
          <a:extLst>
            <a:ext uri="{63B3BB69-23CF-44E3-9099-C40C66FF867C}">
              <a14:compatExt xmlns:a14="http://schemas.microsoft.com/office/drawing/2010/main" xmlns="" spid="_x0000_s81326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79" name="Group Box 151" hidden="1">
          <a:extLst>
            <a:ext uri="{63B3BB69-23CF-44E3-9099-C40C66FF867C}">
              <a14:compatExt xmlns:a14="http://schemas.microsoft.com/office/drawing/2010/main" xmlns="" spid="_x0000_s81326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80" name="Group Box 156" hidden="1">
          <a:extLst>
            <a:ext uri="{63B3BB69-23CF-44E3-9099-C40C66FF867C}">
              <a14:compatExt xmlns:a14="http://schemas.microsoft.com/office/drawing/2010/main" xmlns="" spid="_x0000_s81326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681" name="Group Box 161" hidden="1">
          <a:extLst>
            <a:ext uri="{63B3BB69-23CF-44E3-9099-C40C66FF867C}">
              <a14:compatExt xmlns:a14="http://schemas.microsoft.com/office/drawing/2010/main" xmlns="" spid="_x0000_s81326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682" name="Group Box 171" hidden="1">
          <a:extLst>
            <a:ext uri="{63B3BB69-23CF-44E3-9099-C40C66FF867C}">
              <a14:compatExt xmlns:a14="http://schemas.microsoft.com/office/drawing/2010/main" xmlns="" spid="_x0000_s81326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683" name="Group Box 176" hidden="1">
          <a:extLst>
            <a:ext uri="{63B3BB69-23CF-44E3-9099-C40C66FF867C}">
              <a14:compatExt xmlns:a14="http://schemas.microsoft.com/office/drawing/2010/main" xmlns="" spid="_x0000_s81326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684" name="Group Box 181" hidden="1">
          <a:extLst>
            <a:ext uri="{63B3BB69-23CF-44E3-9099-C40C66FF867C}">
              <a14:compatExt xmlns:a14="http://schemas.microsoft.com/office/drawing/2010/main" xmlns="" spid="_x0000_s81326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685" name="Group Box 186" hidden="1">
          <a:extLst>
            <a:ext uri="{63B3BB69-23CF-44E3-9099-C40C66FF867C}">
              <a14:compatExt xmlns:a14="http://schemas.microsoft.com/office/drawing/2010/main" xmlns="" spid="_x0000_s81327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686" name="Group Box 5" hidden="1">
          <a:extLst>
            <a:ext uri="{63B3BB69-23CF-44E3-9099-C40C66FF867C}">
              <a14:compatExt xmlns:a14="http://schemas.microsoft.com/office/drawing/2010/main" xmlns="" spid="_x0000_s81324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687" name="Group Box 10" hidden="1">
          <a:extLst>
            <a:ext uri="{63B3BB69-23CF-44E3-9099-C40C66FF867C}">
              <a14:compatExt xmlns:a14="http://schemas.microsoft.com/office/drawing/2010/main" xmlns="" spid="_x0000_s81324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688" name="Group Box 15" hidden="1">
          <a:extLst>
            <a:ext uri="{63B3BB69-23CF-44E3-9099-C40C66FF867C}">
              <a14:compatExt xmlns:a14="http://schemas.microsoft.com/office/drawing/2010/main" xmlns="" spid="_x0000_s81325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89" name="Group Box 25" hidden="1">
          <a:extLst>
            <a:ext uri="{63B3BB69-23CF-44E3-9099-C40C66FF867C}">
              <a14:compatExt xmlns:a14="http://schemas.microsoft.com/office/drawing/2010/main" xmlns="" spid="_x0000_s81325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90" name="Group Box 30" hidden="1">
          <a:extLst>
            <a:ext uri="{63B3BB69-23CF-44E3-9099-C40C66FF867C}">
              <a14:compatExt xmlns:a14="http://schemas.microsoft.com/office/drawing/2010/main" xmlns="" spid="_x0000_s81325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691" name="Group Box 35" hidden="1">
          <a:extLst>
            <a:ext uri="{63B3BB69-23CF-44E3-9099-C40C66FF867C}">
              <a14:compatExt xmlns:a14="http://schemas.microsoft.com/office/drawing/2010/main" xmlns="" spid="_x0000_s81325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692" name="Group Box 40" hidden="1">
          <a:extLst>
            <a:ext uri="{63B3BB69-23CF-44E3-9099-C40C66FF867C}">
              <a14:compatExt xmlns:a14="http://schemas.microsoft.com/office/drawing/2010/main" xmlns="" spid="_x0000_s81325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693" name="Group Box 46" hidden="1">
          <a:extLst>
            <a:ext uri="{63B3BB69-23CF-44E3-9099-C40C66FF867C}">
              <a14:compatExt xmlns:a14="http://schemas.microsoft.com/office/drawing/2010/main" xmlns="" spid="_x0000_s81325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694" name="Group Box 51" hidden="1">
          <a:extLst>
            <a:ext uri="{63B3BB69-23CF-44E3-9099-C40C66FF867C}">
              <a14:compatExt xmlns:a14="http://schemas.microsoft.com/office/drawing/2010/main" xmlns="" spid="_x0000_s81325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695" name="Group Box 56" hidden="1">
          <a:extLst>
            <a:ext uri="{63B3BB69-23CF-44E3-9099-C40C66FF867C}">
              <a14:compatExt xmlns:a14="http://schemas.microsoft.com/office/drawing/2010/main" xmlns="" spid="_x0000_s81325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696" name="Group Box 61" hidden="1">
          <a:extLst>
            <a:ext uri="{63B3BB69-23CF-44E3-9099-C40C66FF867C}">
              <a14:compatExt xmlns:a14="http://schemas.microsoft.com/office/drawing/2010/main" xmlns="" spid="_x0000_s81325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97" name="Group Box 96" hidden="1">
          <a:extLst>
            <a:ext uri="{63B3BB69-23CF-44E3-9099-C40C66FF867C}">
              <a14:compatExt xmlns:a14="http://schemas.microsoft.com/office/drawing/2010/main" xmlns="" spid="_x0000_s81325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98" name="Group Box 101" hidden="1">
          <a:extLst>
            <a:ext uri="{63B3BB69-23CF-44E3-9099-C40C66FF867C}">
              <a14:compatExt xmlns:a14="http://schemas.microsoft.com/office/drawing/2010/main" xmlns="" spid="_x0000_s81326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99" name="Group Box 106" hidden="1">
          <a:extLst>
            <a:ext uri="{63B3BB69-23CF-44E3-9099-C40C66FF867C}">
              <a14:compatExt xmlns:a14="http://schemas.microsoft.com/office/drawing/2010/main" xmlns="" spid="_x0000_s81326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46" name="Group Box 111" hidden="1">
          <a:extLst>
            <a:ext uri="{63B3BB69-23CF-44E3-9099-C40C66FF867C}">
              <a14:compatExt xmlns:a14="http://schemas.microsoft.com/office/drawing/2010/main" xmlns="" spid="_x0000_s81326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47" name="Group Box 146" hidden="1">
          <a:extLst>
            <a:ext uri="{63B3BB69-23CF-44E3-9099-C40C66FF867C}">
              <a14:compatExt xmlns:a14="http://schemas.microsoft.com/office/drawing/2010/main" xmlns="" spid="_x0000_s81326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48" name="Group Box 151" hidden="1">
          <a:extLst>
            <a:ext uri="{63B3BB69-23CF-44E3-9099-C40C66FF867C}">
              <a14:compatExt xmlns:a14="http://schemas.microsoft.com/office/drawing/2010/main" xmlns="" spid="_x0000_s81326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49" name="Group Box 156" hidden="1">
          <a:extLst>
            <a:ext uri="{63B3BB69-23CF-44E3-9099-C40C66FF867C}">
              <a14:compatExt xmlns:a14="http://schemas.microsoft.com/office/drawing/2010/main" xmlns="" spid="_x0000_s81326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50" name="Group Box 161" hidden="1">
          <a:extLst>
            <a:ext uri="{63B3BB69-23CF-44E3-9099-C40C66FF867C}">
              <a14:compatExt xmlns:a14="http://schemas.microsoft.com/office/drawing/2010/main" xmlns="" spid="_x0000_s81326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51" name="Group Box 171" hidden="1">
          <a:extLst>
            <a:ext uri="{63B3BB69-23CF-44E3-9099-C40C66FF867C}">
              <a14:compatExt xmlns:a14="http://schemas.microsoft.com/office/drawing/2010/main" xmlns="" spid="_x0000_s81326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52" name="Group Box 176" hidden="1">
          <a:extLst>
            <a:ext uri="{63B3BB69-23CF-44E3-9099-C40C66FF867C}">
              <a14:compatExt xmlns:a14="http://schemas.microsoft.com/office/drawing/2010/main" xmlns="" spid="_x0000_s81326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53" name="Group Box 181" hidden="1">
          <a:extLst>
            <a:ext uri="{63B3BB69-23CF-44E3-9099-C40C66FF867C}">
              <a14:compatExt xmlns:a14="http://schemas.microsoft.com/office/drawing/2010/main" xmlns="" spid="_x0000_s81326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54" name="Group Box 186" hidden="1">
          <a:extLst>
            <a:ext uri="{63B3BB69-23CF-44E3-9099-C40C66FF867C}">
              <a14:compatExt xmlns:a14="http://schemas.microsoft.com/office/drawing/2010/main" xmlns="" spid="_x0000_s81327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55" name="Group Box 5" hidden="1">
          <a:extLst>
            <a:ext uri="{63B3BB69-23CF-44E3-9099-C40C66FF867C}">
              <a14:compatExt xmlns:a14="http://schemas.microsoft.com/office/drawing/2010/main" xmlns="" spid="_x0000_s81324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56" name="Group Box 10" hidden="1">
          <a:extLst>
            <a:ext uri="{63B3BB69-23CF-44E3-9099-C40C66FF867C}">
              <a14:compatExt xmlns:a14="http://schemas.microsoft.com/office/drawing/2010/main" xmlns="" spid="_x0000_s81324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57" name="Group Box 15" hidden="1">
          <a:extLst>
            <a:ext uri="{63B3BB69-23CF-44E3-9099-C40C66FF867C}">
              <a14:compatExt xmlns:a14="http://schemas.microsoft.com/office/drawing/2010/main" xmlns="" spid="_x0000_s81325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58" name="Group Box 25" hidden="1">
          <a:extLst>
            <a:ext uri="{63B3BB69-23CF-44E3-9099-C40C66FF867C}">
              <a14:compatExt xmlns:a14="http://schemas.microsoft.com/office/drawing/2010/main" xmlns="" spid="_x0000_s81325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59" name="Group Box 30" hidden="1">
          <a:extLst>
            <a:ext uri="{63B3BB69-23CF-44E3-9099-C40C66FF867C}">
              <a14:compatExt xmlns:a14="http://schemas.microsoft.com/office/drawing/2010/main" xmlns="" spid="_x0000_s81325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60" name="Group Box 35" hidden="1">
          <a:extLst>
            <a:ext uri="{63B3BB69-23CF-44E3-9099-C40C66FF867C}">
              <a14:compatExt xmlns:a14="http://schemas.microsoft.com/office/drawing/2010/main" xmlns="" spid="_x0000_s81325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61" name="Group Box 40" hidden="1">
          <a:extLst>
            <a:ext uri="{63B3BB69-23CF-44E3-9099-C40C66FF867C}">
              <a14:compatExt xmlns:a14="http://schemas.microsoft.com/office/drawing/2010/main" xmlns="" spid="_x0000_s81325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62" name="Group Box 46" hidden="1">
          <a:extLst>
            <a:ext uri="{63B3BB69-23CF-44E3-9099-C40C66FF867C}">
              <a14:compatExt xmlns:a14="http://schemas.microsoft.com/office/drawing/2010/main" xmlns="" spid="_x0000_s81325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63" name="Group Box 51" hidden="1">
          <a:extLst>
            <a:ext uri="{63B3BB69-23CF-44E3-9099-C40C66FF867C}">
              <a14:compatExt xmlns:a14="http://schemas.microsoft.com/office/drawing/2010/main" xmlns="" spid="_x0000_s81325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64" name="Group Box 56" hidden="1">
          <a:extLst>
            <a:ext uri="{63B3BB69-23CF-44E3-9099-C40C66FF867C}">
              <a14:compatExt xmlns:a14="http://schemas.microsoft.com/office/drawing/2010/main" xmlns="" spid="_x0000_s81325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65" name="Group Box 61" hidden="1">
          <a:extLst>
            <a:ext uri="{63B3BB69-23CF-44E3-9099-C40C66FF867C}">
              <a14:compatExt xmlns:a14="http://schemas.microsoft.com/office/drawing/2010/main" xmlns="" spid="_x0000_s81325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66" name="Group Box 96" hidden="1">
          <a:extLst>
            <a:ext uri="{63B3BB69-23CF-44E3-9099-C40C66FF867C}">
              <a14:compatExt xmlns:a14="http://schemas.microsoft.com/office/drawing/2010/main" xmlns="" spid="_x0000_s81325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67" name="Group Box 101" hidden="1">
          <a:extLst>
            <a:ext uri="{63B3BB69-23CF-44E3-9099-C40C66FF867C}">
              <a14:compatExt xmlns:a14="http://schemas.microsoft.com/office/drawing/2010/main" xmlns="" spid="_x0000_s81326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68" name="Group Box 106" hidden="1">
          <a:extLst>
            <a:ext uri="{63B3BB69-23CF-44E3-9099-C40C66FF867C}">
              <a14:compatExt xmlns:a14="http://schemas.microsoft.com/office/drawing/2010/main" xmlns="" spid="_x0000_s81326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69" name="Group Box 111" hidden="1">
          <a:extLst>
            <a:ext uri="{63B3BB69-23CF-44E3-9099-C40C66FF867C}">
              <a14:compatExt xmlns:a14="http://schemas.microsoft.com/office/drawing/2010/main" xmlns="" spid="_x0000_s81326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70" name="Group Box 146" hidden="1">
          <a:extLst>
            <a:ext uri="{63B3BB69-23CF-44E3-9099-C40C66FF867C}">
              <a14:compatExt xmlns:a14="http://schemas.microsoft.com/office/drawing/2010/main" xmlns="" spid="_x0000_s81326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71" name="Group Box 151" hidden="1">
          <a:extLst>
            <a:ext uri="{63B3BB69-23CF-44E3-9099-C40C66FF867C}">
              <a14:compatExt xmlns:a14="http://schemas.microsoft.com/office/drawing/2010/main" xmlns="" spid="_x0000_s81326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72" name="Group Box 156" hidden="1">
          <a:extLst>
            <a:ext uri="{63B3BB69-23CF-44E3-9099-C40C66FF867C}">
              <a14:compatExt xmlns:a14="http://schemas.microsoft.com/office/drawing/2010/main" xmlns="" spid="_x0000_s81326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73" name="Group Box 161" hidden="1">
          <a:extLst>
            <a:ext uri="{63B3BB69-23CF-44E3-9099-C40C66FF867C}">
              <a14:compatExt xmlns:a14="http://schemas.microsoft.com/office/drawing/2010/main" xmlns="" spid="_x0000_s81326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74" name="Group Box 171" hidden="1">
          <a:extLst>
            <a:ext uri="{63B3BB69-23CF-44E3-9099-C40C66FF867C}">
              <a14:compatExt xmlns:a14="http://schemas.microsoft.com/office/drawing/2010/main" xmlns="" spid="_x0000_s81326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75" name="Group Box 176" hidden="1">
          <a:extLst>
            <a:ext uri="{63B3BB69-23CF-44E3-9099-C40C66FF867C}">
              <a14:compatExt xmlns:a14="http://schemas.microsoft.com/office/drawing/2010/main" xmlns="" spid="_x0000_s81326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77" name="Group Box 181" hidden="1">
          <a:extLst>
            <a:ext uri="{63B3BB69-23CF-44E3-9099-C40C66FF867C}">
              <a14:compatExt xmlns:a14="http://schemas.microsoft.com/office/drawing/2010/main" xmlns="" spid="_x0000_s81326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80" name="Group Box 186" hidden="1">
          <a:extLst>
            <a:ext uri="{63B3BB69-23CF-44E3-9099-C40C66FF867C}">
              <a14:compatExt xmlns:a14="http://schemas.microsoft.com/office/drawing/2010/main" xmlns="" spid="_x0000_s81327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81" name="Group Box 5" hidden="1">
          <a:extLst>
            <a:ext uri="{63B3BB69-23CF-44E3-9099-C40C66FF867C}">
              <a14:compatExt xmlns:a14="http://schemas.microsoft.com/office/drawing/2010/main" xmlns="" spid="_x0000_s813248"/>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82" name="Group Box 10" hidden="1">
          <a:extLst>
            <a:ext uri="{63B3BB69-23CF-44E3-9099-C40C66FF867C}">
              <a14:compatExt xmlns:a14="http://schemas.microsoft.com/office/drawing/2010/main" xmlns="" spid="_x0000_s813249"/>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83" name="Group Box 15" hidden="1">
          <a:extLst>
            <a:ext uri="{63B3BB69-23CF-44E3-9099-C40C66FF867C}">
              <a14:compatExt xmlns:a14="http://schemas.microsoft.com/office/drawing/2010/main" xmlns="" spid="_x0000_s813250"/>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84" name="Group Box 25" hidden="1">
          <a:extLst>
            <a:ext uri="{63B3BB69-23CF-44E3-9099-C40C66FF867C}">
              <a14:compatExt xmlns:a14="http://schemas.microsoft.com/office/drawing/2010/main" xmlns="" spid="_x0000_s813251"/>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85" name="Group Box 30" hidden="1">
          <a:extLst>
            <a:ext uri="{63B3BB69-23CF-44E3-9099-C40C66FF867C}">
              <a14:compatExt xmlns:a14="http://schemas.microsoft.com/office/drawing/2010/main" xmlns="" spid="_x0000_s813252"/>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86" name="Group Box 35" hidden="1">
          <a:extLst>
            <a:ext uri="{63B3BB69-23CF-44E3-9099-C40C66FF867C}">
              <a14:compatExt xmlns:a14="http://schemas.microsoft.com/office/drawing/2010/main" xmlns="" spid="_x0000_s813253"/>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87" name="Group Box 40" hidden="1">
          <a:extLst>
            <a:ext uri="{63B3BB69-23CF-44E3-9099-C40C66FF867C}">
              <a14:compatExt xmlns:a14="http://schemas.microsoft.com/office/drawing/2010/main" xmlns="" spid="_x0000_s813254"/>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88" name="Group Box 46" hidden="1">
          <a:extLst>
            <a:ext uri="{63B3BB69-23CF-44E3-9099-C40C66FF867C}">
              <a14:compatExt xmlns:a14="http://schemas.microsoft.com/office/drawing/2010/main" xmlns="" spid="_x0000_s813255"/>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89" name="Group Box 51" hidden="1">
          <a:extLst>
            <a:ext uri="{63B3BB69-23CF-44E3-9099-C40C66FF867C}">
              <a14:compatExt xmlns:a14="http://schemas.microsoft.com/office/drawing/2010/main" xmlns="" spid="_x0000_s813256"/>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90" name="Group Box 56" hidden="1">
          <a:extLst>
            <a:ext uri="{63B3BB69-23CF-44E3-9099-C40C66FF867C}">
              <a14:compatExt xmlns:a14="http://schemas.microsoft.com/office/drawing/2010/main" xmlns="" spid="_x0000_s813257"/>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91" name="Group Box 61" hidden="1">
          <a:extLst>
            <a:ext uri="{63B3BB69-23CF-44E3-9099-C40C66FF867C}">
              <a14:compatExt xmlns:a14="http://schemas.microsoft.com/office/drawing/2010/main" xmlns="" spid="_x0000_s813258"/>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92" name="Group Box 96" hidden="1">
          <a:extLst>
            <a:ext uri="{63B3BB69-23CF-44E3-9099-C40C66FF867C}">
              <a14:compatExt xmlns:a14="http://schemas.microsoft.com/office/drawing/2010/main" xmlns="" spid="_x0000_s813259"/>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93" name="Group Box 101" hidden="1">
          <a:extLst>
            <a:ext uri="{63B3BB69-23CF-44E3-9099-C40C66FF867C}">
              <a14:compatExt xmlns:a14="http://schemas.microsoft.com/office/drawing/2010/main" xmlns="" spid="_x0000_s813260"/>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94" name="Group Box 106" hidden="1">
          <a:extLst>
            <a:ext uri="{63B3BB69-23CF-44E3-9099-C40C66FF867C}">
              <a14:compatExt xmlns:a14="http://schemas.microsoft.com/office/drawing/2010/main" xmlns="" spid="_x0000_s813261"/>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95" name="Group Box 111" hidden="1">
          <a:extLst>
            <a:ext uri="{63B3BB69-23CF-44E3-9099-C40C66FF867C}">
              <a14:compatExt xmlns:a14="http://schemas.microsoft.com/office/drawing/2010/main" xmlns="" spid="_x0000_s813262"/>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96" name="Group Box 146" hidden="1">
          <a:extLst>
            <a:ext uri="{63B3BB69-23CF-44E3-9099-C40C66FF867C}">
              <a14:compatExt xmlns:a14="http://schemas.microsoft.com/office/drawing/2010/main" xmlns="" spid="_x0000_s813263"/>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97" name="Group Box 151" hidden="1">
          <a:extLst>
            <a:ext uri="{63B3BB69-23CF-44E3-9099-C40C66FF867C}">
              <a14:compatExt xmlns:a14="http://schemas.microsoft.com/office/drawing/2010/main" xmlns="" spid="_x0000_s813264"/>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98" name="Group Box 156" hidden="1">
          <a:extLst>
            <a:ext uri="{63B3BB69-23CF-44E3-9099-C40C66FF867C}">
              <a14:compatExt xmlns:a14="http://schemas.microsoft.com/office/drawing/2010/main" xmlns="" spid="_x0000_s813265"/>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99" name="Group Box 161" hidden="1">
          <a:extLst>
            <a:ext uri="{63B3BB69-23CF-44E3-9099-C40C66FF867C}">
              <a14:compatExt xmlns:a14="http://schemas.microsoft.com/office/drawing/2010/main" xmlns="" spid="_x0000_s813266"/>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3312" name="Group Box 171" hidden="1">
          <a:extLst>
            <a:ext uri="{63B3BB69-23CF-44E3-9099-C40C66FF867C}">
              <a14:compatExt xmlns:a14="http://schemas.microsoft.com/office/drawing/2010/main" xmlns="" spid="_x0000_s813267"/>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3313" name="Group Box 176" hidden="1">
          <a:extLst>
            <a:ext uri="{63B3BB69-23CF-44E3-9099-C40C66FF867C}">
              <a14:compatExt xmlns:a14="http://schemas.microsoft.com/office/drawing/2010/main" xmlns="" spid="_x0000_s813268"/>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3314" name="Group Box 181" hidden="1">
          <a:extLst>
            <a:ext uri="{63B3BB69-23CF-44E3-9099-C40C66FF867C}">
              <a14:compatExt xmlns:a14="http://schemas.microsoft.com/office/drawing/2010/main" xmlns="" spid="_x0000_s813269"/>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3315" name="Group Box 186" hidden="1">
          <a:extLst>
            <a:ext uri="{63B3BB69-23CF-44E3-9099-C40C66FF867C}">
              <a14:compatExt xmlns:a14="http://schemas.microsoft.com/office/drawing/2010/main" xmlns="" spid="_x0000_s813270"/>
            </a:ext>
          </a:extLst>
        </xdr:cNvPr>
        <xdr:cNvSpPr/>
      </xdr:nvSpPr>
      <xdr:spPr>
        <a:xfrm>
          <a:off x="0" y="0"/>
          <a:ext cx="0" cy="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813316" name="Group Box 5" hidden="1">
          <a:extLst>
            <a:ext uri="{63B3BB69-23CF-44E3-9099-C40C66FF867C}">
              <a14:compatExt xmlns:a14="http://schemas.microsoft.com/office/drawing/2010/main" xmlns="" spid="_x0000_s813248"/>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13317" name="Group Box 10" hidden="1">
          <a:extLst>
            <a:ext uri="{63B3BB69-23CF-44E3-9099-C40C66FF867C}">
              <a14:compatExt xmlns:a14="http://schemas.microsoft.com/office/drawing/2010/main" xmlns="" spid="_x0000_s813249"/>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13318" name="Group Box 15" hidden="1">
          <a:extLst>
            <a:ext uri="{63B3BB69-23CF-44E3-9099-C40C66FF867C}">
              <a14:compatExt xmlns:a14="http://schemas.microsoft.com/office/drawing/2010/main" xmlns="" spid="_x0000_s813250"/>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13319" name="Group Box 25" hidden="1">
          <a:extLst>
            <a:ext uri="{63B3BB69-23CF-44E3-9099-C40C66FF867C}">
              <a14:compatExt xmlns:a14="http://schemas.microsoft.com/office/drawing/2010/main" xmlns="" spid="_x0000_s813251"/>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13320" name="Group Box 30" hidden="1">
          <a:extLst>
            <a:ext uri="{63B3BB69-23CF-44E3-9099-C40C66FF867C}">
              <a14:compatExt xmlns:a14="http://schemas.microsoft.com/office/drawing/2010/main" xmlns="" spid="_x0000_s813252"/>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13321" name="Group Box 35" hidden="1">
          <a:extLst>
            <a:ext uri="{63B3BB69-23CF-44E3-9099-C40C66FF867C}">
              <a14:compatExt xmlns:a14="http://schemas.microsoft.com/office/drawing/2010/main" xmlns="" spid="_x0000_s813253"/>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13322" name="Group Box 40" hidden="1">
          <a:extLst>
            <a:ext uri="{63B3BB69-23CF-44E3-9099-C40C66FF867C}">
              <a14:compatExt xmlns:a14="http://schemas.microsoft.com/office/drawing/2010/main" xmlns="" spid="_x0000_s813254"/>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13323" name="Group Box 46" hidden="1">
          <a:extLst>
            <a:ext uri="{63B3BB69-23CF-44E3-9099-C40C66FF867C}">
              <a14:compatExt xmlns:a14="http://schemas.microsoft.com/office/drawing/2010/main" xmlns="" spid="_x0000_s813255"/>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13324" name="Group Box 51" hidden="1">
          <a:extLst>
            <a:ext uri="{63B3BB69-23CF-44E3-9099-C40C66FF867C}">
              <a14:compatExt xmlns:a14="http://schemas.microsoft.com/office/drawing/2010/main" xmlns="" spid="_x0000_s813256"/>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3325" name="Group Box 56" hidden="1">
          <a:extLst>
            <a:ext uri="{63B3BB69-23CF-44E3-9099-C40C66FF867C}">
              <a14:compatExt xmlns:a14="http://schemas.microsoft.com/office/drawing/2010/main" xmlns="" spid="_x0000_s813257"/>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13326" name="Group Box 61" hidden="1">
          <a:extLst>
            <a:ext uri="{63B3BB69-23CF-44E3-9099-C40C66FF867C}">
              <a14:compatExt xmlns:a14="http://schemas.microsoft.com/office/drawing/2010/main" xmlns="" spid="_x0000_s813258"/>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3327" name="Group Box 96" hidden="1">
          <a:extLst>
            <a:ext uri="{63B3BB69-23CF-44E3-9099-C40C66FF867C}">
              <a14:compatExt xmlns:a14="http://schemas.microsoft.com/office/drawing/2010/main" xmlns="" spid="_x0000_s813259"/>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3328" name="Group Box 101" hidden="1">
          <a:extLst>
            <a:ext uri="{63B3BB69-23CF-44E3-9099-C40C66FF867C}">
              <a14:compatExt xmlns:a14="http://schemas.microsoft.com/office/drawing/2010/main" xmlns="" spid="_x0000_s813260"/>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3329" name="Group Box 106" hidden="1">
          <a:extLst>
            <a:ext uri="{63B3BB69-23CF-44E3-9099-C40C66FF867C}">
              <a14:compatExt xmlns:a14="http://schemas.microsoft.com/office/drawing/2010/main" xmlns="" spid="_x0000_s813261"/>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3330" name="Group Box 111" hidden="1">
          <a:extLst>
            <a:ext uri="{63B3BB69-23CF-44E3-9099-C40C66FF867C}">
              <a14:compatExt xmlns:a14="http://schemas.microsoft.com/office/drawing/2010/main" xmlns="" spid="_x0000_s813262"/>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3331" name="Group Box 146" hidden="1">
          <a:extLst>
            <a:ext uri="{63B3BB69-23CF-44E3-9099-C40C66FF867C}">
              <a14:compatExt xmlns:a14="http://schemas.microsoft.com/office/drawing/2010/main" xmlns="" spid="_x0000_s813263"/>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3332" name="Group Box 151" hidden="1">
          <a:extLst>
            <a:ext uri="{63B3BB69-23CF-44E3-9099-C40C66FF867C}">
              <a14:compatExt xmlns:a14="http://schemas.microsoft.com/office/drawing/2010/main" xmlns="" spid="_x0000_s813264"/>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3333" name="Group Box 156" hidden="1">
          <a:extLst>
            <a:ext uri="{63B3BB69-23CF-44E3-9099-C40C66FF867C}">
              <a14:compatExt xmlns:a14="http://schemas.microsoft.com/office/drawing/2010/main" xmlns="" spid="_x0000_s813265"/>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3334" name="Group Box 161" hidden="1">
          <a:extLst>
            <a:ext uri="{63B3BB69-23CF-44E3-9099-C40C66FF867C}">
              <a14:compatExt xmlns:a14="http://schemas.microsoft.com/office/drawing/2010/main" xmlns="" spid="_x0000_s813266"/>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3335" name="Group Box 171" hidden="1">
          <a:extLst>
            <a:ext uri="{63B3BB69-23CF-44E3-9099-C40C66FF867C}">
              <a14:compatExt xmlns:a14="http://schemas.microsoft.com/office/drawing/2010/main" xmlns="" spid="_x0000_s813267"/>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3336" name="Group Box 176" hidden="1">
          <a:extLst>
            <a:ext uri="{63B3BB69-23CF-44E3-9099-C40C66FF867C}">
              <a14:compatExt xmlns:a14="http://schemas.microsoft.com/office/drawing/2010/main" xmlns="" spid="_x0000_s813268"/>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3337" name="Group Box 181" hidden="1">
          <a:extLst>
            <a:ext uri="{63B3BB69-23CF-44E3-9099-C40C66FF867C}">
              <a14:compatExt xmlns:a14="http://schemas.microsoft.com/office/drawing/2010/main" xmlns="" spid="_x0000_s813269"/>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3338" name="Group Box 186" hidden="1">
          <a:extLst>
            <a:ext uri="{63B3BB69-23CF-44E3-9099-C40C66FF867C}">
              <a14:compatExt xmlns:a14="http://schemas.microsoft.com/office/drawing/2010/main" xmlns="" spid="_x0000_s813270"/>
            </a:ext>
          </a:extLst>
        </xdr:cNvPr>
        <xdr:cNvSpPr/>
      </xdr:nvSpPr>
      <xdr:spPr>
        <a:xfrm>
          <a:off x="0" y="0"/>
          <a:ext cx="0" cy="0"/>
        </a:xfrm>
        <a:prstGeom prst="rect">
          <a:avLst/>
        </a:prstGeom>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38100</xdr:colOff>
      <xdr:row>2</xdr:row>
      <xdr:rowOff>171450</xdr:rowOff>
    </xdr:from>
    <xdr:to>
      <xdr:col>11</xdr:col>
      <xdr:colOff>0</xdr:colOff>
      <xdr:row>4</xdr:row>
      <xdr:rowOff>0</xdr:rowOff>
    </xdr:to>
    <xdr:sp macro="" textlink="">
      <xdr:nvSpPr>
        <xdr:cNvPr id="3"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9"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0"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1"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2"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3"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4"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5"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6"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7"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8"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9"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0"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1"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2"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3"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4"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5"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6"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7"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8"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9"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0"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1"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2"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3"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4"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5"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6"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7"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8"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9"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0"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1"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2"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3"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4"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5"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6"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7"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8"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9"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0"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1"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2"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4"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5"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6"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7"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8"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9"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0"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1"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2"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3"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4"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5"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6"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67"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68"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69"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0"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1"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2"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3"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4"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5"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6"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7"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8"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9"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0"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2"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3"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4"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5"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6"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7"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8"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9"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90"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91"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92"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93"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94"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95"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96"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97"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98"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99"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00"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01"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02"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03"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04"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05"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06"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07"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08"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09"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10"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11"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12"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13"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14"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15"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16"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17"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18"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19"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20"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21"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22"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23"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24"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25"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26"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27"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28"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29"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30"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31"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32"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33"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34"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35"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36"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37"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38"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39"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40"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41"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42"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43"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44"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45"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46"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47"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48"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49"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50"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51"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52"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53"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54"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55"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56"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57"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58"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59"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60"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61"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62"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63"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64"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65"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66"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67"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68"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69"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70"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71"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72"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73"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74"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75"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76"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77"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78"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79"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80"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81"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82"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83"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84"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85"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86"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87"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88"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89"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90"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91"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92"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93"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94"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95"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96"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97"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98"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99"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00"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01"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02"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03"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04"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05"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06"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07"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08"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09"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10" name="Group Box 5" hidden="1">
          <a:extLst>
            <a:ext uri="{63B3BB69-23CF-44E3-9099-C40C66FF867C}">
              <a14:compatExt xmlns:a14="http://schemas.microsoft.com/office/drawing/2010/main" xmlns=""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11" name="Group Box 10" hidden="1">
          <a:extLst>
            <a:ext uri="{63B3BB69-23CF-44E3-9099-C40C66FF867C}">
              <a14:compatExt xmlns:a14="http://schemas.microsoft.com/office/drawing/2010/main" xmlns=""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12" name="Group Box 15" hidden="1">
          <a:extLst>
            <a:ext uri="{63B3BB69-23CF-44E3-9099-C40C66FF867C}">
              <a14:compatExt xmlns:a14="http://schemas.microsoft.com/office/drawing/2010/main" xmlns=""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13" name="Group Box 25" hidden="1">
          <a:extLst>
            <a:ext uri="{63B3BB69-23CF-44E3-9099-C40C66FF867C}">
              <a14:compatExt xmlns:a14="http://schemas.microsoft.com/office/drawing/2010/main" xmlns=""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14" name="Group Box 30" hidden="1">
          <a:extLst>
            <a:ext uri="{63B3BB69-23CF-44E3-9099-C40C66FF867C}">
              <a14:compatExt xmlns:a14="http://schemas.microsoft.com/office/drawing/2010/main" xmlns=""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215" name="Group Box 35" hidden="1">
          <a:extLst>
            <a:ext uri="{63B3BB69-23CF-44E3-9099-C40C66FF867C}">
              <a14:compatExt xmlns:a14="http://schemas.microsoft.com/office/drawing/2010/main" xmlns=""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216" name="Group Box 40" hidden="1">
          <a:extLst>
            <a:ext uri="{63B3BB69-23CF-44E3-9099-C40C66FF867C}">
              <a14:compatExt xmlns:a14="http://schemas.microsoft.com/office/drawing/2010/main" xmlns=""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217" name="Group Box 46" hidden="1">
          <a:extLst>
            <a:ext uri="{63B3BB69-23CF-44E3-9099-C40C66FF867C}">
              <a14:compatExt xmlns:a14="http://schemas.microsoft.com/office/drawing/2010/main" xmlns=""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218" name="Group Box 51" hidden="1">
          <a:extLst>
            <a:ext uri="{63B3BB69-23CF-44E3-9099-C40C66FF867C}">
              <a14:compatExt xmlns:a14="http://schemas.microsoft.com/office/drawing/2010/main" xmlns=""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219" name="Group Box 56" hidden="1">
          <a:extLst>
            <a:ext uri="{63B3BB69-23CF-44E3-9099-C40C66FF867C}">
              <a14:compatExt xmlns:a14="http://schemas.microsoft.com/office/drawing/2010/main" xmlns=""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220" name="Group Box 61" hidden="1">
          <a:extLst>
            <a:ext uri="{63B3BB69-23CF-44E3-9099-C40C66FF867C}">
              <a14:compatExt xmlns:a14="http://schemas.microsoft.com/office/drawing/2010/main" xmlns=""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221" name="Group Box 96" hidden="1">
          <a:extLst>
            <a:ext uri="{63B3BB69-23CF-44E3-9099-C40C66FF867C}">
              <a14:compatExt xmlns:a14="http://schemas.microsoft.com/office/drawing/2010/main" xmlns=""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222" name="Group Box 101" hidden="1">
          <a:extLst>
            <a:ext uri="{63B3BB69-23CF-44E3-9099-C40C66FF867C}">
              <a14:compatExt xmlns:a14="http://schemas.microsoft.com/office/drawing/2010/main" xmlns=""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23" name="Group Box 106" hidden="1">
          <a:extLst>
            <a:ext uri="{63B3BB69-23CF-44E3-9099-C40C66FF867C}">
              <a14:compatExt xmlns:a14="http://schemas.microsoft.com/office/drawing/2010/main" xmlns=""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24" name="Group Box 111" hidden="1">
          <a:extLst>
            <a:ext uri="{63B3BB69-23CF-44E3-9099-C40C66FF867C}">
              <a14:compatExt xmlns:a14="http://schemas.microsoft.com/office/drawing/2010/main" xmlns=""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25" name="Group Box 146" hidden="1">
          <a:extLst>
            <a:ext uri="{63B3BB69-23CF-44E3-9099-C40C66FF867C}">
              <a14:compatExt xmlns:a14="http://schemas.microsoft.com/office/drawing/2010/main" xmlns=""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26" name="Group Box 151" hidden="1">
          <a:extLst>
            <a:ext uri="{63B3BB69-23CF-44E3-9099-C40C66FF867C}">
              <a14:compatExt xmlns:a14="http://schemas.microsoft.com/office/drawing/2010/main" xmlns=""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27" name="Group Box 156" hidden="1">
          <a:extLst>
            <a:ext uri="{63B3BB69-23CF-44E3-9099-C40C66FF867C}">
              <a14:compatExt xmlns:a14="http://schemas.microsoft.com/office/drawing/2010/main" xmlns=""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28" name="Group Box 161" hidden="1">
          <a:extLst>
            <a:ext uri="{63B3BB69-23CF-44E3-9099-C40C66FF867C}">
              <a14:compatExt xmlns:a14="http://schemas.microsoft.com/office/drawing/2010/main" xmlns=""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29" name="Group Box 171" hidden="1">
          <a:extLst>
            <a:ext uri="{63B3BB69-23CF-44E3-9099-C40C66FF867C}">
              <a14:compatExt xmlns:a14="http://schemas.microsoft.com/office/drawing/2010/main" xmlns=""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30" name="Group Box 176" hidden="1">
          <a:extLst>
            <a:ext uri="{63B3BB69-23CF-44E3-9099-C40C66FF867C}">
              <a14:compatExt xmlns:a14="http://schemas.microsoft.com/office/drawing/2010/main" xmlns=""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31" name="Group Box 181" hidden="1">
          <a:extLst>
            <a:ext uri="{63B3BB69-23CF-44E3-9099-C40C66FF867C}">
              <a14:compatExt xmlns:a14="http://schemas.microsoft.com/office/drawing/2010/main" xmlns=""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32" name="Group Box 186" hidden="1">
          <a:extLst>
            <a:ext uri="{63B3BB69-23CF-44E3-9099-C40C66FF867C}">
              <a14:compatExt xmlns:a14="http://schemas.microsoft.com/office/drawing/2010/main" xmlns=""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33"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34"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35"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36"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37"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238"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239"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240"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241"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242"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243"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244"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245"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46"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47"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48"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49"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50"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51"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52"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53"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54"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55"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256" name="Group Box 5" hidden="1">
          <a:extLst>
            <a:ext uri="{63B3BB69-23CF-44E3-9099-C40C66FF867C}">
              <a14:compatExt xmlns:a14="http://schemas.microsoft.com/office/drawing/2010/main" xmlns=""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257" name="Group Box 10" hidden="1">
          <a:extLst>
            <a:ext uri="{63B3BB69-23CF-44E3-9099-C40C66FF867C}">
              <a14:compatExt xmlns:a14="http://schemas.microsoft.com/office/drawing/2010/main" xmlns=""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258" name="Group Box 15" hidden="1">
          <a:extLst>
            <a:ext uri="{63B3BB69-23CF-44E3-9099-C40C66FF867C}">
              <a14:compatExt xmlns:a14="http://schemas.microsoft.com/office/drawing/2010/main" xmlns=""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259" name="Group Box 25" hidden="1">
          <a:extLst>
            <a:ext uri="{63B3BB69-23CF-44E3-9099-C40C66FF867C}">
              <a14:compatExt xmlns:a14="http://schemas.microsoft.com/office/drawing/2010/main" xmlns=""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260" name="Group Box 30" hidden="1">
          <a:extLst>
            <a:ext uri="{63B3BB69-23CF-44E3-9099-C40C66FF867C}">
              <a14:compatExt xmlns:a14="http://schemas.microsoft.com/office/drawing/2010/main" xmlns=""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261" name="Group Box 35" hidden="1">
          <a:extLst>
            <a:ext uri="{63B3BB69-23CF-44E3-9099-C40C66FF867C}">
              <a14:compatExt xmlns:a14="http://schemas.microsoft.com/office/drawing/2010/main" xmlns=""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262" name="Group Box 40" hidden="1">
          <a:extLst>
            <a:ext uri="{63B3BB69-23CF-44E3-9099-C40C66FF867C}">
              <a14:compatExt xmlns:a14="http://schemas.microsoft.com/office/drawing/2010/main" xmlns=""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263" name="Group Box 46" hidden="1">
          <a:extLst>
            <a:ext uri="{63B3BB69-23CF-44E3-9099-C40C66FF867C}">
              <a14:compatExt xmlns:a14="http://schemas.microsoft.com/office/drawing/2010/main" xmlns=""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264" name="Group Box 51" hidden="1">
          <a:extLst>
            <a:ext uri="{63B3BB69-23CF-44E3-9099-C40C66FF867C}">
              <a14:compatExt xmlns:a14="http://schemas.microsoft.com/office/drawing/2010/main" xmlns=""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265" name="Group Box 56" hidden="1">
          <a:extLst>
            <a:ext uri="{63B3BB69-23CF-44E3-9099-C40C66FF867C}">
              <a14:compatExt xmlns:a14="http://schemas.microsoft.com/office/drawing/2010/main" xmlns=""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266" name="Group Box 61" hidden="1">
          <a:extLst>
            <a:ext uri="{63B3BB69-23CF-44E3-9099-C40C66FF867C}">
              <a14:compatExt xmlns:a14="http://schemas.microsoft.com/office/drawing/2010/main" xmlns=""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267" name="Group Box 96" hidden="1">
          <a:extLst>
            <a:ext uri="{63B3BB69-23CF-44E3-9099-C40C66FF867C}">
              <a14:compatExt xmlns:a14="http://schemas.microsoft.com/office/drawing/2010/main" xmlns=""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268" name="Group Box 101" hidden="1">
          <a:extLst>
            <a:ext uri="{63B3BB69-23CF-44E3-9099-C40C66FF867C}">
              <a14:compatExt xmlns:a14="http://schemas.microsoft.com/office/drawing/2010/main" xmlns=""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269" name="Group Box 106" hidden="1">
          <a:extLst>
            <a:ext uri="{63B3BB69-23CF-44E3-9099-C40C66FF867C}">
              <a14:compatExt xmlns:a14="http://schemas.microsoft.com/office/drawing/2010/main" xmlns=""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270" name="Group Box 111" hidden="1">
          <a:extLst>
            <a:ext uri="{63B3BB69-23CF-44E3-9099-C40C66FF867C}">
              <a14:compatExt xmlns:a14="http://schemas.microsoft.com/office/drawing/2010/main" xmlns=""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271" name="Group Box 146" hidden="1">
          <a:extLst>
            <a:ext uri="{63B3BB69-23CF-44E3-9099-C40C66FF867C}">
              <a14:compatExt xmlns:a14="http://schemas.microsoft.com/office/drawing/2010/main" xmlns=""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272" name="Group Box 151" hidden="1">
          <a:extLst>
            <a:ext uri="{63B3BB69-23CF-44E3-9099-C40C66FF867C}">
              <a14:compatExt xmlns:a14="http://schemas.microsoft.com/office/drawing/2010/main" xmlns=""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273" name="Group Box 156" hidden="1">
          <a:extLst>
            <a:ext uri="{63B3BB69-23CF-44E3-9099-C40C66FF867C}">
              <a14:compatExt xmlns:a14="http://schemas.microsoft.com/office/drawing/2010/main" xmlns=""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274" name="Group Box 161" hidden="1">
          <a:extLst>
            <a:ext uri="{63B3BB69-23CF-44E3-9099-C40C66FF867C}">
              <a14:compatExt xmlns:a14="http://schemas.microsoft.com/office/drawing/2010/main" xmlns=""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275" name="Group Box 171" hidden="1">
          <a:extLst>
            <a:ext uri="{63B3BB69-23CF-44E3-9099-C40C66FF867C}">
              <a14:compatExt xmlns:a14="http://schemas.microsoft.com/office/drawing/2010/main" xmlns=""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276" name="Group Box 176" hidden="1">
          <a:extLst>
            <a:ext uri="{63B3BB69-23CF-44E3-9099-C40C66FF867C}">
              <a14:compatExt xmlns:a14="http://schemas.microsoft.com/office/drawing/2010/main" xmlns=""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277" name="Group Box 181" hidden="1">
          <a:extLst>
            <a:ext uri="{63B3BB69-23CF-44E3-9099-C40C66FF867C}">
              <a14:compatExt xmlns:a14="http://schemas.microsoft.com/office/drawing/2010/main" xmlns=""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278" name="Group Box 186" hidden="1">
          <a:extLst>
            <a:ext uri="{63B3BB69-23CF-44E3-9099-C40C66FF867C}">
              <a14:compatExt xmlns:a14="http://schemas.microsoft.com/office/drawing/2010/main" xmlns="" spid="_x0000_s533733"/>
            </a:ext>
          </a:extLst>
        </xdr:cNvPr>
        <xdr:cNvSpPr/>
      </xdr:nvSpPr>
      <xdr:spPr>
        <a:xfrm>
          <a:off x="12061825" y="5051425"/>
          <a:ext cx="1431925" cy="22860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279" name="Group Box 5" hidden="1">
          <a:extLst>
            <a:ext uri="{63B3BB69-23CF-44E3-9099-C40C66FF867C}">
              <a14:compatExt xmlns:a14="http://schemas.microsoft.com/office/drawing/2010/main" xmlns=""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280" name="Group Box 10" hidden="1">
          <a:extLst>
            <a:ext uri="{63B3BB69-23CF-44E3-9099-C40C66FF867C}">
              <a14:compatExt xmlns:a14="http://schemas.microsoft.com/office/drawing/2010/main" xmlns=""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281" name="Group Box 15" hidden="1">
          <a:extLst>
            <a:ext uri="{63B3BB69-23CF-44E3-9099-C40C66FF867C}">
              <a14:compatExt xmlns:a14="http://schemas.microsoft.com/office/drawing/2010/main" xmlns=""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282" name="Group Box 25" hidden="1">
          <a:extLst>
            <a:ext uri="{63B3BB69-23CF-44E3-9099-C40C66FF867C}">
              <a14:compatExt xmlns:a14="http://schemas.microsoft.com/office/drawing/2010/main" xmlns=""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283" name="Group Box 30" hidden="1">
          <a:extLst>
            <a:ext uri="{63B3BB69-23CF-44E3-9099-C40C66FF867C}">
              <a14:compatExt xmlns:a14="http://schemas.microsoft.com/office/drawing/2010/main" xmlns=""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284" name="Group Box 35" hidden="1">
          <a:extLst>
            <a:ext uri="{63B3BB69-23CF-44E3-9099-C40C66FF867C}">
              <a14:compatExt xmlns:a14="http://schemas.microsoft.com/office/drawing/2010/main" xmlns=""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285" name="Group Box 40" hidden="1">
          <a:extLst>
            <a:ext uri="{63B3BB69-23CF-44E3-9099-C40C66FF867C}">
              <a14:compatExt xmlns:a14="http://schemas.microsoft.com/office/drawing/2010/main" xmlns=""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286" name="Group Box 46" hidden="1">
          <a:extLst>
            <a:ext uri="{63B3BB69-23CF-44E3-9099-C40C66FF867C}">
              <a14:compatExt xmlns:a14="http://schemas.microsoft.com/office/drawing/2010/main" xmlns=""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287" name="Group Box 51" hidden="1">
          <a:extLst>
            <a:ext uri="{63B3BB69-23CF-44E3-9099-C40C66FF867C}">
              <a14:compatExt xmlns:a14="http://schemas.microsoft.com/office/drawing/2010/main" xmlns=""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288" name="Group Box 56" hidden="1">
          <a:extLst>
            <a:ext uri="{63B3BB69-23CF-44E3-9099-C40C66FF867C}">
              <a14:compatExt xmlns:a14="http://schemas.microsoft.com/office/drawing/2010/main" xmlns=""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289" name="Group Box 61" hidden="1">
          <a:extLst>
            <a:ext uri="{63B3BB69-23CF-44E3-9099-C40C66FF867C}">
              <a14:compatExt xmlns:a14="http://schemas.microsoft.com/office/drawing/2010/main" xmlns=""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290" name="Group Box 96" hidden="1">
          <a:extLst>
            <a:ext uri="{63B3BB69-23CF-44E3-9099-C40C66FF867C}">
              <a14:compatExt xmlns:a14="http://schemas.microsoft.com/office/drawing/2010/main" xmlns=""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291" name="Group Box 101" hidden="1">
          <a:extLst>
            <a:ext uri="{63B3BB69-23CF-44E3-9099-C40C66FF867C}">
              <a14:compatExt xmlns:a14="http://schemas.microsoft.com/office/drawing/2010/main" xmlns=""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292" name="Group Box 106" hidden="1">
          <a:extLst>
            <a:ext uri="{63B3BB69-23CF-44E3-9099-C40C66FF867C}">
              <a14:compatExt xmlns:a14="http://schemas.microsoft.com/office/drawing/2010/main" xmlns=""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293" name="Group Box 111" hidden="1">
          <a:extLst>
            <a:ext uri="{63B3BB69-23CF-44E3-9099-C40C66FF867C}">
              <a14:compatExt xmlns:a14="http://schemas.microsoft.com/office/drawing/2010/main" xmlns=""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294" name="Group Box 146" hidden="1">
          <a:extLst>
            <a:ext uri="{63B3BB69-23CF-44E3-9099-C40C66FF867C}">
              <a14:compatExt xmlns:a14="http://schemas.microsoft.com/office/drawing/2010/main" xmlns=""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295" name="Group Box 151" hidden="1">
          <a:extLst>
            <a:ext uri="{63B3BB69-23CF-44E3-9099-C40C66FF867C}">
              <a14:compatExt xmlns:a14="http://schemas.microsoft.com/office/drawing/2010/main" xmlns=""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296" name="Group Box 156" hidden="1">
          <a:extLst>
            <a:ext uri="{63B3BB69-23CF-44E3-9099-C40C66FF867C}">
              <a14:compatExt xmlns:a14="http://schemas.microsoft.com/office/drawing/2010/main" xmlns=""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297" name="Group Box 161" hidden="1">
          <a:extLst>
            <a:ext uri="{63B3BB69-23CF-44E3-9099-C40C66FF867C}">
              <a14:compatExt xmlns:a14="http://schemas.microsoft.com/office/drawing/2010/main" xmlns=""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298" name="Group Box 171" hidden="1">
          <a:extLst>
            <a:ext uri="{63B3BB69-23CF-44E3-9099-C40C66FF867C}">
              <a14:compatExt xmlns:a14="http://schemas.microsoft.com/office/drawing/2010/main" xmlns=""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299" name="Group Box 176" hidden="1">
          <a:extLst>
            <a:ext uri="{63B3BB69-23CF-44E3-9099-C40C66FF867C}">
              <a14:compatExt xmlns:a14="http://schemas.microsoft.com/office/drawing/2010/main" xmlns=""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300" name="Group Box 181" hidden="1">
          <a:extLst>
            <a:ext uri="{63B3BB69-23CF-44E3-9099-C40C66FF867C}">
              <a14:compatExt xmlns:a14="http://schemas.microsoft.com/office/drawing/2010/main" xmlns=""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301" name="Group Box 186" hidden="1">
          <a:extLst>
            <a:ext uri="{63B3BB69-23CF-44E3-9099-C40C66FF867C}">
              <a14:compatExt xmlns:a14="http://schemas.microsoft.com/office/drawing/2010/main" xmlns="" spid="_x0000_s533733"/>
            </a:ext>
          </a:extLst>
        </xdr:cNvPr>
        <xdr:cNvSpPr/>
      </xdr:nvSpPr>
      <xdr:spPr>
        <a:xfrm>
          <a:off x="12061825" y="5051425"/>
          <a:ext cx="1431925" cy="22860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302" name="Group Box 5" hidden="1">
          <a:extLst>
            <a:ext uri="{63B3BB69-23CF-44E3-9099-C40C66FF867C}">
              <a14:compatExt xmlns:a14="http://schemas.microsoft.com/office/drawing/2010/main" xmlns=""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303" name="Group Box 10" hidden="1">
          <a:extLst>
            <a:ext uri="{63B3BB69-23CF-44E3-9099-C40C66FF867C}">
              <a14:compatExt xmlns:a14="http://schemas.microsoft.com/office/drawing/2010/main" xmlns=""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304" name="Group Box 15" hidden="1">
          <a:extLst>
            <a:ext uri="{63B3BB69-23CF-44E3-9099-C40C66FF867C}">
              <a14:compatExt xmlns:a14="http://schemas.microsoft.com/office/drawing/2010/main" xmlns=""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305" name="Group Box 25" hidden="1">
          <a:extLst>
            <a:ext uri="{63B3BB69-23CF-44E3-9099-C40C66FF867C}">
              <a14:compatExt xmlns:a14="http://schemas.microsoft.com/office/drawing/2010/main" xmlns=""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306" name="Group Box 30" hidden="1">
          <a:extLst>
            <a:ext uri="{63B3BB69-23CF-44E3-9099-C40C66FF867C}">
              <a14:compatExt xmlns:a14="http://schemas.microsoft.com/office/drawing/2010/main" xmlns=""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307" name="Group Box 35" hidden="1">
          <a:extLst>
            <a:ext uri="{63B3BB69-23CF-44E3-9099-C40C66FF867C}">
              <a14:compatExt xmlns:a14="http://schemas.microsoft.com/office/drawing/2010/main" xmlns=""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308" name="Group Box 40" hidden="1">
          <a:extLst>
            <a:ext uri="{63B3BB69-23CF-44E3-9099-C40C66FF867C}">
              <a14:compatExt xmlns:a14="http://schemas.microsoft.com/office/drawing/2010/main" xmlns=""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309" name="Group Box 46" hidden="1">
          <a:extLst>
            <a:ext uri="{63B3BB69-23CF-44E3-9099-C40C66FF867C}">
              <a14:compatExt xmlns:a14="http://schemas.microsoft.com/office/drawing/2010/main" xmlns=""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310" name="Group Box 51" hidden="1">
          <a:extLst>
            <a:ext uri="{63B3BB69-23CF-44E3-9099-C40C66FF867C}">
              <a14:compatExt xmlns:a14="http://schemas.microsoft.com/office/drawing/2010/main" xmlns=""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311" name="Group Box 56" hidden="1">
          <a:extLst>
            <a:ext uri="{63B3BB69-23CF-44E3-9099-C40C66FF867C}">
              <a14:compatExt xmlns:a14="http://schemas.microsoft.com/office/drawing/2010/main" xmlns=""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312" name="Group Box 61" hidden="1">
          <a:extLst>
            <a:ext uri="{63B3BB69-23CF-44E3-9099-C40C66FF867C}">
              <a14:compatExt xmlns:a14="http://schemas.microsoft.com/office/drawing/2010/main" xmlns=""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313" name="Group Box 96" hidden="1">
          <a:extLst>
            <a:ext uri="{63B3BB69-23CF-44E3-9099-C40C66FF867C}">
              <a14:compatExt xmlns:a14="http://schemas.microsoft.com/office/drawing/2010/main" xmlns=""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314" name="Group Box 101" hidden="1">
          <a:extLst>
            <a:ext uri="{63B3BB69-23CF-44E3-9099-C40C66FF867C}">
              <a14:compatExt xmlns:a14="http://schemas.microsoft.com/office/drawing/2010/main" xmlns=""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315" name="Group Box 106" hidden="1">
          <a:extLst>
            <a:ext uri="{63B3BB69-23CF-44E3-9099-C40C66FF867C}">
              <a14:compatExt xmlns:a14="http://schemas.microsoft.com/office/drawing/2010/main" xmlns=""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316" name="Group Box 111" hidden="1">
          <a:extLst>
            <a:ext uri="{63B3BB69-23CF-44E3-9099-C40C66FF867C}">
              <a14:compatExt xmlns:a14="http://schemas.microsoft.com/office/drawing/2010/main" xmlns=""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317" name="Group Box 146" hidden="1">
          <a:extLst>
            <a:ext uri="{63B3BB69-23CF-44E3-9099-C40C66FF867C}">
              <a14:compatExt xmlns:a14="http://schemas.microsoft.com/office/drawing/2010/main" xmlns=""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318" name="Group Box 151" hidden="1">
          <a:extLst>
            <a:ext uri="{63B3BB69-23CF-44E3-9099-C40C66FF867C}">
              <a14:compatExt xmlns:a14="http://schemas.microsoft.com/office/drawing/2010/main" xmlns=""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319" name="Group Box 156" hidden="1">
          <a:extLst>
            <a:ext uri="{63B3BB69-23CF-44E3-9099-C40C66FF867C}">
              <a14:compatExt xmlns:a14="http://schemas.microsoft.com/office/drawing/2010/main" xmlns=""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320" name="Group Box 161" hidden="1">
          <a:extLst>
            <a:ext uri="{63B3BB69-23CF-44E3-9099-C40C66FF867C}">
              <a14:compatExt xmlns:a14="http://schemas.microsoft.com/office/drawing/2010/main" xmlns=""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321" name="Group Box 171" hidden="1">
          <a:extLst>
            <a:ext uri="{63B3BB69-23CF-44E3-9099-C40C66FF867C}">
              <a14:compatExt xmlns:a14="http://schemas.microsoft.com/office/drawing/2010/main" xmlns=""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322" name="Group Box 176" hidden="1">
          <a:extLst>
            <a:ext uri="{63B3BB69-23CF-44E3-9099-C40C66FF867C}">
              <a14:compatExt xmlns:a14="http://schemas.microsoft.com/office/drawing/2010/main" xmlns=""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323" name="Group Box 181" hidden="1">
          <a:extLst>
            <a:ext uri="{63B3BB69-23CF-44E3-9099-C40C66FF867C}">
              <a14:compatExt xmlns:a14="http://schemas.microsoft.com/office/drawing/2010/main" xmlns=""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324" name="Group Box 186" hidden="1">
          <a:extLst>
            <a:ext uri="{63B3BB69-23CF-44E3-9099-C40C66FF867C}">
              <a14:compatExt xmlns:a14="http://schemas.microsoft.com/office/drawing/2010/main" xmlns="" spid="_x0000_s533733"/>
            </a:ext>
          </a:extLst>
        </xdr:cNvPr>
        <xdr:cNvSpPr/>
      </xdr:nvSpPr>
      <xdr:spPr>
        <a:xfrm>
          <a:off x="12061825" y="5051425"/>
          <a:ext cx="1431925" cy="22860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325" name="Group Box 5" hidden="1">
          <a:extLst>
            <a:ext uri="{63B3BB69-23CF-44E3-9099-C40C66FF867C}">
              <a14:compatExt xmlns:a14="http://schemas.microsoft.com/office/drawing/2010/main" xmlns=""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326" name="Group Box 10" hidden="1">
          <a:extLst>
            <a:ext uri="{63B3BB69-23CF-44E3-9099-C40C66FF867C}">
              <a14:compatExt xmlns:a14="http://schemas.microsoft.com/office/drawing/2010/main" xmlns=""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327" name="Group Box 15" hidden="1">
          <a:extLst>
            <a:ext uri="{63B3BB69-23CF-44E3-9099-C40C66FF867C}">
              <a14:compatExt xmlns:a14="http://schemas.microsoft.com/office/drawing/2010/main" xmlns=""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328" name="Group Box 25" hidden="1">
          <a:extLst>
            <a:ext uri="{63B3BB69-23CF-44E3-9099-C40C66FF867C}">
              <a14:compatExt xmlns:a14="http://schemas.microsoft.com/office/drawing/2010/main" xmlns=""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329" name="Group Box 30" hidden="1">
          <a:extLst>
            <a:ext uri="{63B3BB69-23CF-44E3-9099-C40C66FF867C}">
              <a14:compatExt xmlns:a14="http://schemas.microsoft.com/office/drawing/2010/main" xmlns=""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330" name="Group Box 35" hidden="1">
          <a:extLst>
            <a:ext uri="{63B3BB69-23CF-44E3-9099-C40C66FF867C}">
              <a14:compatExt xmlns:a14="http://schemas.microsoft.com/office/drawing/2010/main" xmlns=""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331" name="Group Box 40" hidden="1">
          <a:extLst>
            <a:ext uri="{63B3BB69-23CF-44E3-9099-C40C66FF867C}">
              <a14:compatExt xmlns:a14="http://schemas.microsoft.com/office/drawing/2010/main" xmlns=""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332" name="Group Box 46" hidden="1">
          <a:extLst>
            <a:ext uri="{63B3BB69-23CF-44E3-9099-C40C66FF867C}">
              <a14:compatExt xmlns:a14="http://schemas.microsoft.com/office/drawing/2010/main" xmlns=""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333" name="Group Box 51" hidden="1">
          <a:extLst>
            <a:ext uri="{63B3BB69-23CF-44E3-9099-C40C66FF867C}">
              <a14:compatExt xmlns:a14="http://schemas.microsoft.com/office/drawing/2010/main" xmlns=""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334" name="Group Box 56" hidden="1">
          <a:extLst>
            <a:ext uri="{63B3BB69-23CF-44E3-9099-C40C66FF867C}">
              <a14:compatExt xmlns:a14="http://schemas.microsoft.com/office/drawing/2010/main" xmlns=""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335" name="Group Box 61" hidden="1">
          <a:extLst>
            <a:ext uri="{63B3BB69-23CF-44E3-9099-C40C66FF867C}">
              <a14:compatExt xmlns:a14="http://schemas.microsoft.com/office/drawing/2010/main" xmlns=""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336" name="Group Box 96" hidden="1">
          <a:extLst>
            <a:ext uri="{63B3BB69-23CF-44E3-9099-C40C66FF867C}">
              <a14:compatExt xmlns:a14="http://schemas.microsoft.com/office/drawing/2010/main" xmlns=""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337" name="Group Box 101" hidden="1">
          <a:extLst>
            <a:ext uri="{63B3BB69-23CF-44E3-9099-C40C66FF867C}">
              <a14:compatExt xmlns:a14="http://schemas.microsoft.com/office/drawing/2010/main" xmlns=""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338" name="Group Box 106" hidden="1">
          <a:extLst>
            <a:ext uri="{63B3BB69-23CF-44E3-9099-C40C66FF867C}">
              <a14:compatExt xmlns:a14="http://schemas.microsoft.com/office/drawing/2010/main" xmlns=""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339" name="Group Box 111" hidden="1">
          <a:extLst>
            <a:ext uri="{63B3BB69-23CF-44E3-9099-C40C66FF867C}">
              <a14:compatExt xmlns:a14="http://schemas.microsoft.com/office/drawing/2010/main" xmlns=""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340" name="Group Box 146" hidden="1">
          <a:extLst>
            <a:ext uri="{63B3BB69-23CF-44E3-9099-C40C66FF867C}">
              <a14:compatExt xmlns:a14="http://schemas.microsoft.com/office/drawing/2010/main" xmlns=""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341" name="Group Box 151" hidden="1">
          <a:extLst>
            <a:ext uri="{63B3BB69-23CF-44E3-9099-C40C66FF867C}">
              <a14:compatExt xmlns:a14="http://schemas.microsoft.com/office/drawing/2010/main" xmlns=""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342" name="Group Box 156" hidden="1">
          <a:extLst>
            <a:ext uri="{63B3BB69-23CF-44E3-9099-C40C66FF867C}">
              <a14:compatExt xmlns:a14="http://schemas.microsoft.com/office/drawing/2010/main" xmlns=""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343" name="Group Box 161" hidden="1">
          <a:extLst>
            <a:ext uri="{63B3BB69-23CF-44E3-9099-C40C66FF867C}">
              <a14:compatExt xmlns:a14="http://schemas.microsoft.com/office/drawing/2010/main" xmlns=""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344" name="Group Box 171" hidden="1">
          <a:extLst>
            <a:ext uri="{63B3BB69-23CF-44E3-9099-C40C66FF867C}">
              <a14:compatExt xmlns:a14="http://schemas.microsoft.com/office/drawing/2010/main" xmlns=""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345" name="Group Box 176" hidden="1">
          <a:extLst>
            <a:ext uri="{63B3BB69-23CF-44E3-9099-C40C66FF867C}">
              <a14:compatExt xmlns:a14="http://schemas.microsoft.com/office/drawing/2010/main" xmlns=""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346" name="Group Box 181" hidden="1">
          <a:extLst>
            <a:ext uri="{63B3BB69-23CF-44E3-9099-C40C66FF867C}">
              <a14:compatExt xmlns:a14="http://schemas.microsoft.com/office/drawing/2010/main" xmlns=""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347" name="Group Box 186" hidden="1">
          <a:extLst>
            <a:ext uri="{63B3BB69-23CF-44E3-9099-C40C66FF867C}">
              <a14:compatExt xmlns:a14="http://schemas.microsoft.com/office/drawing/2010/main" xmlns="" spid="_x0000_s533733"/>
            </a:ext>
          </a:extLst>
        </xdr:cNvPr>
        <xdr:cNvSpPr/>
      </xdr:nvSpPr>
      <xdr:spPr>
        <a:xfrm>
          <a:off x="12061825" y="5051425"/>
          <a:ext cx="1431925" cy="22860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348" name="Group Box 5" hidden="1">
          <a:extLst>
            <a:ext uri="{63B3BB69-23CF-44E3-9099-C40C66FF867C}">
              <a14:compatExt xmlns:a14="http://schemas.microsoft.com/office/drawing/2010/main" xmlns=""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49" name="Group Box 10" hidden="1">
          <a:extLst>
            <a:ext uri="{63B3BB69-23CF-44E3-9099-C40C66FF867C}">
              <a14:compatExt xmlns:a14="http://schemas.microsoft.com/office/drawing/2010/main" xmlns=""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350" name="Group Box 15" hidden="1">
          <a:extLst>
            <a:ext uri="{63B3BB69-23CF-44E3-9099-C40C66FF867C}">
              <a14:compatExt xmlns:a14="http://schemas.microsoft.com/office/drawing/2010/main" xmlns=""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351" name="Group Box 25" hidden="1">
          <a:extLst>
            <a:ext uri="{63B3BB69-23CF-44E3-9099-C40C66FF867C}">
              <a14:compatExt xmlns:a14="http://schemas.microsoft.com/office/drawing/2010/main" xmlns=""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52" name="Group Box 30" hidden="1">
          <a:extLst>
            <a:ext uri="{63B3BB69-23CF-44E3-9099-C40C66FF867C}">
              <a14:compatExt xmlns:a14="http://schemas.microsoft.com/office/drawing/2010/main" xmlns=""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53" name="Group Box 35" hidden="1">
          <a:extLst>
            <a:ext uri="{63B3BB69-23CF-44E3-9099-C40C66FF867C}">
              <a14:compatExt xmlns:a14="http://schemas.microsoft.com/office/drawing/2010/main" xmlns=""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54" name="Group Box 40" hidden="1">
          <a:extLst>
            <a:ext uri="{63B3BB69-23CF-44E3-9099-C40C66FF867C}">
              <a14:compatExt xmlns:a14="http://schemas.microsoft.com/office/drawing/2010/main" xmlns=""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55" name="Group Box 46" hidden="1">
          <a:extLst>
            <a:ext uri="{63B3BB69-23CF-44E3-9099-C40C66FF867C}">
              <a14:compatExt xmlns:a14="http://schemas.microsoft.com/office/drawing/2010/main" xmlns=""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56" name="Group Box 51" hidden="1">
          <a:extLst>
            <a:ext uri="{63B3BB69-23CF-44E3-9099-C40C66FF867C}">
              <a14:compatExt xmlns:a14="http://schemas.microsoft.com/office/drawing/2010/main" xmlns=""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57" name="Group Box 56" hidden="1">
          <a:extLst>
            <a:ext uri="{63B3BB69-23CF-44E3-9099-C40C66FF867C}">
              <a14:compatExt xmlns:a14="http://schemas.microsoft.com/office/drawing/2010/main" xmlns=""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58" name="Group Box 61" hidden="1">
          <a:extLst>
            <a:ext uri="{63B3BB69-23CF-44E3-9099-C40C66FF867C}">
              <a14:compatExt xmlns:a14="http://schemas.microsoft.com/office/drawing/2010/main" xmlns=""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59" name="Group Box 96" hidden="1">
          <a:extLst>
            <a:ext uri="{63B3BB69-23CF-44E3-9099-C40C66FF867C}">
              <a14:compatExt xmlns:a14="http://schemas.microsoft.com/office/drawing/2010/main" xmlns=""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60" name="Group Box 101" hidden="1">
          <a:extLst>
            <a:ext uri="{63B3BB69-23CF-44E3-9099-C40C66FF867C}">
              <a14:compatExt xmlns:a14="http://schemas.microsoft.com/office/drawing/2010/main" xmlns=""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61" name="Group Box 106" hidden="1">
          <a:extLst>
            <a:ext uri="{63B3BB69-23CF-44E3-9099-C40C66FF867C}">
              <a14:compatExt xmlns:a14="http://schemas.microsoft.com/office/drawing/2010/main" xmlns=""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362" name="Group Box 111" hidden="1">
          <a:extLst>
            <a:ext uri="{63B3BB69-23CF-44E3-9099-C40C66FF867C}">
              <a14:compatExt xmlns:a14="http://schemas.microsoft.com/office/drawing/2010/main" xmlns=""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363" name="Group Box 146" hidden="1">
          <a:extLst>
            <a:ext uri="{63B3BB69-23CF-44E3-9099-C40C66FF867C}">
              <a14:compatExt xmlns:a14="http://schemas.microsoft.com/office/drawing/2010/main" xmlns=""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364" name="Group Box 151" hidden="1">
          <a:extLst>
            <a:ext uri="{63B3BB69-23CF-44E3-9099-C40C66FF867C}">
              <a14:compatExt xmlns:a14="http://schemas.microsoft.com/office/drawing/2010/main" xmlns=""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365" name="Group Box 156" hidden="1">
          <a:extLst>
            <a:ext uri="{63B3BB69-23CF-44E3-9099-C40C66FF867C}">
              <a14:compatExt xmlns:a14="http://schemas.microsoft.com/office/drawing/2010/main" xmlns=""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366" name="Group Box 161" hidden="1">
          <a:extLst>
            <a:ext uri="{63B3BB69-23CF-44E3-9099-C40C66FF867C}">
              <a14:compatExt xmlns:a14="http://schemas.microsoft.com/office/drawing/2010/main" xmlns=""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367" name="Group Box 171" hidden="1">
          <a:extLst>
            <a:ext uri="{63B3BB69-23CF-44E3-9099-C40C66FF867C}">
              <a14:compatExt xmlns:a14="http://schemas.microsoft.com/office/drawing/2010/main" xmlns=""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368" name="Group Box 176" hidden="1">
          <a:extLst>
            <a:ext uri="{63B3BB69-23CF-44E3-9099-C40C66FF867C}">
              <a14:compatExt xmlns:a14="http://schemas.microsoft.com/office/drawing/2010/main" xmlns=""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369" name="Group Box 181" hidden="1">
          <a:extLst>
            <a:ext uri="{63B3BB69-23CF-44E3-9099-C40C66FF867C}">
              <a14:compatExt xmlns:a14="http://schemas.microsoft.com/office/drawing/2010/main" xmlns=""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370" name="Group Box 186" hidden="1">
          <a:extLst>
            <a:ext uri="{63B3BB69-23CF-44E3-9099-C40C66FF867C}">
              <a14:compatExt xmlns:a14="http://schemas.microsoft.com/office/drawing/2010/main" xmlns=""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371" name="Group Box 5" hidden="1">
          <a:extLst>
            <a:ext uri="{63B3BB69-23CF-44E3-9099-C40C66FF867C}">
              <a14:compatExt xmlns:a14="http://schemas.microsoft.com/office/drawing/2010/main" xmlns=""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72" name="Group Box 10" hidden="1">
          <a:extLst>
            <a:ext uri="{63B3BB69-23CF-44E3-9099-C40C66FF867C}">
              <a14:compatExt xmlns:a14="http://schemas.microsoft.com/office/drawing/2010/main" xmlns=""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373" name="Group Box 15" hidden="1">
          <a:extLst>
            <a:ext uri="{63B3BB69-23CF-44E3-9099-C40C66FF867C}">
              <a14:compatExt xmlns:a14="http://schemas.microsoft.com/office/drawing/2010/main" xmlns=""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374" name="Group Box 25" hidden="1">
          <a:extLst>
            <a:ext uri="{63B3BB69-23CF-44E3-9099-C40C66FF867C}">
              <a14:compatExt xmlns:a14="http://schemas.microsoft.com/office/drawing/2010/main" xmlns=""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75" name="Group Box 30" hidden="1">
          <a:extLst>
            <a:ext uri="{63B3BB69-23CF-44E3-9099-C40C66FF867C}">
              <a14:compatExt xmlns:a14="http://schemas.microsoft.com/office/drawing/2010/main" xmlns=""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76" name="Group Box 35" hidden="1">
          <a:extLst>
            <a:ext uri="{63B3BB69-23CF-44E3-9099-C40C66FF867C}">
              <a14:compatExt xmlns:a14="http://schemas.microsoft.com/office/drawing/2010/main" xmlns=""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77" name="Group Box 40" hidden="1">
          <a:extLst>
            <a:ext uri="{63B3BB69-23CF-44E3-9099-C40C66FF867C}">
              <a14:compatExt xmlns:a14="http://schemas.microsoft.com/office/drawing/2010/main" xmlns=""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78" name="Group Box 46" hidden="1">
          <a:extLst>
            <a:ext uri="{63B3BB69-23CF-44E3-9099-C40C66FF867C}">
              <a14:compatExt xmlns:a14="http://schemas.microsoft.com/office/drawing/2010/main" xmlns=""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79" name="Group Box 51" hidden="1">
          <a:extLst>
            <a:ext uri="{63B3BB69-23CF-44E3-9099-C40C66FF867C}">
              <a14:compatExt xmlns:a14="http://schemas.microsoft.com/office/drawing/2010/main" xmlns=""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80" name="Group Box 56" hidden="1">
          <a:extLst>
            <a:ext uri="{63B3BB69-23CF-44E3-9099-C40C66FF867C}">
              <a14:compatExt xmlns:a14="http://schemas.microsoft.com/office/drawing/2010/main" xmlns=""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81" name="Group Box 61" hidden="1">
          <a:extLst>
            <a:ext uri="{63B3BB69-23CF-44E3-9099-C40C66FF867C}">
              <a14:compatExt xmlns:a14="http://schemas.microsoft.com/office/drawing/2010/main" xmlns=""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82" name="Group Box 96" hidden="1">
          <a:extLst>
            <a:ext uri="{63B3BB69-23CF-44E3-9099-C40C66FF867C}">
              <a14:compatExt xmlns:a14="http://schemas.microsoft.com/office/drawing/2010/main" xmlns=""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83" name="Group Box 101" hidden="1">
          <a:extLst>
            <a:ext uri="{63B3BB69-23CF-44E3-9099-C40C66FF867C}">
              <a14:compatExt xmlns:a14="http://schemas.microsoft.com/office/drawing/2010/main" xmlns=""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84" name="Group Box 106" hidden="1">
          <a:extLst>
            <a:ext uri="{63B3BB69-23CF-44E3-9099-C40C66FF867C}">
              <a14:compatExt xmlns:a14="http://schemas.microsoft.com/office/drawing/2010/main" xmlns=""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385" name="Group Box 111" hidden="1">
          <a:extLst>
            <a:ext uri="{63B3BB69-23CF-44E3-9099-C40C66FF867C}">
              <a14:compatExt xmlns:a14="http://schemas.microsoft.com/office/drawing/2010/main" xmlns=""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386" name="Group Box 146" hidden="1">
          <a:extLst>
            <a:ext uri="{63B3BB69-23CF-44E3-9099-C40C66FF867C}">
              <a14:compatExt xmlns:a14="http://schemas.microsoft.com/office/drawing/2010/main" xmlns=""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387" name="Group Box 151" hidden="1">
          <a:extLst>
            <a:ext uri="{63B3BB69-23CF-44E3-9099-C40C66FF867C}">
              <a14:compatExt xmlns:a14="http://schemas.microsoft.com/office/drawing/2010/main" xmlns=""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388" name="Group Box 156" hidden="1">
          <a:extLst>
            <a:ext uri="{63B3BB69-23CF-44E3-9099-C40C66FF867C}">
              <a14:compatExt xmlns:a14="http://schemas.microsoft.com/office/drawing/2010/main" xmlns=""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389" name="Group Box 161" hidden="1">
          <a:extLst>
            <a:ext uri="{63B3BB69-23CF-44E3-9099-C40C66FF867C}">
              <a14:compatExt xmlns:a14="http://schemas.microsoft.com/office/drawing/2010/main" xmlns=""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390" name="Group Box 171" hidden="1">
          <a:extLst>
            <a:ext uri="{63B3BB69-23CF-44E3-9099-C40C66FF867C}">
              <a14:compatExt xmlns:a14="http://schemas.microsoft.com/office/drawing/2010/main" xmlns=""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391" name="Group Box 176" hidden="1">
          <a:extLst>
            <a:ext uri="{63B3BB69-23CF-44E3-9099-C40C66FF867C}">
              <a14:compatExt xmlns:a14="http://schemas.microsoft.com/office/drawing/2010/main" xmlns=""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392" name="Group Box 181" hidden="1">
          <a:extLst>
            <a:ext uri="{63B3BB69-23CF-44E3-9099-C40C66FF867C}">
              <a14:compatExt xmlns:a14="http://schemas.microsoft.com/office/drawing/2010/main" xmlns=""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393" name="Group Box 186" hidden="1">
          <a:extLst>
            <a:ext uri="{63B3BB69-23CF-44E3-9099-C40C66FF867C}">
              <a14:compatExt xmlns:a14="http://schemas.microsoft.com/office/drawing/2010/main" xmlns=""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394"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95"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396"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397"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98"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99"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00"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01"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02"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03"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04"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05"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06"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07"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08"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09"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10"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11"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12"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13"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14"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15"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16"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17"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18"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19"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20"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21"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22"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23"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24"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25"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26"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27"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28"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29"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30"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31"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32"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33"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34"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35"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36"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37"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38"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39"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40"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41"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42"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43"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44"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45"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46"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47"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48"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49"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50"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51"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52"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53"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54"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55"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56"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57"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58"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59"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60"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61"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62"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63"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64"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65"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66"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67"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68"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69"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70"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71"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72"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73"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74"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75"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76"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77"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78"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79"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80"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81"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82"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83"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84"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85"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86"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87"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88"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89"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90"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91"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92"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93"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94"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95"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96"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97"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98"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99"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00"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01"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02"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03"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04"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05"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06"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07"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08"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00" name="Group Box 5" hidden="1">
          <a:extLst>
            <a:ext uri="{63B3BB69-23CF-44E3-9099-C40C66FF867C}">
              <a14:compatExt xmlns:a14="http://schemas.microsoft.com/office/drawing/2010/main" xmlns=""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01" name="Group Box 10" hidden="1">
          <a:extLst>
            <a:ext uri="{63B3BB69-23CF-44E3-9099-C40C66FF867C}">
              <a14:compatExt xmlns:a14="http://schemas.microsoft.com/office/drawing/2010/main" xmlns=""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02" name="Group Box 15" hidden="1">
          <a:extLst>
            <a:ext uri="{63B3BB69-23CF-44E3-9099-C40C66FF867C}">
              <a14:compatExt xmlns:a14="http://schemas.microsoft.com/office/drawing/2010/main" xmlns=""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03" name="Group Box 25" hidden="1">
          <a:extLst>
            <a:ext uri="{63B3BB69-23CF-44E3-9099-C40C66FF867C}">
              <a14:compatExt xmlns:a14="http://schemas.microsoft.com/office/drawing/2010/main" xmlns=""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04" name="Group Box 30" hidden="1">
          <a:extLst>
            <a:ext uri="{63B3BB69-23CF-44E3-9099-C40C66FF867C}">
              <a14:compatExt xmlns:a14="http://schemas.microsoft.com/office/drawing/2010/main" xmlns=""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05" name="Group Box 35" hidden="1">
          <a:extLst>
            <a:ext uri="{63B3BB69-23CF-44E3-9099-C40C66FF867C}">
              <a14:compatExt xmlns:a14="http://schemas.microsoft.com/office/drawing/2010/main" xmlns=""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06" name="Group Box 40" hidden="1">
          <a:extLst>
            <a:ext uri="{63B3BB69-23CF-44E3-9099-C40C66FF867C}">
              <a14:compatExt xmlns:a14="http://schemas.microsoft.com/office/drawing/2010/main" xmlns=""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07" name="Group Box 46" hidden="1">
          <a:extLst>
            <a:ext uri="{63B3BB69-23CF-44E3-9099-C40C66FF867C}">
              <a14:compatExt xmlns:a14="http://schemas.microsoft.com/office/drawing/2010/main" xmlns=""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08" name="Group Box 51" hidden="1">
          <a:extLst>
            <a:ext uri="{63B3BB69-23CF-44E3-9099-C40C66FF867C}">
              <a14:compatExt xmlns:a14="http://schemas.microsoft.com/office/drawing/2010/main" xmlns=""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09" name="Group Box 56" hidden="1">
          <a:extLst>
            <a:ext uri="{63B3BB69-23CF-44E3-9099-C40C66FF867C}">
              <a14:compatExt xmlns:a14="http://schemas.microsoft.com/office/drawing/2010/main" xmlns=""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10" name="Group Box 61" hidden="1">
          <a:extLst>
            <a:ext uri="{63B3BB69-23CF-44E3-9099-C40C66FF867C}">
              <a14:compatExt xmlns:a14="http://schemas.microsoft.com/office/drawing/2010/main" xmlns=""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11" name="Group Box 96" hidden="1">
          <a:extLst>
            <a:ext uri="{63B3BB69-23CF-44E3-9099-C40C66FF867C}">
              <a14:compatExt xmlns:a14="http://schemas.microsoft.com/office/drawing/2010/main" xmlns=""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12" name="Group Box 101" hidden="1">
          <a:extLst>
            <a:ext uri="{63B3BB69-23CF-44E3-9099-C40C66FF867C}">
              <a14:compatExt xmlns:a14="http://schemas.microsoft.com/office/drawing/2010/main" xmlns=""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13" name="Group Box 106" hidden="1">
          <a:extLst>
            <a:ext uri="{63B3BB69-23CF-44E3-9099-C40C66FF867C}">
              <a14:compatExt xmlns:a14="http://schemas.microsoft.com/office/drawing/2010/main" xmlns=""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14" name="Group Box 111" hidden="1">
          <a:extLst>
            <a:ext uri="{63B3BB69-23CF-44E3-9099-C40C66FF867C}">
              <a14:compatExt xmlns:a14="http://schemas.microsoft.com/office/drawing/2010/main" xmlns=""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15" name="Group Box 146" hidden="1">
          <a:extLst>
            <a:ext uri="{63B3BB69-23CF-44E3-9099-C40C66FF867C}">
              <a14:compatExt xmlns:a14="http://schemas.microsoft.com/office/drawing/2010/main" xmlns=""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16" name="Group Box 151" hidden="1">
          <a:extLst>
            <a:ext uri="{63B3BB69-23CF-44E3-9099-C40C66FF867C}">
              <a14:compatExt xmlns:a14="http://schemas.microsoft.com/office/drawing/2010/main" xmlns=""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17" name="Group Box 156" hidden="1">
          <a:extLst>
            <a:ext uri="{63B3BB69-23CF-44E3-9099-C40C66FF867C}">
              <a14:compatExt xmlns:a14="http://schemas.microsoft.com/office/drawing/2010/main" xmlns=""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18" name="Group Box 161" hidden="1">
          <a:extLst>
            <a:ext uri="{63B3BB69-23CF-44E3-9099-C40C66FF867C}">
              <a14:compatExt xmlns:a14="http://schemas.microsoft.com/office/drawing/2010/main" xmlns=""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19" name="Group Box 171" hidden="1">
          <a:extLst>
            <a:ext uri="{63B3BB69-23CF-44E3-9099-C40C66FF867C}">
              <a14:compatExt xmlns:a14="http://schemas.microsoft.com/office/drawing/2010/main" xmlns=""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20" name="Group Box 176" hidden="1">
          <a:extLst>
            <a:ext uri="{63B3BB69-23CF-44E3-9099-C40C66FF867C}">
              <a14:compatExt xmlns:a14="http://schemas.microsoft.com/office/drawing/2010/main" xmlns=""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21" name="Group Box 181" hidden="1">
          <a:extLst>
            <a:ext uri="{63B3BB69-23CF-44E3-9099-C40C66FF867C}">
              <a14:compatExt xmlns:a14="http://schemas.microsoft.com/office/drawing/2010/main" xmlns=""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22" name="Group Box 186" hidden="1">
          <a:extLst>
            <a:ext uri="{63B3BB69-23CF-44E3-9099-C40C66FF867C}">
              <a14:compatExt xmlns:a14="http://schemas.microsoft.com/office/drawing/2010/main" xmlns=""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23"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24"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25"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26"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27"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28"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29"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30"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31"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32"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33"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34"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35"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36"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37"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38"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39"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40"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41"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42"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43"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44"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45"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814272" name="Group Box 5" hidden="1">
          <a:extLst>
            <a:ext uri="{63B3BB69-23CF-44E3-9099-C40C66FF867C}">
              <a14:compatExt xmlns:a14="http://schemas.microsoft.com/office/drawing/2010/main" xmlns="" spid="_x0000_s81427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14273" name="Group Box 10" hidden="1">
          <a:extLst>
            <a:ext uri="{63B3BB69-23CF-44E3-9099-C40C66FF867C}">
              <a14:compatExt xmlns:a14="http://schemas.microsoft.com/office/drawing/2010/main" xmlns="" spid="_x0000_s81427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14274" name="Group Box 15" hidden="1">
          <a:extLst>
            <a:ext uri="{63B3BB69-23CF-44E3-9099-C40C66FF867C}">
              <a14:compatExt xmlns:a14="http://schemas.microsoft.com/office/drawing/2010/main" xmlns="" spid="_x0000_s81427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14275" name="Group Box 25" hidden="1">
          <a:extLst>
            <a:ext uri="{63B3BB69-23CF-44E3-9099-C40C66FF867C}">
              <a14:compatExt xmlns:a14="http://schemas.microsoft.com/office/drawing/2010/main" xmlns="" spid="_x0000_s81427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14276" name="Group Box 30" hidden="1">
          <a:extLst>
            <a:ext uri="{63B3BB69-23CF-44E3-9099-C40C66FF867C}">
              <a14:compatExt xmlns:a14="http://schemas.microsoft.com/office/drawing/2010/main" xmlns="" spid="_x0000_s81427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14277" name="Group Box 35" hidden="1">
          <a:extLst>
            <a:ext uri="{63B3BB69-23CF-44E3-9099-C40C66FF867C}">
              <a14:compatExt xmlns:a14="http://schemas.microsoft.com/office/drawing/2010/main" xmlns="" spid="_x0000_s81427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14278" name="Group Box 40" hidden="1">
          <a:extLst>
            <a:ext uri="{63B3BB69-23CF-44E3-9099-C40C66FF867C}">
              <a14:compatExt xmlns:a14="http://schemas.microsoft.com/office/drawing/2010/main" xmlns="" spid="_x0000_s81427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14279" name="Group Box 46" hidden="1">
          <a:extLst>
            <a:ext uri="{63B3BB69-23CF-44E3-9099-C40C66FF867C}">
              <a14:compatExt xmlns:a14="http://schemas.microsoft.com/office/drawing/2010/main" xmlns="" spid="_x0000_s81427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14280" name="Group Box 51" hidden="1">
          <a:extLst>
            <a:ext uri="{63B3BB69-23CF-44E3-9099-C40C66FF867C}">
              <a14:compatExt xmlns:a14="http://schemas.microsoft.com/office/drawing/2010/main" xmlns="" spid="_x0000_s81428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4281" name="Group Box 56" hidden="1">
          <a:extLst>
            <a:ext uri="{63B3BB69-23CF-44E3-9099-C40C66FF867C}">
              <a14:compatExt xmlns:a14="http://schemas.microsoft.com/office/drawing/2010/main" xmlns="" spid="_x0000_s81428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14282" name="Group Box 61" hidden="1">
          <a:extLst>
            <a:ext uri="{63B3BB69-23CF-44E3-9099-C40C66FF867C}">
              <a14:compatExt xmlns:a14="http://schemas.microsoft.com/office/drawing/2010/main" xmlns="" spid="_x0000_s81428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4283" name="Group Box 96" hidden="1">
          <a:extLst>
            <a:ext uri="{63B3BB69-23CF-44E3-9099-C40C66FF867C}">
              <a14:compatExt xmlns:a14="http://schemas.microsoft.com/office/drawing/2010/main" xmlns="" spid="_x0000_s81428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4284" name="Group Box 101" hidden="1">
          <a:extLst>
            <a:ext uri="{63B3BB69-23CF-44E3-9099-C40C66FF867C}">
              <a14:compatExt xmlns:a14="http://schemas.microsoft.com/office/drawing/2010/main" xmlns="" spid="_x0000_s81428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4285" name="Group Box 106" hidden="1">
          <a:extLst>
            <a:ext uri="{63B3BB69-23CF-44E3-9099-C40C66FF867C}">
              <a14:compatExt xmlns:a14="http://schemas.microsoft.com/office/drawing/2010/main" xmlns="" spid="_x0000_s81428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4286" name="Group Box 111" hidden="1">
          <a:extLst>
            <a:ext uri="{63B3BB69-23CF-44E3-9099-C40C66FF867C}">
              <a14:compatExt xmlns:a14="http://schemas.microsoft.com/office/drawing/2010/main" xmlns="" spid="_x0000_s81428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4287" name="Group Box 146" hidden="1">
          <a:extLst>
            <a:ext uri="{63B3BB69-23CF-44E3-9099-C40C66FF867C}">
              <a14:compatExt xmlns:a14="http://schemas.microsoft.com/office/drawing/2010/main" xmlns="" spid="_x0000_s81428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4288" name="Group Box 151" hidden="1">
          <a:extLst>
            <a:ext uri="{63B3BB69-23CF-44E3-9099-C40C66FF867C}">
              <a14:compatExt xmlns:a14="http://schemas.microsoft.com/office/drawing/2010/main" xmlns="" spid="_x0000_s81428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4289" name="Group Box 156" hidden="1">
          <a:extLst>
            <a:ext uri="{63B3BB69-23CF-44E3-9099-C40C66FF867C}">
              <a14:compatExt xmlns:a14="http://schemas.microsoft.com/office/drawing/2010/main" xmlns="" spid="_x0000_s81428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4290" name="Group Box 161" hidden="1">
          <a:extLst>
            <a:ext uri="{63B3BB69-23CF-44E3-9099-C40C66FF867C}">
              <a14:compatExt xmlns:a14="http://schemas.microsoft.com/office/drawing/2010/main" xmlns="" spid="_x0000_s81429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4291" name="Group Box 171" hidden="1">
          <a:extLst>
            <a:ext uri="{63B3BB69-23CF-44E3-9099-C40C66FF867C}">
              <a14:compatExt xmlns:a14="http://schemas.microsoft.com/office/drawing/2010/main" xmlns="" spid="_x0000_s81429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4292" name="Group Box 176" hidden="1">
          <a:extLst>
            <a:ext uri="{63B3BB69-23CF-44E3-9099-C40C66FF867C}">
              <a14:compatExt xmlns:a14="http://schemas.microsoft.com/office/drawing/2010/main" xmlns="" spid="_x0000_s81429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4293" name="Group Box 181" hidden="1">
          <a:extLst>
            <a:ext uri="{63B3BB69-23CF-44E3-9099-C40C66FF867C}">
              <a14:compatExt xmlns:a14="http://schemas.microsoft.com/office/drawing/2010/main" xmlns="" spid="_x0000_s81429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4294" name="Group Box 186" hidden="1">
          <a:extLst>
            <a:ext uri="{63B3BB69-23CF-44E3-9099-C40C66FF867C}">
              <a14:compatExt xmlns:a14="http://schemas.microsoft.com/office/drawing/2010/main" xmlns="" spid="_x0000_s81429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 name="Group Box 5" hidden="1">
          <a:extLst>
            <a:ext uri="{63B3BB69-23CF-44E3-9099-C40C66FF867C}">
              <a14:compatExt xmlns:a14="http://schemas.microsoft.com/office/drawing/2010/main" xmlns="" spid="_x0000_s81427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09" name="Group Box 10" hidden="1">
          <a:extLst>
            <a:ext uri="{63B3BB69-23CF-44E3-9099-C40C66FF867C}">
              <a14:compatExt xmlns:a14="http://schemas.microsoft.com/office/drawing/2010/main" xmlns="" spid="_x0000_s81427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10" name="Group Box 15" hidden="1">
          <a:extLst>
            <a:ext uri="{63B3BB69-23CF-44E3-9099-C40C66FF867C}">
              <a14:compatExt xmlns:a14="http://schemas.microsoft.com/office/drawing/2010/main" xmlns="" spid="_x0000_s81427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11" name="Group Box 25" hidden="1">
          <a:extLst>
            <a:ext uri="{63B3BB69-23CF-44E3-9099-C40C66FF867C}">
              <a14:compatExt xmlns:a14="http://schemas.microsoft.com/office/drawing/2010/main" xmlns="" spid="_x0000_s81427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40" name="Group Box 30" hidden="1">
          <a:extLst>
            <a:ext uri="{63B3BB69-23CF-44E3-9099-C40C66FF867C}">
              <a14:compatExt xmlns:a14="http://schemas.microsoft.com/office/drawing/2010/main" xmlns="" spid="_x0000_s81427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641" name="Group Box 35" hidden="1">
          <a:extLst>
            <a:ext uri="{63B3BB69-23CF-44E3-9099-C40C66FF867C}">
              <a14:compatExt xmlns:a14="http://schemas.microsoft.com/office/drawing/2010/main" xmlns="" spid="_x0000_s81427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642" name="Group Box 40" hidden="1">
          <a:extLst>
            <a:ext uri="{63B3BB69-23CF-44E3-9099-C40C66FF867C}">
              <a14:compatExt xmlns:a14="http://schemas.microsoft.com/office/drawing/2010/main" xmlns="" spid="_x0000_s81427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643" name="Group Box 46" hidden="1">
          <a:extLst>
            <a:ext uri="{63B3BB69-23CF-44E3-9099-C40C66FF867C}">
              <a14:compatExt xmlns:a14="http://schemas.microsoft.com/office/drawing/2010/main" xmlns="" spid="_x0000_s81427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644" name="Group Box 51" hidden="1">
          <a:extLst>
            <a:ext uri="{63B3BB69-23CF-44E3-9099-C40C66FF867C}">
              <a14:compatExt xmlns:a14="http://schemas.microsoft.com/office/drawing/2010/main" xmlns="" spid="_x0000_s81428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645" name="Group Box 56" hidden="1">
          <a:extLst>
            <a:ext uri="{63B3BB69-23CF-44E3-9099-C40C66FF867C}">
              <a14:compatExt xmlns:a14="http://schemas.microsoft.com/office/drawing/2010/main" xmlns="" spid="_x0000_s81428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646" name="Group Box 61" hidden="1">
          <a:extLst>
            <a:ext uri="{63B3BB69-23CF-44E3-9099-C40C66FF867C}">
              <a14:compatExt xmlns:a14="http://schemas.microsoft.com/office/drawing/2010/main" xmlns="" spid="_x0000_s81428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47" name="Group Box 96" hidden="1">
          <a:extLst>
            <a:ext uri="{63B3BB69-23CF-44E3-9099-C40C66FF867C}">
              <a14:compatExt xmlns:a14="http://schemas.microsoft.com/office/drawing/2010/main" xmlns="" spid="_x0000_s81428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48" name="Group Box 101" hidden="1">
          <a:extLst>
            <a:ext uri="{63B3BB69-23CF-44E3-9099-C40C66FF867C}">
              <a14:compatExt xmlns:a14="http://schemas.microsoft.com/office/drawing/2010/main" xmlns="" spid="_x0000_s81428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49" name="Group Box 106" hidden="1">
          <a:extLst>
            <a:ext uri="{63B3BB69-23CF-44E3-9099-C40C66FF867C}">
              <a14:compatExt xmlns:a14="http://schemas.microsoft.com/office/drawing/2010/main" xmlns="" spid="_x0000_s81428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50" name="Group Box 111" hidden="1">
          <a:extLst>
            <a:ext uri="{63B3BB69-23CF-44E3-9099-C40C66FF867C}">
              <a14:compatExt xmlns:a14="http://schemas.microsoft.com/office/drawing/2010/main" xmlns="" spid="_x0000_s81428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51" name="Group Box 146" hidden="1">
          <a:extLst>
            <a:ext uri="{63B3BB69-23CF-44E3-9099-C40C66FF867C}">
              <a14:compatExt xmlns:a14="http://schemas.microsoft.com/office/drawing/2010/main" xmlns="" spid="_x0000_s81428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52" name="Group Box 151" hidden="1">
          <a:extLst>
            <a:ext uri="{63B3BB69-23CF-44E3-9099-C40C66FF867C}">
              <a14:compatExt xmlns:a14="http://schemas.microsoft.com/office/drawing/2010/main" xmlns="" spid="_x0000_s81428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53" name="Group Box 156" hidden="1">
          <a:extLst>
            <a:ext uri="{63B3BB69-23CF-44E3-9099-C40C66FF867C}">
              <a14:compatExt xmlns:a14="http://schemas.microsoft.com/office/drawing/2010/main" xmlns="" spid="_x0000_s81428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654" name="Group Box 161" hidden="1">
          <a:extLst>
            <a:ext uri="{63B3BB69-23CF-44E3-9099-C40C66FF867C}">
              <a14:compatExt xmlns:a14="http://schemas.microsoft.com/office/drawing/2010/main" xmlns="" spid="_x0000_s81429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655" name="Group Box 171" hidden="1">
          <a:extLst>
            <a:ext uri="{63B3BB69-23CF-44E3-9099-C40C66FF867C}">
              <a14:compatExt xmlns:a14="http://schemas.microsoft.com/office/drawing/2010/main" xmlns="" spid="_x0000_s81429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656" name="Group Box 176" hidden="1">
          <a:extLst>
            <a:ext uri="{63B3BB69-23CF-44E3-9099-C40C66FF867C}">
              <a14:compatExt xmlns:a14="http://schemas.microsoft.com/office/drawing/2010/main" xmlns="" spid="_x0000_s81429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657" name="Group Box 181" hidden="1">
          <a:extLst>
            <a:ext uri="{63B3BB69-23CF-44E3-9099-C40C66FF867C}">
              <a14:compatExt xmlns:a14="http://schemas.microsoft.com/office/drawing/2010/main" xmlns="" spid="_x0000_s81429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658" name="Group Box 186" hidden="1">
          <a:extLst>
            <a:ext uri="{63B3BB69-23CF-44E3-9099-C40C66FF867C}">
              <a14:compatExt xmlns:a14="http://schemas.microsoft.com/office/drawing/2010/main" xmlns="" spid="_x0000_s81429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659" name="Group Box 5" hidden="1">
          <a:extLst>
            <a:ext uri="{63B3BB69-23CF-44E3-9099-C40C66FF867C}">
              <a14:compatExt xmlns:a14="http://schemas.microsoft.com/office/drawing/2010/main" xmlns="" spid="_x0000_s81427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660" name="Group Box 10" hidden="1">
          <a:extLst>
            <a:ext uri="{63B3BB69-23CF-44E3-9099-C40C66FF867C}">
              <a14:compatExt xmlns:a14="http://schemas.microsoft.com/office/drawing/2010/main" xmlns="" spid="_x0000_s81427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661" name="Group Box 15" hidden="1">
          <a:extLst>
            <a:ext uri="{63B3BB69-23CF-44E3-9099-C40C66FF867C}">
              <a14:compatExt xmlns:a14="http://schemas.microsoft.com/office/drawing/2010/main" xmlns="" spid="_x0000_s81427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62" name="Group Box 25" hidden="1">
          <a:extLst>
            <a:ext uri="{63B3BB69-23CF-44E3-9099-C40C66FF867C}">
              <a14:compatExt xmlns:a14="http://schemas.microsoft.com/office/drawing/2010/main" xmlns="" spid="_x0000_s81427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63" name="Group Box 30" hidden="1">
          <a:extLst>
            <a:ext uri="{63B3BB69-23CF-44E3-9099-C40C66FF867C}">
              <a14:compatExt xmlns:a14="http://schemas.microsoft.com/office/drawing/2010/main" xmlns="" spid="_x0000_s81427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664" name="Group Box 35" hidden="1">
          <a:extLst>
            <a:ext uri="{63B3BB69-23CF-44E3-9099-C40C66FF867C}">
              <a14:compatExt xmlns:a14="http://schemas.microsoft.com/office/drawing/2010/main" xmlns="" spid="_x0000_s81427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665" name="Group Box 40" hidden="1">
          <a:extLst>
            <a:ext uri="{63B3BB69-23CF-44E3-9099-C40C66FF867C}">
              <a14:compatExt xmlns:a14="http://schemas.microsoft.com/office/drawing/2010/main" xmlns="" spid="_x0000_s81427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666" name="Group Box 46" hidden="1">
          <a:extLst>
            <a:ext uri="{63B3BB69-23CF-44E3-9099-C40C66FF867C}">
              <a14:compatExt xmlns:a14="http://schemas.microsoft.com/office/drawing/2010/main" xmlns="" spid="_x0000_s81427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667" name="Group Box 51" hidden="1">
          <a:extLst>
            <a:ext uri="{63B3BB69-23CF-44E3-9099-C40C66FF867C}">
              <a14:compatExt xmlns:a14="http://schemas.microsoft.com/office/drawing/2010/main" xmlns="" spid="_x0000_s81428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668" name="Group Box 56" hidden="1">
          <a:extLst>
            <a:ext uri="{63B3BB69-23CF-44E3-9099-C40C66FF867C}">
              <a14:compatExt xmlns:a14="http://schemas.microsoft.com/office/drawing/2010/main" xmlns="" spid="_x0000_s81428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669" name="Group Box 61" hidden="1">
          <a:extLst>
            <a:ext uri="{63B3BB69-23CF-44E3-9099-C40C66FF867C}">
              <a14:compatExt xmlns:a14="http://schemas.microsoft.com/office/drawing/2010/main" xmlns="" spid="_x0000_s81428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70" name="Group Box 96" hidden="1">
          <a:extLst>
            <a:ext uri="{63B3BB69-23CF-44E3-9099-C40C66FF867C}">
              <a14:compatExt xmlns:a14="http://schemas.microsoft.com/office/drawing/2010/main" xmlns="" spid="_x0000_s81428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71" name="Group Box 101" hidden="1">
          <a:extLst>
            <a:ext uri="{63B3BB69-23CF-44E3-9099-C40C66FF867C}">
              <a14:compatExt xmlns:a14="http://schemas.microsoft.com/office/drawing/2010/main" xmlns="" spid="_x0000_s81428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72" name="Group Box 106" hidden="1">
          <a:extLst>
            <a:ext uri="{63B3BB69-23CF-44E3-9099-C40C66FF867C}">
              <a14:compatExt xmlns:a14="http://schemas.microsoft.com/office/drawing/2010/main" xmlns="" spid="_x0000_s81428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73" name="Group Box 111" hidden="1">
          <a:extLst>
            <a:ext uri="{63B3BB69-23CF-44E3-9099-C40C66FF867C}">
              <a14:compatExt xmlns:a14="http://schemas.microsoft.com/office/drawing/2010/main" xmlns="" spid="_x0000_s81428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74" name="Group Box 146" hidden="1">
          <a:extLst>
            <a:ext uri="{63B3BB69-23CF-44E3-9099-C40C66FF867C}">
              <a14:compatExt xmlns:a14="http://schemas.microsoft.com/office/drawing/2010/main" xmlns="" spid="_x0000_s81428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75" name="Group Box 151" hidden="1">
          <a:extLst>
            <a:ext uri="{63B3BB69-23CF-44E3-9099-C40C66FF867C}">
              <a14:compatExt xmlns:a14="http://schemas.microsoft.com/office/drawing/2010/main" xmlns="" spid="_x0000_s81428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76" name="Group Box 156" hidden="1">
          <a:extLst>
            <a:ext uri="{63B3BB69-23CF-44E3-9099-C40C66FF867C}">
              <a14:compatExt xmlns:a14="http://schemas.microsoft.com/office/drawing/2010/main" xmlns="" spid="_x0000_s81428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677" name="Group Box 161" hidden="1">
          <a:extLst>
            <a:ext uri="{63B3BB69-23CF-44E3-9099-C40C66FF867C}">
              <a14:compatExt xmlns:a14="http://schemas.microsoft.com/office/drawing/2010/main" xmlns="" spid="_x0000_s81429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678" name="Group Box 171" hidden="1">
          <a:extLst>
            <a:ext uri="{63B3BB69-23CF-44E3-9099-C40C66FF867C}">
              <a14:compatExt xmlns:a14="http://schemas.microsoft.com/office/drawing/2010/main" xmlns="" spid="_x0000_s81429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679" name="Group Box 176" hidden="1">
          <a:extLst>
            <a:ext uri="{63B3BB69-23CF-44E3-9099-C40C66FF867C}">
              <a14:compatExt xmlns:a14="http://schemas.microsoft.com/office/drawing/2010/main" xmlns="" spid="_x0000_s81429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680" name="Group Box 181" hidden="1">
          <a:extLst>
            <a:ext uri="{63B3BB69-23CF-44E3-9099-C40C66FF867C}">
              <a14:compatExt xmlns:a14="http://schemas.microsoft.com/office/drawing/2010/main" xmlns="" spid="_x0000_s81429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681" name="Group Box 186" hidden="1">
          <a:extLst>
            <a:ext uri="{63B3BB69-23CF-44E3-9099-C40C66FF867C}">
              <a14:compatExt xmlns:a14="http://schemas.microsoft.com/office/drawing/2010/main" xmlns="" spid="_x0000_s81429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682" name="Group Box 5" hidden="1">
          <a:extLst>
            <a:ext uri="{63B3BB69-23CF-44E3-9099-C40C66FF867C}">
              <a14:compatExt xmlns:a14="http://schemas.microsoft.com/office/drawing/2010/main" xmlns="" spid="_x0000_s81427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683" name="Group Box 10" hidden="1">
          <a:extLst>
            <a:ext uri="{63B3BB69-23CF-44E3-9099-C40C66FF867C}">
              <a14:compatExt xmlns:a14="http://schemas.microsoft.com/office/drawing/2010/main" xmlns="" spid="_x0000_s81427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684" name="Group Box 15" hidden="1">
          <a:extLst>
            <a:ext uri="{63B3BB69-23CF-44E3-9099-C40C66FF867C}">
              <a14:compatExt xmlns:a14="http://schemas.microsoft.com/office/drawing/2010/main" xmlns="" spid="_x0000_s81427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85" name="Group Box 25" hidden="1">
          <a:extLst>
            <a:ext uri="{63B3BB69-23CF-44E3-9099-C40C66FF867C}">
              <a14:compatExt xmlns:a14="http://schemas.microsoft.com/office/drawing/2010/main" xmlns="" spid="_x0000_s81427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86" name="Group Box 30" hidden="1">
          <a:extLst>
            <a:ext uri="{63B3BB69-23CF-44E3-9099-C40C66FF867C}">
              <a14:compatExt xmlns:a14="http://schemas.microsoft.com/office/drawing/2010/main" xmlns="" spid="_x0000_s81427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687" name="Group Box 35" hidden="1">
          <a:extLst>
            <a:ext uri="{63B3BB69-23CF-44E3-9099-C40C66FF867C}">
              <a14:compatExt xmlns:a14="http://schemas.microsoft.com/office/drawing/2010/main" xmlns="" spid="_x0000_s81427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688" name="Group Box 40" hidden="1">
          <a:extLst>
            <a:ext uri="{63B3BB69-23CF-44E3-9099-C40C66FF867C}">
              <a14:compatExt xmlns:a14="http://schemas.microsoft.com/office/drawing/2010/main" xmlns="" spid="_x0000_s81427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689" name="Group Box 46" hidden="1">
          <a:extLst>
            <a:ext uri="{63B3BB69-23CF-44E3-9099-C40C66FF867C}">
              <a14:compatExt xmlns:a14="http://schemas.microsoft.com/office/drawing/2010/main" xmlns="" spid="_x0000_s81427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690" name="Group Box 51" hidden="1">
          <a:extLst>
            <a:ext uri="{63B3BB69-23CF-44E3-9099-C40C66FF867C}">
              <a14:compatExt xmlns:a14="http://schemas.microsoft.com/office/drawing/2010/main" xmlns="" spid="_x0000_s81428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691" name="Group Box 56" hidden="1">
          <a:extLst>
            <a:ext uri="{63B3BB69-23CF-44E3-9099-C40C66FF867C}">
              <a14:compatExt xmlns:a14="http://schemas.microsoft.com/office/drawing/2010/main" xmlns="" spid="_x0000_s81428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692" name="Group Box 61" hidden="1">
          <a:extLst>
            <a:ext uri="{63B3BB69-23CF-44E3-9099-C40C66FF867C}">
              <a14:compatExt xmlns:a14="http://schemas.microsoft.com/office/drawing/2010/main" xmlns="" spid="_x0000_s81428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93" name="Group Box 96" hidden="1">
          <a:extLst>
            <a:ext uri="{63B3BB69-23CF-44E3-9099-C40C66FF867C}">
              <a14:compatExt xmlns:a14="http://schemas.microsoft.com/office/drawing/2010/main" xmlns="" spid="_x0000_s81428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94" name="Group Box 101" hidden="1">
          <a:extLst>
            <a:ext uri="{63B3BB69-23CF-44E3-9099-C40C66FF867C}">
              <a14:compatExt xmlns:a14="http://schemas.microsoft.com/office/drawing/2010/main" xmlns="" spid="_x0000_s81428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95" name="Group Box 106" hidden="1">
          <a:extLst>
            <a:ext uri="{63B3BB69-23CF-44E3-9099-C40C66FF867C}">
              <a14:compatExt xmlns:a14="http://schemas.microsoft.com/office/drawing/2010/main" xmlns="" spid="_x0000_s81428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96" name="Group Box 111" hidden="1">
          <a:extLst>
            <a:ext uri="{63B3BB69-23CF-44E3-9099-C40C66FF867C}">
              <a14:compatExt xmlns:a14="http://schemas.microsoft.com/office/drawing/2010/main" xmlns="" spid="_x0000_s81428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97" name="Group Box 146" hidden="1">
          <a:extLst>
            <a:ext uri="{63B3BB69-23CF-44E3-9099-C40C66FF867C}">
              <a14:compatExt xmlns:a14="http://schemas.microsoft.com/office/drawing/2010/main" xmlns="" spid="_x0000_s81428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98" name="Group Box 151" hidden="1">
          <a:extLst>
            <a:ext uri="{63B3BB69-23CF-44E3-9099-C40C66FF867C}">
              <a14:compatExt xmlns:a14="http://schemas.microsoft.com/office/drawing/2010/main" xmlns="" spid="_x0000_s81428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99" name="Group Box 156" hidden="1">
          <a:extLst>
            <a:ext uri="{63B3BB69-23CF-44E3-9099-C40C66FF867C}">
              <a14:compatExt xmlns:a14="http://schemas.microsoft.com/office/drawing/2010/main" xmlns="" spid="_x0000_s81428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46" name="Group Box 161" hidden="1">
          <a:extLst>
            <a:ext uri="{63B3BB69-23CF-44E3-9099-C40C66FF867C}">
              <a14:compatExt xmlns:a14="http://schemas.microsoft.com/office/drawing/2010/main" xmlns="" spid="_x0000_s81429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47" name="Group Box 171" hidden="1">
          <a:extLst>
            <a:ext uri="{63B3BB69-23CF-44E3-9099-C40C66FF867C}">
              <a14:compatExt xmlns:a14="http://schemas.microsoft.com/office/drawing/2010/main" xmlns="" spid="_x0000_s81429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48" name="Group Box 176" hidden="1">
          <a:extLst>
            <a:ext uri="{63B3BB69-23CF-44E3-9099-C40C66FF867C}">
              <a14:compatExt xmlns:a14="http://schemas.microsoft.com/office/drawing/2010/main" xmlns="" spid="_x0000_s81429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49" name="Group Box 181" hidden="1">
          <a:extLst>
            <a:ext uri="{63B3BB69-23CF-44E3-9099-C40C66FF867C}">
              <a14:compatExt xmlns:a14="http://schemas.microsoft.com/office/drawing/2010/main" xmlns="" spid="_x0000_s81429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50" name="Group Box 186" hidden="1">
          <a:extLst>
            <a:ext uri="{63B3BB69-23CF-44E3-9099-C40C66FF867C}">
              <a14:compatExt xmlns:a14="http://schemas.microsoft.com/office/drawing/2010/main" xmlns="" spid="_x0000_s81429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51" name="Group Box 5" hidden="1">
          <a:extLst>
            <a:ext uri="{63B3BB69-23CF-44E3-9099-C40C66FF867C}">
              <a14:compatExt xmlns:a14="http://schemas.microsoft.com/office/drawing/2010/main" xmlns="" spid="_x0000_s81427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52" name="Group Box 10" hidden="1">
          <a:extLst>
            <a:ext uri="{63B3BB69-23CF-44E3-9099-C40C66FF867C}">
              <a14:compatExt xmlns:a14="http://schemas.microsoft.com/office/drawing/2010/main" xmlns="" spid="_x0000_s81427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53" name="Group Box 15" hidden="1">
          <a:extLst>
            <a:ext uri="{63B3BB69-23CF-44E3-9099-C40C66FF867C}">
              <a14:compatExt xmlns:a14="http://schemas.microsoft.com/office/drawing/2010/main" xmlns="" spid="_x0000_s81427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54" name="Group Box 25" hidden="1">
          <a:extLst>
            <a:ext uri="{63B3BB69-23CF-44E3-9099-C40C66FF867C}">
              <a14:compatExt xmlns:a14="http://schemas.microsoft.com/office/drawing/2010/main" xmlns="" spid="_x0000_s81427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55" name="Group Box 30" hidden="1">
          <a:extLst>
            <a:ext uri="{63B3BB69-23CF-44E3-9099-C40C66FF867C}">
              <a14:compatExt xmlns:a14="http://schemas.microsoft.com/office/drawing/2010/main" xmlns="" spid="_x0000_s81427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56" name="Group Box 35" hidden="1">
          <a:extLst>
            <a:ext uri="{63B3BB69-23CF-44E3-9099-C40C66FF867C}">
              <a14:compatExt xmlns:a14="http://schemas.microsoft.com/office/drawing/2010/main" xmlns="" spid="_x0000_s81427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57" name="Group Box 40" hidden="1">
          <a:extLst>
            <a:ext uri="{63B3BB69-23CF-44E3-9099-C40C66FF867C}">
              <a14:compatExt xmlns:a14="http://schemas.microsoft.com/office/drawing/2010/main" xmlns="" spid="_x0000_s81427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58" name="Group Box 46" hidden="1">
          <a:extLst>
            <a:ext uri="{63B3BB69-23CF-44E3-9099-C40C66FF867C}">
              <a14:compatExt xmlns:a14="http://schemas.microsoft.com/office/drawing/2010/main" xmlns="" spid="_x0000_s81427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59" name="Group Box 51" hidden="1">
          <a:extLst>
            <a:ext uri="{63B3BB69-23CF-44E3-9099-C40C66FF867C}">
              <a14:compatExt xmlns:a14="http://schemas.microsoft.com/office/drawing/2010/main" xmlns="" spid="_x0000_s81428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60" name="Group Box 56" hidden="1">
          <a:extLst>
            <a:ext uri="{63B3BB69-23CF-44E3-9099-C40C66FF867C}">
              <a14:compatExt xmlns:a14="http://schemas.microsoft.com/office/drawing/2010/main" xmlns="" spid="_x0000_s81428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61" name="Group Box 61" hidden="1">
          <a:extLst>
            <a:ext uri="{63B3BB69-23CF-44E3-9099-C40C66FF867C}">
              <a14:compatExt xmlns:a14="http://schemas.microsoft.com/office/drawing/2010/main" xmlns="" spid="_x0000_s81428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62" name="Group Box 96" hidden="1">
          <a:extLst>
            <a:ext uri="{63B3BB69-23CF-44E3-9099-C40C66FF867C}">
              <a14:compatExt xmlns:a14="http://schemas.microsoft.com/office/drawing/2010/main" xmlns="" spid="_x0000_s81428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63" name="Group Box 101" hidden="1">
          <a:extLst>
            <a:ext uri="{63B3BB69-23CF-44E3-9099-C40C66FF867C}">
              <a14:compatExt xmlns:a14="http://schemas.microsoft.com/office/drawing/2010/main" xmlns="" spid="_x0000_s81428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64" name="Group Box 106" hidden="1">
          <a:extLst>
            <a:ext uri="{63B3BB69-23CF-44E3-9099-C40C66FF867C}">
              <a14:compatExt xmlns:a14="http://schemas.microsoft.com/office/drawing/2010/main" xmlns="" spid="_x0000_s81428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65" name="Group Box 111" hidden="1">
          <a:extLst>
            <a:ext uri="{63B3BB69-23CF-44E3-9099-C40C66FF867C}">
              <a14:compatExt xmlns:a14="http://schemas.microsoft.com/office/drawing/2010/main" xmlns="" spid="_x0000_s81428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66" name="Group Box 146" hidden="1">
          <a:extLst>
            <a:ext uri="{63B3BB69-23CF-44E3-9099-C40C66FF867C}">
              <a14:compatExt xmlns:a14="http://schemas.microsoft.com/office/drawing/2010/main" xmlns="" spid="_x0000_s81428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67" name="Group Box 151" hidden="1">
          <a:extLst>
            <a:ext uri="{63B3BB69-23CF-44E3-9099-C40C66FF867C}">
              <a14:compatExt xmlns:a14="http://schemas.microsoft.com/office/drawing/2010/main" xmlns="" spid="_x0000_s81428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68" name="Group Box 156" hidden="1">
          <a:extLst>
            <a:ext uri="{63B3BB69-23CF-44E3-9099-C40C66FF867C}">
              <a14:compatExt xmlns:a14="http://schemas.microsoft.com/office/drawing/2010/main" xmlns="" spid="_x0000_s81428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69" name="Group Box 161" hidden="1">
          <a:extLst>
            <a:ext uri="{63B3BB69-23CF-44E3-9099-C40C66FF867C}">
              <a14:compatExt xmlns:a14="http://schemas.microsoft.com/office/drawing/2010/main" xmlns="" spid="_x0000_s81429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70" name="Group Box 171" hidden="1">
          <a:extLst>
            <a:ext uri="{63B3BB69-23CF-44E3-9099-C40C66FF867C}">
              <a14:compatExt xmlns:a14="http://schemas.microsoft.com/office/drawing/2010/main" xmlns="" spid="_x0000_s81429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73" name="Group Box 176" hidden="1">
          <a:extLst>
            <a:ext uri="{63B3BB69-23CF-44E3-9099-C40C66FF867C}">
              <a14:compatExt xmlns:a14="http://schemas.microsoft.com/office/drawing/2010/main" xmlns="" spid="_x0000_s81429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74" name="Group Box 181" hidden="1">
          <a:extLst>
            <a:ext uri="{63B3BB69-23CF-44E3-9099-C40C66FF867C}">
              <a14:compatExt xmlns:a14="http://schemas.microsoft.com/office/drawing/2010/main" xmlns="" spid="_x0000_s81429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75" name="Group Box 186" hidden="1">
          <a:extLst>
            <a:ext uri="{63B3BB69-23CF-44E3-9099-C40C66FF867C}">
              <a14:compatExt xmlns:a14="http://schemas.microsoft.com/office/drawing/2010/main" xmlns="" spid="_x0000_s81429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76" name="Group Box 5" hidden="1">
          <a:extLst>
            <a:ext uri="{63B3BB69-23CF-44E3-9099-C40C66FF867C}">
              <a14:compatExt xmlns:a14="http://schemas.microsoft.com/office/drawing/2010/main" xmlns="" spid="_x0000_s81427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77" name="Group Box 10" hidden="1">
          <a:extLst>
            <a:ext uri="{63B3BB69-23CF-44E3-9099-C40C66FF867C}">
              <a14:compatExt xmlns:a14="http://schemas.microsoft.com/office/drawing/2010/main" xmlns="" spid="_x0000_s81427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78" name="Group Box 15" hidden="1">
          <a:extLst>
            <a:ext uri="{63B3BB69-23CF-44E3-9099-C40C66FF867C}">
              <a14:compatExt xmlns:a14="http://schemas.microsoft.com/office/drawing/2010/main" xmlns="" spid="_x0000_s81427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79" name="Group Box 25" hidden="1">
          <a:extLst>
            <a:ext uri="{63B3BB69-23CF-44E3-9099-C40C66FF867C}">
              <a14:compatExt xmlns:a14="http://schemas.microsoft.com/office/drawing/2010/main" xmlns="" spid="_x0000_s81427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80" name="Group Box 30" hidden="1">
          <a:extLst>
            <a:ext uri="{63B3BB69-23CF-44E3-9099-C40C66FF867C}">
              <a14:compatExt xmlns:a14="http://schemas.microsoft.com/office/drawing/2010/main" xmlns="" spid="_x0000_s81427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81" name="Group Box 35" hidden="1">
          <a:extLst>
            <a:ext uri="{63B3BB69-23CF-44E3-9099-C40C66FF867C}">
              <a14:compatExt xmlns:a14="http://schemas.microsoft.com/office/drawing/2010/main" xmlns="" spid="_x0000_s81427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82" name="Group Box 40" hidden="1">
          <a:extLst>
            <a:ext uri="{63B3BB69-23CF-44E3-9099-C40C66FF867C}">
              <a14:compatExt xmlns:a14="http://schemas.microsoft.com/office/drawing/2010/main" xmlns="" spid="_x0000_s81427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83" name="Group Box 46" hidden="1">
          <a:extLst>
            <a:ext uri="{63B3BB69-23CF-44E3-9099-C40C66FF867C}">
              <a14:compatExt xmlns:a14="http://schemas.microsoft.com/office/drawing/2010/main" xmlns="" spid="_x0000_s81427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84" name="Group Box 51" hidden="1">
          <a:extLst>
            <a:ext uri="{63B3BB69-23CF-44E3-9099-C40C66FF867C}">
              <a14:compatExt xmlns:a14="http://schemas.microsoft.com/office/drawing/2010/main" xmlns="" spid="_x0000_s81428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85" name="Group Box 56" hidden="1">
          <a:extLst>
            <a:ext uri="{63B3BB69-23CF-44E3-9099-C40C66FF867C}">
              <a14:compatExt xmlns:a14="http://schemas.microsoft.com/office/drawing/2010/main" xmlns="" spid="_x0000_s81428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86" name="Group Box 61" hidden="1">
          <a:extLst>
            <a:ext uri="{63B3BB69-23CF-44E3-9099-C40C66FF867C}">
              <a14:compatExt xmlns:a14="http://schemas.microsoft.com/office/drawing/2010/main" xmlns="" spid="_x0000_s81428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87" name="Group Box 96" hidden="1">
          <a:extLst>
            <a:ext uri="{63B3BB69-23CF-44E3-9099-C40C66FF867C}">
              <a14:compatExt xmlns:a14="http://schemas.microsoft.com/office/drawing/2010/main" xmlns="" spid="_x0000_s81428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88" name="Group Box 101" hidden="1">
          <a:extLst>
            <a:ext uri="{63B3BB69-23CF-44E3-9099-C40C66FF867C}">
              <a14:compatExt xmlns:a14="http://schemas.microsoft.com/office/drawing/2010/main" xmlns="" spid="_x0000_s81428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89" name="Group Box 106" hidden="1">
          <a:extLst>
            <a:ext uri="{63B3BB69-23CF-44E3-9099-C40C66FF867C}">
              <a14:compatExt xmlns:a14="http://schemas.microsoft.com/office/drawing/2010/main" xmlns="" spid="_x0000_s81428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90" name="Group Box 111" hidden="1">
          <a:extLst>
            <a:ext uri="{63B3BB69-23CF-44E3-9099-C40C66FF867C}">
              <a14:compatExt xmlns:a14="http://schemas.microsoft.com/office/drawing/2010/main" xmlns="" spid="_x0000_s81428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91" name="Group Box 146" hidden="1">
          <a:extLst>
            <a:ext uri="{63B3BB69-23CF-44E3-9099-C40C66FF867C}">
              <a14:compatExt xmlns:a14="http://schemas.microsoft.com/office/drawing/2010/main" xmlns="" spid="_x0000_s81428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92" name="Group Box 151" hidden="1">
          <a:extLst>
            <a:ext uri="{63B3BB69-23CF-44E3-9099-C40C66FF867C}">
              <a14:compatExt xmlns:a14="http://schemas.microsoft.com/office/drawing/2010/main" xmlns="" spid="_x0000_s81428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93" name="Group Box 156" hidden="1">
          <a:extLst>
            <a:ext uri="{63B3BB69-23CF-44E3-9099-C40C66FF867C}">
              <a14:compatExt xmlns:a14="http://schemas.microsoft.com/office/drawing/2010/main" xmlns="" spid="_x0000_s81428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94" name="Group Box 161" hidden="1">
          <a:extLst>
            <a:ext uri="{63B3BB69-23CF-44E3-9099-C40C66FF867C}">
              <a14:compatExt xmlns:a14="http://schemas.microsoft.com/office/drawing/2010/main" xmlns="" spid="_x0000_s81429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95" name="Group Box 171" hidden="1">
          <a:extLst>
            <a:ext uri="{63B3BB69-23CF-44E3-9099-C40C66FF867C}">
              <a14:compatExt xmlns:a14="http://schemas.microsoft.com/office/drawing/2010/main" xmlns="" spid="_x0000_s81429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96" name="Group Box 176" hidden="1">
          <a:extLst>
            <a:ext uri="{63B3BB69-23CF-44E3-9099-C40C66FF867C}">
              <a14:compatExt xmlns:a14="http://schemas.microsoft.com/office/drawing/2010/main" xmlns="" spid="_x0000_s81429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97" name="Group Box 181" hidden="1">
          <a:extLst>
            <a:ext uri="{63B3BB69-23CF-44E3-9099-C40C66FF867C}">
              <a14:compatExt xmlns:a14="http://schemas.microsoft.com/office/drawing/2010/main" xmlns="" spid="_x0000_s81429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98" name="Group Box 186" hidden="1">
          <a:extLst>
            <a:ext uri="{63B3BB69-23CF-44E3-9099-C40C66FF867C}">
              <a14:compatExt xmlns:a14="http://schemas.microsoft.com/office/drawing/2010/main" xmlns="" spid="_x0000_s81429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99" name="Group Box 5" hidden="1">
          <a:extLst>
            <a:ext uri="{63B3BB69-23CF-44E3-9099-C40C66FF867C}">
              <a14:compatExt xmlns:a14="http://schemas.microsoft.com/office/drawing/2010/main" xmlns="" spid="_x0000_s81427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00" name="Group Box 10" hidden="1">
          <a:extLst>
            <a:ext uri="{63B3BB69-23CF-44E3-9099-C40C66FF867C}">
              <a14:compatExt xmlns:a14="http://schemas.microsoft.com/office/drawing/2010/main" xmlns="" spid="_x0000_s81427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01" name="Group Box 15" hidden="1">
          <a:extLst>
            <a:ext uri="{63B3BB69-23CF-44E3-9099-C40C66FF867C}">
              <a14:compatExt xmlns:a14="http://schemas.microsoft.com/office/drawing/2010/main" xmlns="" spid="_x0000_s81427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02" name="Group Box 25" hidden="1">
          <a:extLst>
            <a:ext uri="{63B3BB69-23CF-44E3-9099-C40C66FF867C}">
              <a14:compatExt xmlns:a14="http://schemas.microsoft.com/office/drawing/2010/main" xmlns="" spid="_x0000_s81427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03" name="Group Box 30" hidden="1">
          <a:extLst>
            <a:ext uri="{63B3BB69-23CF-44E3-9099-C40C66FF867C}">
              <a14:compatExt xmlns:a14="http://schemas.microsoft.com/office/drawing/2010/main" xmlns="" spid="_x0000_s81427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04" name="Group Box 35" hidden="1">
          <a:extLst>
            <a:ext uri="{63B3BB69-23CF-44E3-9099-C40C66FF867C}">
              <a14:compatExt xmlns:a14="http://schemas.microsoft.com/office/drawing/2010/main" xmlns="" spid="_x0000_s81427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05" name="Group Box 40" hidden="1">
          <a:extLst>
            <a:ext uri="{63B3BB69-23CF-44E3-9099-C40C66FF867C}">
              <a14:compatExt xmlns:a14="http://schemas.microsoft.com/office/drawing/2010/main" xmlns="" spid="_x0000_s81427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06" name="Group Box 46" hidden="1">
          <a:extLst>
            <a:ext uri="{63B3BB69-23CF-44E3-9099-C40C66FF867C}">
              <a14:compatExt xmlns:a14="http://schemas.microsoft.com/office/drawing/2010/main" xmlns="" spid="_x0000_s81427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07" name="Group Box 51" hidden="1">
          <a:extLst>
            <a:ext uri="{63B3BB69-23CF-44E3-9099-C40C66FF867C}">
              <a14:compatExt xmlns:a14="http://schemas.microsoft.com/office/drawing/2010/main" xmlns="" spid="_x0000_s81428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08" name="Group Box 56" hidden="1">
          <a:extLst>
            <a:ext uri="{63B3BB69-23CF-44E3-9099-C40C66FF867C}">
              <a14:compatExt xmlns:a14="http://schemas.microsoft.com/office/drawing/2010/main" xmlns="" spid="_x0000_s81428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09" name="Group Box 61" hidden="1">
          <a:extLst>
            <a:ext uri="{63B3BB69-23CF-44E3-9099-C40C66FF867C}">
              <a14:compatExt xmlns:a14="http://schemas.microsoft.com/office/drawing/2010/main" xmlns="" spid="_x0000_s81428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0" name="Group Box 96" hidden="1">
          <a:extLst>
            <a:ext uri="{63B3BB69-23CF-44E3-9099-C40C66FF867C}">
              <a14:compatExt xmlns:a14="http://schemas.microsoft.com/office/drawing/2010/main" xmlns="" spid="_x0000_s81428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1" name="Group Box 101" hidden="1">
          <a:extLst>
            <a:ext uri="{63B3BB69-23CF-44E3-9099-C40C66FF867C}">
              <a14:compatExt xmlns:a14="http://schemas.microsoft.com/office/drawing/2010/main" xmlns="" spid="_x0000_s81428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2" name="Group Box 106" hidden="1">
          <a:extLst>
            <a:ext uri="{63B3BB69-23CF-44E3-9099-C40C66FF867C}">
              <a14:compatExt xmlns:a14="http://schemas.microsoft.com/office/drawing/2010/main" xmlns="" spid="_x0000_s81428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3" name="Group Box 111" hidden="1">
          <a:extLst>
            <a:ext uri="{63B3BB69-23CF-44E3-9099-C40C66FF867C}">
              <a14:compatExt xmlns:a14="http://schemas.microsoft.com/office/drawing/2010/main" xmlns="" spid="_x0000_s81428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4" name="Group Box 146" hidden="1">
          <a:extLst>
            <a:ext uri="{63B3BB69-23CF-44E3-9099-C40C66FF867C}">
              <a14:compatExt xmlns:a14="http://schemas.microsoft.com/office/drawing/2010/main" xmlns="" spid="_x0000_s81428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5" name="Group Box 151" hidden="1">
          <a:extLst>
            <a:ext uri="{63B3BB69-23CF-44E3-9099-C40C66FF867C}">
              <a14:compatExt xmlns:a14="http://schemas.microsoft.com/office/drawing/2010/main" xmlns="" spid="_x0000_s81428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6" name="Group Box 156" hidden="1">
          <a:extLst>
            <a:ext uri="{63B3BB69-23CF-44E3-9099-C40C66FF867C}">
              <a14:compatExt xmlns:a14="http://schemas.microsoft.com/office/drawing/2010/main" xmlns="" spid="_x0000_s81428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7" name="Group Box 161" hidden="1">
          <a:extLst>
            <a:ext uri="{63B3BB69-23CF-44E3-9099-C40C66FF867C}">
              <a14:compatExt xmlns:a14="http://schemas.microsoft.com/office/drawing/2010/main" xmlns="" spid="_x0000_s81429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8" name="Group Box 171" hidden="1">
          <a:extLst>
            <a:ext uri="{63B3BB69-23CF-44E3-9099-C40C66FF867C}">
              <a14:compatExt xmlns:a14="http://schemas.microsoft.com/office/drawing/2010/main" xmlns="" spid="_x0000_s81429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9" name="Group Box 176" hidden="1">
          <a:extLst>
            <a:ext uri="{63B3BB69-23CF-44E3-9099-C40C66FF867C}">
              <a14:compatExt xmlns:a14="http://schemas.microsoft.com/office/drawing/2010/main" xmlns="" spid="_x0000_s81429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20" name="Group Box 181" hidden="1">
          <a:extLst>
            <a:ext uri="{63B3BB69-23CF-44E3-9099-C40C66FF867C}">
              <a14:compatExt xmlns:a14="http://schemas.microsoft.com/office/drawing/2010/main" xmlns="" spid="_x0000_s81429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21" name="Group Box 186" hidden="1">
          <a:extLst>
            <a:ext uri="{63B3BB69-23CF-44E3-9099-C40C66FF867C}">
              <a14:compatExt xmlns:a14="http://schemas.microsoft.com/office/drawing/2010/main" xmlns="" spid="_x0000_s81429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822" name="Group Box 5" hidden="1">
          <a:extLst>
            <a:ext uri="{63B3BB69-23CF-44E3-9099-C40C66FF867C}">
              <a14:compatExt xmlns:a14="http://schemas.microsoft.com/office/drawing/2010/main" xmlns="" spid="_x0000_s814272"/>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23" name="Group Box 10" hidden="1">
          <a:extLst>
            <a:ext uri="{63B3BB69-23CF-44E3-9099-C40C66FF867C}">
              <a14:compatExt xmlns:a14="http://schemas.microsoft.com/office/drawing/2010/main" xmlns="" spid="_x0000_s814273"/>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24" name="Group Box 15" hidden="1">
          <a:extLst>
            <a:ext uri="{63B3BB69-23CF-44E3-9099-C40C66FF867C}">
              <a14:compatExt xmlns:a14="http://schemas.microsoft.com/office/drawing/2010/main" xmlns="" spid="_x0000_s814274"/>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25" name="Group Box 25" hidden="1">
          <a:extLst>
            <a:ext uri="{63B3BB69-23CF-44E3-9099-C40C66FF867C}">
              <a14:compatExt xmlns:a14="http://schemas.microsoft.com/office/drawing/2010/main" xmlns="" spid="_x0000_s814275"/>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26" name="Group Box 30" hidden="1">
          <a:extLst>
            <a:ext uri="{63B3BB69-23CF-44E3-9099-C40C66FF867C}">
              <a14:compatExt xmlns:a14="http://schemas.microsoft.com/office/drawing/2010/main" xmlns="" spid="_x0000_s814276"/>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27" name="Group Box 35" hidden="1">
          <a:extLst>
            <a:ext uri="{63B3BB69-23CF-44E3-9099-C40C66FF867C}">
              <a14:compatExt xmlns:a14="http://schemas.microsoft.com/office/drawing/2010/main" xmlns="" spid="_x0000_s814277"/>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28" name="Group Box 40" hidden="1">
          <a:extLst>
            <a:ext uri="{63B3BB69-23CF-44E3-9099-C40C66FF867C}">
              <a14:compatExt xmlns:a14="http://schemas.microsoft.com/office/drawing/2010/main" xmlns="" spid="_x0000_s814278"/>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29" name="Group Box 46" hidden="1">
          <a:extLst>
            <a:ext uri="{63B3BB69-23CF-44E3-9099-C40C66FF867C}">
              <a14:compatExt xmlns:a14="http://schemas.microsoft.com/office/drawing/2010/main" xmlns="" spid="_x0000_s814279"/>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30" name="Group Box 51" hidden="1">
          <a:extLst>
            <a:ext uri="{63B3BB69-23CF-44E3-9099-C40C66FF867C}">
              <a14:compatExt xmlns:a14="http://schemas.microsoft.com/office/drawing/2010/main" xmlns="" spid="_x0000_s814280"/>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31" name="Group Box 56" hidden="1">
          <a:extLst>
            <a:ext uri="{63B3BB69-23CF-44E3-9099-C40C66FF867C}">
              <a14:compatExt xmlns:a14="http://schemas.microsoft.com/office/drawing/2010/main" xmlns="" spid="_x0000_s814281"/>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14080" name="Group Box 61" hidden="1">
          <a:extLst>
            <a:ext uri="{63B3BB69-23CF-44E3-9099-C40C66FF867C}">
              <a14:compatExt xmlns:a14="http://schemas.microsoft.com/office/drawing/2010/main" xmlns="" spid="_x0000_s814282"/>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4295" name="Group Box 96" hidden="1">
          <a:extLst>
            <a:ext uri="{63B3BB69-23CF-44E3-9099-C40C66FF867C}">
              <a14:compatExt xmlns:a14="http://schemas.microsoft.com/office/drawing/2010/main" xmlns="" spid="_x0000_s814283"/>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4296" name="Group Box 101" hidden="1">
          <a:extLst>
            <a:ext uri="{63B3BB69-23CF-44E3-9099-C40C66FF867C}">
              <a14:compatExt xmlns:a14="http://schemas.microsoft.com/office/drawing/2010/main" xmlns="" spid="_x0000_s814284"/>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4297" name="Group Box 106" hidden="1">
          <a:extLst>
            <a:ext uri="{63B3BB69-23CF-44E3-9099-C40C66FF867C}">
              <a14:compatExt xmlns:a14="http://schemas.microsoft.com/office/drawing/2010/main" xmlns="" spid="_x0000_s814285"/>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4298" name="Group Box 111" hidden="1">
          <a:extLst>
            <a:ext uri="{63B3BB69-23CF-44E3-9099-C40C66FF867C}">
              <a14:compatExt xmlns:a14="http://schemas.microsoft.com/office/drawing/2010/main" xmlns="" spid="_x0000_s814286"/>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4299" name="Group Box 146" hidden="1">
          <a:extLst>
            <a:ext uri="{63B3BB69-23CF-44E3-9099-C40C66FF867C}">
              <a14:compatExt xmlns:a14="http://schemas.microsoft.com/office/drawing/2010/main" xmlns="" spid="_x0000_s814287"/>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4300" name="Group Box 151" hidden="1">
          <a:extLst>
            <a:ext uri="{63B3BB69-23CF-44E3-9099-C40C66FF867C}">
              <a14:compatExt xmlns:a14="http://schemas.microsoft.com/office/drawing/2010/main" xmlns="" spid="_x0000_s814288"/>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4301" name="Group Box 156" hidden="1">
          <a:extLst>
            <a:ext uri="{63B3BB69-23CF-44E3-9099-C40C66FF867C}">
              <a14:compatExt xmlns:a14="http://schemas.microsoft.com/office/drawing/2010/main" xmlns="" spid="_x0000_s814289"/>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4302" name="Group Box 161" hidden="1">
          <a:extLst>
            <a:ext uri="{63B3BB69-23CF-44E3-9099-C40C66FF867C}">
              <a14:compatExt xmlns:a14="http://schemas.microsoft.com/office/drawing/2010/main" xmlns="" spid="_x0000_s814290"/>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4303" name="Group Box 171" hidden="1">
          <a:extLst>
            <a:ext uri="{63B3BB69-23CF-44E3-9099-C40C66FF867C}">
              <a14:compatExt xmlns:a14="http://schemas.microsoft.com/office/drawing/2010/main" xmlns="" spid="_x0000_s814291"/>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4304" name="Group Box 176" hidden="1">
          <a:extLst>
            <a:ext uri="{63B3BB69-23CF-44E3-9099-C40C66FF867C}">
              <a14:compatExt xmlns:a14="http://schemas.microsoft.com/office/drawing/2010/main" xmlns="" spid="_x0000_s814292"/>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4305" name="Group Box 181" hidden="1">
          <a:extLst>
            <a:ext uri="{63B3BB69-23CF-44E3-9099-C40C66FF867C}">
              <a14:compatExt xmlns:a14="http://schemas.microsoft.com/office/drawing/2010/main" xmlns="" spid="_x0000_s814293"/>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4306" name="Group Box 186" hidden="1">
          <a:extLst>
            <a:ext uri="{63B3BB69-23CF-44E3-9099-C40C66FF867C}">
              <a14:compatExt xmlns:a14="http://schemas.microsoft.com/office/drawing/2010/main" xmlns="" spid="_x0000_s814294"/>
            </a:ext>
          </a:extLst>
        </xdr:cNvPr>
        <xdr:cNvSpPr/>
      </xdr:nvSpPr>
      <xdr:spPr>
        <a:xfrm>
          <a:off x="0" y="0"/>
          <a:ext cx="0" cy="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814307" name="Group Box 5" hidden="1">
          <a:extLst>
            <a:ext uri="{63B3BB69-23CF-44E3-9099-C40C66FF867C}">
              <a14:compatExt xmlns:a14="http://schemas.microsoft.com/office/drawing/2010/main" xmlns="" spid="_x0000_s814272"/>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14308" name="Group Box 10" hidden="1">
          <a:extLst>
            <a:ext uri="{63B3BB69-23CF-44E3-9099-C40C66FF867C}">
              <a14:compatExt xmlns:a14="http://schemas.microsoft.com/office/drawing/2010/main" xmlns="" spid="_x0000_s814273"/>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14309" name="Group Box 15" hidden="1">
          <a:extLst>
            <a:ext uri="{63B3BB69-23CF-44E3-9099-C40C66FF867C}">
              <a14:compatExt xmlns:a14="http://schemas.microsoft.com/office/drawing/2010/main" xmlns="" spid="_x0000_s814274"/>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14310" name="Group Box 25" hidden="1">
          <a:extLst>
            <a:ext uri="{63B3BB69-23CF-44E3-9099-C40C66FF867C}">
              <a14:compatExt xmlns:a14="http://schemas.microsoft.com/office/drawing/2010/main" xmlns="" spid="_x0000_s814275"/>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14311" name="Group Box 30" hidden="1">
          <a:extLst>
            <a:ext uri="{63B3BB69-23CF-44E3-9099-C40C66FF867C}">
              <a14:compatExt xmlns:a14="http://schemas.microsoft.com/office/drawing/2010/main" xmlns="" spid="_x0000_s814276"/>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14312" name="Group Box 35" hidden="1">
          <a:extLst>
            <a:ext uri="{63B3BB69-23CF-44E3-9099-C40C66FF867C}">
              <a14:compatExt xmlns:a14="http://schemas.microsoft.com/office/drawing/2010/main" xmlns="" spid="_x0000_s814277"/>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14313" name="Group Box 40" hidden="1">
          <a:extLst>
            <a:ext uri="{63B3BB69-23CF-44E3-9099-C40C66FF867C}">
              <a14:compatExt xmlns:a14="http://schemas.microsoft.com/office/drawing/2010/main" xmlns="" spid="_x0000_s814278"/>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14314" name="Group Box 46" hidden="1">
          <a:extLst>
            <a:ext uri="{63B3BB69-23CF-44E3-9099-C40C66FF867C}">
              <a14:compatExt xmlns:a14="http://schemas.microsoft.com/office/drawing/2010/main" xmlns="" spid="_x0000_s814279"/>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14315" name="Group Box 51" hidden="1">
          <a:extLst>
            <a:ext uri="{63B3BB69-23CF-44E3-9099-C40C66FF867C}">
              <a14:compatExt xmlns:a14="http://schemas.microsoft.com/office/drawing/2010/main" xmlns="" spid="_x0000_s814280"/>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4316" name="Group Box 56" hidden="1">
          <a:extLst>
            <a:ext uri="{63B3BB69-23CF-44E3-9099-C40C66FF867C}">
              <a14:compatExt xmlns:a14="http://schemas.microsoft.com/office/drawing/2010/main" xmlns="" spid="_x0000_s814281"/>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14317" name="Group Box 61" hidden="1">
          <a:extLst>
            <a:ext uri="{63B3BB69-23CF-44E3-9099-C40C66FF867C}">
              <a14:compatExt xmlns:a14="http://schemas.microsoft.com/office/drawing/2010/main" xmlns="" spid="_x0000_s814282"/>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4318" name="Group Box 96" hidden="1">
          <a:extLst>
            <a:ext uri="{63B3BB69-23CF-44E3-9099-C40C66FF867C}">
              <a14:compatExt xmlns:a14="http://schemas.microsoft.com/office/drawing/2010/main" xmlns="" spid="_x0000_s814283"/>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4319" name="Group Box 101" hidden="1">
          <a:extLst>
            <a:ext uri="{63B3BB69-23CF-44E3-9099-C40C66FF867C}">
              <a14:compatExt xmlns:a14="http://schemas.microsoft.com/office/drawing/2010/main" xmlns="" spid="_x0000_s814284"/>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4320" name="Group Box 106" hidden="1">
          <a:extLst>
            <a:ext uri="{63B3BB69-23CF-44E3-9099-C40C66FF867C}">
              <a14:compatExt xmlns:a14="http://schemas.microsoft.com/office/drawing/2010/main" xmlns="" spid="_x0000_s814285"/>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4321" name="Group Box 111" hidden="1">
          <a:extLst>
            <a:ext uri="{63B3BB69-23CF-44E3-9099-C40C66FF867C}">
              <a14:compatExt xmlns:a14="http://schemas.microsoft.com/office/drawing/2010/main" xmlns="" spid="_x0000_s814286"/>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4322" name="Group Box 146" hidden="1">
          <a:extLst>
            <a:ext uri="{63B3BB69-23CF-44E3-9099-C40C66FF867C}">
              <a14:compatExt xmlns:a14="http://schemas.microsoft.com/office/drawing/2010/main" xmlns="" spid="_x0000_s814287"/>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4323" name="Group Box 151" hidden="1">
          <a:extLst>
            <a:ext uri="{63B3BB69-23CF-44E3-9099-C40C66FF867C}">
              <a14:compatExt xmlns:a14="http://schemas.microsoft.com/office/drawing/2010/main" xmlns="" spid="_x0000_s814288"/>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4324" name="Group Box 156" hidden="1">
          <a:extLst>
            <a:ext uri="{63B3BB69-23CF-44E3-9099-C40C66FF867C}">
              <a14:compatExt xmlns:a14="http://schemas.microsoft.com/office/drawing/2010/main" xmlns="" spid="_x0000_s814289"/>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4325" name="Group Box 161" hidden="1">
          <a:extLst>
            <a:ext uri="{63B3BB69-23CF-44E3-9099-C40C66FF867C}">
              <a14:compatExt xmlns:a14="http://schemas.microsoft.com/office/drawing/2010/main" xmlns="" spid="_x0000_s814290"/>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4326" name="Group Box 171" hidden="1">
          <a:extLst>
            <a:ext uri="{63B3BB69-23CF-44E3-9099-C40C66FF867C}">
              <a14:compatExt xmlns:a14="http://schemas.microsoft.com/office/drawing/2010/main" xmlns="" spid="_x0000_s814291"/>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4327" name="Group Box 176" hidden="1">
          <a:extLst>
            <a:ext uri="{63B3BB69-23CF-44E3-9099-C40C66FF867C}">
              <a14:compatExt xmlns:a14="http://schemas.microsoft.com/office/drawing/2010/main" xmlns="" spid="_x0000_s814292"/>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4328" name="Group Box 181" hidden="1">
          <a:extLst>
            <a:ext uri="{63B3BB69-23CF-44E3-9099-C40C66FF867C}">
              <a14:compatExt xmlns:a14="http://schemas.microsoft.com/office/drawing/2010/main" xmlns="" spid="_x0000_s814293"/>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4329" name="Group Box 186" hidden="1">
          <a:extLst>
            <a:ext uri="{63B3BB69-23CF-44E3-9099-C40C66FF867C}">
              <a14:compatExt xmlns:a14="http://schemas.microsoft.com/office/drawing/2010/main" xmlns="" spid="_x0000_s814294"/>
            </a:ext>
          </a:extLst>
        </xdr:cNvPr>
        <xdr:cNvSpPr/>
      </xdr:nvSpPr>
      <xdr:spPr>
        <a:xfrm>
          <a:off x="0" y="0"/>
          <a:ext cx="0" cy="0"/>
        </a:xfrm>
        <a:prstGeom prst="rect">
          <a:avLst/>
        </a:prstGeom>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38100</xdr:colOff>
      <xdr:row>2</xdr:row>
      <xdr:rowOff>171450</xdr:rowOff>
    </xdr:from>
    <xdr:to>
      <xdr:col>11</xdr:col>
      <xdr:colOff>0</xdr:colOff>
      <xdr:row>4</xdr:row>
      <xdr:rowOff>0</xdr:rowOff>
    </xdr:to>
    <xdr:sp macro="" textlink="">
      <xdr:nvSpPr>
        <xdr:cNvPr id="533711"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3712"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3713"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3714"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3715"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3716"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3717"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3718"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3719"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3720"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3721"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3722"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3723"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724"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725"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3726"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727"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728"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729"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3730"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3731"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3732"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3733"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9"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0"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1"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2"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3"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4"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5"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6"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7"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8"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9"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0"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1"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2"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3"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4"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5"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6"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7"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8"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9"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0"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1"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2"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3"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4"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5"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6"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7"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8"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39"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0"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1"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2"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3"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4"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5"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6"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7"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8"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9"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0"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1"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2"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4"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5"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6"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7"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8"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9"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0"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1"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2"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3"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734"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735"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736"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3737"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3738"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3739"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3740"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3741"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3742"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3743"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3744"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3745"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3746"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3747"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3748"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3749"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3750"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3751"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3752"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3753"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754"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755"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3756"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757"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758"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759"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92"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93"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94"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95"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96"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97"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98"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99"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00"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201"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202"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203"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204"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205"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206"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207"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208"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09"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10"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11"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12"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13"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14"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15"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16"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17"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18"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19"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20"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21"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22"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23"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224"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225"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226"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227"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228"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229"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230"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231"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32"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33"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34"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35"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36"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37"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38"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39"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40"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41"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42"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43"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44"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45"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46"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247"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248"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249"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250"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251"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253"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254"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255"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504"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760"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3761"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762"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763"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764"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3765"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3766"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3767"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3768"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3769"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3770"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3771"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3772"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3773"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3774"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3775"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3776"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3777"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3778"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3779"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3780"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3781"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782"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783"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3784"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785"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786"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787"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3788"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3789"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3790"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3791"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3792" name="Group Box 5" hidden="1">
          <a:extLst>
            <a:ext uri="{63B3BB69-23CF-44E3-9099-C40C66FF867C}">
              <a14:compatExt xmlns:a14="http://schemas.microsoft.com/office/drawing/2010/main" xmlns="" spid="_x0000_s533711"/>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3793" name="Group Box 10" hidden="1">
          <a:extLst>
            <a:ext uri="{63B3BB69-23CF-44E3-9099-C40C66FF867C}">
              <a14:compatExt xmlns:a14="http://schemas.microsoft.com/office/drawing/2010/main" xmlns="" spid="_x0000_s533712"/>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3794" name="Group Box 15" hidden="1">
          <a:extLst>
            <a:ext uri="{63B3BB69-23CF-44E3-9099-C40C66FF867C}">
              <a14:compatExt xmlns:a14="http://schemas.microsoft.com/office/drawing/2010/main" xmlns="" spid="_x0000_s533713"/>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3795" name="Group Box 25" hidden="1">
          <a:extLst>
            <a:ext uri="{63B3BB69-23CF-44E3-9099-C40C66FF867C}">
              <a14:compatExt xmlns:a14="http://schemas.microsoft.com/office/drawing/2010/main" xmlns="" spid="_x0000_s533714"/>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3796" name="Group Box 30" hidden="1">
          <a:extLst>
            <a:ext uri="{63B3BB69-23CF-44E3-9099-C40C66FF867C}">
              <a14:compatExt xmlns:a14="http://schemas.microsoft.com/office/drawing/2010/main" xmlns="" spid="_x0000_s533715"/>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3797" name="Group Box 35" hidden="1">
          <a:extLst>
            <a:ext uri="{63B3BB69-23CF-44E3-9099-C40C66FF867C}">
              <a14:compatExt xmlns:a14="http://schemas.microsoft.com/office/drawing/2010/main" xmlns="" spid="_x0000_s533716"/>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3798" name="Group Box 40" hidden="1">
          <a:extLst>
            <a:ext uri="{63B3BB69-23CF-44E3-9099-C40C66FF867C}">
              <a14:compatExt xmlns:a14="http://schemas.microsoft.com/office/drawing/2010/main" xmlns="" spid="_x0000_s533717"/>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3799" name="Group Box 46" hidden="1">
          <a:extLst>
            <a:ext uri="{63B3BB69-23CF-44E3-9099-C40C66FF867C}">
              <a14:compatExt xmlns:a14="http://schemas.microsoft.com/office/drawing/2010/main" xmlns="" spid="_x0000_s533718"/>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3800" name="Group Box 51" hidden="1">
          <a:extLst>
            <a:ext uri="{63B3BB69-23CF-44E3-9099-C40C66FF867C}">
              <a14:compatExt xmlns:a14="http://schemas.microsoft.com/office/drawing/2010/main" xmlns="" spid="_x0000_s533719"/>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3801" name="Group Box 56" hidden="1">
          <a:extLst>
            <a:ext uri="{63B3BB69-23CF-44E3-9099-C40C66FF867C}">
              <a14:compatExt xmlns:a14="http://schemas.microsoft.com/office/drawing/2010/main" xmlns="" spid="_x0000_s533720"/>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3802" name="Group Box 61" hidden="1">
          <a:extLst>
            <a:ext uri="{63B3BB69-23CF-44E3-9099-C40C66FF867C}">
              <a14:compatExt xmlns:a14="http://schemas.microsoft.com/office/drawing/2010/main" xmlns="" spid="_x0000_s533721"/>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3803" name="Group Box 96" hidden="1">
          <a:extLst>
            <a:ext uri="{63B3BB69-23CF-44E3-9099-C40C66FF867C}">
              <a14:compatExt xmlns:a14="http://schemas.microsoft.com/office/drawing/2010/main" xmlns="" spid="_x0000_s533722"/>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3804" name="Group Box 101" hidden="1">
          <a:extLst>
            <a:ext uri="{63B3BB69-23CF-44E3-9099-C40C66FF867C}">
              <a14:compatExt xmlns:a14="http://schemas.microsoft.com/office/drawing/2010/main" xmlns="" spid="_x0000_s533723"/>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805" name="Group Box 106" hidden="1">
          <a:extLst>
            <a:ext uri="{63B3BB69-23CF-44E3-9099-C40C66FF867C}">
              <a14:compatExt xmlns:a14="http://schemas.microsoft.com/office/drawing/2010/main" xmlns="" spid="_x0000_s533724"/>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806" name="Group Box 111" hidden="1">
          <a:extLst>
            <a:ext uri="{63B3BB69-23CF-44E3-9099-C40C66FF867C}">
              <a14:compatExt xmlns:a14="http://schemas.microsoft.com/office/drawing/2010/main" xmlns="" spid="_x0000_s533725"/>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3807" name="Group Box 146" hidden="1">
          <a:extLst>
            <a:ext uri="{63B3BB69-23CF-44E3-9099-C40C66FF867C}">
              <a14:compatExt xmlns:a14="http://schemas.microsoft.com/office/drawing/2010/main" xmlns="" spid="_x0000_s533726"/>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808" name="Group Box 151" hidden="1">
          <a:extLst>
            <a:ext uri="{63B3BB69-23CF-44E3-9099-C40C66FF867C}">
              <a14:compatExt xmlns:a14="http://schemas.microsoft.com/office/drawing/2010/main" xmlns="" spid="_x0000_s533727"/>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809" name="Group Box 156" hidden="1">
          <a:extLst>
            <a:ext uri="{63B3BB69-23CF-44E3-9099-C40C66FF867C}">
              <a14:compatExt xmlns:a14="http://schemas.microsoft.com/office/drawing/2010/main" xmlns="" spid="_x0000_s533728"/>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810" name="Group Box 161" hidden="1">
          <a:extLst>
            <a:ext uri="{63B3BB69-23CF-44E3-9099-C40C66FF867C}">
              <a14:compatExt xmlns:a14="http://schemas.microsoft.com/office/drawing/2010/main" xmlns="" spid="_x0000_s533729"/>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3811" name="Group Box 171" hidden="1">
          <a:extLst>
            <a:ext uri="{63B3BB69-23CF-44E3-9099-C40C66FF867C}">
              <a14:compatExt xmlns:a14="http://schemas.microsoft.com/office/drawing/2010/main" xmlns="" spid="_x0000_s533730"/>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3812" name="Group Box 176" hidden="1">
          <a:extLst>
            <a:ext uri="{63B3BB69-23CF-44E3-9099-C40C66FF867C}">
              <a14:compatExt xmlns:a14="http://schemas.microsoft.com/office/drawing/2010/main" xmlns="" spid="_x0000_s533731"/>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3813" name="Group Box 181" hidden="1">
          <a:extLst>
            <a:ext uri="{63B3BB69-23CF-44E3-9099-C40C66FF867C}">
              <a14:compatExt xmlns:a14="http://schemas.microsoft.com/office/drawing/2010/main" xmlns="" spid="_x0000_s533732"/>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3814" name="Group Box 186" hidden="1">
          <a:extLst>
            <a:ext uri="{63B3BB69-23CF-44E3-9099-C40C66FF867C}">
              <a14:compatExt xmlns:a14="http://schemas.microsoft.com/office/drawing/2010/main" xmlns="" spid="_x0000_s533733"/>
            </a:ext>
          </a:extLst>
        </xdr:cNvPr>
        <xdr:cNvSpPr/>
      </xdr:nvSpPr>
      <xdr:spPr>
        <a:xfrm>
          <a:off x="0" y="0"/>
          <a:ext cx="0" cy="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3815"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3816"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3817"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3818"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3819"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3820"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3821"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3822"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3823"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3824"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3825"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3826"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3827"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828"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829"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3830"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831"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832"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833"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3834"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3835"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3836"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3837"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533838" name="Group Box 5" hidden="1">
          <a:extLst>
            <a:ext uri="{63B3BB69-23CF-44E3-9099-C40C66FF867C}">
              <a14:compatExt xmlns:a14="http://schemas.microsoft.com/office/drawing/2010/main" xmlns="" spid="_x0000_s533711"/>
            </a:ext>
          </a:extLst>
        </xdr:cNvPr>
        <xdr:cNvSpPr/>
      </xdr:nvSpPr>
      <xdr:spPr>
        <a:xfrm>
          <a:off x="0" y="0"/>
          <a:ext cx="0" cy="0"/>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533839" name="Group Box 10" hidden="1">
          <a:extLst>
            <a:ext uri="{63B3BB69-23CF-44E3-9099-C40C66FF867C}">
              <a14:compatExt xmlns:a14="http://schemas.microsoft.com/office/drawing/2010/main" xmlns="" spid="_x0000_s533712"/>
            </a:ext>
          </a:extLst>
        </xdr:cNvPr>
        <xdr:cNvSpPr/>
      </xdr:nvSpPr>
      <xdr:spPr>
        <a:xfrm>
          <a:off x="0" y="0"/>
          <a:ext cx="0" cy="0"/>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533840" name="Group Box 15" hidden="1">
          <a:extLst>
            <a:ext uri="{63B3BB69-23CF-44E3-9099-C40C66FF867C}">
              <a14:compatExt xmlns:a14="http://schemas.microsoft.com/office/drawing/2010/main" xmlns="" spid="_x0000_s533713"/>
            </a:ext>
          </a:extLst>
        </xdr:cNvPr>
        <xdr:cNvSpPr/>
      </xdr:nvSpPr>
      <xdr:spPr>
        <a:xfrm>
          <a:off x="0" y="0"/>
          <a:ext cx="0" cy="0"/>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533841" name="Group Box 25" hidden="1">
          <a:extLst>
            <a:ext uri="{63B3BB69-23CF-44E3-9099-C40C66FF867C}">
              <a14:compatExt xmlns:a14="http://schemas.microsoft.com/office/drawing/2010/main" xmlns="" spid="_x0000_s533714"/>
            </a:ext>
          </a:extLst>
        </xdr:cNvPr>
        <xdr:cNvSpPr/>
      </xdr:nvSpPr>
      <xdr:spPr>
        <a:xfrm>
          <a:off x="0" y="0"/>
          <a:ext cx="0" cy="0"/>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533842" name="Group Box 30" hidden="1">
          <a:extLst>
            <a:ext uri="{63B3BB69-23CF-44E3-9099-C40C66FF867C}">
              <a14:compatExt xmlns:a14="http://schemas.microsoft.com/office/drawing/2010/main" xmlns="" spid="_x0000_s533715"/>
            </a:ext>
          </a:extLst>
        </xdr:cNvPr>
        <xdr:cNvSpPr/>
      </xdr:nvSpPr>
      <xdr:spPr>
        <a:xfrm>
          <a:off x="0" y="0"/>
          <a:ext cx="0" cy="0"/>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533843" name="Group Box 35" hidden="1">
          <a:extLst>
            <a:ext uri="{63B3BB69-23CF-44E3-9099-C40C66FF867C}">
              <a14:compatExt xmlns:a14="http://schemas.microsoft.com/office/drawing/2010/main" xmlns="" spid="_x0000_s533716"/>
            </a:ext>
          </a:extLst>
        </xdr:cNvPr>
        <xdr:cNvSpPr/>
      </xdr:nvSpPr>
      <xdr:spPr>
        <a:xfrm>
          <a:off x="0" y="0"/>
          <a:ext cx="0" cy="0"/>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533844" name="Group Box 40" hidden="1">
          <a:extLst>
            <a:ext uri="{63B3BB69-23CF-44E3-9099-C40C66FF867C}">
              <a14:compatExt xmlns:a14="http://schemas.microsoft.com/office/drawing/2010/main" xmlns="" spid="_x0000_s533717"/>
            </a:ext>
          </a:extLst>
        </xdr:cNvPr>
        <xdr:cNvSpPr/>
      </xdr:nvSpPr>
      <xdr:spPr>
        <a:xfrm>
          <a:off x="0" y="0"/>
          <a:ext cx="0" cy="0"/>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533845" name="Group Box 46" hidden="1">
          <a:extLst>
            <a:ext uri="{63B3BB69-23CF-44E3-9099-C40C66FF867C}">
              <a14:compatExt xmlns:a14="http://schemas.microsoft.com/office/drawing/2010/main" xmlns="" spid="_x0000_s533718"/>
            </a:ext>
          </a:extLst>
        </xdr:cNvPr>
        <xdr:cNvSpPr/>
      </xdr:nvSpPr>
      <xdr:spPr>
        <a:xfrm>
          <a:off x="0" y="0"/>
          <a:ext cx="0" cy="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533846" name="Group Box 51" hidden="1">
          <a:extLst>
            <a:ext uri="{63B3BB69-23CF-44E3-9099-C40C66FF867C}">
              <a14:compatExt xmlns:a14="http://schemas.microsoft.com/office/drawing/2010/main" xmlns="" spid="_x0000_s533719"/>
            </a:ext>
          </a:extLst>
        </xdr:cNvPr>
        <xdr:cNvSpPr/>
      </xdr:nvSpPr>
      <xdr:spPr>
        <a:xfrm>
          <a:off x="0" y="0"/>
          <a:ext cx="0" cy="0"/>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533847" name="Group Box 56" hidden="1">
          <a:extLst>
            <a:ext uri="{63B3BB69-23CF-44E3-9099-C40C66FF867C}">
              <a14:compatExt xmlns:a14="http://schemas.microsoft.com/office/drawing/2010/main" xmlns="" spid="_x0000_s533720"/>
            </a:ext>
          </a:extLst>
        </xdr:cNvPr>
        <xdr:cNvSpPr/>
      </xdr:nvSpPr>
      <xdr:spPr>
        <a:xfrm>
          <a:off x="0" y="0"/>
          <a:ext cx="0" cy="0"/>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533848" name="Group Box 61" hidden="1">
          <a:extLst>
            <a:ext uri="{63B3BB69-23CF-44E3-9099-C40C66FF867C}">
              <a14:compatExt xmlns:a14="http://schemas.microsoft.com/office/drawing/2010/main" xmlns="" spid="_x0000_s533721"/>
            </a:ext>
          </a:extLst>
        </xdr:cNvPr>
        <xdr:cNvSpPr/>
      </xdr:nvSpPr>
      <xdr:spPr>
        <a:xfrm>
          <a:off x="0" y="0"/>
          <a:ext cx="0" cy="0"/>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533849" name="Group Box 96" hidden="1">
          <a:extLst>
            <a:ext uri="{63B3BB69-23CF-44E3-9099-C40C66FF867C}">
              <a14:compatExt xmlns:a14="http://schemas.microsoft.com/office/drawing/2010/main" xmlns="" spid="_x0000_s533722"/>
            </a:ext>
          </a:extLst>
        </xdr:cNvPr>
        <xdr:cNvSpPr/>
      </xdr:nvSpPr>
      <xdr:spPr>
        <a:xfrm>
          <a:off x="0" y="0"/>
          <a:ext cx="0" cy="0"/>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533850" name="Group Box 101" hidden="1">
          <a:extLst>
            <a:ext uri="{63B3BB69-23CF-44E3-9099-C40C66FF867C}">
              <a14:compatExt xmlns:a14="http://schemas.microsoft.com/office/drawing/2010/main" xmlns="" spid="_x0000_s533723"/>
            </a:ext>
          </a:extLst>
        </xdr:cNvPr>
        <xdr:cNvSpPr/>
      </xdr:nvSpPr>
      <xdr:spPr>
        <a:xfrm>
          <a:off x="0" y="0"/>
          <a:ext cx="0" cy="0"/>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533851" name="Group Box 106" hidden="1">
          <a:extLst>
            <a:ext uri="{63B3BB69-23CF-44E3-9099-C40C66FF867C}">
              <a14:compatExt xmlns:a14="http://schemas.microsoft.com/office/drawing/2010/main" xmlns="" spid="_x0000_s533724"/>
            </a:ext>
          </a:extLst>
        </xdr:cNvPr>
        <xdr:cNvSpPr/>
      </xdr:nvSpPr>
      <xdr:spPr>
        <a:xfrm>
          <a:off x="0" y="0"/>
          <a:ext cx="0" cy="0"/>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533852" name="Group Box 111" hidden="1">
          <a:extLst>
            <a:ext uri="{63B3BB69-23CF-44E3-9099-C40C66FF867C}">
              <a14:compatExt xmlns:a14="http://schemas.microsoft.com/office/drawing/2010/main" xmlns="" spid="_x0000_s533725"/>
            </a:ext>
          </a:extLst>
        </xdr:cNvPr>
        <xdr:cNvSpPr/>
      </xdr:nvSpPr>
      <xdr:spPr>
        <a:xfrm>
          <a:off x="0" y="0"/>
          <a:ext cx="0" cy="0"/>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533853" name="Group Box 146" hidden="1">
          <a:extLst>
            <a:ext uri="{63B3BB69-23CF-44E3-9099-C40C66FF867C}">
              <a14:compatExt xmlns:a14="http://schemas.microsoft.com/office/drawing/2010/main" xmlns="" spid="_x0000_s533726"/>
            </a:ext>
          </a:extLst>
        </xdr:cNvPr>
        <xdr:cNvSpPr/>
      </xdr:nvSpPr>
      <xdr:spPr>
        <a:xfrm>
          <a:off x="0" y="0"/>
          <a:ext cx="0" cy="0"/>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533854" name="Group Box 151" hidden="1">
          <a:extLst>
            <a:ext uri="{63B3BB69-23CF-44E3-9099-C40C66FF867C}">
              <a14:compatExt xmlns:a14="http://schemas.microsoft.com/office/drawing/2010/main" xmlns="" spid="_x0000_s533727"/>
            </a:ext>
          </a:extLst>
        </xdr:cNvPr>
        <xdr:cNvSpPr/>
      </xdr:nvSpPr>
      <xdr:spPr>
        <a:xfrm>
          <a:off x="0" y="0"/>
          <a:ext cx="0" cy="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533855" name="Group Box 156" hidden="1">
          <a:extLst>
            <a:ext uri="{63B3BB69-23CF-44E3-9099-C40C66FF867C}">
              <a14:compatExt xmlns:a14="http://schemas.microsoft.com/office/drawing/2010/main" xmlns="" spid="_x0000_s533728"/>
            </a:ext>
          </a:extLst>
        </xdr:cNvPr>
        <xdr:cNvSpPr/>
      </xdr:nvSpPr>
      <xdr:spPr>
        <a:xfrm>
          <a:off x="0" y="0"/>
          <a:ext cx="0" cy="0"/>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533856" name="Group Box 161" hidden="1">
          <a:extLst>
            <a:ext uri="{63B3BB69-23CF-44E3-9099-C40C66FF867C}">
              <a14:compatExt xmlns:a14="http://schemas.microsoft.com/office/drawing/2010/main" xmlns="" spid="_x0000_s533729"/>
            </a:ext>
          </a:extLst>
        </xdr:cNvPr>
        <xdr:cNvSpPr/>
      </xdr:nvSpPr>
      <xdr:spPr>
        <a:xfrm>
          <a:off x="0" y="0"/>
          <a:ext cx="0" cy="0"/>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533857" name="Group Box 171" hidden="1">
          <a:extLst>
            <a:ext uri="{63B3BB69-23CF-44E3-9099-C40C66FF867C}">
              <a14:compatExt xmlns:a14="http://schemas.microsoft.com/office/drawing/2010/main" xmlns="" spid="_x0000_s533730"/>
            </a:ext>
          </a:extLst>
        </xdr:cNvPr>
        <xdr:cNvSpPr/>
      </xdr:nvSpPr>
      <xdr:spPr>
        <a:xfrm>
          <a:off x="0" y="0"/>
          <a:ext cx="0" cy="0"/>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533858" name="Group Box 176" hidden="1">
          <a:extLst>
            <a:ext uri="{63B3BB69-23CF-44E3-9099-C40C66FF867C}">
              <a14:compatExt xmlns:a14="http://schemas.microsoft.com/office/drawing/2010/main" xmlns="" spid="_x0000_s533731"/>
            </a:ext>
          </a:extLst>
        </xdr:cNvPr>
        <xdr:cNvSpPr/>
      </xdr:nvSpPr>
      <xdr:spPr>
        <a:xfrm>
          <a:off x="0" y="0"/>
          <a:ext cx="0" cy="0"/>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533859" name="Group Box 181" hidden="1">
          <a:extLst>
            <a:ext uri="{63B3BB69-23CF-44E3-9099-C40C66FF867C}">
              <a14:compatExt xmlns:a14="http://schemas.microsoft.com/office/drawing/2010/main" xmlns="" spid="_x0000_s533732"/>
            </a:ext>
          </a:extLst>
        </xdr:cNvPr>
        <xdr:cNvSpPr/>
      </xdr:nvSpPr>
      <xdr:spPr>
        <a:xfrm>
          <a:off x="0" y="0"/>
          <a:ext cx="0" cy="0"/>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533860" name="Group Box 186" hidden="1">
          <a:extLst>
            <a:ext uri="{63B3BB69-23CF-44E3-9099-C40C66FF867C}">
              <a14:compatExt xmlns:a14="http://schemas.microsoft.com/office/drawing/2010/main" xmlns="" spid="_x0000_s533733"/>
            </a:ext>
          </a:extLst>
        </xdr:cNvPr>
        <xdr:cNvSpPr/>
      </xdr:nvSpPr>
      <xdr:spPr>
        <a:xfrm>
          <a:off x="0" y="0"/>
          <a:ext cx="0" cy="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533861" name="Group Box 5" hidden="1">
          <a:extLst>
            <a:ext uri="{63B3BB69-23CF-44E3-9099-C40C66FF867C}">
              <a14:compatExt xmlns:a14="http://schemas.microsoft.com/office/drawing/2010/main" xmlns="" spid="_x0000_s533711"/>
            </a:ext>
          </a:extLst>
        </xdr:cNvPr>
        <xdr:cNvSpPr/>
      </xdr:nvSpPr>
      <xdr:spPr>
        <a:xfrm>
          <a:off x="0" y="0"/>
          <a:ext cx="0" cy="0"/>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533862" name="Group Box 10" hidden="1">
          <a:extLst>
            <a:ext uri="{63B3BB69-23CF-44E3-9099-C40C66FF867C}">
              <a14:compatExt xmlns:a14="http://schemas.microsoft.com/office/drawing/2010/main" xmlns="" spid="_x0000_s533712"/>
            </a:ext>
          </a:extLst>
        </xdr:cNvPr>
        <xdr:cNvSpPr/>
      </xdr:nvSpPr>
      <xdr:spPr>
        <a:xfrm>
          <a:off x="0" y="0"/>
          <a:ext cx="0" cy="0"/>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533863" name="Group Box 15" hidden="1">
          <a:extLst>
            <a:ext uri="{63B3BB69-23CF-44E3-9099-C40C66FF867C}">
              <a14:compatExt xmlns:a14="http://schemas.microsoft.com/office/drawing/2010/main" xmlns="" spid="_x0000_s533713"/>
            </a:ext>
          </a:extLst>
        </xdr:cNvPr>
        <xdr:cNvSpPr/>
      </xdr:nvSpPr>
      <xdr:spPr>
        <a:xfrm>
          <a:off x="0" y="0"/>
          <a:ext cx="0" cy="0"/>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533864" name="Group Box 25" hidden="1">
          <a:extLst>
            <a:ext uri="{63B3BB69-23CF-44E3-9099-C40C66FF867C}">
              <a14:compatExt xmlns:a14="http://schemas.microsoft.com/office/drawing/2010/main" xmlns="" spid="_x0000_s533714"/>
            </a:ext>
          </a:extLst>
        </xdr:cNvPr>
        <xdr:cNvSpPr/>
      </xdr:nvSpPr>
      <xdr:spPr>
        <a:xfrm>
          <a:off x="0" y="0"/>
          <a:ext cx="0" cy="0"/>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533865" name="Group Box 30" hidden="1">
          <a:extLst>
            <a:ext uri="{63B3BB69-23CF-44E3-9099-C40C66FF867C}">
              <a14:compatExt xmlns:a14="http://schemas.microsoft.com/office/drawing/2010/main" xmlns="" spid="_x0000_s533715"/>
            </a:ext>
          </a:extLst>
        </xdr:cNvPr>
        <xdr:cNvSpPr/>
      </xdr:nvSpPr>
      <xdr:spPr>
        <a:xfrm>
          <a:off x="0" y="0"/>
          <a:ext cx="0" cy="0"/>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533866" name="Group Box 35" hidden="1">
          <a:extLst>
            <a:ext uri="{63B3BB69-23CF-44E3-9099-C40C66FF867C}">
              <a14:compatExt xmlns:a14="http://schemas.microsoft.com/office/drawing/2010/main" xmlns="" spid="_x0000_s533716"/>
            </a:ext>
          </a:extLst>
        </xdr:cNvPr>
        <xdr:cNvSpPr/>
      </xdr:nvSpPr>
      <xdr:spPr>
        <a:xfrm>
          <a:off x="0" y="0"/>
          <a:ext cx="0" cy="0"/>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533867" name="Group Box 40" hidden="1">
          <a:extLst>
            <a:ext uri="{63B3BB69-23CF-44E3-9099-C40C66FF867C}">
              <a14:compatExt xmlns:a14="http://schemas.microsoft.com/office/drawing/2010/main" xmlns="" spid="_x0000_s533717"/>
            </a:ext>
          </a:extLst>
        </xdr:cNvPr>
        <xdr:cNvSpPr/>
      </xdr:nvSpPr>
      <xdr:spPr>
        <a:xfrm>
          <a:off x="0" y="0"/>
          <a:ext cx="0" cy="0"/>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533868" name="Group Box 46" hidden="1">
          <a:extLst>
            <a:ext uri="{63B3BB69-23CF-44E3-9099-C40C66FF867C}">
              <a14:compatExt xmlns:a14="http://schemas.microsoft.com/office/drawing/2010/main" xmlns="" spid="_x0000_s533718"/>
            </a:ext>
          </a:extLst>
        </xdr:cNvPr>
        <xdr:cNvSpPr/>
      </xdr:nvSpPr>
      <xdr:spPr>
        <a:xfrm>
          <a:off x="0" y="0"/>
          <a:ext cx="0" cy="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533869" name="Group Box 51" hidden="1">
          <a:extLst>
            <a:ext uri="{63B3BB69-23CF-44E3-9099-C40C66FF867C}">
              <a14:compatExt xmlns:a14="http://schemas.microsoft.com/office/drawing/2010/main" xmlns="" spid="_x0000_s533719"/>
            </a:ext>
          </a:extLst>
        </xdr:cNvPr>
        <xdr:cNvSpPr/>
      </xdr:nvSpPr>
      <xdr:spPr>
        <a:xfrm>
          <a:off x="0" y="0"/>
          <a:ext cx="0" cy="0"/>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533870" name="Group Box 56" hidden="1">
          <a:extLst>
            <a:ext uri="{63B3BB69-23CF-44E3-9099-C40C66FF867C}">
              <a14:compatExt xmlns:a14="http://schemas.microsoft.com/office/drawing/2010/main" xmlns="" spid="_x0000_s533720"/>
            </a:ext>
          </a:extLst>
        </xdr:cNvPr>
        <xdr:cNvSpPr/>
      </xdr:nvSpPr>
      <xdr:spPr>
        <a:xfrm>
          <a:off x="0" y="0"/>
          <a:ext cx="0" cy="0"/>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533871" name="Group Box 61" hidden="1">
          <a:extLst>
            <a:ext uri="{63B3BB69-23CF-44E3-9099-C40C66FF867C}">
              <a14:compatExt xmlns:a14="http://schemas.microsoft.com/office/drawing/2010/main" xmlns="" spid="_x0000_s533721"/>
            </a:ext>
          </a:extLst>
        </xdr:cNvPr>
        <xdr:cNvSpPr/>
      </xdr:nvSpPr>
      <xdr:spPr>
        <a:xfrm>
          <a:off x="0" y="0"/>
          <a:ext cx="0" cy="0"/>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533872" name="Group Box 96" hidden="1">
          <a:extLst>
            <a:ext uri="{63B3BB69-23CF-44E3-9099-C40C66FF867C}">
              <a14:compatExt xmlns:a14="http://schemas.microsoft.com/office/drawing/2010/main" xmlns="" spid="_x0000_s533722"/>
            </a:ext>
          </a:extLst>
        </xdr:cNvPr>
        <xdr:cNvSpPr/>
      </xdr:nvSpPr>
      <xdr:spPr>
        <a:xfrm>
          <a:off x="0" y="0"/>
          <a:ext cx="0" cy="0"/>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533873" name="Group Box 101" hidden="1">
          <a:extLst>
            <a:ext uri="{63B3BB69-23CF-44E3-9099-C40C66FF867C}">
              <a14:compatExt xmlns:a14="http://schemas.microsoft.com/office/drawing/2010/main" xmlns="" spid="_x0000_s533723"/>
            </a:ext>
          </a:extLst>
        </xdr:cNvPr>
        <xdr:cNvSpPr/>
      </xdr:nvSpPr>
      <xdr:spPr>
        <a:xfrm>
          <a:off x="0" y="0"/>
          <a:ext cx="0" cy="0"/>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533874" name="Group Box 106" hidden="1">
          <a:extLst>
            <a:ext uri="{63B3BB69-23CF-44E3-9099-C40C66FF867C}">
              <a14:compatExt xmlns:a14="http://schemas.microsoft.com/office/drawing/2010/main" xmlns="" spid="_x0000_s533724"/>
            </a:ext>
          </a:extLst>
        </xdr:cNvPr>
        <xdr:cNvSpPr/>
      </xdr:nvSpPr>
      <xdr:spPr>
        <a:xfrm>
          <a:off x="0" y="0"/>
          <a:ext cx="0" cy="0"/>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533875" name="Group Box 111" hidden="1">
          <a:extLst>
            <a:ext uri="{63B3BB69-23CF-44E3-9099-C40C66FF867C}">
              <a14:compatExt xmlns:a14="http://schemas.microsoft.com/office/drawing/2010/main" xmlns="" spid="_x0000_s533725"/>
            </a:ext>
          </a:extLst>
        </xdr:cNvPr>
        <xdr:cNvSpPr/>
      </xdr:nvSpPr>
      <xdr:spPr>
        <a:xfrm>
          <a:off x="0" y="0"/>
          <a:ext cx="0" cy="0"/>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533876" name="Group Box 146" hidden="1">
          <a:extLst>
            <a:ext uri="{63B3BB69-23CF-44E3-9099-C40C66FF867C}">
              <a14:compatExt xmlns:a14="http://schemas.microsoft.com/office/drawing/2010/main" xmlns="" spid="_x0000_s533726"/>
            </a:ext>
          </a:extLst>
        </xdr:cNvPr>
        <xdr:cNvSpPr/>
      </xdr:nvSpPr>
      <xdr:spPr>
        <a:xfrm>
          <a:off x="0" y="0"/>
          <a:ext cx="0" cy="0"/>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533877" name="Group Box 151" hidden="1">
          <a:extLst>
            <a:ext uri="{63B3BB69-23CF-44E3-9099-C40C66FF867C}">
              <a14:compatExt xmlns:a14="http://schemas.microsoft.com/office/drawing/2010/main" xmlns="" spid="_x0000_s533727"/>
            </a:ext>
          </a:extLst>
        </xdr:cNvPr>
        <xdr:cNvSpPr/>
      </xdr:nvSpPr>
      <xdr:spPr>
        <a:xfrm>
          <a:off x="0" y="0"/>
          <a:ext cx="0" cy="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533878" name="Group Box 156" hidden="1">
          <a:extLst>
            <a:ext uri="{63B3BB69-23CF-44E3-9099-C40C66FF867C}">
              <a14:compatExt xmlns:a14="http://schemas.microsoft.com/office/drawing/2010/main" xmlns="" spid="_x0000_s533728"/>
            </a:ext>
          </a:extLst>
        </xdr:cNvPr>
        <xdr:cNvSpPr/>
      </xdr:nvSpPr>
      <xdr:spPr>
        <a:xfrm>
          <a:off x="0" y="0"/>
          <a:ext cx="0" cy="0"/>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533879" name="Group Box 161" hidden="1">
          <a:extLst>
            <a:ext uri="{63B3BB69-23CF-44E3-9099-C40C66FF867C}">
              <a14:compatExt xmlns:a14="http://schemas.microsoft.com/office/drawing/2010/main" xmlns="" spid="_x0000_s533729"/>
            </a:ext>
          </a:extLst>
        </xdr:cNvPr>
        <xdr:cNvSpPr/>
      </xdr:nvSpPr>
      <xdr:spPr>
        <a:xfrm>
          <a:off x="0" y="0"/>
          <a:ext cx="0" cy="0"/>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533880" name="Group Box 171" hidden="1">
          <a:extLst>
            <a:ext uri="{63B3BB69-23CF-44E3-9099-C40C66FF867C}">
              <a14:compatExt xmlns:a14="http://schemas.microsoft.com/office/drawing/2010/main" xmlns="" spid="_x0000_s533730"/>
            </a:ext>
          </a:extLst>
        </xdr:cNvPr>
        <xdr:cNvSpPr/>
      </xdr:nvSpPr>
      <xdr:spPr>
        <a:xfrm>
          <a:off x="0" y="0"/>
          <a:ext cx="0" cy="0"/>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533881" name="Group Box 176" hidden="1">
          <a:extLst>
            <a:ext uri="{63B3BB69-23CF-44E3-9099-C40C66FF867C}">
              <a14:compatExt xmlns:a14="http://schemas.microsoft.com/office/drawing/2010/main" xmlns="" spid="_x0000_s533731"/>
            </a:ext>
          </a:extLst>
        </xdr:cNvPr>
        <xdr:cNvSpPr/>
      </xdr:nvSpPr>
      <xdr:spPr>
        <a:xfrm>
          <a:off x="0" y="0"/>
          <a:ext cx="0" cy="0"/>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533882" name="Group Box 181" hidden="1">
          <a:extLst>
            <a:ext uri="{63B3BB69-23CF-44E3-9099-C40C66FF867C}">
              <a14:compatExt xmlns:a14="http://schemas.microsoft.com/office/drawing/2010/main" xmlns="" spid="_x0000_s533732"/>
            </a:ext>
          </a:extLst>
        </xdr:cNvPr>
        <xdr:cNvSpPr/>
      </xdr:nvSpPr>
      <xdr:spPr>
        <a:xfrm>
          <a:off x="0" y="0"/>
          <a:ext cx="0" cy="0"/>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533883" name="Group Box 186" hidden="1">
          <a:extLst>
            <a:ext uri="{63B3BB69-23CF-44E3-9099-C40C66FF867C}">
              <a14:compatExt xmlns:a14="http://schemas.microsoft.com/office/drawing/2010/main" xmlns="" spid="_x0000_s533733"/>
            </a:ext>
          </a:extLst>
        </xdr:cNvPr>
        <xdr:cNvSpPr/>
      </xdr:nvSpPr>
      <xdr:spPr>
        <a:xfrm>
          <a:off x="0" y="0"/>
          <a:ext cx="0" cy="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533884" name="Group Box 5" hidden="1">
          <a:extLst>
            <a:ext uri="{63B3BB69-23CF-44E3-9099-C40C66FF867C}">
              <a14:compatExt xmlns:a14="http://schemas.microsoft.com/office/drawing/2010/main" xmlns="" spid="_x0000_s533711"/>
            </a:ext>
          </a:extLst>
        </xdr:cNvPr>
        <xdr:cNvSpPr/>
      </xdr:nvSpPr>
      <xdr:spPr>
        <a:xfrm>
          <a:off x="0" y="0"/>
          <a:ext cx="0" cy="0"/>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533885" name="Group Box 10" hidden="1">
          <a:extLst>
            <a:ext uri="{63B3BB69-23CF-44E3-9099-C40C66FF867C}">
              <a14:compatExt xmlns:a14="http://schemas.microsoft.com/office/drawing/2010/main" xmlns="" spid="_x0000_s533712"/>
            </a:ext>
          </a:extLst>
        </xdr:cNvPr>
        <xdr:cNvSpPr/>
      </xdr:nvSpPr>
      <xdr:spPr>
        <a:xfrm>
          <a:off x="0" y="0"/>
          <a:ext cx="0" cy="0"/>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533886" name="Group Box 15" hidden="1">
          <a:extLst>
            <a:ext uri="{63B3BB69-23CF-44E3-9099-C40C66FF867C}">
              <a14:compatExt xmlns:a14="http://schemas.microsoft.com/office/drawing/2010/main" xmlns="" spid="_x0000_s533713"/>
            </a:ext>
          </a:extLst>
        </xdr:cNvPr>
        <xdr:cNvSpPr/>
      </xdr:nvSpPr>
      <xdr:spPr>
        <a:xfrm>
          <a:off x="0" y="0"/>
          <a:ext cx="0" cy="0"/>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533887" name="Group Box 25" hidden="1">
          <a:extLst>
            <a:ext uri="{63B3BB69-23CF-44E3-9099-C40C66FF867C}">
              <a14:compatExt xmlns:a14="http://schemas.microsoft.com/office/drawing/2010/main" xmlns="" spid="_x0000_s533714"/>
            </a:ext>
          </a:extLst>
        </xdr:cNvPr>
        <xdr:cNvSpPr/>
      </xdr:nvSpPr>
      <xdr:spPr>
        <a:xfrm>
          <a:off x="0" y="0"/>
          <a:ext cx="0" cy="0"/>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533888" name="Group Box 30" hidden="1">
          <a:extLst>
            <a:ext uri="{63B3BB69-23CF-44E3-9099-C40C66FF867C}">
              <a14:compatExt xmlns:a14="http://schemas.microsoft.com/office/drawing/2010/main" xmlns="" spid="_x0000_s533715"/>
            </a:ext>
          </a:extLst>
        </xdr:cNvPr>
        <xdr:cNvSpPr/>
      </xdr:nvSpPr>
      <xdr:spPr>
        <a:xfrm>
          <a:off x="0" y="0"/>
          <a:ext cx="0" cy="0"/>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533889" name="Group Box 35" hidden="1">
          <a:extLst>
            <a:ext uri="{63B3BB69-23CF-44E3-9099-C40C66FF867C}">
              <a14:compatExt xmlns:a14="http://schemas.microsoft.com/office/drawing/2010/main" xmlns="" spid="_x0000_s533716"/>
            </a:ext>
          </a:extLst>
        </xdr:cNvPr>
        <xdr:cNvSpPr/>
      </xdr:nvSpPr>
      <xdr:spPr>
        <a:xfrm>
          <a:off x="0" y="0"/>
          <a:ext cx="0" cy="0"/>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533890" name="Group Box 40" hidden="1">
          <a:extLst>
            <a:ext uri="{63B3BB69-23CF-44E3-9099-C40C66FF867C}">
              <a14:compatExt xmlns:a14="http://schemas.microsoft.com/office/drawing/2010/main" xmlns="" spid="_x0000_s533717"/>
            </a:ext>
          </a:extLst>
        </xdr:cNvPr>
        <xdr:cNvSpPr/>
      </xdr:nvSpPr>
      <xdr:spPr>
        <a:xfrm>
          <a:off x="0" y="0"/>
          <a:ext cx="0" cy="0"/>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533891" name="Group Box 46" hidden="1">
          <a:extLst>
            <a:ext uri="{63B3BB69-23CF-44E3-9099-C40C66FF867C}">
              <a14:compatExt xmlns:a14="http://schemas.microsoft.com/office/drawing/2010/main" xmlns="" spid="_x0000_s533718"/>
            </a:ext>
          </a:extLst>
        </xdr:cNvPr>
        <xdr:cNvSpPr/>
      </xdr:nvSpPr>
      <xdr:spPr>
        <a:xfrm>
          <a:off x="0" y="0"/>
          <a:ext cx="0" cy="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533892" name="Group Box 51" hidden="1">
          <a:extLst>
            <a:ext uri="{63B3BB69-23CF-44E3-9099-C40C66FF867C}">
              <a14:compatExt xmlns:a14="http://schemas.microsoft.com/office/drawing/2010/main" xmlns="" spid="_x0000_s533719"/>
            </a:ext>
          </a:extLst>
        </xdr:cNvPr>
        <xdr:cNvSpPr/>
      </xdr:nvSpPr>
      <xdr:spPr>
        <a:xfrm>
          <a:off x="0" y="0"/>
          <a:ext cx="0" cy="0"/>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533893" name="Group Box 56" hidden="1">
          <a:extLst>
            <a:ext uri="{63B3BB69-23CF-44E3-9099-C40C66FF867C}">
              <a14:compatExt xmlns:a14="http://schemas.microsoft.com/office/drawing/2010/main" xmlns="" spid="_x0000_s533720"/>
            </a:ext>
          </a:extLst>
        </xdr:cNvPr>
        <xdr:cNvSpPr/>
      </xdr:nvSpPr>
      <xdr:spPr>
        <a:xfrm>
          <a:off x="0" y="0"/>
          <a:ext cx="0" cy="0"/>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533894" name="Group Box 61" hidden="1">
          <a:extLst>
            <a:ext uri="{63B3BB69-23CF-44E3-9099-C40C66FF867C}">
              <a14:compatExt xmlns:a14="http://schemas.microsoft.com/office/drawing/2010/main" xmlns="" spid="_x0000_s533721"/>
            </a:ext>
          </a:extLst>
        </xdr:cNvPr>
        <xdr:cNvSpPr/>
      </xdr:nvSpPr>
      <xdr:spPr>
        <a:xfrm>
          <a:off x="0" y="0"/>
          <a:ext cx="0" cy="0"/>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533895" name="Group Box 96" hidden="1">
          <a:extLst>
            <a:ext uri="{63B3BB69-23CF-44E3-9099-C40C66FF867C}">
              <a14:compatExt xmlns:a14="http://schemas.microsoft.com/office/drawing/2010/main" xmlns="" spid="_x0000_s533722"/>
            </a:ext>
          </a:extLst>
        </xdr:cNvPr>
        <xdr:cNvSpPr/>
      </xdr:nvSpPr>
      <xdr:spPr>
        <a:xfrm>
          <a:off x="0" y="0"/>
          <a:ext cx="0" cy="0"/>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533896" name="Group Box 101" hidden="1">
          <a:extLst>
            <a:ext uri="{63B3BB69-23CF-44E3-9099-C40C66FF867C}">
              <a14:compatExt xmlns:a14="http://schemas.microsoft.com/office/drawing/2010/main" xmlns="" spid="_x0000_s533723"/>
            </a:ext>
          </a:extLst>
        </xdr:cNvPr>
        <xdr:cNvSpPr/>
      </xdr:nvSpPr>
      <xdr:spPr>
        <a:xfrm>
          <a:off x="0" y="0"/>
          <a:ext cx="0" cy="0"/>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533897" name="Group Box 106" hidden="1">
          <a:extLst>
            <a:ext uri="{63B3BB69-23CF-44E3-9099-C40C66FF867C}">
              <a14:compatExt xmlns:a14="http://schemas.microsoft.com/office/drawing/2010/main" xmlns="" spid="_x0000_s533724"/>
            </a:ext>
          </a:extLst>
        </xdr:cNvPr>
        <xdr:cNvSpPr/>
      </xdr:nvSpPr>
      <xdr:spPr>
        <a:xfrm>
          <a:off x="0" y="0"/>
          <a:ext cx="0" cy="0"/>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533898" name="Group Box 111" hidden="1">
          <a:extLst>
            <a:ext uri="{63B3BB69-23CF-44E3-9099-C40C66FF867C}">
              <a14:compatExt xmlns:a14="http://schemas.microsoft.com/office/drawing/2010/main" xmlns="" spid="_x0000_s533725"/>
            </a:ext>
          </a:extLst>
        </xdr:cNvPr>
        <xdr:cNvSpPr/>
      </xdr:nvSpPr>
      <xdr:spPr>
        <a:xfrm>
          <a:off x="0" y="0"/>
          <a:ext cx="0" cy="0"/>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533899" name="Group Box 146" hidden="1">
          <a:extLst>
            <a:ext uri="{63B3BB69-23CF-44E3-9099-C40C66FF867C}">
              <a14:compatExt xmlns:a14="http://schemas.microsoft.com/office/drawing/2010/main" xmlns="" spid="_x0000_s533726"/>
            </a:ext>
          </a:extLst>
        </xdr:cNvPr>
        <xdr:cNvSpPr/>
      </xdr:nvSpPr>
      <xdr:spPr>
        <a:xfrm>
          <a:off x="0" y="0"/>
          <a:ext cx="0" cy="0"/>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533900" name="Group Box 151" hidden="1">
          <a:extLst>
            <a:ext uri="{63B3BB69-23CF-44E3-9099-C40C66FF867C}">
              <a14:compatExt xmlns:a14="http://schemas.microsoft.com/office/drawing/2010/main" xmlns="" spid="_x0000_s533727"/>
            </a:ext>
          </a:extLst>
        </xdr:cNvPr>
        <xdr:cNvSpPr/>
      </xdr:nvSpPr>
      <xdr:spPr>
        <a:xfrm>
          <a:off x="0" y="0"/>
          <a:ext cx="0" cy="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533901" name="Group Box 156" hidden="1">
          <a:extLst>
            <a:ext uri="{63B3BB69-23CF-44E3-9099-C40C66FF867C}">
              <a14:compatExt xmlns:a14="http://schemas.microsoft.com/office/drawing/2010/main" xmlns="" spid="_x0000_s533728"/>
            </a:ext>
          </a:extLst>
        </xdr:cNvPr>
        <xdr:cNvSpPr/>
      </xdr:nvSpPr>
      <xdr:spPr>
        <a:xfrm>
          <a:off x="0" y="0"/>
          <a:ext cx="0" cy="0"/>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533902" name="Group Box 161" hidden="1">
          <a:extLst>
            <a:ext uri="{63B3BB69-23CF-44E3-9099-C40C66FF867C}">
              <a14:compatExt xmlns:a14="http://schemas.microsoft.com/office/drawing/2010/main" xmlns="" spid="_x0000_s533729"/>
            </a:ext>
          </a:extLst>
        </xdr:cNvPr>
        <xdr:cNvSpPr/>
      </xdr:nvSpPr>
      <xdr:spPr>
        <a:xfrm>
          <a:off x="0" y="0"/>
          <a:ext cx="0" cy="0"/>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533903" name="Group Box 171" hidden="1">
          <a:extLst>
            <a:ext uri="{63B3BB69-23CF-44E3-9099-C40C66FF867C}">
              <a14:compatExt xmlns:a14="http://schemas.microsoft.com/office/drawing/2010/main" xmlns="" spid="_x0000_s533730"/>
            </a:ext>
          </a:extLst>
        </xdr:cNvPr>
        <xdr:cNvSpPr/>
      </xdr:nvSpPr>
      <xdr:spPr>
        <a:xfrm>
          <a:off x="0" y="0"/>
          <a:ext cx="0" cy="0"/>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533904" name="Group Box 176" hidden="1">
          <a:extLst>
            <a:ext uri="{63B3BB69-23CF-44E3-9099-C40C66FF867C}">
              <a14:compatExt xmlns:a14="http://schemas.microsoft.com/office/drawing/2010/main" xmlns="" spid="_x0000_s533731"/>
            </a:ext>
          </a:extLst>
        </xdr:cNvPr>
        <xdr:cNvSpPr/>
      </xdr:nvSpPr>
      <xdr:spPr>
        <a:xfrm>
          <a:off x="0" y="0"/>
          <a:ext cx="0" cy="0"/>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533905" name="Group Box 181" hidden="1">
          <a:extLst>
            <a:ext uri="{63B3BB69-23CF-44E3-9099-C40C66FF867C}">
              <a14:compatExt xmlns:a14="http://schemas.microsoft.com/office/drawing/2010/main" xmlns="" spid="_x0000_s533732"/>
            </a:ext>
          </a:extLst>
        </xdr:cNvPr>
        <xdr:cNvSpPr/>
      </xdr:nvSpPr>
      <xdr:spPr>
        <a:xfrm>
          <a:off x="0" y="0"/>
          <a:ext cx="0" cy="0"/>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533906" name="Group Box 186" hidden="1">
          <a:extLst>
            <a:ext uri="{63B3BB69-23CF-44E3-9099-C40C66FF867C}">
              <a14:compatExt xmlns:a14="http://schemas.microsoft.com/office/drawing/2010/main" xmlns="" spid="_x0000_s533733"/>
            </a:ext>
          </a:extLst>
        </xdr:cNvPr>
        <xdr:cNvSpPr/>
      </xdr:nvSpPr>
      <xdr:spPr>
        <a:xfrm>
          <a:off x="0" y="0"/>
          <a:ext cx="0" cy="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533907" name="Group Box 5" hidden="1">
          <a:extLst>
            <a:ext uri="{63B3BB69-23CF-44E3-9099-C40C66FF867C}">
              <a14:compatExt xmlns:a14="http://schemas.microsoft.com/office/drawing/2010/main" xmlns="" spid="_x0000_s533711"/>
            </a:ext>
          </a:extLst>
        </xdr:cNvPr>
        <xdr:cNvSpPr/>
      </xdr:nvSpPr>
      <xdr:spPr>
        <a:xfrm>
          <a:off x="0" y="0"/>
          <a:ext cx="0" cy="0"/>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533908" name="Group Box 10" hidden="1">
          <a:extLst>
            <a:ext uri="{63B3BB69-23CF-44E3-9099-C40C66FF867C}">
              <a14:compatExt xmlns:a14="http://schemas.microsoft.com/office/drawing/2010/main" xmlns="" spid="_x0000_s533712"/>
            </a:ext>
          </a:extLst>
        </xdr:cNvPr>
        <xdr:cNvSpPr/>
      </xdr:nvSpPr>
      <xdr:spPr>
        <a:xfrm>
          <a:off x="0" y="0"/>
          <a:ext cx="0" cy="0"/>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533909" name="Group Box 15" hidden="1">
          <a:extLst>
            <a:ext uri="{63B3BB69-23CF-44E3-9099-C40C66FF867C}">
              <a14:compatExt xmlns:a14="http://schemas.microsoft.com/office/drawing/2010/main" xmlns="" spid="_x0000_s533713"/>
            </a:ext>
          </a:extLst>
        </xdr:cNvPr>
        <xdr:cNvSpPr/>
      </xdr:nvSpPr>
      <xdr:spPr>
        <a:xfrm>
          <a:off x="0" y="0"/>
          <a:ext cx="0" cy="0"/>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533910" name="Group Box 25" hidden="1">
          <a:extLst>
            <a:ext uri="{63B3BB69-23CF-44E3-9099-C40C66FF867C}">
              <a14:compatExt xmlns:a14="http://schemas.microsoft.com/office/drawing/2010/main" xmlns="" spid="_x0000_s533714"/>
            </a:ext>
          </a:extLst>
        </xdr:cNvPr>
        <xdr:cNvSpPr/>
      </xdr:nvSpPr>
      <xdr:spPr>
        <a:xfrm>
          <a:off x="0" y="0"/>
          <a:ext cx="0" cy="0"/>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533911" name="Group Box 30" hidden="1">
          <a:extLst>
            <a:ext uri="{63B3BB69-23CF-44E3-9099-C40C66FF867C}">
              <a14:compatExt xmlns:a14="http://schemas.microsoft.com/office/drawing/2010/main" xmlns="" spid="_x0000_s533715"/>
            </a:ext>
          </a:extLst>
        </xdr:cNvPr>
        <xdr:cNvSpPr/>
      </xdr:nvSpPr>
      <xdr:spPr>
        <a:xfrm>
          <a:off x="0" y="0"/>
          <a:ext cx="0" cy="0"/>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533912" name="Group Box 35" hidden="1">
          <a:extLst>
            <a:ext uri="{63B3BB69-23CF-44E3-9099-C40C66FF867C}">
              <a14:compatExt xmlns:a14="http://schemas.microsoft.com/office/drawing/2010/main" xmlns="" spid="_x0000_s533716"/>
            </a:ext>
          </a:extLst>
        </xdr:cNvPr>
        <xdr:cNvSpPr/>
      </xdr:nvSpPr>
      <xdr:spPr>
        <a:xfrm>
          <a:off x="0" y="0"/>
          <a:ext cx="0" cy="0"/>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533913" name="Group Box 40" hidden="1">
          <a:extLst>
            <a:ext uri="{63B3BB69-23CF-44E3-9099-C40C66FF867C}">
              <a14:compatExt xmlns:a14="http://schemas.microsoft.com/office/drawing/2010/main" xmlns="" spid="_x0000_s533717"/>
            </a:ext>
          </a:extLst>
        </xdr:cNvPr>
        <xdr:cNvSpPr/>
      </xdr:nvSpPr>
      <xdr:spPr>
        <a:xfrm>
          <a:off x="0" y="0"/>
          <a:ext cx="0" cy="0"/>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533914" name="Group Box 46" hidden="1">
          <a:extLst>
            <a:ext uri="{63B3BB69-23CF-44E3-9099-C40C66FF867C}">
              <a14:compatExt xmlns:a14="http://schemas.microsoft.com/office/drawing/2010/main" xmlns="" spid="_x0000_s533718"/>
            </a:ext>
          </a:extLst>
        </xdr:cNvPr>
        <xdr:cNvSpPr/>
      </xdr:nvSpPr>
      <xdr:spPr>
        <a:xfrm>
          <a:off x="0" y="0"/>
          <a:ext cx="0" cy="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533915" name="Group Box 51" hidden="1">
          <a:extLst>
            <a:ext uri="{63B3BB69-23CF-44E3-9099-C40C66FF867C}">
              <a14:compatExt xmlns:a14="http://schemas.microsoft.com/office/drawing/2010/main" xmlns="" spid="_x0000_s533719"/>
            </a:ext>
          </a:extLst>
        </xdr:cNvPr>
        <xdr:cNvSpPr/>
      </xdr:nvSpPr>
      <xdr:spPr>
        <a:xfrm>
          <a:off x="0" y="0"/>
          <a:ext cx="0" cy="0"/>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533916" name="Group Box 56" hidden="1">
          <a:extLst>
            <a:ext uri="{63B3BB69-23CF-44E3-9099-C40C66FF867C}">
              <a14:compatExt xmlns:a14="http://schemas.microsoft.com/office/drawing/2010/main" xmlns="" spid="_x0000_s533720"/>
            </a:ext>
          </a:extLst>
        </xdr:cNvPr>
        <xdr:cNvSpPr/>
      </xdr:nvSpPr>
      <xdr:spPr>
        <a:xfrm>
          <a:off x="0" y="0"/>
          <a:ext cx="0" cy="0"/>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533917" name="Group Box 61" hidden="1">
          <a:extLst>
            <a:ext uri="{63B3BB69-23CF-44E3-9099-C40C66FF867C}">
              <a14:compatExt xmlns:a14="http://schemas.microsoft.com/office/drawing/2010/main" xmlns="" spid="_x0000_s533721"/>
            </a:ext>
          </a:extLst>
        </xdr:cNvPr>
        <xdr:cNvSpPr/>
      </xdr:nvSpPr>
      <xdr:spPr>
        <a:xfrm>
          <a:off x="0" y="0"/>
          <a:ext cx="0" cy="0"/>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533918" name="Group Box 96" hidden="1">
          <a:extLst>
            <a:ext uri="{63B3BB69-23CF-44E3-9099-C40C66FF867C}">
              <a14:compatExt xmlns:a14="http://schemas.microsoft.com/office/drawing/2010/main" xmlns="" spid="_x0000_s533722"/>
            </a:ext>
          </a:extLst>
        </xdr:cNvPr>
        <xdr:cNvSpPr/>
      </xdr:nvSpPr>
      <xdr:spPr>
        <a:xfrm>
          <a:off x="0" y="0"/>
          <a:ext cx="0" cy="0"/>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533919" name="Group Box 101" hidden="1">
          <a:extLst>
            <a:ext uri="{63B3BB69-23CF-44E3-9099-C40C66FF867C}">
              <a14:compatExt xmlns:a14="http://schemas.microsoft.com/office/drawing/2010/main" xmlns="" spid="_x0000_s533723"/>
            </a:ext>
          </a:extLst>
        </xdr:cNvPr>
        <xdr:cNvSpPr/>
      </xdr:nvSpPr>
      <xdr:spPr>
        <a:xfrm>
          <a:off x="0" y="0"/>
          <a:ext cx="0" cy="0"/>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533920" name="Group Box 106" hidden="1">
          <a:extLst>
            <a:ext uri="{63B3BB69-23CF-44E3-9099-C40C66FF867C}">
              <a14:compatExt xmlns:a14="http://schemas.microsoft.com/office/drawing/2010/main" xmlns="" spid="_x0000_s533724"/>
            </a:ext>
          </a:extLst>
        </xdr:cNvPr>
        <xdr:cNvSpPr/>
      </xdr:nvSpPr>
      <xdr:spPr>
        <a:xfrm>
          <a:off x="0" y="0"/>
          <a:ext cx="0" cy="0"/>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533921" name="Group Box 111" hidden="1">
          <a:extLst>
            <a:ext uri="{63B3BB69-23CF-44E3-9099-C40C66FF867C}">
              <a14:compatExt xmlns:a14="http://schemas.microsoft.com/office/drawing/2010/main" xmlns="" spid="_x0000_s533725"/>
            </a:ext>
          </a:extLst>
        </xdr:cNvPr>
        <xdr:cNvSpPr/>
      </xdr:nvSpPr>
      <xdr:spPr>
        <a:xfrm>
          <a:off x="0" y="0"/>
          <a:ext cx="0" cy="0"/>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533922" name="Group Box 146" hidden="1">
          <a:extLst>
            <a:ext uri="{63B3BB69-23CF-44E3-9099-C40C66FF867C}">
              <a14:compatExt xmlns:a14="http://schemas.microsoft.com/office/drawing/2010/main" xmlns="" spid="_x0000_s533726"/>
            </a:ext>
          </a:extLst>
        </xdr:cNvPr>
        <xdr:cNvSpPr/>
      </xdr:nvSpPr>
      <xdr:spPr>
        <a:xfrm>
          <a:off x="0" y="0"/>
          <a:ext cx="0" cy="0"/>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533923" name="Group Box 151" hidden="1">
          <a:extLst>
            <a:ext uri="{63B3BB69-23CF-44E3-9099-C40C66FF867C}">
              <a14:compatExt xmlns:a14="http://schemas.microsoft.com/office/drawing/2010/main" xmlns="" spid="_x0000_s533727"/>
            </a:ext>
          </a:extLst>
        </xdr:cNvPr>
        <xdr:cNvSpPr/>
      </xdr:nvSpPr>
      <xdr:spPr>
        <a:xfrm>
          <a:off x="0" y="0"/>
          <a:ext cx="0" cy="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533924" name="Group Box 156" hidden="1">
          <a:extLst>
            <a:ext uri="{63B3BB69-23CF-44E3-9099-C40C66FF867C}">
              <a14:compatExt xmlns:a14="http://schemas.microsoft.com/office/drawing/2010/main" xmlns="" spid="_x0000_s533728"/>
            </a:ext>
          </a:extLst>
        </xdr:cNvPr>
        <xdr:cNvSpPr/>
      </xdr:nvSpPr>
      <xdr:spPr>
        <a:xfrm>
          <a:off x="0" y="0"/>
          <a:ext cx="0" cy="0"/>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533925" name="Group Box 161" hidden="1">
          <a:extLst>
            <a:ext uri="{63B3BB69-23CF-44E3-9099-C40C66FF867C}">
              <a14:compatExt xmlns:a14="http://schemas.microsoft.com/office/drawing/2010/main" xmlns="" spid="_x0000_s533729"/>
            </a:ext>
          </a:extLst>
        </xdr:cNvPr>
        <xdr:cNvSpPr/>
      </xdr:nvSpPr>
      <xdr:spPr>
        <a:xfrm>
          <a:off x="0" y="0"/>
          <a:ext cx="0" cy="0"/>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533926" name="Group Box 171" hidden="1">
          <a:extLst>
            <a:ext uri="{63B3BB69-23CF-44E3-9099-C40C66FF867C}">
              <a14:compatExt xmlns:a14="http://schemas.microsoft.com/office/drawing/2010/main" xmlns="" spid="_x0000_s533730"/>
            </a:ext>
          </a:extLst>
        </xdr:cNvPr>
        <xdr:cNvSpPr/>
      </xdr:nvSpPr>
      <xdr:spPr>
        <a:xfrm>
          <a:off x="0" y="0"/>
          <a:ext cx="0" cy="0"/>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533927" name="Group Box 176" hidden="1">
          <a:extLst>
            <a:ext uri="{63B3BB69-23CF-44E3-9099-C40C66FF867C}">
              <a14:compatExt xmlns:a14="http://schemas.microsoft.com/office/drawing/2010/main" xmlns="" spid="_x0000_s533731"/>
            </a:ext>
          </a:extLst>
        </xdr:cNvPr>
        <xdr:cNvSpPr/>
      </xdr:nvSpPr>
      <xdr:spPr>
        <a:xfrm>
          <a:off x="0" y="0"/>
          <a:ext cx="0" cy="0"/>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533928" name="Group Box 181" hidden="1">
          <a:extLst>
            <a:ext uri="{63B3BB69-23CF-44E3-9099-C40C66FF867C}">
              <a14:compatExt xmlns:a14="http://schemas.microsoft.com/office/drawing/2010/main" xmlns="" spid="_x0000_s533732"/>
            </a:ext>
          </a:extLst>
        </xdr:cNvPr>
        <xdr:cNvSpPr/>
      </xdr:nvSpPr>
      <xdr:spPr>
        <a:xfrm>
          <a:off x="0" y="0"/>
          <a:ext cx="0" cy="0"/>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533929" name="Group Box 186" hidden="1">
          <a:extLst>
            <a:ext uri="{63B3BB69-23CF-44E3-9099-C40C66FF867C}">
              <a14:compatExt xmlns:a14="http://schemas.microsoft.com/office/drawing/2010/main" xmlns="" spid="_x0000_s533733"/>
            </a:ext>
          </a:extLst>
        </xdr:cNvPr>
        <xdr:cNvSpPr/>
      </xdr:nvSpPr>
      <xdr:spPr>
        <a:xfrm>
          <a:off x="0" y="0"/>
          <a:ext cx="0" cy="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3930" name="Group Box 5" hidden="1">
          <a:extLst>
            <a:ext uri="{63B3BB69-23CF-44E3-9099-C40C66FF867C}">
              <a14:compatExt xmlns:a14="http://schemas.microsoft.com/office/drawing/2010/main" xmlns="" spid="_x0000_s533711"/>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3931" name="Group Box 10" hidden="1">
          <a:extLst>
            <a:ext uri="{63B3BB69-23CF-44E3-9099-C40C66FF867C}">
              <a14:compatExt xmlns:a14="http://schemas.microsoft.com/office/drawing/2010/main" xmlns="" spid="_x0000_s533712"/>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3932" name="Group Box 15" hidden="1">
          <a:extLst>
            <a:ext uri="{63B3BB69-23CF-44E3-9099-C40C66FF867C}">
              <a14:compatExt xmlns:a14="http://schemas.microsoft.com/office/drawing/2010/main" xmlns="" spid="_x0000_s533713"/>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3933" name="Group Box 25" hidden="1">
          <a:extLst>
            <a:ext uri="{63B3BB69-23CF-44E3-9099-C40C66FF867C}">
              <a14:compatExt xmlns:a14="http://schemas.microsoft.com/office/drawing/2010/main" xmlns="" spid="_x0000_s533714"/>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3934" name="Group Box 30" hidden="1">
          <a:extLst>
            <a:ext uri="{63B3BB69-23CF-44E3-9099-C40C66FF867C}">
              <a14:compatExt xmlns:a14="http://schemas.microsoft.com/office/drawing/2010/main" xmlns="" spid="_x0000_s533715"/>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3935" name="Group Box 35" hidden="1">
          <a:extLst>
            <a:ext uri="{63B3BB69-23CF-44E3-9099-C40C66FF867C}">
              <a14:compatExt xmlns:a14="http://schemas.microsoft.com/office/drawing/2010/main" xmlns="" spid="_x0000_s533716"/>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3936" name="Group Box 40" hidden="1">
          <a:extLst>
            <a:ext uri="{63B3BB69-23CF-44E3-9099-C40C66FF867C}">
              <a14:compatExt xmlns:a14="http://schemas.microsoft.com/office/drawing/2010/main" xmlns="" spid="_x0000_s533717"/>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3937" name="Group Box 46" hidden="1">
          <a:extLst>
            <a:ext uri="{63B3BB69-23CF-44E3-9099-C40C66FF867C}">
              <a14:compatExt xmlns:a14="http://schemas.microsoft.com/office/drawing/2010/main" xmlns="" spid="_x0000_s533718"/>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3938" name="Group Box 51" hidden="1">
          <a:extLst>
            <a:ext uri="{63B3BB69-23CF-44E3-9099-C40C66FF867C}">
              <a14:compatExt xmlns:a14="http://schemas.microsoft.com/office/drawing/2010/main" xmlns="" spid="_x0000_s533719"/>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3939" name="Group Box 56" hidden="1">
          <a:extLst>
            <a:ext uri="{63B3BB69-23CF-44E3-9099-C40C66FF867C}">
              <a14:compatExt xmlns:a14="http://schemas.microsoft.com/office/drawing/2010/main" xmlns="" spid="_x0000_s533720"/>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3940" name="Group Box 61" hidden="1">
          <a:extLst>
            <a:ext uri="{63B3BB69-23CF-44E3-9099-C40C66FF867C}">
              <a14:compatExt xmlns:a14="http://schemas.microsoft.com/office/drawing/2010/main" xmlns="" spid="_x0000_s533721"/>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3941" name="Group Box 96" hidden="1">
          <a:extLst>
            <a:ext uri="{63B3BB69-23CF-44E3-9099-C40C66FF867C}">
              <a14:compatExt xmlns:a14="http://schemas.microsoft.com/office/drawing/2010/main" xmlns="" spid="_x0000_s533722"/>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3942" name="Group Box 101" hidden="1">
          <a:extLst>
            <a:ext uri="{63B3BB69-23CF-44E3-9099-C40C66FF867C}">
              <a14:compatExt xmlns:a14="http://schemas.microsoft.com/office/drawing/2010/main" xmlns="" spid="_x0000_s533723"/>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943" name="Group Box 106" hidden="1">
          <a:extLst>
            <a:ext uri="{63B3BB69-23CF-44E3-9099-C40C66FF867C}">
              <a14:compatExt xmlns:a14="http://schemas.microsoft.com/office/drawing/2010/main" xmlns="" spid="_x0000_s533724"/>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944" name="Group Box 111" hidden="1">
          <a:extLst>
            <a:ext uri="{63B3BB69-23CF-44E3-9099-C40C66FF867C}">
              <a14:compatExt xmlns:a14="http://schemas.microsoft.com/office/drawing/2010/main" xmlns="" spid="_x0000_s533725"/>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3945" name="Group Box 146" hidden="1">
          <a:extLst>
            <a:ext uri="{63B3BB69-23CF-44E3-9099-C40C66FF867C}">
              <a14:compatExt xmlns:a14="http://schemas.microsoft.com/office/drawing/2010/main" xmlns="" spid="_x0000_s533726"/>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946" name="Group Box 151" hidden="1">
          <a:extLst>
            <a:ext uri="{63B3BB69-23CF-44E3-9099-C40C66FF867C}">
              <a14:compatExt xmlns:a14="http://schemas.microsoft.com/office/drawing/2010/main" xmlns="" spid="_x0000_s533727"/>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947" name="Group Box 156" hidden="1">
          <a:extLst>
            <a:ext uri="{63B3BB69-23CF-44E3-9099-C40C66FF867C}">
              <a14:compatExt xmlns:a14="http://schemas.microsoft.com/office/drawing/2010/main" xmlns="" spid="_x0000_s533728"/>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948" name="Group Box 161" hidden="1">
          <a:extLst>
            <a:ext uri="{63B3BB69-23CF-44E3-9099-C40C66FF867C}">
              <a14:compatExt xmlns:a14="http://schemas.microsoft.com/office/drawing/2010/main" xmlns="" spid="_x0000_s533729"/>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3949" name="Group Box 171" hidden="1">
          <a:extLst>
            <a:ext uri="{63B3BB69-23CF-44E3-9099-C40C66FF867C}">
              <a14:compatExt xmlns:a14="http://schemas.microsoft.com/office/drawing/2010/main" xmlns="" spid="_x0000_s533730"/>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3950" name="Group Box 176" hidden="1">
          <a:extLst>
            <a:ext uri="{63B3BB69-23CF-44E3-9099-C40C66FF867C}">
              <a14:compatExt xmlns:a14="http://schemas.microsoft.com/office/drawing/2010/main" xmlns="" spid="_x0000_s533731"/>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3951" name="Group Box 181" hidden="1">
          <a:extLst>
            <a:ext uri="{63B3BB69-23CF-44E3-9099-C40C66FF867C}">
              <a14:compatExt xmlns:a14="http://schemas.microsoft.com/office/drawing/2010/main" xmlns="" spid="_x0000_s533732"/>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3952" name="Group Box 186" hidden="1">
          <a:extLst>
            <a:ext uri="{63B3BB69-23CF-44E3-9099-C40C66FF867C}">
              <a14:compatExt xmlns:a14="http://schemas.microsoft.com/office/drawing/2010/main" xmlns="" spid="_x0000_s533733"/>
            </a:ext>
          </a:extLst>
        </xdr:cNvPr>
        <xdr:cNvSpPr/>
      </xdr:nvSpPr>
      <xdr:spPr>
        <a:xfrm>
          <a:off x="0" y="0"/>
          <a:ext cx="0" cy="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3953" name="Group Box 5" hidden="1">
          <a:extLst>
            <a:ext uri="{63B3BB69-23CF-44E3-9099-C40C66FF867C}">
              <a14:compatExt xmlns:a14="http://schemas.microsoft.com/office/drawing/2010/main" xmlns="" spid="_x0000_s533711"/>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3954" name="Group Box 10" hidden="1">
          <a:extLst>
            <a:ext uri="{63B3BB69-23CF-44E3-9099-C40C66FF867C}">
              <a14:compatExt xmlns:a14="http://schemas.microsoft.com/office/drawing/2010/main" xmlns="" spid="_x0000_s533712"/>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3955" name="Group Box 15" hidden="1">
          <a:extLst>
            <a:ext uri="{63B3BB69-23CF-44E3-9099-C40C66FF867C}">
              <a14:compatExt xmlns:a14="http://schemas.microsoft.com/office/drawing/2010/main" xmlns="" spid="_x0000_s533713"/>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3956" name="Group Box 25" hidden="1">
          <a:extLst>
            <a:ext uri="{63B3BB69-23CF-44E3-9099-C40C66FF867C}">
              <a14:compatExt xmlns:a14="http://schemas.microsoft.com/office/drawing/2010/main" xmlns="" spid="_x0000_s533714"/>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3957" name="Group Box 30" hidden="1">
          <a:extLst>
            <a:ext uri="{63B3BB69-23CF-44E3-9099-C40C66FF867C}">
              <a14:compatExt xmlns:a14="http://schemas.microsoft.com/office/drawing/2010/main" xmlns="" spid="_x0000_s533715"/>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3958" name="Group Box 35" hidden="1">
          <a:extLst>
            <a:ext uri="{63B3BB69-23CF-44E3-9099-C40C66FF867C}">
              <a14:compatExt xmlns:a14="http://schemas.microsoft.com/office/drawing/2010/main" xmlns="" spid="_x0000_s533716"/>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3959" name="Group Box 40" hidden="1">
          <a:extLst>
            <a:ext uri="{63B3BB69-23CF-44E3-9099-C40C66FF867C}">
              <a14:compatExt xmlns:a14="http://schemas.microsoft.com/office/drawing/2010/main" xmlns="" spid="_x0000_s533717"/>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3960" name="Group Box 46" hidden="1">
          <a:extLst>
            <a:ext uri="{63B3BB69-23CF-44E3-9099-C40C66FF867C}">
              <a14:compatExt xmlns:a14="http://schemas.microsoft.com/office/drawing/2010/main" xmlns="" spid="_x0000_s533718"/>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3961" name="Group Box 51" hidden="1">
          <a:extLst>
            <a:ext uri="{63B3BB69-23CF-44E3-9099-C40C66FF867C}">
              <a14:compatExt xmlns:a14="http://schemas.microsoft.com/office/drawing/2010/main" xmlns="" spid="_x0000_s533719"/>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3962" name="Group Box 56" hidden="1">
          <a:extLst>
            <a:ext uri="{63B3BB69-23CF-44E3-9099-C40C66FF867C}">
              <a14:compatExt xmlns:a14="http://schemas.microsoft.com/office/drawing/2010/main" xmlns="" spid="_x0000_s533720"/>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3963" name="Group Box 61" hidden="1">
          <a:extLst>
            <a:ext uri="{63B3BB69-23CF-44E3-9099-C40C66FF867C}">
              <a14:compatExt xmlns:a14="http://schemas.microsoft.com/office/drawing/2010/main" xmlns="" spid="_x0000_s533721"/>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3964" name="Group Box 96" hidden="1">
          <a:extLst>
            <a:ext uri="{63B3BB69-23CF-44E3-9099-C40C66FF867C}">
              <a14:compatExt xmlns:a14="http://schemas.microsoft.com/office/drawing/2010/main" xmlns="" spid="_x0000_s533722"/>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3965" name="Group Box 101" hidden="1">
          <a:extLst>
            <a:ext uri="{63B3BB69-23CF-44E3-9099-C40C66FF867C}">
              <a14:compatExt xmlns:a14="http://schemas.microsoft.com/office/drawing/2010/main" xmlns="" spid="_x0000_s533723"/>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966" name="Group Box 106" hidden="1">
          <a:extLst>
            <a:ext uri="{63B3BB69-23CF-44E3-9099-C40C66FF867C}">
              <a14:compatExt xmlns:a14="http://schemas.microsoft.com/office/drawing/2010/main" xmlns="" spid="_x0000_s533724"/>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967" name="Group Box 111" hidden="1">
          <a:extLst>
            <a:ext uri="{63B3BB69-23CF-44E3-9099-C40C66FF867C}">
              <a14:compatExt xmlns:a14="http://schemas.microsoft.com/office/drawing/2010/main" xmlns="" spid="_x0000_s533725"/>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3968" name="Group Box 146" hidden="1">
          <a:extLst>
            <a:ext uri="{63B3BB69-23CF-44E3-9099-C40C66FF867C}">
              <a14:compatExt xmlns:a14="http://schemas.microsoft.com/office/drawing/2010/main" xmlns="" spid="_x0000_s533726"/>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969" name="Group Box 151" hidden="1">
          <a:extLst>
            <a:ext uri="{63B3BB69-23CF-44E3-9099-C40C66FF867C}">
              <a14:compatExt xmlns:a14="http://schemas.microsoft.com/office/drawing/2010/main" xmlns="" spid="_x0000_s533727"/>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970" name="Group Box 156" hidden="1">
          <a:extLst>
            <a:ext uri="{63B3BB69-23CF-44E3-9099-C40C66FF867C}">
              <a14:compatExt xmlns:a14="http://schemas.microsoft.com/office/drawing/2010/main" xmlns="" spid="_x0000_s533728"/>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971" name="Group Box 161" hidden="1">
          <a:extLst>
            <a:ext uri="{63B3BB69-23CF-44E3-9099-C40C66FF867C}">
              <a14:compatExt xmlns:a14="http://schemas.microsoft.com/office/drawing/2010/main" xmlns="" spid="_x0000_s533729"/>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3972" name="Group Box 171" hidden="1">
          <a:extLst>
            <a:ext uri="{63B3BB69-23CF-44E3-9099-C40C66FF867C}">
              <a14:compatExt xmlns:a14="http://schemas.microsoft.com/office/drawing/2010/main" xmlns="" spid="_x0000_s533730"/>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3973" name="Group Box 176" hidden="1">
          <a:extLst>
            <a:ext uri="{63B3BB69-23CF-44E3-9099-C40C66FF867C}">
              <a14:compatExt xmlns:a14="http://schemas.microsoft.com/office/drawing/2010/main" xmlns="" spid="_x0000_s533731"/>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3974" name="Group Box 181" hidden="1">
          <a:extLst>
            <a:ext uri="{63B3BB69-23CF-44E3-9099-C40C66FF867C}">
              <a14:compatExt xmlns:a14="http://schemas.microsoft.com/office/drawing/2010/main" xmlns="" spid="_x0000_s533732"/>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3975" name="Group Box 186" hidden="1">
          <a:extLst>
            <a:ext uri="{63B3BB69-23CF-44E3-9099-C40C66FF867C}">
              <a14:compatExt xmlns:a14="http://schemas.microsoft.com/office/drawing/2010/main" xmlns="" spid="_x0000_s533733"/>
            </a:ext>
          </a:extLst>
        </xdr:cNvPr>
        <xdr:cNvSpPr/>
      </xdr:nvSpPr>
      <xdr:spPr>
        <a:xfrm>
          <a:off x="0" y="0"/>
          <a:ext cx="0" cy="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3976"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3977"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3978"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3979"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3980"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3981"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3982"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3983"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3984"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3985"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3986"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3987"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3988"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989"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990"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3991"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992"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993"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994"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3995"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3996"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3997"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3998"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3999"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000"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001"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002"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003"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004"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005"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006"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007"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008"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009"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010"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011"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012"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013"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014"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015"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016"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017"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018"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019"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020"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021"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022"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023"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024"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025"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026"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027"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028"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029"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030"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031"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032"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033"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034"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035"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036"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037"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038"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039"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040"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041"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042"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043"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044"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045"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046"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047"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048"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049"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050"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051"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052"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053"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054"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055"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056"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057"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058"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059"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060"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061"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062"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063"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064"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065"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066"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067"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068"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069"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070"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071"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072"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073"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074"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075"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076"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077"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078"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079"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080"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081"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082"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083"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084"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085"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086"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087"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088"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089"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090"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091" name="Group Box 5" hidden="1">
          <a:extLst>
            <a:ext uri="{63B3BB69-23CF-44E3-9099-C40C66FF867C}">
              <a14:compatExt xmlns:a14="http://schemas.microsoft.com/office/drawing/2010/main" xmlns="" spid="_x0000_s533711"/>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092" name="Group Box 10" hidden="1">
          <a:extLst>
            <a:ext uri="{63B3BB69-23CF-44E3-9099-C40C66FF867C}">
              <a14:compatExt xmlns:a14="http://schemas.microsoft.com/office/drawing/2010/main" xmlns="" spid="_x0000_s533712"/>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093" name="Group Box 15" hidden="1">
          <a:extLst>
            <a:ext uri="{63B3BB69-23CF-44E3-9099-C40C66FF867C}">
              <a14:compatExt xmlns:a14="http://schemas.microsoft.com/office/drawing/2010/main" xmlns="" spid="_x0000_s533713"/>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094" name="Group Box 25" hidden="1">
          <a:extLst>
            <a:ext uri="{63B3BB69-23CF-44E3-9099-C40C66FF867C}">
              <a14:compatExt xmlns:a14="http://schemas.microsoft.com/office/drawing/2010/main" xmlns="" spid="_x0000_s533714"/>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095" name="Group Box 30" hidden="1">
          <a:extLst>
            <a:ext uri="{63B3BB69-23CF-44E3-9099-C40C66FF867C}">
              <a14:compatExt xmlns:a14="http://schemas.microsoft.com/office/drawing/2010/main" xmlns="" spid="_x0000_s533715"/>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096" name="Group Box 35" hidden="1">
          <a:extLst>
            <a:ext uri="{63B3BB69-23CF-44E3-9099-C40C66FF867C}">
              <a14:compatExt xmlns:a14="http://schemas.microsoft.com/office/drawing/2010/main" xmlns="" spid="_x0000_s533716"/>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097" name="Group Box 40" hidden="1">
          <a:extLst>
            <a:ext uri="{63B3BB69-23CF-44E3-9099-C40C66FF867C}">
              <a14:compatExt xmlns:a14="http://schemas.microsoft.com/office/drawing/2010/main" xmlns="" spid="_x0000_s533717"/>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098" name="Group Box 46" hidden="1">
          <a:extLst>
            <a:ext uri="{63B3BB69-23CF-44E3-9099-C40C66FF867C}">
              <a14:compatExt xmlns:a14="http://schemas.microsoft.com/office/drawing/2010/main" xmlns="" spid="_x0000_s533718"/>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099" name="Group Box 51" hidden="1">
          <a:extLst>
            <a:ext uri="{63B3BB69-23CF-44E3-9099-C40C66FF867C}">
              <a14:compatExt xmlns:a14="http://schemas.microsoft.com/office/drawing/2010/main" xmlns="" spid="_x0000_s533719"/>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100" name="Group Box 56" hidden="1">
          <a:extLst>
            <a:ext uri="{63B3BB69-23CF-44E3-9099-C40C66FF867C}">
              <a14:compatExt xmlns:a14="http://schemas.microsoft.com/office/drawing/2010/main" xmlns="" spid="_x0000_s533720"/>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101" name="Group Box 61" hidden="1">
          <a:extLst>
            <a:ext uri="{63B3BB69-23CF-44E3-9099-C40C66FF867C}">
              <a14:compatExt xmlns:a14="http://schemas.microsoft.com/office/drawing/2010/main" xmlns="" spid="_x0000_s533721"/>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102" name="Group Box 96" hidden="1">
          <a:extLst>
            <a:ext uri="{63B3BB69-23CF-44E3-9099-C40C66FF867C}">
              <a14:compatExt xmlns:a14="http://schemas.microsoft.com/office/drawing/2010/main" xmlns="" spid="_x0000_s533722"/>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103" name="Group Box 101" hidden="1">
          <a:extLst>
            <a:ext uri="{63B3BB69-23CF-44E3-9099-C40C66FF867C}">
              <a14:compatExt xmlns:a14="http://schemas.microsoft.com/office/drawing/2010/main" xmlns="" spid="_x0000_s533723"/>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104" name="Group Box 106" hidden="1">
          <a:extLst>
            <a:ext uri="{63B3BB69-23CF-44E3-9099-C40C66FF867C}">
              <a14:compatExt xmlns:a14="http://schemas.microsoft.com/office/drawing/2010/main" xmlns="" spid="_x0000_s533724"/>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105" name="Group Box 111" hidden="1">
          <a:extLst>
            <a:ext uri="{63B3BB69-23CF-44E3-9099-C40C66FF867C}">
              <a14:compatExt xmlns:a14="http://schemas.microsoft.com/office/drawing/2010/main" xmlns="" spid="_x0000_s533725"/>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106" name="Group Box 146" hidden="1">
          <a:extLst>
            <a:ext uri="{63B3BB69-23CF-44E3-9099-C40C66FF867C}">
              <a14:compatExt xmlns:a14="http://schemas.microsoft.com/office/drawing/2010/main" xmlns="" spid="_x0000_s533726"/>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107" name="Group Box 151" hidden="1">
          <a:extLst>
            <a:ext uri="{63B3BB69-23CF-44E3-9099-C40C66FF867C}">
              <a14:compatExt xmlns:a14="http://schemas.microsoft.com/office/drawing/2010/main" xmlns="" spid="_x0000_s533727"/>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108" name="Group Box 156" hidden="1">
          <a:extLst>
            <a:ext uri="{63B3BB69-23CF-44E3-9099-C40C66FF867C}">
              <a14:compatExt xmlns:a14="http://schemas.microsoft.com/office/drawing/2010/main" xmlns="" spid="_x0000_s533728"/>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109" name="Group Box 161" hidden="1">
          <a:extLst>
            <a:ext uri="{63B3BB69-23CF-44E3-9099-C40C66FF867C}">
              <a14:compatExt xmlns:a14="http://schemas.microsoft.com/office/drawing/2010/main" xmlns="" spid="_x0000_s533729"/>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110" name="Group Box 171" hidden="1">
          <a:extLst>
            <a:ext uri="{63B3BB69-23CF-44E3-9099-C40C66FF867C}">
              <a14:compatExt xmlns:a14="http://schemas.microsoft.com/office/drawing/2010/main" xmlns="" spid="_x0000_s533730"/>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111" name="Group Box 176" hidden="1">
          <a:extLst>
            <a:ext uri="{63B3BB69-23CF-44E3-9099-C40C66FF867C}">
              <a14:compatExt xmlns:a14="http://schemas.microsoft.com/office/drawing/2010/main" xmlns="" spid="_x0000_s533731"/>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112" name="Group Box 181" hidden="1">
          <a:extLst>
            <a:ext uri="{63B3BB69-23CF-44E3-9099-C40C66FF867C}">
              <a14:compatExt xmlns:a14="http://schemas.microsoft.com/office/drawing/2010/main" xmlns="" spid="_x0000_s533732"/>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113" name="Group Box 186" hidden="1">
          <a:extLst>
            <a:ext uri="{63B3BB69-23CF-44E3-9099-C40C66FF867C}">
              <a14:compatExt xmlns:a14="http://schemas.microsoft.com/office/drawing/2010/main" xmlns="" spid="_x0000_s533733"/>
            </a:ext>
          </a:extLst>
        </xdr:cNvPr>
        <xdr:cNvSpPr/>
      </xdr:nvSpPr>
      <xdr:spPr>
        <a:xfrm>
          <a:off x="0" y="0"/>
          <a:ext cx="0" cy="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114"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115"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116"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117"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118"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119"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120"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121"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122"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123"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124"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125"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126"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127"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128"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129"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130"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131"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132"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133"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134"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135"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136"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137"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138"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139"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140"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141"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142"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143"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144"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145"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146"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147"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148"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149"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150"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151"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152"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153"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154"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155"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156"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157"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158"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159"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3530"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3531"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3532"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3533"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3534"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3586"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3587"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3588"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3589"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3590"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3691"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3692"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3693"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694"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695"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160"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161"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162"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163"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164"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165"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166"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167"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168"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169"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170"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171"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172"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173"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174"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175"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176"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177"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178"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179"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180"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181"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182"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183"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184"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185"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186"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187"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188"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189"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190"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191"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192"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193"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194"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195"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196"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197"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198"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199"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200"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201"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202"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203"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204"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205"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206"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207"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208"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209"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210"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211"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212"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213"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214"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215"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216"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217"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218"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219"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220"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221"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222"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223"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224"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225"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226"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227"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228"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229"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230"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231"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232"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233"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234"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235"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236"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237"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238"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239"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240"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241"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242"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243"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244"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245"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246"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247"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248"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249"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250"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251"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252"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253"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254"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255"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256"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257"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258"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259"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260"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261"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262"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263"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264"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265"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266"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267"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268"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269"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270"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271"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272"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273"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274"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275"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276"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277"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278"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279"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280"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281"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282"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283" name="Group Box 5" hidden="1">
          <a:extLst>
            <a:ext uri="{63B3BB69-23CF-44E3-9099-C40C66FF867C}">
              <a14:compatExt xmlns:a14="http://schemas.microsoft.com/office/drawing/2010/main" xmlns="" spid="_x0000_s533711"/>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284" name="Group Box 10" hidden="1">
          <a:extLst>
            <a:ext uri="{63B3BB69-23CF-44E3-9099-C40C66FF867C}">
              <a14:compatExt xmlns:a14="http://schemas.microsoft.com/office/drawing/2010/main" xmlns="" spid="_x0000_s533712"/>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285" name="Group Box 15" hidden="1">
          <a:extLst>
            <a:ext uri="{63B3BB69-23CF-44E3-9099-C40C66FF867C}">
              <a14:compatExt xmlns:a14="http://schemas.microsoft.com/office/drawing/2010/main" xmlns="" spid="_x0000_s533713"/>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286" name="Group Box 25" hidden="1">
          <a:extLst>
            <a:ext uri="{63B3BB69-23CF-44E3-9099-C40C66FF867C}">
              <a14:compatExt xmlns:a14="http://schemas.microsoft.com/office/drawing/2010/main" xmlns="" spid="_x0000_s533714"/>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287" name="Group Box 30" hidden="1">
          <a:extLst>
            <a:ext uri="{63B3BB69-23CF-44E3-9099-C40C66FF867C}">
              <a14:compatExt xmlns:a14="http://schemas.microsoft.com/office/drawing/2010/main" xmlns="" spid="_x0000_s533715"/>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288" name="Group Box 35" hidden="1">
          <a:extLst>
            <a:ext uri="{63B3BB69-23CF-44E3-9099-C40C66FF867C}">
              <a14:compatExt xmlns:a14="http://schemas.microsoft.com/office/drawing/2010/main" xmlns="" spid="_x0000_s533716"/>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289" name="Group Box 40" hidden="1">
          <a:extLst>
            <a:ext uri="{63B3BB69-23CF-44E3-9099-C40C66FF867C}">
              <a14:compatExt xmlns:a14="http://schemas.microsoft.com/office/drawing/2010/main" xmlns="" spid="_x0000_s533717"/>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290" name="Group Box 46" hidden="1">
          <a:extLst>
            <a:ext uri="{63B3BB69-23CF-44E3-9099-C40C66FF867C}">
              <a14:compatExt xmlns:a14="http://schemas.microsoft.com/office/drawing/2010/main" xmlns="" spid="_x0000_s533718"/>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291" name="Group Box 51" hidden="1">
          <a:extLst>
            <a:ext uri="{63B3BB69-23CF-44E3-9099-C40C66FF867C}">
              <a14:compatExt xmlns:a14="http://schemas.microsoft.com/office/drawing/2010/main" xmlns="" spid="_x0000_s533719"/>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292" name="Group Box 56" hidden="1">
          <a:extLst>
            <a:ext uri="{63B3BB69-23CF-44E3-9099-C40C66FF867C}">
              <a14:compatExt xmlns:a14="http://schemas.microsoft.com/office/drawing/2010/main" xmlns="" spid="_x0000_s533720"/>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293" name="Group Box 61" hidden="1">
          <a:extLst>
            <a:ext uri="{63B3BB69-23CF-44E3-9099-C40C66FF867C}">
              <a14:compatExt xmlns:a14="http://schemas.microsoft.com/office/drawing/2010/main" xmlns="" spid="_x0000_s533721"/>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294" name="Group Box 96" hidden="1">
          <a:extLst>
            <a:ext uri="{63B3BB69-23CF-44E3-9099-C40C66FF867C}">
              <a14:compatExt xmlns:a14="http://schemas.microsoft.com/office/drawing/2010/main" xmlns="" spid="_x0000_s533722"/>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295" name="Group Box 101" hidden="1">
          <a:extLst>
            <a:ext uri="{63B3BB69-23CF-44E3-9099-C40C66FF867C}">
              <a14:compatExt xmlns:a14="http://schemas.microsoft.com/office/drawing/2010/main" xmlns="" spid="_x0000_s533723"/>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296" name="Group Box 106" hidden="1">
          <a:extLst>
            <a:ext uri="{63B3BB69-23CF-44E3-9099-C40C66FF867C}">
              <a14:compatExt xmlns:a14="http://schemas.microsoft.com/office/drawing/2010/main" xmlns="" spid="_x0000_s533724"/>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297" name="Group Box 111" hidden="1">
          <a:extLst>
            <a:ext uri="{63B3BB69-23CF-44E3-9099-C40C66FF867C}">
              <a14:compatExt xmlns:a14="http://schemas.microsoft.com/office/drawing/2010/main" xmlns="" spid="_x0000_s533725"/>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298" name="Group Box 146" hidden="1">
          <a:extLst>
            <a:ext uri="{63B3BB69-23CF-44E3-9099-C40C66FF867C}">
              <a14:compatExt xmlns:a14="http://schemas.microsoft.com/office/drawing/2010/main" xmlns="" spid="_x0000_s533726"/>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299" name="Group Box 151" hidden="1">
          <a:extLst>
            <a:ext uri="{63B3BB69-23CF-44E3-9099-C40C66FF867C}">
              <a14:compatExt xmlns:a14="http://schemas.microsoft.com/office/drawing/2010/main" xmlns="" spid="_x0000_s533727"/>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300" name="Group Box 156" hidden="1">
          <a:extLst>
            <a:ext uri="{63B3BB69-23CF-44E3-9099-C40C66FF867C}">
              <a14:compatExt xmlns:a14="http://schemas.microsoft.com/office/drawing/2010/main" xmlns="" spid="_x0000_s533728"/>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301" name="Group Box 161" hidden="1">
          <a:extLst>
            <a:ext uri="{63B3BB69-23CF-44E3-9099-C40C66FF867C}">
              <a14:compatExt xmlns:a14="http://schemas.microsoft.com/office/drawing/2010/main" xmlns="" spid="_x0000_s533729"/>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302" name="Group Box 171" hidden="1">
          <a:extLst>
            <a:ext uri="{63B3BB69-23CF-44E3-9099-C40C66FF867C}">
              <a14:compatExt xmlns:a14="http://schemas.microsoft.com/office/drawing/2010/main" xmlns="" spid="_x0000_s533730"/>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303" name="Group Box 176" hidden="1">
          <a:extLst>
            <a:ext uri="{63B3BB69-23CF-44E3-9099-C40C66FF867C}">
              <a14:compatExt xmlns:a14="http://schemas.microsoft.com/office/drawing/2010/main" xmlns="" spid="_x0000_s533731"/>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304" name="Group Box 181" hidden="1">
          <a:extLst>
            <a:ext uri="{63B3BB69-23CF-44E3-9099-C40C66FF867C}">
              <a14:compatExt xmlns:a14="http://schemas.microsoft.com/office/drawing/2010/main" xmlns="" spid="_x0000_s533732"/>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305" name="Group Box 186" hidden="1">
          <a:extLst>
            <a:ext uri="{63B3BB69-23CF-44E3-9099-C40C66FF867C}">
              <a14:compatExt xmlns:a14="http://schemas.microsoft.com/office/drawing/2010/main" xmlns="" spid="_x0000_s533733"/>
            </a:ext>
          </a:extLst>
        </xdr:cNvPr>
        <xdr:cNvSpPr/>
      </xdr:nvSpPr>
      <xdr:spPr>
        <a:xfrm>
          <a:off x="0" y="0"/>
          <a:ext cx="0" cy="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306" name="Group Box 5" hidden="1">
          <a:extLst>
            <a:ext uri="{63B3BB69-23CF-44E3-9099-C40C66FF867C}">
              <a14:compatExt xmlns:a14="http://schemas.microsoft.com/office/drawing/2010/main" xmlns="" spid="_x0000_s533711"/>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307" name="Group Box 10" hidden="1">
          <a:extLst>
            <a:ext uri="{63B3BB69-23CF-44E3-9099-C40C66FF867C}">
              <a14:compatExt xmlns:a14="http://schemas.microsoft.com/office/drawing/2010/main" xmlns="" spid="_x0000_s533712"/>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308" name="Group Box 15" hidden="1">
          <a:extLst>
            <a:ext uri="{63B3BB69-23CF-44E3-9099-C40C66FF867C}">
              <a14:compatExt xmlns:a14="http://schemas.microsoft.com/office/drawing/2010/main" xmlns="" spid="_x0000_s533713"/>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309" name="Group Box 25" hidden="1">
          <a:extLst>
            <a:ext uri="{63B3BB69-23CF-44E3-9099-C40C66FF867C}">
              <a14:compatExt xmlns:a14="http://schemas.microsoft.com/office/drawing/2010/main" xmlns="" spid="_x0000_s533714"/>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310" name="Group Box 30" hidden="1">
          <a:extLst>
            <a:ext uri="{63B3BB69-23CF-44E3-9099-C40C66FF867C}">
              <a14:compatExt xmlns:a14="http://schemas.microsoft.com/office/drawing/2010/main" xmlns="" spid="_x0000_s533715"/>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311" name="Group Box 35" hidden="1">
          <a:extLst>
            <a:ext uri="{63B3BB69-23CF-44E3-9099-C40C66FF867C}">
              <a14:compatExt xmlns:a14="http://schemas.microsoft.com/office/drawing/2010/main" xmlns="" spid="_x0000_s533716"/>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312" name="Group Box 40" hidden="1">
          <a:extLst>
            <a:ext uri="{63B3BB69-23CF-44E3-9099-C40C66FF867C}">
              <a14:compatExt xmlns:a14="http://schemas.microsoft.com/office/drawing/2010/main" xmlns="" spid="_x0000_s533717"/>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313" name="Group Box 46" hidden="1">
          <a:extLst>
            <a:ext uri="{63B3BB69-23CF-44E3-9099-C40C66FF867C}">
              <a14:compatExt xmlns:a14="http://schemas.microsoft.com/office/drawing/2010/main" xmlns="" spid="_x0000_s533718"/>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314" name="Group Box 51" hidden="1">
          <a:extLst>
            <a:ext uri="{63B3BB69-23CF-44E3-9099-C40C66FF867C}">
              <a14:compatExt xmlns:a14="http://schemas.microsoft.com/office/drawing/2010/main" xmlns="" spid="_x0000_s533719"/>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315" name="Group Box 56" hidden="1">
          <a:extLst>
            <a:ext uri="{63B3BB69-23CF-44E3-9099-C40C66FF867C}">
              <a14:compatExt xmlns:a14="http://schemas.microsoft.com/office/drawing/2010/main" xmlns="" spid="_x0000_s533720"/>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316" name="Group Box 61" hidden="1">
          <a:extLst>
            <a:ext uri="{63B3BB69-23CF-44E3-9099-C40C66FF867C}">
              <a14:compatExt xmlns:a14="http://schemas.microsoft.com/office/drawing/2010/main" xmlns="" spid="_x0000_s533721"/>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317" name="Group Box 96" hidden="1">
          <a:extLst>
            <a:ext uri="{63B3BB69-23CF-44E3-9099-C40C66FF867C}">
              <a14:compatExt xmlns:a14="http://schemas.microsoft.com/office/drawing/2010/main" xmlns="" spid="_x0000_s533722"/>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318" name="Group Box 101" hidden="1">
          <a:extLst>
            <a:ext uri="{63B3BB69-23CF-44E3-9099-C40C66FF867C}">
              <a14:compatExt xmlns:a14="http://schemas.microsoft.com/office/drawing/2010/main" xmlns="" spid="_x0000_s533723"/>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319" name="Group Box 106" hidden="1">
          <a:extLst>
            <a:ext uri="{63B3BB69-23CF-44E3-9099-C40C66FF867C}">
              <a14:compatExt xmlns:a14="http://schemas.microsoft.com/office/drawing/2010/main" xmlns="" spid="_x0000_s533724"/>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320" name="Group Box 111" hidden="1">
          <a:extLst>
            <a:ext uri="{63B3BB69-23CF-44E3-9099-C40C66FF867C}">
              <a14:compatExt xmlns:a14="http://schemas.microsoft.com/office/drawing/2010/main" xmlns="" spid="_x0000_s533725"/>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321" name="Group Box 146" hidden="1">
          <a:extLst>
            <a:ext uri="{63B3BB69-23CF-44E3-9099-C40C66FF867C}">
              <a14:compatExt xmlns:a14="http://schemas.microsoft.com/office/drawing/2010/main" xmlns="" spid="_x0000_s533726"/>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322" name="Group Box 151" hidden="1">
          <a:extLst>
            <a:ext uri="{63B3BB69-23CF-44E3-9099-C40C66FF867C}">
              <a14:compatExt xmlns:a14="http://schemas.microsoft.com/office/drawing/2010/main" xmlns="" spid="_x0000_s533727"/>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323" name="Group Box 156" hidden="1">
          <a:extLst>
            <a:ext uri="{63B3BB69-23CF-44E3-9099-C40C66FF867C}">
              <a14:compatExt xmlns:a14="http://schemas.microsoft.com/office/drawing/2010/main" xmlns="" spid="_x0000_s533728"/>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324" name="Group Box 161" hidden="1">
          <a:extLst>
            <a:ext uri="{63B3BB69-23CF-44E3-9099-C40C66FF867C}">
              <a14:compatExt xmlns:a14="http://schemas.microsoft.com/office/drawing/2010/main" xmlns="" spid="_x0000_s533729"/>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325" name="Group Box 171" hidden="1">
          <a:extLst>
            <a:ext uri="{63B3BB69-23CF-44E3-9099-C40C66FF867C}">
              <a14:compatExt xmlns:a14="http://schemas.microsoft.com/office/drawing/2010/main" xmlns="" spid="_x0000_s533730"/>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326" name="Group Box 176" hidden="1">
          <a:extLst>
            <a:ext uri="{63B3BB69-23CF-44E3-9099-C40C66FF867C}">
              <a14:compatExt xmlns:a14="http://schemas.microsoft.com/office/drawing/2010/main" xmlns="" spid="_x0000_s533731"/>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327" name="Group Box 181" hidden="1">
          <a:extLst>
            <a:ext uri="{63B3BB69-23CF-44E3-9099-C40C66FF867C}">
              <a14:compatExt xmlns:a14="http://schemas.microsoft.com/office/drawing/2010/main" xmlns="" spid="_x0000_s533732"/>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328" name="Group Box 186" hidden="1">
          <a:extLst>
            <a:ext uri="{63B3BB69-23CF-44E3-9099-C40C66FF867C}">
              <a14:compatExt xmlns:a14="http://schemas.microsoft.com/office/drawing/2010/main" xmlns="" spid="_x0000_s533733"/>
            </a:ext>
          </a:extLst>
        </xdr:cNvPr>
        <xdr:cNvSpPr/>
      </xdr:nvSpPr>
      <xdr:spPr>
        <a:xfrm>
          <a:off x="0" y="0"/>
          <a:ext cx="0" cy="0"/>
        </a:xfrm>
        <a:prstGeom prst="rect">
          <a:avLst/>
        </a:prstGeom>
      </xdr:spPr>
    </xdr:sp>
    <xdr:clientData/>
  </xdr:twoCellAnchor>
</xdr:wsDr>
</file>

<file path=xl/drawings/drawing6.xml><?xml version="1.0" encoding="utf-8"?>
<xdr:wsDr xmlns:xdr="http://schemas.openxmlformats.org/drawingml/2006/spreadsheetDrawing" xmlns:a="http://schemas.openxmlformats.org/drawingml/2006/main">
  <xdr:oneCellAnchor>
    <xdr:from>
      <xdr:col>42</xdr:col>
      <xdr:colOff>421984</xdr:colOff>
      <xdr:row>18</xdr:row>
      <xdr:rowOff>0</xdr:rowOff>
    </xdr:from>
    <xdr:ext cx="663771" cy="311496"/>
    <xdr:sp macro="" textlink="">
      <xdr:nvSpPr>
        <xdr:cNvPr id="6" name="TextBox 5"/>
        <xdr:cNvSpPr txBox="1"/>
      </xdr:nvSpPr>
      <xdr:spPr>
        <a:xfrm>
          <a:off x="31483009" y="6521641"/>
          <a:ext cx="663771" cy="311496"/>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GB" sz="1400" b="1">
              <a:solidFill>
                <a:schemeClr val="bg1"/>
              </a:solidFill>
              <a:latin typeface="+mj-lt"/>
            </a:rPr>
            <a:t>Target</a:t>
          </a:r>
        </a:p>
      </xdr:txBody>
    </xdr:sp>
    <xdr:clientData/>
  </xdr:oneCellAnchor>
  <xdr:twoCellAnchor>
    <xdr:from>
      <xdr:col>38</xdr:col>
      <xdr:colOff>254000</xdr:colOff>
      <xdr:row>1</xdr:row>
      <xdr:rowOff>111125</xdr:rowOff>
    </xdr:from>
    <xdr:to>
      <xdr:col>39</xdr:col>
      <xdr:colOff>492125</xdr:colOff>
      <xdr:row>1</xdr:row>
      <xdr:rowOff>333375</xdr:rowOff>
    </xdr:to>
    <xdr:sp macro="" textlink="">
      <xdr:nvSpPr>
        <xdr:cNvPr id="5" name="Left Arrow 4">
          <a:hlinkClick xmlns:r="http://schemas.openxmlformats.org/officeDocument/2006/relationships" r:id="rId1"/>
        </xdr:cNvPr>
        <xdr:cNvSpPr/>
      </xdr:nvSpPr>
      <xdr:spPr>
        <a:xfrm>
          <a:off x="29638625" y="508000"/>
          <a:ext cx="873125" cy="222250"/>
        </a:xfrm>
        <a:prstGeom prst="leftArrow">
          <a:avLst/>
        </a:prstGeom>
        <a:solidFill>
          <a:srgbClr val="FFC000"/>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1304925</xdr:colOff>
      <xdr:row>62</xdr:row>
      <xdr:rowOff>95250</xdr:rowOff>
    </xdr:from>
    <xdr:to>
      <xdr:col>51</xdr:col>
      <xdr:colOff>95250</xdr:colOff>
      <xdr:row>81</xdr:row>
      <xdr:rowOff>185737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609600</xdr:colOff>
      <xdr:row>0</xdr:row>
      <xdr:rowOff>0</xdr:rowOff>
    </xdr:from>
    <xdr:to>
      <xdr:col>51</xdr:col>
      <xdr:colOff>295275</xdr:colOff>
      <xdr:row>13</xdr:row>
      <xdr:rowOff>38100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51</xdr:col>
      <xdr:colOff>571500</xdr:colOff>
      <xdr:row>104</xdr:row>
      <xdr:rowOff>109537</xdr:rowOff>
    </xdr:from>
    <xdr:to>
      <xdr:col>56</xdr:col>
      <xdr:colOff>809625</xdr:colOff>
      <xdr:row>118</xdr:row>
      <xdr:rowOff>119062</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695325</xdr:colOff>
      <xdr:row>694</xdr:row>
      <xdr:rowOff>147637</xdr:rowOff>
    </xdr:from>
    <xdr:to>
      <xdr:col>5</xdr:col>
      <xdr:colOff>476250</xdr:colOff>
      <xdr:row>711</xdr:row>
      <xdr:rowOff>138112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12</xdr:col>
      <xdr:colOff>492125</xdr:colOff>
      <xdr:row>31</xdr:row>
      <xdr:rowOff>157162</xdr:rowOff>
    </xdr:from>
    <xdr:to>
      <xdr:col>19</xdr:col>
      <xdr:colOff>3175</xdr:colOff>
      <xdr:row>49</xdr:row>
      <xdr:rowOff>128587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imanshu/Downloads/E/ADD%20THIS%20JAN%2016/Users/Administrator.SSEF-LAPTOP/Downloads/LBNL/2050-calculator-with-cos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imanshu/Downloads/E/ADD%20THIS%20JAN%2016/Users/himanshu/Downloads/Wallonia%202050%20GHG%20reduction%20model%20-%20FINAL.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himanshu/Downloads/E/ADD%20THIS%20JAN%2016/Users/himanshu/Downloads/Gas%20Reserves%20and%20generation.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himanshu/Downloads/E/ADD%20THIS%20JAN%2016/To%20be%20added_New%20transport.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himanshu/Downloads/Users/tamc/Desktop/WHPUSR04/rcurran$/Users/himanshu/Downloads/Gas_V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himanshu/Downloads/Users/tamc/Desktop/WHPUSR04/rcurran$/Users/himanshu/Downloads/Desktop/Yeshika/Nuclear%20IIa.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himanshu/Downloads/Users/tamc/Desktop/WHPUSR04/rcurran$/Users/Administrator.SSEF-LAPTOP/Downloads/LBNL/2050-calculator-with-costs.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himanshu/Downloads/Users/tamc/Desktop/WHPUSR04/rcurran$/Users/himanshu/Downloads/Waste%20to%20Energy_Final.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himanshu/Downloads/Users/tamc/Desktop/WHPUSR04/rcurran$/Users/himanshu/Downloads/Yeshika/Nuclear%20IIa.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himanshu/Downloads/Users/tamc/Desktop/WHPUSR04/rcurran$/Users/Astha/Desktop/Buildings%20and%20L&amp;A_V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himanshu/Downloads/E/ADD%20THIS%20JAN%2016/Users/himanshu/Downloads/IES2047-Version1301_10pm.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himanshu/Downloads/E/ADD%20THIS%20JAN%2016/Users/Administrator.SSEF-LAPTOP/Downloads/Mop%20PPT/India%20Energy%20Scenarios%202047-version%201.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himanshu/Downloads/Users/tamc/Desktop/WHPUSR04/rcurran$/Users/Administrator.SSEF-LAPTOP/Downloads/Energy%20Planning%20Tool-him/2050-calculator-with-costs.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himanshu/Downloads/Users/tamc/Desktop/WHPUSR04/rcurran$/C/WINNT/Profiles/tcounsel/Local%20Settings/Temporary%20Internet%20Files/Content.Outlook/XNG4HC4C/2050%20Calculator%20-%20Imported%20fuel%20costs.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himanshu/Downloads/Users/tamc/Desktop/WHPUSR04/rcurran$/Users/tamc/Desktop/IES2047-final%20Version1601%20-%20without%20cost_Baselin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ntrol"/>
      <sheetName val="Preferences"/>
      <sheetName val="Intermediate output"/>
      <sheetName val="Land Use"/>
      <sheetName val="Flows"/>
      <sheetName val="CostPerCapita"/>
      <sheetName val="CostAbsolute"/>
      <sheetName val="AQ Outputs"/>
      <sheetName val="AQImpactHInv"/>
      <sheetName val="AQImpactLInv"/>
      <sheetName val="Other AQ Sources"/>
      <sheetName val="Conversions"/>
      <sheetName val="Global assumptions"/>
      <sheetName val="Constants"/>
      <sheetName val="Structure of the model"/>
      <sheetName val="I.a"/>
      <sheetName val="I.b"/>
      <sheetName val="II.a"/>
      <sheetName val="III.a.1"/>
      <sheetName val="III.a.2"/>
      <sheetName val="III.b"/>
      <sheetName val="III.c"/>
      <sheetName val="III.d"/>
      <sheetName val="IV.a"/>
      <sheetName val="IV.b"/>
      <sheetName val="IV.c"/>
      <sheetName val="V.a"/>
      <sheetName val="V.b"/>
      <sheetName val="VI.a"/>
      <sheetName val="VI.b"/>
      <sheetName val="VI.c"/>
      <sheetName val="VII.a"/>
      <sheetName val="VII.b"/>
      <sheetName val="VII.c"/>
      <sheetName val="VIII.a"/>
      <sheetName val="IX.a"/>
      <sheetName val="IX.c"/>
      <sheetName val="X.a"/>
      <sheetName val="X.b"/>
      <sheetName val="XI.a"/>
      <sheetName val="XII.a"/>
      <sheetName val="XII.b"/>
      <sheetName val="XII.c"/>
      <sheetName val="XII.e"/>
      <sheetName val="XIV.a"/>
      <sheetName val="XV.a"/>
      <sheetName val="XV.b"/>
      <sheetName val="XVI.a"/>
      <sheetName val="XVI.b"/>
      <sheetName val="XVII.a"/>
      <sheetName val="XVIII.a"/>
      <sheetName val="2007 (Actual, frozen)"/>
      <sheetName val="2007 (Consistent)"/>
      <sheetName val="2007"/>
      <sheetName val="2010"/>
      <sheetName val="2015"/>
      <sheetName val="2020"/>
      <sheetName val="2025"/>
      <sheetName val="2030"/>
      <sheetName val="2035"/>
      <sheetName val="2040"/>
      <sheetName val="2045"/>
      <sheetName val="2050"/>
      <sheetName val="DUKES 09 (1.2)"/>
      <sheetName val="DUKES 09 (1.9)"/>
      <sheetName val="DUKES 09 (2.5)"/>
      <sheetName val="DUKES 09 (5.1)"/>
      <sheetName val="DUKES 09 (5.6)"/>
      <sheetName val="DUKES 09 (7.2)"/>
      <sheetName val="DUKES 09 (7.4)"/>
      <sheetName val="DUKES 09 (A.1)"/>
      <sheetName val="DECC Energy Cons. (1.14)"/>
      <sheetName val="DECC Energy Cons. (4.1)"/>
      <sheetName val="2050-calculator-with-costs"/>
      <sheetName val="2050-calculator-with-costs.xls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8">
          <cell r="C8">
            <v>7.2500000000000004E-9</v>
          </cell>
        </row>
        <row r="9">
          <cell r="C9">
            <v>8.277777777777778E-9</v>
          </cell>
        </row>
        <row r="10">
          <cell r="C10">
            <v>6.8888888888888888E-9</v>
          </cell>
        </row>
        <row r="17">
          <cell r="C17">
            <v>1.2651871239786547E-8</v>
          </cell>
        </row>
        <row r="18">
          <cell r="C18">
            <v>1.2827208886163561E-8</v>
          </cell>
        </row>
        <row r="21">
          <cell r="C21">
            <v>1.1016960011247869E-8</v>
          </cell>
        </row>
      </sheetData>
      <sheetData sheetId="14" refreshError="1"/>
      <sheetData sheetId="15" refreshError="1"/>
      <sheetData sheetId="16" refreshError="1">
        <row r="87">
          <cell r="F87">
            <v>1.2</v>
          </cell>
        </row>
      </sheetData>
      <sheetData sheetId="17" refreshError="1">
        <row r="71">
          <cell r="F71">
            <v>3</v>
          </cell>
        </row>
      </sheetData>
      <sheetData sheetId="18" refreshError="1">
        <row r="47">
          <cell r="F47">
            <v>2.5000000000000001E-3</v>
          </cell>
        </row>
      </sheetData>
      <sheetData sheetId="19" refreshError="1">
        <row r="53">
          <cell r="F53">
            <v>5.7999999999999996E-3</v>
          </cell>
        </row>
      </sheetData>
      <sheetData sheetId="20" refreshError="1">
        <row r="39">
          <cell r="F39">
            <v>0.1</v>
          </cell>
        </row>
      </sheetData>
      <sheetData sheetId="21" refreshError="1">
        <row r="77">
          <cell r="F77">
            <v>1.5E-3</v>
          </cell>
        </row>
        <row r="79">
          <cell r="F79">
            <v>0.24</v>
          </cell>
        </row>
        <row r="81">
          <cell r="F81">
            <v>2E-3</v>
          </cell>
        </row>
      </sheetData>
      <sheetData sheetId="22" refreshError="1">
        <row r="36">
          <cell r="F36">
            <v>0.01</v>
          </cell>
        </row>
      </sheetData>
      <sheetData sheetId="23" refreshError="1"/>
      <sheetData sheetId="24" refreshError="1"/>
      <sheetData sheetId="25" refreshError="1"/>
      <sheetData sheetId="26" refreshError="1">
        <row r="84">
          <cell r="F84">
            <v>1</v>
          </cell>
        </row>
        <row r="87">
          <cell r="F87">
            <v>1</v>
          </cell>
        </row>
        <row r="88">
          <cell r="F88">
            <v>1</v>
          </cell>
        </row>
        <row r="89">
          <cell r="F89">
            <v>1</v>
          </cell>
        </row>
        <row r="90">
          <cell r="F90">
            <v>1</v>
          </cell>
        </row>
        <row r="91">
          <cell r="F91">
            <v>1</v>
          </cell>
        </row>
        <row r="92">
          <cell r="F92">
            <v>1</v>
          </cell>
        </row>
        <row r="93">
          <cell r="F93">
            <v>1</v>
          </cell>
        </row>
        <row r="94">
          <cell r="F94">
            <v>1</v>
          </cell>
        </row>
        <row r="95">
          <cell r="F95">
            <v>1</v>
          </cell>
        </row>
        <row r="96">
          <cell r="F96">
            <v>1</v>
          </cell>
        </row>
        <row r="97">
          <cell r="F97">
            <v>1</v>
          </cell>
        </row>
        <row r="98">
          <cell r="F98">
            <v>1</v>
          </cell>
        </row>
      </sheetData>
      <sheetData sheetId="27" refreshError="1"/>
      <sheetData sheetId="28" refreshError="1"/>
      <sheetData sheetId="29" refreshError="1">
        <row r="188">
          <cell r="E188">
            <v>0.25</v>
          </cell>
        </row>
        <row r="193">
          <cell r="E193">
            <v>5.3333333333333332E-3</v>
          </cell>
        </row>
        <row r="194">
          <cell r="E194">
            <v>3.0000000000000005E-3</v>
          </cell>
        </row>
        <row r="199">
          <cell r="E199">
            <v>1E-3</v>
          </cell>
        </row>
      </sheetData>
      <sheetData sheetId="30" refreshError="1"/>
      <sheetData sheetId="31" refreshError="1"/>
      <sheetData sheetId="32" refreshError="1"/>
      <sheetData sheetId="33" refreshError="1"/>
      <sheetData sheetId="34" refreshError="1"/>
      <sheetData sheetId="35" refreshError="1"/>
      <sheetData sheetId="36" refreshError="1">
        <row r="12">
          <cell r="I12">
            <v>23</v>
          </cell>
        </row>
      </sheetData>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Control"/>
      <sheetName val="Charts"/>
      <sheetName val="Outputs Volumes"/>
      <sheetName val="Comparison"/>
      <sheetName val="Scenarios chart"/>
      <sheetName val="Output Costs"/>
      <sheetName val="Costs charts"/>
      <sheetName val="Preferences"/>
      <sheetName val="I.a"/>
      <sheetName val="I.b"/>
      <sheetName val="II.a"/>
      <sheetName val="III.a.1"/>
      <sheetName val="III.a.2"/>
      <sheetName val="III.b"/>
      <sheetName val="III.c"/>
      <sheetName val="III.d"/>
      <sheetName val="IV.a"/>
      <sheetName val="IV.b"/>
      <sheetName val="IV.c"/>
      <sheetName val="V.a"/>
      <sheetName val="V.b"/>
      <sheetName val="VI.a"/>
      <sheetName val="VI.b"/>
      <sheetName val="VI.c"/>
      <sheetName val="VII.a"/>
      <sheetName val="VII.b"/>
      <sheetName val="VII.c"/>
      <sheetName val="VIII.a"/>
      <sheetName val="IX.a"/>
      <sheetName val="IX.c"/>
      <sheetName val="X.a"/>
      <sheetName val="X.b"/>
      <sheetName val="XI.a"/>
      <sheetName val="XI.b"/>
      <sheetName val="XI.c"/>
      <sheetName val="XI.d"/>
      <sheetName val="XI.e"/>
      <sheetName val="XI.f"/>
      <sheetName val="XI.g"/>
      <sheetName val="XI.h"/>
      <sheetName val="XII.a"/>
      <sheetName val="XII.b"/>
      <sheetName val="XII.c"/>
      <sheetName val="XII.e"/>
      <sheetName val="XIII.a"/>
      <sheetName val="XIV.a"/>
      <sheetName val="XV.a"/>
      <sheetName val="XV.b"/>
      <sheetName val="XVI.a"/>
      <sheetName val="XVI.b"/>
      <sheetName val="XVII.a"/>
      <sheetName val="Global assumptions"/>
      <sheetName val="Conversions"/>
      <sheetName val="Constants"/>
      <sheetName val="Combustion Emissions Factors"/>
      <sheetName val="{Workstreams}"/>
      <sheetName val="{Modules}"/>
      <sheetName val="{Vectors}"/>
      <sheetName val="{Emissions}"/>
      <sheetName val="XVIII"/>
      <sheetName val="2008"/>
      <sheetName val="2010"/>
      <sheetName val="2015"/>
      <sheetName val="2020"/>
      <sheetName val="2025"/>
      <sheetName val="2030"/>
      <sheetName val="2035"/>
      <sheetName val="2040"/>
      <sheetName val="2045"/>
      <sheetName val="2050"/>
      <sheetName val="Wallonia 2050 GHG reduction mod"/>
    </sheetNames>
    <sheetDataSet>
      <sheetData sheetId="0"/>
      <sheetData sheetId="1">
        <row r="2">
          <cell r="G2">
            <v>10</v>
          </cell>
          <cell r="T2">
            <v>20</v>
          </cell>
        </row>
        <row r="3">
          <cell r="T3">
            <v>13</v>
          </cell>
        </row>
        <row r="4">
          <cell r="G4">
            <v>30</v>
          </cell>
          <cell r="T4">
            <v>13</v>
          </cell>
        </row>
        <row r="5">
          <cell r="G5">
            <v>30</v>
          </cell>
        </row>
        <row r="6">
          <cell r="G6">
            <v>25</v>
          </cell>
          <cell r="T6">
            <v>30</v>
          </cell>
        </row>
        <row r="7">
          <cell r="T7">
            <v>20</v>
          </cell>
        </row>
        <row r="8">
          <cell r="G8">
            <v>30</v>
          </cell>
        </row>
        <row r="9">
          <cell r="G9">
            <v>10</v>
          </cell>
        </row>
        <row r="11">
          <cell r="G11">
            <v>3</v>
          </cell>
          <cell r="T11">
            <v>10</v>
          </cell>
        </row>
        <row r="12">
          <cell r="G12">
            <v>3</v>
          </cell>
        </row>
        <row r="13">
          <cell r="G13">
            <v>3</v>
          </cell>
          <cell r="T13">
            <v>10</v>
          </cell>
        </row>
        <row r="14">
          <cell r="G14">
            <v>3</v>
          </cell>
          <cell r="T14">
            <v>30</v>
          </cell>
        </row>
        <row r="16">
          <cell r="G16">
            <v>3</v>
          </cell>
        </row>
        <row r="17">
          <cell r="G17">
            <v>3</v>
          </cell>
        </row>
        <row r="19">
          <cell r="G19">
            <v>3</v>
          </cell>
        </row>
        <row r="20">
          <cell r="G20">
            <v>3</v>
          </cell>
        </row>
        <row r="21">
          <cell r="G21">
            <v>3</v>
          </cell>
        </row>
        <row r="22">
          <cell r="T22">
            <v>3</v>
          </cell>
        </row>
        <row r="23">
          <cell r="G23">
            <v>3</v>
          </cell>
          <cell r="T23">
            <v>2</v>
          </cell>
        </row>
        <row r="24">
          <cell r="G24">
            <v>3</v>
          </cell>
        </row>
        <row r="26">
          <cell r="G26">
            <v>30</v>
          </cell>
        </row>
        <row r="27">
          <cell r="G27">
            <v>30</v>
          </cell>
        </row>
        <row r="28">
          <cell r="T28">
            <v>25</v>
          </cell>
        </row>
        <row r="29">
          <cell r="G29">
            <v>30</v>
          </cell>
        </row>
        <row r="30">
          <cell r="G30">
            <v>30</v>
          </cell>
        </row>
        <row r="32">
          <cell r="G32">
            <v>30</v>
          </cell>
        </row>
        <row r="33">
          <cell r="G33">
            <v>30</v>
          </cell>
        </row>
        <row r="35">
          <cell r="G35">
            <v>30</v>
          </cell>
        </row>
        <row r="36">
          <cell r="G36">
            <v>30</v>
          </cell>
        </row>
        <row r="38">
          <cell r="G38">
            <v>30</v>
          </cell>
        </row>
        <row r="39">
          <cell r="G39">
            <v>30</v>
          </cell>
        </row>
        <row r="41">
          <cell r="G41">
            <v>30</v>
          </cell>
        </row>
        <row r="42">
          <cell r="G42">
            <v>30</v>
          </cell>
        </row>
        <row r="44">
          <cell r="G44">
            <v>20</v>
          </cell>
        </row>
      </sheetData>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ontrol"/>
      <sheetName val="Preferences"/>
      <sheetName val="Intermediate output"/>
      <sheetName val="Flows"/>
      <sheetName val="Conversions"/>
      <sheetName val="Global assumptions"/>
      <sheetName val="Constants"/>
      <sheetName val="Structure of the model"/>
      <sheetName val="II.b"/>
      <sheetName val="II.c"/>
      <sheetName val="XVII"/>
      <sheetName val="#REF"/>
      <sheetName val="Gas Reserves and generation"/>
    </sheetNames>
    <sheetDataSet>
      <sheetData sheetId="0"/>
      <sheetData sheetId="1"/>
      <sheetData sheetId="2"/>
      <sheetData sheetId="3"/>
      <sheetData sheetId="4"/>
      <sheetData sheetId="5"/>
      <sheetData sheetId="6"/>
      <sheetData sheetId="7"/>
      <sheetData sheetId="8"/>
      <sheetData sheetId="9">
        <row r="60">
          <cell r="E60">
            <v>1E-3</v>
          </cell>
        </row>
      </sheetData>
      <sheetData sheetId="10"/>
      <sheetData sheetId="11" refreshError="1"/>
      <sheetData sheetId="12"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I.a"/>
      <sheetName val="I.b"/>
      <sheetName val="I.c"/>
      <sheetName val="I.d"/>
      <sheetName val="II"/>
      <sheetName val="III"/>
      <sheetName val="IV.a"/>
      <sheetName val="IV.b"/>
      <sheetName val="IV.c.1"/>
      <sheetName val="IV.c.2"/>
      <sheetName val="IV.d"/>
      <sheetName val="V.a"/>
      <sheetName val="V.b"/>
      <sheetName val="V.c"/>
      <sheetName val="V.d"/>
      <sheetName val="V.e"/>
      <sheetName val="VI"/>
      <sheetName val="VII.a"/>
      <sheetName val="VII.b"/>
      <sheetName val="IX"/>
      <sheetName val="X.a"/>
      <sheetName val="XI"/>
      <sheetName val="X.b"/>
      <sheetName val="XII.a"/>
      <sheetName val="XII.b"/>
      <sheetName val="XIII.a"/>
      <sheetName val="XIII.b"/>
      <sheetName val="XIV"/>
      <sheetName val="XV.a"/>
      <sheetName val="XV.b"/>
      <sheetName val="XV.c"/>
      <sheetName val="XVI"/>
      <sheetName val="XVII.a"/>
      <sheetName val="XVII.b"/>
      <sheetName val="Preferences"/>
      <sheetName val="Land and Emissions"/>
      <sheetName val="Cost and Energy Security"/>
      <sheetName val="Demand-Supply"/>
      <sheetName val="Demand-Generation"/>
      <sheetName val="Control"/>
      <sheetName val="Charts"/>
      <sheetName val="Intermediate output"/>
      <sheetName val="2012 Baseline"/>
      <sheetName val="Conversions"/>
      <sheetName val="Global assumptions"/>
      <sheetName val="Constants"/>
      <sheetName val="Structure of the model"/>
      <sheetName val="Flows"/>
      <sheetName val="Land Use"/>
      <sheetName val="2007"/>
      <sheetName val="2012"/>
      <sheetName val="2017"/>
      <sheetName val="2022"/>
      <sheetName val="2027"/>
      <sheetName val="2032"/>
      <sheetName val="2037"/>
      <sheetName val="2042"/>
      <sheetName val="2047"/>
      <sheetName val="2052"/>
      <sheetName val="To be added_New transport"/>
      <sheetName val="\ADD THIS JAN 16\To be added_Ne"/>
    </sheetNames>
    <sheetDataSet>
      <sheetData sheetId="0" refreshError="1"/>
      <sheetData sheetId="1">
        <row r="217">
          <cell r="F217">
            <v>1</v>
          </cell>
        </row>
      </sheetData>
      <sheetData sheetId="2" refreshError="1"/>
      <sheetData sheetId="3" refreshError="1"/>
      <sheetData sheetId="4" refreshError="1"/>
      <sheetData sheetId="5" refreshError="1"/>
      <sheetData sheetId="6">
        <row r="65">
          <cell r="E65">
            <v>1E-3</v>
          </cell>
        </row>
      </sheetData>
      <sheetData sheetId="7">
        <row r="63">
          <cell r="E63">
            <v>1E-3</v>
          </cell>
        </row>
      </sheetData>
      <sheetData sheetId="8">
        <row r="61">
          <cell r="F61">
            <v>1E-3</v>
          </cell>
        </row>
      </sheetData>
      <sheetData sheetId="9" refreshError="1"/>
      <sheetData sheetId="10">
        <row r="66">
          <cell r="F66">
            <v>1E-3</v>
          </cell>
        </row>
      </sheetData>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ow r="73">
          <cell r="D73">
            <v>1</v>
          </cell>
        </row>
      </sheetData>
      <sheetData sheetId="30" refreshError="1"/>
      <sheetData sheetId="31" refreshError="1"/>
      <sheetData sheetId="32" refreshError="1"/>
      <sheetData sheetId="33" refreshError="1"/>
      <sheetData sheetId="34">
        <row r="3">
          <cell r="C3" t="str">
            <v>Mtoe</v>
          </cell>
        </row>
      </sheetData>
      <sheetData sheetId="35" refreshError="1"/>
      <sheetData sheetId="36" refreshError="1"/>
      <sheetData sheetId="37" refreshError="1"/>
      <sheetData sheetId="38" refreshError="1"/>
      <sheetData sheetId="39">
        <row r="5">
          <cell r="E5">
            <v>1</v>
          </cell>
        </row>
      </sheetData>
      <sheetData sheetId="40" refreshError="1"/>
      <sheetData sheetId="41" refreshError="1"/>
      <sheetData sheetId="42" refreshError="1"/>
      <sheetData sheetId="43">
        <row r="5">
          <cell r="B5" t="str">
            <v>PJ</v>
          </cell>
        </row>
      </sheetData>
      <sheetData sheetId="44">
        <row r="27">
          <cell r="C27">
            <v>0.1</v>
          </cell>
        </row>
      </sheetData>
      <sheetData sheetId="45">
        <row r="8">
          <cell r="F8">
            <v>3.5820400000000001</v>
          </cell>
        </row>
      </sheetData>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WHPUSR04\rcurran$\Users\himan"/>
      <sheetName val="Gas_V1"/>
    </sheetNames>
    <sheetDataSet>
      <sheetData sheetId="0" refreshError="1"/>
      <sheetData sheetId="1"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WHPUSR04\rcurran$\Users\himan"/>
      <sheetName val="Nuclear IIa"/>
    </sheetNames>
    <sheetDataSet>
      <sheetData sheetId="0" refreshError="1"/>
      <sheetData sheetId="1"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WHPUSR04\rcurran$\Users\Admin"/>
      <sheetName val="2050-calculator-with-costs"/>
    </sheetNames>
    <sheetDataSet>
      <sheetData sheetId="0" refreshError="1"/>
      <sheetData sheetId="1"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WHPUSR04\rcurran$\Users\himan"/>
      <sheetName val="Waste to Energy_Final"/>
    </sheetNames>
    <sheetDataSet>
      <sheetData sheetId="0" refreshError="1"/>
      <sheetData sheetId="1"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WHPUSR04\rcurran$\Users\himan"/>
      <sheetName val="Nuclear IIa"/>
    </sheetNames>
    <sheetDataSet>
      <sheetData sheetId="0" refreshError="1"/>
      <sheetData sheetId="1"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WHPUSR04\rcurran$\Users\Astha"/>
      <sheetName val="Buildings and L&amp;A_V2"/>
    </sheetNames>
    <sheetDataSet>
      <sheetData sheetId="0" refreshError="1"/>
      <sheetData sheetId="1"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I.a"/>
      <sheetName val="I.b"/>
      <sheetName val="I.c"/>
      <sheetName val="I.d"/>
      <sheetName val="II"/>
      <sheetName val="III"/>
      <sheetName val="IV.a"/>
      <sheetName val="IV.b"/>
      <sheetName val="IV.c.1"/>
      <sheetName val="IV.c.2"/>
      <sheetName val="IV.d"/>
      <sheetName val="V.a"/>
      <sheetName val="V.b"/>
      <sheetName val="V.c"/>
      <sheetName val="V.d"/>
      <sheetName val="V.e"/>
      <sheetName val="VI"/>
      <sheetName val="VII.a"/>
      <sheetName val="VII.b"/>
      <sheetName val="IX"/>
      <sheetName val="X.a"/>
      <sheetName val="X.b"/>
      <sheetName val="XI"/>
      <sheetName val="XII.a"/>
      <sheetName val="XII.b"/>
      <sheetName val="XIII.a"/>
      <sheetName val="XIII.b"/>
      <sheetName val="XIV"/>
      <sheetName val="XV.a"/>
      <sheetName val="XV.b"/>
      <sheetName val="XV.c"/>
      <sheetName val="XVI"/>
      <sheetName val="XVII.a"/>
      <sheetName val="XVII.b"/>
      <sheetName val="Preferences"/>
      <sheetName val="Land and Emissions"/>
      <sheetName val="Cost and Energy Security"/>
      <sheetName val="Demand-Supply"/>
      <sheetName val="Demand-Generation"/>
      <sheetName val="Control"/>
      <sheetName val="Charts"/>
      <sheetName val="Intermediate output"/>
      <sheetName val="Conversions"/>
      <sheetName val="Global assumptions"/>
      <sheetName val="Constants"/>
      <sheetName val="Structure of the model"/>
      <sheetName val="Flows"/>
      <sheetName val="Land Use"/>
      <sheetName val="2007"/>
      <sheetName val="2012"/>
      <sheetName val="2017"/>
      <sheetName val="2022"/>
      <sheetName val="2027"/>
      <sheetName val="2032"/>
      <sheetName val="2037"/>
      <sheetName val="2042"/>
      <sheetName val="2047"/>
      <sheetName val="2052"/>
      <sheetName val="IES2047-Version1301_10pm"/>
      <sheetName val="IES2047-Version1301_10pm.xlsx"/>
      <sheetName val="\ADD THIS JAN 16\Users\himanshu"/>
    </sheetNames>
    <sheetDataSet>
      <sheetData sheetId="0" refreshError="1"/>
      <sheetData sheetId="1">
        <row r="217">
          <cell r="F217">
            <v>1</v>
          </cell>
        </row>
      </sheetData>
      <sheetData sheetId="2" refreshError="1"/>
      <sheetData sheetId="3" refreshError="1"/>
      <sheetData sheetId="4" refreshError="1"/>
      <sheetData sheetId="5" refreshError="1"/>
      <sheetData sheetId="6">
        <row r="65">
          <cell r="E65">
            <v>1E-3</v>
          </cell>
        </row>
      </sheetData>
      <sheetData sheetId="7">
        <row r="63">
          <cell r="E63">
            <v>1E-3</v>
          </cell>
        </row>
      </sheetData>
      <sheetData sheetId="8">
        <row r="61">
          <cell r="F61">
            <v>1E-3</v>
          </cell>
        </row>
      </sheetData>
      <sheetData sheetId="9" refreshError="1"/>
      <sheetData sheetId="10">
        <row r="66">
          <cell r="F66">
            <v>1E-3</v>
          </cell>
        </row>
      </sheetData>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ow r="73">
          <cell r="D73">
            <v>1</v>
          </cell>
        </row>
      </sheetData>
      <sheetData sheetId="30" refreshError="1"/>
      <sheetData sheetId="31" refreshError="1"/>
      <sheetData sheetId="32" refreshError="1"/>
      <sheetData sheetId="33" refreshError="1"/>
      <sheetData sheetId="34">
        <row r="3">
          <cell r="C3" t="str">
            <v>TWh</v>
          </cell>
        </row>
      </sheetData>
      <sheetData sheetId="35" refreshError="1"/>
      <sheetData sheetId="36" refreshError="1"/>
      <sheetData sheetId="37" refreshError="1"/>
      <sheetData sheetId="38" refreshError="1"/>
      <sheetData sheetId="39">
        <row r="5">
          <cell r="E5">
            <v>1</v>
          </cell>
        </row>
      </sheetData>
      <sheetData sheetId="40" refreshError="1"/>
      <sheetData sheetId="41" refreshError="1"/>
      <sheetData sheetId="42">
        <row r="5">
          <cell r="B5" t="str">
            <v>PJ</v>
          </cell>
        </row>
      </sheetData>
      <sheetData sheetId="43">
        <row r="27">
          <cell r="C27">
            <v>0.1</v>
          </cell>
        </row>
      </sheetData>
      <sheetData sheetId="44">
        <row r="8">
          <cell r="F8">
            <v>0.30799999999999994</v>
          </cell>
        </row>
      </sheetData>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I.a"/>
      <sheetName val="I.b"/>
      <sheetName val="I.c"/>
      <sheetName val="I.d"/>
      <sheetName val="II"/>
      <sheetName val="III"/>
      <sheetName val="IV.a"/>
      <sheetName val="IV.b"/>
      <sheetName val="IV.c.1"/>
      <sheetName val="IV.c.2"/>
      <sheetName val="IV.d"/>
      <sheetName val="V.a"/>
      <sheetName val="V.b"/>
      <sheetName val="V.c"/>
      <sheetName val="V.d"/>
      <sheetName val="V.e"/>
      <sheetName val="VI"/>
      <sheetName val="VII.a"/>
      <sheetName val="VII.b"/>
      <sheetName val="IX"/>
      <sheetName val="X.a"/>
      <sheetName val="X.b"/>
      <sheetName val="XI"/>
      <sheetName val="XII.a"/>
      <sheetName val="XII.b"/>
      <sheetName val="XIII.a"/>
      <sheetName val="XIII.b"/>
      <sheetName val="XIV"/>
      <sheetName val="XV.a"/>
      <sheetName val="XV.b"/>
      <sheetName val="XV.c"/>
      <sheetName val="XVI"/>
      <sheetName val="XVII.c"/>
      <sheetName val="XVII.a"/>
      <sheetName val="XVII.b"/>
      <sheetName val="Preferences"/>
      <sheetName val="Land and Emissions"/>
      <sheetName val="Cost and Energy Security"/>
      <sheetName val="Demand-Supply"/>
      <sheetName val="Demand-Generation"/>
      <sheetName val="Control"/>
      <sheetName val="Intermediate output "/>
      <sheetName val="Conversions"/>
      <sheetName val="CostAbsolute"/>
      <sheetName val="Global assumptions"/>
      <sheetName val="Constants"/>
      <sheetName val="Structure of the model"/>
      <sheetName val="flows"/>
      <sheetName val="Land Use"/>
      <sheetName val="CostPerCapita"/>
      <sheetName val="2007"/>
      <sheetName val="2012"/>
      <sheetName val="2017"/>
      <sheetName val="2022"/>
      <sheetName val="2027"/>
      <sheetName val="2032"/>
      <sheetName val="2037"/>
      <sheetName val="2042"/>
      <sheetName val="2047"/>
      <sheetName val="2052"/>
      <sheetName val="India Energy Scenarios 2047-ver"/>
      <sheetName val="\ADD THIS JAN 16\Users\Administ"/>
    </sheetNames>
    <sheetDataSet>
      <sheetData sheetId="0"/>
      <sheetData sheetId="1"/>
      <sheetData sheetId="2" refreshError="1"/>
      <sheetData sheetId="3" refreshError="1"/>
      <sheetData sheetId="4"/>
      <sheetData sheetId="5"/>
      <sheetData sheetId="6"/>
      <sheetData sheetId="7"/>
      <sheetData sheetId="8"/>
      <sheetData sheetId="9"/>
      <sheetData sheetId="10"/>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sheetData sheetId="41" refreshError="1"/>
      <sheetData sheetId="42"/>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WHPUSR04\rcurran$\Users\Admin"/>
      <sheetName val="2050-calculator-with-costs"/>
    </sheetNames>
    <sheetDataSet>
      <sheetData sheetId="0" refreshError="1"/>
      <sheetData sheetId="1" refreshError="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WHPUSR04\rcurran$\C\WINNT\Pro"/>
      <sheetName val="2050 Calculator - Imported fuel"/>
    </sheetNames>
    <sheetDataSet>
      <sheetData sheetId="0" refreshError="1"/>
      <sheetData sheetId="1" refreshError="1"/>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WHPUSR04\rcurran$\Users\tamc\"/>
      <sheetName val="IES2047-final Version1601 - wit"/>
    </sheetNames>
    <sheetDataSet>
      <sheetData sheetId="0" refreshError="1"/>
      <sheetData sheetId="1" refreshError="1"/>
    </sheetDataSet>
  </externalBook>
</externalLink>
</file>

<file path=xl/tables/table1.xml><?xml version="1.0" encoding="utf-8"?>
<table xmlns="http://schemas.openxmlformats.org/spreadsheetml/2006/main" id="59" name="I.a.Outputs" displayName="I.a.Outputs" ref="C103:O107" totalsRowCount="1" headerRowDxfId="3126" dataDxfId="3125">
  <autoFilter ref="C103:O106"/>
  <tableColumns count="13">
    <tableColumn id="1" name="Vector" totalsRowLabel="Total" dataDxfId="3124" totalsRowDxfId="3123"/>
    <tableColumn id="2" name="Name" dataDxfId="3122" totalsRowDxfId="3121">
      <calculatedColumnFormula>INDEX([5]!Vectors[Description], MATCH([Vector], [5]!Vectors[Code], 0))</calculatedColumnFormula>
    </tableColumn>
    <tableColumn id="3" name="Notes" dataDxfId="3120" totalsRowDxfId="3119"/>
    <tableColumn id="4" name="2007" totalsRowFunction="sum" dataDxfId="3118" totalsRowDxfId="3117" dataCellStyle="Comma">
      <calculatedColumnFormula>#REF!+#REF!</calculatedColumnFormula>
    </tableColumn>
    <tableColumn id="5" name="2012" totalsRowFunction="sum" dataDxfId="3116" totalsRowDxfId="3115" dataCellStyle="Comma"/>
    <tableColumn id="6" name="2017" totalsRowFunction="sum" dataDxfId="3114" totalsRowDxfId="3113" dataCellStyle="Comma"/>
    <tableColumn id="7" name="2022" totalsRowFunction="sum" dataDxfId="3112" totalsRowDxfId="3111" dataCellStyle="Comma"/>
    <tableColumn id="8" name="2027" totalsRowFunction="sum" dataDxfId="3110" totalsRowDxfId="3109" dataCellStyle="Comma"/>
    <tableColumn id="9" name="2032" totalsRowFunction="sum" dataDxfId="3108" totalsRowDxfId="3107" dataCellStyle="Comma"/>
    <tableColumn id="10" name="2037" totalsRowFunction="sum" dataDxfId="3106" totalsRowDxfId="3105" dataCellStyle="Comma"/>
    <tableColumn id="11" name="2042" totalsRowFunction="sum" dataDxfId="3104" totalsRowDxfId="3103" dataCellStyle="Comma"/>
    <tableColumn id="12" name="2047" totalsRowFunction="sum" dataDxfId="3102" totalsRowDxfId="3101" dataCellStyle="Comma"/>
    <tableColumn id="13" name="2052" totalsRowFunction="sum" dataDxfId="3100" totalsRowDxfId="3099" dataCellStyle="Comma"/>
  </tableColumns>
  <tableStyleInfo name="EnergyCalcTables" showFirstColumn="0" showLastColumn="0" showRowStripes="1" showColumnStripes="0"/>
</table>
</file>

<file path=xl/tables/table2.xml><?xml version="1.0" encoding="utf-8"?>
<table xmlns="http://schemas.openxmlformats.org/spreadsheetml/2006/main" id="60" name="I.a.info" displayName="I.a.info" ref="C114:O116" totalsRowShown="0" headerRowDxfId="3098" dataDxfId="3096" totalsRowDxfId="3094" headerRowBorderDxfId="3097" tableBorderDxfId="3095">
  <autoFilter ref="C114:O116"/>
  <tableColumns count="13">
    <tableColumn id="1" name="Vector" dataDxfId="3093" totalsRowDxfId="3092"/>
    <tableColumn id="2" name="Information type" dataDxfId="3091" totalsRowDxfId="3090">
      <calculatedColumnFormula>INDEX(Vectors[Description], MATCH([Vector], Vectors[Code], 0))</calculatedColumnFormula>
    </tableColumn>
    <tableColumn id="3" name="Notes" dataDxfId="3089" totalsRowDxfId="3088"/>
    <tableColumn id="4" name="2007" dataDxfId="3087" totalsRowDxfId="3086" dataCellStyle="Comma">
      <calculatedColumnFormula>F97</calculatedColumnFormula>
    </tableColumn>
    <tableColumn id="5" name="2012" dataDxfId="3085" totalsRowDxfId="3084" dataCellStyle="Comma"/>
    <tableColumn id="6" name="2017" dataDxfId="3083" totalsRowDxfId="3082" dataCellStyle="Comma"/>
    <tableColumn id="7" name="2022" dataDxfId="3081" totalsRowDxfId="3080" dataCellStyle="Comma"/>
    <tableColumn id="8" name="2027" dataDxfId="3079" totalsRowDxfId="3078" dataCellStyle="Comma"/>
    <tableColumn id="9" name="2032" dataDxfId="3077" totalsRowDxfId="3076" dataCellStyle="Comma"/>
    <tableColumn id="10" name="2037" dataDxfId="3075" totalsRowDxfId="3074" dataCellStyle="Comma"/>
    <tableColumn id="11" name="2042" dataDxfId="3073" totalsRowDxfId="3072" dataCellStyle="Comma"/>
    <tableColumn id="12" name="2047" dataDxfId="3071" totalsRowDxfId="3070" dataCellStyle="Comma"/>
    <tableColumn id="13" name="2052" dataDxfId="3069" totalsRowDxfId="3068" dataCellStyle="Comma"/>
  </tableColumns>
  <tableStyleInfo name="EnergyCalcTables" showFirstColumn="0" showLastColumn="0" showRowStripes="1" showColumnStripes="0"/>
</table>
</file>

<file path=xl/tables/table3.xml><?xml version="1.0" encoding="utf-8"?>
<table xmlns="http://schemas.openxmlformats.org/spreadsheetml/2006/main" id="196" name="I.a.emissions" displayName="I.a.emissions" ref="C125:O129" totalsRowCount="1" headerRowDxfId="3067" dataDxfId="3065" headerRowBorderDxfId="3066" tableBorderDxfId="3064" dataCellStyle="Comma">
  <autoFilter ref="C125:O128"/>
  <tableColumns count="13">
    <tableColumn id="1" name="GHG" totalsRowLabel="Total" dataDxfId="3063" totalsRowDxfId="3062"/>
    <tableColumn id="2" name="IPCC Sector" dataDxfId="3061" totalsRowDxfId="3060"/>
    <tableColumn id="3" name="Notes" dataDxfId="3059" totalsRowDxfId="3058"/>
    <tableColumn id="4" name="2007" totalsRowFunction="sum" dataDxfId="3057" totalsRowDxfId="3056" dataCellStyle="Comma">
      <calculatedColumnFormula>F93</calculatedColumnFormula>
    </tableColumn>
    <tableColumn id="5" name="2012" totalsRowFunction="sum" dataDxfId="3055" totalsRowDxfId="3054" dataCellStyle="Comma">
      <calculatedColumnFormula>G93</calculatedColumnFormula>
    </tableColumn>
    <tableColumn id="6" name="2017" totalsRowFunction="sum" dataDxfId="3053" totalsRowDxfId="3052" dataCellStyle="Comma">
      <calculatedColumnFormula>H93</calculatedColumnFormula>
    </tableColumn>
    <tableColumn id="7" name="2022" totalsRowFunction="sum" dataDxfId="3051" totalsRowDxfId="3050" dataCellStyle="Comma">
      <calculatedColumnFormula>I93</calculatedColumnFormula>
    </tableColumn>
    <tableColumn id="8" name="2027" totalsRowFunction="sum" dataDxfId="3049" totalsRowDxfId="3048" dataCellStyle="Comma">
      <calculatedColumnFormula>J93</calculatedColumnFormula>
    </tableColumn>
    <tableColumn id="9" name="2032" totalsRowFunction="sum" dataDxfId="3047" totalsRowDxfId="3046" dataCellStyle="Comma">
      <calculatedColumnFormula>K93</calculatedColumnFormula>
    </tableColumn>
    <tableColumn id="10" name="2037" totalsRowFunction="sum" dataDxfId="3045" totalsRowDxfId="3044" dataCellStyle="Comma">
      <calculatedColumnFormula>L93</calculatedColumnFormula>
    </tableColumn>
    <tableColumn id="11" name="2042" totalsRowFunction="sum" dataDxfId="3043" totalsRowDxfId="3042" dataCellStyle="Comma">
      <calculatedColumnFormula>M93</calculatedColumnFormula>
    </tableColumn>
    <tableColumn id="12" name="2047" totalsRowFunction="sum" dataDxfId="3041" totalsRowDxfId="3040" dataCellStyle="Comma">
      <calculatedColumnFormula>N93</calculatedColumnFormula>
    </tableColumn>
    <tableColumn id="13" name="2052" totalsRowFunction="sum" dataDxfId="3039" totalsRowDxfId="3038" dataCellStyle="Comma">
      <calculatedColumnFormula>O93</calculatedColumnFormula>
    </tableColumn>
  </tableColumns>
  <tableStyleInfo name="EnergyCalcTables" showFirstColumn="0" showLastColumn="0" showRowStripes="1" showColumnStripes="0"/>
</table>
</file>

<file path=xl/tables/table4.xml><?xml version="1.0" encoding="utf-8"?>
<table xmlns="http://schemas.openxmlformats.org/spreadsheetml/2006/main" id="124" name="I.b.outputs" displayName="I.b.outputs" ref="C275:O280" totalsRowCount="1" headerRowDxfId="3037" dataDxfId="3036">
  <autoFilter ref="C275:O279"/>
  <tableColumns count="13">
    <tableColumn id="1" name="Vector" totalsRowLabel="Total" dataDxfId="3035" totalsRowDxfId="3034"/>
    <tableColumn id="2" name="Name" dataDxfId="3033" totalsRowDxfId="3032">
      <calculatedColumnFormula>INDEX(Vectors[Description], MATCH([Vector], Vectors[Code], 0))</calculatedColumnFormula>
    </tableColumn>
    <tableColumn id="3" name="Notes" dataDxfId="3031" totalsRowDxfId="3030"/>
    <tableColumn id="4" name="2007" totalsRowFunction="sum" dataDxfId="3029" totalsRowDxfId="3028" dataCellStyle="Comma">
      <calculatedColumnFormula>F$256+#REF!</calculatedColumnFormula>
    </tableColumn>
    <tableColumn id="5" name="2012" totalsRowFunction="sum" dataDxfId="3027" totalsRowDxfId="3026" dataCellStyle="Comma"/>
    <tableColumn id="6" name="2017" totalsRowFunction="sum" dataDxfId="3025" totalsRowDxfId="3024" dataCellStyle="Comma"/>
    <tableColumn id="7" name="2022" totalsRowFunction="sum" dataDxfId="3023" totalsRowDxfId="3022" dataCellStyle="Comma"/>
    <tableColumn id="8" name="2027" totalsRowFunction="sum" dataDxfId="3021" totalsRowDxfId="3020" dataCellStyle="Comma"/>
    <tableColumn id="9" name="2032" totalsRowFunction="sum" dataDxfId="3019" totalsRowDxfId="3018" dataCellStyle="Comma"/>
    <tableColumn id="10" name="2037" totalsRowFunction="sum" dataDxfId="3017" totalsRowDxfId="3016" dataCellStyle="Comma"/>
    <tableColumn id="11" name="2042" totalsRowFunction="sum" dataDxfId="3015" totalsRowDxfId="3014" dataCellStyle="Comma"/>
    <tableColumn id="12" name="2047" totalsRowFunction="sum" dataDxfId="3013" totalsRowDxfId="3012" dataCellStyle="Comma"/>
    <tableColumn id="13" name="2052" totalsRowFunction="sum" dataDxfId="3011" totalsRowDxfId="3010" dataCellStyle="Comma"/>
  </tableColumns>
  <tableStyleInfo name="EnergyCalcTables" showFirstColumn="0" showLastColumn="0" showRowStripes="1" showColumnStripes="0"/>
</table>
</file>

<file path=xl/tables/table5.xml><?xml version="1.0" encoding="utf-8"?>
<table xmlns="http://schemas.openxmlformats.org/spreadsheetml/2006/main" id="158" name="I.b.outputs.efficiency" displayName="I.b.outputs.efficiency" ref="C285:O291" headerRowDxfId="3009" dataDxfId="3008">
  <autoFilter ref="C285:O291"/>
  <tableColumns count="13">
    <tableColumn id="1" name="Vector" totalsRowLabel="Total" dataDxfId="3007" totalsRowDxfId="3006"/>
    <tableColumn id="2" name="Name" dataDxfId="3005" totalsRowDxfId="3004">
      <calculatedColumnFormula>INDEX(Vectors[Description], MATCH([Vector], Vectors[Code], 0))</calculatedColumnFormula>
    </tableColumn>
    <tableColumn id="3" name="Notes" dataDxfId="3003" totalsRowDxfId="3002"/>
    <tableColumn id="4" name="2007" dataDxfId="3001" totalsRowDxfId="3000" dataCellStyle="Comma">
      <calculatedColumnFormula>F$256+#REF!</calculatedColumnFormula>
    </tableColumn>
    <tableColumn id="5" name="2012" dataDxfId="2999" totalsRowDxfId="2998" dataCellStyle="Comma"/>
    <tableColumn id="6" name="2017" dataDxfId="2997" totalsRowDxfId="2996" dataCellStyle="Comma"/>
    <tableColumn id="7" name="2022" dataDxfId="2995" totalsRowDxfId="2994" dataCellStyle="Comma"/>
    <tableColumn id="8" name="2027" dataDxfId="2993" totalsRowDxfId="2992" dataCellStyle="Comma"/>
    <tableColumn id="9" name="2032" dataDxfId="2991" totalsRowDxfId="2990" dataCellStyle="Comma"/>
    <tableColumn id="10" name="2037" dataDxfId="2989" totalsRowDxfId="2988" dataCellStyle="Comma"/>
    <tableColumn id="11" name="2042" dataDxfId="2987" totalsRowDxfId="2986" dataCellStyle="Comma"/>
    <tableColumn id="12" name="2047" dataDxfId="2985" totalsRowDxfId="2984" dataCellStyle="Comma"/>
    <tableColumn id="13" name="2052" dataDxfId="2983" totalsRowDxfId="2982" dataCellStyle="Comma"/>
  </tableColumns>
  <tableStyleInfo name="EnergyCalcTables" showFirstColumn="0" showLastColumn="0" showRowStripes="1" showColumnStripes="0"/>
</table>
</file>

<file path=xl/tables/table6.xml><?xml version="1.0" encoding="utf-8"?>
<table xmlns="http://schemas.openxmlformats.org/spreadsheetml/2006/main" id="171" name="I.b.info" displayName="I.b.info" ref="C295:O300" totalsRowShown="0" headerRowDxfId="2981" dataDxfId="2980">
  <autoFilter ref="C295:O300"/>
  <tableColumns count="13">
    <tableColumn id="1" name="Vector" dataDxfId="2979" totalsRowDxfId="2978"/>
    <tableColumn id="2" name="Info" dataDxfId="2977" totalsRowDxfId="2976">
      <calculatedColumnFormula>INDEX(Vectors[Description], MATCH([Vector], Vectors[Code], 0))</calculatedColumnFormula>
    </tableColumn>
    <tableColumn id="3" name="Notes" dataDxfId="2975" totalsRowDxfId="2974"/>
    <tableColumn id="4" name="2007" dataDxfId="2973" totalsRowDxfId="2972" dataCellStyle="Comma">
      <calculatedColumnFormula>F245</calculatedColumnFormula>
    </tableColumn>
    <tableColumn id="5" name="2012" dataDxfId="2971" totalsRowDxfId="2970" dataCellStyle="Comma">
      <calculatedColumnFormula>G245</calculatedColumnFormula>
    </tableColumn>
    <tableColumn id="6" name="2017" dataDxfId="2969" totalsRowDxfId="2968" dataCellStyle="Comma">
      <calculatedColumnFormula>H245</calculatedColumnFormula>
    </tableColumn>
    <tableColumn id="7" name="2022" dataDxfId="2967" totalsRowDxfId="2966" dataCellStyle="Comma">
      <calculatedColumnFormula>I245</calculatedColumnFormula>
    </tableColumn>
    <tableColumn id="8" name="2027" dataDxfId="2965" totalsRowDxfId="2964" dataCellStyle="Comma">
      <calculatedColumnFormula>J245</calculatedColumnFormula>
    </tableColumn>
    <tableColumn id="9" name="2032" dataDxfId="2963" totalsRowDxfId="2962" dataCellStyle="Comma">
      <calculatedColumnFormula>K245</calculatedColumnFormula>
    </tableColumn>
    <tableColumn id="10" name="2037" dataDxfId="2961" totalsRowDxfId="2960" dataCellStyle="Comma">
      <calculatedColumnFormula>L245</calculatedColumnFormula>
    </tableColumn>
    <tableColumn id="11" name="2042" dataDxfId="2959" totalsRowDxfId="2958" dataCellStyle="Comma">
      <calculatedColumnFormula>M245</calculatedColumnFormula>
    </tableColumn>
    <tableColumn id="12" name="2047" dataDxfId="2957" totalsRowDxfId="2956" dataCellStyle="Comma">
      <calculatedColumnFormula>N245</calculatedColumnFormula>
    </tableColumn>
    <tableColumn id="13" name="2052" dataDxfId="2955" totalsRowDxfId="2954" dataCellStyle="Comma">
      <calculatedColumnFormula>O245</calculatedColumnFormula>
    </tableColumn>
  </tableColumns>
  <tableStyleInfo name="EnergyCalcTables" showFirstColumn="0" showLastColumn="0" showRowStripes="1" showColumnStripes="0"/>
</table>
</file>

<file path=xl/tables/table7.xml><?xml version="1.0" encoding="utf-8"?>
<table xmlns="http://schemas.openxmlformats.org/spreadsheetml/2006/main" id="195" name="I.b.emissions" displayName="I.b.emissions" ref="C311:O315" totalsRowCount="1" headerRowDxfId="2953" dataDxfId="2951" headerRowBorderDxfId="2952" tableBorderDxfId="2950" dataCellStyle="Comma">
  <autoFilter ref="C311:O314"/>
  <tableColumns count="13">
    <tableColumn id="1" name="GHG" totalsRowLabel="Total" dataDxfId="2949" totalsRowDxfId="2948"/>
    <tableColumn id="2" name="IPCC Sector" dataDxfId="2947" totalsRowDxfId="2946"/>
    <tableColumn id="3" name="Notes" dataDxfId="2945" totalsRowDxfId="2944"/>
    <tableColumn id="4" name="2007" totalsRowFunction="sum" dataDxfId="2943" totalsRowDxfId="2942" dataCellStyle="Comma">
      <calculatedColumnFormula>F264</calculatedColumnFormula>
    </tableColumn>
    <tableColumn id="5" name="2012" totalsRowFunction="sum" dataDxfId="2941" totalsRowDxfId="2940" dataCellStyle="Comma">
      <calculatedColumnFormula>G264</calculatedColumnFormula>
    </tableColumn>
    <tableColumn id="6" name="2017" totalsRowFunction="sum" dataDxfId="2939" totalsRowDxfId="2938" dataCellStyle="Comma">
      <calculatedColumnFormula>H264</calculatedColumnFormula>
    </tableColumn>
    <tableColumn id="7" name="2022" totalsRowFunction="sum" dataDxfId="2937" totalsRowDxfId="2936" dataCellStyle="Comma">
      <calculatedColumnFormula>I264</calculatedColumnFormula>
    </tableColumn>
    <tableColumn id="8" name="2027" totalsRowFunction="sum" dataDxfId="2935" totalsRowDxfId="2934" dataCellStyle="Comma">
      <calculatedColumnFormula>J264</calculatedColumnFormula>
    </tableColumn>
    <tableColumn id="9" name="2032" totalsRowFunction="sum" dataDxfId="2933" totalsRowDxfId="2932" dataCellStyle="Comma">
      <calculatedColumnFormula>K264</calculatedColumnFormula>
    </tableColumn>
    <tableColumn id="10" name="2037" totalsRowFunction="sum" dataDxfId="2931" totalsRowDxfId="2930" dataCellStyle="Comma">
      <calculatedColumnFormula>L264</calculatedColumnFormula>
    </tableColumn>
    <tableColumn id="11" name="2042" totalsRowFunction="sum" dataDxfId="2929" totalsRowDxfId="2928" dataCellStyle="Comma">
      <calculatedColumnFormula>M264</calculatedColumnFormula>
    </tableColumn>
    <tableColumn id="12" name="2047" totalsRowFunction="sum" dataDxfId="2927" totalsRowDxfId="2926" dataCellStyle="Comma">
      <calculatedColumnFormula>N264</calculatedColumnFormula>
    </tableColumn>
    <tableColumn id="13" name="2052" totalsRowFunction="sum" dataDxfId="2925" totalsRowDxfId="2924" dataCellStyle="Comma">
      <calculatedColumnFormula>O264</calculatedColumnFormula>
    </tableColumn>
  </tableColumns>
  <tableStyleInfo name="EnergyCalcTables" showFirstColumn="0" showLastColumn="0" showRowStripes="1" showColumnStripes="0"/>
</table>
</file>

<file path=xl/tables/table8.xml><?xml version="1.0" encoding="utf-8"?>
<table xmlns="http://schemas.openxmlformats.org/spreadsheetml/2006/main" id="6" name="I.c.emissions" displayName="I.c.emissions" ref="C214:O219" totalsRowCount="1" headerRowDxfId="2923" dataDxfId="2921" headerRowBorderDxfId="2922" tableBorderDxfId="2920" dataCellStyle="Comma">
  <autoFilter ref="C214:O218"/>
  <tableColumns count="13">
    <tableColumn id="1" name="GHG" totalsRowLabel="Total" dataDxfId="2919" totalsRowDxfId="2918"/>
    <tableColumn id="2" name="IPCC Sector" dataDxfId="2917" totalsRowDxfId="2916"/>
    <tableColumn id="3" name="Notes" dataDxfId="2915" totalsRowDxfId="2914">
      <calculatedColumnFormula>INDEX(IPCC[Sector_description], MATCH([IPCC Sector], IPCC[Sector_code], 0))</calculatedColumnFormula>
    </tableColumn>
    <tableColumn id="4" name="2007" totalsRowFunction="sum" dataDxfId="2913" totalsRowDxfId="2912" dataCellStyle="Comma">
      <calculatedColumnFormula>SUM(G182,G154,G126,#REF!,G102,G73,G45,G17)</calculatedColumnFormula>
    </tableColumn>
    <tableColumn id="5" name="2012" totalsRowFunction="sum" dataDxfId="2911" totalsRowDxfId="2910" dataCellStyle="Comma">
      <calculatedColumnFormula>SUM(H182,H154,H126,#REF!,H102,H73,H45,H17)</calculatedColumnFormula>
    </tableColumn>
    <tableColumn id="6" name="2017" totalsRowFunction="sum" dataDxfId="2909" totalsRowDxfId="2908" dataCellStyle="Comma">
      <calculatedColumnFormula>SUM(I182,I154,I126,#REF!,I102,I73,I45,I17)</calculatedColumnFormula>
    </tableColumn>
    <tableColumn id="7" name="2022" totalsRowFunction="sum" dataDxfId="2907" totalsRowDxfId="2906" dataCellStyle="Comma">
      <calculatedColumnFormula>SUM(J182,J154,J126,#REF!,J102,J73,J45,J17)</calculatedColumnFormula>
    </tableColumn>
    <tableColumn id="8" name="2027" totalsRowFunction="sum" dataDxfId="2905" totalsRowDxfId="2904" dataCellStyle="Comma">
      <calculatedColumnFormula>SUM(K182,K154,K126,#REF!,K102,K73,K45,K17)</calculatedColumnFormula>
    </tableColumn>
    <tableColumn id="9" name="2032" totalsRowFunction="sum" dataDxfId="2903" totalsRowDxfId="2902" dataCellStyle="Comma">
      <calculatedColumnFormula>SUM(L182,L154,L126,#REF!,L102,L73,L45,L17)</calculatedColumnFormula>
    </tableColumn>
    <tableColumn id="10" name="2037" totalsRowFunction="sum" dataDxfId="2901" totalsRowDxfId="2900" dataCellStyle="Comma">
      <calculatedColumnFormula>SUM(M182,M154,M126,#REF!,M102,M73,M45,M17)</calculatedColumnFormula>
    </tableColumn>
    <tableColumn id="11" name="2042" totalsRowFunction="sum" dataDxfId="2899" totalsRowDxfId="2898" dataCellStyle="Comma">
      <calculatedColumnFormula>SUM(N182,N154,N126,#REF!,N102,N73,N45,N17)</calculatedColumnFormula>
    </tableColumn>
    <tableColumn id="12" name="2047" totalsRowFunction="sum" dataDxfId="2897" totalsRowDxfId="2896" dataCellStyle="Comma">
      <calculatedColumnFormula>SUM(O182,O154,O126,#REF!,O102,O73,O45,O17)</calculatedColumnFormula>
    </tableColumn>
    <tableColumn id="13" name="2052" totalsRowFunction="sum" dataDxfId="2895" totalsRowDxfId="2894" dataCellStyle="Comma">
      <calculatedColumnFormula>SUM(P182,P154,P126,#REF!,P102,P73,P45,P17)</calculatedColumnFormula>
    </tableColumn>
  </tableColumns>
  <tableStyleInfo name="EnergyCalcTables" showFirstColumn="0" showLastColumn="0" showRowStripes="1" showColumnStripes="0"/>
</table>
</file>

<file path=xl/tables/table9.xml><?xml version="1.0" encoding="utf-8"?>
<table xmlns="http://schemas.openxmlformats.org/spreadsheetml/2006/main" id="7" name="I.c.info" displayName="I.c.info" ref="C228:O231" totalsRowShown="0" headerRowDxfId="2893" dataDxfId="2891" totalsRowDxfId="2889" headerRowBorderDxfId="2892" tableBorderDxfId="2890" dataCellStyle="Comma">
  <autoFilter ref="C228:O231"/>
  <tableColumns count="13">
    <tableColumn id="1" name="Vector" dataDxfId="2888" totalsRowDxfId="2887"/>
    <tableColumn id="2" name="Information type" dataDxfId="2886" totalsRowDxfId="2885" dataCellStyle="Normal 9 4">
      <calculatedColumnFormula>INDEX(Vectors[Description], MATCH($C229:$C231,Vectors[Code], 0))</calculatedColumnFormula>
    </tableColumn>
    <tableColumn id="3" name="Notes" dataDxfId="2884" totalsRowDxfId="2883"/>
    <tableColumn id="4" name="2007" dataDxfId="2882" totalsRowDxfId="2881" dataCellStyle="Comma">
      <calculatedColumnFormula>F20</calculatedColumnFormula>
    </tableColumn>
    <tableColumn id="5" name="2012" dataDxfId="2880" totalsRowDxfId="2879" dataCellStyle="Comma"/>
    <tableColumn id="6" name="2017" dataDxfId="2878" totalsRowDxfId="2877" dataCellStyle="Comma"/>
    <tableColumn id="7" name="2022" dataDxfId="2876" totalsRowDxfId="2875" dataCellStyle="Comma"/>
    <tableColumn id="8" name="2027" dataDxfId="2874" totalsRowDxfId="2873" dataCellStyle="Comma"/>
    <tableColumn id="9" name="2032" dataDxfId="2872" totalsRowDxfId="2871" dataCellStyle="Comma"/>
    <tableColumn id="10" name="2037" dataDxfId="2870" totalsRowDxfId="2869" dataCellStyle="Comma"/>
    <tableColumn id="11" name="2042" dataDxfId="2868" totalsRowDxfId="2867" dataCellStyle="Comma"/>
    <tableColumn id="12" name="2047" dataDxfId="2866" totalsRowDxfId="2865" dataCellStyle="Comma"/>
    <tableColumn id="13" name="2052" dataDxfId="2864" totalsRowDxfId="2863" dataCellStyle="Comma"/>
  </tableColumns>
  <tableStyleInfo name="EnergyCalcTables" showFirstColumn="0" showLastColumn="0" showRowStripes="1" showColumnStripes="0"/>
</table>
</file>

<file path=xl/tables/table10.xml><?xml version="1.0" encoding="utf-8"?>
<table xmlns="http://schemas.openxmlformats.org/spreadsheetml/2006/main" id="19" name="I.c.outputs" displayName="I.c.outputs" ref="C200:O205" totalsRowShown="0" headerRowDxfId="2862" tableBorderDxfId="2861">
  <autoFilter ref="C200:O205"/>
  <tableColumns count="13">
    <tableColumn id="1" name="Vector" dataDxfId="2860"/>
    <tableColumn id="2" name="Name" dataDxfId="2859" dataCellStyle="Normal 9 4">
      <calculatedColumnFormula>INDEX(Vectors[Description], MATCH(I.c!$C$201:$C$205,Vectors[Code], 0))</calculatedColumnFormula>
    </tableColumn>
    <tableColumn id="3" name="Notes" dataDxfId="2858" dataCellStyle="Normal 9 4"/>
    <tableColumn id="4" name="2007" dataDxfId="2857"/>
    <tableColumn id="5" name="2012" dataDxfId="2856"/>
    <tableColumn id="6" name="2017" dataDxfId="2855"/>
    <tableColumn id="7" name="2022" dataDxfId="2854"/>
    <tableColumn id="8" name="2027" dataDxfId="2853"/>
    <tableColumn id="9" name="2032" dataDxfId="2852"/>
    <tableColumn id="10" name="2037" dataDxfId="2851"/>
    <tableColumn id="11" name="2042" dataDxfId="2850"/>
    <tableColumn id="12" name="2047" dataDxfId="2849"/>
    <tableColumn id="13" name="2052" dataDxfId="2848"/>
  </tableColumns>
  <tableStyleInfo name="TableStyleMedium2" showFirstColumn="0" showLastColumn="0" showRowStripes="1" showColumnStripes="0"/>
</table>
</file>

<file path=xl/tables/table11.xml><?xml version="1.0" encoding="utf-8"?>
<table xmlns="http://schemas.openxmlformats.org/spreadsheetml/2006/main" id="78" name="I.d.Inputs" displayName="I.d.Inputs" ref="C14:O16" totalsRowShown="0" headerRowDxfId="2847" dataDxfId="2846">
  <autoFilter ref="C14:O16"/>
  <tableColumns count="13">
    <tableColumn id="1" name="Vector" dataDxfId="2845"/>
    <tableColumn id="2" name="Name" dataDxfId="2844">
      <calculatedColumnFormula>INDEX(Vectors[Description], MATCH([Vector], Vectors[Code], 0))</calculatedColumnFormula>
    </tableColumn>
    <tableColumn id="3" name="Notes" dataDxfId="2843"/>
    <tableColumn id="4" name="2007" dataDxfId="2842" dataCellStyle="Comma">
      <calculatedColumnFormula>INDEX(INDIRECT("'"&amp;I.d.Inputs[#Headers]&amp;"'!Year.Matrix"), MATCH("Subtotal."&amp;$A$2, INDIRECT("'"&amp;I.d.Inputs[#Headers]&amp;"'!Year.Modules"), 0), MATCH([Vector], INDIRECT("'"&amp;I.d.Inputs[#Headers]&amp;"'!Year.Vectors"), 0))</calculatedColumnFormula>
    </tableColumn>
    <tableColumn id="5" name="2012" dataDxfId="2841" dataCellStyle="Comma">
      <calculatedColumnFormula>INDEX(INDIRECT("'"&amp;I.d.Inputs[#Headers]&amp;"'!Year.Matrix"), MATCH("Subtotal."&amp;$A$2, INDIRECT("'"&amp;I.d.Inputs[#Headers]&amp;"'!Year.Modules"), 0), MATCH([Vector], INDIRECT("'"&amp;I.d.Inputs[#Headers]&amp;"'!Year.Vectors"), 0))</calculatedColumnFormula>
    </tableColumn>
    <tableColumn id="6" name="2017" dataDxfId="2840" dataCellStyle="Comma">
      <calculatedColumnFormula>INDEX(INDIRECT("'"&amp;I.d.Inputs[#Headers]&amp;"'!Year.Matrix"), MATCH("Subtotal."&amp;$A$2, INDIRECT("'"&amp;I.d.Inputs[#Headers]&amp;"'!Year.Modules"), 0), MATCH([Vector], INDIRECT("'"&amp;I.d.Inputs[#Headers]&amp;"'!Year.Vectors"), 0))</calculatedColumnFormula>
    </tableColumn>
    <tableColumn id="7" name="2022" dataDxfId="2839" dataCellStyle="Comma">
      <calculatedColumnFormula>INDEX(INDIRECT("'"&amp;I.d.Inputs[#Headers]&amp;"'!Year.Matrix"), MATCH("Subtotal."&amp;$A$2, INDIRECT("'"&amp;I.d.Inputs[#Headers]&amp;"'!Year.Modules"), 0), MATCH([Vector], INDIRECT("'"&amp;I.d.Inputs[#Headers]&amp;"'!Year.Vectors"), 0))</calculatedColumnFormula>
    </tableColumn>
    <tableColumn id="15" name="2027" dataDxfId="2838" dataCellStyle="Comma">
      <calculatedColumnFormula>INDEX(INDIRECT("'"&amp;I.d.Inputs[#Headers]&amp;"'!Year.Matrix"), MATCH("Subtotal."&amp;$A$2, INDIRECT("'"&amp;I.d.Inputs[#Headers]&amp;"'!Year.Modules"), 0), MATCH([Vector], INDIRECT("'"&amp;I.d.Inputs[#Headers]&amp;"'!Year.Vectors"), 0))</calculatedColumnFormula>
    </tableColumn>
    <tableColumn id="16" name="2032" dataDxfId="2837" dataCellStyle="Comma">
      <calculatedColumnFormula>INDEX(INDIRECT("'"&amp;I.d.Inputs[#Headers]&amp;"'!Year.Matrix"), MATCH("Subtotal."&amp;$A$2, INDIRECT("'"&amp;I.d.Inputs[#Headers]&amp;"'!Year.Modules"), 0), MATCH([Vector], INDIRECT("'"&amp;I.d.Inputs[#Headers]&amp;"'!Year.Vectors"), 0))</calculatedColumnFormula>
    </tableColumn>
    <tableColumn id="17" name="2037" dataDxfId="2836" dataCellStyle="Comma">
      <calculatedColumnFormula>INDEX(INDIRECT("'"&amp;I.d.Inputs[#Headers]&amp;"'!Year.Matrix"), MATCH("Subtotal."&amp;$A$2, INDIRECT("'"&amp;I.d.Inputs[#Headers]&amp;"'!Year.Modules"), 0), MATCH([Vector], INDIRECT("'"&amp;I.d.Inputs[#Headers]&amp;"'!Year.Vectors"), 0))</calculatedColumnFormula>
    </tableColumn>
    <tableColumn id="18" name="2042" dataDxfId="2835" dataCellStyle="Comma">
      <calculatedColumnFormula>INDEX(INDIRECT("'"&amp;I.d.Inputs[#Headers]&amp;"'!Year.Matrix"), MATCH("Subtotal."&amp;$A$2, INDIRECT("'"&amp;I.d.Inputs[#Headers]&amp;"'!Year.Modules"), 0), MATCH([Vector], INDIRECT("'"&amp;I.d.Inputs[#Headers]&amp;"'!Year.Vectors"), 0))</calculatedColumnFormula>
    </tableColumn>
    <tableColumn id="19" name="2047" dataDxfId="2834" dataCellStyle="Comma">
      <calculatedColumnFormula>INDEX(INDIRECT("'"&amp;I.d.Inputs[#Headers]&amp;"'!Year.Matrix"), MATCH("Subtotal."&amp;$A$2, INDIRECT("'"&amp;I.d.Inputs[#Headers]&amp;"'!Year.Modules"), 0), MATCH([Vector], INDIRECT("'"&amp;I.d.Inputs[#Headers]&amp;"'!Year.Vectors"), 0))</calculatedColumnFormula>
    </tableColumn>
    <tableColumn id="20" name="2052" dataDxfId="2833" dataCellStyle="Comma">
      <calculatedColumnFormula>INDEX(INDIRECT("'"&amp;I.d.Inputs[#Headers]&amp;"'!Year.Matrix"), MATCH("Subtotal."&amp;$A$2, INDIRECT("'"&amp;I.d.Inputs[#Headers]&amp;"'!Year.Modules"), 0), MATCH([Vector], INDIRECT("'"&amp;I.d.Inputs[#Headers]&amp;"'!Year.Vectors"), 0))</calculatedColumnFormula>
    </tableColumn>
  </tableColumns>
  <tableStyleInfo name="EnergyCalcTables" showFirstColumn="0" showLastColumn="0" showRowStripes="1" showColumnStripes="0"/>
</table>
</file>

<file path=xl/tables/table12.xml><?xml version="1.0" encoding="utf-8"?>
<table xmlns="http://schemas.openxmlformats.org/spreadsheetml/2006/main" id="131" name="I.d.outputs" displayName="I.d.outputs" ref="C168:P175" totalsRowCount="1" headerRowDxfId="2832" dataDxfId="2831">
  <autoFilter ref="C168:P174"/>
  <tableColumns count="14">
    <tableColumn id="1" name="Vector" totalsRowLabel="Total" dataDxfId="2830" totalsRowDxfId="2829"/>
    <tableColumn id="2" name="Name" dataDxfId="2828" totalsRowDxfId="2827">
      <calculatedColumnFormula>INDEX(Vectors[Description], MATCH([Vector], Vectors[Code], 0))</calculatedColumnFormula>
    </tableColumn>
    <tableColumn id="3" name="Notes" dataDxfId="2826" totalsRowDxfId="2825"/>
    <tableColumn id="4" name="2007" totalsRowFunction="sum" dataDxfId="2824" totalsRowDxfId="2823" dataCellStyle="Comma">
      <calculatedColumnFormula>#REF!+F$135</calculatedColumnFormula>
    </tableColumn>
    <tableColumn id="5" name="2012" totalsRowFunction="sum" dataDxfId="2822" totalsRowDxfId="2821" dataCellStyle="Comma"/>
    <tableColumn id="6" name="2017" totalsRowFunction="sum" dataDxfId="2820" totalsRowDxfId="2819" dataCellStyle="Comma"/>
    <tableColumn id="7" name="2022" totalsRowFunction="sum" dataDxfId="2818" totalsRowDxfId="2817" dataCellStyle="Comma"/>
    <tableColumn id="8" name="2027" totalsRowFunction="sum" dataDxfId="2816" totalsRowDxfId="2815" dataCellStyle="Comma"/>
    <tableColumn id="9" name="2032" totalsRowFunction="sum" dataDxfId="2814" totalsRowDxfId="2813" dataCellStyle="Comma"/>
    <tableColumn id="10" name="2037" totalsRowFunction="sum" dataDxfId="2812" totalsRowDxfId="2811" dataCellStyle="Comma"/>
    <tableColumn id="11" name="2042" totalsRowFunction="sum" dataDxfId="2810" totalsRowDxfId="2809" dataCellStyle="Comma"/>
    <tableColumn id="12" name="2047" totalsRowFunction="sum" dataDxfId="2808" totalsRowDxfId="2807" dataCellStyle="Comma"/>
    <tableColumn id="13" name="2052" totalsRowFunction="sum" dataDxfId="2806" totalsRowDxfId="2805" dataCellStyle="Comma"/>
    <tableColumn id="14" name="2053" dataDxfId="2804" totalsRowDxfId="2803" dataCellStyle="Comma"/>
  </tableColumns>
  <tableStyleInfo name="EnergyCalcTables" showFirstColumn="0" showLastColumn="0" showRowStripes="1" showColumnStripes="0"/>
</table>
</file>

<file path=xl/tables/table13.xml><?xml version="1.0" encoding="utf-8"?>
<table xmlns="http://schemas.openxmlformats.org/spreadsheetml/2006/main" id="134" name="I.d.Emissions" displayName="I.d.Emissions" ref="C182:O186" totalsRowCount="1" headerRowDxfId="2802" dataDxfId="2800" headerRowBorderDxfId="2801" tableBorderDxfId="2799" dataCellStyle="Comma">
  <autoFilter ref="C182:O185"/>
  <tableColumns count="13">
    <tableColumn id="1" name="GHG" totalsRowLabel="Total" dataDxfId="2798" totalsRowDxfId="2797"/>
    <tableColumn id="2" name="IPCC Sector" dataDxfId="2796" totalsRowDxfId="2795"/>
    <tableColumn id="3" name="Notes" dataDxfId="2794" totalsRowDxfId="2793"/>
    <tableColumn id="4" name="2007" totalsRowFunction="sum" dataDxfId="2792" totalsRowDxfId="2791" dataCellStyle="Comma">
      <calculatedColumnFormula>F142</calculatedColumnFormula>
    </tableColumn>
    <tableColumn id="5" name="2012" totalsRowFunction="sum" dataDxfId="2790" totalsRowDxfId="2789" dataCellStyle="Comma">
      <calculatedColumnFormula>G142</calculatedColumnFormula>
    </tableColumn>
    <tableColumn id="6" name="2017" totalsRowFunction="sum" dataDxfId="2788" totalsRowDxfId="2787" dataCellStyle="Comma">
      <calculatedColumnFormula>H142</calculatedColumnFormula>
    </tableColumn>
    <tableColumn id="7" name="2022" totalsRowFunction="sum" dataDxfId="2786" totalsRowDxfId="2785" dataCellStyle="Comma">
      <calculatedColumnFormula>I142</calculatedColumnFormula>
    </tableColumn>
    <tableColumn id="8" name="2027" totalsRowFunction="sum" dataDxfId="2784" totalsRowDxfId="2783" dataCellStyle="Comma">
      <calculatedColumnFormula>J142</calculatedColumnFormula>
    </tableColumn>
    <tableColumn id="9" name="2032" totalsRowFunction="sum" dataDxfId="2782" totalsRowDxfId="2781" dataCellStyle="Comma">
      <calculatedColumnFormula>K142</calculatedColumnFormula>
    </tableColumn>
    <tableColumn id="10" name="2037" totalsRowFunction="sum" dataDxfId="2780" totalsRowDxfId="2779" dataCellStyle="Comma">
      <calculatedColumnFormula>L142</calculatedColumnFormula>
    </tableColumn>
    <tableColumn id="11" name="2042" totalsRowFunction="sum" dataDxfId="2778" totalsRowDxfId="2777" dataCellStyle="Comma">
      <calculatedColumnFormula>M142</calculatedColumnFormula>
    </tableColumn>
    <tableColumn id="12" name="2047" totalsRowFunction="sum" dataDxfId="2776" totalsRowDxfId="2775" dataCellStyle="Comma">
      <calculatedColumnFormula>N142</calculatedColumnFormula>
    </tableColumn>
    <tableColumn id="13" name="2052" totalsRowFunction="sum" dataDxfId="2774" totalsRowDxfId="2773" dataCellStyle="Comma">
      <calculatedColumnFormula>O142</calculatedColumnFormula>
    </tableColumn>
  </tableColumns>
  <tableStyleInfo name="EnergyCalcTables" showFirstColumn="0" showLastColumn="0" showRowStripes="1" showColumnStripes="0"/>
</table>
</file>

<file path=xl/tables/table14.xml><?xml version="1.0" encoding="utf-8"?>
<table xmlns="http://schemas.openxmlformats.org/spreadsheetml/2006/main" id="163" name="I.d.info" displayName="I.d.info" ref="C201:O204" totalsRowShown="0" headerRowDxfId="2772" dataDxfId="2770" totalsRowDxfId="2768" headerRowBorderDxfId="2771" tableBorderDxfId="2769" dataCellStyle="Comma">
  <autoFilter ref="C201:O204"/>
  <tableColumns count="13">
    <tableColumn id="1" name="Vector" dataDxfId="2767" totalsRowDxfId="2766"/>
    <tableColumn id="2" name="Information type" dataDxfId="2765" totalsRowDxfId="2764"/>
    <tableColumn id="3" name="Notes" dataDxfId="2763" totalsRowDxfId="2762"/>
    <tableColumn id="4" name="2007" dataDxfId="2761" totalsRowDxfId="2760" dataCellStyle="Comma">
      <calculatedColumnFormula>SUM(F$151:F$153)</calculatedColumnFormula>
    </tableColumn>
    <tableColumn id="5" name="2012" dataDxfId="2759" totalsRowDxfId="2758" dataCellStyle="Comma"/>
    <tableColumn id="6" name="2017" dataDxfId="2757" totalsRowDxfId="2756" dataCellStyle="Comma"/>
    <tableColumn id="7" name="2022" dataDxfId="2755" totalsRowDxfId="2754" dataCellStyle="Comma"/>
    <tableColumn id="8" name="2027" dataDxfId="2753" totalsRowDxfId="2752" dataCellStyle="Comma"/>
    <tableColumn id="9" name="2032" dataDxfId="2751" totalsRowDxfId="2750" dataCellStyle="Comma"/>
    <tableColumn id="10" name="2037" dataDxfId="2749" totalsRowDxfId="2748" dataCellStyle="Comma"/>
    <tableColumn id="11" name="2042" dataDxfId="2747" totalsRowDxfId="2746" dataCellStyle="Comma"/>
    <tableColumn id="12" name="2047" dataDxfId="2745" totalsRowDxfId="2744" dataCellStyle="Comma"/>
    <tableColumn id="13" name="2052" dataDxfId="2743" totalsRowDxfId="2742" dataCellStyle="Comma"/>
  </tableColumns>
  <tableStyleInfo name="EnergyCalcTables" showFirstColumn="0" showLastColumn="0" showRowStripes="1" showColumnStripes="0"/>
</table>
</file>

<file path=xl/tables/table15.xml><?xml version="1.0" encoding="utf-8"?>
<table xmlns="http://schemas.openxmlformats.org/spreadsheetml/2006/main" id="119" name="II.Outputs" displayName="II.Outputs" ref="C112:O118" totalsRowCount="1" headerRowDxfId="2741" dataDxfId="2740">
  <autoFilter ref="C112:O117"/>
  <tableColumns count="13">
    <tableColumn id="1" name="Vector" totalsRowLabel="Total" dataDxfId="2739" totalsRowDxfId="2738"/>
    <tableColumn id="2" name="Name" dataDxfId="2737" totalsRowDxfId="2736">
      <calculatedColumnFormula>INDEX(Vectors[Description], MATCH([Vector],Vectors[Code], 0))</calculatedColumnFormula>
    </tableColumn>
    <tableColumn id="3" name="Notes" dataDxfId="2735" totalsRowDxfId="2734"/>
    <tableColumn id="4" name="2007" totalsRowFunction="sum" dataDxfId="2733" totalsRowDxfId="2732" dataCellStyle="Comma">
      <calculatedColumnFormula>F$101+#REF!</calculatedColumnFormula>
    </tableColumn>
    <tableColumn id="5" name="2012" totalsRowFunction="sum" dataDxfId="2731" totalsRowDxfId="2730" dataCellStyle="Comma"/>
    <tableColumn id="6" name="2017" totalsRowFunction="sum" dataDxfId="2729" totalsRowDxfId="2728" dataCellStyle="Comma"/>
    <tableColumn id="7" name="2022" totalsRowFunction="sum" dataDxfId="2727" totalsRowDxfId="2726" dataCellStyle="Comma"/>
    <tableColumn id="8" name="2027" totalsRowFunction="sum" dataDxfId="2725" totalsRowDxfId="2724" dataCellStyle="Comma"/>
    <tableColumn id="9" name="2032" totalsRowFunction="sum" dataDxfId="2723" totalsRowDxfId="2722" dataCellStyle="Comma"/>
    <tableColumn id="10" name="2037" totalsRowFunction="sum" dataDxfId="2721" totalsRowDxfId="2720" dataCellStyle="Comma"/>
    <tableColumn id="11" name="2042" totalsRowFunction="sum" dataDxfId="2719" totalsRowDxfId="2718" dataCellStyle="Comma"/>
    <tableColumn id="12" name="2047" totalsRowFunction="sum" dataDxfId="2717" totalsRowDxfId="2716" dataCellStyle="Comma"/>
    <tableColumn id="13" name="2052" totalsRowFunction="sum" dataDxfId="2715" totalsRowDxfId="2714" dataCellStyle="Comma"/>
  </tableColumns>
  <tableStyleInfo name="EnergyCalcTables" showFirstColumn="0" showLastColumn="0" showRowStripes="1" showColumnStripes="0"/>
</table>
</file>

<file path=xl/tables/table16.xml><?xml version="1.0" encoding="utf-8"?>
<table xmlns="http://schemas.openxmlformats.org/spreadsheetml/2006/main" id="123" name="II.info" displayName="II.info" ref="C125:O128" totalsRowShown="0" headerRowDxfId="2713" dataDxfId="2711" totalsRowDxfId="2709" headerRowBorderDxfId="2712" tableBorderDxfId="2710" dataCellStyle="Check Cell">
  <autoFilter ref="C125:O128"/>
  <tableColumns count="13">
    <tableColumn id="1" name="Vector" dataDxfId="2708" totalsRowDxfId="2707"/>
    <tableColumn id="2" name="Information type" dataDxfId="2706">
      <calculatedColumnFormula>INDEX(Vectors[Description], MATCH([Vector], Vectors[Code], 0))</calculatedColumnFormula>
    </tableColumn>
    <tableColumn id="3" name="Notes" dataDxfId="2705" totalsRowDxfId="2704">
      <calculatedColumnFormula>INDEX([6]!Vectors[Comment], MATCH([Information type], [6]!Vectors[Description], 0))</calculatedColumnFormula>
    </tableColumn>
    <tableColumn id="4" name="2007" dataDxfId="2703" totalsRowDxfId="2702" dataCellStyle="Comma">
      <calculatedColumnFormula>F87</calculatedColumnFormula>
    </tableColumn>
    <tableColumn id="5" name="2012" dataDxfId="2701" totalsRowDxfId="2700" dataCellStyle="Comma"/>
    <tableColumn id="6" name="2017" dataDxfId="2699" totalsRowDxfId="2698" dataCellStyle="Comma"/>
    <tableColumn id="7" name="2022" dataDxfId="2697" totalsRowDxfId="2696" dataCellStyle="Comma"/>
    <tableColumn id="8" name="2027" dataDxfId="2695" totalsRowDxfId="2694" dataCellStyle="Comma"/>
    <tableColumn id="9" name="2032" dataDxfId="2693" totalsRowDxfId="2692" dataCellStyle="Comma"/>
    <tableColumn id="10" name="2037" dataDxfId="2691" totalsRowDxfId="2690" dataCellStyle="Comma"/>
    <tableColumn id="11" name="2042" dataDxfId="2689" totalsRowDxfId="2688" dataCellStyle="Comma"/>
    <tableColumn id="12" name="2047" dataDxfId="2687" totalsRowDxfId="2686" dataCellStyle="Comma"/>
    <tableColumn id="13" name="2052" dataDxfId="2685" totalsRowDxfId="2684" dataCellStyle="Comma"/>
  </tableColumns>
  <tableStyleInfo name="EnergyCalcTables" showFirstColumn="0" showLastColumn="0" showRowStripes="1" showColumnStripes="0"/>
</table>
</file>

<file path=xl/tables/table17.xml><?xml version="1.0" encoding="utf-8"?>
<table xmlns="http://schemas.openxmlformats.org/spreadsheetml/2006/main" id="189" name="III.Outputs" displayName="III.Outputs" ref="C98:O101" totalsRowCount="1" headerRowDxfId="2683" dataDxfId="2682">
  <autoFilter ref="C98:O100"/>
  <tableColumns count="13">
    <tableColumn id="1" name="Vector" totalsRowLabel="Total" dataDxfId="2681" totalsRowDxfId="2680"/>
    <tableColumn id="2" name="Name" dataDxfId="2679" totalsRowDxfId="2678">
      <calculatedColumnFormula>INDEX(Vectors[Description], MATCH([Vector], Vectors[Code], 0))</calculatedColumnFormula>
    </tableColumn>
    <tableColumn id="3" name="Notes" dataDxfId="2677" totalsRowDxfId="2676"/>
    <tableColumn id="4" name="2007" totalsRowFunction="sum" dataDxfId="2675" totalsRowDxfId="2674" dataCellStyle="Comma">
      <calculatedColumnFormula>#REF!+#REF!</calculatedColumnFormula>
    </tableColumn>
    <tableColumn id="5" name="2012" totalsRowFunction="sum" dataDxfId="2673" totalsRowDxfId="2672" dataCellStyle="Comma"/>
    <tableColumn id="6" name="2017" totalsRowFunction="sum" dataDxfId="2671" totalsRowDxfId="2670" dataCellStyle="Comma"/>
    <tableColumn id="7" name="2022" totalsRowFunction="sum" dataDxfId="2669" totalsRowDxfId="2668" dataCellStyle="Comma"/>
    <tableColumn id="8" name="2027" totalsRowFunction="sum" dataDxfId="2667" totalsRowDxfId="2666" dataCellStyle="Comma"/>
    <tableColumn id="9" name="2032" totalsRowFunction="sum" dataDxfId="2665" totalsRowDxfId="2664" dataCellStyle="Comma"/>
    <tableColumn id="10" name="2037" totalsRowFunction="sum" dataDxfId="2663" totalsRowDxfId="2662" dataCellStyle="Comma"/>
    <tableColumn id="11" name="2042" totalsRowFunction="sum" dataDxfId="2661" totalsRowDxfId="2660" dataCellStyle="Comma"/>
    <tableColumn id="12" name="2047" totalsRowFunction="sum" dataDxfId="2659" totalsRowDxfId="2658" dataCellStyle="Comma"/>
    <tableColumn id="13" name="2052" totalsRowFunction="sum" dataDxfId="2657" totalsRowDxfId="2656" dataCellStyle="Comma"/>
  </tableColumns>
  <tableStyleInfo name="EnergyCalcTables" showFirstColumn="0" showLastColumn="0" showRowStripes="1" showColumnStripes="0"/>
</table>
</file>

<file path=xl/tables/table18.xml><?xml version="1.0" encoding="utf-8"?>
<table xmlns="http://schemas.openxmlformats.org/spreadsheetml/2006/main" id="190" name="III.info" displayName="III.info" ref="C108:O110" totalsRowShown="0" headerRowDxfId="2655" dataDxfId="2653" totalsRowDxfId="2651" headerRowBorderDxfId="2654" tableBorderDxfId="2652" dataCellStyle="Check Cell">
  <autoFilter ref="C108:O110"/>
  <tableColumns count="13">
    <tableColumn id="1" name="Vector" dataDxfId="2650" totalsRowDxfId="2649"/>
    <tableColumn id="2" name="Information type" dataDxfId="2648" totalsRowDxfId="2647">
      <calculatedColumnFormula>INDEX(Vectors[Description], MATCH([Vector], Vectors[Code], 0))</calculatedColumnFormula>
    </tableColumn>
    <tableColumn id="3" name="Notes" dataDxfId="2646" totalsRowDxfId="2645"/>
    <tableColumn id="4" name="2007" dataDxfId="2644" totalsRowDxfId="2643" dataCellStyle="Comma">
      <calculatedColumnFormula>#REF!</calculatedColumnFormula>
    </tableColumn>
    <tableColumn id="5" name="2012" dataDxfId="2642" totalsRowDxfId="2641" dataCellStyle="Comma">
      <calculatedColumnFormula>#REF!</calculatedColumnFormula>
    </tableColumn>
    <tableColumn id="6" name="2017" dataDxfId="2640" totalsRowDxfId="2639" dataCellStyle="Comma">
      <calculatedColumnFormula>#REF!</calculatedColumnFormula>
    </tableColumn>
    <tableColumn id="7" name="2022" dataDxfId="2638" totalsRowDxfId="2637" dataCellStyle="Comma">
      <calculatedColumnFormula>#REF!</calculatedColumnFormula>
    </tableColumn>
    <tableColumn id="8" name="2027" dataDxfId="2636" totalsRowDxfId="2635" dataCellStyle="Comma">
      <calculatedColumnFormula>#REF!</calculatedColumnFormula>
    </tableColumn>
    <tableColumn id="9" name="2032" dataDxfId="2634" totalsRowDxfId="2633" dataCellStyle="Comma">
      <calculatedColumnFormula>#REF!</calculatedColumnFormula>
    </tableColumn>
    <tableColumn id="10" name="2037" dataDxfId="2632" totalsRowDxfId="2631" dataCellStyle="Comma">
      <calculatedColumnFormula>#REF!</calculatedColumnFormula>
    </tableColumn>
    <tableColumn id="11" name="2042" dataDxfId="2630" totalsRowDxfId="2629" dataCellStyle="Comma">
      <calculatedColumnFormula>#REF!</calculatedColumnFormula>
    </tableColumn>
    <tableColumn id="12" name="2047" dataDxfId="2628" totalsRowDxfId="2627" dataCellStyle="Comma">
      <calculatedColumnFormula>#REF!</calculatedColumnFormula>
    </tableColumn>
    <tableColumn id="13" name="2052" dataDxfId="2626" totalsRowDxfId="2625" dataCellStyle="Comma">
      <calculatedColumnFormula>#REF!</calculatedColumnFormula>
    </tableColumn>
  </tableColumns>
  <tableStyleInfo name="EnergyCalcTables" showFirstColumn="0" showLastColumn="0" showRowStripes="1" showColumnStripes="0"/>
</table>
</file>

<file path=xl/tables/table19.xml><?xml version="1.0" encoding="utf-8"?>
<table xmlns="http://schemas.openxmlformats.org/spreadsheetml/2006/main" id="9" name="IV.a.Outputs" displayName="IV.a.Outputs" ref="C105:O109" totalsRowCount="1" headerRowDxfId="2624" dataDxfId="2623">
  <autoFilter ref="C105:O108"/>
  <tableColumns count="13">
    <tableColumn id="1" name="Vector" totalsRowLabel="Total" dataDxfId="2622" totalsRowDxfId="2621"/>
    <tableColumn id="2" name="Name" dataDxfId="2620" totalsRowDxfId="2619">
      <calculatedColumnFormula>INDEX(Vectors[Description], MATCH([Vector], Vectors[Code], 0))</calculatedColumnFormula>
    </tableColumn>
    <tableColumn id="3" name="Notes" dataDxfId="2618" totalsRowDxfId="2617"/>
    <tableColumn id="4" name="2007" totalsRowFunction="sum" dataDxfId="2616" totalsRowDxfId="2615" dataCellStyle="Comma">
      <calculatedColumnFormula>#REF!+#REF!</calculatedColumnFormula>
    </tableColumn>
    <tableColumn id="5" name="2012" totalsRowFunction="sum" dataDxfId="2614" totalsRowDxfId="2613" dataCellStyle="Comma"/>
    <tableColumn id="6" name="2017" totalsRowFunction="sum" dataDxfId="2612" totalsRowDxfId="2611" dataCellStyle="Comma"/>
    <tableColumn id="7" name="2022" totalsRowFunction="sum" dataDxfId="2610" totalsRowDxfId="2609" dataCellStyle="Comma"/>
    <tableColumn id="8" name="2027" totalsRowFunction="sum" dataDxfId="2608" totalsRowDxfId="2607" dataCellStyle="Comma"/>
    <tableColumn id="9" name="2032" totalsRowFunction="sum" dataDxfId="2606" totalsRowDxfId="2605" dataCellStyle="Comma"/>
    <tableColumn id="10" name="2037" totalsRowFunction="sum" dataDxfId="2604" totalsRowDxfId="2603" dataCellStyle="Comma"/>
    <tableColumn id="11" name="2042" totalsRowFunction="sum" dataDxfId="2602" totalsRowDxfId="2601" dataCellStyle="Comma"/>
    <tableColumn id="12" name="2047" totalsRowFunction="sum" dataDxfId="2600" totalsRowDxfId="2599" dataCellStyle="Comma"/>
    <tableColumn id="13" name="2052" totalsRowFunction="sum" dataDxfId="2598" totalsRowDxfId="2597" dataCellStyle="Comma"/>
  </tableColumns>
  <tableStyleInfo name="EnergyCalcTables" showFirstColumn="0" showLastColumn="0" showRowStripes="1" showColumnStripes="0"/>
</table>
</file>

<file path=xl/tables/table20.xml><?xml version="1.0" encoding="utf-8"?>
<table xmlns="http://schemas.openxmlformats.org/spreadsheetml/2006/main" id="10" name="IV.a.info" displayName="IV.a.info" ref="C116:O118" totalsRowShown="0" headerRowDxfId="2596" dataDxfId="2594" totalsRowDxfId="2592" headerRowBorderDxfId="2595" tableBorderDxfId="2593" dataCellStyle="Comma">
  <autoFilter ref="C116:O118"/>
  <tableColumns count="13">
    <tableColumn id="1" name="Vector" dataDxfId="2591" totalsRowDxfId="2590"/>
    <tableColumn id="2" name="Information type" dataDxfId="2589" totalsRowDxfId="2588"/>
    <tableColumn id="3" name="Notes" dataDxfId="2587" totalsRowDxfId="2586"/>
    <tableColumn id="4" name="2007" dataDxfId="2585" totalsRowDxfId="2584" dataCellStyle="Comma">
      <calculatedColumnFormula>#REF!</calculatedColumnFormula>
    </tableColumn>
    <tableColumn id="5" name="2012" dataDxfId="2583" totalsRowDxfId="2582" dataCellStyle="Comma"/>
    <tableColumn id="6" name="2017" dataDxfId="2581" totalsRowDxfId="2580" dataCellStyle="Comma"/>
    <tableColumn id="7" name="2022" dataDxfId="2579" totalsRowDxfId="2578" dataCellStyle="Comma"/>
    <tableColumn id="8" name="2027" dataDxfId="2577" totalsRowDxfId="2576" dataCellStyle="Comma"/>
    <tableColumn id="9" name="2032" dataDxfId="2575" totalsRowDxfId="2574" dataCellStyle="Comma"/>
    <tableColumn id="10" name="2037" dataDxfId="2573" totalsRowDxfId="2572" dataCellStyle="Comma"/>
    <tableColumn id="11" name="2042" dataDxfId="2571" totalsRowDxfId="2570" dataCellStyle="Comma"/>
    <tableColumn id="12" name="2047" dataDxfId="2569" totalsRowDxfId="2568" dataCellStyle="Comma"/>
    <tableColumn id="13" name="2052" dataDxfId="2567" totalsRowDxfId="2566" dataCellStyle="Comma"/>
  </tableColumns>
  <tableStyleInfo name="EnergyCalcTables" showFirstColumn="0" showLastColumn="0" showRowStripes="1" showColumnStripes="0"/>
</table>
</file>

<file path=xl/tables/table21.xml><?xml version="1.0" encoding="utf-8"?>
<table xmlns="http://schemas.openxmlformats.org/spreadsheetml/2006/main" id="3" name="IV.b.Outputs" displayName="IV.b.Outputs" ref="C108:O111" totalsRowCount="1" headerRowDxfId="2565" dataDxfId="2564">
  <autoFilter ref="C108:O110"/>
  <tableColumns count="13">
    <tableColumn id="1" name="Vector" totalsRowLabel="Total" dataDxfId="2563" totalsRowDxfId="2562"/>
    <tableColumn id="2" name="Name" dataDxfId="2561" totalsRowDxfId="2560">
      <calculatedColumnFormula>INDEX(Vectors[Description], MATCH([Vector], Vectors[Code], 0))</calculatedColumnFormula>
    </tableColumn>
    <tableColumn id="3" name="Notes" dataDxfId="2559" totalsRowDxfId="2558"/>
    <tableColumn id="4" name="2007" totalsRowFunction="sum" dataDxfId="2557" totalsRowDxfId="2556" dataCellStyle="Comma">
      <calculatedColumnFormula>#REF!+#REF!</calculatedColumnFormula>
    </tableColumn>
    <tableColumn id="5" name="2012" totalsRowFunction="sum" dataDxfId="2555" totalsRowDxfId="2554" dataCellStyle="Comma"/>
    <tableColumn id="6" name="2017" totalsRowFunction="sum" dataDxfId="2553" totalsRowDxfId="2552" dataCellStyle="Comma"/>
    <tableColumn id="7" name="2022" totalsRowFunction="sum" dataDxfId="2551" totalsRowDxfId="2550" dataCellStyle="Comma"/>
    <tableColumn id="8" name="2027" totalsRowFunction="sum" dataDxfId="2549" totalsRowDxfId="2548" dataCellStyle="Comma"/>
    <tableColumn id="9" name="2032" totalsRowFunction="sum" dataDxfId="2547" totalsRowDxfId="2546" dataCellStyle="Comma"/>
    <tableColumn id="10" name="2037" totalsRowFunction="sum" dataDxfId="2545" totalsRowDxfId="2544" dataCellStyle="Comma"/>
    <tableColumn id="11" name="2042" totalsRowFunction="sum" dataDxfId="2543" totalsRowDxfId="2542" dataCellStyle="Comma"/>
    <tableColumn id="12" name="2047" totalsRowFunction="sum" dataDxfId="2541" totalsRowDxfId="2540" dataCellStyle="Comma"/>
    <tableColumn id="13" name="2052" totalsRowFunction="sum" dataDxfId="2539" totalsRowDxfId="2538" dataCellStyle="Comma"/>
  </tableColumns>
  <tableStyleInfo name="EnergyCalcTables" showFirstColumn="0" showLastColumn="0" showRowStripes="1" showColumnStripes="0"/>
</table>
</file>

<file path=xl/tables/table22.xml><?xml version="1.0" encoding="utf-8"?>
<table xmlns="http://schemas.openxmlformats.org/spreadsheetml/2006/main" id="4" name="IV.b.info" displayName="IV.b.info" ref="C118:O120" totalsRowShown="0" headerRowDxfId="2537" dataDxfId="2535" totalsRowDxfId="2533" headerRowBorderDxfId="2536" tableBorderDxfId="2534" dataCellStyle="Check Cell">
  <autoFilter ref="C118:O120"/>
  <tableColumns count="13">
    <tableColumn id="1" name="Vector" dataDxfId="2532" totalsRowDxfId="2531"/>
    <tableColumn id="2" name="Information type" dataDxfId="2530" totalsRowDxfId="2529">
      <calculatedColumnFormula>INDEX(Vectors[Description], MATCH([Vector], Vectors[Code], 0))</calculatedColumnFormula>
    </tableColumn>
    <tableColumn id="3" name="Notes" dataDxfId="2528" totalsRowDxfId="2527"/>
    <tableColumn id="4" name="2007" dataDxfId="2526" totalsRowDxfId="2525" dataCellStyle="Comma">
      <calculatedColumnFormula>#REF!</calculatedColumnFormula>
    </tableColumn>
    <tableColumn id="5" name="2012" dataDxfId="2524" totalsRowDxfId="2523" dataCellStyle="Comma"/>
    <tableColumn id="6" name="2017" dataDxfId="2522" totalsRowDxfId="2521" dataCellStyle="Comma"/>
    <tableColumn id="7" name="2022" dataDxfId="2520" totalsRowDxfId="2519" dataCellStyle="Comma"/>
    <tableColumn id="8" name="2027" dataDxfId="2518" totalsRowDxfId="2517" dataCellStyle="Comma"/>
    <tableColumn id="9" name="2032" dataDxfId="2516" totalsRowDxfId="2515" dataCellStyle="Comma"/>
    <tableColumn id="10" name="2037" dataDxfId="2514" totalsRowDxfId="2513" dataCellStyle="Comma"/>
    <tableColumn id="11" name="2042" dataDxfId="2512" totalsRowDxfId="2511" dataCellStyle="Comma"/>
    <tableColumn id="12" name="2047" dataDxfId="2510" totalsRowDxfId="2509" dataCellStyle="Comma"/>
    <tableColumn id="13" name="2052" dataDxfId="2508" totalsRowDxfId="2507" dataCellStyle="Comma"/>
  </tableColumns>
  <tableStyleInfo name="EnergyCalcTables" showFirstColumn="0" showLastColumn="0" showRowStripes="1" showColumnStripes="0"/>
</table>
</file>

<file path=xl/tables/table23.xml><?xml version="1.0" encoding="utf-8"?>
<table xmlns="http://schemas.openxmlformats.org/spreadsheetml/2006/main" id="24" name="IV.c.1.Outputs" displayName="IV.c.1.Outputs" ref="C101:O104" totalsRowCount="1" headerRowDxfId="2506" dataDxfId="2505">
  <autoFilter ref="C101:O103"/>
  <tableColumns count="13">
    <tableColumn id="1" name="Vector" totalsRowLabel="Total" dataDxfId="2504" totalsRowDxfId="2503"/>
    <tableColumn id="2" name="Name" dataDxfId="2502" totalsRowDxfId="2501">
      <calculatedColumnFormula>INDEX(Vectors[Description], MATCH([Vector],Vectors[Code], 0))</calculatedColumnFormula>
    </tableColumn>
    <tableColumn id="3" name="Notes" dataDxfId="2500" totalsRowDxfId="2499"/>
    <tableColumn id="4" name="2007" totalsRowFunction="sum" dataDxfId="2498" totalsRowDxfId="2497" dataCellStyle="Comma">
      <calculatedColumnFormula>#REF!+#REF!</calculatedColumnFormula>
    </tableColumn>
    <tableColumn id="5" name="2012" totalsRowFunction="sum" dataDxfId="2496" totalsRowDxfId="2495" dataCellStyle="Comma"/>
    <tableColumn id="6" name="2017" totalsRowFunction="sum" dataDxfId="2494" totalsRowDxfId="2493" dataCellStyle="Comma"/>
    <tableColumn id="7" name="2022" totalsRowFunction="sum" dataDxfId="2492" totalsRowDxfId="2491" dataCellStyle="Comma"/>
    <tableColumn id="8" name="2027" totalsRowFunction="sum" dataDxfId="2490" totalsRowDxfId="2489" dataCellStyle="Comma"/>
    <tableColumn id="9" name="2032" totalsRowFunction="sum" dataDxfId="2488" totalsRowDxfId="2487" dataCellStyle="Comma"/>
    <tableColumn id="10" name="2037" totalsRowFunction="sum" dataDxfId="2486" totalsRowDxfId="2485" dataCellStyle="Comma"/>
    <tableColumn id="11" name="2042" totalsRowFunction="sum" dataDxfId="2484" totalsRowDxfId="2483" dataCellStyle="Comma"/>
    <tableColumn id="12" name="2047" totalsRowFunction="sum" dataDxfId="2482" totalsRowDxfId="2481" dataCellStyle="Comma"/>
    <tableColumn id="13" name="2052" totalsRowFunction="sum" dataDxfId="2480" totalsRowDxfId="2479" dataCellStyle="Comma"/>
  </tableColumns>
  <tableStyleInfo name="EnergyCalcTables" showFirstColumn="0" showLastColumn="0" showRowStripes="1" showColumnStripes="0"/>
</table>
</file>

<file path=xl/tables/table24.xml><?xml version="1.0" encoding="utf-8"?>
<table xmlns="http://schemas.openxmlformats.org/spreadsheetml/2006/main" id="25" name="IV.c.1.info" displayName="IV.c.1.info" ref="C111:O113" totalsRowShown="0" headerRowDxfId="2478" dataDxfId="2476" totalsRowDxfId="2474" headerRowBorderDxfId="2477" tableBorderDxfId="2475" dataCellStyle="Check Cell">
  <autoFilter ref="C111:O113"/>
  <tableColumns count="13">
    <tableColumn id="1" name="Vector" dataDxfId="2473" totalsRowDxfId="2472"/>
    <tableColumn id="2" name="Information type" dataDxfId="2471" totalsRowDxfId="2470"/>
    <tableColumn id="3" name="Notes" dataDxfId="2469" totalsRowDxfId="2468"/>
    <tableColumn id="4" name="2007" dataDxfId="2467" totalsRowDxfId="2466" dataCellStyle="Comma">
      <calculatedColumnFormula>#REF!</calculatedColumnFormula>
    </tableColumn>
    <tableColumn id="5" name="2012" dataDxfId="2465" totalsRowDxfId="2464" dataCellStyle="Comma"/>
    <tableColumn id="6" name="2017" dataDxfId="2463" totalsRowDxfId="2462" dataCellStyle="Comma"/>
    <tableColumn id="7" name="2022" dataDxfId="2461" totalsRowDxfId="2460" dataCellStyle="Comma"/>
    <tableColumn id="8" name="2027" dataDxfId="2459" totalsRowDxfId="2458" dataCellStyle="Comma"/>
    <tableColumn id="9" name="2032" dataDxfId="2457" totalsRowDxfId="2456" dataCellStyle="Comma"/>
    <tableColumn id="10" name="2037" dataDxfId="2455" totalsRowDxfId="2454" dataCellStyle="Comma"/>
    <tableColumn id="11" name="2042" dataDxfId="2453" totalsRowDxfId="2452" dataCellStyle="Comma"/>
    <tableColumn id="12" name="2047" dataDxfId="2451" totalsRowDxfId="2450" dataCellStyle="Comma"/>
    <tableColumn id="13" name="2052" dataDxfId="2449" totalsRowDxfId="2448" dataCellStyle="Comma">
      <calculatedColumnFormula>O78</calculatedColumnFormula>
    </tableColumn>
  </tableColumns>
  <tableStyleInfo name="EnergyCalcTables" showFirstColumn="0" showLastColumn="0" showRowStripes="1" showColumnStripes="0"/>
</table>
</file>

<file path=xl/tables/table25.xml><?xml version="1.0" encoding="utf-8"?>
<table xmlns="http://schemas.openxmlformats.org/spreadsheetml/2006/main" id="15" name="IV.c.2.Outputs" displayName="IV.c.2.Outputs" ref="C89:O92" totalsRowCount="1" headerRowDxfId="2447" dataDxfId="2446">
  <autoFilter ref="C89:O91"/>
  <tableColumns count="13">
    <tableColumn id="1" name="Vector" totalsRowLabel="Total" dataDxfId="2445" totalsRowDxfId="2444"/>
    <tableColumn id="2" name="Name" dataDxfId="2443" totalsRowDxfId="2442">
      <calculatedColumnFormula>INDEX(Vectors[Description], MATCH([Vector],Vectors[Code], 0))</calculatedColumnFormula>
    </tableColumn>
    <tableColumn id="3" name="Notes" dataDxfId="2441" totalsRowDxfId="2440"/>
    <tableColumn id="4" name="2007" totalsRowFunction="sum" dataDxfId="2439" totalsRowDxfId="2438" dataCellStyle="Comma">
      <calculatedColumnFormula>#REF!+#REF!</calculatedColumnFormula>
    </tableColumn>
    <tableColumn id="5" name="2012" totalsRowFunction="sum" dataDxfId="2437" totalsRowDxfId="2436" dataCellStyle="Comma"/>
    <tableColumn id="6" name="2017" totalsRowFunction="sum" dataDxfId="2435" totalsRowDxfId="2434" dataCellStyle="Comma"/>
    <tableColumn id="7" name="2022" totalsRowFunction="sum" dataDxfId="2433" totalsRowDxfId="2432" dataCellStyle="Comma"/>
    <tableColumn id="8" name="2027" totalsRowFunction="sum" dataDxfId="2431" totalsRowDxfId="2430" dataCellStyle="Comma"/>
    <tableColumn id="9" name="2032" totalsRowFunction="sum" dataDxfId="2429" totalsRowDxfId="2428" dataCellStyle="Comma"/>
    <tableColumn id="10" name="2037" totalsRowFunction="sum" dataDxfId="2427" totalsRowDxfId="2426" dataCellStyle="Comma"/>
    <tableColumn id="11" name="2042" totalsRowFunction="sum" dataDxfId="2425" totalsRowDxfId="2424" dataCellStyle="Comma"/>
    <tableColumn id="12" name="2047" totalsRowFunction="sum" dataDxfId="2423" totalsRowDxfId="2422" dataCellStyle="Comma"/>
    <tableColumn id="13" name="2052" totalsRowFunction="sum" dataDxfId="2421" totalsRowDxfId="2420" dataCellStyle="Comma"/>
  </tableColumns>
  <tableStyleInfo name="EnergyCalcTables" showFirstColumn="0" showLastColumn="0" showRowStripes="1" showColumnStripes="0"/>
</table>
</file>

<file path=xl/tables/table26.xml><?xml version="1.0" encoding="utf-8"?>
<table xmlns="http://schemas.openxmlformats.org/spreadsheetml/2006/main" id="11" name="IV.C.2.info" displayName="IV.C.2.info" ref="C99:O101" totalsRowShown="0" headerRowDxfId="2419" dataDxfId="2418" tableBorderDxfId="2417" dataCellStyle="Comma">
  <autoFilter ref="C99:O101"/>
  <tableColumns count="13">
    <tableColumn id="1" name="Vector" dataDxfId="2416"/>
    <tableColumn id="2" name="Information type" dataDxfId="2415">
      <calculatedColumnFormula>INDEX(Vectors[Description], MATCH(IV.c.2!$C$100:$C$101,Vectors[Code], 0))</calculatedColumnFormula>
    </tableColumn>
    <tableColumn id="3" name="Notes" dataDxfId="2414">
      <calculatedColumnFormula>Preferences.AreaUnits</calculatedColumnFormula>
    </tableColumn>
    <tableColumn id="4" name="2007" dataDxfId="2413" dataCellStyle="Comma">
      <calculatedColumnFormula>0</calculatedColumnFormula>
    </tableColumn>
    <tableColumn id="5" name="2012" dataDxfId="2412" dataCellStyle="Comma">
      <calculatedColumnFormula>G70</calculatedColumnFormula>
    </tableColumn>
    <tableColumn id="6" name="2017" dataDxfId="2411" dataCellStyle="Comma">
      <calculatedColumnFormula>H70</calculatedColumnFormula>
    </tableColumn>
    <tableColumn id="7" name="2022" dataDxfId="2410" dataCellStyle="Comma">
      <calculatedColumnFormula>I70</calculatedColumnFormula>
    </tableColumn>
    <tableColumn id="8" name="2027" dataDxfId="2409" dataCellStyle="Comma">
      <calculatedColumnFormula>J70</calculatedColumnFormula>
    </tableColumn>
    <tableColumn id="9" name="2032" dataDxfId="2408" dataCellStyle="Comma">
      <calculatedColumnFormula>K70</calculatedColumnFormula>
    </tableColumn>
    <tableColumn id="10" name="2037" dataDxfId="2407" dataCellStyle="Comma">
      <calculatedColumnFormula>L70</calculatedColumnFormula>
    </tableColumn>
    <tableColumn id="11" name="2042" dataDxfId="2406" dataCellStyle="Comma">
      <calculatedColumnFormula>M70</calculatedColumnFormula>
    </tableColumn>
    <tableColumn id="12" name="2047" dataDxfId="2405" dataCellStyle="Comma">
      <calculatedColumnFormula>N70</calculatedColumnFormula>
    </tableColumn>
    <tableColumn id="13" name="2052" dataDxfId="2404" dataCellStyle="Comma">
      <calculatedColumnFormula>O70</calculatedColumnFormula>
    </tableColumn>
  </tableColumns>
  <tableStyleInfo name="TableStyleMedium2" showFirstColumn="0" showLastColumn="0" showRowStripes="1" showColumnStripes="0"/>
</table>
</file>

<file path=xl/tables/table27.xml><?xml version="1.0" encoding="utf-8"?>
<table xmlns="http://schemas.openxmlformats.org/spreadsheetml/2006/main" id="12" name="IV.d.Outputs" displayName="IV.d.Outputs" ref="C130:O133" totalsRowCount="1" headerRowDxfId="2403" dataDxfId="2402">
  <autoFilter ref="C130:O132"/>
  <tableColumns count="13">
    <tableColumn id="1" name="Vector" totalsRowLabel="Total" dataDxfId="2401" totalsRowDxfId="2400"/>
    <tableColumn id="2" name="Name" dataDxfId="2399" totalsRowDxfId="2398">
      <calculatedColumnFormula>INDEX(Vectors[Description], MATCH([Vector], Vectors[Code], 0))</calculatedColumnFormula>
    </tableColumn>
    <tableColumn id="3" name="Notes" dataDxfId="2397" totalsRowDxfId="2396"/>
    <tableColumn id="4" name="2007" totalsRowFunction="sum" dataDxfId="2395" totalsRowDxfId="2394" dataCellStyle="Comma">
      <calculatedColumnFormula>#REF!+#REF!</calculatedColumnFormula>
    </tableColumn>
    <tableColumn id="5" name="2012" totalsRowFunction="sum" dataDxfId="2393" totalsRowDxfId="2392" dataCellStyle="Comma"/>
    <tableColumn id="6" name="2017" totalsRowFunction="sum" dataDxfId="2391" totalsRowDxfId="2390" dataCellStyle="Comma"/>
    <tableColumn id="7" name="2022" totalsRowFunction="sum" dataDxfId="2389" totalsRowDxfId="2388" dataCellStyle="Comma"/>
    <tableColumn id="8" name="2027" totalsRowFunction="sum" dataDxfId="2387" totalsRowDxfId="2386" dataCellStyle="Comma"/>
    <tableColumn id="9" name="2032" totalsRowFunction="sum" dataDxfId="2385" totalsRowDxfId="2384" dataCellStyle="Comma"/>
    <tableColumn id="10" name="2037" totalsRowFunction="sum" dataDxfId="2383" totalsRowDxfId="2382" dataCellStyle="Comma"/>
    <tableColumn id="11" name="2042" totalsRowFunction="sum" dataDxfId="2381" totalsRowDxfId="2380" dataCellStyle="Comma"/>
    <tableColumn id="12" name="2047" totalsRowFunction="sum" dataDxfId="2379" totalsRowDxfId="2378" dataCellStyle="Comma"/>
    <tableColumn id="13" name="2052" totalsRowFunction="sum" dataDxfId="2377" totalsRowDxfId="2376" dataCellStyle="Comma"/>
  </tableColumns>
  <tableStyleInfo name="EnergyCalcTables" showFirstColumn="0" showLastColumn="0" showRowStripes="1" showColumnStripes="0"/>
</table>
</file>

<file path=xl/tables/table28.xml><?xml version="1.0" encoding="utf-8"?>
<table xmlns="http://schemas.openxmlformats.org/spreadsheetml/2006/main" id="13" name="IV.d.info" displayName="IV.d.info" ref="C140:O142" totalsRowShown="0" headerRowDxfId="2375" dataDxfId="2373" totalsRowDxfId="2371" headerRowBorderDxfId="2374" tableBorderDxfId="2372" dataCellStyle="Check Cell">
  <autoFilter ref="C140:O142"/>
  <tableColumns count="13">
    <tableColumn id="1" name="Vector" dataDxfId="2370" totalsRowDxfId="2369"/>
    <tableColumn id="2" name="Information type" dataDxfId="2368" totalsRowDxfId="2367">
      <calculatedColumnFormula>INDEX(Vectors[Description], MATCH([Vector], Vectors[Code], 0))</calculatedColumnFormula>
    </tableColumn>
    <tableColumn id="3" name="Notes" dataDxfId="2366" totalsRowDxfId="2365"/>
    <tableColumn id="4" name="2007" dataDxfId="2364" totalsRowDxfId="2363" dataCellStyle="Comma">
      <calculatedColumnFormula>#REF!</calculatedColumnFormula>
    </tableColumn>
    <tableColumn id="5" name="2012" dataDxfId="2362" totalsRowDxfId="2361" dataCellStyle="Comma">
      <calculatedColumnFormula>#REF!</calculatedColumnFormula>
    </tableColumn>
    <tableColumn id="6" name="2017" dataDxfId="2360" totalsRowDxfId="2359" dataCellStyle="Comma">
      <calculatedColumnFormula>#REF!</calculatedColumnFormula>
    </tableColumn>
    <tableColumn id="7" name="2022" dataDxfId="2358" totalsRowDxfId="2357" dataCellStyle="Comma">
      <calculatedColumnFormula>#REF!</calculatedColumnFormula>
    </tableColumn>
    <tableColumn id="8" name="2027" dataDxfId="2356" totalsRowDxfId="2355" dataCellStyle="Comma">
      <calculatedColumnFormula>#REF!</calculatedColumnFormula>
    </tableColumn>
    <tableColumn id="9" name="2032" dataDxfId="2354" totalsRowDxfId="2353" dataCellStyle="Comma">
      <calculatedColumnFormula>#REF!</calculatedColumnFormula>
    </tableColumn>
    <tableColumn id="10" name="2037" dataDxfId="2352" totalsRowDxfId="2351" dataCellStyle="Comma">
      <calculatedColumnFormula>#REF!</calculatedColumnFormula>
    </tableColumn>
    <tableColumn id="11" name="2042" dataDxfId="2350" totalsRowDxfId="2349" dataCellStyle="Comma">
      <calculatedColumnFormula>#REF!</calculatedColumnFormula>
    </tableColumn>
    <tableColumn id="12" name="2047" dataDxfId="2348" totalsRowDxfId="2347" dataCellStyle="Comma">
      <calculatedColumnFormula>#REF!</calculatedColumnFormula>
    </tableColumn>
    <tableColumn id="13" name="2052" dataDxfId="2346" totalsRowDxfId="2345" dataCellStyle="Comma">
      <calculatedColumnFormula>#REF!</calculatedColumnFormula>
    </tableColumn>
  </tableColumns>
  <tableStyleInfo name="EnergyCalcTables" showFirstColumn="0" showLastColumn="0" showRowStripes="1" showColumnStripes="0"/>
</table>
</file>

<file path=xl/tables/table29.xml><?xml version="1.0" encoding="utf-8"?>
<table xmlns="http://schemas.openxmlformats.org/spreadsheetml/2006/main" id="126" name="V.a.Outputs" displayName="V.a.Outputs" ref="C106:O112" totalsRowCount="1" headerRowDxfId="2344" dataDxfId="2343" totalsRowDxfId="2342">
  <autoFilter ref="C106:O111"/>
  <tableColumns count="13">
    <tableColumn id="1" name="Vector" totalsRowLabel="Total" dataDxfId="2341" totalsRowDxfId="2340"/>
    <tableColumn id="2" name="Name" dataDxfId="2339" totalsRowDxfId="2338">
      <calculatedColumnFormula>INDEX([7]!Vectors[Description], MATCH([Vector], [7]!Vectors[Code], 0))</calculatedColumnFormula>
    </tableColumn>
    <tableColumn id="3" name="Notes" dataDxfId="2337" totalsRowDxfId="2336"/>
    <tableColumn id="4" name="2007" totalsRowFunction="sum" dataDxfId="2335" totalsRowDxfId="2334" dataCellStyle="Comma"/>
    <tableColumn id="5" name="2012" totalsRowFunction="sum" dataDxfId="2333" totalsRowDxfId="2332" dataCellStyle="Comma"/>
    <tableColumn id="6" name="2017" totalsRowFunction="sum" dataDxfId="2331" totalsRowDxfId="2330" dataCellStyle="Comma"/>
    <tableColumn id="7" name="2022" totalsRowFunction="sum" dataDxfId="2329" totalsRowDxfId="2328" dataCellStyle="Comma"/>
    <tableColumn id="8" name="2027" totalsRowFunction="sum" dataDxfId="2327" totalsRowDxfId="2326" dataCellStyle="Comma"/>
    <tableColumn id="9" name="2032" totalsRowFunction="sum" dataDxfId="2325" totalsRowDxfId="2324" dataCellStyle="Comma"/>
    <tableColumn id="10" name="2037" totalsRowFunction="sum" dataDxfId="2323" totalsRowDxfId="2322" dataCellStyle="Comma"/>
    <tableColumn id="11" name="2042" totalsRowFunction="sum" dataDxfId="2321" totalsRowDxfId="2320" dataCellStyle="Comma"/>
    <tableColumn id="12" name="2047" totalsRowFunction="sum" dataDxfId="2319" totalsRowDxfId="2318" dataCellStyle="Comma"/>
    <tableColumn id="13" name="2052" totalsRowFunction="sum" dataDxfId="2317" totalsRowDxfId="2316" dataCellStyle="Comma"/>
  </tableColumns>
  <tableStyleInfo name="EnergyCalcTables" showFirstColumn="0" showLastColumn="0" showRowStripes="1" showColumnStripes="0"/>
</table>
</file>

<file path=xl/tables/table30.xml><?xml version="1.0" encoding="utf-8"?>
<table xmlns="http://schemas.openxmlformats.org/spreadsheetml/2006/main" id="141" name="V.a.feedstock142" displayName="V.a.feedstock142" ref="C52:O54" totalsRowShown="0" headerRowDxfId="2315" dataDxfId="2313" headerRowBorderDxfId="2314" tableBorderDxfId="2312" dataCellStyle="Comma 2">
  <autoFilter ref="C52:O54"/>
  <tableColumns count="13">
    <tableColumn id="1" name="Type" dataDxfId="2311"/>
    <tableColumn id="2" name="Column1" dataDxfId="2310"/>
    <tableColumn id="3" name="Vector" dataDxfId="2309"/>
    <tableColumn id="4" name="2007" dataDxfId="2308" dataCellStyle="Comma 2">
      <calculatedColumnFormula>#REF!*10^9*unit.kgb</calculatedColumnFormula>
    </tableColumn>
    <tableColumn id="5" name="2012" dataDxfId="2307" dataCellStyle="Comma 2">
      <calculatedColumnFormula>#REF!*10^9*unit.kgb</calculatedColumnFormula>
    </tableColumn>
    <tableColumn id="6" name="2017" dataDxfId="2306" dataCellStyle="Comma 2">
      <calculatedColumnFormula>#REF!*10^9*unit.kgb</calculatedColumnFormula>
    </tableColumn>
    <tableColumn id="7" name="2022" dataDxfId="2305" dataCellStyle="Comma 2">
      <calculatedColumnFormula>#REF!*10^9*unit.kgb</calculatedColumnFormula>
    </tableColumn>
    <tableColumn id="8" name="2027" dataDxfId="2304" dataCellStyle="Comma 2">
      <calculatedColumnFormula>#REF!*10^9*unit.kgb</calculatedColumnFormula>
    </tableColumn>
    <tableColumn id="9" name="2032" dataDxfId="2303" dataCellStyle="Comma 2">
      <calculatedColumnFormula>#REF!*10^9*unit.kgb</calculatedColumnFormula>
    </tableColumn>
    <tableColumn id="10" name="2037" dataDxfId="2302" dataCellStyle="Comma 2">
      <calculatedColumnFormula>#REF!*10^9*unit.kgb</calculatedColumnFormula>
    </tableColumn>
    <tableColumn id="11" name="2042" dataDxfId="2301" dataCellStyle="Comma 2">
      <calculatedColumnFormula>#REF!*10^9*unit.kgb</calculatedColumnFormula>
    </tableColumn>
    <tableColumn id="12" name="2047" dataDxfId="2300" dataCellStyle="Comma 2">
      <calculatedColumnFormula>#REF!*10^9*unit.kgb</calculatedColumnFormula>
    </tableColumn>
    <tableColumn id="13" name="2052" dataDxfId="2299" dataCellStyle="Comma 2">
      <calculatedColumnFormula>#REF!*10^9*unit.kgb</calculatedColumnFormula>
    </tableColumn>
  </tableColumns>
  <tableStyleInfo name="TableStyleMedium2" showFirstColumn="0" showLastColumn="0" showRowStripes="1" showColumnStripes="0"/>
</table>
</file>

<file path=xl/tables/table31.xml><?xml version="1.0" encoding="utf-8"?>
<table xmlns="http://schemas.openxmlformats.org/spreadsheetml/2006/main" id="115" name="V.a.info" displayName="V.a.info" ref="B128:O131" totalsRowShown="0" headerRowDxfId="2298" tableBorderDxfId="2297">
  <autoFilter ref="B128:O131"/>
  <tableColumns count="14">
    <tableColumn id="1" name="Column1"/>
    <tableColumn id="2" name="Vector"/>
    <tableColumn id="3" name="Information type"/>
    <tableColumn id="4" name="Notes"/>
    <tableColumn id="5" name="2007"/>
    <tableColumn id="6" name="2012"/>
    <tableColumn id="7" name="2017"/>
    <tableColumn id="8" name="2022"/>
    <tableColumn id="9" name="2027"/>
    <tableColumn id="10" name="2032"/>
    <tableColumn id="11" name="2037"/>
    <tableColumn id="12" name="2042"/>
    <tableColumn id="13" name="2047"/>
    <tableColumn id="14" name="2052"/>
  </tableColumns>
  <tableStyleInfo name="TableStyleMedium2" showFirstColumn="0" showLastColumn="0" showRowStripes="1" showColumnStripes="0"/>
</table>
</file>

<file path=xl/tables/table32.xml><?xml version="1.0" encoding="utf-8"?>
<table xmlns="http://schemas.openxmlformats.org/spreadsheetml/2006/main" id="81" name="V.a.emissions" displayName="V.a.emissions" ref="B119:O122" totalsRowShown="0" headerRowDxfId="2296">
  <autoFilter ref="B119:O122"/>
  <tableColumns count="14">
    <tableColumn id="1" name="Column1"/>
    <tableColumn id="2" name="GHG"/>
    <tableColumn id="3" name="IPCC Sector"/>
    <tableColumn id="4" name="Notes"/>
    <tableColumn id="5" name="2007"/>
    <tableColumn id="6" name="2012"/>
    <tableColumn id="7" name="2017"/>
    <tableColumn id="8" name="2022"/>
    <tableColumn id="9" name="2027"/>
    <tableColumn id="10" name="2032"/>
    <tableColumn id="11" name="2037"/>
    <tableColumn id="12" name="2042"/>
    <tableColumn id="13" name="2047"/>
    <tableColumn id="14" name="2052"/>
  </tableColumns>
  <tableStyleInfo name="TableStyleMedium2" showFirstColumn="0" showLastColumn="0" showRowStripes="1" showColumnStripes="0"/>
</table>
</file>

<file path=xl/tables/table33.xml><?xml version="1.0" encoding="utf-8"?>
<table xmlns="http://schemas.openxmlformats.org/spreadsheetml/2006/main" id="76" name="V.b.outputs" displayName="V.b.outputs" ref="C368:O377" totalsRowCount="1" headerRowDxfId="2295" dataDxfId="2294">
  <autoFilter ref="C368:O376"/>
  <tableColumns count="13">
    <tableColumn id="1" name="Vector" totalsRowLabel="Total" dataDxfId="2293" totalsRowDxfId="2292"/>
    <tableColumn id="2" name="Name" dataDxfId="2291" totalsRowDxfId="2290">
      <calculatedColumnFormula>INDEX(Vectors[Description], MATCH([Vector], Vectors[Code], 0))</calculatedColumnFormula>
    </tableColumn>
    <tableColumn id="3" name="Notes" dataDxfId="2289" totalsRowDxfId="2288"/>
    <tableColumn id="4" name="2007" totalsRowFunction="sum" dataDxfId="2287" totalsRowDxfId="2286" dataCellStyle="Comma">
      <calculatedColumnFormula>F$553+#REF!</calculatedColumnFormula>
    </tableColumn>
    <tableColumn id="5" name="2012" totalsRowFunction="sum" dataDxfId="2285" totalsRowDxfId="2284" dataCellStyle="Comma"/>
    <tableColumn id="6" name="2017" totalsRowFunction="sum" dataDxfId="2283" totalsRowDxfId="2282" dataCellStyle="Comma"/>
    <tableColumn id="7" name="2022" totalsRowFunction="sum" dataDxfId="2281" totalsRowDxfId="2280" dataCellStyle="Comma"/>
    <tableColumn id="8" name="2027" totalsRowFunction="sum" dataDxfId="2279" totalsRowDxfId="2278" dataCellStyle="Comma"/>
    <tableColumn id="9" name="2032" totalsRowFunction="sum" dataDxfId="2277" totalsRowDxfId="2276" dataCellStyle="Comma"/>
    <tableColumn id="10" name="2037" totalsRowFunction="sum" dataDxfId="2275" totalsRowDxfId="2274" dataCellStyle="Comma"/>
    <tableColumn id="11" name="2042" totalsRowFunction="sum" dataDxfId="2273" totalsRowDxfId="2272" dataCellStyle="Comma"/>
    <tableColumn id="12" name="2047" totalsRowFunction="sum" dataDxfId="2271" totalsRowDxfId="2270" dataCellStyle="Comma"/>
    <tableColumn id="13" name="2052" totalsRowFunction="sum" dataDxfId="2269" totalsRowDxfId="2268" dataCellStyle="Comma"/>
  </tableColumns>
  <tableStyleInfo name="EnergyCalcTables" showFirstColumn="0" showLastColumn="0" showRowStripes="1" showColumnStripes="0"/>
</table>
</file>

<file path=xl/tables/table34.xml><?xml version="1.0" encoding="utf-8"?>
<table xmlns="http://schemas.openxmlformats.org/spreadsheetml/2006/main" id="77" name="V.b.info" displayName="V.b.info" ref="C388:O389" totalsRowShown="0" headerRowDxfId="2267" dataDxfId="2265" totalsRowDxfId="2263" headerRowBorderDxfId="2266" tableBorderDxfId="2264" dataCellStyle="Comma">
  <autoFilter ref="C388:O389"/>
  <tableColumns count="13">
    <tableColumn id="1" name="Vector" dataDxfId="2262" totalsRowDxfId="2261"/>
    <tableColumn id="2" name="Information type" dataDxfId="2260" totalsRowDxfId="2259">
      <calculatedColumnFormula>INDEX(Vectors[Description], MATCH([Vector], Vectors[Code], 0))</calculatedColumnFormula>
    </tableColumn>
    <tableColumn id="3" name="Notes" dataDxfId="2258" totalsRowDxfId="2257">
      <calculatedColumnFormula>Preferences.AreaUnits</calculatedColumnFormula>
    </tableColumn>
    <tableColumn id="4" name="2007" dataDxfId="2256" totalsRowDxfId="2255" dataCellStyle="Comma">
      <calculatedColumnFormula>SUM(F45:F46)</calculatedColumnFormula>
    </tableColumn>
    <tableColumn id="5" name="2012" dataDxfId="2254" totalsRowDxfId="2253" dataCellStyle="Comma">
      <calculatedColumnFormula>SUM(G45:G46)</calculatedColumnFormula>
    </tableColumn>
    <tableColumn id="6" name="2017" dataDxfId="2252" totalsRowDxfId="2251" dataCellStyle="Comma">
      <calculatedColumnFormula>SUM(H45:H46)</calculatedColumnFormula>
    </tableColumn>
    <tableColumn id="7" name="2022" dataDxfId="2250" totalsRowDxfId="2249" dataCellStyle="Comma">
      <calculatedColumnFormula>SUM(I45:I46)</calculatedColumnFormula>
    </tableColumn>
    <tableColumn id="8" name="2027" dataDxfId="2248" totalsRowDxfId="2247" dataCellStyle="Comma">
      <calculatedColumnFormula>SUM(J45:J46)</calculatedColumnFormula>
    </tableColumn>
    <tableColumn id="9" name="2032" dataDxfId="2246" totalsRowDxfId="2245" dataCellStyle="Comma">
      <calculatedColumnFormula>SUM(K45:K46)</calculatedColumnFormula>
    </tableColumn>
    <tableColumn id="10" name="2037" dataDxfId="2244" totalsRowDxfId="2243" dataCellStyle="Comma">
      <calculatedColumnFormula>SUM(L45:L46)</calculatedColumnFormula>
    </tableColumn>
    <tableColumn id="11" name="2042" dataDxfId="2242" totalsRowDxfId="2241" dataCellStyle="Comma">
      <calculatedColumnFormula>SUM(M45:M46)</calculatedColumnFormula>
    </tableColumn>
    <tableColumn id="12" name="2047" dataDxfId="2240" totalsRowDxfId="2239" dataCellStyle="Comma">
      <calculatedColumnFormula>SUM(N45:N46)</calculatedColumnFormula>
    </tableColumn>
    <tableColumn id="13" name="2052" dataDxfId="2238" totalsRowDxfId="2237" dataCellStyle="Comma">
      <calculatedColumnFormula>SUM(O45:O46)</calculatedColumnFormula>
    </tableColumn>
  </tableColumns>
  <tableStyleInfo name="EnergyCalcTables" showFirstColumn="0" showLastColumn="0" showRowStripes="1" showColumnStripes="0"/>
</table>
</file>

<file path=xl/tables/table35.xml><?xml version="1.0" encoding="utf-8"?>
<table xmlns="http://schemas.openxmlformats.org/spreadsheetml/2006/main" id="73" name="V.b.feedstock" displayName="V.b.feedstock" ref="C101:O108" totalsRowShown="0" headerRowDxfId="2236" dataDxfId="2234" headerRowBorderDxfId="2235" tableBorderDxfId="2233">
  <autoFilter ref="C101:O108"/>
  <tableColumns count="13">
    <tableColumn id="1" name="Vector" dataDxfId="2232"/>
    <tableColumn id="2" name="Description" dataDxfId="2231"/>
    <tableColumn id="3" name="Type" dataDxfId="2230"/>
    <tableColumn id="4" name="2007" dataDxfId="2229"/>
    <tableColumn id="5" name="2012" dataDxfId="2228"/>
    <tableColumn id="6" name="2017" dataDxfId="2227"/>
    <tableColumn id="7" name="2022" dataDxfId="2226"/>
    <tableColumn id="8" name="2027" dataDxfId="2225"/>
    <tableColumn id="9" name="2032" dataDxfId="2224"/>
    <tableColumn id="10" name="2037" dataDxfId="2223"/>
    <tableColumn id="11" name="2042" dataDxfId="2222"/>
    <tableColumn id="12" name="2047" dataDxfId="2221"/>
    <tableColumn id="13" name="2052" dataDxfId="2220"/>
  </tableColumns>
  <tableStyleInfo name="TableStyleMedium2" showFirstColumn="0" showLastColumn="0" showRowStripes="1" showColumnStripes="0"/>
</table>
</file>

<file path=xl/tables/table36.xml><?xml version="1.0" encoding="utf-8"?>
<table xmlns="http://schemas.openxmlformats.org/spreadsheetml/2006/main" id="75" name="V.b.emissions" displayName="V.b.emissions" ref="C395:O399" totalsRowShown="0" headerRowDxfId="2219" dataDxfId="2218" tableBorderDxfId="2217" dataCellStyle="Comma">
  <autoFilter ref="C395:O399"/>
  <tableColumns count="13">
    <tableColumn id="1" name="GHG" dataDxfId="2216"/>
    <tableColumn id="2" name="IPCC Sector" dataDxfId="2215"/>
    <tableColumn id="3" name="Notes" dataDxfId="2214">
      <calculatedColumnFormula>INDEX(IPCC[Sector_description], MATCH([IPCC Sector], IPCC[Sector_code], 0))</calculatedColumnFormula>
    </tableColumn>
    <tableColumn id="4" name="2007" dataDxfId="2213" dataCellStyle="Comma"/>
    <tableColumn id="5" name="2012" dataDxfId="2212" dataCellStyle="Comma"/>
    <tableColumn id="6" name="2017" dataDxfId="2211" dataCellStyle="Comma"/>
    <tableColumn id="7" name="2022" dataDxfId="2210" dataCellStyle="Comma"/>
    <tableColumn id="8" name="2027" dataDxfId="2209" dataCellStyle="Comma"/>
    <tableColumn id="9" name="2032" dataDxfId="2208" dataCellStyle="Comma"/>
    <tableColumn id="10" name="2037" dataDxfId="2207" dataCellStyle="Comma"/>
    <tableColumn id="11" name="2042" dataDxfId="2206" dataCellStyle="Comma"/>
    <tableColumn id="12" name="2047" dataDxfId="2205" dataCellStyle="Comma"/>
    <tableColumn id="13" name="2052" dataDxfId="2204" dataCellStyle="Comma"/>
  </tableColumns>
  <tableStyleInfo name="TableStyleMedium2" showFirstColumn="0" showLastColumn="0" showRowStripes="1" showColumnStripes="0"/>
</table>
</file>

<file path=xl/tables/table37.xml><?xml version="1.0" encoding="utf-8"?>
<table xmlns="http://schemas.openxmlformats.org/spreadsheetml/2006/main" id="72" name="V.c.Outputs" displayName="V.c.Outputs" ref="C142:O145" totalsRowCount="1" headerRowDxfId="2203" dataDxfId="2202" totalsRowDxfId="2201">
  <autoFilter ref="C142:O144"/>
  <tableColumns count="13">
    <tableColumn id="1" name="Vector" totalsRowLabel="Total" dataDxfId="2200" totalsRowDxfId="2199"/>
    <tableColumn id="2" name="Name" dataDxfId="2198" totalsRowDxfId="2197">
      <calculatedColumnFormula>INDEX(Vectors[Description], MATCH([Vector], Vectors[Code], 0))</calculatedColumnFormula>
    </tableColumn>
    <tableColumn id="3" name="Notes" dataDxfId="2196" totalsRowDxfId="2195"/>
    <tableColumn id="4" name="2007" totalsRowFunction="sum" dataDxfId="2194" totalsRowDxfId="2193" dataCellStyle="Comma">
      <calculatedColumnFormula>F$307+#REF!</calculatedColumnFormula>
    </tableColumn>
    <tableColumn id="5" name="2012" totalsRowFunction="sum" dataDxfId="2192" totalsRowDxfId="2191" dataCellStyle="Comma"/>
    <tableColumn id="6" name="2017" totalsRowFunction="sum" dataDxfId="2190" totalsRowDxfId="2189" dataCellStyle="Comma"/>
    <tableColumn id="7" name="2022" totalsRowFunction="sum" dataDxfId="2188" totalsRowDxfId="2187" dataCellStyle="Comma"/>
    <tableColumn id="8" name="2027" totalsRowFunction="sum" dataDxfId="2186" totalsRowDxfId="2185" dataCellStyle="Comma"/>
    <tableColumn id="9" name="2032" totalsRowFunction="sum" dataDxfId="2184" totalsRowDxfId="2183" dataCellStyle="Comma"/>
    <tableColumn id="10" name="2037" totalsRowFunction="sum" dataDxfId="2182" totalsRowDxfId="2181" dataCellStyle="Comma"/>
    <tableColumn id="11" name="2042" totalsRowFunction="sum" dataDxfId="2180" totalsRowDxfId="2179" dataCellStyle="Comma"/>
    <tableColumn id="12" name="2047" totalsRowFunction="sum" dataDxfId="2178" totalsRowDxfId="2177" dataCellStyle="Comma"/>
    <tableColumn id="13" name="2052" totalsRowFunction="sum" dataDxfId="2176" totalsRowDxfId="2175" dataCellStyle="Comma"/>
  </tableColumns>
  <tableStyleInfo name="EnergyCalcTables" showFirstColumn="0" showLastColumn="0" showRowStripes="1" showColumnStripes="0"/>
</table>
</file>

<file path=xl/tables/table38.xml><?xml version="1.0" encoding="utf-8"?>
<table xmlns="http://schemas.openxmlformats.org/spreadsheetml/2006/main" id="86" name="V.c.info" displayName="V.c.info" ref="C152:O154" totalsRowShown="0" headerRowDxfId="2174" dataDxfId="2173" tableBorderDxfId="2172" dataCellStyle="Comma">
  <autoFilter ref="C152:O154"/>
  <tableColumns count="13">
    <tableColumn id="1" name="Vector" dataDxfId="2171"/>
    <tableColumn id="2" name="Information type" dataDxfId="2170">
      <calculatedColumnFormula>INDEX(Vectors[Description], MATCH(V.c!$C$153:$C$154, Vectors[Code], 0))</calculatedColumnFormula>
    </tableColumn>
    <tableColumn id="3" name="Notes" dataDxfId="2169">
      <calculatedColumnFormula>Preferences.AreaUnits</calculatedColumnFormula>
    </tableColumn>
    <tableColumn id="4" name="2007" dataDxfId="2168" dataCellStyle="Comma">
      <calculatedColumnFormula>F27</calculatedColumnFormula>
    </tableColumn>
    <tableColumn id="5" name="2012" dataDxfId="2167" dataCellStyle="Comma">
      <calculatedColumnFormula>G27</calculatedColumnFormula>
    </tableColumn>
    <tableColumn id="6" name="2017" dataDxfId="2166" dataCellStyle="Comma">
      <calculatedColumnFormula>H27</calculatedColumnFormula>
    </tableColumn>
    <tableColumn id="7" name="2022" dataDxfId="2165" dataCellStyle="Comma">
      <calculatedColumnFormula>I27</calculatedColumnFormula>
    </tableColumn>
    <tableColumn id="8" name="2027" dataDxfId="2164" dataCellStyle="Comma">
      <calculatedColumnFormula>J27</calculatedColumnFormula>
    </tableColumn>
    <tableColumn id="9" name="2032" dataDxfId="2163" dataCellStyle="Comma">
      <calculatedColumnFormula>K27</calculatedColumnFormula>
    </tableColumn>
    <tableColumn id="10" name="2037" dataDxfId="2162" dataCellStyle="Comma">
      <calculatedColumnFormula>L27</calculatedColumnFormula>
    </tableColumn>
    <tableColumn id="11" name="2042" dataDxfId="2161" dataCellStyle="Comma">
      <calculatedColumnFormula>M27</calculatedColumnFormula>
    </tableColumn>
    <tableColumn id="12" name="2047" dataDxfId="2160" dataCellStyle="Comma">
      <calculatedColumnFormula>N27</calculatedColumnFormula>
    </tableColumn>
    <tableColumn id="13" name="2052" dataDxfId="2159" dataCellStyle="Comma">
      <calculatedColumnFormula>O27</calculatedColumnFormula>
    </tableColumn>
  </tableColumns>
  <tableStyleInfo name="TableStyleMedium2" showFirstColumn="0" showLastColumn="0" showRowStripes="1" showColumnStripes="0"/>
</table>
</file>

<file path=xl/tables/table39.xml><?xml version="1.0" encoding="utf-8"?>
<table xmlns="http://schemas.openxmlformats.org/spreadsheetml/2006/main" id="135" name="V.d.emissions" displayName="V.d.emissions" ref="C116:O118" totalsRowCount="1" headerRowDxfId="2158" dataDxfId="2156" headerRowBorderDxfId="2157" tableBorderDxfId="2155">
  <autoFilter ref="C116:O117"/>
  <tableColumns count="13">
    <tableColumn id="1" name="GHG" totalsRowLabel="Total" dataDxfId="2154" totalsRowDxfId="2153"/>
    <tableColumn id="2" name="IPCC Sector" dataDxfId="2152" totalsRowDxfId="2151"/>
    <tableColumn id="3" name="Notes" dataDxfId="2150" totalsRowDxfId="2149" dataCellStyle="Comma"/>
    <tableColumn id="4" name="2007" totalsRowFunction="sum" dataDxfId="2148" totalsRowDxfId="2147" dataCellStyle="Comma">
      <calculatedColumnFormula>-F93</calculatedColumnFormula>
    </tableColumn>
    <tableColumn id="5" name="2012" totalsRowFunction="sum" dataDxfId="2146" totalsRowDxfId="2145" dataCellStyle="Comma">
      <calculatedColumnFormula>-G93</calculatedColumnFormula>
    </tableColumn>
    <tableColumn id="6" name="2017" totalsRowFunction="sum" dataDxfId="2144" totalsRowDxfId="2143" dataCellStyle="Comma">
      <calculatedColumnFormula>-H93</calculatedColumnFormula>
    </tableColumn>
    <tableColumn id="7" name="2022" totalsRowFunction="sum" dataDxfId="2142" totalsRowDxfId="2141" dataCellStyle="Comma">
      <calculatedColumnFormula>-I93</calculatedColumnFormula>
    </tableColumn>
    <tableColumn id="8" name="2027" totalsRowFunction="sum" dataDxfId="2140" totalsRowDxfId="2139" dataCellStyle="Comma">
      <calculatedColumnFormula>-J93</calculatedColumnFormula>
    </tableColumn>
    <tableColumn id="9" name="2032" totalsRowFunction="sum" dataDxfId="2138" totalsRowDxfId="2137" dataCellStyle="Comma">
      <calculatedColumnFormula>-K93</calculatedColumnFormula>
    </tableColumn>
    <tableColumn id="10" name="2037" totalsRowFunction="sum" dataDxfId="2136" totalsRowDxfId="2135" dataCellStyle="Comma">
      <calculatedColumnFormula>-L93</calculatedColumnFormula>
    </tableColumn>
    <tableColumn id="11" name="2042" totalsRowFunction="sum" dataDxfId="2134" totalsRowDxfId="2133" dataCellStyle="Comma">
      <calculatedColumnFormula>-M93</calculatedColumnFormula>
    </tableColumn>
    <tableColumn id="12" name="2047" totalsRowFunction="sum" dataDxfId="2132" totalsRowDxfId="2131" dataCellStyle="Comma">
      <calculatedColumnFormula>-N93</calculatedColumnFormula>
    </tableColumn>
    <tableColumn id="13" name="2052" totalsRowFunction="sum" dataDxfId="2130" totalsRowDxfId="2129" dataCellStyle="Comma">
      <calculatedColumnFormula>-O93</calculatedColumnFormula>
    </tableColumn>
  </tableColumns>
  <tableStyleInfo name="EnergyCalcTables" showFirstColumn="0" showLastColumn="0" showRowStripes="1" showColumnStripes="0"/>
</table>
</file>

<file path=xl/tables/table40.xml><?xml version="1.0" encoding="utf-8"?>
<table xmlns="http://schemas.openxmlformats.org/spreadsheetml/2006/main" id="164" name="V.a.info165" displayName="V.a.info165" ref="B125:O128" totalsRowShown="0" headerRowDxfId="2128" tableBorderDxfId="2127">
  <autoFilter ref="B125:O128"/>
  <tableColumns count="14">
    <tableColumn id="1" name="Column1"/>
    <tableColumn id="2" name="Vector"/>
    <tableColumn id="3" name="Information type"/>
    <tableColumn id="4" name="Notes"/>
    <tableColumn id="5" name="2007"/>
    <tableColumn id="6" name="2012"/>
    <tableColumn id="7" name="2017"/>
    <tableColumn id="8" name="2022"/>
    <tableColumn id="9" name="2027"/>
    <tableColumn id="10" name="2032"/>
    <tableColumn id="11" name="2037"/>
    <tableColumn id="12" name="2042"/>
    <tableColumn id="13" name="2047"/>
    <tableColumn id="14" name="2052"/>
  </tableColumns>
  <tableStyleInfo name="TableStyleMedium2" showFirstColumn="0" showLastColumn="0" showRowStripes="1" showColumnStripes="0"/>
</table>
</file>

<file path=xl/tables/table41.xml><?xml version="1.0" encoding="utf-8"?>
<table xmlns="http://schemas.openxmlformats.org/spreadsheetml/2006/main" id="165" name="V.d.outputs" displayName="V.d.outputs" ref="B102:O110" totalsRowShown="0" headerRowDxfId="2126" dataDxfId="2125" tableBorderDxfId="2124" dataCellStyle="Comma">
  <autoFilter ref="B102:O110"/>
  <tableColumns count="14">
    <tableColumn id="1" name="Column1" dataDxfId="2123"/>
    <tableColumn id="2" name="Vector" dataDxfId="2122"/>
    <tableColumn id="3" name="Name" dataDxfId="2121"/>
    <tableColumn id="4" name="Notes" dataDxfId="2120"/>
    <tableColumn id="5" name="2007" dataDxfId="2119" dataCellStyle="Comma"/>
    <tableColumn id="6" name="2012" dataDxfId="2118" dataCellStyle="Comma"/>
    <tableColumn id="7" name="2017" dataDxfId="2117" dataCellStyle="Comma"/>
    <tableColumn id="8" name="2022" dataDxfId="2116" dataCellStyle="Comma"/>
    <tableColumn id="9" name="2027" dataDxfId="2115" dataCellStyle="Comma"/>
    <tableColumn id="10" name="2032" dataDxfId="2114" dataCellStyle="Comma"/>
    <tableColumn id="11" name="2037" dataDxfId="2113" dataCellStyle="Comma"/>
    <tableColumn id="12" name="2042" dataDxfId="2112" dataCellStyle="Comma"/>
    <tableColumn id="13" name="2047" dataDxfId="2111" dataCellStyle="Comma"/>
    <tableColumn id="14" name="2052" dataDxfId="2110" dataCellStyle="Comma"/>
  </tableColumns>
  <tableStyleInfo name="TableStyleMedium2" showFirstColumn="0" showLastColumn="0" showRowStripes="1" showColumnStripes="0"/>
</table>
</file>

<file path=xl/tables/table42.xml><?xml version="1.0" encoding="utf-8"?>
<table xmlns="http://schemas.openxmlformats.org/spreadsheetml/2006/main" id="48" name="V.d.feedstock" displayName="V.d.feedstock" ref="C78:O83" totalsRowShown="0" headerRowDxfId="2109" dataDxfId="2108" tableBorderDxfId="2107" dataCellStyle="Comma 2">
  <autoFilter ref="C78:O83"/>
  <tableColumns count="13">
    <tableColumn id="1" name="Type" dataDxfId="2106"/>
    <tableColumn id="2" name="Column1" dataDxfId="2105"/>
    <tableColumn id="3" name="Vector" dataDxfId="2104"/>
    <tableColumn id="4" name="2007" dataDxfId="2103" dataCellStyle="Comma 2"/>
    <tableColumn id="5" name="2012" dataDxfId="2102" dataCellStyle="Comma 2"/>
    <tableColumn id="6" name="2017" dataDxfId="2101" dataCellStyle="Comma 2"/>
    <tableColumn id="7" name="2022" dataDxfId="2100" dataCellStyle="Comma 2"/>
    <tableColumn id="8" name="2027" dataDxfId="2099" dataCellStyle="Comma 2"/>
    <tableColumn id="9" name="2032" dataDxfId="2098" dataCellStyle="Comma 2"/>
    <tableColumn id="10" name="2037" dataDxfId="2097" dataCellStyle="Comma 2"/>
    <tableColumn id="11" name="2042" dataDxfId="2096" dataCellStyle="Comma 2"/>
    <tableColumn id="12" name="2047" dataDxfId="2095" dataCellStyle="Comma 2"/>
    <tableColumn id="13" name="2052" dataDxfId="2094" dataCellStyle="Comma 2"/>
  </tableColumns>
  <tableStyleInfo name="TableStyleMedium2" showFirstColumn="0" showLastColumn="0" showRowStripes="1" showColumnStripes="0"/>
</table>
</file>

<file path=xl/tables/table43.xml><?xml version="1.0" encoding="utf-8"?>
<table xmlns="http://schemas.openxmlformats.org/spreadsheetml/2006/main" id="61" name="V.d.feedstock.matter" displayName="V.d.feedstock.matter" ref="C70:O74" totalsRowShown="0" headerRowDxfId="2093" dataDxfId="2092" tableBorderDxfId="2091" dataCellStyle="Comma 2">
  <autoFilter ref="C70:O74"/>
  <tableColumns count="13">
    <tableColumn id="1" name="Type" dataDxfId="2090"/>
    <tableColumn id="2" name="Column1" dataDxfId="2089"/>
    <tableColumn id="3" name="Vector" dataDxfId="2088"/>
    <tableColumn id="4" name="2007" dataDxfId="2087" dataCellStyle="Comma 2">
      <calculatedColumnFormula>F$20*F63</calculatedColumnFormula>
    </tableColumn>
    <tableColumn id="5" name="2012" dataDxfId="2086" dataCellStyle="Comma 2">
      <calculatedColumnFormula>G$20*G63</calculatedColumnFormula>
    </tableColumn>
    <tableColumn id="6" name="2017" dataDxfId="2085" dataCellStyle="Comma 2">
      <calculatedColumnFormula>H$20*H63</calculatedColumnFormula>
    </tableColumn>
    <tableColumn id="7" name="2022" dataDxfId="2084" dataCellStyle="Comma 2">
      <calculatedColumnFormula>I$20*I63</calculatedColumnFormula>
    </tableColumn>
    <tableColumn id="8" name="2027" dataDxfId="2083" dataCellStyle="Comma 2">
      <calculatedColumnFormula>J$20*J63</calculatedColumnFormula>
    </tableColumn>
    <tableColumn id="9" name="2032" dataDxfId="2082" dataCellStyle="Comma 2">
      <calculatedColumnFormula>K$20*K63</calculatedColumnFormula>
    </tableColumn>
    <tableColumn id="10" name="2037" dataDxfId="2081" dataCellStyle="Comma 2">
      <calculatedColumnFormula>L$20*L63</calculatedColumnFormula>
    </tableColumn>
    <tableColumn id="11" name="2042" dataDxfId="2080" dataCellStyle="Comma 2">
      <calculatedColumnFormula>M$20*M63</calculatedColumnFormula>
    </tableColumn>
    <tableColumn id="12" name="2047" dataDxfId="2079" dataCellStyle="Comma 2">
      <calculatedColumnFormula>N$20*N63</calculatedColumnFormula>
    </tableColumn>
    <tableColumn id="13" name="2052" dataDxfId="2078" dataCellStyle="Comma 2">
      <calculatedColumnFormula>O$20*O63</calculatedColumnFormula>
    </tableColumn>
  </tableColumns>
  <tableStyleInfo name="TableStyleMedium2" showFirstColumn="0" showLastColumn="0" showRowStripes="1" showColumnStripes="0"/>
</table>
</file>

<file path=xl/tables/table44.xml><?xml version="1.0" encoding="utf-8"?>
<table xmlns="http://schemas.openxmlformats.org/spreadsheetml/2006/main" id="197" name="V.e.outputs" displayName="V.e.outputs" ref="C28:O32" totalsRowCount="1" headerRowDxfId="2077" dataDxfId="2076" totalsRowDxfId="2075">
  <autoFilter ref="C28:O31"/>
  <tableColumns count="13">
    <tableColumn id="1" name="Vector" totalsRowLabel="Total" dataDxfId="2074" totalsRowDxfId="2073"/>
    <tableColumn id="2" name="Name" dataDxfId="2072" totalsRowDxfId="2071">
      <calculatedColumnFormula>INDEX(Vectors[Description], MATCH([Vector], Vectors[Code], 0))</calculatedColumnFormula>
    </tableColumn>
    <tableColumn id="3" name="Notes" dataDxfId="2070" totalsRowDxfId="2069"/>
    <tableColumn id="4" name="2007" totalsRowFunction="sum" dataDxfId="2068" totalsRowDxfId="2067" dataCellStyle="Comma"/>
    <tableColumn id="5" name="2012" totalsRowFunction="sum" dataDxfId="2066" totalsRowDxfId="2065" dataCellStyle="Comma"/>
    <tableColumn id="6" name="2017" totalsRowFunction="sum" dataDxfId="2064" totalsRowDxfId="2063" dataCellStyle="Comma"/>
    <tableColumn id="7" name="2022" totalsRowFunction="sum" dataDxfId="2062" totalsRowDxfId="2061" dataCellStyle="Comma"/>
    <tableColumn id="8" name="2027" totalsRowFunction="sum" dataDxfId="2060" totalsRowDxfId="2059" dataCellStyle="Comma"/>
    <tableColumn id="9" name="2032" totalsRowFunction="sum" dataDxfId="2058" totalsRowDxfId="2057" dataCellStyle="Comma"/>
    <tableColumn id="10" name="2037" totalsRowFunction="sum" dataDxfId="2056" totalsRowDxfId="2055" dataCellStyle="Comma"/>
    <tableColumn id="11" name="2042" totalsRowFunction="sum" dataDxfId="2054" totalsRowDxfId="2053" dataCellStyle="Comma"/>
    <tableColumn id="12" name="2047" totalsRowFunction="sum" dataDxfId="2052" totalsRowDxfId="2051" dataCellStyle="Comma"/>
    <tableColumn id="13" name="2052" totalsRowFunction="sum" dataDxfId="2050" totalsRowDxfId="2049" dataCellStyle="Comma"/>
  </tableColumns>
  <tableStyleInfo name="EnergyCalcTables" showFirstColumn="0" showLastColumn="0" showRowStripes="1" showColumnStripes="0"/>
</table>
</file>

<file path=xl/tables/table45.xml><?xml version="1.0" encoding="utf-8"?>
<table xmlns="http://schemas.openxmlformats.org/spreadsheetml/2006/main" id="200" name="V.a.feedstock142201" displayName="V.a.feedstock142201" ref="C14:O16" totalsRowShown="0" headerRowDxfId="2048" dataDxfId="2046" headerRowBorderDxfId="2047" tableBorderDxfId="2045" dataCellStyle="Comma 2">
  <autoFilter ref="C14:O16"/>
  <tableColumns count="13">
    <tableColumn id="1" name="Type" dataDxfId="2044"/>
    <tableColumn id="2" name="Column1" dataDxfId="2043"/>
    <tableColumn id="3" name="Vector" dataDxfId="2042"/>
    <tableColumn id="4" name="2007" dataDxfId="2041" dataCellStyle="Comma">
      <calculatedColumnFormula>INDEX(INDIRECT($B$12&amp;".feedstock["&amp;F$14&amp;"]"),MATCH($E15,INDIRECT($B$12&amp;".feedstock[Vector]"),0))</calculatedColumnFormula>
    </tableColumn>
    <tableColumn id="5" name="2012" dataDxfId="2040" dataCellStyle="Comma">
      <calculatedColumnFormula>INDEX(INDIRECT($B$12&amp;".feedstock["&amp;G$14&amp;"]"),MATCH($E15,INDIRECT($B$12&amp;".feedstock[Vector]"),0))</calculatedColumnFormula>
    </tableColumn>
    <tableColumn id="6" name="2017" dataDxfId="2039" dataCellStyle="Comma">
      <calculatedColumnFormula>INDEX(INDIRECT($B$12&amp;".feedstock["&amp;H$14&amp;"]"),MATCH($E15,INDIRECT($B$12&amp;".feedstock[Vector]"),0))</calculatedColumnFormula>
    </tableColumn>
    <tableColumn id="7" name="2022" dataDxfId="2038" dataCellStyle="Comma">
      <calculatedColumnFormula>INDEX(INDIRECT($B$12&amp;".feedstock["&amp;I$14&amp;"]"),MATCH($E15,INDIRECT($B$12&amp;".feedstock[Vector]"),0))</calculatedColumnFormula>
    </tableColumn>
    <tableColumn id="8" name="2027" dataDxfId="2037" dataCellStyle="Comma">
      <calculatedColumnFormula>INDEX(INDIRECT($B$12&amp;".feedstock["&amp;J$14&amp;"]"),MATCH($E15,INDIRECT($B$12&amp;".feedstock[Vector]"),0))</calculatedColumnFormula>
    </tableColumn>
    <tableColumn id="9" name="2032" dataDxfId="2036" dataCellStyle="Comma">
      <calculatedColumnFormula>INDEX(INDIRECT($B$12&amp;".feedstock["&amp;K$14&amp;"]"),MATCH($E15,INDIRECT($B$12&amp;".feedstock[Vector]"),0))</calculatedColumnFormula>
    </tableColumn>
    <tableColumn id="10" name="2037" dataDxfId="2035" dataCellStyle="Comma">
      <calculatedColumnFormula>INDEX(INDIRECT($B$12&amp;".feedstock["&amp;L$14&amp;"]"),MATCH($E15,INDIRECT($B$12&amp;".feedstock[Vector]"),0))</calculatedColumnFormula>
    </tableColumn>
    <tableColumn id="11" name="2042" dataDxfId="2034" dataCellStyle="Comma">
      <calculatedColumnFormula>INDEX(INDIRECT($B$12&amp;".feedstock["&amp;M$14&amp;"]"),MATCH($E15,INDIRECT($B$12&amp;".feedstock[Vector]"),0))</calculatedColumnFormula>
    </tableColumn>
    <tableColumn id="12" name="2047" dataDxfId="2033" dataCellStyle="Comma">
      <calculatedColumnFormula>INDEX(INDIRECT($B$12&amp;".feedstock["&amp;N$14&amp;"]"),MATCH($E15,INDIRECT($B$12&amp;".feedstock[Vector]"),0))</calculatedColumnFormula>
    </tableColumn>
    <tableColumn id="13" name="2052" dataDxfId="2032" dataCellStyle="Comma">
      <calculatedColumnFormula>INDEX(INDIRECT($B$12&amp;".feedstock["&amp;O$14&amp;"]"),MATCH($E15,INDIRECT($B$12&amp;".feedstock[Vector]"),0))</calculatedColumnFormula>
    </tableColumn>
  </tableColumns>
  <tableStyleInfo name="TableStyleMedium2" showFirstColumn="0" showLastColumn="0" showRowStripes="1" showColumnStripes="0"/>
</table>
</file>

<file path=xl/tables/table46.xml><?xml version="1.0" encoding="utf-8"?>
<table xmlns="http://schemas.openxmlformats.org/spreadsheetml/2006/main" id="80" name="V.e.emissions" displayName="V.e.emissions" ref="C38:O42" totalsRowShown="0" headerRowDxfId="2031" dataDxfId="2030" tableBorderDxfId="2029" dataCellStyle="Comma">
  <autoFilter ref="C38:O42"/>
  <tableColumns count="13">
    <tableColumn id="1" name="GHG" dataDxfId="2028"/>
    <tableColumn id="2" name="IPCC Sector" dataDxfId="2027"/>
    <tableColumn id="3" name="Notes" dataDxfId="2026">
      <calculatedColumnFormula>INDEX(IPCC[Sector_description], MATCH([IPCC Sector], IPCC[Sector_code], 0))</calculatedColumnFormula>
    </tableColumn>
    <tableColumn id="4" name="2007" dataDxfId="2025" dataCellStyle="Comma"/>
    <tableColumn id="5" name="2012" dataDxfId="2024" dataCellStyle="Comma"/>
    <tableColumn id="6" name="2017" dataDxfId="2023" dataCellStyle="Comma"/>
    <tableColumn id="7" name="2022" dataDxfId="2022" dataCellStyle="Comma"/>
    <tableColumn id="8" name="2027" dataDxfId="2021" dataCellStyle="Comma"/>
    <tableColumn id="9" name="2032" dataDxfId="2020" dataCellStyle="Comma"/>
    <tableColumn id="10" name="2037" dataDxfId="2019" dataCellStyle="Comma"/>
    <tableColumn id="11" name="2042" dataDxfId="2018" dataCellStyle="Comma"/>
    <tableColumn id="12" name="2047" dataDxfId="2017" dataCellStyle="Comma"/>
    <tableColumn id="13" name="2052" dataDxfId="2016" dataCellStyle="Comma"/>
  </tableColumns>
  <tableStyleInfo name="TableStyleMedium2" showFirstColumn="0" showLastColumn="0" showRowStripes="1" showColumnStripes="0"/>
</table>
</file>

<file path=xl/tables/table47.xml><?xml version="1.0" encoding="utf-8"?>
<table xmlns="http://schemas.openxmlformats.org/spreadsheetml/2006/main" id="42" name="VI.a.Outputs" displayName="VI.a.Outputs" ref="C267:O273" totalsRowCount="1" headerRowDxfId="2015" dataDxfId="2014">
  <autoFilter ref="C267:O272"/>
  <tableColumns count="13">
    <tableColumn id="1" name="Vector" totalsRowLabel="Total" dataDxfId="2013" totalsRowDxfId="2012"/>
    <tableColumn id="2" name="Name" dataDxfId="2011" totalsRowDxfId="2010">
      <calculatedColumnFormula>INDEX(Vectors[Description], MATCH([Vector], Vectors[Code], 0))</calculatedColumnFormula>
    </tableColumn>
    <tableColumn id="3" name="Notes" dataDxfId="2009" totalsRowDxfId="2008"/>
    <tableColumn id="4" name="2007" totalsRowFunction="sum" dataDxfId="2007" totalsRowDxfId="2006" dataCellStyle="Comma">
      <calculatedColumnFormula>F$235+#REF!</calculatedColumnFormula>
    </tableColumn>
    <tableColumn id="5" name="2012" totalsRowFunction="sum" dataDxfId="2005" totalsRowDxfId="2004" dataCellStyle="Comma"/>
    <tableColumn id="6" name="2017" totalsRowFunction="sum" dataDxfId="2003" totalsRowDxfId="2002" dataCellStyle="Comma"/>
    <tableColumn id="7" name="2022" totalsRowFunction="sum" dataDxfId="2001" totalsRowDxfId="2000" dataCellStyle="Comma"/>
    <tableColumn id="8" name="2027" totalsRowFunction="sum" dataDxfId="1999" totalsRowDxfId="1998" dataCellStyle="Comma"/>
    <tableColumn id="9" name="2032" totalsRowFunction="sum" dataDxfId="1997" totalsRowDxfId="1996" dataCellStyle="Comma"/>
    <tableColumn id="10" name="2037" totalsRowFunction="sum" dataDxfId="1995" totalsRowDxfId="1994" dataCellStyle="Comma"/>
    <tableColumn id="11" name="2042" totalsRowFunction="sum" dataDxfId="1993" totalsRowDxfId="1992" dataCellStyle="Comma"/>
    <tableColumn id="12" name="2047" totalsRowFunction="sum" dataDxfId="1991" totalsRowDxfId="1990" dataCellStyle="Comma"/>
    <tableColumn id="13" name="2052" totalsRowFunction="sum" dataDxfId="1989" totalsRowDxfId="1988" dataCellStyle="Comma"/>
  </tableColumns>
  <tableStyleInfo name="EnergyCalcTables" showFirstColumn="0" showLastColumn="0" showRowStripes="1" showColumnStripes="0"/>
</table>
</file>

<file path=xl/tables/table48.xml><?xml version="1.0" encoding="utf-8"?>
<table xmlns="http://schemas.openxmlformats.org/spreadsheetml/2006/main" id="66" name="VI.a.info" displayName="VI.a.info" ref="C280:O282" totalsRowShown="0" headerRowDxfId="1987" dataDxfId="1985" totalsRowDxfId="1983" headerRowBorderDxfId="1986" tableBorderDxfId="1984" dataCellStyle="Check Cell">
  <autoFilter ref="C280:O282"/>
  <tableColumns count="13">
    <tableColumn id="1" name="Vector" dataDxfId="1982" totalsRowDxfId="1981"/>
    <tableColumn id="2" name="Information type" dataDxfId="1980">
      <calculatedColumnFormula>INDEX([8]!Vectors[Description], MATCH([Vector], [8]!Vectors[Code], 0))</calculatedColumnFormula>
    </tableColumn>
    <tableColumn id="3" name="Notes" dataDxfId="1979" totalsRowDxfId="1978">
      <calculatedColumnFormula>INDEX([9]!Vectors[Comment], MATCH([Information type], [9]!Vectors[Description], 0))</calculatedColumnFormula>
    </tableColumn>
    <tableColumn id="4" name="2007" dataDxfId="1977" totalsRowDxfId="1976" dataCellStyle="Comma">
      <calculatedColumnFormula>F208</calculatedColumnFormula>
    </tableColumn>
    <tableColumn id="5" name="2012" dataDxfId="1975" totalsRowDxfId="1974" dataCellStyle="Comma"/>
    <tableColumn id="6" name="2017" dataDxfId="1973" totalsRowDxfId="1972" dataCellStyle="Comma"/>
    <tableColumn id="7" name="2022" dataDxfId="1971" totalsRowDxfId="1970" dataCellStyle="Comma"/>
    <tableColumn id="8" name="2027" dataDxfId="1969" totalsRowDxfId="1968" dataCellStyle="Comma"/>
    <tableColumn id="9" name="2032" dataDxfId="1967" totalsRowDxfId="1966" dataCellStyle="Comma"/>
    <tableColumn id="10" name="2037" dataDxfId="1965" totalsRowDxfId="1964" dataCellStyle="Comma"/>
    <tableColumn id="11" name="2042" dataDxfId="1963" totalsRowDxfId="1962" dataCellStyle="Comma"/>
    <tableColumn id="12" name="2047" dataDxfId="1961" totalsRowDxfId="1960" dataCellStyle="Comma"/>
    <tableColumn id="13" name="2052" dataDxfId="1959" totalsRowDxfId="1958" dataCellStyle="Comma"/>
  </tableColumns>
  <tableStyleInfo name="EnergyCalcTables" showFirstColumn="0" showLastColumn="0" showRowStripes="1" showColumnStripes="0"/>
</table>
</file>

<file path=xl/tables/table49.xml><?xml version="1.0" encoding="utf-8"?>
<table xmlns="http://schemas.openxmlformats.org/spreadsheetml/2006/main" id="79" name="VI.a.emissions" displayName="VI.a.emissions" ref="C290:O294" totalsRowCount="1" headerRowDxfId="1957" dataDxfId="1955" headerRowBorderDxfId="1956" tableBorderDxfId="1954">
  <autoFilter ref="C290:O293"/>
  <tableColumns count="13">
    <tableColumn id="1" name="GHG" totalsRowLabel="Total" dataDxfId="1953" totalsRowDxfId="1952"/>
    <tableColumn id="2" name="IPCC Sector" dataDxfId="1951" totalsRowDxfId="1950"/>
    <tableColumn id="3" name="Notes" dataDxfId="1949" totalsRowDxfId="1948">
      <calculatedColumnFormula>INDEX(IPCC[Sector_description], MATCH([IPCC Sector], IPCC[Sector_code], 0))</calculatedColumnFormula>
    </tableColumn>
    <tableColumn id="4" name="2007" totalsRowFunction="sum" dataDxfId="1947" totalsRowDxfId="1946" dataCellStyle="Comma">
      <calculatedColumnFormula>F255</calculatedColumnFormula>
    </tableColumn>
    <tableColumn id="5" name="2012" totalsRowFunction="sum" dataDxfId="1945" totalsRowDxfId="1944" dataCellStyle="Comma">
      <calculatedColumnFormula>G255</calculatedColumnFormula>
    </tableColumn>
    <tableColumn id="6" name="2017" totalsRowFunction="sum" dataDxfId="1943" totalsRowDxfId="1942" dataCellStyle="Comma">
      <calculatedColumnFormula>H255</calculatedColumnFormula>
    </tableColumn>
    <tableColumn id="7" name="2022" totalsRowFunction="sum" dataDxfId="1941" totalsRowDxfId="1940" dataCellStyle="Comma">
      <calculatedColumnFormula>I255</calculatedColumnFormula>
    </tableColumn>
    <tableColumn id="8" name="2027" totalsRowFunction="sum" dataDxfId="1939" totalsRowDxfId="1938" dataCellStyle="Comma">
      <calculatedColumnFormula>J255</calculatedColumnFormula>
    </tableColumn>
    <tableColumn id="9" name="2032" totalsRowFunction="sum" dataDxfId="1937" totalsRowDxfId="1936" dataCellStyle="Comma">
      <calculatedColumnFormula>K255</calculatedColumnFormula>
    </tableColumn>
    <tableColumn id="10" name="2037" totalsRowFunction="sum" dataDxfId="1935" totalsRowDxfId="1934" dataCellStyle="Comma">
      <calculatedColumnFormula>L255</calculatedColumnFormula>
    </tableColumn>
    <tableColumn id="11" name="2042" totalsRowFunction="sum" dataDxfId="1933" totalsRowDxfId="1932" dataCellStyle="Comma">
      <calculatedColumnFormula>M255</calculatedColumnFormula>
    </tableColumn>
    <tableColumn id="12" name="2047" totalsRowFunction="sum" dataDxfId="1931" totalsRowDxfId="1930" dataCellStyle="Comma">
      <calculatedColumnFormula>N255</calculatedColumnFormula>
    </tableColumn>
    <tableColumn id="13" name="2052" totalsRowFunction="sum" dataDxfId="1929" totalsRowDxfId="1928" dataCellStyle="Comma">
      <calculatedColumnFormula>O255</calculatedColumnFormula>
    </tableColumn>
  </tableColumns>
  <tableStyleInfo name="EnergyCalcTables" showFirstColumn="0" showLastColumn="0" showRowStripes="1" showColumnStripes="0"/>
</table>
</file>

<file path=xl/tables/table50.xml><?xml version="1.0" encoding="utf-8"?>
<table xmlns="http://schemas.openxmlformats.org/spreadsheetml/2006/main" id="82" name="VII.a.outputs" displayName="VII.a.outputs" ref="C54:O57" totalsRowCount="1" headerRowDxfId="1927" dataDxfId="1926">
  <autoFilter ref="C54:O56"/>
  <tableColumns count="13">
    <tableColumn id="1" name="Vector" totalsRowLabel="Total" dataDxfId="1925" totalsRowDxfId="1924"/>
    <tableColumn id="2" name="Name" dataDxfId="1923" totalsRowDxfId="1922">
      <calculatedColumnFormula>INDEX(Vectors[Description], MATCH([Vector], Vectors[Code], 0))</calculatedColumnFormula>
    </tableColumn>
    <tableColumn id="3" name="Notes" dataDxfId="1921" totalsRowDxfId="1920"/>
    <tableColumn id="4" name="2007" totalsRowFunction="sum" dataDxfId="1919" totalsRowDxfId="1918" dataCellStyle="Comma">
      <calculatedColumnFormula>#REF!+#REF!</calculatedColumnFormula>
    </tableColumn>
    <tableColumn id="5" name="2012" totalsRowFunction="sum" dataDxfId="1917" totalsRowDxfId="1916" dataCellStyle="Comma"/>
    <tableColumn id="6" name="2017" totalsRowFunction="sum" dataDxfId="1915" totalsRowDxfId="1914" dataCellStyle="Comma"/>
    <tableColumn id="7" name="2022" totalsRowFunction="sum" dataDxfId="1913" totalsRowDxfId="1912" dataCellStyle="Comma"/>
    <tableColumn id="8" name="2027" totalsRowFunction="sum" dataDxfId="1911" totalsRowDxfId="1910" dataCellStyle="Comma"/>
    <tableColumn id="9" name="2032" totalsRowFunction="sum" dataDxfId="1909" totalsRowDxfId="1908" dataCellStyle="Comma"/>
    <tableColumn id="10" name="2037" totalsRowFunction="sum" dataDxfId="1907" totalsRowDxfId="1906" dataCellStyle="Comma"/>
    <tableColumn id="11" name="2042" totalsRowFunction="sum" dataDxfId="1905" totalsRowDxfId="1904" dataCellStyle="Comma"/>
    <tableColumn id="12" name="2047" totalsRowFunction="sum" dataDxfId="1903" totalsRowDxfId="1902" dataCellStyle="Comma"/>
    <tableColumn id="13" name="2052" totalsRowFunction="sum" dataDxfId="1901" totalsRowDxfId="1900" dataCellStyle="Comma"/>
  </tableColumns>
  <tableStyleInfo name="EnergyCalcTables" showFirstColumn="0" showLastColumn="0" showRowStripes="1" showColumnStripes="0"/>
</table>
</file>

<file path=xl/tables/table51.xml><?xml version="1.0" encoding="utf-8"?>
<table xmlns="http://schemas.openxmlformats.org/spreadsheetml/2006/main" id="93" name="VII.a.info94" displayName="VII.a.info94" ref="C64:O66" totalsRowShown="0" headerRowDxfId="1899" dataDxfId="1897" totalsRowDxfId="1895" headerRowBorderDxfId="1898" tableBorderDxfId="1896" dataCellStyle="Check Cell">
  <autoFilter ref="C64:O66"/>
  <tableColumns count="13">
    <tableColumn id="1" name="Vector" dataDxfId="1894" totalsRowDxfId="1893"/>
    <tableColumn id="2" name="Information type" dataDxfId="1892" totalsRowDxfId="1891"/>
    <tableColumn id="3" name="Notes" dataDxfId="1890" totalsRowDxfId="1889"/>
    <tableColumn id="4" name="2007" dataDxfId="1888" totalsRowDxfId="1887" dataCellStyle="Comma"/>
    <tableColumn id="5" name="2012" dataDxfId="1886" totalsRowDxfId="1885" dataCellStyle="Comma"/>
    <tableColumn id="6" name="2017" dataDxfId="1884" totalsRowDxfId="1883" dataCellStyle="Comma"/>
    <tableColumn id="7" name="2022" dataDxfId="1882" totalsRowDxfId="1881" dataCellStyle="Comma"/>
    <tableColumn id="8" name="2027" dataDxfId="1880" totalsRowDxfId="1879" dataCellStyle="Comma"/>
    <tableColumn id="9" name="2032" dataDxfId="1878" totalsRowDxfId="1877" dataCellStyle="Comma"/>
    <tableColumn id="10" name="2037" dataDxfId="1876" totalsRowDxfId="1875" dataCellStyle="Comma"/>
    <tableColumn id="11" name="2042" dataDxfId="1874" totalsRowDxfId="1873" dataCellStyle="Comma"/>
    <tableColumn id="12" name="2047" dataDxfId="1872" totalsRowDxfId="1871" dataCellStyle="Comma"/>
    <tableColumn id="13" name="2052" dataDxfId="1870" totalsRowDxfId="1869" dataCellStyle="Comma"/>
  </tableColumns>
  <tableStyleInfo name="EnergyCalcTables" showFirstColumn="0" showLastColumn="0" showRowStripes="1" showColumnStripes="0"/>
</table>
</file>

<file path=xl/tables/table52.xml><?xml version="1.0" encoding="utf-8"?>
<table xmlns="http://schemas.openxmlformats.org/spreadsheetml/2006/main" id="151" name="VII.b.Inputs" displayName="VII.b.Inputs" ref="C14:O15" totalsRowShown="0" headerRowDxfId="1868" dataDxfId="1867">
  <autoFilter ref="C14:O15"/>
  <tableColumns count="13">
    <tableColumn id="1" name="Vector" dataDxfId="1866"/>
    <tableColumn id="2" name="Name" dataDxfId="1865">
      <calculatedColumnFormula>INDEX(Vectors[Description], MATCH([Vector], Vectors[Code], 0))</calculatedColumnFormula>
    </tableColumn>
    <tableColumn id="3" name="Notes" dataDxfId="1864"/>
    <tableColumn id="4" name="2007" dataDxfId="1863" dataCellStyle="Comma">
      <calculatedColumnFormula>INDEX(INDIRECT("'"&amp;VII.b.Inputs[#Headers]&amp;"'!Year.Matrix"), MATCH("Subtotal."&amp;$A$2, INDIRECT("'"&amp;VII.b.Inputs[#Headers]&amp;"'!Year.Modules"), 0), MATCH([Vector], INDIRECT("'"&amp;VII.b.Inputs[#Headers]&amp;"'!Year.Vectors"), 0))</calculatedColumnFormula>
    </tableColumn>
    <tableColumn id="5" name="2012" dataDxfId="1862" dataCellStyle="Comma">
      <calculatedColumnFormula>INDEX(INDIRECT("'"&amp;VII.b.Inputs[#Headers]&amp;"'!Year.Matrix"), MATCH("Subtotal."&amp;$A$2, INDIRECT("'"&amp;VII.b.Inputs[#Headers]&amp;"'!Year.Modules"), 0), MATCH([Vector], INDIRECT("'"&amp;VII.b.Inputs[#Headers]&amp;"'!Year.Vectors"), 0))</calculatedColumnFormula>
    </tableColumn>
    <tableColumn id="6" name="2017" dataDxfId="1861" dataCellStyle="Comma">
      <calculatedColumnFormula>INDEX(INDIRECT("'"&amp;VII.b.Inputs[#Headers]&amp;"'!Year.Matrix"), MATCH("Subtotal."&amp;$A$2, INDIRECT("'"&amp;VII.b.Inputs[#Headers]&amp;"'!Year.Modules"), 0), MATCH([Vector], INDIRECT("'"&amp;VII.b.Inputs[#Headers]&amp;"'!Year.Vectors"), 0))</calculatedColumnFormula>
    </tableColumn>
    <tableColumn id="7" name="2022" dataDxfId="1860" dataCellStyle="Comma">
      <calculatedColumnFormula>INDEX(INDIRECT("'"&amp;VII.b.Inputs[#Headers]&amp;"'!Year.Matrix"), MATCH("Subtotal."&amp;$A$2, INDIRECT("'"&amp;VII.b.Inputs[#Headers]&amp;"'!Year.Modules"), 0), MATCH([Vector], INDIRECT("'"&amp;VII.b.Inputs[#Headers]&amp;"'!Year.Vectors"), 0))</calculatedColumnFormula>
    </tableColumn>
    <tableColumn id="15" name="2027" dataDxfId="1859" dataCellStyle="Comma">
      <calculatedColumnFormula>INDEX(INDIRECT("'"&amp;VII.b.Inputs[#Headers]&amp;"'!Year.Matrix"), MATCH("Subtotal."&amp;$A$2, INDIRECT("'"&amp;VII.b.Inputs[#Headers]&amp;"'!Year.Modules"), 0), MATCH([Vector], INDIRECT("'"&amp;VII.b.Inputs[#Headers]&amp;"'!Year.Vectors"), 0))</calculatedColumnFormula>
    </tableColumn>
    <tableColumn id="16" name="2032" dataDxfId="1858" dataCellStyle="Comma">
      <calculatedColumnFormula>INDEX(INDIRECT("'"&amp;VII.b.Inputs[#Headers]&amp;"'!Year.Matrix"), MATCH("Subtotal."&amp;$A$2, INDIRECT("'"&amp;VII.b.Inputs[#Headers]&amp;"'!Year.Modules"), 0), MATCH([Vector], INDIRECT("'"&amp;VII.b.Inputs[#Headers]&amp;"'!Year.Vectors"), 0))</calculatedColumnFormula>
    </tableColumn>
    <tableColumn id="17" name="2037" dataDxfId="1857" dataCellStyle="Comma">
      <calculatedColumnFormula>INDEX(INDIRECT("'"&amp;VII.b.Inputs[#Headers]&amp;"'!Year.Matrix"), MATCH("Subtotal."&amp;$A$2, INDIRECT("'"&amp;VII.b.Inputs[#Headers]&amp;"'!Year.Modules"), 0), MATCH([Vector], INDIRECT("'"&amp;VII.b.Inputs[#Headers]&amp;"'!Year.Vectors"), 0))</calculatedColumnFormula>
    </tableColumn>
    <tableColumn id="18" name="2042" dataDxfId="1856" dataCellStyle="Comma">
      <calculatedColumnFormula>INDEX(INDIRECT("'"&amp;VII.b.Inputs[#Headers]&amp;"'!Year.Matrix"), MATCH("Subtotal."&amp;$A$2, INDIRECT("'"&amp;VII.b.Inputs[#Headers]&amp;"'!Year.Modules"), 0), MATCH([Vector], INDIRECT("'"&amp;VII.b.Inputs[#Headers]&amp;"'!Year.Vectors"), 0))</calculatedColumnFormula>
    </tableColumn>
    <tableColumn id="19" name="2047" dataDxfId="1855" dataCellStyle="Comma">
      <calculatedColumnFormula>INDEX(INDIRECT("'"&amp;VII.b.Inputs[#Headers]&amp;"'!Year.Matrix"), MATCH("Subtotal."&amp;$A$2, INDIRECT("'"&amp;VII.b.Inputs[#Headers]&amp;"'!Year.Modules"), 0), MATCH([Vector], INDIRECT("'"&amp;VII.b.Inputs[#Headers]&amp;"'!Year.Vectors"), 0))</calculatedColumnFormula>
    </tableColumn>
    <tableColumn id="20" name="2052" dataDxfId="1854" dataCellStyle="Comma">
      <calculatedColumnFormula>INDEX(INDIRECT("'"&amp;VII.b.Inputs[#Headers]&amp;"'!Year.Matrix"), MATCH("Subtotal."&amp;$A$2, INDIRECT("'"&amp;VII.b.Inputs[#Headers]&amp;"'!Year.Modules"), 0), MATCH([Vector], INDIRECT("'"&amp;VII.b.Inputs[#Headers]&amp;"'!Year.Vectors"), 0))</calculatedColumnFormula>
    </tableColumn>
  </tableColumns>
  <tableStyleInfo name="EnergyCalcTables" showFirstColumn="0" showLastColumn="0" showRowStripes="1" showColumnStripes="0"/>
</table>
</file>

<file path=xl/tables/table53.xml><?xml version="1.0" encoding="utf-8"?>
<table xmlns="http://schemas.openxmlformats.org/spreadsheetml/2006/main" id="152" name="VII.b.Outputs" displayName="VII.b.Outputs" ref="C64:O68" totalsRowCount="1" headerRowDxfId="1853" dataDxfId="1852">
  <autoFilter ref="C64:O67"/>
  <tableColumns count="13">
    <tableColumn id="1" name="Vector" totalsRowLabel="Total" dataDxfId="1851" totalsRowDxfId="1850"/>
    <tableColumn id="2" name="Name" dataDxfId="1849" totalsRowDxfId="1848">
      <calculatedColumnFormula>INDEX(Vectors[Description], MATCH([Vector], Vectors[Code], 0))</calculatedColumnFormula>
    </tableColumn>
    <tableColumn id="3" name="Notes" dataDxfId="1847" totalsRowDxfId="1846"/>
    <tableColumn id="4" name="2007" totalsRowFunction="sum" dataDxfId="1845" totalsRowDxfId="1844" dataCellStyle="Comma">
      <calculatedColumnFormula>F$54+#REF!</calculatedColumnFormula>
    </tableColumn>
    <tableColumn id="5" name="2012" totalsRowFunction="sum" dataDxfId="1843" totalsRowDxfId="1842" dataCellStyle="Comma"/>
    <tableColumn id="6" name="2017" totalsRowFunction="sum" dataDxfId="1841" totalsRowDxfId="1840" dataCellStyle="Comma"/>
    <tableColumn id="7" name="2022" totalsRowFunction="sum" dataDxfId="1839" totalsRowDxfId="1838" dataCellStyle="Comma"/>
    <tableColumn id="8" name="2027" totalsRowFunction="sum" dataDxfId="1837" totalsRowDxfId="1836" dataCellStyle="Comma"/>
    <tableColumn id="9" name="2032" totalsRowFunction="sum" dataDxfId="1835" totalsRowDxfId="1834" dataCellStyle="Comma"/>
    <tableColumn id="10" name="2037" totalsRowFunction="sum" dataDxfId="1833" totalsRowDxfId="1832" dataCellStyle="Comma"/>
    <tableColumn id="11" name="2042" totalsRowFunction="sum" dataDxfId="1831" totalsRowDxfId="1830" dataCellStyle="Comma"/>
    <tableColumn id="12" name="2047" totalsRowFunction="sum" dataDxfId="1829" totalsRowDxfId="1828" dataCellStyle="Comma"/>
    <tableColumn id="13" name="2052" totalsRowFunction="sum" dataDxfId="1827" totalsRowDxfId="1826" dataCellStyle="Comma"/>
  </tableColumns>
  <tableStyleInfo name="EnergyCalcTables" showFirstColumn="0" showLastColumn="0" showRowStripes="1" showColumnStripes="0"/>
</table>
</file>

<file path=xl/tables/table54.xml><?xml version="1.0" encoding="utf-8"?>
<table xmlns="http://schemas.openxmlformats.org/spreadsheetml/2006/main" id="156" name="VII.b.info" displayName="VII.b.info" ref="C75:O77" totalsRowShown="0" headerRowDxfId="1825" dataDxfId="1823" totalsRowDxfId="1821" headerRowBorderDxfId="1824" tableBorderDxfId="1822" dataCellStyle="Comma">
  <autoFilter ref="C75:O77"/>
  <tableColumns count="13">
    <tableColumn id="1" name="Vector" dataDxfId="1820" totalsRowDxfId="1819"/>
    <tableColumn id="2" name="Information type" dataDxfId="1818" totalsRowDxfId="1817"/>
    <tableColumn id="3" name="Notes" dataDxfId="1816" totalsRowDxfId="1815"/>
    <tableColumn id="4" name="2007" dataDxfId="1814" totalsRowDxfId="1813" dataCellStyle="Comma"/>
    <tableColumn id="5" name="2012" dataDxfId="1812" totalsRowDxfId="1811" dataCellStyle="Comma"/>
    <tableColumn id="6" name="2017" dataDxfId="1810" totalsRowDxfId="1809" dataCellStyle="Comma"/>
    <tableColumn id="7" name="2022" dataDxfId="1808" totalsRowDxfId="1807" dataCellStyle="Comma"/>
    <tableColumn id="8" name="2027" dataDxfId="1806" totalsRowDxfId="1805" dataCellStyle="Comma"/>
    <tableColumn id="9" name="2032" dataDxfId="1804" totalsRowDxfId="1803" dataCellStyle="Comma"/>
    <tableColumn id="10" name="2037" dataDxfId="1802" totalsRowDxfId="1801" dataCellStyle="Comma"/>
    <tableColumn id="11" name="2042" dataDxfId="1800" totalsRowDxfId="1799" dataCellStyle="Comma"/>
    <tableColumn id="12" name="2047" dataDxfId="1798" totalsRowDxfId="1797" dataCellStyle="Comma"/>
    <tableColumn id="13" name="2052" dataDxfId="1796" totalsRowDxfId="1795" dataCellStyle="Comma"/>
  </tableColumns>
  <tableStyleInfo name="EnergyCalcTables" showFirstColumn="0" showLastColumn="0" showRowStripes="1" showColumnStripes="0"/>
</table>
</file>

<file path=xl/tables/table55.xml><?xml version="1.0" encoding="utf-8"?>
<table xmlns="http://schemas.openxmlformats.org/spreadsheetml/2006/main" id="185" name="IX.info" displayName="IX.info" ref="C190:O193" totalsRowShown="0" headerRowDxfId="1794" dataDxfId="1792" totalsRowDxfId="1790" headerRowBorderDxfId="1793" tableBorderDxfId="1791">
  <autoFilter ref="C190:O193"/>
  <tableColumns count="13">
    <tableColumn id="1" name="Vector" dataDxfId="1789" totalsRowDxfId="1788"/>
    <tableColumn id="2" name="Information type" dataDxfId="1787" totalsRowDxfId="1786">
      <calculatedColumnFormula>INDEX([10]!Vectors[Description], MATCH([Vector], [10]!Vectors[Code], 0))</calculatedColumnFormula>
    </tableColumn>
    <tableColumn id="3" name="Notes" dataDxfId="1785" totalsRowDxfId="1784">
      <calculatedColumnFormula>Preferences.AreaUnits</calculatedColumnFormula>
    </tableColumn>
    <tableColumn id="4" name="2007" dataDxfId="1783" totalsRowDxfId="1782" dataCellStyle="Comma">
      <calculatedColumnFormula>#REF!</calculatedColumnFormula>
    </tableColumn>
    <tableColumn id="5" name="2012" dataDxfId="1781" totalsRowDxfId="1780" dataCellStyle="Comma">
      <calculatedColumnFormula>#REF!</calculatedColumnFormula>
    </tableColumn>
    <tableColumn id="6" name="2017" dataDxfId="1779" totalsRowDxfId="1778" dataCellStyle="Comma">
      <calculatedColumnFormula>#REF!</calculatedColumnFormula>
    </tableColumn>
    <tableColumn id="7" name="2022" dataDxfId="1777" totalsRowDxfId="1776" dataCellStyle="Comma">
      <calculatedColumnFormula>#REF!</calculatedColumnFormula>
    </tableColumn>
    <tableColumn id="8" name="2027" dataDxfId="1775" totalsRowDxfId="1774" dataCellStyle="Comma">
      <calculatedColumnFormula>#REF!</calculatedColumnFormula>
    </tableColumn>
    <tableColumn id="9" name="2032" dataDxfId="1773" totalsRowDxfId="1772" dataCellStyle="Comma">
      <calculatedColumnFormula>#REF!</calculatedColumnFormula>
    </tableColumn>
    <tableColumn id="10" name="2037" dataDxfId="1771" totalsRowDxfId="1770" dataCellStyle="Comma">
      <calculatedColumnFormula>#REF!</calculatedColumnFormula>
    </tableColumn>
    <tableColumn id="11" name="2042" dataDxfId="1769" totalsRowDxfId="1768" dataCellStyle="Comma">
      <calculatedColumnFormula>#REF!</calculatedColumnFormula>
    </tableColumn>
    <tableColumn id="12" name="2047" dataDxfId="1767" totalsRowDxfId="1766" dataCellStyle="Comma">
      <calculatedColumnFormula>#REF!</calculatedColumnFormula>
    </tableColumn>
    <tableColumn id="13" name="2052" dataDxfId="1765" totalsRowDxfId="1764" dataCellStyle="Comma">
      <calculatedColumnFormula>#REF!</calculatedColumnFormula>
    </tableColumn>
  </tableColumns>
  <tableStyleInfo name="EnergyCalcTables" showFirstColumn="0" showLastColumn="0" showRowStripes="1" showColumnStripes="0"/>
</table>
</file>

<file path=xl/tables/table56.xml><?xml version="1.0" encoding="utf-8"?>
<table xmlns="http://schemas.openxmlformats.org/spreadsheetml/2006/main" id="186" name="IX.Outputs" displayName="IX.Outputs" ref="C170:O172" totalsRowShown="0" headerRowDxfId="1763" dataDxfId="1762" totalsRowDxfId="1761">
  <autoFilter ref="C170:O172"/>
  <tableColumns count="13">
    <tableColumn id="1" name="Vector" dataDxfId="1760" totalsRowDxfId="1759"/>
    <tableColumn id="2" name="Name" dataDxfId="1758" totalsRowDxfId="1757">
      <calculatedColumnFormula>INDEX(Vectors[Description], MATCH([Vector], Vectors[Code], 0))</calculatedColumnFormula>
    </tableColumn>
    <tableColumn id="3" name="Notes" dataDxfId="1756" totalsRowDxfId="1755"/>
    <tableColumn id="4" name="2007" dataDxfId="1754" totalsRowDxfId="1753" dataCellStyle="Comma">
      <calculatedColumnFormula>#REF!-#REF!-#REF!</calculatedColumnFormula>
    </tableColumn>
    <tableColumn id="5" name="2012" dataDxfId="1752" totalsRowDxfId="1751" dataCellStyle="Comma">
      <calculatedColumnFormula>#REF!-#REF!</calculatedColumnFormula>
    </tableColumn>
    <tableColumn id="6" name="2017" dataDxfId="1750" totalsRowDxfId="1749" dataCellStyle="Comma">
      <calculatedColumnFormula>#REF!-#REF!</calculatedColumnFormula>
    </tableColumn>
    <tableColumn id="7" name="2022" dataDxfId="1748" totalsRowDxfId="1747" dataCellStyle="Comma">
      <calculatedColumnFormula>#REF!-#REF!</calculatedColumnFormula>
    </tableColumn>
    <tableColumn id="8" name="2027" dataDxfId="1746" totalsRowDxfId="1745" dataCellStyle="Comma">
      <calculatedColumnFormula>#REF!-#REF!</calculatedColumnFormula>
    </tableColumn>
    <tableColumn id="9" name="2032" dataDxfId="1744" totalsRowDxfId="1743" dataCellStyle="Comma">
      <calculatedColumnFormula>#REF!-#REF!</calculatedColumnFormula>
    </tableColumn>
    <tableColumn id="10" name="2037" dataDxfId="1742" totalsRowDxfId="1741" dataCellStyle="Comma">
      <calculatedColumnFormula>#REF!-#REF!</calculatedColumnFormula>
    </tableColumn>
    <tableColumn id="11" name="2042" dataDxfId="1740" totalsRowDxfId="1739" dataCellStyle="Comma">
      <calculatedColumnFormula>#REF!-#REF!</calculatedColumnFormula>
    </tableColumn>
    <tableColumn id="12" name="2047" dataDxfId="1738" totalsRowDxfId="1737" dataCellStyle="Comma">
      <calculatedColumnFormula>#REF!-#REF!</calculatedColumnFormula>
    </tableColumn>
    <tableColumn id="13" name="2052" dataDxfId="1736" totalsRowDxfId="1735" dataCellStyle="Comma">
      <calculatedColumnFormula>#REF!-#REF!</calculatedColumnFormula>
    </tableColumn>
  </tableColumns>
  <tableStyleInfo name="EnergyCalcTables" showFirstColumn="0" showLastColumn="0" showRowStripes="1" showColumnStripes="0"/>
</table>
</file>

<file path=xl/tables/table57.xml><?xml version="1.0" encoding="utf-8"?>
<table xmlns="http://schemas.openxmlformats.org/spreadsheetml/2006/main" id="187" name="IX.Emissions" displayName="IX.Emissions" ref="C179:O183" totalsRowCount="1" headerRowDxfId="1734" dataDxfId="1732" totalsRowDxfId="1730" headerRowBorderDxfId="1733" tableBorderDxfId="1731">
  <autoFilter ref="C179:O182"/>
  <tableColumns count="13">
    <tableColumn id="1" name="GHG" totalsRowLabel="Total" dataDxfId="1729" totalsRowDxfId="1728"/>
    <tableColumn id="2" name="IPCC Sector" dataDxfId="1727" totalsRowDxfId="1726"/>
    <tableColumn id="3" name="Notes" dataDxfId="1725" totalsRowDxfId="1724">
      <calculatedColumnFormula>INDEX(IPCC[Sector_description], MATCH([IPCC Sector], IPCC[Sector_code], 0))</calculatedColumnFormula>
    </tableColumn>
    <tableColumn id="4" name="2007" totalsRowFunction="sum" dataDxfId="1723" totalsRowDxfId="1722" dataCellStyle="Comma"/>
    <tableColumn id="5" name="2012" totalsRowFunction="sum" dataDxfId="1721" totalsRowDxfId="1720" dataCellStyle="Comma"/>
    <tableColumn id="6" name="2017" totalsRowFunction="sum" dataDxfId="1719" totalsRowDxfId="1718" dataCellStyle="Comma"/>
    <tableColumn id="7" name="2022" totalsRowFunction="sum" dataDxfId="1717" totalsRowDxfId="1716" dataCellStyle="Comma"/>
    <tableColumn id="8" name="2027" totalsRowFunction="sum" dataDxfId="1715" totalsRowDxfId="1714" dataCellStyle="Comma"/>
    <tableColumn id="9" name="2032" totalsRowFunction="sum" dataDxfId="1713" totalsRowDxfId="1712" dataCellStyle="Comma"/>
    <tableColumn id="10" name="2037" totalsRowFunction="sum" dataDxfId="1711" totalsRowDxfId="1710" dataCellStyle="Comma"/>
    <tableColumn id="11" name="2042" totalsRowFunction="sum" dataDxfId="1709" totalsRowDxfId="1708" dataCellStyle="Comma"/>
    <tableColumn id="12" name="2047" totalsRowFunction="sum" dataDxfId="1707" totalsRowDxfId="1706" dataCellStyle="Comma"/>
    <tableColumn id="13" name="2052" totalsRowFunction="sum" dataDxfId="1705" totalsRowDxfId="1704" dataCellStyle="Comma"/>
  </tableColumns>
  <tableStyleInfo name="EnergyCalcTables" showFirstColumn="0" showLastColumn="0" showRowStripes="1" showColumnStripes="0"/>
</table>
</file>

<file path=xl/tables/table58.xml><?xml version="1.0" encoding="utf-8"?>
<table xmlns="http://schemas.openxmlformats.org/spreadsheetml/2006/main" id="166" name="X.a.Outputs" displayName="X.a.Outputs" ref="C268:O273" totalsRowCount="1" headerRowDxfId="1703" dataDxfId="1702">
  <autoFilter ref="C268:O272"/>
  <tableColumns count="13">
    <tableColumn id="1" name="Vector" totalsRowLabel="Total" dataDxfId="1701" totalsRowDxfId="1700"/>
    <tableColumn id="2" name="Name" dataDxfId="1699" totalsRowDxfId="1698">
      <calculatedColumnFormula>INDEX(Vectors[Description], MATCH([Vector],Vectors[Code], 0))</calculatedColumnFormula>
    </tableColumn>
    <tableColumn id="3" name="Notes" dataDxfId="1697" totalsRowDxfId="1696"/>
    <tableColumn id="4" name="2007" totalsRowFunction="custom" dataDxfId="1695" totalsRowDxfId="1694" dataCellStyle="Comma">
      <calculatedColumnFormula>INDEX(#REF!, MATCH([Vector],#REF!, 0))</calculatedColumnFormula>
      <totalsRowFormula>SUM([2007])</totalsRowFormula>
    </tableColumn>
    <tableColumn id="5" name="2012" totalsRowFunction="custom" dataDxfId="1693" totalsRowDxfId="1692" dataCellStyle="Comma">
      <totalsRowFormula>SUM([2012])</totalsRowFormula>
    </tableColumn>
    <tableColumn id="6" name="2017" totalsRowFunction="custom" dataDxfId="1691" totalsRowDxfId="1690" dataCellStyle="Comma">
      <totalsRowFormula>SUM([2017])</totalsRowFormula>
    </tableColumn>
    <tableColumn id="7" name="2022" totalsRowFunction="custom" dataDxfId="1689" totalsRowDxfId="1688" dataCellStyle="Comma">
      <totalsRowFormula>SUM([2022])</totalsRowFormula>
    </tableColumn>
    <tableColumn id="8" name="2027" totalsRowFunction="custom" dataDxfId="1687" totalsRowDxfId="1686" dataCellStyle="Comma">
      <totalsRowFormula>SUM([2027])</totalsRowFormula>
    </tableColumn>
    <tableColumn id="9" name="2032" totalsRowFunction="custom" dataDxfId="1685" totalsRowDxfId="1684" dataCellStyle="Comma">
      <totalsRowFormula>SUM([2032])</totalsRowFormula>
    </tableColumn>
    <tableColumn id="10" name="2037" totalsRowFunction="custom" dataDxfId="1683" totalsRowDxfId="1682" dataCellStyle="Comma">
      <totalsRowFormula>SUM([2037])</totalsRowFormula>
    </tableColumn>
    <tableColumn id="11" name="2042" totalsRowFunction="custom" dataDxfId="1681" totalsRowDxfId="1680" dataCellStyle="Comma">
      <totalsRowFormula>SUM([2042])</totalsRowFormula>
    </tableColumn>
    <tableColumn id="12" name="2047" totalsRowFunction="custom" dataDxfId="1679" totalsRowDxfId="1678" dataCellStyle="Comma">
      <totalsRowFormula>SUM([2047])</totalsRowFormula>
    </tableColumn>
    <tableColumn id="13" name="2052" totalsRowFunction="custom" dataDxfId="1677" totalsRowDxfId="1676" dataCellStyle="Comma">
      <totalsRowFormula>SUM([2052])</totalsRowFormula>
    </tableColumn>
  </tableColumns>
  <tableStyleInfo name="EnergyCalcTables" showFirstColumn="0" showLastColumn="0" showRowStripes="1" showColumnStripes="0"/>
</table>
</file>

<file path=xl/tables/table59.xml><?xml version="1.0" encoding="utf-8"?>
<table xmlns="http://schemas.openxmlformats.org/spreadsheetml/2006/main" id="167" name="X.a.Emissions" displayName="X.a.Emissions" ref="C279:O283" totalsRowCount="1" headerRowDxfId="1675" dataDxfId="1673" headerRowBorderDxfId="1674" tableBorderDxfId="1672" dataCellStyle="Bad">
  <autoFilter ref="C279:O282"/>
  <tableColumns count="13">
    <tableColumn id="1" name="GHG" totalsRowLabel="Total" dataDxfId="1671" totalsRowDxfId="1670"/>
    <tableColumn id="2" name="IPCC Sector" dataDxfId="1669" totalsRowDxfId="1668"/>
    <tableColumn id="3" name="Notes" dataDxfId="1667" totalsRowDxfId="1666">
      <calculatedColumnFormula>INDEX(IPCC[Sector_description], MATCH([IPCC Sector], IPCC[Sector_code], 0))</calculatedColumnFormula>
    </tableColumn>
    <tableColumn id="4" name="2007" totalsRowLabel="- " dataDxfId="1665" totalsRowDxfId="1664" dataCellStyle="Comma">
      <calculatedColumnFormula>#REF!</calculatedColumnFormula>
    </tableColumn>
    <tableColumn id="5" name="2012" totalsRowFunction="sum" dataDxfId="1663" totalsRowDxfId="1662" dataCellStyle="Comma"/>
    <tableColumn id="6" name="2017" totalsRowFunction="sum" dataDxfId="1661" totalsRowDxfId="1660" dataCellStyle="Comma"/>
    <tableColumn id="7" name="2022" totalsRowFunction="sum" dataDxfId="1659" totalsRowDxfId="1658" dataCellStyle="Comma"/>
    <tableColumn id="8" name="2027" totalsRowFunction="sum" dataDxfId="1657" totalsRowDxfId="1656" dataCellStyle="Comma"/>
    <tableColumn id="9" name="2032" totalsRowFunction="sum" dataDxfId="1655" totalsRowDxfId="1654" dataCellStyle="Comma"/>
    <tableColumn id="10" name="2037" totalsRowFunction="sum" dataDxfId="1653" totalsRowDxfId="1652" dataCellStyle="Comma"/>
    <tableColumn id="11" name="2042" totalsRowFunction="sum" dataDxfId="1651" totalsRowDxfId="1650" dataCellStyle="Comma"/>
    <tableColumn id="12" name="2047" totalsRowFunction="sum" dataDxfId="1649" totalsRowDxfId="1648" dataCellStyle="Comma"/>
    <tableColumn id="13" name="2052" totalsRowFunction="sum" dataDxfId="1647" totalsRowDxfId="1646" dataCellStyle="Comma"/>
  </tableColumns>
  <tableStyleInfo name="EnergyCalcTables" showFirstColumn="0" showLastColumn="0" showRowStripes="1" showColumnStripes="0"/>
</table>
</file>

<file path=xl/tables/table60.xml><?xml version="1.0" encoding="utf-8"?>
<table xmlns="http://schemas.openxmlformats.org/spreadsheetml/2006/main" id="168" name="X.a.info" displayName="X.a.info" ref="C299:O301" totalsRowShown="0" headerRowDxfId="1645" dataDxfId="1643" totalsRowDxfId="1641" headerRowBorderDxfId="1644" tableBorderDxfId="1642" dataCellStyle="Bad">
  <autoFilter ref="C299:O301"/>
  <tableColumns count="13">
    <tableColumn id="1" name="Vector" dataDxfId="1640" totalsRowDxfId="1639"/>
    <tableColumn id="2" name="Information type" dataDxfId="1638" totalsRowDxfId="1637"/>
    <tableColumn id="3" name="Notes" dataDxfId="1636" totalsRowDxfId="1635"/>
    <tableColumn id="4" name="2007" dataDxfId="1634" totalsRowDxfId="1633" dataCellStyle="Comma"/>
    <tableColumn id="5" name="2010" dataDxfId="1632" totalsRowDxfId="1631" dataCellStyle="Comma"/>
    <tableColumn id="6" name="2015" dataDxfId="1630" totalsRowDxfId="1629" dataCellStyle="Comma"/>
    <tableColumn id="7" name="2020" dataDxfId="1628" totalsRowDxfId="1627" dataCellStyle="Comma"/>
    <tableColumn id="8" name="2025" dataDxfId="1626" totalsRowDxfId="1625" dataCellStyle="Comma"/>
    <tableColumn id="9" name="2030" dataDxfId="1624" totalsRowDxfId="1623" dataCellStyle="Comma"/>
    <tableColumn id="10" name="2035" dataDxfId="1622" totalsRowDxfId="1621" dataCellStyle="Comma"/>
    <tableColumn id="11" name="2040" dataDxfId="1620" totalsRowDxfId="1619" dataCellStyle="Comma"/>
    <tableColumn id="12" name="2045" dataDxfId="1618" totalsRowDxfId="1617" dataCellStyle="Comma"/>
    <tableColumn id="13" name="2050" dataDxfId="1616" totalsRowDxfId="1615" dataCellStyle="Comma"/>
  </tableColumns>
  <tableStyleInfo name="EnergyCalcTables" showFirstColumn="0" showLastColumn="0" showRowStripes="1" showColumnStripes="0"/>
</table>
</file>

<file path=xl/tables/table61.xml><?xml version="1.0" encoding="utf-8"?>
<table xmlns="http://schemas.openxmlformats.org/spreadsheetml/2006/main" id="169" name="X.a.AQ" displayName="X.a.AQ" ref="C287:O291" totalsRowShown="0" headerRowDxfId="1614" dataDxfId="1612" headerRowBorderDxfId="1613" tableBorderDxfId="1611" totalsRowBorderDxfId="1610">
  <autoFilter ref="C287:O291"/>
  <tableColumns count="13">
    <tableColumn id="1" name="Vector" dataDxfId="1609">
      <calculatedColumnFormula>INDEX(AirQualityVectors[Code],MATCH(D288,AirQualityVectors[Description],0))</calculatedColumnFormula>
    </tableColumn>
    <tableColumn id="2" name="Name" dataDxfId="1608"/>
    <tableColumn id="3" name="IPCC Sector" dataDxfId="1607"/>
    <tableColumn id="4" name="2007" dataDxfId="1606"/>
    <tableColumn id="5" name="2012" dataDxfId="1605"/>
    <tableColumn id="6" name="2017" dataDxfId="1604"/>
    <tableColumn id="7" name="2022" dataDxfId="1603"/>
    <tableColumn id="8" name="2027" dataDxfId="1602"/>
    <tableColumn id="9" name="2032" dataDxfId="1601"/>
    <tableColumn id="10" name="2037" dataDxfId="1600"/>
    <tableColumn id="11" name="2042" dataDxfId="1599"/>
    <tableColumn id="12" name="2047" dataDxfId="1598"/>
    <tableColumn id="13" name="2052" dataDxfId="1597"/>
  </tableColumns>
  <tableStyleInfo name="TableStyleMedium9" showFirstColumn="0" showLastColumn="0" showRowStripes="1" showColumnStripes="0"/>
</table>
</file>

<file path=xl/tables/table62.xml><?xml version="1.0" encoding="utf-8"?>
<table xmlns="http://schemas.openxmlformats.org/spreadsheetml/2006/main" id="177" name="X.b.Outputs" displayName="X.b.Outputs" ref="C174:O178" totalsRowCount="1" headerRowDxfId="1596" dataDxfId="1595">
  <autoFilter ref="C174:O177"/>
  <tableColumns count="13">
    <tableColumn id="1" name="Vector" totalsRowLabel="Total" dataDxfId="1594" totalsRowDxfId="1593"/>
    <tableColumn id="2" name="Name" dataDxfId="1592" totalsRowDxfId="1591">
      <calculatedColumnFormula>INDEX([10]!Vectors[Description], MATCH([Vector], [10]!Vectors[Code], 0))</calculatedColumnFormula>
    </tableColumn>
    <tableColumn id="3" name="Notes" dataDxfId="1590" totalsRowDxfId="1589"/>
    <tableColumn id="4" name="2007" totalsRowFunction="sum" dataDxfId="1588" totalsRowDxfId="1587" dataCellStyle="Comma">
      <calculatedColumnFormula>F165</calculatedColumnFormula>
    </tableColumn>
    <tableColumn id="5" name="2012" totalsRowFunction="sum" dataDxfId="1586" totalsRowDxfId="1585" dataCellStyle="Comma">
      <calculatedColumnFormula>F165</calculatedColumnFormula>
    </tableColumn>
    <tableColumn id="6" name="2017" totalsRowFunction="sum" dataDxfId="1584" totalsRowDxfId="1583" dataCellStyle="Comma"/>
    <tableColumn id="7" name="2022" totalsRowFunction="sum" dataDxfId="1582" totalsRowDxfId="1581" dataCellStyle="Comma"/>
    <tableColumn id="8" name="2027" totalsRowFunction="sum" dataDxfId="1580" totalsRowDxfId="1579" dataCellStyle="Comma"/>
    <tableColumn id="9" name="2032" totalsRowFunction="sum" dataDxfId="1578" totalsRowDxfId="1577" dataCellStyle="Comma"/>
    <tableColumn id="10" name="2037" totalsRowFunction="sum" dataDxfId="1576" totalsRowDxfId="1575" dataCellStyle="Comma"/>
    <tableColumn id="11" name="2042" totalsRowFunction="sum" dataDxfId="1574" totalsRowDxfId="1573" dataCellStyle="Comma"/>
    <tableColumn id="12" name="2047" totalsRowFunction="sum" dataDxfId="1572" totalsRowDxfId="1571" dataCellStyle="Comma"/>
    <tableColumn id="13" name="2052" totalsRowFunction="sum" dataDxfId="1570" totalsRowDxfId="1569" dataCellStyle="Comma"/>
  </tableColumns>
  <tableStyleInfo name="EnergyCalcTables" showFirstColumn="0" showLastColumn="0" showRowStripes="1" showColumnStripes="0"/>
</table>
</file>

<file path=xl/tables/table63.xml><?xml version="1.0" encoding="utf-8"?>
<table xmlns="http://schemas.openxmlformats.org/spreadsheetml/2006/main" id="178" name="X.b.Emissions" displayName="X.b.Emissions" ref="C185:O189" totalsRowCount="1" headerRowDxfId="1568" dataDxfId="1566" headerRowBorderDxfId="1567" tableBorderDxfId="1565" dataCellStyle="Calculation">
  <autoFilter ref="C185:O188"/>
  <tableColumns count="13">
    <tableColumn id="1" name="GHG" totalsRowLabel="Total" dataDxfId="1564" totalsRowDxfId="1563"/>
    <tableColumn id="2" name="IPCC Sector" dataDxfId="1562" totalsRowDxfId="1561"/>
    <tableColumn id="3" name="Notes" dataDxfId="1560" totalsRowDxfId="1559">
      <calculatedColumnFormula>INDEX(IPCC[Sector_description], MATCH([IPCC Sector], IPCC[Sector_code], 0))</calculatedColumnFormula>
    </tableColumn>
    <tableColumn id="4" name="2007" totalsRowFunction="sum" dataDxfId="1558" totalsRowDxfId="1557" dataCellStyle="Comma"/>
    <tableColumn id="5" name="2012" totalsRowFunction="sum" dataDxfId="1556" totalsRowDxfId="1555" dataCellStyle="Comma">
      <calculatedColumnFormula>G140</calculatedColumnFormula>
    </tableColumn>
    <tableColumn id="6" name="2017" totalsRowFunction="sum" dataDxfId="1554" totalsRowDxfId="1553" dataCellStyle="Comma">
      <calculatedColumnFormula>H140</calculatedColumnFormula>
    </tableColumn>
    <tableColumn id="7" name="2022" totalsRowFunction="sum" dataDxfId="1552" totalsRowDxfId="1551" dataCellStyle="Comma">
      <calculatedColumnFormula>I140</calculatedColumnFormula>
    </tableColumn>
    <tableColumn id="8" name="2027" totalsRowFunction="sum" dataDxfId="1550" totalsRowDxfId="1549" dataCellStyle="Comma">
      <calculatedColumnFormula>J140</calculatedColumnFormula>
    </tableColumn>
    <tableColumn id="9" name="2032" totalsRowFunction="sum" dataDxfId="1548" totalsRowDxfId="1547" dataCellStyle="Comma">
      <calculatedColumnFormula>K140</calculatedColumnFormula>
    </tableColumn>
    <tableColumn id="10" name="2037" totalsRowFunction="sum" dataDxfId="1546" totalsRowDxfId="1545" dataCellStyle="Comma">
      <calculatedColumnFormula>L140</calculatedColumnFormula>
    </tableColumn>
    <tableColumn id="11" name="2042" totalsRowFunction="sum" dataDxfId="1544" totalsRowDxfId="1543" dataCellStyle="Comma">
      <calculatedColumnFormula>M140</calculatedColumnFormula>
    </tableColumn>
    <tableColumn id="12" name="2047" totalsRowFunction="sum" dataDxfId="1542" totalsRowDxfId="1541" dataCellStyle="Comma">
      <calculatedColumnFormula>N140</calculatedColumnFormula>
    </tableColumn>
    <tableColumn id="13" name="2052" totalsRowFunction="sum" dataDxfId="1540" totalsRowDxfId="1539" dataCellStyle="Comma">
      <calculatedColumnFormula>O140</calculatedColumnFormula>
    </tableColumn>
  </tableColumns>
  <tableStyleInfo name="EnergyCalcTables" showFirstColumn="0" showLastColumn="0" showRowStripes="1" showColumnStripes="0"/>
</table>
</file>

<file path=xl/tables/table64.xml><?xml version="1.0" encoding="utf-8"?>
<table xmlns="http://schemas.openxmlformats.org/spreadsheetml/2006/main" id="179" name="X.b.info" displayName="X.b.info" ref="C206:O208" totalsRowShown="0" headerRowDxfId="1538" dataDxfId="1536" totalsRowDxfId="1534" headerRowBorderDxfId="1537" tableBorderDxfId="1535" dataCellStyle="Calculation">
  <autoFilter ref="C206:O208"/>
  <tableColumns count="13">
    <tableColumn id="1" name="Vector" dataDxfId="1533" totalsRowDxfId="1532"/>
    <tableColumn id="2" name="Information type" dataDxfId="1531" totalsRowDxfId="1530"/>
    <tableColumn id="3" name="Notes" dataDxfId="1529" totalsRowDxfId="1528"/>
    <tableColumn id="4" name="2007" dataDxfId="1527" totalsRowDxfId="1526" dataCellStyle="Comma"/>
    <tableColumn id="5" name="2012" dataDxfId="1525" totalsRowDxfId="1524" dataCellStyle="Comma"/>
    <tableColumn id="6" name="2017" dataDxfId="1523" totalsRowDxfId="1522" dataCellStyle="Comma"/>
    <tableColumn id="7" name="2022" dataDxfId="1521" totalsRowDxfId="1520" dataCellStyle="Comma"/>
    <tableColumn id="8" name="2027" dataDxfId="1519" totalsRowDxfId="1518" dataCellStyle="Comma"/>
    <tableColumn id="9" name="2032" dataDxfId="1517" totalsRowDxfId="1516" dataCellStyle="Comma"/>
    <tableColumn id="10" name="2037" dataDxfId="1515" totalsRowDxfId="1514" dataCellStyle="Comma"/>
    <tableColumn id="11" name="2042" dataDxfId="1513" totalsRowDxfId="1512" dataCellStyle="Comma"/>
    <tableColumn id="12" name="2047" dataDxfId="1511" totalsRowDxfId="1510" dataCellStyle="Comma"/>
    <tableColumn id="13" name="2052" dataDxfId="1509" totalsRowDxfId="1508" dataCellStyle="Comma"/>
  </tableColumns>
  <tableStyleInfo name="EnergyCalcTables" showFirstColumn="0" showLastColumn="0" showRowStripes="1" showColumnStripes="0"/>
</table>
</file>

<file path=xl/tables/table65.xml><?xml version="1.0" encoding="utf-8"?>
<table xmlns="http://schemas.openxmlformats.org/spreadsheetml/2006/main" id="180" name="X.b.AQ" displayName="X.b.AQ" ref="C193:O197" totalsRowShown="0" headerRowDxfId="1507" dataDxfId="1505" headerRowBorderDxfId="1506" tableBorderDxfId="1504" totalsRowBorderDxfId="1503">
  <autoFilter ref="C193:O197"/>
  <tableColumns count="13">
    <tableColumn id="1" name="Vector" dataDxfId="1502">
      <calculatedColumnFormula>INDEX(AirQualityVectors[Code],MATCH(D194,AirQualityVectors[Description],0))</calculatedColumnFormula>
    </tableColumn>
    <tableColumn id="2" name="Name" dataDxfId="1501"/>
    <tableColumn id="3" name="IPCC Sector" dataDxfId="1500"/>
    <tableColumn id="4" name="2007" dataDxfId="1499"/>
    <tableColumn id="5" name="2012" dataDxfId="1498"/>
    <tableColumn id="6" name="2017" dataDxfId="1497"/>
    <tableColumn id="7" name="2022" dataDxfId="1496"/>
    <tableColumn id="8" name="2027" dataDxfId="1495"/>
    <tableColumn id="9" name="2032" dataDxfId="1494"/>
    <tableColumn id="10" name="2037" dataDxfId="1493"/>
    <tableColumn id="11" name="2042" dataDxfId="1492"/>
    <tableColumn id="12" name="2047" dataDxfId="1491"/>
    <tableColumn id="13" name="2052" dataDxfId="1490"/>
  </tableColumns>
  <tableStyleInfo name="TableStyleMedium9" showFirstColumn="0" showLastColumn="0" showRowStripes="1" showColumnStripes="0"/>
</table>
</file>

<file path=xl/tables/table66.xml><?xml version="1.0" encoding="utf-8"?>
<table xmlns="http://schemas.openxmlformats.org/spreadsheetml/2006/main" id="14" name="XII.a.Outputs" displayName="XII.a.Outputs" ref="C462:O469" totalsRowCount="1" headerRowDxfId="1488" dataDxfId="1487">
  <autoFilter ref="C462:O468"/>
  <tableColumns count="13">
    <tableColumn id="1" name="Vector" totalsRowLabel="Total" dataDxfId="1486" totalsRowDxfId="1485"/>
    <tableColumn id="2" name="Name" dataDxfId="1484" totalsRowDxfId="1483">
      <calculatedColumnFormula>INDEX([4]!Vectors[Description], MATCH([Vector], [4]!Vectors[Code], 0))</calculatedColumnFormula>
    </tableColumn>
    <tableColumn id="3" name="Notes" dataDxfId="1482" totalsRowDxfId="1481"/>
    <tableColumn id="4" name="2007" totalsRowFunction="sum" dataDxfId="1480" totalsRowDxfId="1479" dataCellStyle="Comma"/>
    <tableColumn id="5" name="2012" totalsRowFunction="sum" dataDxfId="1478" totalsRowDxfId="1477" dataCellStyle="Comma"/>
    <tableColumn id="6" name="2017" totalsRowFunction="sum" dataDxfId="1476" totalsRowDxfId="1475" dataCellStyle="Comma"/>
    <tableColumn id="7" name="2022" totalsRowFunction="sum" dataDxfId="1474" totalsRowDxfId="1473" dataCellStyle="Comma"/>
    <tableColumn id="8" name="2027" totalsRowFunction="sum" dataDxfId="1472" totalsRowDxfId="1471" dataCellStyle="Comma"/>
    <tableColumn id="9" name="2032" totalsRowFunction="sum" dataDxfId="1470" totalsRowDxfId="1469" dataCellStyle="Comma"/>
    <tableColumn id="10" name="2037" totalsRowFunction="sum" dataDxfId="1468" totalsRowDxfId="1467" dataCellStyle="Comma"/>
    <tableColumn id="11" name="2042" totalsRowFunction="sum" dataDxfId="1466" totalsRowDxfId="1465" dataCellStyle="Comma"/>
    <tableColumn id="12" name="2047" totalsRowFunction="sum" dataDxfId="1464" totalsRowDxfId="1463" dataCellStyle="Comma"/>
    <tableColumn id="13" name="2052" totalsRowFunction="sum" dataDxfId="1462" totalsRowDxfId="1461" dataCellStyle="Comma"/>
  </tableColumns>
  <tableStyleInfo name="EnergyCalcTables" showFirstColumn="0" showLastColumn="0" showRowStripes="1" showColumnStripes="0"/>
</table>
</file>

<file path=xl/tables/table67.xml><?xml version="1.0" encoding="utf-8"?>
<table xmlns="http://schemas.openxmlformats.org/spreadsheetml/2006/main" id="17" name="XII.a.emissions" displayName="XII.a.emissions" ref="C502:O506" totalsRowCount="1" headerRowDxfId="1460" dataDxfId="1458" headerRowBorderDxfId="1459" tableBorderDxfId="1457" dataCellStyle="Comma">
  <autoFilter ref="C502:O505"/>
  <tableColumns count="13">
    <tableColumn id="1" name="GHG" totalsRowLabel="Total" dataDxfId="1456" totalsRowDxfId="1455"/>
    <tableColumn id="2" name="IPCC Sector" dataDxfId="1454" totalsRowDxfId="1453"/>
    <tableColumn id="3" name="Notes" dataDxfId="1452" totalsRowDxfId="1451">
      <calculatedColumnFormula>INDEX([4]!IPCC[Sector_description], MATCH([IPCC Sector], [4]!IPCC[Sector_code], 0))</calculatedColumnFormula>
    </tableColumn>
    <tableColumn id="4" name="2007" totalsRowFunction="sum" dataDxfId="1450" totalsRowDxfId="1449" dataCellStyle="Comma">
      <calculatedColumnFormula>F452</calculatedColumnFormula>
    </tableColumn>
    <tableColumn id="5" name="2012" totalsRowFunction="sum" dataDxfId="1448" totalsRowDxfId="1447" dataCellStyle="Comma">
      <calculatedColumnFormula>G452</calculatedColumnFormula>
    </tableColumn>
    <tableColumn id="6" name="2017" totalsRowFunction="sum" dataDxfId="1446" totalsRowDxfId="1445" dataCellStyle="Comma">
      <calculatedColumnFormula>H452</calculatedColumnFormula>
    </tableColumn>
    <tableColumn id="7" name="2022" totalsRowFunction="sum" dataDxfId="1444" totalsRowDxfId="1443" dataCellStyle="Comma">
      <calculatedColumnFormula>I452</calculatedColumnFormula>
    </tableColumn>
    <tableColumn id="8" name="2027" totalsRowFunction="sum" dataDxfId="1442" totalsRowDxfId="1441" dataCellStyle="Comma">
      <calculatedColumnFormula>J452</calculatedColumnFormula>
    </tableColumn>
    <tableColumn id="9" name="2032" totalsRowFunction="sum" dataDxfId="1440" totalsRowDxfId="1439" dataCellStyle="Comma">
      <calculatedColumnFormula>K452</calculatedColumnFormula>
    </tableColumn>
    <tableColumn id="10" name="2037" totalsRowFunction="sum" dataDxfId="1438" totalsRowDxfId="1437" dataCellStyle="Comma">
      <calculatedColumnFormula>L452</calculatedColumnFormula>
    </tableColumn>
    <tableColumn id="11" name="2042" totalsRowFunction="sum" dataDxfId="1436" totalsRowDxfId="1435" dataCellStyle="Comma">
      <calculatedColumnFormula>M452</calculatedColumnFormula>
    </tableColumn>
    <tableColumn id="12" name="2047" totalsRowFunction="sum" dataDxfId="1434" totalsRowDxfId="1433" dataCellStyle="Comma">
      <calculatedColumnFormula>N452</calculatedColumnFormula>
    </tableColumn>
    <tableColumn id="13" name="2052" totalsRowFunction="sum" dataDxfId="1432" totalsRowDxfId="1431" dataCellStyle="Comma">
      <calculatedColumnFormula>O452</calculatedColumnFormula>
    </tableColumn>
  </tableColumns>
  <tableStyleInfo name="EnergyCalcTables" showFirstColumn="0" showLastColumn="0" showRowStripes="1" showColumnStripes="0"/>
</table>
</file>

<file path=xl/tables/table68.xml><?xml version="1.0" encoding="utf-8"?>
<table xmlns="http://schemas.openxmlformats.org/spreadsheetml/2006/main" id="18" name="XII.a.outputs.road" displayName="XII.a.outputs.road" ref="C473:O479" totalsRowCount="1" headerRowDxfId="1430" dataDxfId="1429">
  <autoFilter ref="C473:O478"/>
  <tableColumns count="13">
    <tableColumn id="1" name="Vector" totalsRowLabel="Total" dataDxfId="1428" totalsRowDxfId="1427"/>
    <tableColumn id="2" name="Name" dataDxfId="1426" totalsRowDxfId="1425">
      <calculatedColumnFormula>INDEX([4]!Vectors[Description], MATCH([Vector], [4]!Vectors[Code], 0))</calculatedColumnFormula>
    </tableColumn>
    <tableColumn id="3" name="Notes" dataDxfId="1424" totalsRowDxfId="1423"/>
    <tableColumn id="4" name="2007" totalsRowFunction="sum" dataDxfId="1422" totalsRowDxfId="1421" dataCellStyle="Comma"/>
    <tableColumn id="5" name="2012" totalsRowFunction="sum" dataDxfId="1420" totalsRowDxfId="1419" dataCellStyle="Comma"/>
    <tableColumn id="6" name="2017" totalsRowFunction="sum" dataDxfId="1418" totalsRowDxfId="1417" dataCellStyle="Comma"/>
    <tableColumn id="7" name="2022" totalsRowFunction="sum" dataDxfId="1416" totalsRowDxfId="1415" dataCellStyle="Comma"/>
    <tableColumn id="8" name="2027" totalsRowFunction="sum" dataDxfId="1414" totalsRowDxfId="1413" dataCellStyle="Comma"/>
    <tableColumn id="9" name="2032" totalsRowFunction="sum" dataDxfId="1412" totalsRowDxfId="1411" dataCellStyle="Comma"/>
    <tableColumn id="10" name="2037" totalsRowFunction="sum" dataDxfId="1410" totalsRowDxfId="1409" dataCellStyle="Comma"/>
    <tableColumn id="11" name="2042" totalsRowFunction="sum" dataDxfId="1408" totalsRowDxfId="1407" dataCellStyle="Comma"/>
    <tableColumn id="12" name="2047" totalsRowFunction="sum" dataDxfId="1406" totalsRowDxfId="1405" dataCellStyle="Comma"/>
    <tableColumn id="13" name="2052" totalsRowFunction="sum" dataDxfId="1404" totalsRowDxfId="1403" dataCellStyle="Comma"/>
  </tableColumns>
  <tableStyleInfo name="EnergyCalcTables" showFirstColumn="0" showLastColumn="0" showRowStripes="1" showColumnStripes="0"/>
</table>
</file>

<file path=xl/tables/table69.xml><?xml version="1.0" encoding="utf-8"?>
<table xmlns="http://schemas.openxmlformats.org/spreadsheetml/2006/main" id="23" name="XII.a.outputs.rail" displayName="XII.a.outputs.rail" ref="C483:O487" totalsRowCount="1" headerRowDxfId="1402" dataDxfId="1401">
  <autoFilter ref="C483:O486"/>
  <tableColumns count="13">
    <tableColumn id="1" name="Vector" totalsRowLabel="Total" dataDxfId="1400" totalsRowDxfId="1399"/>
    <tableColumn id="2" name="Name" dataDxfId="1398" totalsRowDxfId="1397">
      <calculatedColumnFormula>INDEX([4]!Vectors[Description], MATCH([Vector], [4]!Vectors[Code], 0))</calculatedColumnFormula>
    </tableColumn>
    <tableColumn id="3" name="Notes" dataDxfId="1396" totalsRowDxfId="1395"/>
    <tableColumn id="4" name="2007" totalsRowFunction="sum" dataDxfId="1394" totalsRowDxfId="1393" dataCellStyle="Comma"/>
    <tableColumn id="5" name="2012" totalsRowFunction="sum" dataDxfId="1392" totalsRowDxfId="1391" dataCellStyle="Comma"/>
    <tableColumn id="6" name="2017" totalsRowFunction="sum" dataDxfId="1390" totalsRowDxfId="1389" dataCellStyle="Comma"/>
    <tableColumn id="7" name="2022" totalsRowFunction="sum" dataDxfId="1388" totalsRowDxfId="1387" dataCellStyle="Comma"/>
    <tableColumn id="8" name="2027" totalsRowFunction="sum" dataDxfId="1386" totalsRowDxfId="1385" dataCellStyle="Comma"/>
    <tableColumn id="9" name="2032" totalsRowFunction="sum" dataDxfId="1384" totalsRowDxfId="1383" dataCellStyle="Comma"/>
    <tableColumn id="10" name="2037" totalsRowFunction="sum" dataDxfId="1382" totalsRowDxfId="1381" dataCellStyle="Comma"/>
    <tableColumn id="11" name="2042" totalsRowFunction="sum" dataDxfId="1380" totalsRowDxfId="1379" dataCellStyle="Comma"/>
    <tableColumn id="12" name="2047" totalsRowFunction="sum" dataDxfId="1378" totalsRowDxfId="1377" dataCellStyle="Comma"/>
    <tableColumn id="13" name="2052" totalsRowFunction="sum" dataDxfId="1376" totalsRowDxfId="1375" dataCellStyle="Comma"/>
  </tableColumns>
  <tableStyleInfo name="EnergyCalcTables" showFirstColumn="0" showLastColumn="0" showRowStripes="1" showColumnStripes="0"/>
</table>
</file>

<file path=xl/tables/table70.xml><?xml version="1.0" encoding="utf-8"?>
<table xmlns="http://schemas.openxmlformats.org/spreadsheetml/2006/main" id="36" name="XII.a.outputs.aviation" displayName="XII.a.outputs.aviation" ref="C491:O494" totalsRowCount="1" headerRowDxfId="1374" dataDxfId="1373">
  <autoFilter ref="C491:O493"/>
  <tableColumns count="13">
    <tableColumn id="1" name="Vector" totalsRowLabel="Total" dataDxfId="1372" totalsRowDxfId="1371"/>
    <tableColumn id="2" name="Name" dataDxfId="1370" totalsRowDxfId="1369">
      <calculatedColumnFormula>INDEX([4]!Vectors[Description], MATCH([Vector], [4]!Vectors[Code], 0))</calculatedColumnFormula>
    </tableColumn>
    <tableColumn id="3" name="Notes" dataDxfId="1368" totalsRowDxfId="1367"/>
    <tableColumn id="4" name="2007" totalsRowFunction="sum" dataDxfId="1366" totalsRowDxfId="1365" dataCellStyle="Comma"/>
    <tableColumn id="5" name="2012" totalsRowFunction="sum" dataDxfId="1364" totalsRowDxfId="1363" dataCellStyle="Comma"/>
    <tableColumn id="6" name="2017" totalsRowFunction="sum" dataDxfId="1362" totalsRowDxfId="1361" dataCellStyle="Comma"/>
    <tableColumn id="7" name="2022" totalsRowFunction="sum" dataDxfId="1360" totalsRowDxfId="1359" dataCellStyle="Comma"/>
    <tableColumn id="8" name="2027" totalsRowFunction="sum" dataDxfId="1358" totalsRowDxfId="1357" dataCellStyle="Comma"/>
    <tableColumn id="9" name="2032" totalsRowFunction="sum" dataDxfId="1356" totalsRowDxfId="1355" dataCellStyle="Comma"/>
    <tableColumn id="10" name="2037" totalsRowFunction="sum" dataDxfId="1354" totalsRowDxfId="1353" dataCellStyle="Comma"/>
    <tableColumn id="11" name="2042" totalsRowFunction="sum" dataDxfId="1352" totalsRowDxfId="1351" dataCellStyle="Comma"/>
    <tableColumn id="12" name="2047" totalsRowFunction="sum" dataDxfId="1350" totalsRowDxfId="1349" dataCellStyle="Comma"/>
    <tableColumn id="13" name="2052" totalsRowFunction="sum" dataDxfId="1348" totalsRowDxfId="1347" dataCellStyle="Comma"/>
  </tableColumns>
  <tableStyleInfo name="EnergyCalcTables" showFirstColumn="0" showLastColumn="0" showRowStripes="1" showColumnStripes="0"/>
</table>
</file>

<file path=xl/tables/table71.xml><?xml version="1.0" encoding="utf-8"?>
<table xmlns="http://schemas.openxmlformats.org/spreadsheetml/2006/main" id="37" name="XII.a.emissions.road" displayName="XII.a.emissions.road" ref="C510:O514" totalsRowShown="0" headerRowDxfId="1346" tableBorderDxfId="1345">
  <autoFilter ref="C510:O514"/>
  <tableColumns count="13">
    <tableColumn id="1" name="GHG" dataDxfId="1344"/>
    <tableColumn id="2" name="IPCC Sector" dataDxfId="1343"/>
    <tableColumn id="3" name="Notes" dataDxfId="1342">
      <calculatedColumnFormula>INDEX([11]!IPCC[Sector_description], MATCH([IPCC Sector], [11]!IPCC[Sector_code], 0))</calculatedColumnFormula>
    </tableColumn>
    <tableColumn id="4" name="2007"/>
    <tableColumn id="5" name="2012"/>
    <tableColumn id="6" name="2017"/>
    <tableColumn id="7" name="2022"/>
    <tableColumn id="8" name="2027"/>
    <tableColumn id="9" name="2032"/>
    <tableColumn id="10" name="2037"/>
    <tableColumn id="11" name="2042"/>
    <tableColumn id="12" name="2047"/>
    <tableColumn id="13" name="2052"/>
  </tableColumns>
  <tableStyleInfo name="TableStyleMedium2" showFirstColumn="0" showLastColumn="0" showRowStripes="1" showColumnStripes="0"/>
</table>
</file>

<file path=xl/tables/table72.xml><?xml version="1.0" encoding="utf-8"?>
<table xmlns="http://schemas.openxmlformats.org/spreadsheetml/2006/main" id="38" name="XII.a.emissions.rail" displayName="XII.a.emissions.rail" ref="C518:O522" totalsRowShown="0" headerRowDxfId="1341" dataDxfId="1340" tableBorderDxfId="1339" dataCellStyle="Comma">
  <autoFilter ref="C518:O522"/>
  <tableColumns count="13">
    <tableColumn id="1" name="GHG" dataDxfId="1338"/>
    <tableColumn id="2" name="IPCC Sector" dataDxfId="1337"/>
    <tableColumn id="3" name="Notes" dataDxfId="1336">
      <calculatedColumnFormula>INDEX([11]!IPCC[Sector_description], MATCH([IPCC Sector], [11]!IPCC[Sector_code], 0))</calculatedColumnFormula>
    </tableColumn>
    <tableColumn id="4" name="2007" dataDxfId="1335" dataCellStyle="Comma"/>
    <tableColumn id="5" name="2012" dataDxfId="1334" dataCellStyle="Comma"/>
    <tableColumn id="6" name="2017" dataDxfId="1333" dataCellStyle="Comma"/>
    <tableColumn id="7" name="2022" dataDxfId="1332" dataCellStyle="Comma"/>
    <tableColumn id="8" name="2027" dataDxfId="1331" dataCellStyle="Comma"/>
    <tableColumn id="9" name="2032" dataDxfId="1330" dataCellStyle="Comma"/>
    <tableColumn id="10" name="2037" dataDxfId="1329" dataCellStyle="Comma"/>
    <tableColumn id="11" name="2042" dataDxfId="1328" dataCellStyle="Comma"/>
    <tableColumn id="12" name="2047" dataDxfId="1327" dataCellStyle="Comma"/>
    <tableColumn id="13" name="2052" dataDxfId="1326" dataCellStyle="Comma"/>
  </tableColumns>
  <tableStyleInfo name="TableStyleMedium2" showFirstColumn="0" showLastColumn="0" showRowStripes="1" showColumnStripes="0"/>
</table>
</file>

<file path=xl/tables/table73.xml><?xml version="1.0" encoding="utf-8"?>
<table xmlns="http://schemas.openxmlformats.org/spreadsheetml/2006/main" id="39" name="XII.a.emissions.aviation" displayName="XII.a.emissions.aviation" ref="C526:O530" totalsRowShown="0" headerRowDxfId="1325" dataDxfId="1324" tableBorderDxfId="1323" dataCellStyle="Comma">
  <autoFilter ref="C526:O530"/>
  <tableColumns count="13">
    <tableColumn id="1" name="GHG" dataDxfId="1322"/>
    <tableColumn id="2" name="IPCC Sector" dataDxfId="1321"/>
    <tableColumn id="3" name="Notes" dataDxfId="1320">
      <calculatedColumnFormula>INDEX([11]!IPCC[Sector_description], MATCH([IPCC Sector], [11]!IPCC[Sector_code], 0))</calculatedColumnFormula>
    </tableColumn>
    <tableColumn id="4" name="2007" dataDxfId="1319" dataCellStyle="Comma"/>
    <tableColumn id="5" name="2012" dataDxfId="1318" dataCellStyle="Comma"/>
    <tableColumn id="6" name="2017" dataDxfId="1317" dataCellStyle="Comma"/>
    <tableColumn id="7" name="2022" dataDxfId="1316" dataCellStyle="Comma"/>
    <tableColumn id="8" name="2027" dataDxfId="1315" dataCellStyle="Comma"/>
    <tableColumn id="9" name="2032" dataDxfId="1314" dataCellStyle="Comma"/>
    <tableColumn id="10" name="2037" dataDxfId="1313" dataCellStyle="Comma"/>
    <tableColumn id="11" name="2042" dataDxfId="1312" dataCellStyle="Comma"/>
    <tableColumn id="12" name="2047" dataDxfId="1311" dataCellStyle="Comma"/>
    <tableColumn id="13" name="2052" dataDxfId="1310" dataCellStyle="Comma"/>
  </tableColumns>
  <tableStyleInfo name="TableStyleMedium2" showFirstColumn="0" showLastColumn="0" showRowStripes="1" showColumnStripes="0"/>
</table>
</file>

<file path=xl/tables/table74.xml><?xml version="1.0" encoding="utf-8"?>
<table xmlns="http://schemas.openxmlformats.org/spreadsheetml/2006/main" id="40" name="XII.a.Car.EV.Info144" displayName="XII.a.Car.EV.Info144" ref="C538:O539" totalsRowShown="0" headerRowDxfId="1309" dataDxfId="1307" totalsRowDxfId="1305" headerRowBorderDxfId="1308" tableBorderDxfId="1306" dataCellStyle="Comma">
  <autoFilter ref="C538:O539"/>
  <tableColumns count="13">
    <tableColumn id="1" name="Vector" dataDxfId="1304" totalsRowDxfId="1303"/>
    <tableColumn id="2" name="Information type" dataDxfId="1302" totalsRowDxfId="1301"/>
    <tableColumn id="3" name="Notes" dataDxfId="1300" totalsRowDxfId="1299">
      <calculatedColumnFormula>Preferences.PowerUnits</calculatedColumnFormula>
    </tableColumn>
    <tableColumn id="4" name="2007" dataDxfId="1298" totalsRowDxfId="1297" dataCellStyle="Comma">
      <calculatedColumnFormula>F413*Conversion.to.average.power</calculatedColumnFormula>
    </tableColumn>
    <tableColumn id="5" name="2012" dataDxfId="1296" totalsRowDxfId="1295" dataCellStyle="Comma">
      <calculatedColumnFormula>G413*Conversion.to.average.power</calculatedColumnFormula>
    </tableColumn>
    <tableColumn id="6" name="2017" dataDxfId="1294" totalsRowDxfId="1293" dataCellStyle="Comma">
      <calculatedColumnFormula>H413*Conversion.to.average.power</calculatedColumnFormula>
    </tableColumn>
    <tableColumn id="7" name="2022" dataDxfId="1292" totalsRowDxfId="1291" dataCellStyle="Comma">
      <calculatedColumnFormula>I413*Conversion.to.average.power</calculatedColumnFormula>
    </tableColumn>
    <tableColumn id="8" name="2027" dataDxfId="1290" totalsRowDxfId="1289" dataCellStyle="Comma">
      <calculatedColumnFormula>J413*Conversion.to.average.power</calculatedColumnFormula>
    </tableColumn>
    <tableColumn id="9" name="2032" dataDxfId="1288" totalsRowDxfId="1287" dataCellStyle="Comma">
      <calculatedColumnFormula>K413*Conversion.to.average.power</calculatedColumnFormula>
    </tableColumn>
    <tableColumn id="10" name="2037" dataDxfId="1286" totalsRowDxfId="1285" dataCellStyle="Comma">
      <calculatedColumnFormula>L413*Conversion.to.average.power</calculatedColumnFormula>
    </tableColumn>
    <tableColumn id="11" name="2042" dataDxfId="1284" totalsRowDxfId="1283" dataCellStyle="Comma">
      <calculatedColumnFormula>M413*Conversion.to.average.power</calculatedColumnFormula>
    </tableColumn>
    <tableColumn id="12" name="2047" dataDxfId="1282" totalsRowDxfId="1281" dataCellStyle="Comma">
      <calculatedColumnFormula>N413*Conversion.to.average.power</calculatedColumnFormula>
    </tableColumn>
    <tableColumn id="13" name="2052" dataDxfId="1280" totalsRowDxfId="1279" dataCellStyle="Comma">
      <calculatedColumnFormula>O413*Conversion.to.average.power</calculatedColumnFormula>
    </tableColumn>
  </tableColumns>
  <tableStyleInfo name="EnergyCalcTables" showFirstColumn="0" showLastColumn="0" showRowStripes="1" showColumnStripes="0"/>
</table>
</file>

<file path=xl/tables/table75.xml><?xml version="1.0" encoding="utf-8"?>
<table xmlns="http://schemas.openxmlformats.org/spreadsheetml/2006/main" id="43" name="XII.b.Outputs" displayName="XII.b.Outputs" ref="C188:O194" totalsRowCount="1" headerRowDxfId="1278" dataDxfId="1277">
  <autoFilter ref="C188:O193"/>
  <tableColumns count="13">
    <tableColumn id="1" name="Vector" totalsRowLabel="Total" dataDxfId="1276" totalsRowDxfId="1275"/>
    <tableColumn id="2" name="Name" dataDxfId="1274" totalsRowDxfId="1273">
      <calculatedColumnFormula>INDEX([4]!Vectors[Description], MATCH([Vector], [4]!Vectors[Code], 0))</calculatedColumnFormula>
    </tableColumn>
    <tableColumn id="3" name="Notes" dataDxfId="1272" totalsRowDxfId="1271"/>
    <tableColumn id="4" name="2007" totalsRowFunction="sum" dataDxfId="1270" totalsRowDxfId="1269" dataCellStyle="Comma"/>
    <tableColumn id="5" name="2012" totalsRowFunction="sum" dataDxfId="1268" totalsRowDxfId="1267" dataCellStyle="Comma"/>
    <tableColumn id="6" name="2017" totalsRowFunction="sum" dataDxfId="1266" totalsRowDxfId="1265" dataCellStyle="Comma"/>
    <tableColumn id="7" name="2022" totalsRowFunction="sum" dataDxfId="1264" totalsRowDxfId="1263" dataCellStyle="Comma"/>
    <tableColumn id="8" name="2027" totalsRowFunction="sum" dataDxfId="1262" totalsRowDxfId="1261" dataCellStyle="Comma"/>
    <tableColumn id="9" name="2032" totalsRowFunction="sum" dataDxfId="1260" totalsRowDxfId="1259" dataCellStyle="Comma"/>
    <tableColumn id="10" name="2037" totalsRowFunction="sum" dataDxfId="1258" totalsRowDxfId="1257" dataCellStyle="Comma"/>
    <tableColumn id="11" name="2042" totalsRowFunction="sum" dataDxfId="1256" totalsRowDxfId="1255" dataCellStyle="Comma"/>
    <tableColumn id="12" name="2047" totalsRowFunction="sum" dataDxfId="1254" totalsRowDxfId="1253" dataCellStyle="Comma"/>
    <tableColumn id="13" name="2052" totalsRowFunction="sum" dataDxfId="1252" totalsRowDxfId="1251" dataCellStyle="Comma"/>
  </tableColumns>
  <tableStyleInfo name="EnergyCalcTables" showFirstColumn="0" showLastColumn="0" showRowStripes="1" showColumnStripes="0"/>
</table>
</file>

<file path=xl/tables/table76.xml><?xml version="1.0" encoding="utf-8"?>
<table xmlns="http://schemas.openxmlformats.org/spreadsheetml/2006/main" id="46" name="XII.b.Emissions" displayName="XII.b.Emissions" ref="C225:O229" totalsRowCount="1" headerRowDxfId="1250" dataDxfId="1248" headerRowBorderDxfId="1249" tableBorderDxfId="1247" dataCellStyle="Comma">
  <autoFilter ref="C225:O228"/>
  <tableColumns count="13">
    <tableColumn id="1" name="GHG" totalsRowLabel="Total" dataDxfId="1246" totalsRowDxfId="1245"/>
    <tableColumn id="2" name="IPCC Sector" dataDxfId="1244" totalsRowDxfId="1243"/>
    <tableColumn id="3" name="Notes" dataDxfId="1242" totalsRowDxfId="1241">
      <calculatedColumnFormula>INDEX([4]!IPCC[Sector_description], MATCH([IPCC Sector], [4]!IPCC[Sector_code], 0))</calculatedColumnFormula>
    </tableColumn>
    <tableColumn id="4" name="2007" totalsRowFunction="sum" dataDxfId="1240" totalsRowDxfId="1239" dataCellStyle="Comma">
      <calculatedColumnFormula>F178</calculatedColumnFormula>
    </tableColumn>
    <tableColumn id="5" name="2012" totalsRowFunction="sum" dataDxfId="1238" totalsRowDxfId="1237" dataCellStyle="Comma">
      <calculatedColumnFormula>G178</calculatedColumnFormula>
    </tableColumn>
    <tableColumn id="6" name="2017" totalsRowFunction="sum" dataDxfId="1236" totalsRowDxfId="1235" dataCellStyle="Comma">
      <calculatedColumnFormula>H178</calculatedColumnFormula>
    </tableColumn>
    <tableColumn id="7" name="2022" totalsRowFunction="sum" dataDxfId="1234" totalsRowDxfId="1233" dataCellStyle="Comma">
      <calculatedColumnFormula>I178</calculatedColumnFormula>
    </tableColumn>
    <tableColumn id="8" name="2027" totalsRowFunction="sum" dataDxfId="1232" totalsRowDxfId="1231" dataCellStyle="Comma">
      <calculatedColumnFormula>J178</calculatedColumnFormula>
    </tableColumn>
    <tableColumn id="9" name="2032" totalsRowFunction="sum" dataDxfId="1230" totalsRowDxfId="1229" dataCellStyle="Comma">
      <calculatedColumnFormula>K178</calculatedColumnFormula>
    </tableColumn>
    <tableColumn id="10" name="2037" totalsRowFunction="sum" dataDxfId="1228" totalsRowDxfId="1227" dataCellStyle="Comma">
      <calculatedColumnFormula>L178</calculatedColumnFormula>
    </tableColumn>
    <tableColumn id="11" name="2042" totalsRowFunction="sum" dataDxfId="1226" totalsRowDxfId="1225" dataCellStyle="Comma">
      <calculatedColumnFormula>M178</calculatedColumnFormula>
    </tableColumn>
    <tableColumn id="12" name="2047" totalsRowFunction="sum" dataDxfId="1224" totalsRowDxfId="1223" dataCellStyle="Comma">
      <calculatedColumnFormula>N178</calculatedColumnFormula>
    </tableColumn>
    <tableColumn id="13" name="2052" totalsRowFunction="sum" dataDxfId="1222" totalsRowDxfId="1221" dataCellStyle="Comma">
      <calculatedColumnFormula>O178</calculatedColumnFormula>
    </tableColumn>
  </tableColumns>
  <tableStyleInfo name="EnergyCalcTables" showFirstColumn="0" showLastColumn="0" showRowStripes="1" showColumnStripes="0"/>
</table>
</file>

<file path=xl/tables/table77.xml><?xml version="1.0" encoding="utf-8"?>
<table xmlns="http://schemas.openxmlformats.org/spreadsheetml/2006/main" id="50" name="II.b.info" displayName="II.b.info" ref="C261:O264" totalsRowShown="0" headerRowDxfId="1220" dataDxfId="1218" totalsRowDxfId="1216" headerRowBorderDxfId="1219" tableBorderDxfId="1217" dataCellStyle="Comma">
  <autoFilter ref="C261:O264"/>
  <tableColumns count="13">
    <tableColumn id="1" name="Vector" dataDxfId="1215" totalsRowDxfId="1214"/>
    <tableColumn id="2" name="Information type" dataDxfId="1213" totalsRowDxfId="1212"/>
    <tableColumn id="3" name="Notes" dataDxfId="1211" totalsRowDxfId="1210"/>
    <tableColumn id="4" name="2007" dataDxfId="1209" totalsRowDxfId="1208" dataCellStyle="Comma"/>
    <tableColumn id="5" name="2012" dataDxfId="1207" totalsRowDxfId="1206" dataCellStyle="Comma"/>
    <tableColumn id="6" name="2017" dataDxfId="1205" totalsRowDxfId="1204" dataCellStyle="Comma"/>
    <tableColumn id="7" name="2022" dataDxfId="1203" totalsRowDxfId="1202" dataCellStyle="Comma"/>
    <tableColumn id="8" name="2027" dataDxfId="1201" totalsRowDxfId="1200" dataCellStyle="Comma"/>
    <tableColumn id="9" name="2032" dataDxfId="1199" totalsRowDxfId="1198" dataCellStyle="Comma"/>
    <tableColumn id="10" name="2037" dataDxfId="1197" totalsRowDxfId="1196" dataCellStyle="Comma"/>
    <tableColumn id="11" name="2042" dataDxfId="1195" totalsRowDxfId="1194" dataCellStyle="Comma"/>
    <tableColumn id="12" name="2047" dataDxfId="1193" totalsRowDxfId="1192" dataCellStyle="Comma"/>
    <tableColumn id="13" name="2052" dataDxfId="1191" totalsRowDxfId="1190" dataCellStyle="Comma"/>
  </tableColumns>
  <tableStyleInfo name="EnergyCalcTables" showFirstColumn="0" showLastColumn="0" showRowStripes="1" showColumnStripes="0"/>
</table>
</file>

<file path=xl/tables/table78.xml><?xml version="1.0" encoding="utf-8"?>
<table xmlns="http://schemas.openxmlformats.org/spreadsheetml/2006/main" id="51" name="XII.b.outputs.road" displayName="XII.b.outputs.road" ref="C198:P202" totalsRowCount="1" headerRowDxfId="1189" dataDxfId="1188">
  <autoFilter ref="C198:P201"/>
  <tableColumns count="14">
    <tableColumn id="1" name="Vector" totalsRowLabel="Total" dataDxfId="1187" totalsRowDxfId="1186"/>
    <tableColumn id="2" name="Name" dataDxfId="1185" totalsRowDxfId="1184">
      <calculatedColumnFormula>INDEX([4]!Vectors[Description], MATCH([Vector], [4]!Vectors[Code], 0))</calculatedColumnFormula>
    </tableColumn>
    <tableColumn id="3" name="Notes" dataDxfId="1183" totalsRowDxfId="1182"/>
    <tableColumn id="4" name="2007" totalsRowFunction="sum" dataDxfId="1181" totalsRowDxfId="1180" dataCellStyle="Comma"/>
    <tableColumn id="5" name="2012" totalsRowFunction="sum" dataDxfId="1179" totalsRowDxfId="1178" dataCellStyle="Comma"/>
    <tableColumn id="6" name="2017" totalsRowFunction="sum" dataDxfId="1177" totalsRowDxfId="1176" dataCellStyle="Comma"/>
    <tableColumn id="7" name="2022" totalsRowFunction="sum" dataDxfId="1175" totalsRowDxfId="1174" dataCellStyle="Comma"/>
    <tableColumn id="8" name="2027" totalsRowFunction="sum" dataDxfId="1173" totalsRowDxfId="1172" dataCellStyle="Comma"/>
    <tableColumn id="9" name="2032" totalsRowFunction="sum" dataDxfId="1171" totalsRowDxfId="1170" dataCellStyle="Comma"/>
    <tableColumn id="10" name="2037" totalsRowFunction="sum" dataDxfId="1169" totalsRowDxfId="1168" dataCellStyle="Comma"/>
    <tableColumn id="11" name="2042" totalsRowFunction="sum" dataDxfId="1167" totalsRowDxfId="1166" dataCellStyle="Comma"/>
    <tableColumn id="12" name="2047" totalsRowFunction="sum" dataDxfId="1165" totalsRowDxfId="1164" dataCellStyle="Comma"/>
    <tableColumn id="13" name="2052" totalsRowFunction="sum" dataDxfId="1163" totalsRowDxfId="1162" dataCellStyle="Comma"/>
    <tableColumn id="14" name="2051" dataDxfId="1161" totalsRowDxfId="1160" dataCellStyle="Comma"/>
  </tableColumns>
  <tableStyleInfo name="EnergyCalcTables" showFirstColumn="0" showLastColumn="0" showRowStripes="1" showColumnStripes="0"/>
</table>
</file>

<file path=xl/tables/table79.xml><?xml version="1.0" encoding="utf-8"?>
<table xmlns="http://schemas.openxmlformats.org/spreadsheetml/2006/main" id="56" name="XII.b.outputs.rail" displayName="XII.b.outputs.rail" ref="C206:O210" totalsRowCount="1" headerRowDxfId="1159" dataDxfId="1158">
  <autoFilter ref="C206:O209"/>
  <tableColumns count="13">
    <tableColumn id="1" name="Vector" totalsRowLabel="Total" dataDxfId="1157" totalsRowDxfId="1156"/>
    <tableColumn id="2" name="Name" dataDxfId="1155" totalsRowDxfId="1154">
      <calculatedColumnFormula>INDEX([4]!Vectors[Description], MATCH([Vector], [4]!Vectors[Code], 0))</calculatedColumnFormula>
    </tableColumn>
    <tableColumn id="3" name="Notes" dataDxfId="1153" totalsRowDxfId="1152"/>
    <tableColumn id="4" name="2007" totalsRowFunction="sum" dataDxfId="1151" totalsRowDxfId="1150" dataCellStyle="Comma"/>
    <tableColumn id="5" name="2012" totalsRowFunction="sum" dataDxfId="1149" totalsRowDxfId="1148" dataCellStyle="Comma"/>
    <tableColumn id="6" name="2017" totalsRowFunction="sum" dataDxfId="1147" totalsRowDxfId="1146" dataCellStyle="Comma"/>
    <tableColumn id="7" name="2022" totalsRowFunction="sum" dataDxfId="1145" totalsRowDxfId="1144" dataCellStyle="Comma"/>
    <tableColumn id="8" name="2027" totalsRowFunction="sum" dataDxfId="1143" totalsRowDxfId="1142" dataCellStyle="Comma"/>
    <tableColumn id="9" name="2032" totalsRowFunction="sum" dataDxfId="1141" totalsRowDxfId="1140" dataCellStyle="Comma"/>
    <tableColumn id="10" name="2037" totalsRowFunction="sum" dataDxfId="1139" totalsRowDxfId="1138" dataCellStyle="Comma"/>
    <tableColumn id="11" name="2042" totalsRowFunction="sum" dataDxfId="1137" totalsRowDxfId="1136" dataCellStyle="Comma"/>
    <tableColumn id="12" name="2047" totalsRowFunction="sum" dataDxfId="1135" totalsRowDxfId="1134" dataCellStyle="Comma"/>
    <tableColumn id="13" name="2052" totalsRowFunction="sum" dataDxfId="1133" totalsRowDxfId="1132" dataCellStyle="Comma"/>
  </tableColumns>
  <tableStyleInfo name="EnergyCalcTables" showFirstColumn="0" showLastColumn="0" showRowStripes="1" showColumnStripes="0"/>
</table>
</file>

<file path=xl/tables/table80.xml><?xml version="1.0" encoding="utf-8"?>
<table xmlns="http://schemas.openxmlformats.org/spreadsheetml/2006/main" id="57" name="XII.b.Total.AQ" displayName="XII.b.Total.AQ" ref="C280:O285" totalsRowCount="1" headerRowDxfId="1131" dataDxfId="1129" totalsRowDxfId="1127" headerRowBorderDxfId="1130" tableBorderDxfId="1128" dataCellStyle="Comma">
  <autoFilter ref="C280:O284"/>
  <tableColumns count="13">
    <tableColumn id="1" name="Vector" totalsRowLabel="Total" dataDxfId="1126" totalsRowDxfId="1125"/>
    <tableColumn id="2" name="Name" dataDxfId="1124" totalsRowDxfId="1123">
      <calculatedColumnFormula>INDEX([4]!AirQualityVectors[Description],MATCH(C281,[4]!AirQualityVectors[Code],0))</calculatedColumnFormula>
    </tableColumn>
    <tableColumn id="3" name="IPCC" dataDxfId="1122" totalsRowDxfId="1121"/>
    <tableColumn id="4" name="2007" totalsRowFunction="sum" dataDxfId="1120" totalsRowDxfId="1119" dataCellStyle="Comma"/>
    <tableColumn id="5" name="2012" totalsRowFunction="sum" dataDxfId="1118" totalsRowDxfId="1117" dataCellStyle="Comma"/>
    <tableColumn id="6" name="2017" totalsRowFunction="sum" dataDxfId="1116" totalsRowDxfId="1115" dataCellStyle="Comma"/>
    <tableColumn id="7" name="2022" totalsRowFunction="sum" dataDxfId="1114" totalsRowDxfId="1113" dataCellStyle="Comma"/>
    <tableColumn id="8" name="2027" totalsRowFunction="sum" dataDxfId="1112" totalsRowDxfId="1111" dataCellStyle="Comma"/>
    <tableColumn id="9" name="2032" totalsRowFunction="sum" dataDxfId="1110" totalsRowDxfId="1109" dataCellStyle="Comma"/>
    <tableColumn id="10" name="2037" totalsRowFunction="sum" dataDxfId="1108" totalsRowDxfId="1107" dataCellStyle="Comma"/>
    <tableColumn id="11" name="2042" totalsRowFunction="sum" dataDxfId="1106" totalsRowDxfId="1105" dataCellStyle="Comma"/>
    <tableColumn id="12" name="2047" totalsRowFunction="sum" dataDxfId="1104" totalsRowDxfId="1103" dataCellStyle="Comma"/>
    <tableColumn id="13" name="2052" totalsRowFunction="sum" dataDxfId="1102" totalsRowDxfId="1101" dataCellStyle="Comma"/>
  </tableColumns>
  <tableStyleInfo name="EnergyCalcTables" showFirstColumn="0" showLastColumn="0" showRowStripes="1" showColumnStripes="0"/>
</table>
</file>

<file path=xl/tables/table81.xml><?xml version="1.0" encoding="utf-8"?>
<table xmlns="http://schemas.openxmlformats.org/spreadsheetml/2006/main" id="58" name="XII.b.Road.AQ" displayName="XII.b.Road.AQ" ref="C289:O294" totalsRowCount="1" headerRowDxfId="1100" dataDxfId="1098" totalsRowDxfId="1096" headerRowBorderDxfId="1099" tableBorderDxfId="1097" dataCellStyle="Comma">
  <autoFilter ref="C289:O293"/>
  <tableColumns count="13">
    <tableColumn id="1" name="Vector" totalsRowLabel="Total" dataDxfId="1095" totalsRowDxfId="1094"/>
    <tableColumn id="2" name="Name" dataDxfId="1093" totalsRowDxfId="1092">
      <calculatedColumnFormula>INDEX([4]!AirQualityVectors[Description],MATCH(C290,[4]!AirQualityVectors[Code],0))</calculatedColumnFormula>
    </tableColumn>
    <tableColumn id="3" name="IPCC" dataDxfId="1091" totalsRowDxfId="1090"/>
    <tableColumn id="4" name="2007" totalsRowFunction="sum" dataDxfId="1089" totalsRowDxfId="1088" dataCellStyle="Comma"/>
    <tableColumn id="5" name="2012" totalsRowFunction="sum" dataDxfId="1087" totalsRowDxfId="1086" dataCellStyle="Comma"/>
    <tableColumn id="6" name="2017" totalsRowFunction="sum" dataDxfId="1085" totalsRowDxfId="1084" dataCellStyle="Comma"/>
    <tableColumn id="7" name="2022" totalsRowFunction="sum" dataDxfId="1083" totalsRowDxfId="1082" dataCellStyle="Comma"/>
    <tableColumn id="8" name="2027" totalsRowFunction="sum" dataDxfId="1081" totalsRowDxfId="1080" dataCellStyle="Comma"/>
    <tableColumn id="9" name="2032" totalsRowFunction="sum" dataDxfId="1079" totalsRowDxfId="1078" dataCellStyle="Comma"/>
    <tableColumn id="10" name="2037" totalsRowFunction="sum" dataDxfId="1077" totalsRowDxfId="1076" dataCellStyle="Comma"/>
    <tableColumn id="11" name="2042" totalsRowFunction="sum" dataDxfId="1075" totalsRowDxfId="1074" dataCellStyle="Comma"/>
    <tableColumn id="12" name="2047" totalsRowFunction="sum" dataDxfId="1073" totalsRowDxfId="1072" dataCellStyle="Comma"/>
    <tableColumn id="13" name="2052" totalsRowFunction="sum" dataDxfId="1071" totalsRowDxfId="1070" dataCellStyle="Comma"/>
  </tableColumns>
  <tableStyleInfo name="EnergyCalcTables" showFirstColumn="0" showLastColumn="0" showRowStripes="1" showColumnStripes="0"/>
</table>
</file>

<file path=xl/tables/table82.xml><?xml version="1.0" encoding="utf-8"?>
<table xmlns="http://schemas.openxmlformats.org/spreadsheetml/2006/main" id="63" name="XII.b.Rail.AQ" displayName="XII.b.Rail.AQ" ref="C298:O303" totalsRowCount="1" headerRowDxfId="1069" dataDxfId="1067" totalsRowDxfId="1065" headerRowBorderDxfId="1068" tableBorderDxfId="1066" dataCellStyle="Comma">
  <autoFilter ref="C298:O302"/>
  <tableColumns count="13">
    <tableColumn id="1" name="Vector" totalsRowLabel="Total" dataDxfId="1064" totalsRowDxfId="1063"/>
    <tableColumn id="2" name="Name" dataDxfId="1062" totalsRowDxfId="1061">
      <calculatedColumnFormula>INDEX([4]!AirQualityVectors[Description],MATCH(C299,[4]!AirQualityVectors[Code],0))</calculatedColumnFormula>
    </tableColumn>
    <tableColumn id="3" name="IPCC" dataDxfId="1060" totalsRowDxfId="1059"/>
    <tableColumn id="4" name="2007" totalsRowFunction="sum" dataDxfId="1058" totalsRowDxfId="1057" dataCellStyle="Comma"/>
    <tableColumn id="5" name="2012" totalsRowFunction="sum" dataDxfId="1056" totalsRowDxfId="1055" dataCellStyle="Comma"/>
    <tableColumn id="6" name="2017" totalsRowFunction="sum" dataDxfId="1054" totalsRowDxfId="1053" dataCellStyle="Comma"/>
    <tableColumn id="7" name="2022" totalsRowFunction="sum" dataDxfId="1052" totalsRowDxfId="1051" dataCellStyle="Comma"/>
    <tableColumn id="8" name="2027" totalsRowFunction="sum" dataDxfId="1050" totalsRowDxfId="1049" dataCellStyle="Comma"/>
    <tableColumn id="9" name="2032" totalsRowFunction="sum" dataDxfId="1048" totalsRowDxfId="1047" dataCellStyle="Comma"/>
    <tableColumn id="10" name="2037" totalsRowFunction="sum" dataDxfId="1046" totalsRowDxfId="1045" dataCellStyle="Comma"/>
    <tableColumn id="11" name="2042" totalsRowFunction="sum" dataDxfId="1044" totalsRowDxfId="1043" dataCellStyle="Comma"/>
    <tableColumn id="12" name="2047" totalsRowFunction="sum" dataDxfId="1042" totalsRowDxfId="1041" dataCellStyle="Comma"/>
    <tableColumn id="13" name="2052" totalsRowFunction="sum" dataDxfId="1040" totalsRowDxfId="1039" dataCellStyle="Comma"/>
  </tableColumns>
  <tableStyleInfo name="EnergyCalcTables" showFirstColumn="0" showLastColumn="0" showRowStripes="1" showColumnStripes="0"/>
</table>
</file>

<file path=xl/tables/table83.xml><?xml version="1.0" encoding="utf-8"?>
<table xmlns="http://schemas.openxmlformats.org/spreadsheetml/2006/main" id="64" name="XII.b.NationalNavigation.AQ" displayName="XII.b.NationalNavigation.AQ" ref="C307:O312" totalsRowCount="1" headerRowDxfId="1038" dataDxfId="1036" totalsRowDxfId="1034" headerRowBorderDxfId="1037" tableBorderDxfId="1035" dataCellStyle="Comma">
  <autoFilter ref="C307:O311"/>
  <tableColumns count="13">
    <tableColumn id="1" name="Vector" totalsRowLabel="Total" dataDxfId="1033" totalsRowDxfId="1032"/>
    <tableColumn id="2" name="Name" dataDxfId="1031" totalsRowDxfId="1030">
      <calculatedColumnFormula>INDEX([4]!AirQualityVectors[Description],MATCH(C308,[4]!AirQualityVectors[Code],0))</calculatedColumnFormula>
    </tableColumn>
    <tableColumn id="3" name="IPCC" dataDxfId="1029" totalsRowDxfId="1028"/>
    <tableColumn id="4" name="2007" totalsRowFunction="sum" dataDxfId="1027" totalsRowDxfId="1026" dataCellStyle="Comma"/>
    <tableColumn id="5" name="2012" totalsRowFunction="sum" dataDxfId="1025" totalsRowDxfId="1024" dataCellStyle="Comma"/>
    <tableColumn id="6" name="2017" totalsRowFunction="sum" dataDxfId="1023" totalsRowDxfId="1022" dataCellStyle="Comma"/>
    <tableColumn id="7" name="2022" totalsRowFunction="sum" dataDxfId="1021" totalsRowDxfId="1020" dataCellStyle="Comma"/>
    <tableColumn id="8" name="2027" totalsRowFunction="sum" dataDxfId="1019" totalsRowDxfId="1018" dataCellStyle="Comma"/>
    <tableColumn id="9" name="2032" totalsRowFunction="sum" dataDxfId="1017" totalsRowDxfId="1016" dataCellStyle="Comma"/>
    <tableColumn id="10" name="2037" totalsRowFunction="sum" dataDxfId="1015" totalsRowDxfId="1014" dataCellStyle="Comma"/>
    <tableColumn id="11" name="2042" totalsRowFunction="sum" dataDxfId="1013" totalsRowDxfId="1012" dataCellStyle="Comma"/>
    <tableColumn id="12" name="2047" totalsRowFunction="sum" dataDxfId="1011" totalsRowDxfId="1010" dataCellStyle="Comma"/>
    <tableColumn id="13" name="2052" totalsRowFunction="sum" dataDxfId="1009" totalsRowDxfId="1008" dataCellStyle="Comma"/>
  </tableColumns>
  <tableStyleInfo name="EnergyCalcTables" showFirstColumn="0" showLastColumn="0" showRowStripes="1" showColumnStripes="0"/>
</table>
</file>

<file path=xl/tables/table84.xml><?xml version="1.0" encoding="utf-8"?>
<table xmlns="http://schemas.openxmlformats.org/spreadsheetml/2006/main" id="65" name="XII.b.outputs.aviation" displayName="XII.b.outputs.aviation" ref="C214:O217" totalsRowCount="1" headerRowDxfId="1007" dataDxfId="1006">
  <autoFilter ref="C214:O216"/>
  <tableColumns count="13">
    <tableColumn id="1" name="Vector" totalsRowLabel="Total" dataDxfId="1005" totalsRowDxfId="1004"/>
    <tableColumn id="2" name="Name" dataDxfId="1003" totalsRowDxfId="1002">
      <calculatedColumnFormula>INDEX([4]!Vectors[Description], MATCH([Vector], [4]!Vectors[Code], 0))</calculatedColumnFormula>
    </tableColumn>
    <tableColumn id="3" name="Notes" dataDxfId="1001" totalsRowDxfId="1000"/>
    <tableColumn id="4" name="2007" totalsRowFunction="sum" dataDxfId="999" totalsRowDxfId="998" dataCellStyle="Comma"/>
    <tableColumn id="5" name="2012" totalsRowFunction="sum" dataDxfId="997" totalsRowDxfId="996" dataCellStyle="Comma"/>
    <tableColumn id="6" name="2017" totalsRowFunction="sum" dataDxfId="995" totalsRowDxfId="994" dataCellStyle="Comma"/>
    <tableColumn id="7" name="2022" totalsRowFunction="sum" dataDxfId="993" totalsRowDxfId="992" dataCellStyle="Comma"/>
    <tableColumn id="8" name="2027" totalsRowFunction="sum" dataDxfId="991" totalsRowDxfId="990" dataCellStyle="Comma"/>
    <tableColumn id="9" name="2032" totalsRowFunction="sum" dataDxfId="989" totalsRowDxfId="988" dataCellStyle="Comma"/>
    <tableColumn id="10" name="2037" totalsRowFunction="sum" dataDxfId="987" totalsRowDxfId="986" dataCellStyle="Comma"/>
    <tableColumn id="11" name="2042" totalsRowFunction="sum" dataDxfId="985" totalsRowDxfId="984" dataCellStyle="Comma"/>
    <tableColumn id="12" name="2047" totalsRowFunction="sum" dataDxfId="983" totalsRowDxfId="982" dataCellStyle="Comma"/>
    <tableColumn id="13" name="2052" totalsRowFunction="sum" dataDxfId="981" totalsRowDxfId="980" dataCellStyle="Comma"/>
  </tableColumns>
  <tableStyleInfo name="EnergyCalcTables" showFirstColumn="0" showLastColumn="0" showRowStripes="1" showColumnStripes="0"/>
</table>
</file>

<file path=xl/tables/table85.xml><?xml version="1.0" encoding="utf-8"?>
<table xmlns="http://schemas.openxmlformats.org/spreadsheetml/2006/main" id="67" name="XIII.b.emissions.road" displayName="XIII.b.emissions.road" ref="C233:O237" totalsRowShown="0" headerRowDxfId="979" dataDxfId="978" tableBorderDxfId="977" dataCellStyle="Comma">
  <autoFilter ref="C233:O237"/>
  <tableColumns count="13">
    <tableColumn id="1" name="GHG" dataDxfId="976"/>
    <tableColumn id="2" name="IPCC Sector" dataDxfId="975"/>
    <tableColumn id="3" name="Notes" dataDxfId="974"/>
    <tableColumn id="4" name="2007" dataDxfId="973" dataCellStyle="Comma"/>
    <tableColumn id="5" name="2012" dataDxfId="972" dataCellStyle="Comma"/>
    <tableColumn id="6" name="2017" dataDxfId="971" dataCellStyle="Comma"/>
    <tableColumn id="7" name="2022" dataDxfId="970" dataCellStyle="Comma"/>
    <tableColumn id="8" name="2027" dataDxfId="969" dataCellStyle="Comma"/>
    <tableColumn id="9" name="2032" dataDxfId="968" dataCellStyle="Comma"/>
    <tableColumn id="10" name="2037" dataDxfId="967" dataCellStyle="Comma"/>
    <tableColumn id="11" name="2042" dataDxfId="966" dataCellStyle="Comma"/>
    <tableColumn id="12" name="2047" dataDxfId="965" dataCellStyle="Comma"/>
    <tableColumn id="13" name="2052" dataDxfId="964" dataCellStyle="Comma"/>
  </tableColumns>
  <tableStyleInfo name="TableStyleMedium2" showFirstColumn="0" showLastColumn="0" showRowStripes="1" showColumnStripes="0"/>
</table>
</file>

<file path=xl/tables/table86.xml><?xml version="1.0" encoding="utf-8"?>
<table xmlns="http://schemas.openxmlformats.org/spreadsheetml/2006/main" id="68" name="XII.b.emissions.rail" displayName="XII.b.emissions.rail" ref="C241:O245" totalsRowShown="0" headerRowDxfId="963" tableBorderDxfId="962">
  <autoFilter ref="C241:O245"/>
  <tableColumns count="13">
    <tableColumn id="1" name="GHG" dataDxfId="961"/>
    <tableColumn id="2" name="IPCC Sector" dataDxfId="960"/>
    <tableColumn id="3" name="Notes" dataDxfId="959">
      <calculatedColumnFormula>INDEX([12]!IPCC[Sector_description], MATCH([IPCC Sector], [12]!IPCC[Sector_code], 0))</calculatedColumnFormula>
    </tableColumn>
    <tableColumn id="4" name="2007"/>
    <tableColumn id="5" name="2012"/>
    <tableColumn id="6" name="2017"/>
    <tableColumn id="7" name="2022"/>
    <tableColumn id="8" name="2027"/>
    <tableColumn id="9" name="2032"/>
    <tableColumn id="10" name="2037"/>
    <tableColumn id="11" name="2042"/>
    <tableColumn id="12" name="2047"/>
    <tableColumn id="13" name="2052"/>
  </tableColumns>
  <tableStyleInfo name="TableStyleMedium2" showFirstColumn="0" showLastColumn="0" showRowStripes="1" showColumnStripes="0"/>
</table>
</file>

<file path=xl/tables/table87.xml><?xml version="1.0" encoding="utf-8"?>
<table xmlns="http://schemas.openxmlformats.org/spreadsheetml/2006/main" id="69" name="XIII.b.emissions.aviation" displayName="XIII.b.emissions.aviation" ref="C249:O253" totalsRowShown="0" headerRowDxfId="958" tableBorderDxfId="957">
  <autoFilter ref="C249:O253"/>
  <tableColumns count="13">
    <tableColumn id="1" name="GHG" dataDxfId="956"/>
    <tableColumn id="2" name="IPCC Sector" dataDxfId="955"/>
    <tableColumn id="3" name="Notes" dataDxfId="954">
      <calculatedColumnFormula>INDEX([12]!IPCC[Sector_description], MATCH([IPCC Sector], [12]!IPCC[Sector_code], 0))</calculatedColumnFormula>
    </tableColumn>
    <tableColumn id="4" name="2007"/>
    <tableColumn id="5" name="2012"/>
    <tableColumn id="6" name="2017"/>
    <tableColumn id="7" name="2022"/>
    <tableColumn id="8" name="2027"/>
    <tableColumn id="9" name="2032"/>
    <tableColumn id="10" name="2037"/>
    <tableColumn id="11" name="2042"/>
    <tableColumn id="12" name="2047"/>
    <tableColumn id="13" name="2052"/>
  </tableColumns>
  <tableStyleInfo name="TableStyleMedium2" showFirstColumn="0" showLastColumn="0" showRowStripes="1" showColumnStripes="0"/>
</table>
</file>

<file path=xl/tables/table88.xml><?xml version="1.0" encoding="utf-8"?>
<table xmlns="http://schemas.openxmlformats.org/spreadsheetml/2006/main" id="121" name="XIII.a.outputs" displayName="XIII.a.outputs" ref="C528:O534" totalsRowCount="1" headerRowDxfId="953" dataDxfId="952">
  <autoFilter ref="C528:O533"/>
  <tableColumns count="13">
    <tableColumn id="1" name="Vector" totalsRowLabel="Total" dataDxfId="951" totalsRowDxfId="950"/>
    <tableColumn id="2" name="Name" dataDxfId="949" totalsRowDxfId="948">
      <calculatedColumnFormula>INDEX(Vectors[Description], MATCH([Vector], Vectors[Code], 0))</calculatedColumnFormula>
    </tableColumn>
    <tableColumn id="3" name="Notes" dataDxfId="947" totalsRowDxfId="946"/>
    <tableColumn id="4" name="2007" totalsRowFunction="sum" dataDxfId="945" totalsRowDxfId="944" dataCellStyle="Comma">
      <calculatedColumnFormula>F$141+#REF!</calculatedColumnFormula>
    </tableColumn>
    <tableColumn id="5" name="2012" totalsRowFunction="sum" dataDxfId="943" totalsRowDxfId="942" dataCellStyle="Comma"/>
    <tableColumn id="6" name="2017" totalsRowFunction="sum" dataDxfId="941" totalsRowDxfId="940" dataCellStyle="Comma"/>
    <tableColumn id="7" name="2022" totalsRowFunction="sum" dataDxfId="939" totalsRowDxfId="938" dataCellStyle="Comma"/>
    <tableColumn id="8" name="2027" totalsRowFunction="sum" dataDxfId="937" totalsRowDxfId="936" dataCellStyle="Comma"/>
    <tableColumn id="9" name="2032" totalsRowFunction="sum" dataDxfId="935" totalsRowDxfId="934" dataCellStyle="Comma"/>
    <tableColumn id="10" name="2037" totalsRowFunction="sum" dataDxfId="933" totalsRowDxfId="932" dataCellStyle="Comma"/>
    <tableColumn id="11" name="2042" totalsRowFunction="sum" dataDxfId="931" totalsRowDxfId="930" dataCellStyle="Comma"/>
    <tableColumn id="12" name="2047" totalsRowFunction="sum" dataDxfId="929" totalsRowDxfId="928" dataCellStyle="Comma"/>
    <tableColumn id="13" name="2052" totalsRowFunction="sum" dataDxfId="927" totalsRowDxfId="926" dataCellStyle="Comma"/>
  </tableColumns>
  <tableStyleInfo name="EnergyCalcTables" showFirstColumn="0" showLastColumn="0" showRowStripes="1" showColumnStripes="0"/>
</table>
</file>

<file path=xl/tables/table89.xml><?xml version="1.0" encoding="utf-8"?>
<table xmlns="http://schemas.openxmlformats.org/spreadsheetml/2006/main" id="204" name="XIII.a.emissions" displayName="XIII.a.emissions" ref="C546:O550" totalsRowShown="0" headerRowDxfId="925" dataDxfId="924" tableBorderDxfId="923" dataCellStyle="Comma">
  <autoFilter ref="C546:O550"/>
  <tableColumns count="13">
    <tableColumn id="1" name="GHG" dataDxfId="922"/>
    <tableColumn id="2" name="IPCC Sector" dataDxfId="921"/>
    <tableColumn id="3" name="Notes" dataDxfId="920">
      <calculatedColumnFormula>INDEX(IPCC[Sector_description], MATCH([IPCC Sector], IPCC[Sector_code], 0))</calculatedColumnFormula>
    </tableColumn>
    <tableColumn id="4" name="2007" dataDxfId="919" dataCellStyle="Comma"/>
    <tableColumn id="5" name="2012" dataDxfId="918" dataCellStyle="Comma"/>
    <tableColumn id="6" name="2017" dataDxfId="917" dataCellStyle="Comma"/>
    <tableColumn id="7" name="2022" dataDxfId="916" dataCellStyle="Comma"/>
    <tableColumn id="8" name="2027" dataDxfId="915" dataCellStyle="Comma"/>
    <tableColumn id="9" name="2032" dataDxfId="914" dataCellStyle="Comma"/>
    <tableColumn id="10" name="2037" dataDxfId="913" dataCellStyle="Comma"/>
    <tableColumn id="11" name="2042" dataDxfId="912" dataCellStyle="Comma"/>
    <tableColumn id="12" name="2047" dataDxfId="911" dataCellStyle="Comma"/>
    <tableColumn id="13" name="2052" dataDxfId="910" dataCellStyle="Comma"/>
  </tableColumns>
  <tableStyleInfo name="TableStyleMedium2" showFirstColumn="0" showLastColumn="0" showRowStripes="1" showColumnStripes="0"/>
</table>
</file>

<file path=xl/tables/table90.xml><?xml version="1.0" encoding="utf-8"?>
<table xmlns="http://schemas.openxmlformats.org/spreadsheetml/2006/main" id="41" name="XIII.b.outputs" displayName="XIII.b.outputs" ref="C126:O132" totalsRowCount="1" headerRowDxfId="909" dataDxfId="908">
  <autoFilter ref="C126:O131"/>
  <tableColumns count="13">
    <tableColumn id="1" name="Vector" totalsRowLabel="Total" dataDxfId="907" totalsRowDxfId="906"/>
    <tableColumn id="2" name="Name" dataDxfId="905" totalsRowDxfId="904">
      <calculatedColumnFormula>INDEX(Vectors[Description], MATCH([Vector], Vectors[Code], 0))</calculatedColumnFormula>
    </tableColumn>
    <tableColumn id="3" name="Notes" dataDxfId="903" totalsRowDxfId="902"/>
    <tableColumn id="4" name="2007" totalsRowFunction="sum" dataDxfId="901" totalsRowDxfId="900" dataCellStyle="Comma">
      <calculatedColumnFormula>F$117+#REF!</calculatedColumnFormula>
    </tableColumn>
    <tableColumn id="5" name="2012" totalsRowFunction="sum" dataDxfId="899" totalsRowDxfId="898" dataCellStyle="Comma"/>
    <tableColumn id="6" name="2017" totalsRowFunction="sum" dataDxfId="897" totalsRowDxfId="896" dataCellStyle="Comma"/>
    <tableColumn id="7" name="2022" totalsRowFunction="sum" dataDxfId="895" totalsRowDxfId="894" dataCellStyle="Comma"/>
    <tableColumn id="8" name="2027" totalsRowFunction="sum" dataDxfId="893" totalsRowDxfId="892" dataCellStyle="Comma"/>
    <tableColumn id="9" name="2032" totalsRowFunction="sum" dataDxfId="891" totalsRowDxfId="890" dataCellStyle="Comma"/>
    <tableColumn id="10" name="2037" totalsRowFunction="sum" dataDxfId="889" totalsRowDxfId="888" dataCellStyle="Comma"/>
    <tableColumn id="11" name="2042" totalsRowFunction="sum" dataDxfId="887" totalsRowDxfId="886" dataCellStyle="Comma"/>
    <tableColumn id="12" name="2047" totalsRowFunction="sum" dataDxfId="885" totalsRowDxfId="884" dataCellStyle="Comma"/>
    <tableColumn id="13" name="2052" totalsRowFunction="sum" dataDxfId="883" totalsRowDxfId="882" dataCellStyle="Comma"/>
  </tableColumns>
  <tableStyleInfo name="EnergyCalcTables" showFirstColumn="0" showLastColumn="0" showRowStripes="1" showColumnStripes="0"/>
</table>
</file>

<file path=xl/tables/table91.xml><?xml version="1.0" encoding="utf-8"?>
<table xmlns="http://schemas.openxmlformats.org/spreadsheetml/2006/main" id="137" name="XIII.b.emissions" displayName="XIII.b.emissions" ref="C141:O145" totalsRowShown="0" headerRowDxfId="881" dataDxfId="880" tableBorderDxfId="879" dataCellStyle="Comma">
  <autoFilter ref="C141:O145"/>
  <tableColumns count="13">
    <tableColumn id="1" name="GHG" dataDxfId="878"/>
    <tableColumn id="2" name="IPCC Sector" dataDxfId="877"/>
    <tableColumn id="3" name="Notes" dataDxfId="876">
      <calculatedColumnFormula>INDEX(IPCC[Sector_description], MATCH([IPCC Sector], IPCC[Sector_code], 0))</calculatedColumnFormula>
    </tableColumn>
    <tableColumn id="4" name="2007" dataDxfId="875" dataCellStyle="Comma"/>
    <tableColumn id="5" name="2012" dataDxfId="874" dataCellStyle="Comma"/>
    <tableColumn id="6" name="2017" dataDxfId="873" dataCellStyle="Comma"/>
    <tableColumn id="7" name="2022" dataDxfId="872" dataCellStyle="Comma"/>
    <tableColumn id="8" name="2027" dataDxfId="871" dataCellStyle="Comma"/>
    <tableColumn id="9" name="2032" dataDxfId="870" dataCellStyle="Comma"/>
    <tableColumn id="10" name="2037" dataDxfId="869" dataCellStyle="Comma"/>
    <tableColumn id="11" name="2042" dataDxfId="868" dataCellStyle="Comma"/>
    <tableColumn id="12" name="2047" dataDxfId="867" dataCellStyle="Comma"/>
    <tableColumn id="13" name="2052" dataDxfId="866" dataCellStyle="Comma"/>
  </tableColumns>
  <tableStyleInfo name="TableStyleMedium2" showFirstColumn="0" showLastColumn="0" showRowStripes="1" showColumnStripes="0"/>
</table>
</file>

<file path=xl/tables/table92.xml><?xml version="1.0" encoding="utf-8"?>
<table xmlns="http://schemas.openxmlformats.org/spreadsheetml/2006/main" id="85" name="XIV.outputs" displayName="XIV.outputs" ref="C213:O218" totalsRowCount="1" headerRowDxfId="865" dataDxfId="864">
  <autoFilter ref="C213:O217"/>
  <tableColumns count="13">
    <tableColumn id="1" name="Vector" totalsRowLabel="Total" dataDxfId="863" totalsRowDxfId="862"/>
    <tableColumn id="2" name="Name" dataDxfId="861" totalsRowDxfId="860">
      <calculatedColumnFormula>INDEX(Vectors[Description], MATCH([Vector], Vectors[Code], 0))</calculatedColumnFormula>
    </tableColumn>
    <tableColumn id="3" name="Notes" dataDxfId="859" totalsRowDxfId="858"/>
    <tableColumn id="4" name="2007" totalsRowFunction="sum" dataDxfId="857" totalsRowDxfId="856" dataCellStyle="Comma"/>
    <tableColumn id="5" name="2012" totalsRowFunction="sum" dataDxfId="855" totalsRowDxfId="854" dataCellStyle="Comma"/>
    <tableColumn id="6" name="2017" totalsRowFunction="sum" dataDxfId="853" totalsRowDxfId="852" dataCellStyle="Comma"/>
    <tableColumn id="7" name="2022" totalsRowFunction="sum" dataDxfId="851" totalsRowDxfId="850" dataCellStyle="Comma"/>
    <tableColumn id="8" name="2027" totalsRowFunction="sum" dataDxfId="849" totalsRowDxfId="848" dataCellStyle="Comma"/>
    <tableColumn id="9" name="2032" totalsRowFunction="sum" dataDxfId="847" totalsRowDxfId="846" dataCellStyle="Comma"/>
    <tableColumn id="10" name="2037" totalsRowFunction="sum" dataDxfId="845" totalsRowDxfId="844" dataCellStyle="Comma"/>
    <tableColumn id="11" name="2042" totalsRowFunction="sum" dataDxfId="843" totalsRowDxfId="842" dataCellStyle="Comma"/>
    <tableColumn id="12" name="2047" totalsRowFunction="sum" dataDxfId="841" totalsRowDxfId="840" dataCellStyle="Comma"/>
    <tableColumn id="13" name="2052" totalsRowFunction="sum" dataDxfId="839" totalsRowDxfId="838" dataCellStyle="Comma"/>
  </tableColumns>
  <tableStyleInfo name="EnergyCalcTables" showFirstColumn="0" showLastColumn="0" showRowStripes="1" showColumnStripes="0"/>
</table>
</file>

<file path=xl/tables/table93.xml><?xml version="1.0" encoding="utf-8"?>
<table xmlns="http://schemas.openxmlformats.org/spreadsheetml/2006/main" id="87" name="XIV.emissions.tractors" displayName="XIV.emissions.tractors" ref="C227:O231" totalsRowCount="1" headerRowDxfId="837" dataDxfId="835" headerRowBorderDxfId="836" tableBorderDxfId="834" dataCellStyle="Comma">
  <autoFilter ref="C227:O230"/>
  <tableColumns count="13">
    <tableColumn id="1" name="GHG" totalsRowLabel="Total" dataDxfId="833" totalsRowDxfId="832"/>
    <tableColumn id="2" name="IPCC Sector" dataDxfId="831" totalsRowDxfId="830"/>
    <tableColumn id="3" name="Notes" dataDxfId="829" totalsRowDxfId="828">
      <calculatedColumnFormula>INDEX(IPCC[Sector_description], MATCH([IPCC Sector], IPCC[Sector_code], 0))</calculatedColumnFormula>
    </tableColumn>
    <tableColumn id="4" name="2007" totalsRowFunction="sum" dataDxfId="827" totalsRowDxfId="826" dataCellStyle="Comma">
      <calculatedColumnFormula>F165</calculatedColumnFormula>
    </tableColumn>
    <tableColumn id="5" name="2012" totalsRowFunction="sum" dataDxfId="825" totalsRowDxfId="824" dataCellStyle="Comma">
      <calculatedColumnFormula>G165</calculatedColumnFormula>
    </tableColumn>
    <tableColumn id="6" name="2017" totalsRowFunction="sum" dataDxfId="823" totalsRowDxfId="822" dataCellStyle="Comma">
      <calculatedColumnFormula>H165</calculatedColumnFormula>
    </tableColumn>
    <tableColumn id="7" name="2022" totalsRowFunction="sum" dataDxfId="821" totalsRowDxfId="820" dataCellStyle="Comma">
      <calculatedColumnFormula>I165</calculatedColumnFormula>
    </tableColumn>
    <tableColumn id="8" name="2027" totalsRowFunction="sum" dataDxfId="819" totalsRowDxfId="818" dataCellStyle="Comma">
      <calculatedColumnFormula>J165</calculatedColumnFormula>
    </tableColumn>
    <tableColumn id="9" name="2032" totalsRowFunction="sum" dataDxfId="817" totalsRowDxfId="816" dataCellStyle="Comma">
      <calculatedColumnFormula>K165</calculatedColumnFormula>
    </tableColumn>
    <tableColumn id="10" name="2037" totalsRowFunction="sum" dataDxfId="815" totalsRowDxfId="814" dataCellStyle="Comma">
      <calculatedColumnFormula>L165</calculatedColumnFormula>
    </tableColumn>
    <tableColumn id="11" name="2042" totalsRowFunction="sum" dataDxfId="813" totalsRowDxfId="812" dataCellStyle="Comma">
      <calculatedColumnFormula>M165</calculatedColumnFormula>
    </tableColumn>
    <tableColumn id="12" name="2047" totalsRowFunction="sum" dataDxfId="811" totalsRowDxfId="810" dataCellStyle="Comma">
      <calculatedColumnFormula>N165</calculatedColumnFormula>
    </tableColumn>
    <tableColumn id="13" name="2052" totalsRowFunction="sum" dataDxfId="809" totalsRowDxfId="808" dataCellStyle="Comma">
      <calculatedColumnFormula>O165</calculatedColumnFormula>
    </tableColumn>
  </tableColumns>
  <tableStyleInfo name="EnergyCalcTables" showFirstColumn="0" showLastColumn="0" showRowStripes="1" showColumnStripes="0"/>
</table>
</file>

<file path=xl/tables/table94.xml><?xml version="1.0" encoding="utf-8"?>
<table xmlns="http://schemas.openxmlformats.org/spreadsheetml/2006/main" id="147" name="XIV.emissions.pumping" displayName="XIV.emissions.pumping" ref="C235:O239" totalsRowCount="1" headerRowDxfId="807" tableBorderDxfId="806">
  <autoFilter ref="C235:O238"/>
  <tableColumns count="13">
    <tableColumn id="1" name="GHG" totalsRowLabel="Total" dataDxfId="805" totalsRowDxfId="804"/>
    <tableColumn id="2" name="IPCC Sector" dataDxfId="803" totalsRowDxfId="802"/>
    <tableColumn id="3" name="Notes" dataDxfId="801" totalsRowDxfId="800">
      <calculatedColumnFormula>INDEX(IPCC[Sector_description], MATCH([IPCC Sector], IPCC[Sector_code], 0))</calculatedColumnFormula>
    </tableColumn>
    <tableColumn id="4" name="2007" totalsRowFunction="sum" dataDxfId="799" totalsRowDxfId="798" dataCellStyle="Comma"/>
    <tableColumn id="5" name="2012" totalsRowFunction="custom" dataDxfId="797" totalsRowDxfId="796" dataCellStyle="Comma">
      <totalsRowFormula>SUBTOTAL(109,[2007])</totalsRowFormula>
    </tableColumn>
    <tableColumn id="6" name="2017" totalsRowFunction="custom" dataDxfId="795" totalsRowDxfId="794" dataCellStyle="Comma">
      <totalsRowFormula>SUBTOTAL(109,[2007])</totalsRowFormula>
    </tableColumn>
    <tableColumn id="7" name="2022" totalsRowFunction="custom" dataDxfId="793" totalsRowDxfId="792" dataCellStyle="Comma">
      <totalsRowFormula>SUBTOTAL(109,[2007])</totalsRowFormula>
    </tableColumn>
    <tableColumn id="8" name="2027" totalsRowFunction="custom" dataDxfId="791" totalsRowDxfId="790" dataCellStyle="Comma">
      <totalsRowFormula>SUBTOTAL(109,[2007])</totalsRowFormula>
    </tableColumn>
    <tableColumn id="9" name="2032" totalsRowFunction="custom" dataDxfId="789" totalsRowDxfId="788" dataCellStyle="Comma">
      <totalsRowFormula>SUBTOTAL(109,[2007])</totalsRowFormula>
    </tableColumn>
    <tableColumn id="10" name="2037" totalsRowFunction="custom" dataDxfId="787" totalsRowDxfId="786" dataCellStyle="Comma">
      <totalsRowFormula>SUBTOTAL(109,[2007])</totalsRowFormula>
    </tableColumn>
    <tableColumn id="11" name="2042" totalsRowFunction="custom" dataDxfId="785" totalsRowDxfId="784" dataCellStyle="Comma">
      <totalsRowFormula>SUBTOTAL(109,[2007])</totalsRowFormula>
    </tableColumn>
    <tableColumn id="12" name="2047" totalsRowFunction="custom" dataDxfId="783" totalsRowDxfId="782" dataCellStyle="Comma">
      <totalsRowFormula>SUBTOTAL(109,[2007])</totalsRowFormula>
    </tableColumn>
    <tableColumn id="13" name="2052" totalsRowFunction="custom" dataDxfId="781" totalsRowDxfId="780" dataCellStyle="Comma">
      <totalsRowFormula>SUBTOTAL(109,[2007])</totalsRowFormula>
    </tableColumn>
  </tableColumns>
  <tableStyleInfo name="TableStyleMedium2" showFirstColumn="0" showLastColumn="0" showRowStripes="1" showColumnStripes="0"/>
</table>
</file>

<file path=xl/tables/table95.xml><?xml version="1.0" encoding="utf-8"?>
<table xmlns="http://schemas.openxmlformats.org/spreadsheetml/2006/main" id="149" name="XIV.emissions" displayName="XIV.emissions" ref="C244:O248" totalsRowCount="1" headerRowDxfId="779" dataDxfId="778" tableBorderDxfId="777" dataCellStyle="Comma">
  <autoFilter ref="C244:O247"/>
  <tableColumns count="13">
    <tableColumn id="1" name="GHG" totalsRowLabel="Total" dataDxfId="776" totalsRowDxfId="775"/>
    <tableColumn id="2" name="IPCC Sector" dataDxfId="774" totalsRowDxfId="773"/>
    <tableColumn id="3" name="Notes" dataDxfId="772" totalsRowDxfId="771">
      <calculatedColumnFormula>INDEX(IPCC[Sector_description], MATCH([IPCC Sector], IPCC[Sector_code], 0))</calculatedColumnFormula>
    </tableColumn>
    <tableColumn id="4" name="2007" totalsRowFunction="sum" dataDxfId="770" totalsRowDxfId="769" dataCellStyle="Comma"/>
    <tableColumn id="5" name="2012" totalsRowFunction="custom" dataDxfId="768" totalsRowDxfId="767" dataCellStyle="Comma">
      <totalsRowFormula>SUBTOTAL(109,[2007])</totalsRowFormula>
    </tableColumn>
    <tableColumn id="6" name="2017" totalsRowFunction="custom" dataDxfId="766" totalsRowDxfId="765" dataCellStyle="Comma">
      <totalsRowFormula>SUBTOTAL(109,[2007])</totalsRowFormula>
    </tableColumn>
    <tableColumn id="7" name="2022" totalsRowFunction="custom" dataDxfId="764" totalsRowDxfId="763" dataCellStyle="Comma">
      <totalsRowFormula>SUBTOTAL(109,[2007])</totalsRowFormula>
    </tableColumn>
    <tableColumn id="8" name="2027" totalsRowFunction="custom" dataDxfId="762" totalsRowDxfId="761" dataCellStyle="Comma">
      <totalsRowFormula>SUBTOTAL(109,[2007])</totalsRowFormula>
    </tableColumn>
    <tableColumn id="9" name="2032" totalsRowFunction="custom" dataDxfId="760" totalsRowDxfId="759" dataCellStyle="Comma">
      <totalsRowFormula>SUBTOTAL(109,[2007])</totalsRowFormula>
    </tableColumn>
    <tableColumn id="10" name="2037" totalsRowFunction="custom" dataDxfId="758" totalsRowDxfId="757" dataCellStyle="Comma">
      <totalsRowFormula>SUBTOTAL(109,[2007])</totalsRowFormula>
    </tableColumn>
    <tableColumn id="11" name="2042" totalsRowFunction="custom" dataDxfId="756" totalsRowDxfId="755" dataCellStyle="Comma">
      <totalsRowFormula>SUBTOTAL(109,[2007])</totalsRowFormula>
    </tableColumn>
    <tableColumn id="12" name="2047" totalsRowFunction="custom" dataDxfId="754" totalsRowDxfId="753" dataCellStyle="Comma">
      <totalsRowFormula>SUBTOTAL(109,[2007])</totalsRowFormula>
    </tableColumn>
    <tableColumn id="13" name="2052" totalsRowFunction="custom" dataDxfId="752" totalsRowDxfId="751" dataCellStyle="Comma">
      <totalsRowFormula>SUBTOTAL(109,[2007])</totalsRowFormula>
    </tableColumn>
  </tableColumns>
  <tableStyleInfo name="TableStyleMedium2" showFirstColumn="0" showLastColumn="0" showRowStripes="0" showColumnStripes="0"/>
</table>
</file>

<file path=xl/tables/table96.xml><?xml version="1.0" encoding="utf-8"?>
<table xmlns="http://schemas.openxmlformats.org/spreadsheetml/2006/main" id="26" name="XV.a.outputs" displayName="XV.a.outputs" ref="C183:O194" totalsRowCount="1" headerRowDxfId="750" dataDxfId="749">
  <autoFilter ref="C183:O193"/>
  <tableColumns count="13">
    <tableColumn id="1" name="Vector" totalsRowLabel="Total" dataDxfId="748" totalsRowDxfId="747"/>
    <tableColumn id="2" name="Name" dataDxfId="746" totalsRowDxfId="745">
      <calculatedColumnFormula>INDEX(Vectors[Description], MATCH([Vector],Vectors[Code], 0))</calculatedColumnFormula>
    </tableColumn>
    <tableColumn id="3" name="Notes" dataDxfId="744" totalsRowDxfId="743"/>
    <tableColumn id="4" name="2007" totalsRowFunction="sum" dataDxfId="742" totalsRowDxfId="741" dataCellStyle="Comma"/>
    <tableColumn id="5" name="2012" totalsRowFunction="sum" dataDxfId="740" totalsRowDxfId="739" dataCellStyle="Comma"/>
    <tableColumn id="6" name="2017" totalsRowFunction="sum" dataDxfId="738" totalsRowDxfId="737" dataCellStyle="Comma"/>
    <tableColumn id="7" name="2022" totalsRowFunction="sum" dataDxfId="736" totalsRowDxfId="735" dataCellStyle="Comma"/>
    <tableColumn id="8" name="2027" totalsRowFunction="sum" dataDxfId="734" totalsRowDxfId="733" dataCellStyle="Comma"/>
    <tableColumn id="9" name="2032" totalsRowFunction="sum" dataDxfId="732" totalsRowDxfId="731" dataCellStyle="Comma"/>
    <tableColumn id="10" name="2037" totalsRowFunction="sum" dataDxfId="730" totalsRowDxfId="729" dataCellStyle="Comma"/>
    <tableColumn id="11" name="2042" totalsRowFunction="sum" dataDxfId="728" totalsRowDxfId="727" dataCellStyle="Comma"/>
    <tableColumn id="12" name="2047" totalsRowFunction="sum" dataDxfId="726" totalsRowDxfId="725" dataCellStyle="Comma"/>
    <tableColumn id="13" name="2052" totalsRowFunction="sum" dataDxfId="724" totalsRowDxfId="723" dataCellStyle="Comma"/>
  </tableColumns>
  <tableStyleInfo name="EnergyCalcTables" showFirstColumn="0" showLastColumn="0" showRowStripes="1" showColumnStripes="0"/>
</table>
</file>

<file path=xl/tables/table97.xml><?xml version="1.0" encoding="utf-8"?>
<table xmlns="http://schemas.openxmlformats.org/spreadsheetml/2006/main" id="28" name="XV.a.emissions" displayName="XV.a.emissions" ref="C201:O207" totalsRowCount="1" headerRowDxfId="722" dataDxfId="720" headerRowBorderDxfId="721" tableBorderDxfId="719" dataCellStyle="Check Cell">
  <autoFilter ref="C201:O206"/>
  <tableColumns count="13">
    <tableColumn id="1" name="GHG" totalsRowLabel="Total" dataDxfId="718" totalsRowDxfId="717"/>
    <tableColumn id="2" name="IPCC Sector" dataDxfId="716" totalsRowDxfId="715"/>
    <tableColumn id="3" name="Notes" dataDxfId="714" totalsRowDxfId="713">
      <calculatedColumnFormula>INDEX(IPCC[Sector_description], MATCH([IPCC Sector], IPCC[Sector_code], 0))</calculatedColumnFormula>
    </tableColumn>
    <tableColumn id="4" name="2007" totalsRowFunction="sum" dataDxfId="712" totalsRowDxfId="711" dataCellStyle="Comma">
      <calculatedColumnFormula>0</calculatedColumnFormula>
    </tableColumn>
    <tableColumn id="5" name="2012" totalsRowFunction="sum" dataDxfId="710" totalsRowDxfId="709" dataCellStyle="Comma">
      <calculatedColumnFormula>0</calculatedColumnFormula>
    </tableColumn>
    <tableColumn id="6" name="2017" totalsRowFunction="sum" dataDxfId="708" totalsRowDxfId="707" dataCellStyle="Comma">
      <calculatedColumnFormula>0</calculatedColumnFormula>
    </tableColumn>
    <tableColumn id="7" name="2022" totalsRowFunction="sum" dataDxfId="706" totalsRowDxfId="705" dataCellStyle="Comma">
      <calculatedColumnFormula>0</calculatedColumnFormula>
    </tableColumn>
    <tableColumn id="8" name="2027" totalsRowFunction="sum" dataDxfId="704" totalsRowDxfId="703" dataCellStyle="Comma">
      <calculatedColumnFormula>0</calculatedColumnFormula>
    </tableColumn>
    <tableColumn id="9" name="2032" totalsRowFunction="sum" dataDxfId="702" totalsRowDxfId="701" dataCellStyle="Comma">
      <calculatedColumnFormula>0</calculatedColumnFormula>
    </tableColumn>
    <tableColumn id="10" name="2037" totalsRowFunction="sum" dataDxfId="700" totalsRowDxfId="699" dataCellStyle="Comma">
      <calculatedColumnFormula>0</calculatedColumnFormula>
    </tableColumn>
    <tableColumn id="11" name="2042" totalsRowFunction="sum" dataDxfId="698" totalsRowDxfId="697" dataCellStyle="Comma">
      <calculatedColumnFormula>0</calculatedColumnFormula>
    </tableColumn>
    <tableColumn id="12" name="2047" totalsRowFunction="sum" dataDxfId="696" totalsRowDxfId="695" dataCellStyle="Comma">
      <calculatedColumnFormula>0</calculatedColumnFormula>
    </tableColumn>
    <tableColumn id="13" name="2052" totalsRowFunction="sum" dataDxfId="694" totalsRowDxfId="693" dataCellStyle="Comma">
      <calculatedColumnFormula>0</calculatedColumnFormula>
    </tableColumn>
  </tableColumns>
  <tableStyleInfo name="EnergyCalcTables" showFirstColumn="0" showLastColumn="0" showRowStripes="1" showColumnStripes="0"/>
</table>
</file>

<file path=xl/tables/table98.xml><?xml version="1.0" encoding="utf-8"?>
<table xmlns="http://schemas.openxmlformats.org/spreadsheetml/2006/main" id="29" name="I.a.info30" displayName="I.a.info30" ref="C215:O217" totalsRowShown="0" headerRowDxfId="692" dataDxfId="690" totalsRowDxfId="688" headerRowBorderDxfId="691" tableBorderDxfId="689" dataCellStyle="Check Cell">
  <autoFilter ref="C215:O217"/>
  <tableColumns count="13">
    <tableColumn id="1" name="Vector" dataDxfId="687" totalsRowDxfId="686"/>
    <tableColumn id="2" name="Information type" dataDxfId="685" totalsRowDxfId="684">
      <calculatedColumnFormula>INDEX(Vectors[Description], MATCH([Vector], Vectors[Code], 0))</calculatedColumnFormula>
    </tableColumn>
    <tableColumn id="3" name="Notes" dataDxfId="683" totalsRowDxfId="682"/>
    <tableColumn id="4" name="2007" dataDxfId="681" totalsRowDxfId="680" dataCellStyle="Comma"/>
    <tableColumn id="5" name="2012" dataDxfId="679" totalsRowDxfId="678" dataCellStyle="Comma"/>
    <tableColumn id="6" name="2017" dataDxfId="677" totalsRowDxfId="676" dataCellStyle="Comma"/>
    <tableColumn id="7" name="2022" dataDxfId="675" totalsRowDxfId="674" dataCellStyle="Comma"/>
    <tableColumn id="8" name="2027" dataDxfId="673" totalsRowDxfId="672" dataCellStyle="Comma"/>
    <tableColumn id="9" name="2032" dataDxfId="671" totalsRowDxfId="670" dataCellStyle="Comma"/>
    <tableColumn id="10" name="2037" dataDxfId="669" totalsRowDxfId="668" dataCellStyle="Comma"/>
    <tableColumn id="11" name="2042" dataDxfId="667" totalsRowDxfId="666" dataCellStyle="Comma"/>
    <tableColumn id="12" name="2047" dataDxfId="665" totalsRowDxfId="664" dataCellStyle="Comma"/>
    <tableColumn id="13" name="2052" dataDxfId="663" totalsRowDxfId="662" dataCellStyle="Comma"/>
  </tableColumns>
  <tableStyleInfo name="EnergyCalcTables" showFirstColumn="0" showLastColumn="0" showRowStripes="1" showColumnStripes="0"/>
</table>
</file>

<file path=xl/tables/table99.xml><?xml version="1.0" encoding="utf-8"?>
<table xmlns="http://schemas.openxmlformats.org/spreadsheetml/2006/main" id="27" name="XV.b.Outputs" displayName="XV.b.Outputs" ref="C129:O140" totalsRowCount="1" headerRowDxfId="661" dataDxfId="660">
  <autoFilter ref="C129:O139"/>
  <tableColumns count="13">
    <tableColumn id="1" name="Vector" totalsRowLabel="Total" dataDxfId="659" totalsRowDxfId="658"/>
    <tableColumn id="2" name="Name" dataDxfId="657" totalsRowDxfId="656">
      <calculatedColumnFormula>INDEX(Vectors[Description], MATCH([Vector], Vectors[Code], 0))</calculatedColumnFormula>
    </tableColumn>
    <tableColumn id="3" name="Notes" dataDxfId="655" totalsRowDxfId="654"/>
    <tableColumn id="4" name="2007" totalsRowFunction="sum" dataDxfId="653" totalsRowDxfId="652" dataCellStyle="Comma"/>
    <tableColumn id="5" name="2012" totalsRowFunction="sum" dataDxfId="651" totalsRowDxfId="650" dataCellStyle="Comma"/>
    <tableColumn id="6" name="2017" totalsRowFunction="sum" dataDxfId="649" totalsRowDxfId="648" dataCellStyle="Comma"/>
    <tableColumn id="7" name="2022" totalsRowFunction="sum" dataDxfId="647" totalsRowDxfId="646" dataCellStyle="Comma"/>
    <tableColumn id="8" name="2027" totalsRowFunction="sum" dataDxfId="645" totalsRowDxfId="644" dataCellStyle="Comma"/>
    <tableColumn id="9" name="2032" totalsRowFunction="sum" dataDxfId="643" totalsRowDxfId="642" dataCellStyle="Comma"/>
    <tableColumn id="10" name="2037" totalsRowFunction="sum" dataDxfId="641" totalsRowDxfId="640" dataCellStyle="Comma"/>
    <tableColumn id="11" name="2042" totalsRowFunction="sum" dataDxfId="639" totalsRowDxfId="638" dataCellStyle="Comma"/>
    <tableColumn id="12" name="2047" totalsRowFunction="sum" dataDxfId="637" totalsRowDxfId="636" dataCellStyle="Comma"/>
    <tableColumn id="13" name="2052" totalsRowFunction="sum" dataDxfId="635" totalsRowDxfId="634" dataCellStyle="Comma"/>
  </tableColumns>
  <tableStyleInfo name="EnergyCalcTables" showFirstColumn="0" showLastColumn="0" showRowStripes="1" showColumnStripes="0"/>
</table>
</file>

<file path=xl/tables/table100.xml><?xml version="1.0" encoding="utf-8"?>
<table xmlns="http://schemas.openxmlformats.org/spreadsheetml/2006/main" id="47" name="XV.b.Emissions" displayName="XV.b.Emissions" ref="C147:O153" totalsRowCount="1" headerRowDxfId="633" dataDxfId="631" headerRowBorderDxfId="632" tableBorderDxfId="630" dataCellStyle="Comma">
  <autoFilter ref="C147:O152"/>
  <tableColumns count="13">
    <tableColumn id="1" name="GHG" totalsRowLabel="Total" dataDxfId="629" totalsRowDxfId="628"/>
    <tableColumn id="2" name="IPCC Sector" dataDxfId="627" totalsRowDxfId="626"/>
    <tableColumn id="3" name="Notes" dataDxfId="625" totalsRowDxfId="624">
      <calculatedColumnFormula>INDEX(IPCC[Sector_description], MATCH([IPCC Sector], IPCC[Sector_code], 0))</calculatedColumnFormula>
    </tableColumn>
    <tableColumn id="4" name="2007" totalsRowFunction="sum" dataDxfId="623" totalsRowDxfId="622" dataCellStyle="Comma"/>
    <tableColumn id="5" name="2012" totalsRowFunction="sum" dataDxfId="621" totalsRowDxfId="620" dataCellStyle="Comma"/>
    <tableColumn id="6" name="2017" totalsRowFunction="sum" dataDxfId="619" totalsRowDxfId="618" dataCellStyle="Comma"/>
    <tableColumn id="7" name="2022" totalsRowFunction="sum" dataDxfId="617" totalsRowDxfId="616" dataCellStyle="Comma"/>
    <tableColumn id="8" name="2027" totalsRowFunction="sum" dataDxfId="615" totalsRowDxfId="614" dataCellStyle="Comma"/>
    <tableColumn id="9" name="2032" totalsRowFunction="sum" dataDxfId="613" totalsRowDxfId="612" dataCellStyle="Comma"/>
    <tableColumn id="10" name="2037" totalsRowFunction="sum" dataDxfId="611" totalsRowDxfId="610" dataCellStyle="Comma"/>
    <tableColumn id="11" name="2042" totalsRowFunction="sum" dataDxfId="609" totalsRowDxfId="608" dataCellStyle="Comma"/>
    <tableColumn id="12" name="2047" totalsRowFunction="sum" dataDxfId="607" totalsRowDxfId="606" dataCellStyle="Comma"/>
    <tableColumn id="13" name="2052" totalsRowFunction="sum" dataDxfId="605" totalsRowDxfId="604" dataCellStyle="Comma"/>
  </tableColumns>
  <tableStyleInfo name="EnergyCalcTables" showFirstColumn="0" showLastColumn="0" showRowStripes="1" showColumnStripes="0"/>
</table>
</file>

<file path=xl/tables/table101.xml><?xml version="1.0" encoding="utf-8"?>
<table xmlns="http://schemas.openxmlformats.org/spreadsheetml/2006/main" id="120" name="XV.b.info" displayName="XV.b.info" ref="C161:O164" totalsRowShown="0" headerRowDxfId="603" dataDxfId="601" totalsRowDxfId="599" headerRowBorderDxfId="602" tableBorderDxfId="600" dataCellStyle="Comma">
  <autoFilter ref="C161:O164"/>
  <tableColumns count="13">
    <tableColumn id="1" name="Vector" dataDxfId="598" totalsRowDxfId="597"/>
    <tableColumn id="2" name="Information type" dataDxfId="596" totalsRowDxfId="595"/>
    <tableColumn id="3" name="Notes" dataDxfId="594" totalsRowDxfId="593"/>
    <tableColumn id="4" name="2007" dataDxfId="592" totalsRowDxfId="591" dataCellStyle="Comma">
      <calculatedColumnFormula>F51</calculatedColumnFormula>
    </tableColumn>
    <tableColumn id="5" name="2012" dataDxfId="590" totalsRowDxfId="589" dataCellStyle="Comma"/>
    <tableColumn id="6" name="2017" dataDxfId="588" totalsRowDxfId="587" dataCellStyle="Comma"/>
    <tableColumn id="7" name="2022" dataDxfId="586" totalsRowDxfId="585" dataCellStyle="Comma"/>
    <tableColumn id="8" name="2027" dataDxfId="584" totalsRowDxfId="583" dataCellStyle="Comma"/>
    <tableColumn id="9" name="2032" dataDxfId="582" totalsRowDxfId="581" dataCellStyle="Comma"/>
    <tableColumn id="10" name="2037" dataDxfId="580" totalsRowDxfId="579" dataCellStyle="Comma"/>
    <tableColumn id="11" name="2042" dataDxfId="578" totalsRowDxfId="577" dataCellStyle="Comma"/>
    <tableColumn id="12" name="2047" dataDxfId="576" totalsRowDxfId="575" dataCellStyle="Comma"/>
    <tableColumn id="13" name="2052" dataDxfId="574" totalsRowDxfId="573" dataCellStyle="Comma"/>
  </tableColumns>
  <tableStyleInfo name="EnergyCalcTables" showFirstColumn="0" showLastColumn="0" showRowStripes="1" showColumnStripes="0"/>
</table>
</file>

<file path=xl/tables/table102.xml><?xml version="1.0" encoding="utf-8"?>
<table xmlns="http://schemas.openxmlformats.org/spreadsheetml/2006/main" id="34" name="XV.c.Outputs" displayName="XV.c.Outputs" ref="C88:O91" totalsRowCount="1" headerRowDxfId="572" dataDxfId="571">
  <autoFilter ref="C88:O90"/>
  <tableColumns count="13">
    <tableColumn id="1" name="Vector" totalsRowLabel="Total" dataDxfId="570" totalsRowDxfId="569"/>
    <tableColumn id="2" name="Name" dataDxfId="568" totalsRowDxfId="567">
      <calculatedColumnFormula>INDEX(Vectors[Description], MATCH([Vector],Vectors[Code], 0))</calculatedColumnFormula>
    </tableColumn>
    <tableColumn id="3" name="Notes" dataDxfId="566" totalsRowDxfId="565"/>
    <tableColumn id="4" name="2007" totalsRowFunction="sum" dataDxfId="564" totalsRowDxfId="563" dataCellStyle="Comma"/>
    <tableColumn id="5" name="2012" totalsRowFunction="custom" dataDxfId="562" totalsRowDxfId="561" dataCellStyle="Comma">
      <totalsRowFormula>SUBTOTAL(109,[2007])</totalsRowFormula>
    </tableColumn>
    <tableColumn id="6" name="2017" totalsRowFunction="custom" dataDxfId="560" totalsRowDxfId="559" dataCellStyle="Comma">
      <totalsRowFormula>SUBTOTAL(109,[2007])</totalsRowFormula>
    </tableColumn>
    <tableColumn id="7" name="2022" totalsRowFunction="custom" dataDxfId="558" totalsRowDxfId="557" dataCellStyle="Comma">
      <totalsRowFormula>SUBTOTAL(109,[2007])</totalsRowFormula>
    </tableColumn>
    <tableColumn id="8" name="2027" totalsRowFunction="custom" dataDxfId="556" totalsRowDxfId="555" dataCellStyle="Comma">
      <totalsRowFormula>SUBTOTAL(109,[2007])</totalsRowFormula>
    </tableColumn>
    <tableColumn id="9" name="2032" totalsRowFunction="custom" dataDxfId="554" totalsRowDxfId="553" dataCellStyle="Comma">
      <totalsRowFormula>SUBTOTAL(109,[2007])</totalsRowFormula>
    </tableColumn>
    <tableColumn id="10" name="2037" totalsRowFunction="custom" dataDxfId="552" totalsRowDxfId="551" dataCellStyle="Comma">
      <totalsRowFormula>SUBTOTAL(109,[2007])</totalsRowFormula>
    </tableColumn>
    <tableColumn id="11" name="2042" totalsRowFunction="custom" dataDxfId="550" totalsRowDxfId="549" dataCellStyle="Comma">
      <totalsRowFormula>SUBTOTAL(109,[2007])</totalsRowFormula>
    </tableColumn>
    <tableColumn id="12" name="2047" totalsRowFunction="custom" dataDxfId="548" totalsRowDxfId="547" dataCellStyle="Comma">
      <totalsRowFormula>SUBTOTAL(109,[2007])</totalsRowFormula>
    </tableColumn>
    <tableColumn id="13" name="2052" totalsRowFunction="custom" dataDxfId="546" totalsRowDxfId="545" dataCellStyle="Comma">
      <totalsRowFormula>SUBTOTAL(109,[2007])</totalsRowFormula>
    </tableColumn>
  </tableColumns>
  <tableStyleInfo name="EnergyCalcTables" showFirstColumn="0" showLastColumn="0" showRowStripes="1" showColumnStripes="0"/>
</table>
</file>

<file path=xl/tables/table103.xml><?xml version="1.0" encoding="utf-8"?>
<table xmlns="http://schemas.openxmlformats.org/spreadsheetml/2006/main" id="35" name="XV.c.Emissions" displayName="XV.c.Emissions" ref="C98:O104" totalsRowCount="1" headerRowDxfId="544" dataDxfId="542" headerRowBorderDxfId="543" tableBorderDxfId="541" dataCellStyle="Check Cell">
  <autoFilter ref="C98:O103"/>
  <tableColumns count="13">
    <tableColumn id="1" name="GHG" totalsRowLabel="Total" dataDxfId="540" totalsRowDxfId="539"/>
    <tableColumn id="2" name="IPCC Sector" dataDxfId="538" totalsRowDxfId="537"/>
    <tableColumn id="3" name="Notes" dataDxfId="536" totalsRowDxfId="535">
      <calculatedColumnFormula>INDEX(IPCC[Sector_description], MATCH([IPCC Sector], IPCC[Sector_code], 0))</calculatedColumnFormula>
    </tableColumn>
    <tableColumn id="4" name="2007" totalsRowFunction="sum" dataDxfId="534" totalsRowDxfId="533" dataCellStyle="Comma"/>
    <tableColumn id="5" name="2012" totalsRowFunction="sum" dataDxfId="532" totalsRowDxfId="531" dataCellStyle="Comma"/>
    <tableColumn id="6" name="2017" totalsRowFunction="sum" dataDxfId="530" totalsRowDxfId="529" dataCellStyle="Comma"/>
    <tableColumn id="7" name="2022" totalsRowFunction="sum" dataDxfId="528" totalsRowDxfId="527" dataCellStyle="Comma"/>
    <tableColumn id="8" name="2027" totalsRowFunction="sum" dataDxfId="526" totalsRowDxfId="525" dataCellStyle="Comma"/>
    <tableColumn id="9" name="2032" totalsRowFunction="sum" dataDxfId="524" totalsRowDxfId="523" dataCellStyle="Comma"/>
    <tableColumn id="10" name="2037" totalsRowFunction="sum" dataDxfId="522" totalsRowDxfId="521" dataCellStyle="Comma"/>
    <tableColumn id="11" name="2042" totalsRowFunction="sum" dataDxfId="520" totalsRowDxfId="519" dataCellStyle="Comma"/>
    <tableColumn id="12" name="2047" totalsRowFunction="sum" dataDxfId="518" totalsRowDxfId="517" dataCellStyle="Comma"/>
    <tableColumn id="13" name="2052" totalsRowFunction="sum" dataDxfId="516" totalsRowDxfId="515" dataCellStyle="Comma"/>
  </tableColumns>
  <tableStyleInfo name="EnergyCalcTables" showFirstColumn="0" showLastColumn="0" showRowStripes="1" showColumnStripes="0"/>
</table>
</file>

<file path=xl/tables/table104.xml><?xml version="1.0" encoding="utf-8"?>
<table xmlns="http://schemas.openxmlformats.org/spreadsheetml/2006/main" id="192" name="XVI.Outputs" displayName="XVI.Outputs" ref="C182:O187" totalsRowCount="1" headerRowDxfId="514" dataDxfId="513">
  <autoFilter ref="C182:O186"/>
  <tableColumns count="13">
    <tableColumn id="1" name="Vector" dataDxfId="512" totalsRowDxfId="511"/>
    <tableColumn id="2" name="Name" dataDxfId="510" totalsRowDxfId="509" dataCellStyle="Normal 8 3">
      <calculatedColumnFormula>INDEX(Vectors[Description], MATCH([Vector], Vectors[Code], 0))</calculatedColumnFormula>
    </tableColumn>
    <tableColumn id="3" name="Notes" dataDxfId="508" totalsRowDxfId="507"/>
    <tableColumn id="4" name="2007" totalsRowFunction="custom" dataDxfId="506" totalsRowDxfId="505" dataCellStyle="Normal 8 3">
      <totalsRowFormula>SUM([2007])</totalsRowFormula>
    </tableColumn>
    <tableColumn id="5" name="2012" totalsRowFunction="custom" dataDxfId="504" totalsRowDxfId="503" dataCellStyle="Normal 8 3">
      <totalsRowFormula>SUM([2007])</totalsRowFormula>
    </tableColumn>
    <tableColumn id="6" name="2017" totalsRowFunction="custom" dataDxfId="502" totalsRowDxfId="501" dataCellStyle="Normal 8 3">
      <totalsRowFormula>SUM([2007])</totalsRowFormula>
    </tableColumn>
    <tableColumn id="7" name="2022" totalsRowFunction="custom" dataDxfId="500" totalsRowDxfId="499" dataCellStyle="Normal 8 3">
      <totalsRowFormula>SUM([2007])</totalsRowFormula>
    </tableColumn>
    <tableColumn id="8" name="2027" totalsRowFunction="custom" dataDxfId="498" totalsRowDxfId="497" dataCellStyle="Normal 8 3">
      <totalsRowFormula>SUM([2007])</totalsRowFormula>
    </tableColumn>
    <tableColumn id="9" name="2032" totalsRowFunction="custom" dataDxfId="496" totalsRowDxfId="495" dataCellStyle="Normal 8 3">
      <totalsRowFormula>SUM([2007])</totalsRowFormula>
    </tableColumn>
    <tableColumn id="10" name="2037" totalsRowFunction="custom" dataDxfId="494" totalsRowDxfId="493" dataCellStyle="Normal 8 3">
      <totalsRowFormula>SUM([2007])</totalsRowFormula>
    </tableColumn>
    <tableColumn id="11" name="2042" totalsRowFunction="custom" dataDxfId="492" totalsRowDxfId="491" dataCellStyle="Normal 8 3">
      <totalsRowFormula>SUM([2007])</totalsRowFormula>
    </tableColumn>
    <tableColumn id="12" name="2047" totalsRowFunction="custom" dataDxfId="490" totalsRowDxfId="489" dataCellStyle="Normal 8 3">
      <totalsRowFormula>SUM([2007])</totalsRowFormula>
    </tableColumn>
    <tableColumn id="13" name="2052" totalsRowFunction="custom" dataDxfId="488" totalsRowDxfId="487" dataCellStyle="Normal 8 3">
      <totalsRowFormula>SUM([2007])</totalsRowFormula>
    </tableColumn>
  </tableColumns>
  <tableStyleInfo name="EnergyCalcTables" showFirstColumn="0" showLastColumn="0" showRowStripes="1" showColumnStripes="0"/>
</table>
</file>

<file path=xl/tables/table105.xml><?xml version="1.0" encoding="utf-8"?>
<table xmlns="http://schemas.openxmlformats.org/spreadsheetml/2006/main" id="194" name="XVI.emissions" displayName="XVI.emissions" ref="C195:O199" totalsRowCount="1" headerRowDxfId="486" dataDxfId="484" headerRowBorderDxfId="485" tableBorderDxfId="483">
  <autoFilter ref="C195:O198"/>
  <tableColumns count="13">
    <tableColumn id="1" name="GHG" totalsRowLabel="Total" dataDxfId="482" totalsRowDxfId="481"/>
    <tableColumn id="2" name="IPCC Sector" dataDxfId="480" totalsRowDxfId="479"/>
    <tableColumn id="3" name="Notes" dataDxfId="478" totalsRowDxfId="477">
      <calculatedColumnFormula>INDEX(IPCC[Sector_description], MATCH([IPCC Sector], IPCC[Sector_code], 0))</calculatedColumnFormula>
    </tableColumn>
    <tableColumn id="4" name="2007" totalsRowFunction="sum" dataDxfId="476" totalsRowDxfId="475" dataCellStyle="Comma">
      <calculatedColumnFormula>F165</calculatedColumnFormula>
    </tableColumn>
    <tableColumn id="5" name="2012" totalsRowFunction="sum" dataDxfId="474" totalsRowDxfId="473" dataCellStyle="Comma">
      <calculatedColumnFormula>G165</calculatedColumnFormula>
    </tableColumn>
    <tableColumn id="6" name="2017" totalsRowFunction="sum" dataDxfId="472" totalsRowDxfId="471" dataCellStyle="Comma">
      <calculatedColumnFormula>H165</calculatedColumnFormula>
    </tableColumn>
    <tableColumn id="7" name="2022" totalsRowFunction="sum" dataDxfId="470" totalsRowDxfId="469" dataCellStyle="Comma">
      <calculatedColumnFormula>I165</calculatedColumnFormula>
    </tableColumn>
    <tableColumn id="8" name="2027" totalsRowFunction="sum" dataDxfId="468" totalsRowDxfId="467" dataCellStyle="Comma">
      <calculatedColumnFormula>J165</calculatedColumnFormula>
    </tableColumn>
    <tableColumn id="9" name="2032" totalsRowFunction="sum" dataDxfId="466" totalsRowDxfId="465" dataCellStyle="Comma">
      <calculatedColumnFormula>K165</calculatedColumnFormula>
    </tableColumn>
    <tableColumn id="10" name="2037" totalsRowFunction="sum" dataDxfId="464" totalsRowDxfId="463" dataCellStyle="Comma">
      <calculatedColumnFormula>L165</calculatedColumnFormula>
    </tableColumn>
    <tableColumn id="11" name="2042" totalsRowFunction="sum" dataDxfId="462" totalsRowDxfId="461" dataCellStyle="Comma">
      <calculatedColumnFormula>M165</calculatedColumnFormula>
    </tableColumn>
    <tableColumn id="12" name="2047" totalsRowFunction="sum" dataDxfId="460" totalsRowDxfId="459" dataCellStyle="Comma">
      <calculatedColumnFormula>N165</calculatedColumnFormula>
    </tableColumn>
    <tableColumn id="13" name="2052" totalsRowFunction="sum" dataDxfId="458" totalsRowDxfId="457" dataCellStyle="Comma">
      <calculatedColumnFormula>O165</calculatedColumnFormula>
    </tableColumn>
  </tableColumns>
  <tableStyleInfo name="EnergyCalcTables" showFirstColumn="0" showLastColumn="0" showRowStripes="1" showColumnStripes="0"/>
</table>
</file>

<file path=xl/tables/table106.xml><?xml version="1.0" encoding="utf-8"?>
<table xmlns="http://schemas.openxmlformats.org/spreadsheetml/2006/main" id="52" name="XVI.a.Inputs" displayName="XVI.a.Inputs" ref="C8:O11" totalsRowShown="0" headerRowDxfId="456" dataDxfId="455">
  <autoFilter ref="C8:O11"/>
  <tableColumns count="13">
    <tableColumn id="1" name="Vector" dataDxfId="454"/>
    <tableColumn id="2" name="Name" dataDxfId="453">
      <calculatedColumnFormula>INDEX([13]!Vectors[Description], MATCH([Vector], [13]!Vectors[Code], 0))</calculatedColumnFormula>
    </tableColumn>
    <tableColumn id="3" name="Notes" dataDxfId="452"/>
    <tableColumn id="4" name="2007" dataDxfId="451" dataCellStyle="Comma">
      <calculatedColumnFormula>INDEX(INDIRECT("'"&amp;XVI.a.Inputs[#Headers]&amp;"'!Year.Matrix"), MATCH("Subtotal."&amp;$A$2, INDIRECT("'"&amp;XVI.a.Inputs[#Headers]&amp;"'!Year.Modules"), 0), MATCH([Vector], INDIRECT("'"&amp;XVI.a.Inputs[#Headers]&amp;"'!Year.Vectors"), 0))</calculatedColumnFormula>
    </tableColumn>
    <tableColumn id="5" name="2012" dataDxfId="450" dataCellStyle="Comma">
      <calculatedColumnFormula>INDEX(INDIRECT("'"&amp;XVI.a.Inputs[#Headers]&amp;"'!Year.Matrix"), MATCH("Subtotal."&amp;$A$2, INDIRECT("'"&amp;XVI.a.Inputs[#Headers]&amp;"'!Year.Modules"), 0), MATCH([Vector], INDIRECT("'"&amp;XVI.a.Inputs[#Headers]&amp;"'!Year.Vectors"), 0))</calculatedColumnFormula>
    </tableColumn>
    <tableColumn id="6" name="2017" dataDxfId="449" dataCellStyle="Comma">
      <calculatedColumnFormula>INDEX(INDIRECT("'"&amp;XVI.a.Inputs[#Headers]&amp;"'!Year.Matrix"), MATCH("Subtotal."&amp;$A$2, INDIRECT("'"&amp;XVI.a.Inputs[#Headers]&amp;"'!Year.Modules"), 0), MATCH([Vector], INDIRECT("'"&amp;XVI.a.Inputs[#Headers]&amp;"'!Year.Vectors"), 0))</calculatedColumnFormula>
    </tableColumn>
    <tableColumn id="7" name="2022" dataDxfId="448" dataCellStyle="Comma">
      <calculatedColumnFormula>INDEX(INDIRECT("'"&amp;XVI.a.Inputs[#Headers]&amp;"'!Year.Matrix"), MATCH("Subtotal."&amp;$A$2, INDIRECT("'"&amp;XVI.a.Inputs[#Headers]&amp;"'!Year.Modules"), 0), MATCH([Vector], INDIRECT("'"&amp;XVI.a.Inputs[#Headers]&amp;"'!Year.Vectors"), 0))</calculatedColumnFormula>
    </tableColumn>
    <tableColumn id="15" name="2027" dataDxfId="447" dataCellStyle="Comma">
      <calculatedColumnFormula>INDEX(INDIRECT("'"&amp;XVI.a.Inputs[#Headers]&amp;"'!Year.Matrix"), MATCH("Subtotal."&amp;$A$2, INDIRECT("'"&amp;XVI.a.Inputs[#Headers]&amp;"'!Year.Modules"), 0), MATCH([Vector], INDIRECT("'"&amp;XVI.a.Inputs[#Headers]&amp;"'!Year.Vectors"), 0))</calculatedColumnFormula>
    </tableColumn>
    <tableColumn id="16" name="2032" dataDxfId="446" dataCellStyle="Comma">
      <calculatedColumnFormula>INDEX(INDIRECT("'"&amp;XVI.a.Inputs[#Headers]&amp;"'!Year.Matrix"), MATCH("Subtotal."&amp;$A$2, INDIRECT("'"&amp;XVI.a.Inputs[#Headers]&amp;"'!Year.Modules"), 0), MATCH([Vector], INDIRECT("'"&amp;XVI.a.Inputs[#Headers]&amp;"'!Year.Vectors"), 0))</calculatedColumnFormula>
    </tableColumn>
    <tableColumn id="17" name="2037" dataDxfId="445" dataCellStyle="Comma">
      <calculatedColumnFormula>INDEX(INDIRECT("'"&amp;XVI.a.Inputs[#Headers]&amp;"'!Year.Matrix"), MATCH("Subtotal."&amp;$A$2, INDIRECT("'"&amp;XVI.a.Inputs[#Headers]&amp;"'!Year.Modules"), 0), MATCH([Vector], INDIRECT("'"&amp;XVI.a.Inputs[#Headers]&amp;"'!Year.Vectors"), 0))</calculatedColumnFormula>
    </tableColumn>
    <tableColumn id="18" name="2042" dataDxfId="444" dataCellStyle="Comma">
      <calculatedColumnFormula>INDEX(INDIRECT("'"&amp;XVI.a.Inputs[#Headers]&amp;"'!Year.Matrix"), MATCH("Subtotal."&amp;$A$2, INDIRECT("'"&amp;XVI.a.Inputs[#Headers]&amp;"'!Year.Modules"), 0), MATCH([Vector], INDIRECT("'"&amp;XVI.a.Inputs[#Headers]&amp;"'!Year.Vectors"), 0))</calculatedColumnFormula>
    </tableColumn>
    <tableColumn id="19" name="2047" dataDxfId="443" dataCellStyle="Comma">
      <calculatedColumnFormula>INDEX(INDIRECT("'"&amp;XVI.a.Inputs[#Headers]&amp;"'!Year.Matrix"), MATCH("Subtotal."&amp;$A$2, INDIRECT("'"&amp;XVI.a.Inputs[#Headers]&amp;"'!Year.Modules"), 0), MATCH([Vector], INDIRECT("'"&amp;XVI.a.Inputs[#Headers]&amp;"'!Year.Vectors"), 0))</calculatedColumnFormula>
    </tableColumn>
    <tableColumn id="20" name="2052" dataDxfId="442" dataCellStyle="Comma">
      <calculatedColumnFormula>INDEX(INDIRECT("'"&amp;XVI.a.Inputs[#Headers]&amp;"'!Year.Matrix"), MATCH("Subtotal."&amp;$A$2, INDIRECT("'"&amp;XVI.a.Inputs[#Headers]&amp;"'!Year.Modules"), 0), MATCH([Vector], INDIRECT("'"&amp;XVI.a.Inputs[#Headers]&amp;"'!Year.Vectors"), 0))</calculatedColumnFormula>
    </tableColumn>
  </tableColumns>
  <tableStyleInfo name="EnergyCalcTables" showFirstColumn="0" showLastColumn="0" showRowStripes="1" showColumnStripes="0"/>
</table>
</file>

<file path=xl/tables/table107.xml><?xml version="1.0" encoding="utf-8"?>
<table xmlns="http://schemas.openxmlformats.org/spreadsheetml/2006/main" id="53" name="XVII.a.outputs" displayName="XVII.a.outputs" ref="C84:O92" totalsRowCount="1" headerRowDxfId="441" dataDxfId="440">
  <autoFilter ref="C84:O91"/>
  <tableColumns count="13">
    <tableColumn id="1" name="Vector" totalsRowLabel="Total" dataDxfId="439" totalsRowDxfId="438"/>
    <tableColumn id="2" name="Name" dataDxfId="437" totalsRowDxfId="436">
      <calculatedColumnFormula>INDEX(Vectors[Description], MATCH([Vector], Vectors[Code], 0))</calculatedColumnFormula>
    </tableColumn>
    <tableColumn id="3" name="Notes" dataDxfId="435" totalsRowDxfId="434"/>
    <tableColumn id="4" name="2007" totalsRowFunction="sum" dataDxfId="433" totalsRowDxfId="432" dataCellStyle="Comma">
      <calculatedColumnFormula>F$60+#REF!</calculatedColumnFormula>
    </tableColumn>
    <tableColumn id="5" name="2012" totalsRowFunction="sum" dataDxfId="431" totalsRowDxfId="430" dataCellStyle="Comma"/>
    <tableColumn id="6" name="2017" totalsRowFunction="sum" dataDxfId="429" totalsRowDxfId="428" dataCellStyle="Comma"/>
    <tableColumn id="7" name="2022" totalsRowFunction="sum" dataDxfId="427" totalsRowDxfId="426" dataCellStyle="Comma"/>
    <tableColumn id="8" name="2027" totalsRowFunction="sum" dataDxfId="425" totalsRowDxfId="424" dataCellStyle="Comma"/>
    <tableColumn id="9" name="2032" totalsRowFunction="sum" dataDxfId="423" totalsRowDxfId="422" dataCellStyle="Comma"/>
    <tableColumn id="10" name="2037" totalsRowFunction="sum" dataDxfId="421" totalsRowDxfId="420" dataCellStyle="Comma"/>
    <tableColumn id="11" name="2042" totalsRowFunction="sum" dataDxfId="419" totalsRowDxfId="418" dataCellStyle="Comma"/>
    <tableColumn id="12" name="2047" totalsRowFunction="sum" dataDxfId="417" totalsRowDxfId="416" dataCellStyle="Comma"/>
    <tableColumn id="13" name="2052" totalsRowFunction="sum" dataDxfId="415" totalsRowDxfId="414" dataCellStyle="Comma"/>
  </tableColumns>
  <tableStyleInfo name="EnergyCalcTables" showFirstColumn="0" showLastColumn="0" showRowStripes="1" showColumnStripes="0"/>
</table>
</file>

<file path=xl/tables/table108.xml><?xml version="1.0" encoding="utf-8"?>
<table xmlns="http://schemas.openxmlformats.org/spreadsheetml/2006/main" id="54" name="XVII.a.Emissions" displayName="XVII.a.Emissions" ref="C99:O101" totalsRowCount="1" headerRowDxfId="413" dataDxfId="411" headerRowBorderDxfId="412" tableBorderDxfId="410" dataCellStyle="Comma">
  <autoFilter ref="C99:O100"/>
  <tableColumns count="13">
    <tableColumn id="1" name="GHG" totalsRowLabel="Total" dataDxfId="409" totalsRowDxfId="408"/>
    <tableColumn id="2" name="IPCC Sector" dataDxfId="407" totalsRowDxfId="406"/>
    <tableColumn id="3" name="Notes" dataDxfId="405" totalsRowDxfId="404">
      <calculatedColumnFormula>INDEX(IPCC[Sector_description], MATCH([IPCC Sector], IPCC[Sector_code], 0))</calculatedColumnFormula>
    </tableColumn>
    <tableColumn id="4" name="2007" totalsRowFunction="sum" dataDxfId="403" totalsRowDxfId="402" dataCellStyle="Comma">
      <calculatedColumnFormula>F$69</calculatedColumnFormula>
    </tableColumn>
    <tableColumn id="5" name="2012" totalsRowFunction="sum" dataDxfId="401" totalsRowDxfId="400" dataCellStyle="Comma">
      <calculatedColumnFormula>G$69</calculatedColumnFormula>
    </tableColumn>
    <tableColumn id="6" name="2017" totalsRowFunction="sum" dataDxfId="399" totalsRowDxfId="398" dataCellStyle="Comma">
      <calculatedColumnFormula>H$69</calculatedColumnFormula>
    </tableColumn>
    <tableColumn id="7" name="2022" totalsRowFunction="sum" dataDxfId="397" totalsRowDxfId="396" dataCellStyle="Comma">
      <calculatedColumnFormula>I$69</calculatedColumnFormula>
    </tableColumn>
    <tableColumn id="8" name="2027" totalsRowFunction="sum" dataDxfId="395" totalsRowDxfId="394" dataCellStyle="Comma">
      <calculatedColumnFormula>J$69</calculatedColumnFormula>
    </tableColumn>
    <tableColumn id="9" name="2032" totalsRowFunction="sum" dataDxfId="393" totalsRowDxfId="392" dataCellStyle="Comma">
      <calculatedColumnFormula>K$69</calculatedColumnFormula>
    </tableColumn>
    <tableColumn id="10" name="2037" totalsRowFunction="sum" dataDxfId="391" totalsRowDxfId="390" dataCellStyle="Comma">
      <calculatedColumnFormula>L$69</calculatedColumnFormula>
    </tableColumn>
    <tableColumn id="11" name="2042" totalsRowFunction="sum" dataDxfId="389" totalsRowDxfId="388" dataCellStyle="Comma">
      <calculatedColumnFormula>M$69</calculatedColumnFormula>
    </tableColumn>
    <tableColumn id="12" name="2047" totalsRowFunction="sum" dataDxfId="387" totalsRowDxfId="386" dataCellStyle="Comma">
      <calculatedColumnFormula>N$69</calculatedColumnFormula>
    </tableColumn>
    <tableColumn id="13" name="2052" totalsRowFunction="sum" dataDxfId="385" totalsRowDxfId="384" dataCellStyle="Comma">
      <calculatedColumnFormula>O$69</calculatedColumnFormula>
    </tableColumn>
  </tableColumns>
  <tableStyleInfo name="EnergyCalcTables" showFirstColumn="0" showLastColumn="0" showRowStripes="1" showColumnStripes="0"/>
</table>
</file>

<file path=xl/tables/table109.xml><?xml version="1.0" encoding="utf-8"?>
<table xmlns="http://schemas.openxmlformats.org/spreadsheetml/2006/main" id="55" name="XVI.a.info" displayName="XVI.a.info" ref="C108:O109" totalsRowShown="0" headerRowDxfId="383" dataDxfId="381" totalsRowDxfId="379" headerRowBorderDxfId="382" tableBorderDxfId="380" dataCellStyle="Comma">
  <autoFilter ref="C108:O109"/>
  <tableColumns count="13">
    <tableColumn id="1" name="Vector" dataDxfId="378" totalsRowDxfId="377"/>
    <tableColumn id="2" name="Information type" dataDxfId="376" totalsRowDxfId="375"/>
    <tableColumn id="3" name="Notes" dataDxfId="374" totalsRowDxfId="373"/>
    <tableColumn id="4" name="2007" dataDxfId="372" totalsRowDxfId="371" dataCellStyle="Comma"/>
    <tableColumn id="5" name="2012" dataDxfId="370" totalsRowDxfId="369" dataCellStyle="Comma"/>
    <tableColumn id="6" name="2017" dataDxfId="368" totalsRowDxfId="367" dataCellStyle="Comma"/>
    <tableColumn id="7" name="2022" dataDxfId="366" totalsRowDxfId="365" dataCellStyle="Comma"/>
    <tableColumn id="8" name="2027" dataDxfId="364" totalsRowDxfId="363" dataCellStyle="Comma"/>
    <tableColumn id="9" name="2032" dataDxfId="362" totalsRowDxfId="361" dataCellStyle="Comma"/>
    <tableColumn id="10" name="2037" dataDxfId="360" totalsRowDxfId="359" dataCellStyle="Comma"/>
    <tableColumn id="11" name="2042" dataDxfId="358" totalsRowDxfId="357" dataCellStyle="Comma"/>
    <tableColumn id="12" name="2047" dataDxfId="356" totalsRowDxfId="355" dataCellStyle="Comma"/>
    <tableColumn id="13" name="2052" dataDxfId="354" totalsRowDxfId="353" dataCellStyle="Comma"/>
  </tableColumns>
  <tableStyleInfo name="EnergyCalcTables" showFirstColumn="0" showLastColumn="0" showRowStripes="1" showColumnStripes="0"/>
</table>
</file>

<file path=xl/tables/table110.xml><?xml version="1.0" encoding="utf-8"?>
<table xmlns="http://schemas.openxmlformats.org/spreadsheetml/2006/main" id="20" name="XVII.b.inputs" displayName="XVII.b.inputs" ref="C8:O11" totalsRowShown="0" headerRowDxfId="352" dataDxfId="351">
  <autoFilter ref="C8:O11"/>
  <tableColumns count="13">
    <tableColumn id="1" name="Vector" dataDxfId="350"/>
    <tableColumn id="2" name="Name" dataDxfId="349">
      <calculatedColumnFormula>INDEX(Vectors[Description], MATCH([Vector], Vectors[Code], 0))</calculatedColumnFormula>
    </tableColumn>
    <tableColumn id="3" name="Notes" dataDxfId="348"/>
    <tableColumn id="4" name="2007" dataDxfId="347" dataCellStyle="ofwhich">
      <calculatedColumnFormula>INDEX(INDIRECT("'"&amp;F$8&amp;"'!Year.NetBalance"), MATCH($C9, INDIRECT("'"&amp;F$8&amp;"'!Year.Vectors"), 0))</calculatedColumnFormula>
    </tableColumn>
    <tableColumn id="5" name="2012" dataDxfId="346" dataCellStyle="ofwhich">
      <calculatedColumnFormula>INDEX(INDIRECT("'"&amp;G$8&amp;"'!Year.NetBalance"), MATCH($C9, INDIRECT("'"&amp;G$8&amp;"'!Year.Vectors"), 0))</calculatedColumnFormula>
    </tableColumn>
    <tableColumn id="6" name="2017" dataDxfId="345" dataCellStyle="ofwhich">
      <calculatedColumnFormula>INDEX(INDIRECT("'"&amp;H$8&amp;"'!Year.NetBalance"), MATCH($C9, INDIRECT("'"&amp;H$8&amp;"'!Year.Vectors"), 0))</calculatedColumnFormula>
    </tableColumn>
    <tableColumn id="7" name="2022" dataDxfId="344" dataCellStyle="ofwhich">
      <calculatedColumnFormula>INDEX(INDIRECT("'"&amp;I$8&amp;"'!Year.NetBalance"), MATCH($C9, INDIRECT("'"&amp;I$8&amp;"'!Year.Vectors"), 0))</calculatedColumnFormula>
    </tableColumn>
    <tableColumn id="15" name="2027" dataDxfId="343" dataCellStyle="ofwhich">
      <calculatedColumnFormula>INDEX(INDIRECT("'"&amp;J$8&amp;"'!Year.NetBalance"), MATCH($C9, INDIRECT("'"&amp;J$8&amp;"'!Year.Vectors"), 0))</calculatedColumnFormula>
    </tableColumn>
    <tableColumn id="16" name="2032" dataDxfId="342" dataCellStyle="ofwhich">
      <calculatedColumnFormula>INDEX(INDIRECT("'"&amp;K$8&amp;"'!Year.NetBalance"), MATCH($C9, INDIRECT("'"&amp;K$8&amp;"'!Year.Vectors"), 0))</calculatedColumnFormula>
    </tableColumn>
    <tableColumn id="17" name="2037" dataDxfId="341" dataCellStyle="ofwhich">
      <calculatedColumnFormula>INDEX(INDIRECT("'"&amp;L$8&amp;"'!Year.NetBalance"), MATCH($C9, INDIRECT("'"&amp;L$8&amp;"'!Year.Vectors"), 0))</calculatedColumnFormula>
    </tableColumn>
    <tableColumn id="18" name="2042" dataDxfId="340" dataCellStyle="ofwhich">
      <calculatedColumnFormula>INDEX(INDIRECT("'"&amp;M$8&amp;"'!Year.NetBalance"), MATCH($C9, INDIRECT("'"&amp;M$8&amp;"'!Year.Vectors"), 0))</calculatedColumnFormula>
    </tableColumn>
    <tableColumn id="19" name="2047" dataDxfId="339" dataCellStyle="ofwhich">
      <calculatedColumnFormula>INDEX(INDIRECT("'"&amp;N$8&amp;"'!Year.NetBalance"), MATCH($C9, INDIRECT("'"&amp;N$8&amp;"'!Year.Vectors"), 0))</calculatedColumnFormula>
    </tableColumn>
    <tableColumn id="20" name="2052" dataDxfId="338" dataCellStyle="ofwhich">
      <calculatedColumnFormula>INDEX(INDIRECT("'"&amp;O$8&amp;"'!Year.NetBalance"), MATCH($C9, INDIRECT("'"&amp;O$8&amp;"'!Year.Vectors"), 0))</calculatedColumnFormula>
    </tableColumn>
  </tableColumns>
  <tableStyleInfo name="EnergyCalcTables" showFirstColumn="0" showLastColumn="0" showRowStripes="1" showColumnStripes="0"/>
</table>
</file>

<file path=xl/tables/table111.xml><?xml version="1.0" encoding="utf-8"?>
<table xmlns="http://schemas.openxmlformats.org/spreadsheetml/2006/main" id="21" name="XVI.b.Outputs" displayName="XVI.b.Outputs" ref="C39:O41" insertRow="1" totalsRowCount="1" headerRowDxfId="337" dataDxfId="336">
  <autoFilter ref="C39:O40"/>
  <tableColumns count="13">
    <tableColumn id="1" name="Vector" totalsRowLabel="Total" dataDxfId="335" totalsRowDxfId="334"/>
    <tableColumn id="2" name="Name" dataDxfId="333" totalsRowDxfId="332">
      <calculatedColumnFormula>INDEX([14]!Vectors[Description], MATCH([Vector], [14]!Vectors[Code], 0))</calculatedColumnFormula>
    </tableColumn>
    <tableColumn id="3" name="Notes" dataDxfId="331" totalsRowDxfId="330"/>
    <tableColumn id="4" name="2007" totalsRowFunction="sum" dataDxfId="329" totalsRowDxfId="328" dataCellStyle="Comma">
      <calculatedColumnFormula>#REF!+#REF!</calculatedColumnFormula>
    </tableColumn>
    <tableColumn id="5" name="2012" totalsRowFunction="sum" dataDxfId="327" totalsRowDxfId="326" dataCellStyle="Comma"/>
    <tableColumn id="6" name="2017" totalsRowFunction="sum" dataDxfId="325" totalsRowDxfId="324" dataCellStyle="Comma"/>
    <tableColumn id="7" name="2022" totalsRowFunction="sum" dataDxfId="323" totalsRowDxfId="322" dataCellStyle="Comma"/>
    <tableColumn id="8" name="2027" totalsRowFunction="sum" dataDxfId="321" totalsRowDxfId="320" dataCellStyle="Comma"/>
    <tableColumn id="9" name="2032" totalsRowFunction="sum" dataDxfId="319" totalsRowDxfId="318" dataCellStyle="Comma"/>
    <tableColumn id="10" name="2037" totalsRowFunction="sum" dataDxfId="317" totalsRowDxfId="316" dataCellStyle="Comma"/>
    <tableColumn id="11" name="2042" totalsRowFunction="sum" dataDxfId="315" totalsRowDxfId="314" dataCellStyle="Comma"/>
    <tableColumn id="12" name="2047" totalsRowFunction="sum" dataDxfId="313" totalsRowDxfId="312" dataCellStyle="Comma"/>
    <tableColumn id="13" name="2052" totalsRowFunction="sum" dataDxfId="311" totalsRowDxfId="310" dataCellStyle="Comma"/>
  </tableColumns>
  <tableStyleInfo name="EnergyCalcTables" showFirstColumn="0" showLastColumn="0" showRowStripes="1" showColumnStripes="0"/>
</table>
</file>

<file path=xl/tables/table112.xml><?xml version="1.0" encoding="utf-8"?>
<table xmlns="http://schemas.openxmlformats.org/spreadsheetml/2006/main" id="44" name="XVI.b.Emissions" displayName="XVI.b.Emissions" ref="C48:O50" insertRow="1" totalsRowCount="1" headerRowDxfId="309" dataDxfId="307" headerRowBorderDxfId="308" tableBorderDxfId="306" dataCellStyle="Comma">
  <autoFilter ref="C48:O49"/>
  <tableColumns count="13">
    <tableColumn id="1" name="GHG" totalsRowLabel="Total" dataDxfId="305" totalsRowDxfId="304"/>
    <tableColumn id="2" name="IPCC Sector" dataDxfId="303" totalsRowDxfId="302"/>
    <tableColumn id="3" name="Notes" dataDxfId="301" totalsRowDxfId="300">
      <calculatedColumnFormula>INDEX([14]!IPCC[Sector_description], MATCH([IPCC Sector], [14]!IPCC[Sector_code], 0))</calculatedColumnFormula>
    </tableColumn>
    <tableColumn id="4" name="2007" totalsRowFunction="sum" dataDxfId="299" totalsRowDxfId="298" dataCellStyle="Comma">
      <calculatedColumnFormula>#REF!</calculatedColumnFormula>
    </tableColumn>
    <tableColumn id="5" name="2012" totalsRowFunction="sum" dataDxfId="297" totalsRowDxfId="296" dataCellStyle="Comma">
      <calculatedColumnFormula>#REF!</calculatedColumnFormula>
    </tableColumn>
    <tableColumn id="6" name="2017" totalsRowFunction="sum" dataDxfId="295" totalsRowDxfId="294" dataCellStyle="Comma">
      <calculatedColumnFormula>#REF!</calculatedColumnFormula>
    </tableColumn>
    <tableColumn id="7" name="2022" totalsRowFunction="sum" dataDxfId="293" totalsRowDxfId="292" dataCellStyle="Comma">
      <calculatedColumnFormula>#REF!</calculatedColumnFormula>
    </tableColumn>
    <tableColumn id="8" name="2027" totalsRowFunction="sum" dataDxfId="291" totalsRowDxfId="290" dataCellStyle="Comma">
      <calculatedColumnFormula>#REF!</calculatedColumnFormula>
    </tableColumn>
    <tableColumn id="9" name="2032" totalsRowFunction="sum" dataDxfId="289" totalsRowDxfId="288" dataCellStyle="Comma">
      <calculatedColumnFormula>#REF!</calculatedColumnFormula>
    </tableColumn>
    <tableColumn id="10" name="2037" totalsRowFunction="sum" dataDxfId="287" totalsRowDxfId="286" dataCellStyle="Comma">
      <calculatedColumnFormula>#REF!</calculatedColumnFormula>
    </tableColumn>
    <tableColumn id="11" name="2042" totalsRowFunction="sum" dataDxfId="285" totalsRowDxfId="284" dataCellStyle="Comma">
      <calculatedColumnFormula>#REF!</calculatedColumnFormula>
    </tableColumn>
    <tableColumn id="12" name="2047" totalsRowFunction="sum" dataDxfId="283" totalsRowDxfId="282" dataCellStyle="Comma">
      <calculatedColumnFormula>#REF!</calculatedColumnFormula>
    </tableColumn>
    <tableColumn id="13" name="2052" totalsRowFunction="sum" dataDxfId="281" totalsRowDxfId="280" dataCellStyle="Comma">
      <calculatedColumnFormula>#REF!</calculatedColumnFormula>
    </tableColumn>
  </tableColumns>
  <tableStyleInfo name="EnergyCalcTables" showFirstColumn="0" showLastColumn="0" showRowStripes="1" showColumnStripes="0"/>
</table>
</file>

<file path=xl/tables/table113.xml><?xml version="1.0" encoding="utf-8"?>
<table xmlns="http://schemas.openxmlformats.org/spreadsheetml/2006/main" id="45" name="XVI.b.info" displayName="XVI.b.info" ref="C57:O58" insertRow="1" totalsRowShown="0" headerRowDxfId="279" dataDxfId="277" totalsRowDxfId="275" headerRowBorderDxfId="278" tableBorderDxfId="276" dataCellStyle="Comma">
  <autoFilter ref="C57:O58"/>
  <tableColumns count="13">
    <tableColumn id="1" name="Vector" dataDxfId="274" totalsRowDxfId="273"/>
    <tableColumn id="2" name="Information type" dataDxfId="272" totalsRowDxfId="271">
      <calculatedColumnFormula>INDEX([14]!Vectors[Description], MATCH([Vector], [14]!Vectors[Code], 0))</calculatedColumnFormula>
    </tableColumn>
    <tableColumn id="3" name="Notes" dataDxfId="270" totalsRowDxfId="269">
      <calculatedColumnFormula>INDEX([14]!Vectors[Comment], MATCH([Information type], [14]!Vectors[Description], 0))</calculatedColumnFormula>
    </tableColumn>
    <tableColumn id="4" name="2007" dataDxfId="268" totalsRowDxfId="267" dataCellStyle="Comma"/>
    <tableColumn id="5" name="2012" dataDxfId="266" totalsRowDxfId="265" dataCellStyle="Comma"/>
    <tableColumn id="6" name="2017" dataDxfId="264" totalsRowDxfId="263" dataCellStyle="Comma"/>
    <tableColumn id="7" name="2022" dataDxfId="262" totalsRowDxfId="261" dataCellStyle="Comma"/>
    <tableColumn id="8" name="2027" dataDxfId="260" totalsRowDxfId="259" dataCellStyle="Comma"/>
    <tableColumn id="9" name="2032" dataDxfId="258" totalsRowDxfId="257" dataCellStyle="Comma"/>
    <tableColumn id="10" name="2037" dataDxfId="256" totalsRowDxfId="255" dataCellStyle="Comma"/>
    <tableColumn id="11" name="2042" dataDxfId="254" totalsRowDxfId="253" dataCellStyle="Comma"/>
    <tableColumn id="12" name="2047" dataDxfId="252" totalsRowDxfId="251" dataCellStyle="Comma"/>
    <tableColumn id="13" name="2052" dataDxfId="250" totalsRowDxfId="249" dataCellStyle="Comma"/>
  </tableColumns>
  <tableStyleInfo name="EnergyCalcTables" showFirstColumn="0" showLastColumn="0" showRowStripes="1" showColumnStripes="0"/>
</table>
</file>

<file path=xl/tables/table114.xml><?xml version="1.0" encoding="utf-8"?>
<table xmlns="http://schemas.openxmlformats.org/spreadsheetml/2006/main" id="49" name="Table" displayName="Table" ref="C14:O15" totalsRowShown="0" headerRowDxfId="248" dataDxfId="246" headerRowBorderDxfId="247" tableBorderDxfId="245" dataCellStyle="ofwhich">
  <autoFilter ref="C14:O15"/>
  <tableColumns count="13">
    <tableColumn id="1" name="Vector" dataDxfId="244"/>
    <tableColumn id="2" name="Name" dataDxfId="243">
      <calculatedColumnFormula>INDEX(Vectors[Description], MATCH([Vector], Vectors[Code], 0))</calculatedColumnFormula>
    </tableColumn>
    <tableColumn id="3" name="Notes" dataDxfId="242"/>
    <tableColumn id="4" name="2007" dataDxfId="241" dataCellStyle="ofwhich">
      <calculatedColumnFormula>INDEX(INDIRECT("'"&amp;F$8&amp;"'!Year.NetBalance"), MATCH($C15, INDIRECT("'"&amp;F$8&amp;"'!Year.Vectors"), 0))</calculatedColumnFormula>
    </tableColumn>
    <tableColumn id="5" name="2012" dataDxfId="240" dataCellStyle="ofwhich">
      <calculatedColumnFormula>INDEX(INDIRECT("'"&amp;G$8&amp;"'!Year.NetBalance"), MATCH($C15, INDIRECT("'"&amp;G$8&amp;"'!Year.Vectors"), 0))</calculatedColumnFormula>
    </tableColumn>
    <tableColumn id="6" name="2017" dataDxfId="239" dataCellStyle="ofwhich">
      <calculatedColumnFormula>INDEX(INDIRECT("'"&amp;H$8&amp;"'!Year.NetBalance"), MATCH($C15, INDIRECT("'"&amp;H$8&amp;"'!Year.Vectors"), 0))</calculatedColumnFormula>
    </tableColumn>
    <tableColumn id="7" name="2022" dataDxfId="238" dataCellStyle="ofwhich">
      <calculatedColumnFormula>INDEX(INDIRECT("'"&amp;I$8&amp;"'!Year.NetBalance"), MATCH($C15, INDIRECT("'"&amp;I$8&amp;"'!Year.Vectors"), 0))</calculatedColumnFormula>
    </tableColumn>
    <tableColumn id="8" name="2027" dataDxfId="237" dataCellStyle="ofwhich">
      <calculatedColumnFormula>INDEX(INDIRECT("'"&amp;J$8&amp;"'!Year.NetBalance"), MATCH($C15, INDIRECT("'"&amp;J$8&amp;"'!Year.Vectors"), 0))</calculatedColumnFormula>
    </tableColumn>
    <tableColumn id="9" name="2032" dataDxfId="236" dataCellStyle="ofwhich">
      <calculatedColumnFormula>INDEX(INDIRECT("'"&amp;K$8&amp;"'!Year.NetBalance"), MATCH($C15, INDIRECT("'"&amp;K$8&amp;"'!Year.Vectors"), 0))</calculatedColumnFormula>
    </tableColumn>
    <tableColumn id="10" name="2037" dataDxfId="235" dataCellStyle="ofwhich">
      <calculatedColumnFormula>INDEX(INDIRECT("'"&amp;L$8&amp;"'!Year.NetBalance"), MATCH($C15, INDIRECT("'"&amp;L$8&amp;"'!Year.Vectors"), 0))</calculatedColumnFormula>
    </tableColumn>
    <tableColumn id="11" name="2042" dataDxfId="234" dataCellStyle="ofwhich">
      <calculatedColumnFormula>INDEX(INDIRECT("'"&amp;M$8&amp;"'!Year.NetBalance"), MATCH($C15, INDIRECT("'"&amp;M$8&amp;"'!Year.Vectors"), 0))</calculatedColumnFormula>
    </tableColumn>
    <tableColumn id="12" name="2047" dataDxfId="233" dataCellStyle="ofwhich">
      <calculatedColumnFormula>INDEX(INDIRECT("'"&amp;N$8&amp;"'!Year.NetBalance"), MATCH($C15, INDIRECT("'"&amp;N$8&amp;"'!Year.Vectors"), 0))</calculatedColumnFormula>
    </tableColumn>
    <tableColumn id="13" name="2052" dataDxfId="232" dataCellStyle="ofwhich">
      <calculatedColumnFormula>INDEX(INDIRECT("'"&amp;O$8&amp;"'!Year.NetBalance"), MATCH($C15, INDIRECT("'"&amp;O$8&amp;"'!Year.Vectors"), 0))</calculatedColumnFormula>
    </tableColumn>
  </tableColumns>
  <tableStyleInfo name="EnergyCalcTables" showFirstColumn="0" showLastColumn="0" showRowStripes="1" showColumnStripes="0"/>
</table>
</file>

<file path=xl/tables/table115.xml><?xml version="1.0" encoding="utf-8"?>
<table xmlns="http://schemas.openxmlformats.org/spreadsheetml/2006/main" id="62" name="Bioshare20263" displayName="Bioshare20263" ref="D289:BI292" totalsRowShown="0" headerRowDxfId="231" dataDxfId="230" headerRowCellStyle="Percent" dataCellStyle="Percent">
  <autoFilter ref="D289:BI292"/>
  <tableColumns count="58">
    <tableColumn id="1" name="Bio type" dataDxfId="229"/>
    <tableColumn id="2" name="Column1" dataDxfId="228"/>
    <tableColumn id="3" name="Column2" dataDxfId="227"/>
    <tableColumn id="15" name="Column22" dataDxfId="226"/>
    <tableColumn id="16" name="Column23" dataDxfId="225"/>
    <tableColumn id="17" name="Column24" dataDxfId="224"/>
    <tableColumn id="18" name="Column25" dataDxfId="223"/>
    <tableColumn id="19" name="Column26" dataDxfId="222"/>
    <tableColumn id="20" name="Column27" dataDxfId="221"/>
    <tableColumn id="21" name="Column28" dataDxfId="220"/>
    <tableColumn id="22" name="Column29" dataDxfId="219"/>
    <tableColumn id="23" name="Column30" dataDxfId="218"/>
    <tableColumn id="24" name="Column31" dataDxfId="217"/>
    <tableColumn id="25" name="Column32" dataDxfId="216"/>
    <tableColumn id="26" name="Column33" dataDxfId="215"/>
    <tableColumn id="27" name="Column34" dataDxfId="214"/>
    <tableColumn id="28" name="Column35" dataDxfId="213"/>
    <tableColumn id="29" name="Column36" dataDxfId="212"/>
    <tableColumn id="30" name="Column37" dataDxfId="211"/>
    <tableColumn id="31" name="Column38" dataDxfId="210"/>
    <tableColumn id="32" name="Column39" dataDxfId="209"/>
    <tableColumn id="33" name="Column40" dataDxfId="208"/>
    <tableColumn id="34" name="Column41" dataDxfId="207"/>
    <tableColumn id="35" name="Column42" dataDxfId="206"/>
    <tableColumn id="36" name="Column43" dataDxfId="205"/>
    <tableColumn id="37" name="Column44" dataDxfId="204"/>
    <tableColumn id="38" name="Column45" dataDxfId="203"/>
    <tableColumn id="39" name="Column46" dataDxfId="202"/>
    <tableColumn id="40" name="Column47" dataDxfId="201"/>
    <tableColumn id="41" name="Column48" dataDxfId="200"/>
    <tableColumn id="42" name="Column49" dataDxfId="199"/>
    <tableColumn id="43" name="Column50" dataDxfId="198"/>
    <tableColumn id="44" name="Column51" dataDxfId="197"/>
    <tableColumn id="45" name="Column52" dataDxfId="196"/>
    <tableColumn id="46" name="Column53" dataDxfId="195"/>
    <tableColumn id="47" name="Column54" dataDxfId="194"/>
    <tableColumn id="48" name="Column55" dataDxfId="193"/>
    <tableColumn id="49" name="Column56" dataDxfId="192"/>
    <tableColumn id="50" name="Column57" dataDxfId="191"/>
    <tableColumn id="51" name="Column58" dataDxfId="190"/>
    <tableColumn id="52" name="Column59" dataDxfId="189"/>
    <tableColumn id="53" name="Column60" dataDxfId="188"/>
    <tableColumn id="54" name="Column61" dataDxfId="187"/>
    <tableColumn id="58" name="Column612" dataDxfId="186"/>
    <tableColumn id="55" name="Column62" dataDxfId="185"/>
    <tableColumn id="56" name="Column63" dataDxfId="184"/>
    <tableColumn id="4" name="Column3" dataDxfId="183"/>
    <tableColumn id="5" name="2007" dataDxfId="182" dataCellStyle="Percent"/>
    <tableColumn id="57" name="2008" dataDxfId="181" dataCellStyle="Percent"/>
    <tableColumn id="6" name="2012" dataDxfId="180" dataCellStyle="Percent"/>
    <tableColumn id="7" name="2017" dataDxfId="179" dataCellStyle="Percent"/>
    <tableColumn id="8" name="2022" dataDxfId="178" dataCellStyle="Percent"/>
    <tableColumn id="9" name="2027" dataDxfId="177" dataCellStyle="Percent"/>
    <tableColumn id="10" name="2032" dataDxfId="176" dataCellStyle="Percent"/>
    <tableColumn id="11" name="2037" dataDxfId="175" dataCellStyle="Percent"/>
    <tableColumn id="12" name="2042" dataDxfId="174" dataCellStyle="Percent"/>
    <tableColumn id="13" name="2047" dataDxfId="173" dataCellStyle="Percent"/>
    <tableColumn id="14" name="2052" dataDxfId="172" dataCellStyle="Percent"/>
  </tableColumns>
  <tableStyleInfo name="TableStyleMedium9" showFirstColumn="0" showLastColumn="0" showRowStripes="1" showColumnStripes="0"/>
</table>
</file>

<file path=xl/tables/table116.xml><?xml version="1.0" encoding="utf-8"?>
<table xmlns="http://schemas.openxmlformats.org/spreadsheetml/2006/main" id="8" name="XI.emissions" displayName="XI.emissions" ref="B670:N674" totalsRowCount="1" headerRowDxfId="142" dataDxfId="140" headerRowBorderDxfId="141" tableBorderDxfId="139" dataCellStyle="Comma">
  <autoFilter ref="B670:N673"/>
  <tableColumns count="13">
    <tableColumn id="1" name="GHG" totalsRowLabel="Total" dataDxfId="138" totalsRowDxfId="137"/>
    <tableColumn id="2" name="IPCC Sector" dataDxfId="136" totalsRowDxfId="135"/>
    <tableColumn id="3" name="Notes" dataDxfId="134" totalsRowDxfId="133">
      <calculatedColumnFormula>INDEX([15]!IPCC[Sector_description], MATCH([IPCC Sector], [15]!IPCC[Sector_code], 0))</calculatedColumnFormula>
    </tableColumn>
    <tableColumn id="4" name="2007" totalsRowFunction="sum" dataDxfId="132" totalsRowDxfId="131" dataCellStyle="Comma">
      <calculatedColumnFormula>SUM(F642,F621,F602,F583,F564,F544,F525,F506)</calculatedColumnFormula>
    </tableColumn>
    <tableColumn id="5" name="2012" totalsRowFunction="sum" dataDxfId="130" totalsRowDxfId="129" dataCellStyle="Comma">
      <calculatedColumnFormula>SUM(G642,G621,G602,G583,G564,G544,G525,G506)</calculatedColumnFormula>
    </tableColumn>
    <tableColumn id="6" name="2017" totalsRowFunction="sum" dataDxfId="128" totalsRowDxfId="127" dataCellStyle="Comma">
      <calculatedColumnFormula>SUM(H642,H621,H602,H583,H564,H544,H525,H506)</calculatedColumnFormula>
    </tableColumn>
    <tableColumn id="7" name="2022" totalsRowFunction="sum" dataDxfId="126" totalsRowDxfId="125" dataCellStyle="Comma">
      <calculatedColumnFormula>SUM(I642,I621,I602,I583,I564,I544,I525,I506)</calculatedColumnFormula>
    </tableColumn>
    <tableColumn id="8" name="2027" totalsRowFunction="sum" dataDxfId="124" totalsRowDxfId="123" dataCellStyle="Comma">
      <calculatedColumnFormula>SUM(J642,J621,J602,J583,J564,J544,J525,J506)</calculatedColumnFormula>
    </tableColumn>
    <tableColumn id="9" name="2032" totalsRowFunction="sum" dataDxfId="122" totalsRowDxfId="121" dataCellStyle="Comma">
      <calculatedColumnFormula>SUM(K642,K621,K602,K583,K564,K544,K525,K506)</calculatedColumnFormula>
    </tableColumn>
    <tableColumn id="10" name="2037" totalsRowFunction="sum" dataDxfId="120" totalsRowDxfId="119" dataCellStyle="Comma">
      <calculatedColumnFormula>SUM(L642,L621,L602,L583,L564,L544,L525,L506)</calculatedColumnFormula>
    </tableColumn>
    <tableColumn id="11" name="2042" totalsRowFunction="sum" dataDxfId="118" totalsRowDxfId="117" dataCellStyle="Comma">
      <calculatedColumnFormula>SUM(M642,M621,M602,M583,M564,M544,M525,M506)</calculatedColumnFormula>
    </tableColumn>
    <tableColumn id="12" name="2047" totalsRowFunction="sum" dataDxfId="116" totalsRowDxfId="115" dataCellStyle="Comma">
      <calculatedColumnFormula>SUM(N642,N621,N602,N583,N564,N544,N525,N506)</calculatedColumnFormula>
    </tableColumn>
    <tableColumn id="13" name="2052" totalsRowFunction="sum" dataDxfId="114" totalsRowDxfId="113" dataCellStyle="Comma">
      <calculatedColumnFormula>SUM(O642,O621,O602,O583,O564,O544,O525,O506)</calculatedColumnFormula>
    </tableColumn>
  </tableColumns>
  <tableStyleInfo name="EnergyCalcTables" showFirstColumn="0" showLastColumn="0" showRowStripes="1" showColumnStripes="0"/>
</table>
</file>

<file path=xl/tables/table117.xml><?xml version="1.0" encoding="utf-8"?>
<table xmlns="http://schemas.openxmlformats.org/spreadsheetml/2006/main" id="70" name="II.b.info143" displayName="II.b.info143" ref="B680:N683" totalsRowShown="0" headerRowDxfId="112" dataDxfId="110" totalsRowDxfId="108" headerRowBorderDxfId="111" tableBorderDxfId="109" dataCellStyle="Comma">
  <autoFilter ref="B680:N683"/>
  <tableColumns count="13">
    <tableColumn id="1" name="Vector" dataDxfId="107" totalsRowDxfId="106"/>
    <tableColumn id="2" name="Information type" dataDxfId="105" totalsRowDxfId="104"/>
    <tableColumn id="3" name="Notes" dataDxfId="103" totalsRowDxfId="102"/>
    <tableColumn id="4" name="2007" dataDxfId="101" totalsRowDxfId="100" dataCellStyle="Comma"/>
    <tableColumn id="5" name="2012" dataDxfId="99" totalsRowDxfId="98" dataCellStyle="Comma"/>
    <tableColumn id="6" name="2017" dataDxfId="97" totalsRowDxfId="96" dataCellStyle="Comma"/>
    <tableColumn id="7" name="2022" dataDxfId="95" totalsRowDxfId="94" dataCellStyle="Comma"/>
    <tableColumn id="8" name="2027" dataDxfId="93" totalsRowDxfId="92" dataCellStyle="Comma"/>
    <tableColumn id="9" name="2032" dataDxfId="91" totalsRowDxfId="90" dataCellStyle="Comma"/>
    <tableColumn id="10" name="2037" dataDxfId="89" totalsRowDxfId="88" dataCellStyle="Comma"/>
    <tableColumn id="11" name="2042" dataDxfId="87" totalsRowDxfId="86" dataCellStyle="Comma"/>
    <tableColumn id="12" name="2047" dataDxfId="85" totalsRowDxfId="84" dataCellStyle="Comma"/>
    <tableColumn id="13" name="2052" dataDxfId="83" totalsRowDxfId="82" dataCellStyle="Comma"/>
  </tableColumns>
  <tableStyleInfo name="EnergyCalcTables" showFirstColumn="0" showLastColumn="0" showRowStripes="1" showColumnStripes="0"/>
</table>
</file>

<file path=xl/tables/table118.xml><?xml version="1.0" encoding="utf-8"?>
<table xmlns="http://schemas.openxmlformats.org/spreadsheetml/2006/main" id="71" name="XI.outputs" displayName="XI.outputs" ref="B657:N663" totalsRowShown="0" headerRowDxfId="81" dataDxfId="80" tableBorderDxfId="79" dataCellStyle="Comma">
  <autoFilter ref="B657:N663"/>
  <tableColumns count="13">
    <tableColumn id="1" name="Vector" dataDxfId="78"/>
    <tableColumn id="2" name="Name" dataDxfId="77"/>
    <tableColumn id="3" name="Notes" dataDxfId="76"/>
    <tableColumn id="4" name="2007" dataDxfId="75" dataCellStyle="Comma"/>
    <tableColumn id="5" name="2012" dataDxfId="74" dataCellStyle="Comma"/>
    <tableColumn id="6" name="2017" dataDxfId="73" dataCellStyle="Comma"/>
    <tableColumn id="7" name="2022" dataDxfId="72" dataCellStyle="Comma"/>
    <tableColumn id="8" name="2027" dataDxfId="71" dataCellStyle="Comma"/>
    <tableColumn id="9" name="2032" dataDxfId="70" dataCellStyle="Comma"/>
    <tableColumn id="10" name="2037" dataDxfId="69" dataCellStyle="Comma"/>
    <tableColumn id="11" name="2042" dataDxfId="68" dataCellStyle="Comma"/>
    <tableColumn id="12" name="2047" dataDxfId="67" dataCellStyle="Comma"/>
    <tableColumn id="13" name="2052" dataDxfId="66" dataCellStyle="Comma"/>
  </tableColumns>
  <tableStyleInfo name="TableStyleMedium2" showFirstColumn="0" showLastColumn="0" showRowStripes="1" showColumnStripes="0"/>
</table>
</file>

<file path=xl/tables/table119.xml><?xml version="1.0" encoding="utf-8"?>
<table xmlns="http://schemas.openxmlformats.org/spreadsheetml/2006/main" id="16" name="Global.Assumptions" displayName="Global.Assumptions" ref="B5:G16" totalsRowCount="1" headerRowDxfId="65" dataDxfId="64">
  <autoFilter ref="B5:G15"/>
  <tableColumns count="6">
    <tableColumn id="1" name="Year" dataDxfId="63" totalsRowDxfId="62"/>
    <tableColumn id="2" name="Population" totalsRowFunction="average" dataDxfId="61" totalsRowDxfId="60" dataCellStyle="Comma 2 4"/>
    <tableColumn id="3" name="RuralHouseholds" dataDxfId="59" totalsRowDxfId="58" dataCellStyle="Comma"/>
    <tableColumn id="4" name="Urban Households" dataDxfId="57" totalsRowDxfId="56"/>
    <tableColumn id="5" name="GDP*" dataDxfId="55" totalsRowDxfId="54" dataCellStyle="Comma">
      <calculatedColumnFormula>83.53*10^5*INRCr</calculatedColumnFormula>
    </tableColumn>
    <tableColumn id="6" name="GDP per Capita" dataDxfId="53" totalsRowDxfId="52">
      <calculatedColumnFormula>Global.Assumptions[[#This Row],[GDP*]]/Global.Assumptions[[#This Row],[Population]]</calculatedColumnFormula>
    </tableColumn>
  </tableColumns>
  <tableStyleInfo name="EnergyCalcTables" showFirstColumn="0" showLastColumn="0" showRowStripes="0" showColumnStripes="0"/>
</table>
</file>

<file path=xl/tables/table120.xml><?xml version="1.0" encoding="utf-8"?>
<table xmlns="http://schemas.openxmlformats.org/spreadsheetml/2006/main" id="33" name="EF" displayName="EF" ref="B45:H91" totalsRowShown="0" headerRowDxfId="51" dataDxfId="50">
  <autoFilter ref="B45:H91"/>
  <tableColumns count="7">
    <tableColumn id="1" name="Vector" dataDxfId="49"/>
    <tableColumn id="6" name="Description" dataDxfId="48">
      <calculatedColumnFormula>INDEX(Vectors[Description], MATCH([Vector], Vectors[Code], 0))</calculatedColumnFormula>
    </tableColumn>
    <tableColumn id="2" name="CO2" dataDxfId="47" dataCellStyle="Comma"/>
    <tableColumn id="3" name="CH4" dataDxfId="46" dataCellStyle="Comma"/>
    <tableColumn id="4" name="N2O" dataDxfId="45" dataCellStyle="Comma"/>
    <tableColumn id="7" name="CO2e" dataDxfId="44" dataCellStyle="Comma">
      <calculatedColumnFormula>SUM(EF[[#This Row],[CO2]:[N2O]])</calculatedColumnFormula>
    </tableColumn>
    <tableColumn id="5" name="Comments" dataDxfId="43"/>
  </tableColumns>
  <tableStyleInfo name="TableStyleMedium12" showFirstColumn="0" showLastColumn="0" showRowStripes="1" showColumnStripes="0"/>
</table>
</file>

<file path=xl/tables/table121.xml><?xml version="1.0" encoding="utf-8"?>
<table xmlns="http://schemas.openxmlformats.org/spreadsheetml/2006/main" id="22" name="Constants.BM_AQ_Emis" displayName="Constants.BM_AQ_Emis" ref="E34:I37" totalsRowShown="0">
  <autoFilter ref="E34:I37"/>
  <tableColumns count="5">
    <tableColumn id="1" name="Fueltype"/>
    <tableColumn id="2" name="PM10" dataDxfId="42"/>
    <tableColumn id="3" name="NOX" dataDxfId="41"/>
    <tableColumn id="4" name="SO2" dataDxfId="40"/>
    <tableColumn id="5" name="NMVOC" dataDxfId="39"/>
  </tableColumns>
  <tableStyleInfo name="TableStyleMedium9" showFirstColumn="0" showLastColumn="0" showRowStripes="1" showColumnStripes="0"/>
</table>
</file>

<file path=xl/tables/table122.xml><?xml version="1.0" encoding="utf-8"?>
<table xmlns="http://schemas.openxmlformats.org/spreadsheetml/2006/main" id="2" name="Workstreams" displayName="Workstreams" ref="B6:C24" totalsRowShown="0" headerRowDxfId="38" dataDxfId="37">
  <autoFilter ref="B6:C24"/>
  <tableColumns count="2">
    <tableColumn id="1" name="Code" dataDxfId="36"/>
    <tableColumn id="2" name="Workstream" dataDxfId="35"/>
  </tableColumns>
  <tableStyleInfo name="TableStyleMedium9" showFirstColumn="0" showLastColumn="0" showRowStripes="1" showColumnStripes="0"/>
</table>
</file>

<file path=xl/tables/table123.xml><?xml version="1.0" encoding="utf-8"?>
<table xmlns="http://schemas.openxmlformats.org/spreadsheetml/2006/main" id="5" name="Modules" displayName="Modules" ref="F6:J45" totalsRowShown="0" headerRowDxfId="34" dataDxfId="33">
  <autoFilter ref="F6:J45"/>
  <sortState ref="J5:Q20">
    <sortCondition ref="J3:J19"/>
  </sortState>
  <tableColumns count="5">
    <tableColumn id="1" name="Code" dataDxfId="32"/>
    <tableColumn id="2" name="Module" dataDxfId="31"/>
    <tableColumn id="7" name="WS Code" dataDxfId="30">
      <calculatedColumnFormula>LEFT([Code], FIND(".", [Code])-1)</calculatedColumnFormula>
    </tableColumn>
    <tableColumn id="6" name="Workstream" dataDxfId="29">
      <calculatedColumnFormula>INDEX(Workstreams[Workstream], MATCH([WS Code], Workstreams[Code], 0))</calculatedColumnFormula>
    </tableColumn>
    <tableColumn id="3" name="Comments" dataDxfId="28"/>
  </tableColumns>
  <tableStyleInfo name="TableStyleMedium9" showFirstColumn="0" showLastColumn="0" showRowStripes="1" showColumnStripes="0"/>
</table>
</file>

<file path=xl/tables/table124.xml><?xml version="1.0" encoding="utf-8"?>
<table xmlns="http://schemas.openxmlformats.org/spreadsheetml/2006/main" id="1" name="Vectors" displayName="Vectors" ref="M6:Q81" totalsRowShown="0" headerRowDxfId="27" dataDxfId="26">
  <autoFilter ref="M6:Q81"/>
  <tableColumns count="5">
    <tableColumn id="1" name="Category" dataDxfId="25"/>
    <tableColumn id="2" name="Subcategory" dataDxfId="24"/>
    <tableColumn id="3" name="Code" dataDxfId="23"/>
    <tableColumn id="4" name="Description" dataDxfId="22"/>
    <tableColumn id="5" name="Comment" dataDxfId="21"/>
  </tableColumns>
  <tableStyleInfo name="TableStyleMedium10" showFirstColumn="0" showLastColumn="0" showRowStripes="1" showColumnStripes="0"/>
</table>
</file>

<file path=xl/tables/table125.xml><?xml version="1.0" encoding="utf-8"?>
<table xmlns="http://schemas.openxmlformats.org/spreadsheetml/2006/main" id="31" name="IPCC" displayName="IPCC" ref="T6:V17" totalsRowShown="0" headerRowDxfId="20" dataDxfId="19">
  <autoFilter ref="T6:V17"/>
  <tableColumns count="3">
    <tableColumn id="1" name="Sector_code" dataDxfId="18"/>
    <tableColumn id="2" name="Sector_description" dataDxfId="17"/>
    <tableColumn id="3" name="Comment" dataDxfId="16"/>
  </tableColumns>
  <tableStyleInfo name="TableStyleMedium11" showFirstColumn="0" showLastColumn="0" showRowStripes="1" showColumnStripes="0"/>
</table>
</file>

<file path=xl/tables/table126.xml><?xml version="1.0" encoding="utf-8"?>
<table xmlns="http://schemas.openxmlformats.org/spreadsheetml/2006/main" id="32" name="GHG" displayName="GHG" ref="T22:V26" totalsRowShown="0" headerRowDxfId="15" dataDxfId="14">
  <autoFilter ref="T22:V26"/>
  <tableColumns count="3">
    <tableColumn id="1" name="GHG_code" dataDxfId="13"/>
    <tableColumn id="2" name="GHG_description" dataDxfId="12"/>
    <tableColumn id="3" name="Comment" dataDxfId="11"/>
  </tableColumns>
  <tableStyleInfo name="TableStyleMedium11" showFirstColumn="0" showLastColumn="0" showRowStripes="1" showColumnStripes="0"/>
</table>
</file>

<file path=xl/tables/table127.xml><?xml version="1.0" encoding="utf-8"?>
<table xmlns="http://schemas.openxmlformats.org/spreadsheetml/2006/main" id="96" name="CostVectors" displayName="CostVectors" ref="X6:Z17" totalsRowShown="0" headerRowBorderDxfId="10" tableBorderDxfId="9">
  <autoFilter ref="X6:Z17"/>
  <sortState ref="AS9:AU14">
    <sortCondition ref="AS4:AS10"/>
  </sortState>
  <tableColumns count="3">
    <tableColumn id="1" name="Code" dataDxfId="8"/>
    <tableColumn id="2" name="Description" dataDxfId="7"/>
    <tableColumn id="3" name="Comment" dataDxfId="6"/>
  </tableColumns>
  <tableStyleInfo name="EnergyCalcTables" showFirstColumn="0" showLastColumn="0" showRowStripes="1" showColumnStripes="0"/>
</table>
</file>

<file path=xl/tables/table128.xml><?xml version="1.0" encoding="utf-8"?>
<table xmlns="http://schemas.openxmlformats.org/spreadsheetml/2006/main" id="30" name="AirQualityVectors" displayName="AirQualityVectors" ref="X21:Z25" totalsRowShown="0" headerRowDxfId="5" dataDxfId="4">
  <autoFilter ref="X21:Z25"/>
  <tableColumns count="3">
    <tableColumn id="1" name="Code" dataDxfId="3"/>
    <tableColumn id="2" name="Description" dataDxfId="2"/>
    <tableColumn id="3" name="Comments" dataDxfId="1"/>
  </tableColumns>
  <tableStyleInfo name="TableStyleMedium9" showFirstColumn="0" showLastColumn="0" showRowStripes="1" showColumnStripes="0"/>
</table>
</file>

<file path=xl/tables/table129.xml><?xml version="1.0" encoding="utf-8"?>
<table xmlns="http://schemas.openxmlformats.org/spreadsheetml/2006/main" id="128" name="Table128" displayName="Table128" ref="I1:J3" totalsRowShown="0">
  <autoFilter ref="I1:J3"/>
  <tableColumns count="2">
    <tableColumn id="1" name="ty"/>
    <tableColumn id="2" name="yu"/>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
      <a:majorFont>
        <a:latin typeface="Calibri"/>
        <a:ea typeface=""/>
        <a:cs typeface=""/>
        <a:font script="Jpan" typeface="HGｺﾞｼｯｸM"/>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majorFont>
      <a:minorFont>
        <a:latin typeface="Cambria"/>
        <a:ea typeface=""/>
        <a:cs typeface=""/>
        <a:font script="Jpan" typeface="HG明朝B"/>
        <a:font script="Hang" typeface="맑은 고딕"/>
        <a:font script="Hans" typeface="黑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drawing" Target="../drawings/drawing1.xml"/><Relationship Id="rId6" Type="http://schemas.openxmlformats.org/officeDocument/2006/relationships/comments" Target="../comments1.xml"/><Relationship Id="rId5" Type="http://schemas.openxmlformats.org/officeDocument/2006/relationships/table" Target="../tables/table3.xm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vmlDrawing" Target="../drawings/vmlDrawing2.vml"/><Relationship Id="rId6" Type="http://schemas.openxmlformats.org/officeDocument/2006/relationships/comments" Target="../comments2.xml"/><Relationship Id="rId5" Type="http://schemas.openxmlformats.org/officeDocument/2006/relationships/table" Target="../tables/table7.xml"/><Relationship Id="rId4" Type="http://schemas.openxmlformats.org/officeDocument/2006/relationships/table" Target="../tables/table6.xml"/></Relationships>
</file>

<file path=xl/worksheets/_rels/sheet3.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vmlDrawing" Target="../drawings/vmlDrawing3.vml"/><Relationship Id="rId5" Type="http://schemas.openxmlformats.org/officeDocument/2006/relationships/comments" Target="../comments3.xml"/><Relationship Id="rId4"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vmlDrawing" Target="../drawings/vmlDrawing4.vml"/><Relationship Id="rId6" Type="http://schemas.openxmlformats.org/officeDocument/2006/relationships/comments" Target="../comments4.xml"/><Relationship Id="rId5" Type="http://schemas.openxmlformats.org/officeDocument/2006/relationships/table" Target="../tables/table14.xml"/><Relationship Id="rId4" Type="http://schemas.openxmlformats.org/officeDocument/2006/relationships/table" Target="../tables/table1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table" Target="../tables/table1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table" Target="../tables/table17.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table" Target="../tables/table19.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table" Target="../tables/table21.xml"/><Relationship Id="rId1" Type="http://schemas.openxmlformats.org/officeDocument/2006/relationships/vmlDrawing" Target="../drawings/vmlDrawing5.vml"/><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table" Target="../tables/table23.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table" Target="../tables/table25.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28.xml"/><Relationship Id="rId2" Type="http://schemas.openxmlformats.org/officeDocument/2006/relationships/table" Target="../tables/table27.xml"/><Relationship Id="rId1" Type="http://schemas.openxmlformats.org/officeDocument/2006/relationships/vmlDrawing" Target="../drawings/vmlDrawing6.vml"/><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30.xml"/><Relationship Id="rId2" Type="http://schemas.openxmlformats.org/officeDocument/2006/relationships/table" Target="../tables/table29.xml"/><Relationship Id="rId1" Type="http://schemas.openxmlformats.org/officeDocument/2006/relationships/vmlDrawing" Target="../drawings/vmlDrawing7.vml"/><Relationship Id="rId6" Type="http://schemas.openxmlformats.org/officeDocument/2006/relationships/comments" Target="../comments7.xml"/><Relationship Id="rId5" Type="http://schemas.openxmlformats.org/officeDocument/2006/relationships/table" Target="../tables/table32.xml"/><Relationship Id="rId4" Type="http://schemas.openxmlformats.org/officeDocument/2006/relationships/table" Target="../tables/table3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table" Target="../tables/table33.xml"/><Relationship Id="rId1" Type="http://schemas.openxmlformats.org/officeDocument/2006/relationships/vmlDrawing" Target="../drawings/vmlDrawing8.vml"/><Relationship Id="rId6" Type="http://schemas.openxmlformats.org/officeDocument/2006/relationships/comments" Target="../comments8.xml"/><Relationship Id="rId5" Type="http://schemas.openxmlformats.org/officeDocument/2006/relationships/table" Target="../tables/table36.xml"/><Relationship Id="rId4" Type="http://schemas.openxmlformats.org/officeDocument/2006/relationships/table" Target="../tables/table35.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38.xml"/><Relationship Id="rId1" Type="http://schemas.openxmlformats.org/officeDocument/2006/relationships/table" Target="../tables/table3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40.xml"/><Relationship Id="rId7" Type="http://schemas.openxmlformats.org/officeDocument/2006/relationships/comments" Target="../comments9.xml"/><Relationship Id="rId2" Type="http://schemas.openxmlformats.org/officeDocument/2006/relationships/table" Target="../tables/table39.xml"/><Relationship Id="rId1" Type="http://schemas.openxmlformats.org/officeDocument/2006/relationships/vmlDrawing" Target="../drawings/vmlDrawing9.vml"/><Relationship Id="rId6" Type="http://schemas.openxmlformats.org/officeDocument/2006/relationships/table" Target="../tables/table43.xml"/><Relationship Id="rId5" Type="http://schemas.openxmlformats.org/officeDocument/2006/relationships/table" Target="../tables/table42.xml"/><Relationship Id="rId4" Type="http://schemas.openxmlformats.org/officeDocument/2006/relationships/table" Target="../tables/table4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46.xml"/><Relationship Id="rId2" Type="http://schemas.openxmlformats.org/officeDocument/2006/relationships/table" Target="../tables/table45.xml"/><Relationship Id="rId1" Type="http://schemas.openxmlformats.org/officeDocument/2006/relationships/table" Target="../tables/table44.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49.xml"/><Relationship Id="rId2" Type="http://schemas.openxmlformats.org/officeDocument/2006/relationships/table" Target="../tables/table48.xml"/><Relationship Id="rId1" Type="http://schemas.openxmlformats.org/officeDocument/2006/relationships/table" Target="../tables/table47.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51.xml"/><Relationship Id="rId2" Type="http://schemas.openxmlformats.org/officeDocument/2006/relationships/table" Target="../tables/table50.xml"/><Relationship Id="rId1" Type="http://schemas.openxmlformats.org/officeDocument/2006/relationships/vmlDrawing" Target="../drawings/vmlDrawing10.vml"/><Relationship Id="rId4" Type="http://schemas.openxmlformats.org/officeDocument/2006/relationships/comments" Target="../comments10.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54.xml"/><Relationship Id="rId2" Type="http://schemas.openxmlformats.org/officeDocument/2006/relationships/table" Target="../tables/table53.xml"/><Relationship Id="rId1" Type="http://schemas.openxmlformats.org/officeDocument/2006/relationships/table" Target="../tables/table5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56.xml"/><Relationship Id="rId2" Type="http://schemas.openxmlformats.org/officeDocument/2006/relationships/table" Target="../tables/table55.xml"/><Relationship Id="rId1" Type="http://schemas.openxmlformats.org/officeDocument/2006/relationships/vmlDrawing" Target="../drawings/vmlDrawing11.vml"/><Relationship Id="rId5" Type="http://schemas.openxmlformats.org/officeDocument/2006/relationships/comments" Target="../comments11.xml"/><Relationship Id="rId4" Type="http://schemas.openxmlformats.org/officeDocument/2006/relationships/table" Target="../tables/table57.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59.xml"/><Relationship Id="rId2" Type="http://schemas.openxmlformats.org/officeDocument/2006/relationships/table" Target="../tables/table58.xml"/><Relationship Id="rId1" Type="http://schemas.openxmlformats.org/officeDocument/2006/relationships/vmlDrawing" Target="../drawings/vmlDrawing12.vml"/><Relationship Id="rId6" Type="http://schemas.openxmlformats.org/officeDocument/2006/relationships/comments" Target="../comments12.xml"/><Relationship Id="rId5" Type="http://schemas.openxmlformats.org/officeDocument/2006/relationships/table" Target="../tables/table61.xml"/><Relationship Id="rId4" Type="http://schemas.openxmlformats.org/officeDocument/2006/relationships/table" Target="../tables/table60.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64.xml"/><Relationship Id="rId2" Type="http://schemas.openxmlformats.org/officeDocument/2006/relationships/table" Target="../tables/table63.xml"/><Relationship Id="rId1" Type="http://schemas.openxmlformats.org/officeDocument/2006/relationships/table" Target="../tables/table62.xml"/><Relationship Id="rId4" Type="http://schemas.openxmlformats.org/officeDocument/2006/relationships/table" Target="../tables/table65.xml"/></Relationships>
</file>

<file path=xl/worksheets/_rels/sheet23.xml.rels><?xml version="1.0" encoding="UTF-8" standalone="yes"?>
<Relationships xmlns="http://schemas.openxmlformats.org/package/2006/relationships"><Relationship Id="rId8" Type="http://schemas.openxmlformats.org/officeDocument/2006/relationships/table" Target="../tables/table72.xml"/><Relationship Id="rId3" Type="http://schemas.openxmlformats.org/officeDocument/2006/relationships/table" Target="../tables/table67.xml"/><Relationship Id="rId7" Type="http://schemas.openxmlformats.org/officeDocument/2006/relationships/table" Target="../tables/table71.xml"/><Relationship Id="rId2" Type="http://schemas.openxmlformats.org/officeDocument/2006/relationships/table" Target="../tables/table66.xml"/><Relationship Id="rId1" Type="http://schemas.openxmlformats.org/officeDocument/2006/relationships/vmlDrawing" Target="../drawings/vmlDrawing13.vml"/><Relationship Id="rId6" Type="http://schemas.openxmlformats.org/officeDocument/2006/relationships/table" Target="../tables/table70.xml"/><Relationship Id="rId11" Type="http://schemas.openxmlformats.org/officeDocument/2006/relationships/comments" Target="../comments13.xml"/><Relationship Id="rId5" Type="http://schemas.openxmlformats.org/officeDocument/2006/relationships/table" Target="../tables/table69.xml"/><Relationship Id="rId10" Type="http://schemas.openxmlformats.org/officeDocument/2006/relationships/table" Target="../tables/table74.xml"/><Relationship Id="rId4" Type="http://schemas.openxmlformats.org/officeDocument/2006/relationships/table" Target="../tables/table68.xml"/><Relationship Id="rId9" Type="http://schemas.openxmlformats.org/officeDocument/2006/relationships/table" Target="../tables/table73.xml"/></Relationships>
</file>

<file path=xl/worksheets/_rels/sheet24.xml.rels><?xml version="1.0" encoding="UTF-8" standalone="yes"?>
<Relationships xmlns="http://schemas.openxmlformats.org/package/2006/relationships"><Relationship Id="rId8" Type="http://schemas.openxmlformats.org/officeDocument/2006/relationships/table" Target="../tables/table82.xml"/><Relationship Id="rId13" Type="http://schemas.openxmlformats.org/officeDocument/2006/relationships/table" Target="../tables/table87.xml"/><Relationship Id="rId3" Type="http://schemas.openxmlformats.org/officeDocument/2006/relationships/table" Target="../tables/table77.xml"/><Relationship Id="rId7" Type="http://schemas.openxmlformats.org/officeDocument/2006/relationships/table" Target="../tables/table81.xml"/><Relationship Id="rId12" Type="http://schemas.openxmlformats.org/officeDocument/2006/relationships/table" Target="../tables/table86.xml"/><Relationship Id="rId2" Type="http://schemas.openxmlformats.org/officeDocument/2006/relationships/table" Target="../tables/table76.xml"/><Relationship Id="rId1" Type="http://schemas.openxmlformats.org/officeDocument/2006/relationships/table" Target="../tables/table75.xml"/><Relationship Id="rId6" Type="http://schemas.openxmlformats.org/officeDocument/2006/relationships/table" Target="../tables/table80.xml"/><Relationship Id="rId11" Type="http://schemas.openxmlformats.org/officeDocument/2006/relationships/table" Target="../tables/table85.xml"/><Relationship Id="rId5" Type="http://schemas.openxmlformats.org/officeDocument/2006/relationships/table" Target="../tables/table79.xml"/><Relationship Id="rId10" Type="http://schemas.openxmlformats.org/officeDocument/2006/relationships/table" Target="../tables/table84.xml"/><Relationship Id="rId4" Type="http://schemas.openxmlformats.org/officeDocument/2006/relationships/table" Target="../tables/table78.xml"/><Relationship Id="rId9" Type="http://schemas.openxmlformats.org/officeDocument/2006/relationships/table" Target="../tables/table83.xml"/></Relationships>
</file>

<file path=xl/worksheets/_rels/sheet25.xml.rels><?xml version="1.0" encoding="UTF-8" standalone="yes"?>
<Relationships xmlns="http://schemas.openxmlformats.org/package/2006/relationships"><Relationship Id="rId2" Type="http://schemas.openxmlformats.org/officeDocument/2006/relationships/table" Target="../tables/table89.xml"/><Relationship Id="rId1" Type="http://schemas.openxmlformats.org/officeDocument/2006/relationships/table" Target="../tables/table88.xml"/></Relationships>
</file>

<file path=xl/worksheets/_rels/sheet26.xml.rels><?xml version="1.0" encoding="UTF-8" standalone="yes"?>
<Relationships xmlns="http://schemas.openxmlformats.org/package/2006/relationships"><Relationship Id="rId2" Type="http://schemas.openxmlformats.org/officeDocument/2006/relationships/table" Target="../tables/table91.xml"/><Relationship Id="rId1" Type="http://schemas.openxmlformats.org/officeDocument/2006/relationships/table" Target="../tables/table90.xml"/></Relationships>
</file>

<file path=xl/worksheets/_rels/sheet27.xml.rels><?xml version="1.0" encoding="UTF-8" standalone="yes"?>
<Relationships xmlns="http://schemas.openxmlformats.org/package/2006/relationships"><Relationship Id="rId3" Type="http://schemas.openxmlformats.org/officeDocument/2006/relationships/table" Target="../tables/table93.xml"/><Relationship Id="rId2" Type="http://schemas.openxmlformats.org/officeDocument/2006/relationships/table" Target="../tables/table92.xml"/><Relationship Id="rId1" Type="http://schemas.openxmlformats.org/officeDocument/2006/relationships/vmlDrawing" Target="../drawings/vmlDrawing14.vml"/><Relationship Id="rId6" Type="http://schemas.openxmlformats.org/officeDocument/2006/relationships/comments" Target="../comments14.xml"/><Relationship Id="rId5" Type="http://schemas.openxmlformats.org/officeDocument/2006/relationships/table" Target="../tables/table95.xml"/><Relationship Id="rId4" Type="http://schemas.openxmlformats.org/officeDocument/2006/relationships/table" Target="../tables/table94.xml"/></Relationships>
</file>

<file path=xl/worksheets/_rels/sheet28.xml.rels><?xml version="1.0" encoding="UTF-8" standalone="yes"?>
<Relationships xmlns="http://schemas.openxmlformats.org/package/2006/relationships"><Relationship Id="rId3" Type="http://schemas.openxmlformats.org/officeDocument/2006/relationships/table" Target="../tables/table97.xml"/><Relationship Id="rId2" Type="http://schemas.openxmlformats.org/officeDocument/2006/relationships/table" Target="../tables/table96.xml"/><Relationship Id="rId1" Type="http://schemas.openxmlformats.org/officeDocument/2006/relationships/vmlDrawing" Target="../drawings/vmlDrawing15.vml"/><Relationship Id="rId5" Type="http://schemas.openxmlformats.org/officeDocument/2006/relationships/comments" Target="../comments15.xml"/><Relationship Id="rId4" Type="http://schemas.openxmlformats.org/officeDocument/2006/relationships/table" Target="../tables/table98.xml"/></Relationships>
</file>

<file path=xl/worksheets/_rels/sheet29.xml.rels><?xml version="1.0" encoding="UTF-8" standalone="yes"?>
<Relationships xmlns="http://schemas.openxmlformats.org/package/2006/relationships"><Relationship Id="rId3" Type="http://schemas.openxmlformats.org/officeDocument/2006/relationships/table" Target="../tables/table100.xml"/><Relationship Id="rId2" Type="http://schemas.openxmlformats.org/officeDocument/2006/relationships/table" Target="../tables/table99.xml"/><Relationship Id="rId1" Type="http://schemas.openxmlformats.org/officeDocument/2006/relationships/vmlDrawing" Target="../drawings/vmlDrawing16.vml"/><Relationship Id="rId5" Type="http://schemas.openxmlformats.org/officeDocument/2006/relationships/comments" Target="../comments16.xml"/><Relationship Id="rId4" Type="http://schemas.openxmlformats.org/officeDocument/2006/relationships/table" Target="../tables/table101.xml"/></Relationships>
</file>

<file path=xl/worksheets/_rels/sheet30.xml.rels><?xml version="1.0" encoding="UTF-8" standalone="yes"?>
<Relationships xmlns="http://schemas.openxmlformats.org/package/2006/relationships"><Relationship Id="rId2" Type="http://schemas.openxmlformats.org/officeDocument/2006/relationships/table" Target="../tables/table103.xml"/><Relationship Id="rId1" Type="http://schemas.openxmlformats.org/officeDocument/2006/relationships/table" Target="../tables/table102.xml"/></Relationships>
</file>

<file path=xl/worksheets/_rels/sheet31.xml.rels><?xml version="1.0" encoding="UTF-8" standalone="yes"?>
<Relationships xmlns="http://schemas.openxmlformats.org/package/2006/relationships"><Relationship Id="rId2" Type="http://schemas.openxmlformats.org/officeDocument/2006/relationships/table" Target="../tables/table105.xml"/><Relationship Id="rId1" Type="http://schemas.openxmlformats.org/officeDocument/2006/relationships/table" Target="../tables/table104.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108.xml"/><Relationship Id="rId2" Type="http://schemas.openxmlformats.org/officeDocument/2006/relationships/table" Target="../tables/table107.xml"/><Relationship Id="rId1" Type="http://schemas.openxmlformats.org/officeDocument/2006/relationships/table" Target="../tables/table106.xml"/><Relationship Id="rId4" Type="http://schemas.openxmlformats.org/officeDocument/2006/relationships/table" Target="../tables/table109.xml"/></Relationships>
</file>

<file path=xl/worksheets/_rels/sheet33.xml.rels><?xml version="1.0" encoding="UTF-8" standalone="yes"?>
<Relationships xmlns="http://schemas.openxmlformats.org/package/2006/relationships"><Relationship Id="rId3" Type="http://schemas.openxmlformats.org/officeDocument/2006/relationships/table" Target="../tables/table112.xml"/><Relationship Id="rId2" Type="http://schemas.openxmlformats.org/officeDocument/2006/relationships/table" Target="../tables/table111.xml"/><Relationship Id="rId1" Type="http://schemas.openxmlformats.org/officeDocument/2006/relationships/table" Target="../tables/table110.xml"/><Relationship Id="rId5" Type="http://schemas.openxmlformats.org/officeDocument/2006/relationships/table" Target="../tables/table114.xml"/><Relationship Id="rId4" Type="http://schemas.openxmlformats.org/officeDocument/2006/relationships/table" Target="../tables/table113.xml"/></Relationships>
</file>

<file path=xl/worksheets/_rels/sheet35.xml.rels><?xml version="1.0" encoding="UTF-8" standalone="yes"?>
<Relationships xmlns="http://schemas.openxmlformats.org/package/2006/relationships"><Relationship Id="rId117" Type="http://schemas.openxmlformats.org/officeDocument/2006/relationships/ctrlProp" Target="../ctrlProps/ctrlProp109.xml"/><Relationship Id="rId21" Type="http://schemas.openxmlformats.org/officeDocument/2006/relationships/ctrlProp" Target="../ctrlProps/ctrlProp13.xml"/><Relationship Id="rId42" Type="http://schemas.openxmlformats.org/officeDocument/2006/relationships/ctrlProp" Target="../ctrlProps/ctrlProp34.xml"/><Relationship Id="rId63" Type="http://schemas.openxmlformats.org/officeDocument/2006/relationships/ctrlProp" Target="../ctrlProps/ctrlProp55.xml"/><Relationship Id="rId84" Type="http://schemas.openxmlformats.org/officeDocument/2006/relationships/ctrlProp" Target="../ctrlProps/ctrlProp76.xml"/><Relationship Id="rId138" Type="http://schemas.openxmlformats.org/officeDocument/2006/relationships/ctrlProp" Target="../ctrlProps/ctrlProp130.xml"/><Relationship Id="rId159" Type="http://schemas.openxmlformats.org/officeDocument/2006/relationships/ctrlProp" Target="../ctrlProps/ctrlProp151.xml"/><Relationship Id="rId170" Type="http://schemas.openxmlformats.org/officeDocument/2006/relationships/ctrlProp" Target="../ctrlProps/ctrlProp162.xml"/><Relationship Id="rId191" Type="http://schemas.openxmlformats.org/officeDocument/2006/relationships/ctrlProp" Target="../ctrlProps/ctrlProp183.xml"/><Relationship Id="rId196" Type="http://schemas.openxmlformats.org/officeDocument/2006/relationships/ctrlProp" Target="../ctrlProps/ctrlProp188.xml"/><Relationship Id="rId107" Type="http://schemas.openxmlformats.org/officeDocument/2006/relationships/ctrlProp" Target="../ctrlProps/ctrlProp99.xml"/><Relationship Id="rId16" Type="http://schemas.openxmlformats.org/officeDocument/2006/relationships/ctrlProp" Target="../ctrlProps/ctrlProp8.xml"/><Relationship Id="rId11" Type="http://schemas.openxmlformats.org/officeDocument/2006/relationships/ctrlProp" Target="../ctrlProps/ctrlProp3.xml"/><Relationship Id="rId32" Type="http://schemas.openxmlformats.org/officeDocument/2006/relationships/ctrlProp" Target="../ctrlProps/ctrlProp24.xml"/><Relationship Id="rId53" Type="http://schemas.openxmlformats.org/officeDocument/2006/relationships/ctrlProp" Target="../ctrlProps/ctrlProp45.xml"/><Relationship Id="rId74" Type="http://schemas.openxmlformats.org/officeDocument/2006/relationships/ctrlProp" Target="../ctrlProps/ctrlProp66.xml"/><Relationship Id="rId128" Type="http://schemas.openxmlformats.org/officeDocument/2006/relationships/ctrlProp" Target="../ctrlProps/ctrlProp120.xml"/><Relationship Id="rId149" Type="http://schemas.openxmlformats.org/officeDocument/2006/relationships/ctrlProp" Target="../ctrlProps/ctrlProp141.xml"/><Relationship Id="rId37" Type="http://schemas.openxmlformats.org/officeDocument/2006/relationships/ctrlProp" Target="../ctrlProps/ctrlProp29.xml"/><Relationship Id="rId58" Type="http://schemas.openxmlformats.org/officeDocument/2006/relationships/ctrlProp" Target="../ctrlProps/ctrlProp50.xml"/><Relationship Id="rId79" Type="http://schemas.openxmlformats.org/officeDocument/2006/relationships/ctrlProp" Target="../ctrlProps/ctrlProp71.xml"/><Relationship Id="rId102" Type="http://schemas.openxmlformats.org/officeDocument/2006/relationships/ctrlProp" Target="../ctrlProps/ctrlProp94.xml"/><Relationship Id="rId123" Type="http://schemas.openxmlformats.org/officeDocument/2006/relationships/ctrlProp" Target="../ctrlProps/ctrlProp115.xml"/><Relationship Id="rId144" Type="http://schemas.openxmlformats.org/officeDocument/2006/relationships/ctrlProp" Target="../ctrlProps/ctrlProp136.xml"/><Relationship Id="rId5" Type="http://schemas.openxmlformats.org/officeDocument/2006/relationships/hyperlink" Target="file:///\\WHPUSR04\rcurran$\Personal\My%20Documents\india%20temp\AppData\Roaming\Microsoft\Excel\One%20Pagers%20RE\SMALL%20HYDROELECTRIC%20POWER-ONE%20PAGER.pdf" TargetMode="External"/><Relationship Id="rId95" Type="http://schemas.openxmlformats.org/officeDocument/2006/relationships/ctrlProp" Target="../ctrlProps/ctrlProp87.xml"/><Relationship Id="rId160" Type="http://schemas.openxmlformats.org/officeDocument/2006/relationships/ctrlProp" Target="../ctrlProps/ctrlProp152.xml"/><Relationship Id="rId181" Type="http://schemas.openxmlformats.org/officeDocument/2006/relationships/ctrlProp" Target="../ctrlProps/ctrlProp173.xml"/><Relationship Id="rId90" Type="http://schemas.openxmlformats.org/officeDocument/2006/relationships/ctrlProp" Target="../ctrlProps/ctrlProp82.xml"/><Relationship Id="rId165" Type="http://schemas.openxmlformats.org/officeDocument/2006/relationships/ctrlProp" Target="../ctrlProps/ctrlProp157.xml"/><Relationship Id="rId186" Type="http://schemas.openxmlformats.org/officeDocument/2006/relationships/ctrlProp" Target="../ctrlProps/ctrlProp178.xml"/><Relationship Id="rId22" Type="http://schemas.openxmlformats.org/officeDocument/2006/relationships/ctrlProp" Target="../ctrlProps/ctrlProp14.xml"/><Relationship Id="rId43" Type="http://schemas.openxmlformats.org/officeDocument/2006/relationships/ctrlProp" Target="../ctrlProps/ctrlProp35.xml"/><Relationship Id="rId64" Type="http://schemas.openxmlformats.org/officeDocument/2006/relationships/ctrlProp" Target="../ctrlProps/ctrlProp56.xml"/><Relationship Id="rId118" Type="http://schemas.openxmlformats.org/officeDocument/2006/relationships/ctrlProp" Target="../ctrlProps/ctrlProp110.xml"/><Relationship Id="rId139" Type="http://schemas.openxmlformats.org/officeDocument/2006/relationships/ctrlProp" Target="../ctrlProps/ctrlProp131.xml"/><Relationship Id="rId27" Type="http://schemas.openxmlformats.org/officeDocument/2006/relationships/ctrlProp" Target="../ctrlProps/ctrlProp19.xml"/><Relationship Id="rId48" Type="http://schemas.openxmlformats.org/officeDocument/2006/relationships/ctrlProp" Target="../ctrlProps/ctrlProp40.xml"/><Relationship Id="rId69" Type="http://schemas.openxmlformats.org/officeDocument/2006/relationships/ctrlProp" Target="../ctrlProps/ctrlProp61.xml"/><Relationship Id="rId113" Type="http://schemas.openxmlformats.org/officeDocument/2006/relationships/ctrlProp" Target="../ctrlProps/ctrlProp105.xml"/><Relationship Id="rId134" Type="http://schemas.openxmlformats.org/officeDocument/2006/relationships/ctrlProp" Target="../ctrlProps/ctrlProp126.xml"/><Relationship Id="rId85" Type="http://schemas.openxmlformats.org/officeDocument/2006/relationships/ctrlProp" Target="../ctrlProps/ctrlProp77.xml"/><Relationship Id="rId150" Type="http://schemas.openxmlformats.org/officeDocument/2006/relationships/ctrlProp" Target="../ctrlProps/ctrlProp142.xml"/><Relationship Id="rId171" Type="http://schemas.openxmlformats.org/officeDocument/2006/relationships/ctrlProp" Target="../ctrlProps/ctrlProp163.xml"/><Relationship Id="rId192" Type="http://schemas.openxmlformats.org/officeDocument/2006/relationships/ctrlProp" Target="../ctrlProps/ctrlProp184.xml"/><Relationship Id="rId80" Type="http://schemas.openxmlformats.org/officeDocument/2006/relationships/ctrlProp" Target="../ctrlProps/ctrlProp72.xml"/><Relationship Id="rId155" Type="http://schemas.openxmlformats.org/officeDocument/2006/relationships/ctrlProp" Target="../ctrlProps/ctrlProp147.xml"/><Relationship Id="rId176" Type="http://schemas.openxmlformats.org/officeDocument/2006/relationships/ctrlProp" Target="../ctrlProps/ctrlProp168.xml"/><Relationship Id="rId197" Type="http://schemas.openxmlformats.org/officeDocument/2006/relationships/ctrlProp" Target="../ctrlProps/ctrlProp189.xml"/><Relationship Id="rId12" Type="http://schemas.openxmlformats.org/officeDocument/2006/relationships/ctrlProp" Target="../ctrlProps/ctrlProp4.xml"/><Relationship Id="rId33" Type="http://schemas.openxmlformats.org/officeDocument/2006/relationships/ctrlProp" Target="../ctrlProps/ctrlProp25.xml"/><Relationship Id="rId108" Type="http://schemas.openxmlformats.org/officeDocument/2006/relationships/ctrlProp" Target="../ctrlProps/ctrlProp100.xml"/><Relationship Id="rId129" Type="http://schemas.openxmlformats.org/officeDocument/2006/relationships/ctrlProp" Target="../ctrlProps/ctrlProp121.xml"/><Relationship Id="rId17" Type="http://schemas.openxmlformats.org/officeDocument/2006/relationships/ctrlProp" Target="../ctrlProps/ctrlProp9.xml"/><Relationship Id="rId38" Type="http://schemas.openxmlformats.org/officeDocument/2006/relationships/ctrlProp" Target="../ctrlProps/ctrlProp30.xml"/><Relationship Id="rId59" Type="http://schemas.openxmlformats.org/officeDocument/2006/relationships/ctrlProp" Target="../ctrlProps/ctrlProp51.xml"/><Relationship Id="rId103" Type="http://schemas.openxmlformats.org/officeDocument/2006/relationships/ctrlProp" Target="../ctrlProps/ctrlProp95.xml"/><Relationship Id="rId124" Type="http://schemas.openxmlformats.org/officeDocument/2006/relationships/ctrlProp" Target="../ctrlProps/ctrlProp116.xml"/><Relationship Id="rId54" Type="http://schemas.openxmlformats.org/officeDocument/2006/relationships/ctrlProp" Target="../ctrlProps/ctrlProp46.xml"/><Relationship Id="rId75" Type="http://schemas.openxmlformats.org/officeDocument/2006/relationships/ctrlProp" Target="../ctrlProps/ctrlProp67.xml"/><Relationship Id="rId96" Type="http://schemas.openxmlformats.org/officeDocument/2006/relationships/ctrlProp" Target="../ctrlProps/ctrlProp88.xml"/><Relationship Id="rId140" Type="http://schemas.openxmlformats.org/officeDocument/2006/relationships/ctrlProp" Target="../ctrlProps/ctrlProp132.xml"/><Relationship Id="rId161" Type="http://schemas.openxmlformats.org/officeDocument/2006/relationships/ctrlProp" Target="../ctrlProps/ctrlProp153.xml"/><Relationship Id="rId182" Type="http://schemas.openxmlformats.org/officeDocument/2006/relationships/ctrlProp" Target="../ctrlProps/ctrlProp174.xml"/><Relationship Id="rId70" Type="http://schemas.openxmlformats.org/officeDocument/2006/relationships/ctrlProp" Target="../ctrlProps/ctrlProp62.xml"/><Relationship Id="rId91" Type="http://schemas.openxmlformats.org/officeDocument/2006/relationships/ctrlProp" Target="../ctrlProps/ctrlProp83.xml"/><Relationship Id="rId145" Type="http://schemas.openxmlformats.org/officeDocument/2006/relationships/ctrlProp" Target="../ctrlProps/ctrlProp137.xml"/><Relationship Id="rId166" Type="http://schemas.openxmlformats.org/officeDocument/2006/relationships/ctrlProp" Target="../ctrlProps/ctrlProp158.xml"/><Relationship Id="rId187" Type="http://schemas.openxmlformats.org/officeDocument/2006/relationships/ctrlProp" Target="../ctrlProps/ctrlProp179.xml"/><Relationship Id="rId1" Type="http://schemas.openxmlformats.org/officeDocument/2006/relationships/hyperlink" Target="file:///\\WHPUSR04\rcurran$\Personal\My%20Documents\india%20temp\AppData\Roaming\Microsoft\Excel\One%20Pagers%20RE\SOLAR%20PHOTOVOLTAIC%20POWER-One%20pager.pdf" TargetMode="External"/><Relationship Id="rId6" Type="http://schemas.openxmlformats.org/officeDocument/2006/relationships/printerSettings" Target="../printerSettings/printerSettings1.bin"/><Relationship Id="rId23" Type="http://schemas.openxmlformats.org/officeDocument/2006/relationships/ctrlProp" Target="../ctrlProps/ctrlProp15.xml"/><Relationship Id="rId119" Type="http://schemas.openxmlformats.org/officeDocument/2006/relationships/ctrlProp" Target="../ctrlProps/ctrlProp111.xml"/><Relationship Id="rId28" Type="http://schemas.openxmlformats.org/officeDocument/2006/relationships/ctrlProp" Target="../ctrlProps/ctrlProp20.xml"/><Relationship Id="rId49" Type="http://schemas.openxmlformats.org/officeDocument/2006/relationships/ctrlProp" Target="../ctrlProps/ctrlProp41.xml"/><Relationship Id="rId114" Type="http://schemas.openxmlformats.org/officeDocument/2006/relationships/ctrlProp" Target="../ctrlProps/ctrlProp106.xml"/><Relationship Id="rId44" Type="http://schemas.openxmlformats.org/officeDocument/2006/relationships/ctrlProp" Target="../ctrlProps/ctrlProp36.xml"/><Relationship Id="rId65" Type="http://schemas.openxmlformats.org/officeDocument/2006/relationships/ctrlProp" Target="../ctrlProps/ctrlProp57.xml"/><Relationship Id="rId86" Type="http://schemas.openxmlformats.org/officeDocument/2006/relationships/ctrlProp" Target="../ctrlProps/ctrlProp78.xml"/><Relationship Id="rId130" Type="http://schemas.openxmlformats.org/officeDocument/2006/relationships/ctrlProp" Target="../ctrlProps/ctrlProp122.xml"/><Relationship Id="rId151" Type="http://schemas.openxmlformats.org/officeDocument/2006/relationships/ctrlProp" Target="../ctrlProps/ctrlProp143.xml"/><Relationship Id="rId60" Type="http://schemas.openxmlformats.org/officeDocument/2006/relationships/ctrlProp" Target="../ctrlProps/ctrlProp52.xml"/><Relationship Id="rId81" Type="http://schemas.openxmlformats.org/officeDocument/2006/relationships/ctrlProp" Target="../ctrlProps/ctrlProp73.xml"/><Relationship Id="rId135" Type="http://schemas.openxmlformats.org/officeDocument/2006/relationships/ctrlProp" Target="../ctrlProps/ctrlProp127.xml"/><Relationship Id="rId156" Type="http://schemas.openxmlformats.org/officeDocument/2006/relationships/ctrlProp" Target="../ctrlProps/ctrlProp148.xml"/><Relationship Id="rId177" Type="http://schemas.openxmlformats.org/officeDocument/2006/relationships/ctrlProp" Target="../ctrlProps/ctrlProp169.xml"/><Relationship Id="rId198" Type="http://schemas.openxmlformats.org/officeDocument/2006/relationships/ctrlProp" Target="../ctrlProps/ctrlProp190.xml"/><Relationship Id="rId172" Type="http://schemas.openxmlformats.org/officeDocument/2006/relationships/ctrlProp" Target="../ctrlProps/ctrlProp164.xml"/><Relationship Id="rId193" Type="http://schemas.openxmlformats.org/officeDocument/2006/relationships/ctrlProp" Target="../ctrlProps/ctrlProp185.xml"/><Relationship Id="rId13" Type="http://schemas.openxmlformats.org/officeDocument/2006/relationships/ctrlProp" Target="../ctrlProps/ctrlProp5.xml"/><Relationship Id="rId109" Type="http://schemas.openxmlformats.org/officeDocument/2006/relationships/ctrlProp" Target="../ctrlProps/ctrlProp101.xml"/><Relationship Id="rId18" Type="http://schemas.openxmlformats.org/officeDocument/2006/relationships/ctrlProp" Target="../ctrlProps/ctrlProp10.xml"/><Relationship Id="rId39" Type="http://schemas.openxmlformats.org/officeDocument/2006/relationships/ctrlProp" Target="../ctrlProps/ctrlProp31.xml"/><Relationship Id="rId34" Type="http://schemas.openxmlformats.org/officeDocument/2006/relationships/ctrlProp" Target="../ctrlProps/ctrlProp26.xml"/><Relationship Id="rId55" Type="http://schemas.openxmlformats.org/officeDocument/2006/relationships/ctrlProp" Target="../ctrlProps/ctrlProp47.xml"/><Relationship Id="rId76" Type="http://schemas.openxmlformats.org/officeDocument/2006/relationships/ctrlProp" Target="../ctrlProps/ctrlProp68.xml"/><Relationship Id="rId97" Type="http://schemas.openxmlformats.org/officeDocument/2006/relationships/ctrlProp" Target="../ctrlProps/ctrlProp89.xml"/><Relationship Id="rId120" Type="http://schemas.openxmlformats.org/officeDocument/2006/relationships/ctrlProp" Target="../ctrlProps/ctrlProp112.xml"/><Relationship Id="rId141" Type="http://schemas.openxmlformats.org/officeDocument/2006/relationships/ctrlProp" Target="../ctrlProps/ctrlProp133.xml"/><Relationship Id="rId50" Type="http://schemas.openxmlformats.org/officeDocument/2006/relationships/ctrlProp" Target="../ctrlProps/ctrlProp42.xml"/><Relationship Id="rId104" Type="http://schemas.openxmlformats.org/officeDocument/2006/relationships/ctrlProp" Target="../ctrlProps/ctrlProp96.xml"/><Relationship Id="rId125" Type="http://schemas.openxmlformats.org/officeDocument/2006/relationships/ctrlProp" Target="../ctrlProps/ctrlProp117.xml"/><Relationship Id="rId146" Type="http://schemas.openxmlformats.org/officeDocument/2006/relationships/ctrlProp" Target="../ctrlProps/ctrlProp138.xml"/><Relationship Id="rId167" Type="http://schemas.openxmlformats.org/officeDocument/2006/relationships/ctrlProp" Target="../ctrlProps/ctrlProp159.xml"/><Relationship Id="rId188" Type="http://schemas.openxmlformats.org/officeDocument/2006/relationships/ctrlProp" Target="../ctrlProps/ctrlProp180.xml"/><Relationship Id="rId7" Type="http://schemas.openxmlformats.org/officeDocument/2006/relationships/drawing" Target="../drawings/drawing2.xml"/><Relationship Id="rId71" Type="http://schemas.openxmlformats.org/officeDocument/2006/relationships/ctrlProp" Target="../ctrlProps/ctrlProp63.xml"/><Relationship Id="rId92" Type="http://schemas.openxmlformats.org/officeDocument/2006/relationships/ctrlProp" Target="../ctrlProps/ctrlProp84.xml"/><Relationship Id="rId162" Type="http://schemas.openxmlformats.org/officeDocument/2006/relationships/ctrlProp" Target="../ctrlProps/ctrlProp154.xml"/><Relationship Id="rId183" Type="http://schemas.openxmlformats.org/officeDocument/2006/relationships/ctrlProp" Target="../ctrlProps/ctrlProp175.xml"/><Relationship Id="rId2" Type="http://schemas.openxmlformats.org/officeDocument/2006/relationships/hyperlink" Target="file:///\\WHPUSR04\rcurran$\Personal\My%20Documents\india%20temp\AppData\Roaming\Microsoft\Excel\One%20Pagers%20RE\CONCENTRATED%20SOLAR%20POWER-One%20pager.pdf" TargetMode="External"/><Relationship Id="rId29" Type="http://schemas.openxmlformats.org/officeDocument/2006/relationships/ctrlProp" Target="../ctrlProps/ctrlProp21.xml"/><Relationship Id="rId24" Type="http://schemas.openxmlformats.org/officeDocument/2006/relationships/ctrlProp" Target="../ctrlProps/ctrlProp16.xml"/><Relationship Id="rId40" Type="http://schemas.openxmlformats.org/officeDocument/2006/relationships/ctrlProp" Target="../ctrlProps/ctrlProp32.xml"/><Relationship Id="rId45" Type="http://schemas.openxmlformats.org/officeDocument/2006/relationships/ctrlProp" Target="../ctrlProps/ctrlProp37.xml"/><Relationship Id="rId66" Type="http://schemas.openxmlformats.org/officeDocument/2006/relationships/ctrlProp" Target="../ctrlProps/ctrlProp58.xml"/><Relationship Id="rId87" Type="http://schemas.openxmlformats.org/officeDocument/2006/relationships/ctrlProp" Target="../ctrlProps/ctrlProp79.xml"/><Relationship Id="rId110" Type="http://schemas.openxmlformats.org/officeDocument/2006/relationships/ctrlProp" Target="../ctrlProps/ctrlProp102.xml"/><Relationship Id="rId115" Type="http://schemas.openxmlformats.org/officeDocument/2006/relationships/ctrlProp" Target="../ctrlProps/ctrlProp107.xml"/><Relationship Id="rId131" Type="http://schemas.openxmlformats.org/officeDocument/2006/relationships/ctrlProp" Target="../ctrlProps/ctrlProp123.xml"/><Relationship Id="rId136" Type="http://schemas.openxmlformats.org/officeDocument/2006/relationships/ctrlProp" Target="../ctrlProps/ctrlProp128.xml"/><Relationship Id="rId157" Type="http://schemas.openxmlformats.org/officeDocument/2006/relationships/ctrlProp" Target="../ctrlProps/ctrlProp149.xml"/><Relationship Id="rId178" Type="http://schemas.openxmlformats.org/officeDocument/2006/relationships/ctrlProp" Target="../ctrlProps/ctrlProp170.xml"/><Relationship Id="rId61" Type="http://schemas.openxmlformats.org/officeDocument/2006/relationships/ctrlProp" Target="../ctrlProps/ctrlProp53.xml"/><Relationship Id="rId82" Type="http://schemas.openxmlformats.org/officeDocument/2006/relationships/ctrlProp" Target="../ctrlProps/ctrlProp74.xml"/><Relationship Id="rId152" Type="http://schemas.openxmlformats.org/officeDocument/2006/relationships/ctrlProp" Target="../ctrlProps/ctrlProp144.xml"/><Relationship Id="rId173" Type="http://schemas.openxmlformats.org/officeDocument/2006/relationships/ctrlProp" Target="../ctrlProps/ctrlProp165.xml"/><Relationship Id="rId194" Type="http://schemas.openxmlformats.org/officeDocument/2006/relationships/ctrlProp" Target="../ctrlProps/ctrlProp186.xml"/><Relationship Id="rId199" Type="http://schemas.openxmlformats.org/officeDocument/2006/relationships/ctrlProp" Target="../ctrlProps/ctrlProp191.xml"/><Relationship Id="rId19" Type="http://schemas.openxmlformats.org/officeDocument/2006/relationships/ctrlProp" Target="../ctrlProps/ctrlProp11.xml"/><Relationship Id="rId14" Type="http://schemas.openxmlformats.org/officeDocument/2006/relationships/ctrlProp" Target="../ctrlProps/ctrlProp6.xml"/><Relationship Id="rId30" Type="http://schemas.openxmlformats.org/officeDocument/2006/relationships/ctrlProp" Target="../ctrlProps/ctrlProp22.xml"/><Relationship Id="rId35" Type="http://schemas.openxmlformats.org/officeDocument/2006/relationships/ctrlProp" Target="../ctrlProps/ctrlProp27.xml"/><Relationship Id="rId56" Type="http://schemas.openxmlformats.org/officeDocument/2006/relationships/ctrlProp" Target="../ctrlProps/ctrlProp48.xml"/><Relationship Id="rId77" Type="http://schemas.openxmlformats.org/officeDocument/2006/relationships/ctrlProp" Target="../ctrlProps/ctrlProp69.xml"/><Relationship Id="rId100" Type="http://schemas.openxmlformats.org/officeDocument/2006/relationships/ctrlProp" Target="../ctrlProps/ctrlProp92.xml"/><Relationship Id="rId105" Type="http://schemas.openxmlformats.org/officeDocument/2006/relationships/ctrlProp" Target="../ctrlProps/ctrlProp97.xml"/><Relationship Id="rId126" Type="http://schemas.openxmlformats.org/officeDocument/2006/relationships/ctrlProp" Target="../ctrlProps/ctrlProp118.xml"/><Relationship Id="rId147" Type="http://schemas.openxmlformats.org/officeDocument/2006/relationships/ctrlProp" Target="../ctrlProps/ctrlProp139.xml"/><Relationship Id="rId168" Type="http://schemas.openxmlformats.org/officeDocument/2006/relationships/ctrlProp" Target="../ctrlProps/ctrlProp160.xml"/><Relationship Id="rId8" Type="http://schemas.openxmlformats.org/officeDocument/2006/relationships/vmlDrawing" Target="../drawings/vmlDrawing17.vml"/><Relationship Id="rId51" Type="http://schemas.openxmlformats.org/officeDocument/2006/relationships/ctrlProp" Target="../ctrlProps/ctrlProp43.xml"/><Relationship Id="rId72" Type="http://schemas.openxmlformats.org/officeDocument/2006/relationships/ctrlProp" Target="../ctrlProps/ctrlProp64.xml"/><Relationship Id="rId93" Type="http://schemas.openxmlformats.org/officeDocument/2006/relationships/ctrlProp" Target="../ctrlProps/ctrlProp85.xml"/><Relationship Id="rId98" Type="http://schemas.openxmlformats.org/officeDocument/2006/relationships/ctrlProp" Target="../ctrlProps/ctrlProp90.xml"/><Relationship Id="rId121" Type="http://schemas.openxmlformats.org/officeDocument/2006/relationships/ctrlProp" Target="../ctrlProps/ctrlProp113.xml"/><Relationship Id="rId142" Type="http://schemas.openxmlformats.org/officeDocument/2006/relationships/ctrlProp" Target="../ctrlProps/ctrlProp134.xml"/><Relationship Id="rId163" Type="http://schemas.openxmlformats.org/officeDocument/2006/relationships/ctrlProp" Target="../ctrlProps/ctrlProp155.xml"/><Relationship Id="rId184" Type="http://schemas.openxmlformats.org/officeDocument/2006/relationships/ctrlProp" Target="../ctrlProps/ctrlProp176.xml"/><Relationship Id="rId189" Type="http://schemas.openxmlformats.org/officeDocument/2006/relationships/ctrlProp" Target="../ctrlProps/ctrlProp181.xml"/><Relationship Id="rId3" Type="http://schemas.openxmlformats.org/officeDocument/2006/relationships/hyperlink" Target="file:///\\WHPUSR04\rcurran$\Personal\My%20Documents\india%20temp\AppData\Roaming\Microsoft\Excel\One%20Pagers%20RE\WIND%20ONSHORE-ONE%20PAGER.pdf" TargetMode="External"/><Relationship Id="rId25" Type="http://schemas.openxmlformats.org/officeDocument/2006/relationships/ctrlProp" Target="../ctrlProps/ctrlProp17.xml"/><Relationship Id="rId46" Type="http://schemas.openxmlformats.org/officeDocument/2006/relationships/ctrlProp" Target="../ctrlProps/ctrlProp38.xml"/><Relationship Id="rId67" Type="http://schemas.openxmlformats.org/officeDocument/2006/relationships/ctrlProp" Target="../ctrlProps/ctrlProp59.xml"/><Relationship Id="rId116" Type="http://schemas.openxmlformats.org/officeDocument/2006/relationships/ctrlProp" Target="../ctrlProps/ctrlProp108.xml"/><Relationship Id="rId137" Type="http://schemas.openxmlformats.org/officeDocument/2006/relationships/ctrlProp" Target="../ctrlProps/ctrlProp129.xml"/><Relationship Id="rId158" Type="http://schemas.openxmlformats.org/officeDocument/2006/relationships/ctrlProp" Target="../ctrlProps/ctrlProp150.xml"/><Relationship Id="rId20" Type="http://schemas.openxmlformats.org/officeDocument/2006/relationships/ctrlProp" Target="../ctrlProps/ctrlProp12.xml"/><Relationship Id="rId41" Type="http://schemas.openxmlformats.org/officeDocument/2006/relationships/ctrlProp" Target="../ctrlProps/ctrlProp33.xml"/><Relationship Id="rId62" Type="http://schemas.openxmlformats.org/officeDocument/2006/relationships/ctrlProp" Target="../ctrlProps/ctrlProp54.xml"/><Relationship Id="rId83" Type="http://schemas.openxmlformats.org/officeDocument/2006/relationships/ctrlProp" Target="../ctrlProps/ctrlProp75.xml"/><Relationship Id="rId88" Type="http://schemas.openxmlformats.org/officeDocument/2006/relationships/ctrlProp" Target="../ctrlProps/ctrlProp80.xml"/><Relationship Id="rId111" Type="http://schemas.openxmlformats.org/officeDocument/2006/relationships/ctrlProp" Target="../ctrlProps/ctrlProp103.xml"/><Relationship Id="rId132" Type="http://schemas.openxmlformats.org/officeDocument/2006/relationships/ctrlProp" Target="../ctrlProps/ctrlProp124.xml"/><Relationship Id="rId153" Type="http://schemas.openxmlformats.org/officeDocument/2006/relationships/ctrlProp" Target="../ctrlProps/ctrlProp145.xml"/><Relationship Id="rId174" Type="http://schemas.openxmlformats.org/officeDocument/2006/relationships/ctrlProp" Target="../ctrlProps/ctrlProp166.xml"/><Relationship Id="rId179" Type="http://schemas.openxmlformats.org/officeDocument/2006/relationships/ctrlProp" Target="../ctrlProps/ctrlProp171.xml"/><Relationship Id="rId195" Type="http://schemas.openxmlformats.org/officeDocument/2006/relationships/ctrlProp" Target="../ctrlProps/ctrlProp187.xml"/><Relationship Id="rId190" Type="http://schemas.openxmlformats.org/officeDocument/2006/relationships/ctrlProp" Target="../ctrlProps/ctrlProp182.xml"/><Relationship Id="rId15" Type="http://schemas.openxmlformats.org/officeDocument/2006/relationships/ctrlProp" Target="../ctrlProps/ctrlProp7.xml"/><Relationship Id="rId36" Type="http://schemas.openxmlformats.org/officeDocument/2006/relationships/ctrlProp" Target="../ctrlProps/ctrlProp28.xml"/><Relationship Id="rId57" Type="http://schemas.openxmlformats.org/officeDocument/2006/relationships/ctrlProp" Target="../ctrlProps/ctrlProp49.xml"/><Relationship Id="rId106" Type="http://schemas.openxmlformats.org/officeDocument/2006/relationships/ctrlProp" Target="../ctrlProps/ctrlProp98.xml"/><Relationship Id="rId127" Type="http://schemas.openxmlformats.org/officeDocument/2006/relationships/ctrlProp" Target="../ctrlProps/ctrlProp119.xml"/><Relationship Id="rId10" Type="http://schemas.openxmlformats.org/officeDocument/2006/relationships/ctrlProp" Target="../ctrlProps/ctrlProp2.xml"/><Relationship Id="rId31" Type="http://schemas.openxmlformats.org/officeDocument/2006/relationships/ctrlProp" Target="../ctrlProps/ctrlProp23.xml"/><Relationship Id="rId52" Type="http://schemas.openxmlformats.org/officeDocument/2006/relationships/ctrlProp" Target="../ctrlProps/ctrlProp44.xml"/><Relationship Id="rId73" Type="http://schemas.openxmlformats.org/officeDocument/2006/relationships/ctrlProp" Target="../ctrlProps/ctrlProp65.xml"/><Relationship Id="rId78" Type="http://schemas.openxmlformats.org/officeDocument/2006/relationships/ctrlProp" Target="../ctrlProps/ctrlProp70.xml"/><Relationship Id="rId94" Type="http://schemas.openxmlformats.org/officeDocument/2006/relationships/ctrlProp" Target="../ctrlProps/ctrlProp86.xml"/><Relationship Id="rId99" Type="http://schemas.openxmlformats.org/officeDocument/2006/relationships/ctrlProp" Target="../ctrlProps/ctrlProp91.xml"/><Relationship Id="rId101" Type="http://schemas.openxmlformats.org/officeDocument/2006/relationships/ctrlProp" Target="../ctrlProps/ctrlProp93.xml"/><Relationship Id="rId122" Type="http://schemas.openxmlformats.org/officeDocument/2006/relationships/ctrlProp" Target="../ctrlProps/ctrlProp114.xml"/><Relationship Id="rId143" Type="http://schemas.openxmlformats.org/officeDocument/2006/relationships/ctrlProp" Target="../ctrlProps/ctrlProp135.xml"/><Relationship Id="rId148" Type="http://schemas.openxmlformats.org/officeDocument/2006/relationships/ctrlProp" Target="../ctrlProps/ctrlProp140.xml"/><Relationship Id="rId164" Type="http://schemas.openxmlformats.org/officeDocument/2006/relationships/ctrlProp" Target="../ctrlProps/ctrlProp156.xml"/><Relationship Id="rId169" Type="http://schemas.openxmlformats.org/officeDocument/2006/relationships/ctrlProp" Target="../ctrlProps/ctrlProp161.xml"/><Relationship Id="rId185" Type="http://schemas.openxmlformats.org/officeDocument/2006/relationships/ctrlProp" Target="../ctrlProps/ctrlProp177.xml"/><Relationship Id="rId4" Type="http://schemas.openxmlformats.org/officeDocument/2006/relationships/hyperlink" Target="file:///\\WHPUSR04\rcurran$\Personal\My%20Documents\india%20temp\AppData\Roaming\Microsoft\Excel\One%20Pagers%20RE\OFFSHORE%20WIND%20POWER-One%20Pager.pdf" TargetMode="External"/><Relationship Id="rId9" Type="http://schemas.openxmlformats.org/officeDocument/2006/relationships/ctrlProp" Target="../ctrlProps/ctrlProp1.xml"/><Relationship Id="rId180" Type="http://schemas.openxmlformats.org/officeDocument/2006/relationships/ctrlProp" Target="../ctrlProps/ctrlProp172.xml"/><Relationship Id="rId26" Type="http://schemas.openxmlformats.org/officeDocument/2006/relationships/ctrlProp" Target="../ctrlProps/ctrlProp18.xml"/><Relationship Id="rId47" Type="http://schemas.openxmlformats.org/officeDocument/2006/relationships/ctrlProp" Target="../ctrlProps/ctrlProp39.xml"/><Relationship Id="rId68" Type="http://schemas.openxmlformats.org/officeDocument/2006/relationships/ctrlProp" Target="../ctrlProps/ctrlProp60.xml"/><Relationship Id="rId89" Type="http://schemas.openxmlformats.org/officeDocument/2006/relationships/ctrlProp" Target="../ctrlProps/ctrlProp81.xml"/><Relationship Id="rId112" Type="http://schemas.openxmlformats.org/officeDocument/2006/relationships/ctrlProp" Target="../ctrlProps/ctrlProp104.xml"/><Relationship Id="rId133" Type="http://schemas.openxmlformats.org/officeDocument/2006/relationships/ctrlProp" Target="../ctrlProps/ctrlProp125.xml"/><Relationship Id="rId154" Type="http://schemas.openxmlformats.org/officeDocument/2006/relationships/ctrlProp" Target="../ctrlProps/ctrlProp146.xml"/><Relationship Id="rId175" Type="http://schemas.openxmlformats.org/officeDocument/2006/relationships/ctrlProp" Target="../ctrlProps/ctrlProp167.xml"/></Relationships>
</file>

<file path=xl/worksheets/_rels/sheet36.xml.rels><?xml version="1.0" encoding="UTF-8" standalone="yes"?>
<Relationships xmlns="http://schemas.openxmlformats.org/package/2006/relationships"><Relationship Id="rId117" Type="http://schemas.openxmlformats.org/officeDocument/2006/relationships/ctrlProp" Target="../ctrlProps/ctrlProp301.xml"/><Relationship Id="rId21" Type="http://schemas.openxmlformats.org/officeDocument/2006/relationships/ctrlProp" Target="../ctrlProps/ctrlProp205.xml"/><Relationship Id="rId42" Type="http://schemas.openxmlformats.org/officeDocument/2006/relationships/ctrlProp" Target="../ctrlProps/ctrlProp226.xml"/><Relationship Id="rId63" Type="http://schemas.openxmlformats.org/officeDocument/2006/relationships/ctrlProp" Target="../ctrlProps/ctrlProp247.xml"/><Relationship Id="rId84" Type="http://schemas.openxmlformats.org/officeDocument/2006/relationships/ctrlProp" Target="../ctrlProps/ctrlProp268.xml"/><Relationship Id="rId138" Type="http://schemas.openxmlformats.org/officeDocument/2006/relationships/ctrlProp" Target="../ctrlProps/ctrlProp322.xml"/><Relationship Id="rId159" Type="http://schemas.openxmlformats.org/officeDocument/2006/relationships/ctrlProp" Target="../ctrlProps/ctrlProp343.xml"/><Relationship Id="rId47" Type="http://schemas.openxmlformats.org/officeDocument/2006/relationships/ctrlProp" Target="../ctrlProps/ctrlProp231.xml"/><Relationship Id="rId68" Type="http://schemas.openxmlformats.org/officeDocument/2006/relationships/ctrlProp" Target="../ctrlProps/ctrlProp252.xml"/><Relationship Id="rId89" Type="http://schemas.openxmlformats.org/officeDocument/2006/relationships/ctrlProp" Target="../ctrlProps/ctrlProp273.xml"/><Relationship Id="rId112" Type="http://schemas.openxmlformats.org/officeDocument/2006/relationships/ctrlProp" Target="../ctrlProps/ctrlProp296.xml"/><Relationship Id="rId133" Type="http://schemas.openxmlformats.org/officeDocument/2006/relationships/ctrlProp" Target="../ctrlProps/ctrlProp317.xml"/><Relationship Id="rId154" Type="http://schemas.openxmlformats.org/officeDocument/2006/relationships/ctrlProp" Target="../ctrlProps/ctrlProp338.xml"/><Relationship Id="rId175" Type="http://schemas.openxmlformats.org/officeDocument/2006/relationships/ctrlProp" Target="../ctrlProps/ctrlProp359.xml"/><Relationship Id="rId170" Type="http://schemas.openxmlformats.org/officeDocument/2006/relationships/ctrlProp" Target="../ctrlProps/ctrlProp354.xml"/><Relationship Id="rId191" Type="http://schemas.openxmlformats.org/officeDocument/2006/relationships/ctrlProp" Target="../ctrlProps/ctrlProp375.xml"/><Relationship Id="rId196" Type="http://schemas.openxmlformats.org/officeDocument/2006/relationships/ctrlProp" Target="../ctrlProps/ctrlProp380.xml"/><Relationship Id="rId107" Type="http://schemas.openxmlformats.org/officeDocument/2006/relationships/ctrlProp" Target="../ctrlProps/ctrlProp291.xml"/><Relationship Id="rId16" Type="http://schemas.openxmlformats.org/officeDocument/2006/relationships/ctrlProp" Target="../ctrlProps/ctrlProp200.xml"/><Relationship Id="rId11" Type="http://schemas.openxmlformats.org/officeDocument/2006/relationships/ctrlProp" Target="../ctrlProps/ctrlProp195.xml"/><Relationship Id="rId32" Type="http://schemas.openxmlformats.org/officeDocument/2006/relationships/ctrlProp" Target="../ctrlProps/ctrlProp216.xml"/><Relationship Id="rId53" Type="http://schemas.openxmlformats.org/officeDocument/2006/relationships/ctrlProp" Target="../ctrlProps/ctrlProp237.xml"/><Relationship Id="rId74" Type="http://schemas.openxmlformats.org/officeDocument/2006/relationships/ctrlProp" Target="../ctrlProps/ctrlProp258.xml"/><Relationship Id="rId128" Type="http://schemas.openxmlformats.org/officeDocument/2006/relationships/ctrlProp" Target="../ctrlProps/ctrlProp312.xml"/><Relationship Id="rId149" Type="http://schemas.openxmlformats.org/officeDocument/2006/relationships/ctrlProp" Target="../ctrlProps/ctrlProp333.xml"/><Relationship Id="rId37" Type="http://schemas.openxmlformats.org/officeDocument/2006/relationships/ctrlProp" Target="../ctrlProps/ctrlProp221.xml"/><Relationship Id="rId58" Type="http://schemas.openxmlformats.org/officeDocument/2006/relationships/ctrlProp" Target="../ctrlProps/ctrlProp242.xml"/><Relationship Id="rId79" Type="http://schemas.openxmlformats.org/officeDocument/2006/relationships/ctrlProp" Target="../ctrlProps/ctrlProp263.xml"/><Relationship Id="rId102" Type="http://schemas.openxmlformats.org/officeDocument/2006/relationships/ctrlProp" Target="../ctrlProps/ctrlProp286.xml"/><Relationship Id="rId123" Type="http://schemas.openxmlformats.org/officeDocument/2006/relationships/ctrlProp" Target="../ctrlProps/ctrlProp307.xml"/><Relationship Id="rId144" Type="http://schemas.openxmlformats.org/officeDocument/2006/relationships/ctrlProp" Target="../ctrlProps/ctrlProp328.xml"/><Relationship Id="rId5" Type="http://schemas.openxmlformats.org/officeDocument/2006/relationships/hyperlink" Target="file:///\\WHPUSR04\rcurran$\Personal\My%20Documents\india%20temp\AppData\Roaming\Microsoft\Excel\One%20Pagers%20RE\SMALL%20HYDROELECTRIC%20POWER-ONE%20PAGER.pdf" TargetMode="External"/><Relationship Id="rId95" Type="http://schemas.openxmlformats.org/officeDocument/2006/relationships/ctrlProp" Target="../ctrlProps/ctrlProp279.xml"/><Relationship Id="rId160" Type="http://schemas.openxmlformats.org/officeDocument/2006/relationships/ctrlProp" Target="../ctrlProps/ctrlProp344.xml"/><Relationship Id="rId181" Type="http://schemas.openxmlformats.org/officeDocument/2006/relationships/ctrlProp" Target="../ctrlProps/ctrlProp365.xml"/><Relationship Id="rId90" Type="http://schemas.openxmlformats.org/officeDocument/2006/relationships/ctrlProp" Target="../ctrlProps/ctrlProp274.xml"/><Relationship Id="rId165" Type="http://schemas.openxmlformats.org/officeDocument/2006/relationships/ctrlProp" Target="../ctrlProps/ctrlProp349.xml"/><Relationship Id="rId186" Type="http://schemas.openxmlformats.org/officeDocument/2006/relationships/ctrlProp" Target="../ctrlProps/ctrlProp370.xml"/><Relationship Id="rId22" Type="http://schemas.openxmlformats.org/officeDocument/2006/relationships/ctrlProp" Target="../ctrlProps/ctrlProp206.xml"/><Relationship Id="rId43" Type="http://schemas.openxmlformats.org/officeDocument/2006/relationships/ctrlProp" Target="../ctrlProps/ctrlProp227.xml"/><Relationship Id="rId64" Type="http://schemas.openxmlformats.org/officeDocument/2006/relationships/ctrlProp" Target="../ctrlProps/ctrlProp248.xml"/><Relationship Id="rId118" Type="http://schemas.openxmlformats.org/officeDocument/2006/relationships/ctrlProp" Target="../ctrlProps/ctrlProp302.xml"/><Relationship Id="rId139" Type="http://schemas.openxmlformats.org/officeDocument/2006/relationships/ctrlProp" Target="../ctrlProps/ctrlProp323.xml"/><Relationship Id="rId27" Type="http://schemas.openxmlformats.org/officeDocument/2006/relationships/ctrlProp" Target="../ctrlProps/ctrlProp211.xml"/><Relationship Id="rId48" Type="http://schemas.openxmlformats.org/officeDocument/2006/relationships/ctrlProp" Target="../ctrlProps/ctrlProp232.xml"/><Relationship Id="rId69" Type="http://schemas.openxmlformats.org/officeDocument/2006/relationships/ctrlProp" Target="../ctrlProps/ctrlProp253.xml"/><Relationship Id="rId113" Type="http://schemas.openxmlformats.org/officeDocument/2006/relationships/ctrlProp" Target="../ctrlProps/ctrlProp297.xml"/><Relationship Id="rId134" Type="http://schemas.openxmlformats.org/officeDocument/2006/relationships/ctrlProp" Target="../ctrlProps/ctrlProp318.xml"/><Relationship Id="rId85" Type="http://schemas.openxmlformats.org/officeDocument/2006/relationships/ctrlProp" Target="../ctrlProps/ctrlProp269.xml"/><Relationship Id="rId150" Type="http://schemas.openxmlformats.org/officeDocument/2006/relationships/ctrlProp" Target="../ctrlProps/ctrlProp334.xml"/><Relationship Id="rId171" Type="http://schemas.openxmlformats.org/officeDocument/2006/relationships/ctrlProp" Target="../ctrlProps/ctrlProp355.xml"/><Relationship Id="rId192" Type="http://schemas.openxmlformats.org/officeDocument/2006/relationships/ctrlProp" Target="../ctrlProps/ctrlProp376.xml"/><Relationship Id="rId80" Type="http://schemas.openxmlformats.org/officeDocument/2006/relationships/ctrlProp" Target="../ctrlProps/ctrlProp264.xml"/><Relationship Id="rId155" Type="http://schemas.openxmlformats.org/officeDocument/2006/relationships/ctrlProp" Target="../ctrlProps/ctrlProp339.xml"/><Relationship Id="rId176" Type="http://schemas.openxmlformats.org/officeDocument/2006/relationships/ctrlProp" Target="../ctrlProps/ctrlProp360.xml"/><Relationship Id="rId197" Type="http://schemas.openxmlformats.org/officeDocument/2006/relationships/ctrlProp" Target="../ctrlProps/ctrlProp381.xml"/><Relationship Id="rId12" Type="http://schemas.openxmlformats.org/officeDocument/2006/relationships/ctrlProp" Target="../ctrlProps/ctrlProp196.xml"/><Relationship Id="rId33" Type="http://schemas.openxmlformats.org/officeDocument/2006/relationships/ctrlProp" Target="../ctrlProps/ctrlProp217.xml"/><Relationship Id="rId108" Type="http://schemas.openxmlformats.org/officeDocument/2006/relationships/ctrlProp" Target="../ctrlProps/ctrlProp292.xml"/><Relationship Id="rId129" Type="http://schemas.openxmlformats.org/officeDocument/2006/relationships/ctrlProp" Target="../ctrlProps/ctrlProp313.xml"/><Relationship Id="rId17" Type="http://schemas.openxmlformats.org/officeDocument/2006/relationships/ctrlProp" Target="../ctrlProps/ctrlProp201.xml"/><Relationship Id="rId38" Type="http://schemas.openxmlformats.org/officeDocument/2006/relationships/ctrlProp" Target="../ctrlProps/ctrlProp222.xml"/><Relationship Id="rId59" Type="http://schemas.openxmlformats.org/officeDocument/2006/relationships/ctrlProp" Target="../ctrlProps/ctrlProp243.xml"/><Relationship Id="rId103" Type="http://schemas.openxmlformats.org/officeDocument/2006/relationships/ctrlProp" Target="../ctrlProps/ctrlProp287.xml"/><Relationship Id="rId124" Type="http://schemas.openxmlformats.org/officeDocument/2006/relationships/ctrlProp" Target="../ctrlProps/ctrlProp308.xml"/><Relationship Id="rId54" Type="http://schemas.openxmlformats.org/officeDocument/2006/relationships/ctrlProp" Target="../ctrlProps/ctrlProp238.xml"/><Relationship Id="rId75" Type="http://schemas.openxmlformats.org/officeDocument/2006/relationships/ctrlProp" Target="../ctrlProps/ctrlProp259.xml"/><Relationship Id="rId96" Type="http://schemas.openxmlformats.org/officeDocument/2006/relationships/ctrlProp" Target="../ctrlProps/ctrlProp280.xml"/><Relationship Id="rId140" Type="http://schemas.openxmlformats.org/officeDocument/2006/relationships/ctrlProp" Target="../ctrlProps/ctrlProp324.xml"/><Relationship Id="rId161" Type="http://schemas.openxmlformats.org/officeDocument/2006/relationships/ctrlProp" Target="../ctrlProps/ctrlProp345.xml"/><Relationship Id="rId182" Type="http://schemas.openxmlformats.org/officeDocument/2006/relationships/ctrlProp" Target="../ctrlProps/ctrlProp366.xml"/><Relationship Id="rId70" Type="http://schemas.openxmlformats.org/officeDocument/2006/relationships/ctrlProp" Target="../ctrlProps/ctrlProp254.xml"/><Relationship Id="rId91" Type="http://schemas.openxmlformats.org/officeDocument/2006/relationships/ctrlProp" Target="../ctrlProps/ctrlProp275.xml"/><Relationship Id="rId145" Type="http://schemas.openxmlformats.org/officeDocument/2006/relationships/ctrlProp" Target="../ctrlProps/ctrlProp329.xml"/><Relationship Id="rId166" Type="http://schemas.openxmlformats.org/officeDocument/2006/relationships/ctrlProp" Target="../ctrlProps/ctrlProp350.xml"/><Relationship Id="rId187" Type="http://schemas.openxmlformats.org/officeDocument/2006/relationships/ctrlProp" Target="../ctrlProps/ctrlProp371.xml"/><Relationship Id="rId1" Type="http://schemas.openxmlformats.org/officeDocument/2006/relationships/hyperlink" Target="file:///\\WHPUSR04\rcurran$\Personal\My%20Documents\india%20temp\AppData\Roaming\Microsoft\Excel\One%20Pagers%20RE\SOLAR%20PHOTOVOLTAIC%20POWER-One%20pager.pdf" TargetMode="External"/><Relationship Id="rId6" Type="http://schemas.openxmlformats.org/officeDocument/2006/relationships/drawing" Target="../drawings/drawing3.xml"/><Relationship Id="rId23" Type="http://schemas.openxmlformats.org/officeDocument/2006/relationships/ctrlProp" Target="../ctrlProps/ctrlProp207.xml"/><Relationship Id="rId119" Type="http://schemas.openxmlformats.org/officeDocument/2006/relationships/ctrlProp" Target="../ctrlProps/ctrlProp303.xml"/><Relationship Id="rId28" Type="http://schemas.openxmlformats.org/officeDocument/2006/relationships/ctrlProp" Target="../ctrlProps/ctrlProp212.xml"/><Relationship Id="rId49" Type="http://schemas.openxmlformats.org/officeDocument/2006/relationships/ctrlProp" Target="../ctrlProps/ctrlProp233.xml"/><Relationship Id="rId114" Type="http://schemas.openxmlformats.org/officeDocument/2006/relationships/ctrlProp" Target="../ctrlProps/ctrlProp298.xml"/><Relationship Id="rId44" Type="http://schemas.openxmlformats.org/officeDocument/2006/relationships/ctrlProp" Target="../ctrlProps/ctrlProp228.xml"/><Relationship Id="rId65" Type="http://schemas.openxmlformats.org/officeDocument/2006/relationships/ctrlProp" Target="../ctrlProps/ctrlProp249.xml"/><Relationship Id="rId86" Type="http://schemas.openxmlformats.org/officeDocument/2006/relationships/ctrlProp" Target="../ctrlProps/ctrlProp270.xml"/><Relationship Id="rId130" Type="http://schemas.openxmlformats.org/officeDocument/2006/relationships/ctrlProp" Target="../ctrlProps/ctrlProp314.xml"/><Relationship Id="rId151" Type="http://schemas.openxmlformats.org/officeDocument/2006/relationships/ctrlProp" Target="../ctrlProps/ctrlProp335.xml"/><Relationship Id="rId60" Type="http://schemas.openxmlformats.org/officeDocument/2006/relationships/ctrlProp" Target="../ctrlProps/ctrlProp244.xml"/><Relationship Id="rId81" Type="http://schemas.openxmlformats.org/officeDocument/2006/relationships/ctrlProp" Target="../ctrlProps/ctrlProp265.xml"/><Relationship Id="rId135" Type="http://schemas.openxmlformats.org/officeDocument/2006/relationships/ctrlProp" Target="../ctrlProps/ctrlProp319.xml"/><Relationship Id="rId156" Type="http://schemas.openxmlformats.org/officeDocument/2006/relationships/ctrlProp" Target="../ctrlProps/ctrlProp340.xml"/><Relationship Id="rId177" Type="http://schemas.openxmlformats.org/officeDocument/2006/relationships/ctrlProp" Target="../ctrlProps/ctrlProp361.xml"/><Relationship Id="rId198" Type="http://schemas.openxmlformats.org/officeDocument/2006/relationships/ctrlProp" Target="../ctrlProps/ctrlProp382.xml"/><Relationship Id="rId172" Type="http://schemas.openxmlformats.org/officeDocument/2006/relationships/ctrlProp" Target="../ctrlProps/ctrlProp356.xml"/><Relationship Id="rId193" Type="http://schemas.openxmlformats.org/officeDocument/2006/relationships/ctrlProp" Target="../ctrlProps/ctrlProp377.xml"/><Relationship Id="rId13" Type="http://schemas.openxmlformats.org/officeDocument/2006/relationships/ctrlProp" Target="../ctrlProps/ctrlProp197.xml"/><Relationship Id="rId109" Type="http://schemas.openxmlformats.org/officeDocument/2006/relationships/ctrlProp" Target="../ctrlProps/ctrlProp293.xml"/><Relationship Id="rId18" Type="http://schemas.openxmlformats.org/officeDocument/2006/relationships/ctrlProp" Target="../ctrlProps/ctrlProp202.xml"/><Relationship Id="rId39" Type="http://schemas.openxmlformats.org/officeDocument/2006/relationships/ctrlProp" Target="../ctrlProps/ctrlProp223.xml"/><Relationship Id="rId34" Type="http://schemas.openxmlformats.org/officeDocument/2006/relationships/ctrlProp" Target="../ctrlProps/ctrlProp218.xml"/><Relationship Id="rId55" Type="http://schemas.openxmlformats.org/officeDocument/2006/relationships/ctrlProp" Target="../ctrlProps/ctrlProp239.xml"/><Relationship Id="rId76" Type="http://schemas.openxmlformats.org/officeDocument/2006/relationships/ctrlProp" Target="../ctrlProps/ctrlProp260.xml"/><Relationship Id="rId97" Type="http://schemas.openxmlformats.org/officeDocument/2006/relationships/ctrlProp" Target="../ctrlProps/ctrlProp281.xml"/><Relationship Id="rId120" Type="http://schemas.openxmlformats.org/officeDocument/2006/relationships/ctrlProp" Target="../ctrlProps/ctrlProp304.xml"/><Relationship Id="rId141" Type="http://schemas.openxmlformats.org/officeDocument/2006/relationships/ctrlProp" Target="../ctrlProps/ctrlProp325.xml"/><Relationship Id="rId50" Type="http://schemas.openxmlformats.org/officeDocument/2006/relationships/ctrlProp" Target="../ctrlProps/ctrlProp234.xml"/><Relationship Id="rId104" Type="http://schemas.openxmlformats.org/officeDocument/2006/relationships/ctrlProp" Target="../ctrlProps/ctrlProp288.xml"/><Relationship Id="rId125" Type="http://schemas.openxmlformats.org/officeDocument/2006/relationships/ctrlProp" Target="../ctrlProps/ctrlProp309.xml"/><Relationship Id="rId146" Type="http://schemas.openxmlformats.org/officeDocument/2006/relationships/ctrlProp" Target="../ctrlProps/ctrlProp330.xml"/><Relationship Id="rId167" Type="http://schemas.openxmlformats.org/officeDocument/2006/relationships/ctrlProp" Target="../ctrlProps/ctrlProp351.xml"/><Relationship Id="rId188" Type="http://schemas.openxmlformats.org/officeDocument/2006/relationships/ctrlProp" Target="../ctrlProps/ctrlProp372.xml"/><Relationship Id="rId7" Type="http://schemas.openxmlformats.org/officeDocument/2006/relationships/vmlDrawing" Target="../drawings/vmlDrawing18.vml"/><Relationship Id="rId71" Type="http://schemas.openxmlformats.org/officeDocument/2006/relationships/ctrlProp" Target="../ctrlProps/ctrlProp255.xml"/><Relationship Id="rId92" Type="http://schemas.openxmlformats.org/officeDocument/2006/relationships/ctrlProp" Target="../ctrlProps/ctrlProp276.xml"/><Relationship Id="rId162" Type="http://schemas.openxmlformats.org/officeDocument/2006/relationships/ctrlProp" Target="../ctrlProps/ctrlProp346.xml"/><Relationship Id="rId183" Type="http://schemas.openxmlformats.org/officeDocument/2006/relationships/ctrlProp" Target="../ctrlProps/ctrlProp367.xml"/><Relationship Id="rId2" Type="http://schemas.openxmlformats.org/officeDocument/2006/relationships/hyperlink" Target="file:///\\WHPUSR04\rcurran$\Personal\My%20Documents\india%20temp\AppData\Roaming\Microsoft\Excel\One%20Pagers%20RE\CONCENTRATED%20SOLAR%20POWER-One%20pager.pdf" TargetMode="External"/><Relationship Id="rId29" Type="http://schemas.openxmlformats.org/officeDocument/2006/relationships/ctrlProp" Target="../ctrlProps/ctrlProp213.xml"/><Relationship Id="rId24" Type="http://schemas.openxmlformats.org/officeDocument/2006/relationships/ctrlProp" Target="../ctrlProps/ctrlProp208.xml"/><Relationship Id="rId40" Type="http://schemas.openxmlformats.org/officeDocument/2006/relationships/ctrlProp" Target="../ctrlProps/ctrlProp224.xml"/><Relationship Id="rId45" Type="http://schemas.openxmlformats.org/officeDocument/2006/relationships/ctrlProp" Target="../ctrlProps/ctrlProp229.xml"/><Relationship Id="rId66" Type="http://schemas.openxmlformats.org/officeDocument/2006/relationships/ctrlProp" Target="../ctrlProps/ctrlProp250.xml"/><Relationship Id="rId87" Type="http://schemas.openxmlformats.org/officeDocument/2006/relationships/ctrlProp" Target="../ctrlProps/ctrlProp271.xml"/><Relationship Id="rId110" Type="http://schemas.openxmlformats.org/officeDocument/2006/relationships/ctrlProp" Target="../ctrlProps/ctrlProp294.xml"/><Relationship Id="rId115" Type="http://schemas.openxmlformats.org/officeDocument/2006/relationships/ctrlProp" Target="../ctrlProps/ctrlProp299.xml"/><Relationship Id="rId131" Type="http://schemas.openxmlformats.org/officeDocument/2006/relationships/ctrlProp" Target="../ctrlProps/ctrlProp315.xml"/><Relationship Id="rId136" Type="http://schemas.openxmlformats.org/officeDocument/2006/relationships/ctrlProp" Target="../ctrlProps/ctrlProp320.xml"/><Relationship Id="rId157" Type="http://schemas.openxmlformats.org/officeDocument/2006/relationships/ctrlProp" Target="../ctrlProps/ctrlProp341.xml"/><Relationship Id="rId178" Type="http://schemas.openxmlformats.org/officeDocument/2006/relationships/ctrlProp" Target="../ctrlProps/ctrlProp362.xml"/><Relationship Id="rId61" Type="http://schemas.openxmlformats.org/officeDocument/2006/relationships/ctrlProp" Target="../ctrlProps/ctrlProp245.xml"/><Relationship Id="rId82" Type="http://schemas.openxmlformats.org/officeDocument/2006/relationships/ctrlProp" Target="../ctrlProps/ctrlProp266.xml"/><Relationship Id="rId152" Type="http://schemas.openxmlformats.org/officeDocument/2006/relationships/ctrlProp" Target="../ctrlProps/ctrlProp336.xml"/><Relationship Id="rId173" Type="http://schemas.openxmlformats.org/officeDocument/2006/relationships/ctrlProp" Target="../ctrlProps/ctrlProp357.xml"/><Relationship Id="rId194" Type="http://schemas.openxmlformats.org/officeDocument/2006/relationships/ctrlProp" Target="../ctrlProps/ctrlProp378.xml"/><Relationship Id="rId19" Type="http://schemas.openxmlformats.org/officeDocument/2006/relationships/ctrlProp" Target="../ctrlProps/ctrlProp203.xml"/><Relationship Id="rId14" Type="http://schemas.openxmlformats.org/officeDocument/2006/relationships/ctrlProp" Target="../ctrlProps/ctrlProp198.xml"/><Relationship Id="rId30" Type="http://schemas.openxmlformats.org/officeDocument/2006/relationships/ctrlProp" Target="../ctrlProps/ctrlProp214.xml"/><Relationship Id="rId35" Type="http://schemas.openxmlformats.org/officeDocument/2006/relationships/ctrlProp" Target="../ctrlProps/ctrlProp219.xml"/><Relationship Id="rId56" Type="http://schemas.openxmlformats.org/officeDocument/2006/relationships/ctrlProp" Target="../ctrlProps/ctrlProp240.xml"/><Relationship Id="rId77" Type="http://schemas.openxmlformats.org/officeDocument/2006/relationships/ctrlProp" Target="../ctrlProps/ctrlProp261.xml"/><Relationship Id="rId100" Type="http://schemas.openxmlformats.org/officeDocument/2006/relationships/ctrlProp" Target="../ctrlProps/ctrlProp284.xml"/><Relationship Id="rId105" Type="http://schemas.openxmlformats.org/officeDocument/2006/relationships/ctrlProp" Target="../ctrlProps/ctrlProp289.xml"/><Relationship Id="rId126" Type="http://schemas.openxmlformats.org/officeDocument/2006/relationships/ctrlProp" Target="../ctrlProps/ctrlProp310.xml"/><Relationship Id="rId147" Type="http://schemas.openxmlformats.org/officeDocument/2006/relationships/ctrlProp" Target="../ctrlProps/ctrlProp331.xml"/><Relationship Id="rId168" Type="http://schemas.openxmlformats.org/officeDocument/2006/relationships/ctrlProp" Target="../ctrlProps/ctrlProp352.xml"/><Relationship Id="rId8" Type="http://schemas.openxmlformats.org/officeDocument/2006/relationships/ctrlProp" Target="../ctrlProps/ctrlProp192.xml"/><Relationship Id="rId51" Type="http://schemas.openxmlformats.org/officeDocument/2006/relationships/ctrlProp" Target="../ctrlProps/ctrlProp235.xml"/><Relationship Id="rId72" Type="http://schemas.openxmlformats.org/officeDocument/2006/relationships/ctrlProp" Target="../ctrlProps/ctrlProp256.xml"/><Relationship Id="rId93" Type="http://schemas.openxmlformats.org/officeDocument/2006/relationships/ctrlProp" Target="../ctrlProps/ctrlProp277.xml"/><Relationship Id="rId98" Type="http://schemas.openxmlformats.org/officeDocument/2006/relationships/ctrlProp" Target="../ctrlProps/ctrlProp282.xml"/><Relationship Id="rId121" Type="http://schemas.openxmlformats.org/officeDocument/2006/relationships/ctrlProp" Target="../ctrlProps/ctrlProp305.xml"/><Relationship Id="rId142" Type="http://schemas.openxmlformats.org/officeDocument/2006/relationships/ctrlProp" Target="../ctrlProps/ctrlProp326.xml"/><Relationship Id="rId163" Type="http://schemas.openxmlformats.org/officeDocument/2006/relationships/ctrlProp" Target="../ctrlProps/ctrlProp347.xml"/><Relationship Id="rId184" Type="http://schemas.openxmlformats.org/officeDocument/2006/relationships/ctrlProp" Target="../ctrlProps/ctrlProp368.xml"/><Relationship Id="rId189" Type="http://schemas.openxmlformats.org/officeDocument/2006/relationships/ctrlProp" Target="../ctrlProps/ctrlProp373.xml"/><Relationship Id="rId3" Type="http://schemas.openxmlformats.org/officeDocument/2006/relationships/hyperlink" Target="file:///\\WHPUSR04\rcurran$\Personal\My%20Documents\india%20temp\AppData\Roaming\Microsoft\Excel\One%20Pagers%20RE\WIND%20ONSHORE-ONE%20PAGER.pdf" TargetMode="External"/><Relationship Id="rId25" Type="http://schemas.openxmlformats.org/officeDocument/2006/relationships/ctrlProp" Target="../ctrlProps/ctrlProp209.xml"/><Relationship Id="rId46" Type="http://schemas.openxmlformats.org/officeDocument/2006/relationships/ctrlProp" Target="../ctrlProps/ctrlProp230.xml"/><Relationship Id="rId67" Type="http://schemas.openxmlformats.org/officeDocument/2006/relationships/ctrlProp" Target="../ctrlProps/ctrlProp251.xml"/><Relationship Id="rId116" Type="http://schemas.openxmlformats.org/officeDocument/2006/relationships/ctrlProp" Target="../ctrlProps/ctrlProp300.xml"/><Relationship Id="rId137" Type="http://schemas.openxmlformats.org/officeDocument/2006/relationships/ctrlProp" Target="../ctrlProps/ctrlProp321.xml"/><Relationship Id="rId158" Type="http://schemas.openxmlformats.org/officeDocument/2006/relationships/ctrlProp" Target="../ctrlProps/ctrlProp342.xml"/><Relationship Id="rId20" Type="http://schemas.openxmlformats.org/officeDocument/2006/relationships/ctrlProp" Target="../ctrlProps/ctrlProp204.xml"/><Relationship Id="rId41" Type="http://schemas.openxmlformats.org/officeDocument/2006/relationships/ctrlProp" Target="../ctrlProps/ctrlProp225.xml"/><Relationship Id="rId62" Type="http://schemas.openxmlformats.org/officeDocument/2006/relationships/ctrlProp" Target="../ctrlProps/ctrlProp246.xml"/><Relationship Id="rId83" Type="http://schemas.openxmlformats.org/officeDocument/2006/relationships/ctrlProp" Target="../ctrlProps/ctrlProp267.xml"/><Relationship Id="rId88" Type="http://schemas.openxmlformats.org/officeDocument/2006/relationships/ctrlProp" Target="../ctrlProps/ctrlProp272.xml"/><Relationship Id="rId111" Type="http://schemas.openxmlformats.org/officeDocument/2006/relationships/ctrlProp" Target="../ctrlProps/ctrlProp295.xml"/><Relationship Id="rId132" Type="http://schemas.openxmlformats.org/officeDocument/2006/relationships/ctrlProp" Target="../ctrlProps/ctrlProp316.xml"/><Relationship Id="rId153" Type="http://schemas.openxmlformats.org/officeDocument/2006/relationships/ctrlProp" Target="../ctrlProps/ctrlProp337.xml"/><Relationship Id="rId174" Type="http://schemas.openxmlformats.org/officeDocument/2006/relationships/ctrlProp" Target="../ctrlProps/ctrlProp358.xml"/><Relationship Id="rId179" Type="http://schemas.openxmlformats.org/officeDocument/2006/relationships/ctrlProp" Target="../ctrlProps/ctrlProp363.xml"/><Relationship Id="rId195" Type="http://schemas.openxmlformats.org/officeDocument/2006/relationships/ctrlProp" Target="../ctrlProps/ctrlProp379.xml"/><Relationship Id="rId190" Type="http://schemas.openxmlformats.org/officeDocument/2006/relationships/ctrlProp" Target="../ctrlProps/ctrlProp374.xml"/><Relationship Id="rId15" Type="http://schemas.openxmlformats.org/officeDocument/2006/relationships/ctrlProp" Target="../ctrlProps/ctrlProp199.xml"/><Relationship Id="rId36" Type="http://schemas.openxmlformats.org/officeDocument/2006/relationships/ctrlProp" Target="../ctrlProps/ctrlProp220.xml"/><Relationship Id="rId57" Type="http://schemas.openxmlformats.org/officeDocument/2006/relationships/ctrlProp" Target="../ctrlProps/ctrlProp241.xml"/><Relationship Id="rId106" Type="http://schemas.openxmlformats.org/officeDocument/2006/relationships/ctrlProp" Target="../ctrlProps/ctrlProp290.xml"/><Relationship Id="rId127" Type="http://schemas.openxmlformats.org/officeDocument/2006/relationships/ctrlProp" Target="../ctrlProps/ctrlProp311.xml"/><Relationship Id="rId10" Type="http://schemas.openxmlformats.org/officeDocument/2006/relationships/ctrlProp" Target="../ctrlProps/ctrlProp194.xml"/><Relationship Id="rId31" Type="http://schemas.openxmlformats.org/officeDocument/2006/relationships/ctrlProp" Target="../ctrlProps/ctrlProp215.xml"/><Relationship Id="rId52" Type="http://schemas.openxmlformats.org/officeDocument/2006/relationships/ctrlProp" Target="../ctrlProps/ctrlProp236.xml"/><Relationship Id="rId73" Type="http://schemas.openxmlformats.org/officeDocument/2006/relationships/ctrlProp" Target="../ctrlProps/ctrlProp257.xml"/><Relationship Id="rId78" Type="http://schemas.openxmlformats.org/officeDocument/2006/relationships/ctrlProp" Target="../ctrlProps/ctrlProp262.xml"/><Relationship Id="rId94" Type="http://schemas.openxmlformats.org/officeDocument/2006/relationships/ctrlProp" Target="../ctrlProps/ctrlProp278.xml"/><Relationship Id="rId99" Type="http://schemas.openxmlformats.org/officeDocument/2006/relationships/ctrlProp" Target="../ctrlProps/ctrlProp283.xml"/><Relationship Id="rId101" Type="http://schemas.openxmlformats.org/officeDocument/2006/relationships/ctrlProp" Target="../ctrlProps/ctrlProp285.xml"/><Relationship Id="rId122" Type="http://schemas.openxmlformats.org/officeDocument/2006/relationships/ctrlProp" Target="../ctrlProps/ctrlProp306.xml"/><Relationship Id="rId143" Type="http://schemas.openxmlformats.org/officeDocument/2006/relationships/ctrlProp" Target="../ctrlProps/ctrlProp327.xml"/><Relationship Id="rId148" Type="http://schemas.openxmlformats.org/officeDocument/2006/relationships/ctrlProp" Target="../ctrlProps/ctrlProp332.xml"/><Relationship Id="rId164" Type="http://schemas.openxmlformats.org/officeDocument/2006/relationships/ctrlProp" Target="../ctrlProps/ctrlProp348.xml"/><Relationship Id="rId169" Type="http://schemas.openxmlformats.org/officeDocument/2006/relationships/ctrlProp" Target="../ctrlProps/ctrlProp353.xml"/><Relationship Id="rId185" Type="http://schemas.openxmlformats.org/officeDocument/2006/relationships/ctrlProp" Target="../ctrlProps/ctrlProp369.xml"/><Relationship Id="rId4" Type="http://schemas.openxmlformats.org/officeDocument/2006/relationships/hyperlink" Target="file:///\\WHPUSR04\rcurran$\Personal\My%20Documents\india%20temp\AppData\Roaming\Microsoft\Excel\One%20Pagers%20RE\OFFSHORE%20WIND%20POWER-One%20Pager.pdf" TargetMode="External"/><Relationship Id="rId9" Type="http://schemas.openxmlformats.org/officeDocument/2006/relationships/ctrlProp" Target="../ctrlProps/ctrlProp193.xml"/><Relationship Id="rId180" Type="http://schemas.openxmlformats.org/officeDocument/2006/relationships/ctrlProp" Target="../ctrlProps/ctrlProp364.xml"/><Relationship Id="rId26" Type="http://schemas.openxmlformats.org/officeDocument/2006/relationships/ctrlProp" Target="../ctrlProps/ctrlProp210.xml"/></Relationships>
</file>

<file path=xl/worksheets/_rels/sheet37.xml.rels><?xml version="1.0" encoding="UTF-8" standalone="yes"?>
<Relationships xmlns="http://schemas.openxmlformats.org/package/2006/relationships"><Relationship Id="rId117" Type="http://schemas.openxmlformats.org/officeDocument/2006/relationships/ctrlProp" Target="../ctrlProps/ctrlProp492.xml"/><Relationship Id="rId21" Type="http://schemas.openxmlformats.org/officeDocument/2006/relationships/ctrlProp" Target="../ctrlProps/ctrlProp396.xml"/><Relationship Id="rId42" Type="http://schemas.openxmlformats.org/officeDocument/2006/relationships/ctrlProp" Target="../ctrlProps/ctrlProp417.xml"/><Relationship Id="rId63" Type="http://schemas.openxmlformats.org/officeDocument/2006/relationships/ctrlProp" Target="../ctrlProps/ctrlProp438.xml"/><Relationship Id="rId84" Type="http://schemas.openxmlformats.org/officeDocument/2006/relationships/ctrlProp" Target="../ctrlProps/ctrlProp459.xml"/><Relationship Id="rId138" Type="http://schemas.openxmlformats.org/officeDocument/2006/relationships/ctrlProp" Target="../ctrlProps/ctrlProp513.xml"/><Relationship Id="rId159" Type="http://schemas.openxmlformats.org/officeDocument/2006/relationships/ctrlProp" Target="../ctrlProps/ctrlProp534.xml"/><Relationship Id="rId47" Type="http://schemas.openxmlformats.org/officeDocument/2006/relationships/ctrlProp" Target="../ctrlProps/ctrlProp422.xml"/><Relationship Id="rId68" Type="http://schemas.openxmlformats.org/officeDocument/2006/relationships/ctrlProp" Target="../ctrlProps/ctrlProp443.xml"/><Relationship Id="rId89" Type="http://schemas.openxmlformats.org/officeDocument/2006/relationships/ctrlProp" Target="../ctrlProps/ctrlProp464.xml"/><Relationship Id="rId112" Type="http://schemas.openxmlformats.org/officeDocument/2006/relationships/ctrlProp" Target="../ctrlProps/ctrlProp487.xml"/><Relationship Id="rId133" Type="http://schemas.openxmlformats.org/officeDocument/2006/relationships/ctrlProp" Target="../ctrlProps/ctrlProp508.xml"/><Relationship Id="rId154" Type="http://schemas.openxmlformats.org/officeDocument/2006/relationships/ctrlProp" Target="../ctrlProps/ctrlProp529.xml"/><Relationship Id="rId175" Type="http://schemas.openxmlformats.org/officeDocument/2006/relationships/ctrlProp" Target="../ctrlProps/ctrlProp550.xml"/><Relationship Id="rId170" Type="http://schemas.openxmlformats.org/officeDocument/2006/relationships/ctrlProp" Target="../ctrlProps/ctrlProp545.xml"/><Relationship Id="rId191" Type="http://schemas.openxmlformats.org/officeDocument/2006/relationships/ctrlProp" Target="../ctrlProps/ctrlProp566.xml"/><Relationship Id="rId196" Type="http://schemas.openxmlformats.org/officeDocument/2006/relationships/ctrlProp" Target="../ctrlProps/ctrlProp571.xml"/><Relationship Id="rId107" Type="http://schemas.openxmlformats.org/officeDocument/2006/relationships/ctrlProp" Target="../ctrlProps/ctrlProp482.xml"/><Relationship Id="rId16" Type="http://schemas.openxmlformats.org/officeDocument/2006/relationships/ctrlProp" Target="../ctrlProps/ctrlProp391.xml"/><Relationship Id="rId11" Type="http://schemas.openxmlformats.org/officeDocument/2006/relationships/ctrlProp" Target="../ctrlProps/ctrlProp386.xml"/><Relationship Id="rId32" Type="http://schemas.openxmlformats.org/officeDocument/2006/relationships/ctrlProp" Target="../ctrlProps/ctrlProp407.xml"/><Relationship Id="rId53" Type="http://schemas.openxmlformats.org/officeDocument/2006/relationships/ctrlProp" Target="../ctrlProps/ctrlProp428.xml"/><Relationship Id="rId74" Type="http://schemas.openxmlformats.org/officeDocument/2006/relationships/ctrlProp" Target="../ctrlProps/ctrlProp449.xml"/><Relationship Id="rId128" Type="http://schemas.openxmlformats.org/officeDocument/2006/relationships/ctrlProp" Target="../ctrlProps/ctrlProp503.xml"/><Relationship Id="rId149" Type="http://schemas.openxmlformats.org/officeDocument/2006/relationships/ctrlProp" Target="../ctrlProps/ctrlProp524.xml"/><Relationship Id="rId37" Type="http://schemas.openxmlformats.org/officeDocument/2006/relationships/ctrlProp" Target="../ctrlProps/ctrlProp412.xml"/><Relationship Id="rId58" Type="http://schemas.openxmlformats.org/officeDocument/2006/relationships/ctrlProp" Target="../ctrlProps/ctrlProp433.xml"/><Relationship Id="rId79" Type="http://schemas.openxmlformats.org/officeDocument/2006/relationships/ctrlProp" Target="../ctrlProps/ctrlProp454.xml"/><Relationship Id="rId102" Type="http://schemas.openxmlformats.org/officeDocument/2006/relationships/ctrlProp" Target="../ctrlProps/ctrlProp477.xml"/><Relationship Id="rId123" Type="http://schemas.openxmlformats.org/officeDocument/2006/relationships/ctrlProp" Target="../ctrlProps/ctrlProp498.xml"/><Relationship Id="rId144" Type="http://schemas.openxmlformats.org/officeDocument/2006/relationships/ctrlProp" Target="../ctrlProps/ctrlProp519.xml"/><Relationship Id="rId5" Type="http://schemas.openxmlformats.org/officeDocument/2006/relationships/hyperlink" Target="file:///\\WHPUSR04\rcurran$\Personal\My%20Documents\india%20temp\AppData\Roaming\Microsoft\Excel\One%20Pagers%20RE\SMALL%20HYDROELECTRIC%20POWER-ONE%20PAGER.pdf" TargetMode="External"/><Relationship Id="rId95" Type="http://schemas.openxmlformats.org/officeDocument/2006/relationships/ctrlProp" Target="../ctrlProps/ctrlProp470.xml"/><Relationship Id="rId160" Type="http://schemas.openxmlformats.org/officeDocument/2006/relationships/ctrlProp" Target="../ctrlProps/ctrlProp535.xml"/><Relationship Id="rId181" Type="http://schemas.openxmlformats.org/officeDocument/2006/relationships/ctrlProp" Target="../ctrlProps/ctrlProp556.xml"/><Relationship Id="rId90" Type="http://schemas.openxmlformats.org/officeDocument/2006/relationships/ctrlProp" Target="../ctrlProps/ctrlProp465.xml"/><Relationship Id="rId165" Type="http://schemas.openxmlformats.org/officeDocument/2006/relationships/ctrlProp" Target="../ctrlProps/ctrlProp540.xml"/><Relationship Id="rId186" Type="http://schemas.openxmlformats.org/officeDocument/2006/relationships/ctrlProp" Target="../ctrlProps/ctrlProp561.xml"/><Relationship Id="rId22" Type="http://schemas.openxmlformats.org/officeDocument/2006/relationships/ctrlProp" Target="../ctrlProps/ctrlProp397.xml"/><Relationship Id="rId43" Type="http://schemas.openxmlformats.org/officeDocument/2006/relationships/ctrlProp" Target="../ctrlProps/ctrlProp418.xml"/><Relationship Id="rId64" Type="http://schemas.openxmlformats.org/officeDocument/2006/relationships/ctrlProp" Target="../ctrlProps/ctrlProp439.xml"/><Relationship Id="rId118" Type="http://schemas.openxmlformats.org/officeDocument/2006/relationships/ctrlProp" Target="../ctrlProps/ctrlProp493.xml"/><Relationship Id="rId139" Type="http://schemas.openxmlformats.org/officeDocument/2006/relationships/ctrlProp" Target="../ctrlProps/ctrlProp514.xml"/><Relationship Id="rId27" Type="http://schemas.openxmlformats.org/officeDocument/2006/relationships/ctrlProp" Target="../ctrlProps/ctrlProp402.xml"/><Relationship Id="rId48" Type="http://schemas.openxmlformats.org/officeDocument/2006/relationships/ctrlProp" Target="../ctrlProps/ctrlProp423.xml"/><Relationship Id="rId69" Type="http://schemas.openxmlformats.org/officeDocument/2006/relationships/ctrlProp" Target="../ctrlProps/ctrlProp444.xml"/><Relationship Id="rId113" Type="http://schemas.openxmlformats.org/officeDocument/2006/relationships/ctrlProp" Target="../ctrlProps/ctrlProp488.xml"/><Relationship Id="rId134" Type="http://schemas.openxmlformats.org/officeDocument/2006/relationships/ctrlProp" Target="../ctrlProps/ctrlProp509.xml"/><Relationship Id="rId85" Type="http://schemas.openxmlformats.org/officeDocument/2006/relationships/ctrlProp" Target="../ctrlProps/ctrlProp460.xml"/><Relationship Id="rId150" Type="http://schemas.openxmlformats.org/officeDocument/2006/relationships/ctrlProp" Target="../ctrlProps/ctrlProp525.xml"/><Relationship Id="rId171" Type="http://schemas.openxmlformats.org/officeDocument/2006/relationships/ctrlProp" Target="../ctrlProps/ctrlProp546.xml"/><Relationship Id="rId192" Type="http://schemas.openxmlformats.org/officeDocument/2006/relationships/ctrlProp" Target="../ctrlProps/ctrlProp567.xml"/><Relationship Id="rId80" Type="http://schemas.openxmlformats.org/officeDocument/2006/relationships/ctrlProp" Target="../ctrlProps/ctrlProp455.xml"/><Relationship Id="rId155" Type="http://schemas.openxmlformats.org/officeDocument/2006/relationships/ctrlProp" Target="../ctrlProps/ctrlProp530.xml"/><Relationship Id="rId176" Type="http://schemas.openxmlformats.org/officeDocument/2006/relationships/ctrlProp" Target="../ctrlProps/ctrlProp551.xml"/><Relationship Id="rId197" Type="http://schemas.openxmlformats.org/officeDocument/2006/relationships/ctrlProp" Target="../ctrlProps/ctrlProp572.xml"/><Relationship Id="rId12" Type="http://schemas.openxmlformats.org/officeDocument/2006/relationships/ctrlProp" Target="../ctrlProps/ctrlProp387.xml"/><Relationship Id="rId33" Type="http://schemas.openxmlformats.org/officeDocument/2006/relationships/ctrlProp" Target="../ctrlProps/ctrlProp408.xml"/><Relationship Id="rId108" Type="http://schemas.openxmlformats.org/officeDocument/2006/relationships/ctrlProp" Target="../ctrlProps/ctrlProp483.xml"/><Relationship Id="rId129" Type="http://schemas.openxmlformats.org/officeDocument/2006/relationships/ctrlProp" Target="../ctrlProps/ctrlProp504.xml"/><Relationship Id="rId17" Type="http://schemas.openxmlformats.org/officeDocument/2006/relationships/ctrlProp" Target="../ctrlProps/ctrlProp392.xml"/><Relationship Id="rId38" Type="http://schemas.openxmlformats.org/officeDocument/2006/relationships/ctrlProp" Target="../ctrlProps/ctrlProp413.xml"/><Relationship Id="rId59" Type="http://schemas.openxmlformats.org/officeDocument/2006/relationships/ctrlProp" Target="../ctrlProps/ctrlProp434.xml"/><Relationship Id="rId103" Type="http://schemas.openxmlformats.org/officeDocument/2006/relationships/ctrlProp" Target="../ctrlProps/ctrlProp478.xml"/><Relationship Id="rId124" Type="http://schemas.openxmlformats.org/officeDocument/2006/relationships/ctrlProp" Target="../ctrlProps/ctrlProp499.xml"/><Relationship Id="rId54" Type="http://schemas.openxmlformats.org/officeDocument/2006/relationships/ctrlProp" Target="../ctrlProps/ctrlProp429.xml"/><Relationship Id="rId75" Type="http://schemas.openxmlformats.org/officeDocument/2006/relationships/ctrlProp" Target="../ctrlProps/ctrlProp450.xml"/><Relationship Id="rId96" Type="http://schemas.openxmlformats.org/officeDocument/2006/relationships/ctrlProp" Target="../ctrlProps/ctrlProp471.xml"/><Relationship Id="rId140" Type="http://schemas.openxmlformats.org/officeDocument/2006/relationships/ctrlProp" Target="../ctrlProps/ctrlProp515.xml"/><Relationship Id="rId161" Type="http://schemas.openxmlformats.org/officeDocument/2006/relationships/ctrlProp" Target="../ctrlProps/ctrlProp536.xml"/><Relationship Id="rId182" Type="http://schemas.openxmlformats.org/officeDocument/2006/relationships/ctrlProp" Target="../ctrlProps/ctrlProp557.xml"/><Relationship Id="rId70" Type="http://schemas.openxmlformats.org/officeDocument/2006/relationships/ctrlProp" Target="../ctrlProps/ctrlProp445.xml"/><Relationship Id="rId91" Type="http://schemas.openxmlformats.org/officeDocument/2006/relationships/ctrlProp" Target="../ctrlProps/ctrlProp466.xml"/><Relationship Id="rId145" Type="http://schemas.openxmlformats.org/officeDocument/2006/relationships/ctrlProp" Target="../ctrlProps/ctrlProp520.xml"/><Relationship Id="rId166" Type="http://schemas.openxmlformats.org/officeDocument/2006/relationships/ctrlProp" Target="../ctrlProps/ctrlProp541.xml"/><Relationship Id="rId187" Type="http://schemas.openxmlformats.org/officeDocument/2006/relationships/ctrlProp" Target="../ctrlProps/ctrlProp562.xml"/><Relationship Id="rId1" Type="http://schemas.openxmlformats.org/officeDocument/2006/relationships/hyperlink" Target="file:///\\WHPUSR04\rcurran$\Personal\My%20Documents\india%20temp\AppData\Roaming\Microsoft\Excel\One%20Pagers%20RE\SOLAR%20PHOTOVOLTAIC%20POWER-One%20pager.pdf" TargetMode="External"/><Relationship Id="rId6" Type="http://schemas.openxmlformats.org/officeDocument/2006/relationships/drawing" Target="../drawings/drawing4.xml"/><Relationship Id="rId23" Type="http://schemas.openxmlformats.org/officeDocument/2006/relationships/ctrlProp" Target="../ctrlProps/ctrlProp398.xml"/><Relationship Id="rId119" Type="http://schemas.openxmlformats.org/officeDocument/2006/relationships/ctrlProp" Target="../ctrlProps/ctrlProp494.xml"/><Relationship Id="rId28" Type="http://schemas.openxmlformats.org/officeDocument/2006/relationships/ctrlProp" Target="../ctrlProps/ctrlProp403.xml"/><Relationship Id="rId49" Type="http://schemas.openxmlformats.org/officeDocument/2006/relationships/ctrlProp" Target="../ctrlProps/ctrlProp424.xml"/><Relationship Id="rId114" Type="http://schemas.openxmlformats.org/officeDocument/2006/relationships/ctrlProp" Target="../ctrlProps/ctrlProp489.xml"/><Relationship Id="rId44" Type="http://schemas.openxmlformats.org/officeDocument/2006/relationships/ctrlProp" Target="../ctrlProps/ctrlProp419.xml"/><Relationship Id="rId65" Type="http://schemas.openxmlformats.org/officeDocument/2006/relationships/ctrlProp" Target="../ctrlProps/ctrlProp440.xml"/><Relationship Id="rId86" Type="http://schemas.openxmlformats.org/officeDocument/2006/relationships/ctrlProp" Target="../ctrlProps/ctrlProp461.xml"/><Relationship Id="rId130" Type="http://schemas.openxmlformats.org/officeDocument/2006/relationships/ctrlProp" Target="../ctrlProps/ctrlProp505.xml"/><Relationship Id="rId151" Type="http://schemas.openxmlformats.org/officeDocument/2006/relationships/ctrlProp" Target="../ctrlProps/ctrlProp526.xml"/><Relationship Id="rId60" Type="http://schemas.openxmlformats.org/officeDocument/2006/relationships/ctrlProp" Target="../ctrlProps/ctrlProp435.xml"/><Relationship Id="rId81" Type="http://schemas.openxmlformats.org/officeDocument/2006/relationships/ctrlProp" Target="../ctrlProps/ctrlProp456.xml"/><Relationship Id="rId135" Type="http://schemas.openxmlformats.org/officeDocument/2006/relationships/ctrlProp" Target="../ctrlProps/ctrlProp510.xml"/><Relationship Id="rId156" Type="http://schemas.openxmlformats.org/officeDocument/2006/relationships/ctrlProp" Target="../ctrlProps/ctrlProp531.xml"/><Relationship Id="rId177" Type="http://schemas.openxmlformats.org/officeDocument/2006/relationships/ctrlProp" Target="../ctrlProps/ctrlProp552.xml"/><Relationship Id="rId198" Type="http://schemas.openxmlformats.org/officeDocument/2006/relationships/ctrlProp" Target="../ctrlProps/ctrlProp573.xml"/><Relationship Id="rId172" Type="http://schemas.openxmlformats.org/officeDocument/2006/relationships/ctrlProp" Target="../ctrlProps/ctrlProp547.xml"/><Relationship Id="rId193" Type="http://schemas.openxmlformats.org/officeDocument/2006/relationships/ctrlProp" Target="../ctrlProps/ctrlProp568.xml"/><Relationship Id="rId13" Type="http://schemas.openxmlformats.org/officeDocument/2006/relationships/ctrlProp" Target="../ctrlProps/ctrlProp388.xml"/><Relationship Id="rId109" Type="http://schemas.openxmlformats.org/officeDocument/2006/relationships/ctrlProp" Target="../ctrlProps/ctrlProp484.xml"/><Relationship Id="rId18" Type="http://schemas.openxmlformats.org/officeDocument/2006/relationships/ctrlProp" Target="../ctrlProps/ctrlProp393.xml"/><Relationship Id="rId39" Type="http://schemas.openxmlformats.org/officeDocument/2006/relationships/ctrlProp" Target="../ctrlProps/ctrlProp414.xml"/><Relationship Id="rId34" Type="http://schemas.openxmlformats.org/officeDocument/2006/relationships/ctrlProp" Target="../ctrlProps/ctrlProp409.xml"/><Relationship Id="rId55" Type="http://schemas.openxmlformats.org/officeDocument/2006/relationships/ctrlProp" Target="../ctrlProps/ctrlProp430.xml"/><Relationship Id="rId76" Type="http://schemas.openxmlformats.org/officeDocument/2006/relationships/ctrlProp" Target="../ctrlProps/ctrlProp451.xml"/><Relationship Id="rId97" Type="http://schemas.openxmlformats.org/officeDocument/2006/relationships/ctrlProp" Target="../ctrlProps/ctrlProp472.xml"/><Relationship Id="rId120" Type="http://schemas.openxmlformats.org/officeDocument/2006/relationships/ctrlProp" Target="../ctrlProps/ctrlProp495.xml"/><Relationship Id="rId141" Type="http://schemas.openxmlformats.org/officeDocument/2006/relationships/ctrlProp" Target="../ctrlProps/ctrlProp516.xml"/><Relationship Id="rId50" Type="http://schemas.openxmlformats.org/officeDocument/2006/relationships/ctrlProp" Target="../ctrlProps/ctrlProp425.xml"/><Relationship Id="rId104" Type="http://schemas.openxmlformats.org/officeDocument/2006/relationships/ctrlProp" Target="../ctrlProps/ctrlProp479.xml"/><Relationship Id="rId125" Type="http://schemas.openxmlformats.org/officeDocument/2006/relationships/ctrlProp" Target="../ctrlProps/ctrlProp500.xml"/><Relationship Id="rId146" Type="http://schemas.openxmlformats.org/officeDocument/2006/relationships/ctrlProp" Target="../ctrlProps/ctrlProp521.xml"/><Relationship Id="rId167" Type="http://schemas.openxmlformats.org/officeDocument/2006/relationships/ctrlProp" Target="../ctrlProps/ctrlProp542.xml"/><Relationship Id="rId188" Type="http://schemas.openxmlformats.org/officeDocument/2006/relationships/ctrlProp" Target="../ctrlProps/ctrlProp563.xml"/><Relationship Id="rId7" Type="http://schemas.openxmlformats.org/officeDocument/2006/relationships/vmlDrawing" Target="../drawings/vmlDrawing19.vml"/><Relationship Id="rId71" Type="http://schemas.openxmlformats.org/officeDocument/2006/relationships/ctrlProp" Target="../ctrlProps/ctrlProp446.xml"/><Relationship Id="rId92" Type="http://schemas.openxmlformats.org/officeDocument/2006/relationships/ctrlProp" Target="../ctrlProps/ctrlProp467.xml"/><Relationship Id="rId162" Type="http://schemas.openxmlformats.org/officeDocument/2006/relationships/ctrlProp" Target="../ctrlProps/ctrlProp537.xml"/><Relationship Id="rId183" Type="http://schemas.openxmlformats.org/officeDocument/2006/relationships/ctrlProp" Target="../ctrlProps/ctrlProp558.xml"/><Relationship Id="rId2" Type="http://schemas.openxmlformats.org/officeDocument/2006/relationships/hyperlink" Target="file:///\\WHPUSR04\rcurran$\Personal\My%20Documents\india%20temp\AppData\Roaming\Microsoft\Excel\One%20Pagers%20RE\CONCENTRATED%20SOLAR%20POWER-One%20pager.pdf" TargetMode="External"/><Relationship Id="rId29" Type="http://schemas.openxmlformats.org/officeDocument/2006/relationships/ctrlProp" Target="../ctrlProps/ctrlProp404.xml"/><Relationship Id="rId24" Type="http://schemas.openxmlformats.org/officeDocument/2006/relationships/ctrlProp" Target="../ctrlProps/ctrlProp399.xml"/><Relationship Id="rId40" Type="http://schemas.openxmlformats.org/officeDocument/2006/relationships/ctrlProp" Target="../ctrlProps/ctrlProp415.xml"/><Relationship Id="rId45" Type="http://schemas.openxmlformats.org/officeDocument/2006/relationships/ctrlProp" Target="../ctrlProps/ctrlProp420.xml"/><Relationship Id="rId66" Type="http://schemas.openxmlformats.org/officeDocument/2006/relationships/ctrlProp" Target="../ctrlProps/ctrlProp441.xml"/><Relationship Id="rId87" Type="http://schemas.openxmlformats.org/officeDocument/2006/relationships/ctrlProp" Target="../ctrlProps/ctrlProp462.xml"/><Relationship Id="rId110" Type="http://schemas.openxmlformats.org/officeDocument/2006/relationships/ctrlProp" Target="../ctrlProps/ctrlProp485.xml"/><Relationship Id="rId115" Type="http://schemas.openxmlformats.org/officeDocument/2006/relationships/ctrlProp" Target="../ctrlProps/ctrlProp490.xml"/><Relationship Id="rId131" Type="http://schemas.openxmlformats.org/officeDocument/2006/relationships/ctrlProp" Target="../ctrlProps/ctrlProp506.xml"/><Relationship Id="rId136" Type="http://schemas.openxmlformats.org/officeDocument/2006/relationships/ctrlProp" Target="../ctrlProps/ctrlProp511.xml"/><Relationship Id="rId157" Type="http://schemas.openxmlformats.org/officeDocument/2006/relationships/ctrlProp" Target="../ctrlProps/ctrlProp532.xml"/><Relationship Id="rId178" Type="http://schemas.openxmlformats.org/officeDocument/2006/relationships/ctrlProp" Target="../ctrlProps/ctrlProp553.xml"/><Relationship Id="rId61" Type="http://schemas.openxmlformats.org/officeDocument/2006/relationships/ctrlProp" Target="../ctrlProps/ctrlProp436.xml"/><Relationship Id="rId82" Type="http://schemas.openxmlformats.org/officeDocument/2006/relationships/ctrlProp" Target="../ctrlProps/ctrlProp457.xml"/><Relationship Id="rId152" Type="http://schemas.openxmlformats.org/officeDocument/2006/relationships/ctrlProp" Target="../ctrlProps/ctrlProp527.xml"/><Relationship Id="rId173" Type="http://schemas.openxmlformats.org/officeDocument/2006/relationships/ctrlProp" Target="../ctrlProps/ctrlProp548.xml"/><Relationship Id="rId194" Type="http://schemas.openxmlformats.org/officeDocument/2006/relationships/ctrlProp" Target="../ctrlProps/ctrlProp569.xml"/><Relationship Id="rId19" Type="http://schemas.openxmlformats.org/officeDocument/2006/relationships/ctrlProp" Target="../ctrlProps/ctrlProp394.xml"/><Relationship Id="rId14" Type="http://schemas.openxmlformats.org/officeDocument/2006/relationships/ctrlProp" Target="../ctrlProps/ctrlProp389.xml"/><Relationship Id="rId30" Type="http://schemas.openxmlformats.org/officeDocument/2006/relationships/ctrlProp" Target="../ctrlProps/ctrlProp405.xml"/><Relationship Id="rId35" Type="http://schemas.openxmlformats.org/officeDocument/2006/relationships/ctrlProp" Target="../ctrlProps/ctrlProp410.xml"/><Relationship Id="rId56" Type="http://schemas.openxmlformats.org/officeDocument/2006/relationships/ctrlProp" Target="../ctrlProps/ctrlProp431.xml"/><Relationship Id="rId77" Type="http://schemas.openxmlformats.org/officeDocument/2006/relationships/ctrlProp" Target="../ctrlProps/ctrlProp452.xml"/><Relationship Id="rId100" Type="http://schemas.openxmlformats.org/officeDocument/2006/relationships/ctrlProp" Target="../ctrlProps/ctrlProp475.xml"/><Relationship Id="rId105" Type="http://schemas.openxmlformats.org/officeDocument/2006/relationships/ctrlProp" Target="../ctrlProps/ctrlProp480.xml"/><Relationship Id="rId126" Type="http://schemas.openxmlformats.org/officeDocument/2006/relationships/ctrlProp" Target="../ctrlProps/ctrlProp501.xml"/><Relationship Id="rId147" Type="http://schemas.openxmlformats.org/officeDocument/2006/relationships/ctrlProp" Target="../ctrlProps/ctrlProp522.xml"/><Relationship Id="rId168" Type="http://schemas.openxmlformats.org/officeDocument/2006/relationships/ctrlProp" Target="../ctrlProps/ctrlProp543.xml"/><Relationship Id="rId8" Type="http://schemas.openxmlformats.org/officeDocument/2006/relationships/ctrlProp" Target="../ctrlProps/ctrlProp383.xml"/><Relationship Id="rId51" Type="http://schemas.openxmlformats.org/officeDocument/2006/relationships/ctrlProp" Target="../ctrlProps/ctrlProp426.xml"/><Relationship Id="rId72" Type="http://schemas.openxmlformats.org/officeDocument/2006/relationships/ctrlProp" Target="../ctrlProps/ctrlProp447.xml"/><Relationship Id="rId93" Type="http://schemas.openxmlformats.org/officeDocument/2006/relationships/ctrlProp" Target="../ctrlProps/ctrlProp468.xml"/><Relationship Id="rId98" Type="http://schemas.openxmlformats.org/officeDocument/2006/relationships/ctrlProp" Target="../ctrlProps/ctrlProp473.xml"/><Relationship Id="rId121" Type="http://schemas.openxmlformats.org/officeDocument/2006/relationships/ctrlProp" Target="../ctrlProps/ctrlProp496.xml"/><Relationship Id="rId142" Type="http://schemas.openxmlformats.org/officeDocument/2006/relationships/ctrlProp" Target="../ctrlProps/ctrlProp517.xml"/><Relationship Id="rId163" Type="http://schemas.openxmlformats.org/officeDocument/2006/relationships/ctrlProp" Target="../ctrlProps/ctrlProp538.xml"/><Relationship Id="rId184" Type="http://schemas.openxmlformats.org/officeDocument/2006/relationships/ctrlProp" Target="../ctrlProps/ctrlProp559.xml"/><Relationship Id="rId189" Type="http://schemas.openxmlformats.org/officeDocument/2006/relationships/ctrlProp" Target="../ctrlProps/ctrlProp564.xml"/><Relationship Id="rId3" Type="http://schemas.openxmlformats.org/officeDocument/2006/relationships/hyperlink" Target="file:///\\WHPUSR04\rcurran$\Personal\My%20Documents\india%20temp\AppData\Roaming\Microsoft\Excel\One%20Pagers%20RE\WIND%20ONSHORE-ONE%20PAGER.pdf" TargetMode="External"/><Relationship Id="rId25" Type="http://schemas.openxmlformats.org/officeDocument/2006/relationships/ctrlProp" Target="../ctrlProps/ctrlProp400.xml"/><Relationship Id="rId46" Type="http://schemas.openxmlformats.org/officeDocument/2006/relationships/ctrlProp" Target="../ctrlProps/ctrlProp421.xml"/><Relationship Id="rId67" Type="http://schemas.openxmlformats.org/officeDocument/2006/relationships/ctrlProp" Target="../ctrlProps/ctrlProp442.xml"/><Relationship Id="rId116" Type="http://schemas.openxmlformats.org/officeDocument/2006/relationships/ctrlProp" Target="../ctrlProps/ctrlProp491.xml"/><Relationship Id="rId137" Type="http://schemas.openxmlformats.org/officeDocument/2006/relationships/ctrlProp" Target="../ctrlProps/ctrlProp512.xml"/><Relationship Id="rId158" Type="http://schemas.openxmlformats.org/officeDocument/2006/relationships/ctrlProp" Target="../ctrlProps/ctrlProp533.xml"/><Relationship Id="rId20" Type="http://schemas.openxmlformats.org/officeDocument/2006/relationships/ctrlProp" Target="../ctrlProps/ctrlProp395.xml"/><Relationship Id="rId41" Type="http://schemas.openxmlformats.org/officeDocument/2006/relationships/ctrlProp" Target="../ctrlProps/ctrlProp416.xml"/><Relationship Id="rId62" Type="http://schemas.openxmlformats.org/officeDocument/2006/relationships/ctrlProp" Target="../ctrlProps/ctrlProp437.xml"/><Relationship Id="rId83" Type="http://schemas.openxmlformats.org/officeDocument/2006/relationships/ctrlProp" Target="../ctrlProps/ctrlProp458.xml"/><Relationship Id="rId88" Type="http://schemas.openxmlformats.org/officeDocument/2006/relationships/ctrlProp" Target="../ctrlProps/ctrlProp463.xml"/><Relationship Id="rId111" Type="http://schemas.openxmlformats.org/officeDocument/2006/relationships/ctrlProp" Target="../ctrlProps/ctrlProp486.xml"/><Relationship Id="rId132" Type="http://schemas.openxmlformats.org/officeDocument/2006/relationships/ctrlProp" Target="../ctrlProps/ctrlProp507.xml"/><Relationship Id="rId153" Type="http://schemas.openxmlformats.org/officeDocument/2006/relationships/ctrlProp" Target="../ctrlProps/ctrlProp528.xml"/><Relationship Id="rId174" Type="http://schemas.openxmlformats.org/officeDocument/2006/relationships/ctrlProp" Target="../ctrlProps/ctrlProp549.xml"/><Relationship Id="rId179" Type="http://schemas.openxmlformats.org/officeDocument/2006/relationships/ctrlProp" Target="../ctrlProps/ctrlProp554.xml"/><Relationship Id="rId195" Type="http://schemas.openxmlformats.org/officeDocument/2006/relationships/ctrlProp" Target="../ctrlProps/ctrlProp570.xml"/><Relationship Id="rId190" Type="http://schemas.openxmlformats.org/officeDocument/2006/relationships/ctrlProp" Target="../ctrlProps/ctrlProp565.xml"/><Relationship Id="rId15" Type="http://schemas.openxmlformats.org/officeDocument/2006/relationships/ctrlProp" Target="../ctrlProps/ctrlProp390.xml"/><Relationship Id="rId36" Type="http://schemas.openxmlformats.org/officeDocument/2006/relationships/ctrlProp" Target="../ctrlProps/ctrlProp411.xml"/><Relationship Id="rId57" Type="http://schemas.openxmlformats.org/officeDocument/2006/relationships/ctrlProp" Target="../ctrlProps/ctrlProp432.xml"/><Relationship Id="rId106" Type="http://schemas.openxmlformats.org/officeDocument/2006/relationships/ctrlProp" Target="../ctrlProps/ctrlProp481.xml"/><Relationship Id="rId127" Type="http://schemas.openxmlformats.org/officeDocument/2006/relationships/ctrlProp" Target="../ctrlProps/ctrlProp502.xml"/><Relationship Id="rId10" Type="http://schemas.openxmlformats.org/officeDocument/2006/relationships/ctrlProp" Target="../ctrlProps/ctrlProp385.xml"/><Relationship Id="rId31" Type="http://schemas.openxmlformats.org/officeDocument/2006/relationships/ctrlProp" Target="../ctrlProps/ctrlProp406.xml"/><Relationship Id="rId52" Type="http://schemas.openxmlformats.org/officeDocument/2006/relationships/ctrlProp" Target="../ctrlProps/ctrlProp427.xml"/><Relationship Id="rId73" Type="http://schemas.openxmlformats.org/officeDocument/2006/relationships/ctrlProp" Target="../ctrlProps/ctrlProp448.xml"/><Relationship Id="rId78" Type="http://schemas.openxmlformats.org/officeDocument/2006/relationships/ctrlProp" Target="../ctrlProps/ctrlProp453.xml"/><Relationship Id="rId94" Type="http://schemas.openxmlformats.org/officeDocument/2006/relationships/ctrlProp" Target="../ctrlProps/ctrlProp469.xml"/><Relationship Id="rId99" Type="http://schemas.openxmlformats.org/officeDocument/2006/relationships/ctrlProp" Target="../ctrlProps/ctrlProp474.xml"/><Relationship Id="rId101" Type="http://schemas.openxmlformats.org/officeDocument/2006/relationships/ctrlProp" Target="../ctrlProps/ctrlProp476.xml"/><Relationship Id="rId122" Type="http://schemas.openxmlformats.org/officeDocument/2006/relationships/ctrlProp" Target="../ctrlProps/ctrlProp497.xml"/><Relationship Id="rId143" Type="http://schemas.openxmlformats.org/officeDocument/2006/relationships/ctrlProp" Target="../ctrlProps/ctrlProp518.xml"/><Relationship Id="rId148" Type="http://schemas.openxmlformats.org/officeDocument/2006/relationships/ctrlProp" Target="../ctrlProps/ctrlProp523.xml"/><Relationship Id="rId164" Type="http://schemas.openxmlformats.org/officeDocument/2006/relationships/ctrlProp" Target="../ctrlProps/ctrlProp539.xml"/><Relationship Id="rId169" Type="http://schemas.openxmlformats.org/officeDocument/2006/relationships/ctrlProp" Target="../ctrlProps/ctrlProp544.xml"/><Relationship Id="rId185" Type="http://schemas.openxmlformats.org/officeDocument/2006/relationships/ctrlProp" Target="../ctrlProps/ctrlProp560.xml"/><Relationship Id="rId4" Type="http://schemas.openxmlformats.org/officeDocument/2006/relationships/hyperlink" Target="file:///\\WHPUSR04\rcurran$\Personal\My%20Documents\india%20temp\AppData\Roaming\Microsoft\Excel\One%20Pagers%20RE\OFFSHORE%20WIND%20POWER-One%20Pager.pdf" TargetMode="External"/><Relationship Id="rId9" Type="http://schemas.openxmlformats.org/officeDocument/2006/relationships/ctrlProp" Target="../ctrlProps/ctrlProp384.xml"/><Relationship Id="rId180" Type="http://schemas.openxmlformats.org/officeDocument/2006/relationships/ctrlProp" Target="../ctrlProps/ctrlProp555.xml"/><Relationship Id="rId26" Type="http://schemas.openxmlformats.org/officeDocument/2006/relationships/ctrlProp" Target="../ctrlProps/ctrlProp401.xml"/></Relationships>
</file>

<file path=xl/worksheets/_rels/sheet38.xml.rels><?xml version="1.0" encoding="UTF-8" standalone="yes"?>
<Relationships xmlns="http://schemas.openxmlformats.org/package/2006/relationships"><Relationship Id="rId117" Type="http://schemas.openxmlformats.org/officeDocument/2006/relationships/ctrlProp" Target="../ctrlProps/ctrlProp682.xml"/><Relationship Id="rId21" Type="http://schemas.openxmlformats.org/officeDocument/2006/relationships/ctrlProp" Target="../ctrlProps/ctrlProp586.xml"/><Relationship Id="rId42" Type="http://schemas.openxmlformats.org/officeDocument/2006/relationships/ctrlProp" Target="../ctrlProps/ctrlProp607.xml"/><Relationship Id="rId63" Type="http://schemas.openxmlformats.org/officeDocument/2006/relationships/ctrlProp" Target="../ctrlProps/ctrlProp628.xml"/><Relationship Id="rId84" Type="http://schemas.openxmlformats.org/officeDocument/2006/relationships/ctrlProp" Target="../ctrlProps/ctrlProp649.xml"/><Relationship Id="rId138" Type="http://schemas.openxmlformats.org/officeDocument/2006/relationships/ctrlProp" Target="../ctrlProps/ctrlProp703.xml"/><Relationship Id="rId159" Type="http://schemas.openxmlformats.org/officeDocument/2006/relationships/ctrlProp" Target="../ctrlProps/ctrlProp724.xml"/><Relationship Id="rId170" Type="http://schemas.openxmlformats.org/officeDocument/2006/relationships/ctrlProp" Target="../ctrlProps/ctrlProp735.xml"/><Relationship Id="rId191" Type="http://schemas.openxmlformats.org/officeDocument/2006/relationships/ctrlProp" Target="../ctrlProps/ctrlProp756.xml"/><Relationship Id="rId196" Type="http://schemas.openxmlformats.org/officeDocument/2006/relationships/ctrlProp" Target="../ctrlProps/ctrlProp761.xml"/><Relationship Id="rId107" Type="http://schemas.openxmlformats.org/officeDocument/2006/relationships/ctrlProp" Target="../ctrlProps/ctrlProp672.xml"/><Relationship Id="rId16" Type="http://schemas.openxmlformats.org/officeDocument/2006/relationships/ctrlProp" Target="../ctrlProps/ctrlProp581.xml"/><Relationship Id="rId11" Type="http://schemas.openxmlformats.org/officeDocument/2006/relationships/ctrlProp" Target="../ctrlProps/ctrlProp576.xml"/><Relationship Id="rId32" Type="http://schemas.openxmlformats.org/officeDocument/2006/relationships/ctrlProp" Target="../ctrlProps/ctrlProp597.xml"/><Relationship Id="rId53" Type="http://schemas.openxmlformats.org/officeDocument/2006/relationships/ctrlProp" Target="../ctrlProps/ctrlProp618.xml"/><Relationship Id="rId74" Type="http://schemas.openxmlformats.org/officeDocument/2006/relationships/ctrlProp" Target="../ctrlProps/ctrlProp639.xml"/><Relationship Id="rId128" Type="http://schemas.openxmlformats.org/officeDocument/2006/relationships/ctrlProp" Target="../ctrlProps/ctrlProp693.xml"/><Relationship Id="rId149" Type="http://schemas.openxmlformats.org/officeDocument/2006/relationships/ctrlProp" Target="../ctrlProps/ctrlProp714.xml"/><Relationship Id="rId37" Type="http://schemas.openxmlformats.org/officeDocument/2006/relationships/ctrlProp" Target="../ctrlProps/ctrlProp602.xml"/><Relationship Id="rId58" Type="http://schemas.openxmlformats.org/officeDocument/2006/relationships/ctrlProp" Target="../ctrlProps/ctrlProp623.xml"/><Relationship Id="rId79" Type="http://schemas.openxmlformats.org/officeDocument/2006/relationships/ctrlProp" Target="../ctrlProps/ctrlProp644.xml"/><Relationship Id="rId102" Type="http://schemas.openxmlformats.org/officeDocument/2006/relationships/ctrlProp" Target="../ctrlProps/ctrlProp667.xml"/><Relationship Id="rId123" Type="http://schemas.openxmlformats.org/officeDocument/2006/relationships/ctrlProp" Target="../ctrlProps/ctrlProp688.xml"/><Relationship Id="rId144" Type="http://schemas.openxmlformats.org/officeDocument/2006/relationships/ctrlProp" Target="../ctrlProps/ctrlProp709.xml"/><Relationship Id="rId5" Type="http://schemas.openxmlformats.org/officeDocument/2006/relationships/hyperlink" Target="file:///\\WHPUSR04\rcurran$\Personal\My%20Documents\india%20temp\AppData\Roaming\Microsoft\Excel\One%20Pagers%20RE\SMALL%20HYDROELECTRIC%20POWER-ONE%20PAGER.pdf" TargetMode="External"/><Relationship Id="rId95" Type="http://schemas.openxmlformats.org/officeDocument/2006/relationships/ctrlProp" Target="../ctrlProps/ctrlProp660.xml"/><Relationship Id="rId160" Type="http://schemas.openxmlformats.org/officeDocument/2006/relationships/ctrlProp" Target="../ctrlProps/ctrlProp725.xml"/><Relationship Id="rId181" Type="http://schemas.openxmlformats.org/officeDocument/2006/relationships/ctrlProp" Target="../ctrlProps/ctrlProp746.xml"/><Relationship Id="rId90" Type="http://schemas.openxmlformats.org/officeDocument/2006/relationships/ctrlProp" Target="../ctrlProps/ctrlProp655.xml"/><Relationship Id="rId165" Type="http://schemas.openxmlformats.org/officeDocument/2006/relationships/ctrlProp" Target="../ctrlProps/ctrlProp730.xml"/><Relationship Id="rId186" Type="http://schemas.openxmlformats.org/officeDocument/2006/relationships/ctrlProp" Target="../ctrlProps/ctrlProp751.xml"/><Relationship Id="rId22" Type="http://schemas.openxmlformats.org/officeDocument/2006/relationships/ctrlProp" Target="../ctrlProps/ctrlProp587.xml"/><Relationship Id="rId43" Type="http://schemas.openxmlformats.org/officeDocument/2006/relationships/ctrlProp" Target="../ctrlProps/ctrlProp608.xml"/><Relationship Id="rId64" Type="http://schemas.openxmlformats.org/officeDocument/2006/relationships/ctrlProp" Target="../ctrlProps/ctrlProp629.xml"/><Relationship Id="rId118" Type="http://schemas.openxmlformats.org/officeDocument/2006/relationships/ctrlProp" Target="../ctrlProps/ctrlProp683.xml"/><Relationship Id="rId139" Type="http://schemas.openxmlformats.org/officeDocument/2006/relationships/ctrlProp" Target="../ctrlProps/ctrlProp704.xml"/><Relationship Id="rId27" Type="http://schemas.openxmlformats.org/officeDocument/2006/relationships/ctrlProp" Target="../ctrlProps/ctrlProp592.xml"/><Relationship Id="rId48" Type="http://schemas.openxmlformats.org/officeDocument/2006/relationships/ctrlProp" Target="../ctrlProps/ctrlProp613.xml"/><Relationship Id="rId69" Type="http://schemas.openxmlformats.org/officeDocument/2006/relationships/ctrlProp" Target="../ctrlProps/ctrlProp634.xml"/><Relationship Id="rId113" Type="http://schemas.openxmlformats.org/officeDocument/2006/relationships/ctrlProp" Target="../ctrlProps/ctrlProp678.xml"/><Relationship Id="rId134" Type="http://schemas.openxmlformats.org/officeDocument/2006/relationships/ctrlProp" Target="../ctrlProps/ctrlProp699.xml"/><Relationship Id="rId85" Type="http://schemas.openxmlformats.org/officeDocument/2006/relationships/ctrlProp" Target="../ctrlProps/ctrlProp650.xml"/><Relationship Id="rId150" Type="http://schemas.openxmlformats.org/officeDocument/2006/relationships/ctrlProp" Target="../ctrlProps/ctrlProp715.xml"/><Relationship Id="rId171" Type="http://schemas.openxmlformats.org/officeDocument/2006/relationships/ctrlProp" Target="../ctrlProps/ctrlProp736.xml"/><Relationship Id="rId192" Type="http://schemas.openxmlformats.org/officeDocument/2006/relationships/ctrlProp" Target="../ctrlProps/ctrlProp757.xml"/><Relationship Id="rId80" Type="http://schemas.openxmlformats.org/officeDocument/2006/relationships/ctrlProp" Target="../ctrlProps/ctrlProp645.xml"/><Relationship Id="rId155" Type="http://schemas.openxmlformats.org/officeDocument/2006/relationships/ctrlProp" Target="../ctrlProps/ctrlProp720.xml"/><Relationship Id="rId176" Type="http://schemas.openxmlformats.org/officeDocument/2006/relationships/ctrlProp" Target="../ctrlProps/ctrlProp741.xml"/><Relationship Id="rId197" Type="http://schemas.openxmlformats.org/officeDocument/2006/relationships/ctrlProp" Target="../ctrlProps/ctrlProp762.xml"/><Relationship Id="rId12" Type="http://schemas.openxmlformats.org/officeDocument/2006/relationships/ctrlProp" Target="../ctrlProps/ctrlProp577.xml"/><Relationship Id="rId33" Type="http://schemas.openxmlformats.org/officeDocument/2006/relationships/ctrlProp" Target="../ctrlProps/ctrlProp598.xml"/><Relationship Id="rId108" Type="http://schemas.openxmlformats.org/officeDocument/2006/relationships/ctrlProp" Target="../ctrlProps/ctrlProp673.xml"/><Relationship Id="rId129" Type="http://schemas.openxmlformats.org/officeDocument/2006/relationships/ctrlProp" Target="../ctrlProps/ctrlProp694.xml"/><Relationship Id="rId17" Type="http://schemas.openxmlformats.org/officeDocument/2006/relationships/ctrlProp" Target="../ctrlProps/ctrlProp582.xml"/><Relationship Id="rId38" Type="http://schemas.openxmlformats.org/officeDocument/2006/relationships/ctrlProp" Target="../ctrlProps/ctrlProp603.xml"/><Relationship Id="rId59" Type="http://schemas.openxmlformats.org/officeDocument/2006/relationships/ctrlProp" Target="../ctrlProps/ctrlProp624.xml"/><Relationship Id="rId103" Type="http://schemas.openxmlformats.org/officeDocument/2006/relationships/ctrlProp" Target="../ctrlProps/ctrlProp668.xml"/><Relationship Id="rId124" Type="http://schemas.openxmlformats.org/officeDocument/2006/relationships/ctrlProp" Target="../ctrlProps/ctrlProp689.xml"/><Relationship Id="rId54" Type="http://schemas.openxmlformats.org/officeDocument/2006/relationships/ctrlProp" Target="../ctrlProps/ctrlProp619.xml"/><Relationship Id="rId75" Type="http://schemas.openxmlformats.org/officeDocument/2006/relationships/ctrlProp" Target="../ctrlProps/ctrlProp640.xml"/><Relationship Id="rId96" Type="http://schemas.openxmlformats.org/officeDocument/2006/relationships/ctrlProp" Target="../ctrlProps/ctrlProp661.xml"/><Relationship Id="rId140" Type="http://schemas.openxmlformats.org/officeDocument/2006/relationships/ctrlProp" Target="../ctrlProps/ctrlProp705.xml"/><Relationship Id="rId161" Type="http://schemas.openxmlformats.org/officeDocument/2006/relationships/ctrlProp" Target="../ctrlProps/ctrlProp726.xml"/><Relationship Id="rId182" Type="http://schemas.openxmlformats.org/officeDocument/2006/relationships/ctrlProp" Target="../ctrlProps/ctrlProp747.xml"/><Relationship Id="rId70" Type="http://schemas.openxmlformats.org/officeDocument/2006/relationships/ctrlProp" Target="../ctrlProps/ctrlProp635.xml"/><Relationship Id="rId91" Type="http://schemas.openxmlformats.org/officeDocument/2006/relationships/ctrlProp" Target="../ctrlProps/ctrlProp656.xml"/><Relationship Id="rId145" Type="http://schemas.openxmlformats.org/officeDocument/2006/relationships/ctrlProp" Target="../ctrlProps/ctrlProp710.xml"/><Relationship Id="rId166" Type="http://schemas.openxmlformats.org/officeDocument/2006/relationships/ctrlProp" Target="../ctrlProps/ctrlProp731.xml"/><Relationship Id="rId187" Type="http://schemas.openxmlformats.org/officeDocument/2006/relationships/ctrlProp" Target="../ctrlProps/ctrlProp752.xml"/><Relationship Id="rId1" Type="http://schemas.openxmlformats.org/officeDocument/2006/relationships/hyperlink" Target="file:///\\WHPUSR04\rcurran$\Personal\My%20Documents\india%20temp\AppData\Roaming\Microsoft\Excel\One%20Pagers%20RE\SOLAR%20PHOTOVOLTAIC%20POWER-One%20pager.pdf" TargetMode="External"/><Relationship Id="rId6" Type="http://schemas.openxmlformats.org/officeDocument/2006/relationships/printerSettings" Target="../printerSettings/printerSettings2.bin"/><Relationship Id="rId23" Type="http://schemas.openxmlformats.org/officeDocument/2006/relationships/ctrlProp" Target="../ctrlProps/ctrlProp588.xml"/><Relationship Id="rId119" Type="http://schemas.openxmlformats.org/officeDocument/2006/relationships/ctrlProp" Target="../ctrlProps/ctrlProp684.xml"/><Relationship Id="rId28" Type="http://schemas.openxmlformats.org/officeDocument/2006/relationships/ctrlProp" Target="../ctrlProps/ctrlProp593.xml"/><Relationship Id="rId49" Type="http://schemas.openxmlformats.org/officeDocument/2006/relationships/ctrlProp" Target="../ctrlProps/ctrlProp614.xml"/><Relationship Id="rId114" Type="http://schemas.openxmlformats.org/officeDocument/2006/relationships/ctrlProp" Target="../ctrlProps/ctrlProp679.xml"/><Relationship Id="rId44" Type="http://schemas.openxmlformats.org/officeDocument/2006/relationships/ctrlProp" Target="../ctrlProps/ctrlProp609.xml"/><Relationship Id="rId65" Type="http://schemas.openxmlformats.org/officeDocument/2006/relationships/ctrlProp" Target="../ctrlProps/ctrlProp630.xml"/><Relationship Id="rId86" Type="http://schemas.openxmlformats.org/officeDocument/2006/relationships/ctrlProp" Target="../ctrlProps/ctrlProp651.xml"/><Relationship Id="rId130" Type="http://schemas.openxmlformats.org/officeDocument/2006/relationships/ctrlProp" Target="../ctrlProps/ctrlProp695.xml"/><Relationship Id="rId151" Type="http://schemas.openxmlformats.org/officeDocument/2006/relationships/ctrlProp" Target="../ctrlProps/ctrlProp716.xml"/><Relationship Id="rId60" Type="http://schemas.openxmlformats.org/officeDocument/2006/relationships/ctrlProp" Target="../ctrlProps/ctrlProp625.xml"/><Relationship Id="rId81" Type="http://schemas.openxmlformats.org/officeDocument/2006/relationships/ctrlProp" Target="../ctrlProps/ctrlProp646.xml"/><Relationship Id="rId135" Type="http://schemas.openxmlformats.org/officeDocument/2006/relationships/ctrlProp" Target="../ctrlProps/ctrlProp700.xml"/><Relationship Id="rId156" Type="http://schemas.openxmlformats.org/officeDocument/2006/relationships/ctrlProp" Target="../ctrlProps/ctrlProp721.xml"/><Relationship Id="rId177" Type="http://schemas.openxmlformats.org/officeDocument/2006/relationships/ctrlProp" Target="../ctrlProps/ctrlProp742.xml"/><Relationship Id="rId198" Type="http://schemas.openxmlformats.org/officeDocument/2006/relationships/ctrlProp" Target="../ctrlProps/ctrlProp763.xml"/><Relationship Id="rId172" Type="http://schemas.openxmlformats.org/officeDocument/2006/relationships/ctrlProp" Target="../ctrlProps/ctrlProp737.xml"/><Relationship Id="rId193" Type="http://schemas.openxmlformats.org/officeDocument/2006/relationships/ctrlProp" Target="../ctrlProps/ctrlProp758.xml"/><Relationship Id="rId13" Type="http://schemas.openxmlformats.org/officeDocument/2006/relationships/ctrlProp" Target="../ctrlProps/ctrlProp578.xml"/><Relationship Id="rId109" Type="http://schemas.openxmlformats.org/officeDocument/2006/relationships/ctrlProp" Target="../ctrlProps/ctrlProp674.xml"/><Relationship Id="rId18" Type="http://schemas.openxmlformats.org/officeDocument/2006/relationships/ctrlProp" Target="../ctrlProps/ctrlProp583.xml"/><Relationship Id="rId39" Type="http://schemas.openxmlformats.org/officeDocument/2006/relationships/ctrlProp" Target="../ctrlProps/ctrlProp604.xml"/><Relationship Id="rId34" Type="http://schemas.openxmlformats.org/officeDocument/2006/relationships/ctrlProp" Target="../ctrlProps/ctrlProp599.xml"/><Relationship Id="rId55" Type="http://schemas.openxmlformats.org/officeDocument/2006/relationships/ctrlProp" Target="../ctrlProps/ctrlProp620.xml"/><Relationship Id="rId76" Type="http://schemas.openxmlformats.org/officeDocument/2006/relationships/ctrlProp" Target="../ctrlProps/ctrlProp641.xml"/><Relationship Id="rId97" Type="http://schemas.openxmlformats.org/officeDocument/2006/relationships/ctrlProp" Target="../ctrlProps/ctrlProp662.xml"/><Relationship Id="rId120" Type="http://schemas.openxmlformats.org/officeDocument/2006/relationships/ctrlProp" Target="../ctrlProps/ctrlProp685.xml"/><Relationship Id="rId141" Type="http://schemas.openxmlformats.org/officeDocument/2006/relationships/ctrlProp" Target="../ctrlProps/ctrlProp706.xml"/><Relationship Id="rId50" Type="http://schemas.openxmlformats.org/officeDocument/2006/relationships/ctrlProp" Target="../ctrlProps/ctrlProp615.xml"/><Relationship Id="rId104" Type="http://schemas.openxmlformats.org/officeDocument/2006/relationships/ctrlProp" Target="../ctrlProps/ctrlProp669.xml"/><Relationship Id="rId125" Type="http://schemas.openxmlformats.org/officeDocument/2006/relationships/ctrlProp" Target="../ctrlProps/ctrlProp690.xml"/><Relationship Id="rId146" Type="http://schemas.openxmlformats.org/officeDocument/2006/relationships/ctrlProp" Target="../ctrlProps/ctrlProp711.xml"/><Relationship Id="rId167" Type="http://schemas.openxmlformats.org/officeDocument/2006/relationships/ctrlProp" Target="../ctrlProps/ctrlProp732.xml"/><Relationship Id="rId188" Type="http://schemas.openxmlformats.org/officeDocument/2006/relationships/ctrlProp" Target="../ctrlProps/ctrlProp753.xml"/><Relationship Id="rId7" Type="http://schemas.openxmlformats.org/officeDocument/2006/relationships/drawing" Target="../drawings/drawing5.xml"/><Relationship Id="rId71" Type="http://schemas.openxmlformats.org/officeDocument/2006/relationships/ctrlProp" Target="../ctrlProps/ctrlProp636.xml"/><Relationship Id="rId92" Type="http://schemas.openxmlformats.org/officeDocument/2006/relationships/ctrlProp" Target="../ctrlProps/ctrlProp657.xml"/><Relationship Id="rId162" Type="http://schemas.openxmlformats.org/officeDocument/2006/relationships/ctrlProp" Target="../ctrlProps/ctrlProp727.xml"/><Relationship Id="rId183" Type="http://schemas.openxmlformats.org/officeDocument/2006/relationships/ctrlProp" Target="../ctrlProps/ctrlProp748.xml"/><Relationship Id="rId2" Type="http://schemas.openxmlformats.org/officeDocument/2006/relationships/hyperlink" Target="file:///\\WHPUSR04\rcurran$\Personal\My%20Documents\india%20temp\AppData\Roaming\Microsoft\Excel\One%20Pagers%20RE\CONCENTRATED%20SOLAR%20POWER-One%20pager.pdf" TargetMode="External"/><Relationship Id="rId29" Type="http://schemas.openxmlformats.org/officeDocument/2006/relationships/ctrlProp" Target="../ctrlProps/ctrlProp594.xml"/><Relationship Id="rId24" Type="http://schemas.openxmlformats.org/officeDocument/2006/relationships/ctrlProp" Target="../ctrlProps/ctrlProp589.xml"/><Relationship Id="rId40" Type="http://schemas.openxmlformats.org/officeDocument/2006/relationships/ctrlProp" Target="../ctrlProps/ctrlProp605.xml"/><Relationship Id="rId45" Type="http://schemas.openxmlformats.org/officeDocument/2006/relationships/ctrlProp" Target="../ctrlProps/ctrlProp610.xml"/><Relationship Id="rId66" Type="http://schemas.openxmlformats.org/officeDocument/2006/relationships/ctrlProp" Target="../ctrlProps/ctrlProp631.xml"/><Relationship Id="rId87" Type="http://schemas.openxmlformats.org/officeDocument/2006/relationships/ctrlProp" Target="../ctrlProps/ctrlProp652.xml"/><Relationship Id="rId110" Type="http://schemas.openxmlformats.org/officeDocument/2006/relationships/ctrlProp" Target="../ctrlProps/ctrlProp675.xml"/><Relationship Id="rId115" Type="http://schemas.openxmlformats.org/officeDocument/2006/relationships/ctrlProp" Target="../ctrlProps/ctrlProp680.xml"/><Relationship Id="rId131" Type="http://schemas.openxmlformats.org/officeDocument/2006/relationships/ctrlProp" Target="../ctrlProps/ctrlProp696.xml"/><Relationship Id="rId136" Type="http://schemas.openxmlformats.org/officeDocument/2006/relationships/ctrlProp" Target="../ctrlProps/ctrlProp701.xml"/><Relationship Id="rId157" Type="http://schemas.openxmlformats.org/officeDocument/2006/relationships/ctrlProp" Target="../ctrlProps/ctrlProp722.xml"/><Relationship Id="rId178" Type="http://schemas.openxmlformats.org/officeDocument/2006/relationships/ctrlProp" Target="../ctrlProps/ctrlProp743.xml"/><Relationship Id="rId61" Type="http://schemas.openxmlformats.org/officeDocument/2006/relationships/ctrlProp" Target="../ctrlProps/ctrlProp626.xml"/><Relationship Id="rId82" Type="http://schemas.openxmlformats.org/officeDocument/2006/relationships/ctrlProp" Target="../ctrlProps/ctrlProp647.xml"/><Relationship Id="rId152" Type="http://schemas.openxmlformats.org/officeDocument/2006/relationships/ctrlProp" Target="../ctrlProps/ctrlProp717.xml"/><Relationship Id="rId173" Type="http://schemas.openxmlformats.org/officeDocument/2006/relationships/ctrlProp" Target="../ctrlProps/ctrlProp738.xml"/><Relationship Id="rId194" Type="http://schemas.openxmlformats.org/officeDocument/2006/relationships/ctrlProp" Target="../ctrlProps/ctrlProp759.xml"/><Relationship Id="rId199" Type="http://schemas.openxmlformats.org/officeDocument/2006/relationships/ctrlProp" Target="../ctrlProps/ctrlProp764.xml"/><Relationship Id="rId19" Type="http://schemas.openxmlformats.org/officeDocument/2006/relationships/ctrlProp" Target="../ctrlProps/ctrlProp584.xml"/><Relationship Id="rId14" Type="http://schemas.openxmlformats.org/officeDocument/2006/relationships/ctrlProp" Target="../ctrlProps/ctrlProp579.xml"/><Relationship Id="rId30" Type="http://schemas.openxmlformats.org/officeDocument/2006/relationships/ctrlProp" Target="../ctrlProps/ctrlProp595.xml"/><Relationship Id="rId35" Type="http://schemas.openxmlformats.org/officeDocument/2006/relationships/ctrlProp" Target="../ctrlProps/ctrlProp600.xml"/><Relationship Id="rId56" Type="http://schemas.openxmlformats.org/officeDocument/2006/relationships/ctrlProp" Target="../ctrlProps/ctrlProp621.xml"/><Relationship Id="rId77" Type="http://schemas.openxmlformats.org/officeDocument/2006/relationships/ctrlProp" Target="../ctrlProps/ctrlProp642.xml"/><Relationship Id="rId100" Type="http://schemas.openxmlformats.org/officeDocument/2006/relationships/ctrlProp" Target="../ctrlProps/ctrlProp665.xml"/><Relationship Id="rId105" Type="http://schemas.openxmlformats.org/officeDocument/2006/relationships/ctrlProp" Target="../ctrlProps/ctrlProp670.xml"/><Relationship Id="rId126" Type="http://schemas.openxmlformats.org/officeDocument/2006/relationships/ctrlProp" Target="../ctrlProps/ctrlProp691.xml"/><Relationship Id="rId147" Type="http://schemas.openxmlformats.org/officeDocument/2006/relationships/ctrlProp" Target="../ctrlProps/ctrlProp712.xml"/><Relationship Id="rId168" Type="http://schemas.openxmlformats.org/officeDocument/2006/relationships/ctrlProp" Target="../ctrlProps/ctrlProp733.xml"/><Relationship Id="rId8" Type="http://schemas.openxmlformats.org/officeDocument/2006/relationships/vmlDrawing" Target="../drawings/vmlDrawing20.vml"/><Relationship Id="rId51" Type="http://schemas.openxmlformats.org/officeDocument/2006/relationships/ctrlProp" Target="../ctrlProps/ctrlProp616.xml"/><Relationship Id="rId72" Type="http://schemas.openxmlformats.org/officeDocument/2006/relationships/ctrlProp" Target="../ctrlProps/ctrlProp637.xml"/><Relationship Id="rId93" Type="http://schemas.openxmlformats.org/officeDocument/2006/relationships/ctrlProp" Target="../ctrlProps/ctrlProp658.xml"/><Relationship Id="rId98" Type="http://schemas.openxmlformats.org/officeDocument/2006/relationships/ctrlProp" Target="../ctrlProps/ctrlProp663.xml"/><Relationship Id="rId121" Type="http://schemas.openxmlformats.org/officeDocument/2006/relationships/ctrlProp" Target="../ctrlProps/ctrlProp686.xml"/><Relationship Id="rId142" Type="http://schemas.openxmlformats.org/officeDocument/2006/relationships/ctrlProp" Target="../ctrlProps/ctrlProp707.xml"/><Relationship Id="rId163" Type="http://schemas.openxmlformats.org/officeDocument/2006/relationships/ctrlProp" Target="../ctrlProps/ctrlProp728.xml"/><Relationship Id="rId184" Type="http://schemas.openxmlformats.org/officeDocument/2006/relationships/ctrlProp" Target="../ctrlProps/ctrlProp749.xml"/><Relationship Id="rId189" Type="http://schemas.openxmlformats.org/officeDocument/2006/relationships/ctrlProp" Target="../ctrlProps/ctrlProp754.xml"/><Relationship Id="rId3" Type="http://schemas.openxmlformats.org/officeDocument/2006/relationships/hyperlink" Target="file:///\\WHPUSR04\rcurran$\Personal\My%20Documents\india%20temp\AppData\Roaming\Microsoft\Excel\One%20Pagers%20RE\WIND%20ONSHORE-ONE%20PAGER.pdf" TargetMode="External"/><Relationship Id="rId25" Type="http://schemas.openxmlformats.org/officeDocument/2006/relationships/ctrlProp" Target="../ctrlProps/ctrlProp590.xml"/><Relationship Id="rId46" Type="http://schemas.openxmlformats.org/officeDocument/2006/relationships/ctrlProp" Target="../ctrlProps/ctrlProp611.xml"/><Relationship Id="rId67" Type="http://schemas.openxmlformats.org/officeDocument/2006/relationships/ctrlProp" Target="../ctrlProps/ctrlProp632.xml"/><Relationship Id="rId116" Type="http://schemas.openxmlformats.org/officeDocument/2006/relationships/ctrlProp" Target="../ctrlProps/ctrlProp681.xml"/><Relationship Id="rId137" Type="http://schemas.openxmlformats.org/officeDocument/2006/relationships/ctrlProp" Target="../ctrlProps/ctrlProp702.xml"/><Relationship Id="rId158" Type="http://schemas.openxmlformats.org/officeDocument/2006/relationships/ctrlProp" Target="../ctrlProps/ctrlProp723.xml"/><Relationship Id="rId20" Type="http://schemas.openxmlformats.org/officeDocument/2006/relationships/ctrlProp" Target="../ctrlProps/ctrlProp585.xml"/><Relationship Id="rId41" Type="http://schemas.openxmlformats.org/officeDocument/2006/relationships/ctrlProp" Target="../ctrlProps/ctrlProp606.xml"/><Relationship Id="rId62" Type="http://schemas.openxmlformats.org/officeDocument/2006/relationships/ctrlProp" Target="../ctrlProps/ctrlProp627.xml"/><Relationship Id="rId83" Type="http://schemas.openxmlformats.org/officeDocument/2006/relationships/ctrlProp" Target="../ctrlProps/ctrlProp648.xml"/><Relationship Id="rId88" Type="http://schemas.openxmlformats.org/officeDocument/2006/relationships/ctrlProp" Target="../ctrlProps/ctrlProp653.xml"/><Relationship Id="rId111" Type="http://schemas.openxmlformats.org/officeDocument/2006/relationships/ctrlProp" Target="../ctrlProps/ctrlProp676.xml"/><Relationship Id="rId132" Type="http://schemas.openxmlformats.org/officeDocument/2006/relationships/ctrlProp" Target="../ctrlProps/ctrlProp697.xml"/><Relationship Id="rId153" Type="http://schemas.openxmlformats.org/officeDocument/2006/relationships/ctrlProp" Target="../ctrlProps/ctrlProp718.xml"/><Relationship Id="rId174" Type="http://schemas.openxmlformats.org/officeDocument/2006/relationships/ctrlProp" Target="../ctrlProps/ctrlProp739.xml"/><Relationship Id="rId179" Type="http://schemas.openxmlformats.org/officeDocument/2006/relationships/ctrlProp" Target="../ctrlProps/ctrlProp744.xml"/><Relationship Id="rId195" Type="http://schemas.openxmlformats.org/officeDocument/2006/relationships/ctrlProp" Target="../ctrlProps/ctrlProp760.xml"/><Relationship Id="rId190" Type="http://schemas.openxmlformats.org/officeDocument/2006/relationships/ctrlProp" Target="../ctrlProps/ctrlProp755.xml"/><Relationship Id="rId15" Type="http://schemas.openxmlformats.org/officeDocument/2006/relationships/ctrlProp" Target="../ctrlProps/ctrlProp580.xml"/><Relationship Id="rId36" Type="http://schemas.openxmlformats.org/officeDocument/2006/relationships/ctrlProp" Target="../ctrlProps/ctrlProp601.xml"/><Relationship Id="rId57" Type="http://schemas.openxmlformats.org/officeDocument/2006/relationships/ctrlProp" Target="../ctrlProps/ctrlProp622.xml"/><Relationship Id="rId106" Type="http://schemas.openxmlformats.org/officeDocument/2006/relationships/ctrlProp" Target="../ctrlProps/ctrlProp671.xml"/><Relationship Id="rId127" Type="http://schemas.openxmlformats.org/officeDocument/2006/relationships/ctrlProp" Target="../ctrlProps/ctrlProp692.xml"/><Relationship Id="rId10" Type="http://schemas.openxmlformats.org/officeDocument/2006/relationships/ctrlProp" Target="../ctrlProps/ctrlProp575.xml"/><Relationship Id="rId31" Type="http://schemas.openxmlformats.org/officeDocument/2006/relationships/ctrlProp" Target="../ctrlProps/ctrlProp596.xml"/><Relationship Id="rId52" Type="http://schemas.openxmlformats.org/officeDocument/2006/relationships/ctrlProp" Target="../ctrlProps/ctrlProp617.xml"/><Relationship Id="rId73" Type="http://schemas.openxmlformats.org/officeDocument/2006/relationships/ctrlProp" Target="../ctrlProps/ctrlProp638.xml"/><Relationship Id="rId78" Type="http://schemas.openxmlformats.org/officeDocument/2006/relationships/ctrlProp" Target="../ctrlProps/ctrlProp643.xml"/><Relationship Id="rId94" Type="http://schemas.openxmlformats.org/officeDocument/2006/relationships/ctrlProp" Target="../ctrlProps/ctrlProp659.xml"/><Relationship Id="rId99" Type="http://schemas.openxmlformats.org/officeDocument/2006/relationships/ctrlProp" Target="../ctrlProps/ctrlProp664.xml"/><Relationship Id="rId101" Type="http://schemas.openxmlformats.org/officeDocument/2006/relationships/ctrlProp" Target="../ctrlProps/ctrlProp666.xml"/><Relationship Id="rId122" Type="http://schemas.openxmlformats.org/officeDocument/2006/relationships/ctrlProp" Target="../ctrlProps/ctrlProp687.xml"/><Relationship Id="rId143" Type="http://schemas.openxmlformats.org/officeDocument/2006/relationships/ctrlProp" Target="../ctrlProps/ctrlProp708.xml"/><Relationship Id="rId148" Type="http://schemas.openxmlformats.org/officeDocument/2006/relationships/ctrlProp" Target="../ctrlProps/ctrlProp713.xml"/><Relationship Id="rId164" Type="http://schemas.openxmlformats.org/officeDocument/2006/relationships/ctrlProp" Target="../ctrlProps/ctrlProp729.xml"/><Relationship Id="rId169" Type="http://schemas.openxmlformats.org/officeDocument/2006/relationships/ctrlProp" Target="../ctrlProps/ctrlProp734.xml"/><Relationship Id="rId185" Type="http://schemas.openxmlformats.org/officeDocument/2006/relationships/ctrlProp" Target="../ctrlProps/ctrlProp750.xml"/><Relationship Id="rId4" Type="http://schemas.openxmlformats.org/officeDocument/2006/relationships/hyperlink" Target="file:///\\WHPUSR04\rcurran$\Personal\My%20Documents\india%20temp\AppData\Roaming\Microsoft\Excel\One%20Pagers%20RE\OFFSHORE%20WIND%20POWER-One%20Pager.pdf" TargetMode="External"/><Relationship Id="rId9" Type="http://schemas.openxmlformats.org/officeDocument/2006/relationships/ctrlProp" Target="../ctrlProps/ctrlProp574.xml"/><Relationship Id="rId180" Type="http://schemas.openxmlformats.org/officeDocument/2006/relationships/ctrlProp" Target="../ctrlProps/ctrlProp745.xml"/><Relationship Id="rId26" Type="http://schemas.openxmlformats.org/officeDocument/2006/relationships/ctrlProp" Target="../ctrlProps/ctrlProp591.xml"/><Relationship Id="rId47" Type="http://schemas.openxmlformats.org/officeDocument/2006/relationships/ctrlProp" Target="../ctrlProps/ctrlProp612.xml"/><Relationship Id="rId68" Type="http://schemas.openxmlformats.org/officeDocument/2006/relationships/ctrlProp" Target="../ctrlProps/ctrlProp633.xml"/><Relationship Id="rId89" Type="http://schemas.openxmlformats.org/officeDocument/2006/relationships/ctrlProp" Target="../ctrlProps/ctrlProp654.xml"/><Relationship Id="rId112" Type="http://schemas.openxmlformats.org/officeDocument/2006/relationships/ctrlProp" Target="../ctrlProps/ctrlProp677.xml"/><Relationship Id="rId133" Type="http://schemas.openxmlformats.org/officeDocument/2006/relationships/ctrlProp" Target="../ctrlProps/ctrlProp698.xml"/><Relationship Id="rId154" Type="http://schemas.openxmlformats.org/officeDocument/2006/relationships/ctrlProp" Target="../ctrlProps/ctrlProp719.xml"/><Relationship Id="rId175" Type="http://schemas.openxmlformats.org/officeDocument/2006/relationships/ctrlProp" Target="../ctrlProps/ctrlProp740.xml"/></Relationships>
</file>

<file path=xl/worksheets/_rels/sheet39.xml.rels><?xml version="1.0" encoding="UTF-8" standalone="yes"?>
<Relationships xmlns="http://schemas.openxmlformats.org/package/2006/relationships"><Relationship Id="rId1" Type="http://schemas.openxmlformats.org/officeDocument/2006/relationships/table" Target="../tables/table115.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1.vml"/><Relationship Id="rId7" Type="http://schemas.openxmlformats.org/officeDocument/2006/relationships/comments" Target="../comments17.xml"/><Relationship Id="rId2" Type="http://schemas.openxmlformats.org/officeDocument/2006/relationships/drawing" Target="../drawings/drawing8.xml"/><Relationship Id="rId1" Type="http://schemas.openxmlformats.org/officeDocument/2006/relationships/printerSettings" Target="../printerSettings/printerSettings6.bin"/><Relationship Id="rId6" Type="http://schemas.openxmlformats.org/officeDocument/2006/relationships/table" Target="../tables/table118.xml"/><Relationship Id="rId5" Type="http://schemas.openxmlformats.org/officeDocument/2006/relationships/table" Target="../tables/table117.xml"/><Relationship Id="rId4" Type="http://schemas.openxmlformats.org/officeDocument/2006/relationships/table" Target="../tables/table116.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6.xml.rels><?xml version="1.0" encoding="UTF-8" standalone="yes"?>
<Relationships xmlns="http://schemas.openxmlformats.org/package/2006/relationships"><Relationship Id="rId2" Type="http://schemas.openxmlformats.org/officeDocument/2006/relationships/hyperlink" Target="http://www.cea.nic.in/reports/yearly/energy_generation_11_12.pdf" TargetMode="External"/><Relationship Id="rId1" Type="http://schemas.openxmlformats.org/officeDocument/2006/relationships/hyperlink" Target="http://www.coal.nic.in/annrep1213.pdf" TargetMode="External"/></Relationships>
</file>

<file path=xl/worksheets/_rels/sheet47.xml.rels><?xml version="1.0" encoding="UTF-8" standalone="yes"?>
<Relationships xmlns="http://schemas.openxmlformats.org/package/2006/relationships"><Relationship Id="rId1" Type="http://schemas.openxmlformats.org/officeDocument/2006/relationships/hyperlink" Target="http://www.natural-gas.com.au/about/references.html" TargetMode="External"/></Relationships>
</file>

<file path=xl/worksheets/_rels/sheet48.xml.rels><?xml version="1.0" encoding="UTF-8" standalone="yes"?>
<Relationships xmlns="http://schemas.openxmlformats.org/package/2006/relationships"><Relationship Id="rId2" Type="http://schemas.openxmlformats.org/officeDocument/2006/relationships/table" Target="../tables/table119.xml"/><Relationship Id="rId1" Type="http://schemas.openxmlformats.org/officeDocument/2006/relationships/printerSettings" Target="../printerSettings/printerSettings8.bin"/></Relationships>
</file>

<file path=xl/worksheets/_rels/sheet49.xml.rels><?xml version="1.0" encoding="UTF-8" standalone="yes"?>
<Relationships xmlns="http://schemas.openxmlformats.org/package/2006/relationships"><Relationship Id="rId2" Type="http://schemas.openxmlformats.org/officeDocument/2006/relationships/table" Target="../tables/table121.xml"/><Relationship Id="rId1" Type="http://schemas.openxmlformats.org/officeDocument/2006/relationships/table" Target="../tables/table120.xml"/></Relationships>
</file>

<file path=xl/worksheets/_rels/sheet50.xml.rels><?xml version="1.0" encoding="UTF-8" standalone="yes"?>
<Relationships xmlns="http://schemas.openxmlformats.org/package/2006/relationships"><Relationship Id="rId8" Type="http://schemas.openxmlformats.org/officeDocument/2006/relationships/table" Target="../tables/table129.xml"/><Relationship Id="rId3" Type="http://schemas.openxmlformats.org/officeDocument/2006/relationships/table" Target="../tables/table124.xml"/><Relationship Id="rId7" Type="http://schemas.openxmlformats.org/officeDocument/2006/relationships/table" Target="../tables/table128.xml"/><Relationship Id="rId2" Type="http://schemas.openxmlformats.org/officeDocument/2006/relationships/table" Target="../tables/table123.xml"/><Relationship Id="rId1" Type="http://schemas.openxmlformats.org/officeDocument/2006/relationships/table" Target="../tables/table122.xml"/><Relationship Id="rId6" Type="http://schemas.openxmlformats.org/officeDocument/2006/relationships/table" Target="../tables/table127.xml"/><Relationship Id="rId5" Type="http://schemas.openxmlformats.org/officeDocument/2006/relationships/table" Target="../tables/table126.xml"/><Relationship Id="rId4" Type="http://schemas.openxmlformats.org/officeDocument/2006/relationships/table" Target="../tables/table125.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sheetPr>
    <tabColor theme="9"/>
    <outlinePr summaryBelow="0"/>
    <pageSetUpPr autoPageBreaks="0"/>
  </sheetPr>
  <dimension ref="A1:AF129"/>
  <sheetViews>
    <sheetView showGridLines="0" topLeftCell="F30" zoomScalePageLayoutView="74" workbookViewId="0">
      <selection activeCell="O13" sqref="O13"/>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18" width="14" style="605" bestFit="1" customWidth="1"/>
    <col min="19" max="19" width="8.85546875" style="605"/>
    <col min="20" max="20" width="10.85546875" style="605" bestFit="1" customWidth="1"/>
    <col min="21" max="23" width="8.85546875" style="605"/>
    <col min="24" max="24" width="9.42578125" style="605" bestFit="1" customWidth="1"/>
    <col min="25" max="16384" width="8.85546875" style="605"/>
  </cols>
  <sheetData>
    <row r="1" spans="1:16" ht="21">
      <c r="A1" s="77" t="s">
        <v>60</v>
      </c>
      <c r="B1" s="1415" t="str">
        <f>INDEX(Workstreams[Workstream], MATCH($A1, Workstreams[Code], 0))</f>
        <v>Hydrocarbon fuel power generation</v>
      </c>
      <c r="C1" s="77"/>
    </row>
    <row r="2" spans="1:16" s="51" customFormat="1" ht="19.5" customHeight="1">
      <c r="A2" s="6" t="s">
        <v>248</v>
      </c>
      <c r="B2" s="53" t="str">
        <f>INDEX(Modules[Module], MATCH($A2,Modules[Code], 0))</f>
        <v>Gas Power Stations</v>
      </c>
      <c r="C2" s="6"/>
      <c r="E2" s="404"/>
    </row>
    <row r="4" spans="1:16" ht="22.5">
      <c r="A4" s="420"/>
      <c r="B4" s="206" t="s">
        <v>412</v>
      </c>
      <c r="C4" s="175"/>
      <c r="D4" s="175"/>
      <c r="E4" s="175"/>
      <c r="F4" s="175"/>
      <c r="G4" s="175"/>
      <c r="H4" s="175"/>
      <c r="I4" s="175"/>
      <c r="J4" s="175"/>
      <c r="K4" s="175"/>
      <c r="L4" s="175"/>
      <c r="M4" s="175"/>
      <c r="N4" s="175"/>
      <c r="O4" s="175"/>
      <c r="P4" s="177"/>
    </row>
    <row r="5" spans="1:16">
      <c r="B5" s="164"/>
      <c r="C5" s="166"/>
      <c r="D5" s="166"/>
      <c r="E5" s="166"/>
      <c r="F5" s="166"/>
      <c r="G5" s="166"/>
      <c r="H5" s="166"/>
      <c r="I5" s="166"/>
      <c r="J5" s="166"/>
      <c r="K5" s="166"/>
      <c r="L5" s="166"/>
      <c r="M5" s="166"/>
      <c r="N5" s="166"/>
      <c r="O5" s="166"/>
      <c r="P5" s="168"/>
    </row>
    <row r="6" spans="1:16" ht="5.25" customHeight="1">
      <c r="B6" s="164"/>
      <c r="C6" s="165"/>
      <c r="D6" s="166"/>
      <c r="E6" s="167"/>
      <c r="F6" s="166"/>
      <c r="G6" s="166"/>
      <c r="H6" s="166"/>
      <c r="I6" s="166"/>
      <c r="J6" s="166"/>
      <c r="K6" s="166"/>
      <c r="L6" s="166"/>
      <c r="M6" s="166"/>
      <c r="N6" s="166"/>
      <c r="O6" s="166"/>
      <c r="P6" s="168"/>
    </row>
    <row r="7" spans="1:16" ht="15.75">
      <c r="B7" s="169"/>
      <c r="C7" s="166"/>
      <c r="D7" s="118" t="s">
        <v>274</v>
      </c>
      <c r="E7" s="118" t="s">
        <v>411</v>
      </c>
      <c r="F7" s="166"/>
      <c r="G7" s="166"/>
      <c r="H7" s="166"/>
      <c r="I7" s="166"/>
      <c r="J7" s="166"/>
      <c r="K7" s="166"/>
      <c r="L7" s="166"/>
      <c r="M7" s="166"/>
      <c r="N7" s="166"/>
      <c r="O7" s="166"/>
      <c r="P7" s="168"/>
    </row>
    <row r="8" spans="1:16" ht="15.75">
      <c r="B8" s="169"/>
      <c r="C8" s="166"/>
      <c r="D8" s="127" t="s">
        <v>414</v>
      </c>
      <c r="E8" s="127">
        <f>I.a.scenario</f>
        <v>1</v>
      </c>
      <c r="F8" s="166"/>
      <c r="G8" s="166"/>
      <c r="H8" s="166"/>
      <c r="I8" s="166"/>
      <c r="J8" s="166"/>
      <c r="K8" s="166"/>
      <c r="L8" s="166"/>
      <c r="M8" s="166"/>
      <c r="N8" s="166"/>
      <c r="O8" s="166"/>
      <c r="P8" s="168"/>
    </row>
    <row r="9" spans="1:16">
      <c r="B9" s="182"/>
      <c r="C9" s="172"/>
      <c r="D9" s="172"/>
      <c r="E9" s="172"/>
      <c r="F9" s="172"/>
      <c r="G9" s="172"/>
      <c r="H9" s="172"/>
      <c r="I9" s="172"/>
      <c r="J9" s="172"/>
      <c r="K9" s="172"/>
      <c r="L9" s="172"/>
      <c r="M9" s="172"/>
      <c r="N9" s="172"/>
      <c r="O9" s="172"/>
      <c r="P9" s="173"/>
    </row>
    <row r="11" spans="1:16" ht="22.5">
      <c r="A11" s="420"/>
      <c r="B11" s="421" t="s">
        <v>413</v>
      </c>
      <c r="C11" s="159"/>
      <c r="D11" s="159"/>
      <c r="E11" s="159"/>
      <c r="F11" s="159"/>
      <c r="G11" s="159"/>
      <c r="H11" s="159"/>
      <c r="I11" s="159"/>
      <c r="J11" s="159"/>
      <c r="K11" s="159"/>
      <c r="L11" s="159"/>
      <c r="M11" s="159"/>
      <c r="N11" s="159"/>
      <c r="O11" s="159"/>
      <c r="P11" s="160"/>
    </row>
    <row r="12" spans="1:16">
      <c r="B12" s="418"/>
      <c r="C12" s="415"/>
      <c r="D12" s="415"/>
      <c r="E12" s="415"/>
      <c r="F12" s="415"/>
      <c r="G12" s="415"/>
      <c r="H12" s="415"/>
      <c r="I12" s="415"/>
      <c r="J12" s="415"/>
      <c r="K12" s="415"/>
      <c r="L12" s="415"/>
      <c r="M12" s="415"/>
      <c r="N12" s="415"/>
      <c r="O12" s="415"/>
      <c r="P12" s="419"/>
    </row>
    <row r="13" spans="1:16" hidden="1">
      <c r="B13" s="418"/>
      <c r="C13" s="416" t="s">
        <v>2116</v>
      </c>
      <c r="D13" s="415"/>
      <c r="E13" s="104"/>
      <c r="F13" s="415"/>
      <c r="G13" s="415"/>
      <c r="H13" s="415"/>
      <c r="I13" s="415"/>
      <c r="J13" s="415"/>
      <c r="K13" s="415"/>
      <c r="L13" s="415"/>
      <c r="M13" s="415"/>
      <c r="N13" s="415"/>
      <c r="O13" s="104" t="str">
        <f>Preferences.PowerUnits</f>
        <v>GW</v>
      </c>
      <c r="P13" s="419"/>
    </row>
    <row r="14" spans="1:16" ht="5.25" hidden="1" customHeight="1">
      <c r="B14" s="418"/>
      <c r="C14" s="415"/>
      <c r="D14" s="415"/>
      <c r="E14" s="415"/>
      <c r="F14" s="415"/>
      <c r="G14" s="415"/>
      <c r="H14" s="415"/>
      <c r="I14" s="415"/>
      <c r="J14" s="415"/>
      <c r="K14" s="415"/>
      <c r="L14" s="415"/>
      <c r="M14" s="415"/>
      <c r="N14" s="415"/>
      <c r="O14" s="415"/>
      <c r="P14" s="419"/>
    </row>
    <row r="15" spans="1:16" ht="15.75" hidden="1">
      <c r="B15" s="152"/>
      <c r="C15" s="61" t="s">
        <v>411</v>
      </c>
      <c r="D15" s="61" t="s">
        <v>65</v>
      </c>
      <c r="E15" s="61" t="s">
        <v>156</v>
      </c>
      <c r="F15" s="119">
        <v>2007</v>
      </c>
      <c r="G15" s="120">
        <f>F15+5</f>
        <v>2012</v>
      </c>
      <c r="H15" s="120">
        <f t="shared" ref="H15:O15" si="0">G15+5</f>
        <v>2017</v>
      </c>
      <c r="I15" s="120">
        <f t="shared" si="0"/>
        <v>2022</v>
      </c>
      <c r="J15" s="120">
        <f t="shared" si="0"/>
        <v>2027</v>
      </c>
      <c r="K15" s="120">
        <f t="shared" si="0"/>
        <v>2032</v>
      </c>
      <c r="L15" s="120">
        <f t="shared" si="0"/>
        <v>2037</v>
      </c>
      <c r="M15" s="120">
        <f t="shared" si="0"/>
        <v>2042</v>
      </c>
      <c r="N15" s="120">
        <f t="shared" si="0"/>
        <v>2047</v>
      </c>
      <c r="O15" s="120">
        <f t="shared" si="0"/>
        <v>2052</v>
      </c>
      <c r="P15" s="419"/>
    </row>
    <row r="16" spans="1:16" ht="15.75" hidden="1">
      <c r="B16" s="153"/>
      <c r="C16" s="413">
        <v>1</v>
      </c>
      <c r="D16" s="414"/>
      <c r="E16" s="96"/>
      <c r="F16" s="415">
        <f t="shared" ref="F16:O19" si="1">0*Unit.GW</f>
        <v>0</v>
      </c>
      <c r="G16" s="415">
        <f t="shared" si="1"/>
        <v>0</v>
      </c>
      <c r="H16" s="415">
        <f t="shared" si="1"/>
        <v>0</v>
      </c>
      <c r="I16" s="415">
        <f t="shared" si="1"/>
        <v>0</v>
      </c>
      <c r="J16" s="415">
        <f t="shared" si="1"/>
        <v>0</v>
      </c>
      <c r="K16" s="415">
        <f t="shared" si="1"/>
        <v>0</v>
      </c>
      <c r="L16" s="415">
        <f t="shared" si="1"/>
        <v>0</v>
      </c>
      <c r="M16" s="415">
        <f t="shared" si="1"/>
        <v>0</v>
      </c>
      <c r="N16" s="415">
        <f t="shared" si="1"/>
        <v>0</v>
      </c>
      <c r="O16" s="415">
        <f t="shared" si="1"/>
        <v>0</v>
      </c>
      <c r="P16" s="722"/>
    </row>
    <row r="17" spans="2:16" ht="15.75" hidden="1">
      <c r="B17" s="152"/>
      <c r="C17" s="413">
        <v>2</v>
      </c>
      <c r="D17" s="414"/>
      <c r="E17" s="414"/>
      <c r="F17" s="415">
        <f t="shared" si="1"/>
        <v>0</v>
      </c>
      <c r="G17" s="415">
        <f t="shared" si="1"/>
        <v>0</v>
      </c>
      <c r="H17" s="415">
        <f t="shared" si="1"/>
        <v>0</v>
      </c>
      <c r="I17" s="415">
        <f t="shared" si="1"/>
        <v>0</v>
      </c>
      <c r="J17" s="415">
        <f t="shared" si="1"/>
        <v>0</v>
      </c>
      <c r="K17" s="415">
        <f t="shared" si="1"/>
        <v>0</v>
      </c>
      <c r="L17" s="415">
        <f t="shared" si="1"/>
        <v>0</v>
      </c>
      <c r="M17" s="415">
        <f t="shared" si="1"/>
        <v>0</v>
      </c>
      <c r="N17" s="415">
        <f t="shared" si="1"/>
        <v>0</v>
      </c>
      <c r="O17" s="415">
        <f t="shared" si="1"/>
        <v>0</v>
      </c>
      <c r="P17" s="419"/>
    </row>
    <row r="18" spans="2:16" ht="15.75" hidden="1">
      <c r="B18" s="152"/>
      <c r="C18" s="413">
        <v>3</v>
      </c>
      <c r="D18" s="414"/>
      <c r="E18" s="414"/>
      <c r="F18" s="415">
        <f t="shared" si="1"/>
        <v>0</v>
      </c>
      <c r="G18" s="415">
        <f t="shared" si="1"/>
        <v>0</v>
      </c>
      <c r="H18" s="415">
        <f t="shared" si="1"/>
        <v>0</v>
      </c>
      <c r="I18" s="415">
        <f t="shared" si="1"/>
        <v>0</v>
      </c>
      <c r="J18" s="415">
        <f t="shared" si="1"/>
        <v>0</v>
      </c>
      <c r="K18" s="415">
        <f t="shared" si="1"/>
        <v>0</v>
      </c>
      <c r="L18" s="415">
        <f t="shared" si="1"/>
        <v>0</v>
      </c>
      <c r="M18" s="415">
        <f t="shared" si="1"/>
        <v>0</v>
      </c>
      <c r="N18" s="415">
        <f t="shared" si="1"/>
        <v>0</v>
      </c>
      <c r="O18" s="415">
        <f t="shared" si="1"/>
        <v>0</v>
      </c>
      <c r="P18" s="419"/>
    </row>
    <row r="19" spans="2:16" ht="15.75" hidden="1">
      <c r="B19" s="152"/>
      <c r="C19" s="411">
        <v>4</v>
      </c>
      <c r="D19" s="65"/>
      <c r="E19" s="65"/>
      <c r="F19" s="415">
        <f t="shared" si="1"/>
        <v>0</v>
      </c>
      <c r="G19" s="415">
        <f t="shared" si="1"/>
        <v>0</v>
      </c>
      <c r="H19" s="415">
        <f t="shared" si="1"/>
        <v>0</v>
      </c>
      <c r="I19" s="415">
        <f t="shared" si="1"/>
        <v>0</v>
      </c>
      <c r="J19" s="415">
        <f t="shared" si="1"/>
        <v>0</v>
      </c>
      <c r="K19" s="415">
        <f t="shared" si="1"/>
        <v>0</v>
      </c>
      <c r="L19" s="415">
        <f t="shared" si="1"/>
        <v>0</v>
      </c>
      <c r="M19" s="415">
        <f t="shared" si="1"/>
        <v>0</v>
      </c>
      <c r="N19" s="415">
        <f t="shared" si="1"/>
        <v>0</v>
      </c>
      <c r="O19" s="415">
        <f t="shared" si="1"/>
        <v>0</v>
      </c>
      <c r="P19" s="419"/>
    </row>
    <row r="20" spans="2:16" ht="15.75" hidden="1">
      <c r="B20" s="152"/>
      <c r="C20" s="406" t="s">
        <v>406</v>
      </c>
      <c r="D20" s="407"/>
      <c r="E20" s="407"/>
      <c r="F20" s="408">
        <f>(INDEX(F$16:F$19,ROUNDDOWN($E$8,0))*(1-MOD($E$8,1)))+(INDEX(F$16:F$19,ROUNDUP($E$8,0))*MOD($E$8,1))</f>
        <v>0</v>
      </c>
      <c r="G20" s="610">
        <f t="shared" ref="G20:O20" si="2">(INDEX(G$16:G$19,ROUNDDOWN($E$8,0))*(1-MOD($E$8,1)))+(INDEX(G$16:G$19,ROUNDUP($E$8,0))*MOD($E$8,1))</f>
        <v>0</v>
      </c>
      <c r="H20" s="408">
        <f t="shared" si="2"/>
        <v>0</v>
      </c>
      <c r="I20" s="408">
        <f t="shared" si="2"/>
        <v>0</v>
      </c>
      <c r="J20" s="408">
        <f t="shared" si="2"/>
        <v>0</v>
      </c>
      <c r="K20" s="408">
        <f t="shared" si="2"/>
        <v>0</v>
      </c>
      <c r="L20" s="408">
        <f t="shared" si="2"/>
        <v>0</v>
      </c>
      <c r="M20" s="408">
        <f t="shared" si="2"/>
        <v>0</v>
      </c>
      <c r="N20" s="408">
        <f t="shared" si="2"/>
        <v>0</v>
      </c>
      <c r="O20" s="408">
        <f t="shared" si="2"/>
        <v>0</v>
      </c>
      <c r="P20" s="419"/>
    </row>
    <row r="21" spans="2:16" hidden="1">
      <c r="B21" s="155"/>
      <c r="C21" s="104"/>
      <c r="D21" s="105"/>
      <c r="E21" s="415"/>
      <c r="F21" s="415"/>
      <c r="G21" s="415"/>
      <c r="H21" s="415"/>
      <c r="I21" s="415"/>
      <c r="J21" s="415"/>
      <c r="K21" s="415"/>
      <c r="L21" s="415"/>
      <c r="M21" s="415"/>
      <c r="N21" s="415"/>
      <c r="O21" s="415"/>
      <c r="P21" s="419"/>
    </row>
    <row r="22" spans="2:16" hidden="1">
      <c r="B22" s="155"/>
      <c r="C22" s="416" t="s">
        <v>2117</v>
      </c>
      <c r="D22" s="415"/>
      <c r="E22" s="104"/>
      <c r="F22" s="415"/>
      <c r="G22" s="415"/>
      <c r="H22" s="415"/>
      <c r="I22" s="415"/>
      <c r="J22" s="415"/>
      <c r="K22" s="415"/>
      <c r="L22" s="415"/>
      <c r="M22" s="415"/>
      <c r="N22" s="415"/>
      <c r="O22" s="104" t="str">
        <f>Preferences.PowerUnits</f>
        <v>GW</v>
      </c>
      <c r="P22" s="419"/>
    </row>
    <row r="23" spans="2:16" hidden="1">
      <c r="B23" s="155"/>
      <c r="C23" s="415"/>
      <c r="D23" s="415"/>
      <c r="E23" s="415"/>
      <c r="F23" s="415"/>
      <c r="G23" s="415"/>
      <c r="H23" s="415"/>
      <c r="I23" s="415"/>
      <c r="J23" s="415"/>
      <c r="K23" s="415"/>
      <c r="L23" s="415"/>
      <c r="M23" s="415"/>
      <c r="N23" s="415"/>
      <c r="O23" s="415"/>
      <c r="P23" s="419"/>
    </row>
    <row r="24" spans="2:16" hidden="1">
      <c r="B24" s="155"/>
      <c r="C24" s="61"/>
      <c r="D24" s="61" t="s">
        <v>65</v>
      </c>
      <c r="E24" s="61" t="s">
        <v>156</v>
      </c>
      <c r="F24" s="119">
        <v>2007</v>
      </c>
      <c r="G24" s="120">
        <f>F24+5</f>
        <v>2012</v>
      </c>
      <c r="H24" s="120">
        <f t="shared" ref="H24:O24" si="3">G24+5</f>
        <v>2017</v>
      </c>
      <c r="I24" s="120">
        <f t="shared" si="3"/>
        <v>2022</v>
      </c>
      <c r="J24" s="120">
        <f t="shared" si="3"/>
        <v>2027</v>
      </c>
      <c r="K24" s="120">
        <f t="shared" si="3"/>
        <v>2032</v>
      </c>
      <c r="L24" s="120">
        <f t="shared" si="3"/>
        <v>2037</v>
      </c>
      <c r="M24" s="120">
        <f t="shared" si="3"/>
        <v>2042</v>
      </c>
      <c r="N24" s="120">
        <f t="shared" si="3"/>
        <v>2047</v>
      </c>
      <c r="O24" s="120">
        <f t="shared" si="3"/>
        <v>2052</v>
      </c>
      <c r="P24" s="419"/>
    </row>
    <row r="25" spans="2:16" hidden="1">
      <c r="B25" s="155"/>
      <c r="C25" s="413">
        <v>1</v>
      </c>
      <c r="D25" s="414"/>
      <c r="E25" s="96"/>
      <c r="F25" s="415">
        <f t="shared" ref="F25:O28" si="4">0*Unit.GW</f>
        <v>0</v>
      </c>
      <c r="G25" s="415">
        <f t="shared" si="4"/>
        <v>0</v>
      </c>
      <c r="H25" s="415">
        <f t="shared" si="4"/>
        <v>0</v>
      </c>
      <c r="I25" s="415">
        <f t="shared" si="4"/>
        <v>0</v>
      </c>
      <c r="J25" s="415">
        <f t="shared" si="4"/>
        <v>0</v>
      </c>
      <c r="K25" s="415">
        <f t="shared" si="4"/>
        <v>0</v>
      </c>
      <c r="L25" s="415">
        <f t="shared" si="4"/>
        <v>0</v>
      </c>
      <c r="M25" s="415">
        <f t="shared" si="4"/>
        <v>0</v>
      </c>
      <c r="N25" s="415">
        <f t="shared" si="4"/>
        <v>0</v>
      </c>
      <c r="O25" s="415">
        <f t="shared" si="4"/>
        <v>0</v>
      </c>
      <c r="P25" s="419"/>
    </row>
    <row r="26" spans="2:16" hidden="1">
      <c r="B26" s="155"/>
      <c r="C26" s="413">
        <v>2</v>
      </c>
      <c r="D26" s="414"/>
      <c r="E26" s="414"/>
      <c r="F26" s="415">
        <f t="shared" si="4"/>
        <v>0</v>
      </c>
      <c r="G26" s="415">
        <f t="shared" si="4"/>
        <v>0</v>
      </c>
      <c r="H26" s="415">
        <f t="shared" si="4"/>
        <v>0</v>
      </c>
      <c r="I26" s="415">
        <f t="shared" si="4"/>
        <v>0</v>
      </c>
      <c r="J26" s="415">
        <f t="shared" si="4"/>
        <v>0</v>
      </c>
      <c r="K26" s="415">
        <f t="shared" si="4"/>
        <v>0</v>
      </c>
      <c r="L26" s="415">
        <f t="shared" si="4"/>
        <v>0</v>
      </c>
      <c r="M26" s="415">
        <f t="shared" si="4"/>
        <v>0</v>
      </c>
      <c r="N26" s="415">
        <f t="shared" si="4"/>
        <v>0</v>
      </c>
      <c r="O26" s="415">
        <f t="shared" si="4"/>
        <v>0</v>
      </c>
      <c r="P26" s="415"/>
    </row>
    <row r="27" spans="2:16" hidden="1">
      <c r="B27" s="155"/>
      <c r="C27" s="413">
        <v>3</v>
      </c>
      <c r="D27" s="414"/>
      <c r="E27" s="414"/>
      <c r="F27" s="415">
        <f t="shared" si="4"/>
        <v>0</v>
      </c>
      <c r="G27" s="415">
        <f t="shared" si="4"/>
        <v>0</v>
      </c>
      <c r="H27" s="415">
        <f t="shared" si="4"/>
        <v>0</v>
      </c>
      <c r="I27" s="415">
        <f t="shared" si="4"/>
        <v>0</v>
      </c>
      <c r="J27" s="415">
        <f t="shared" si="4"/>
        <v>0</v>
      </c>
      <c r="K27" s="415">
        <f t="shared" si="4"/>
        <v>0</v>
      </c>
      <c r="L27" s="415">
        <f t="shared" si="4"/>
        <v>0</v>
      </c>
      <c r="M27" s="415">
        <f t="shared" si="4"/>
        <v>0</v>
      </c>
      <c r="N27" s="415">
        <f t="shared" si="4"/>
        <v>0</v>
      </c>
      <c r="O27" s="415">
        <f t="shared" si="4"/>
        <v>0</v>
      </c>
      <c r="P27" s="419"/>
    </row>
    <row r="28" spans="2:16" hidden="1">
      <c r="B28" s="155"/>
      <c r="C28" s="411">
        <v>4</v>
      </c>
      <c r="D28" s="65"/>
      <c r="E28" s="65"/>
      <c r="F28" s="415">
        <f t="shared" si="4"/>
        <v>0</v>
      </c>
      <c r="G28" s="415">
        <f t="shared" si="4"/>
        <v>0</v>
      </c>
      <c r="H28" s="415">
        <f t="shared" si="4"/>
        <v>0</v>
      </c>
      <c r="I28" s="415">
        <f t="shared" si="4"/>
        <v>0</v>
      </c>
      <c r="J28" s="415">
        <f t="shared" si="4"/>
        <v>0</v>
      </c>
      <c r="K28" s="415">
        <f t="shared" si="4"/>
        <v>0</v>
      </c>
      <c r="L28" s="415">
        <f t="shared" si="4"/>
        <v>0</v>
      </c>
      <c r="M28" s="415">
        <f t="shared" si="4"/>
        <v>0</v>
      </c>
      <c r="N28" s="415">
        <f t="shared" si="4"/>
        <v>0</v>
      </c>
      <c r="O28" s="415">
        <f t="shared" si="4"/>
        <v>0</v>
      </c>
      <c r="P28" s="419"/>
    </row>
    <row r="29" spans="2:16" hidden="1">
      <c r="B29" s="155"/>
      <c r="C29" s="406" t="s">
        <v>406</v>
      </c>
      <c r="D29" s="407"/>
      <c r="E29" s="407"/>
      <c r="F29" s="408"/>
      <c r="G29" s="408">
        <f t="shared" ref="G29:O29" si="5">(INDEX(G$25:G$28,ROUNDDOWN($E$8,0))*(1-MOD($E$8,1)))+(INDEX(G$25:G$28,ROUNDUP($E$8,0))*MOD($E$8,1))</f>
        <v>0</v>
      </c>
      <c r="H29" s="408">
        <f t="shared" si="5"/>
        <v>0</v>
      </c>
      <c r="I29" s="408">
        <f t="shared" si="5"/>
        <v>0</v>
      </c>
      <c r="J29" s="408">
        <f t="shared" si="5"/>
        <v>0</v>
      </c>
      <c r="K29" s="408">
        <f t="shared" si="5"/>
        <v>0</v>
      </c>
      <c r="L29" s="408">
        <f t="shared" si="5"/>
        <v>0</v>
      </c>
      <c r="M29" s="408">
        <f t="shared" si="5"/>
        <v>0</v>
      </c>
      <c r="N29" s="408">
        <f t="shared" si="5"/>
        <v>0</v>
      </c>
      <c r="O29" s="408">
        <f t="shared" si="5"/>
        <v>0</v>
      </c>
      <c r="P29" s="408"/>
    </row>
    <row r="30" spans="2:16">
      <c r="B30" s="155"/>
      <c r="C30" s="104"/>
      <c r="D30" s="105"/>
      <c r="E30" s="415"/>
      <c r="F30" s="415"/>
      <c r="G30" s="415"/>
      <c r="H30" s="415"/>
      <c r="I30" s="415"/>
      <c r="J30" s="415"/>
      <c r="K30" s="415"/>
      <c r="L30" s="415"/>
      <c r="M30" s="415"/>
      <c r="N30" s="415"/>
      <c r="O30" s="415"/>
      <c r="P30" s="419"/>
    </row>
    <row r="31" spans="2:16">
      <c r="B31" s="155"/>
      <c r="C31" s="416" t="s">
        <v>2118</v>
      </c>
      <c r="D31" s="415"/>
      <c r="E31" s="104"/>
      <c r="F31" s="415"/>
      <c r="G31" s="415"/>
      <c r="H31" s="415"/>
      <c r="I31" s="415"/>
      <c r="J31" s="415"/>
      <c r="K31" s="415"/>
      <c r="L31" s="415"/>
      <c r="M31" s="415"/>
      <c r="N31" s="415"/>
      <c r="O31" s="104" t="str">
        <f>Preferences.PowerUnits</f>
        <v>GW</v>
      </c>
      <c r="P31" s="419"/>
    </row>
    <row r="32" spans="2:16">
      <c r="B32" s="155"/>
      <c r="C32" s="415"/>
      <c r="D32" s="415"/>
      <c r="E32" s="415"/>
      <c r="F32" s="415"/>
      <c r="G32" s="415"/>
      <c r="H32" s="415"/>
      <c r="I32" s="415"/>
      <c r="J32" s="415"/>
      <c r="K32" s="415"/>
      <c r="L32" s="415"/>
      <c r="M32" s="415"/>
      <c r="N32" s="415"/>
      <c r="O32" s="415"/>
      <c r="P32" s="419"/>
    </row>
    <row r="33" spans="1:16">
      <c r="B33" s="155"/>
      <c r="C33" s="61" t="s">
        <v>411</v>
      </c>
      <c r="D33" s="61" t="s">
        <v>65</v>
      </c>
      <c r="E33" s="61" t="s">
        <v>156</v>
      </c>
      <c r="F33" s="119">
        <v>2007</v>
      </c>
      <c r="G33" s="120">
        <f>F33+5</f>
        <v>2012</v>
      </c>
      <c r="H33" s="120">
        <f t="shared" ref="H33:O33" si="6">G33+5</f>
        <v>2017</v>
      </c>
      <c r="I33" s="120">
        <f t="shared" si="6"/>
        <v>2022</v>
      </c>
      <c r="J33" s="120">
        <f t="shared" si="6"/>
        <v>2027</v>
      </c>
      <c r="K33" s="120">
        <f t="shared" si="6"/>
        <v>2032</v>
      </c>
      <c r="L33" s="120">
        <f t="shared" si="6"/>
        <v>2037</v>
      </c>
      <c r="M33" s="120">
        <f t="shared" si="6"/>
        <v>2042</v>
      </c>
      <c r="N33" s="120">
        <f t="shared" si="6"/>
        <v>2047</v>
      </c>
      <c r="O33" s="120">
        <f t="shared" si="6"/>
        <v>2052</v>
      </c>
      <c r="P33" s="419"/>
    </row>
    <row r="34" spans="1:16">
      <c r="B34" s="155"/>
      <c r="C34" s="413">
        <v>1</v>
      </c>
      <c r="D34" s="414"/>
      <c r="E34" s="96"/>
      <c r="F34" s="519">
        <f>13.692*(Unit.GW)</f>
        <v>13.692</v>
      </c>
      <c r="G34" s="519">
        <f>18.381*(Unit.GW)</f>
        <v>18.381</v>
      </c>
      <c r="H34" s="519">
        <f>G34+2.538*Unit.GW</f>
        <v>20.919</v>
      </c>
      <c r="I34" s="519">
        <f>H34</f>
        <v>20.919</v>
      </c>
      <c r="J34" s="519">
        <f t="shared" ref="J34:O34" si="7">I34</f>
        <v>20.919</v>
      </c>
      <c r="K34" s="519">
        <f t="shared" si="7"/>
        <v>20.919</v>
      </c>
      <c r="L34" s="519">
        <f t="shared" si="7"/>
        <v>20.919</v>
      </c>
      <c r="M34" s="519">
        <f t="shared" si="7"/>
        <v>20.919</v>
      </c>
      <c r="N34" s="519">
        <f t="shared" si="7"/>
        <v>20.919</v>
      </c>
      <c r="O34" s="519">
        <f t="shared" si="7"/>
        <v>20.919</v>
      </c>
      <c r="P34" s="419"/>
    </row>
    <row r="35" spans="1:16">
      <c r="B35" s="155"/>
      <c r="C35" s="413">
        <v>2</v>
      </c>
      <c r="D35" s="414"/>
      <c r="E35" s="1914">
        <f>(N35-H35)/30</f>
        <v>1.2911666666666666</v>
      </c>
      <c r="F35" s="519">
        <f>13.692*(Unit.GW)</f>
        <v>13.692</v>
      </c>
      <c r="G35" s="519">
        <f>G34</f>
        <v>18.381</v>
      </c>
      <c r="H35" s="519">
        <f>G35+9.884*Unit.GW</f>
        <v>28.265000000000001</v>
      </c>
      <c r="I35" s="519">
        <f>H35+5*$E35</f>
        <v>34.720833333333331</v>
      </c>
      <c r="J35" s="519">
        <f t="shared" ref="J35:M35" si="8">I35+5*$E35</f>
        <v>41.176666666666662</v>
      </c>
      <c r="K35" s="519">
        <f t="shared" si="8"/>
        <v>47.632499999999993</v>
      </c>
      <c r="L35" s="519">
        <f t="shared" si="8"/>
        <v>54.088333333333324</v>
      </c>
      <c r="M35" s="519">
        <f t="shared" si="8"/>
        <v>60.544166666666655</v>
      </c>
      <c r="N35" s="519">
        <f>67*Unit.GW</f>
        <v>67</v>
      </c>
      <c r="O35" s="519">
        <f>N35+5*E35</f>
        <v>73.455833333333331</v>
      </c>
      <c r="P35" s="419"/>
    </row>
    <row r="36" spans="1:16">
      <c r="B36" s="155"/>
      <c r="C36" s="413">
        <v>3</v>
      </c>
      <c r="D36" s="414" t="s">
        <v>2402</v>
      </c>
      <c r="E36" s="1914">
        <f>(O36-K36)/20</f>
        <v>1.9767499999999998</v>
      </c>
      <c r="F36" s="519">
        <f>13.692*(Unit.GW)</f>
        <v>13.692</v>
      </c>
      <c r="G36" s="519">
        <f t="shared" ref="G36:G37" si="9">G35</f>
        <v>18.381</v>
      </c>
      <c r="H36" s="519">
        <f>G36+(9.884+4.2)*Unit.GW</f>
        <v>32.465000000000003</v>
      </c>
      <c r="I36" s="519">
        <f>H36+20*Unit.GW</f>
        <v>52.465000000000003</v>
      </c>
      <c r="J36" s="519">
        <f>I36+20*Unit.GW</f>
        <v>72.465000000000003</v>
      </c>
      <c r="K36" s="519">
        <f>J36+20*Unit.GW</f>
        <v>92.465000000000003</v>
      </c>
      <c r="L36" s="519">
        <f>K36+5*$E36</f>
        <v>102.34875</v>
      </c>
      <c r="M36" s="519">
        <f t="shared" ref="M36:N36" si="10">L36+5*$E36</f>
        <v>112.23249999999999</v>
      </c>
      <c r="N36" s="519">
        <f t="shared" si="10"/>
        <v>122.11624999999998</v>
      </c>
      <c r="O36" s="519">
        <f>132*Unit.GW</f>
        <v>132</v>
      </c>
      <c r="P36" s="419"/>
    </row>
    <row r="37" spans="1:16">
      <c r="B37" s="155"/>
      <c r="C37" s="411">
        <v>4</v>
      </c>
      <c r="D37" s="65" t="s">
        <v>2401</v>
      </c>
      <c r="E37" s="3130">
        <f>(K37-H37)/15</f>
        <v>5.9388666666666667</v>
      </c>
      <c r="F37" s="519">
        <f>13.692*(Unit.GW)</f>
        <v>13.692</v>
      </c>
      <c r="G37" s="519">
        <f t="shared" si="9"/>
        <v>18.381</v>
      </c>
      <c r="H37" s="519">
        <f>G37+24.536*Unit.GW</f>
        <v>42.917000000000002</v>
      </c>
      <c r="I37" s="519">
        <f>H37+5*$E37</f>
        <v>72.611333333333334</v>
      </c>
      <c r="J37" s="519">
        <f t="shared" ref="J37" si="11">I37+5*$E37</f>
        <v>102.30566666666667</v>
      </c>
      <c r="K37" s="519">
        <f>132*Unit.GW</f>
        <v>132</v>
      </c>
      <c r="L37" s="519">
        <f>K37+5*$E37</f>
        <v>161.69433333333333</v>
      </c>
      <c r="M37" s="519">
        <f t="shared" ref="M37:O37" si="12">L37+5*$E37</f>
        <v>191.38866666666667</v>
      </c>
      <c r="N37" s="519">
        <f t="shared" si="12"/>
        <v>221.083</v>
      </c>
      <c r="O37" s="519">
        <f t="shared" si="12"/>
        <v>250.77733333333333</v>
      </c>
      <c r="P37" s="419"/>
    </row>
    <row r="38" spans="1:16">
      <c r="B38" s="155"/>
      <c r="C38" s="406" t="s">
        <v>406</v>
      </c>
      <c r="D38" s="407"/>
      <c r="E38" s="407"/>
      <c r="F38" s="717">
        <f t="shared" ref="F38:O38" si="13">(INDEX(F$34:F$37,ROUNDDOWN($E$8,0))*(1-MOD($E$8,1)))+(INDEX(F$34:F$37,ROUNDUP($E$8,0))*MOD($E$8,1))</f>
        <v>13.692</v>
      </c>
      <c r="G38" s="717">
        <f t="shared" si="13"/>
        <v>18.381</v>
      </c>
      <c r="H38" s="717">
        <f t="shared" si="13"/>
        <v>20.919</v>
      </c>
      <c r="I38" s="717">
        <f t="shared" si="13"/>
        <v>20.919</v>
      </c>
      <c r="J38" s="717">
        <f t="shared" si="13"/>
        <v>20.919</v>
      </c>
      <c r="K38" s="717">
        <f t="shared" si="13"/>
        <v>20.919</v>
      </c>
      <c r="L38" s="717">
        <f t="shared" si="13"/>
        <v>20.919</v>
      </c>
      <c r="M38" s="717">
        <f t="shared" si="13"/>
        <v>20.919</v>
      </c>
      <c r="N38" s="717">
        <f t="shared" si="13"/>
        <v>20.919</v>
      </c>
      <c r="O38" s="717">
        <f t="shared" si="13"/>
        <v>20.919</v>
      </c>
      <c r="P38" s="670"/>
    </row>
    <row r="39" spans="1:16">
      <c r="B39" s="155"/>
      <c r="C39" s="104"/>
      <c r="D39" s="105"/>
      <c r="E39" s="415"/>
      <c r="F39" s="415"/>
      <c r="G39" s="415"/>
      <c r="H39" s="415"/>
      <c r="I39" s="415"/>
      <c r="J39" s="415"/>
      <c r="K39" s="415"/>
      <c r="L39" s="415"/>
      <c r="M39" s="415"/>
      <c r="N39" s="415"/>
      <c r="O39" s="415"/>
      <c r="P39" s="419"/>
    </row>
    <row r="40" spans="1:16">
      <c r="B40" s="155"/>
      <c r="C40" s="104"/>
      <c r="D40" s="105"/>
      <c r="E40" s="415"/>
      <c r="F40" s="415"/>
      <c r="G40" s="415"/>
      <c r="H40" s="415"/>
      <c r="I40" s="415"/>
      <c r="J40" s="415"/>
      <c r="K40" s="415"/>
      <c r="L40" s="415"/>
      <c r="M40" s="415"/>
      <c r="N40" s="415"/>
      <c r="O40" s="415"/>
      <c r="P40" s="419"/>
    </row>
    <row r="41" spans="1:16">
      <c r="B41" s="155"/>
      <c r="C41" s="104"/>
      <c r="D41" s="105"/>
      <c r="E41" s="415"/>
      <c r="F41" s="415"/>
      <c r="G41" s="415"/>
      <c r="H41" s="415"/>
      <c r="I41" s="415"/>
      <c r="J41" s="415"/>
      <c r="K41" s="415"/>
      <c r="L41" s="415"/>
      <c r="M41" s="415"/>
      <c r="N41" s="415"/>
      <c r="O41" s="415"/>
      <c r="P41" s="419"/>
    </row>
    <row r="42" spans="1:16">
      <c r="B42" s="636"/>
      <c r="C42" s="157"/>
      <c r="D42" s="671"/>
      <c r="E42" s="157"/>
      <c r="F42" s="157"/>
      <c r="G42" s="157"/>
      <c r="H42" s="157"/>
      <c r="I42" s="157"/>
      <c r="J42" s="157"/>
      <c r="K42" s="157"/>
      <c r="L42" s="157"/>
      <c r="M42" s="157"/>
      <c r="N42" s="157"/>
      <c r="O42" s="157"/>
      <c r="P42" s="158"/>
    </row>
    <row r="44" spans="1:16" s="51" customFormat="1" ht="22.5">
      <c r="A44" s="162"/>
      <c r="B44" s="421" t="s">
        <v>265</v>
      </c>
      <c r="C44" s="159"/>
      <c r="D44" s="159"/>
      <c r="E44" s="159"/>
      <c r="F44" s="159"/>
      <c r="G44" s="159"/>
      <c r="H44" s="159"/>
      <c r="I44" s="159"/>
      <c r="J44" s="159"/>
      <c r="K44" s="159"/>
      <c r="L44" s="159"/>
      <c r="M44" s="159"/>
      <c r="N44" s="159"/>
      <c r="O44" s="159"/>
      <c r="P44" s="160"/>
    </row>
    <row r="45" spans="1:16">
      <c r="B45" s="418"/>
      <c r="C45" s="415"/>
      <c r="D45" s="415"/>
      <c r="E45" s="415"/>
      <c r="F45" s="415"/>
      <c r="G45" s="415"/>
      <c r="H45" s="415"/>
      <c r="I45" s="415"/>
      <c r="J45" s="415"/>
      <c r="K45" s="415"/>
      <c r="L45" s="415"/>
      <c r="M45" s="415"/>
      <c r="N45" s="415"/>
      <c r="O45" s="415"/>
      <c r="P45" s="419"/>
    </row>
    <row r="46" spans="1:16">
      <c r="B46" s="418"/>
      <c r="C46" s="416" t="s">
        <v>788</v>
      </c>
      <c r="D46" s="415"/>
      <c r="E46" s="415"/>
      <c r="F46" s="415"/>
      <c r="G46" s="104"/>
      <c r="H46" s="415"/>
      <c r="I46" s="415"/>
      <c r="J46" s="415"/>
      <c r="K46" s="415"/>
      <c r="L46" s="415"/>
      <c r="M46" s="415"/>
      <c r="N46" s="415"/>
      <c r="O46" s="104" t="s">
        <v>277</v>
      </c>
      <c r="P46" s="419"/>
    </row>
    <row r="47" spans="1:16" ht="6" customHeight="1">
      <c r="B47" s="418"/>
      <c r="C47" s="415"/>
      <c r="D47" s="415"/>
      <c r="E47" s="415"/>
      <c r="F47" s="415"/>
      <c r="G47" s="415"/>
      <c r="H47" s="415"/>
      <c r="I47" s="415"/>
      <c r="J47" s="415"/>
      <c r="K47" s="415"/>
      <c r="L47" s="415"/>
      <c r="M47" s="415"/>
      <c r="N47" s="415"/>
      <c r="O47" s="415"/>
      <c r="P47" s="419"/>
    </row>
    <row r="48" spans="1:16" ht="15.75">
      <c r="B48" s="152"/>
      <c r="C48" s="61"/>
      <c r="D48" s="61" t="s">
        <v>411</v>
      </c>
      <c r="E48" s="61" t="s">
        <v>156</v>
      </c>
      <c r="F48" s="119">
        <v>2007</v>
      </c>
      <c r="G48" s="120">
        <f>F48+5</f>
        <v>2012</v>
      </c>
      <c r="H48" s="120">
        <f t="shared" ref="H48:O48" si="14">G48+5</f>
        <v>2017</v>
      </c>
      <c r="I48" s="120">
        <f t="shared" si="14"/>
        <v>2022</v>
      </c>
      <c r="J48" s="120">
        <f t="shared" si="14"/>
        <v>2027</v>
      </c>
      <c r="K48" s="120">
        <f t="shared" si="14"/>
        <v>2032</v>
      </c>
      <c r="L48" s="120">
        <f t="shared" si="14"/>
        <v>2037</v>
      </c>
      <c r="M48" s="120">
        <f t="shared" si="14"/>
        <v>2042</v>
      </c>
      <c r="N48" s="120">
        <f t="shared" si="14"/>
        <v>2047</v>
      </c>
      <c r="O48" s="120">
        <f t="shared" si="14"/>
        <v>2052</v>
      </c>
      <c r="P48" s="419"/>
    </row>
    <row r="49" spans="2:32" s="19" customFormat="1" ht="15.75">
      <c r="B49" s="152"/>
      <c r="C49" s="69"/>
      <c r="D49" s="69">
        <v>1</v>
      </c>
      <c r="E49" s="69"/>
      <c r="F49" s="1416">
        <v>0.5333</v>
      </c>
      <c r="G49" s="1416">
        <v>0.59909999999999997</v>
      </c>
      <c r="H49" s="1416">
        <v>0.59909999999999997</v>
      </c>
      <c r="I49" s="1416">
        <v>0.59909999999999997</v>
      </c>
      <c r="J49" s="1416">
        <v>0.59909999999999997</v>
      </c>
      <c r="K49" s="1416">
        <v>0.59909999999999997</v>
      </c>
      <c r="L49" s="1416">
        <v>0.59909999999999997</v>
      </c>
      <c r="M49" s="1416">
        <v>0.59909999999999997</v>
      </c>
      <c r="N49" s="1416">
        <v>0.59909999999999997</v>
      </c>
      <c r="O49" s="1416">
        <v>0.59909999999999997</v>
      </c>
      <c r="P49" s="1417"/>
    </row>
    <row r="50" spans="2:32" s="19" customFormat="1" ht="15.75">
      <c r="B50" s="152"/>
      <c r="C50" s="69"/>
      <c r="D50" s="69">
        <v>2</v>
      </c>
      <c r="E50" s="69"/>
      <c r="F50" s="1416">
        <v>0.5333</v>
      </c>
      <c r="G50" s="1416">
        <v>0.59909999999999997</v>
      </c>
      <c r="H50" s="1416">
        <v>0.59909999999999997</v>
      </c>
      <c r="I50" s="1416">
        <v>0.59909999999999997</v>
      </c>
      <c r="J50" s="1416">
        <v>0.59909999999999997</v>
      </c>
      <c r="K50" s="1416">
        <v>0.59909999999999997</v>
      </c>
      <c r="L50" s="1416">
        <v>0.59909999999999997</v>
      </c>
      <c r="M50" s="1416">
        <v>0.59909999999999997</v>
      </c>
      <c r="N50" s="1416">
        <v>0.59909999999999997</v>
      </c>
      <c r="O50" s="1416">
        <v>0.59909999999999997</v>
      </c>
      <c r="P50" s="1417"/>
    </row>
    <row r="51" spans="2:32" s="19" customFormat="1" ht="15.75">
      <c r="B51" s="152"/>
      <c r="C51" s="69"/>
      <c r="D51" s="69">
        <v>3</v>
      </c>
      <c r="E51" s="69"/>
      <c r="F51" s="1416">
        <v>0.5333</v>
      </c>
      <c r="G51" s="1416">
        <v>0.59909999999999997</v>
      </c>
      <c r="H51" s="1416">
        <v>0.59909999999999997</v>
      </c>
      <c r="I51" s="1416">
        <v>0.59909999999999997</v>
      </c>
      <c r="J51" s="1416">
        <v>0.59909999999999997</v>
      </c>
      <c r="K51" s="1416">
        <v>0.59909999999999997</v>
      </c>
      <c r="L51" s="1416">
        <v>0.59909999999999997</v>
      </c>
      <c r="M51" s="1416">
        <v>0.59909999999999997</v>
      </c>
      <c r="N51" s="1416">
        <v>0.59909999999999997</v>
      </c>
      <c r="O51" s="1416">
        <v>0.59909999999999997</v>
      </c>
      <c r="P51" s="1417"/>
    </row>
    <row r="52" spans="2:32" s="19" customFormat="1" ht="15.75">
      <c r="B52" s="152"/>
      <c r="C52" s="69"/>
      <c r="D52" s="69">
        <v>4</v>
      </c>
      <c r="E52" s="69"/>
      <c r="F52" s="1416">
        <v>0.5333</v>
      </c>
      <c r="G52" s="1416">
        <v>0.59909999999999997</v>
      </c>
      <c r="H52" s="1416">
        <v>0.59909999999999997</v>
      </c>
      <c r="I52" s="1416">
        <v>0.59909999999999997</v>
      </c>
      <c r="J52" s="1416">
        <v>0.59909999999999997</v>
      </c>
      <c r="K52" s="1416">
        <v>0.59909999999999997</v>
      </c>
      <c r="L52" s="1416">
        <v>0.59909999999999997</v>
      </c>
      <c r="M52" s="1416">
        <v>0.59909999999999997</v>
      </c>
      <c r="N52" s="1416">
        <v>0.59909999999999997</v>
      </c>
      <c r="O52" s="1416">
        <v>0.59909999999999997</v>
      </c>
      <c r="P52" s="1417"/>
    </row>
    <row r="53" spans="2:32" s="131" customFormat="1" ht="15.75">
      <c r="B53" s="1613"/>
      <c r="C53" s="2729"/>
      <c r="D53" s="2729" t="s">
        <v>788</v>
      </c>
      <c r="E53" s="2729"/>
      <c r="F53" s="2428">
        <f>(INDEX(F49:F52,ROUNDDOWN($E$8,0))*(1-MOD($E$8,1)))+(INDEX(F49:F52,ROUNDUP($E$8,0))*MOD($E$8,1))</f>
        <v>0.5333</v>
      </c>
      <c r="G53" s="2428">
        <v>0.59950000000000003</v>
      </c>
      <c r="H53" s="2428">
        <f t="shared" ref="H53:O53" si="15">(INDEX(H49:H52,ROUNDDOWN($E$8,0))*(1-MOD($E$8,1)))+(INDEX(H49:H52,ROUNDUP($E$8,0))*MOD($E$8,1))</f>
        <v>0.59909999999999997</v>
      </c>
      <c r="I53" s="2428">
        <f t="shared" si="15"/>
        <v>0.59909999999999997</v>
      </c>
      <c r="J53" s="2428">
        <f t="shared" si="15"/>
        <v>0.59909999999999997</v>
      </c>
      <c r="K53" s="2428">
        <f t="shared" si="15"/>
        <v>0.59909999999999997</v>
      </c>
      <c r="L53" s="2428">
        <f t="shared" si="15"/>
        <v>0.59909999999999997</v>
      </c>
      <c r="M53" s="2428">
        <f t="shared" si="15"/>
        <v>0.59909999999999997</v>
      </c>
      <c r="N53" s="2428">
        <f t="shared" si="15"/>
        <v>0.59909999999999997</v>
      </c>
      <c r="O53" s="2428">
        <f t="shared" si="15"/>
        <v>0.59909999999999997</v>
      </c>
      <c r="P53" s="1614"/>
    </row>
    <row r="54" spans="2:32">
      <c r="B54" s="418"/>
      <c r="C54" s="415"/>
      <c r="D54" s="415"/>
      <c r="E54" s="415"/>
      <c r="F54" s="415"/>
      <c r="G54" s="415"/>
      <c r="H54" s="415"/>
      <c r="I54" s="415"/>
      <c r="J54" s="415"/>
      <c r="K54" s="415"/>
      <c r="L54" s="415"/>
      <c r="M54" s="415"/>
      <c r="N54" s="415"/>
      <c r="O54" s="415"/>
      <c r="P54" s="419"/>
    </row>
    <row r="55" spans="2:32">
      <c r="B55" s="418"/>
      <c r="C55" s="416" t="s">
        <v>850</v>
      </c>
      <c r="D55" s="415"/>
      <c r="E55" s="104"/>
      <c r="F55" s="415"/>
      <c r="G55" s="415"/>
      <c r="H55" s="415"/>
      <c r="I55" s="415"/>
      <c r="J55" s="415"/>
      <c r="K55" s="415"/>
      <c r="L55" s="415"/>
      <c r="M55" s="415"/>
      <c r="N55" s="415"/>
      <c r="O55" s="104" t="s">
        <v>277</v>
      </c>
      <c r="P55" s="419"/>
    </row>
    <row r="56" spans="2:32" ht="5.25" customHeight="1">
      <c r="B56" s="418"/>
      <c r="C56" s="415"/>
      <c r="D56" s="415"/>
      <c r="E56" s="415"/>
      <c r="F56" s="415"/>
      <c r="G56" s="415"/>
      <c r="H56" s="415"/>
      <c r="I56" s="415"/>
      <c r="J56" s="415"/>
      <c r="K56" s="415"/>
      <c r="L56" s="415"/>
      <c r="M56" s="415"/>
      <c r="N56" s="415"/>
      <c r="O56" s="415"/>
      <c r="P56" s="419"/>
    </row>
    <row r="57" spans="2:32" ht="15.75">
      <c r="B57" s="152"/>
      <c r="C57" s="61"/>
      <c r="D57" s="61"/>
      <c r="E57" s="61" t="s">
        <v>156</v>
      </c>
      <c r="F57" s="119">
        <v>2007</v>
      </c>
      <c r="G57" s="120">
        <f>F57+5</f>
        <v>2012</v>
      </c>
      <c r="H57" s="120">
        <f t="shared" ref="H57:O57" si="16">G57+5</f>
        <v>2017</v>
      </c>
      <c r="I57" s="120">
        <f t="shared" si="16"/>
        <v>2022</v>
      </c>
      <c r="J57" s="120">
        <f t="shared" si="16"/>
        <v>2027</v>
      </c>
      <c r="K57" s="120">
        <f t="shared" si="16"/>
        <v>2032</v>
      </c>
      <c r="L57" s="120">
        <f t="shared" si="16"/>
        <v>2037</v>
      </c>
      <c r="M57" s="120">
        <f t="shared" si="16"/>
        <v>2042</v>
      </c>
      <c r="N57" s="120">
        <f t="shared" si="16"/>
        <v>2047</v>
      </c>
      <c r="O57" s="120">
        <f t="shared" si="16"/>
        <v>2052</v>
      </c>
      <c r="P57" s="419"/>
    </row>
    <row r="58" spans="2:32" s="51" customFormat="1" ht="15.75">
      <c r="B58" s="153"/>
      <c r="C58" s="78"/>
      <c r="D58" s="79" t="s">
        <v>895</v>
      </c>
      <c r="E58" s="79"/>
      <c r="F58" s="236">
        <v>0.6</v>
      </c>
      <c r="G58" s="236">
        <v>0.6</v>
      </c>
      <c r="H58" s="236">
        <v>0.6</v>
      </c>
      <c r="I58" s="236">
        <v>0.6</v>
      </c>
      <c r="J58" s="236">
        <v>0.6</v>
      </c>
      <c r="K58" s="236">
        <v>0.6</v>
      </c>
      <c r="L58" s="236">
        <v>0.6</v>
      </c>
      <c r="M58" s="236">
        <v>0.6</v>
      </c>
      <c r="N58" s="236">
        <v>0.6</v>
      </c>
      <c r="O58" s="236">
        <v>0.6</v>
      </c>
      <c r="P58" s="154"/>
    </row>
    <row r="59" spans="2:32" s="51" customFormat="1" ht="15.75">
      <c r="B59" s="153"/>
      <c r="C59" s="413"/>
      <c r="D59" s="414"/>
      <c r="E59" s="414"/>
      <c r="F59" s="613"/>
      <c r="G59" s="613"/>
      <c r="H59" s="613"/>
      <c r="I59" s="613"/>
      <c r="J59" s="613"/>
      <c r="K59" s="613"/>
      <c r="L59" s="613"/>
      <c r="M59" s="613"/>
      <c r="N59" s="613"/>
      <c r="O59" s="613"/>
      <c r="P59" s="154"/>
    </row>
    <row r="60" spans="2:32" s="51" customFormat="1" ht="15.75">
      <c r="B60" s="153"/>
      <c r="C60" s="413"/>
      <c r="D60" s="414"/>
      <c r="E60" s="674"/>
      <c r="F60" s="613"/>
      <c r="G60" s="613"/>
      <c r="H60" s="613"/>
      <c r="I60" s="613"/>
      <c r="J60" s="613"/>
      <c r="K60" s="613"/>
      <c r="L60" s="613"/>
      <c r="M60" s="613"/>
      <c r="N60" s="613"/>
      <c r="O60" s="613"/>
      <c r="P60" s="154"/>
    </row>
    <row r="61" spans="2:32">
      <c r="B61" s="155"/>
      <c r="C61" s="415"/>
      <c r="D61" s="105"/>
      <c r="E61" s="415"/>
      <c r="F61" s="415"/>
      <c r="G61" s="415"/>
      <c r="H61" s="415"/>
      <c r="I61" s="415"/>
      <c r="J61" s="415"/>
      <c r="K61" s="415"/>
      <c r="L61" s="415"/>
      <c r="M61" s="415"/>
      <c r="N61" s="415"/>
      <c r="O61" s="415"/>
      <c r="P61" s="419"/>
    </row>
    <row r="63" spans="2:32" ht="15.75" customHeight="1">
      <c r="B63" s="242"/>
      <c r="C63" s="721"/>
      <c r="D63" s="718"/>
      <c r="E63" s="1421"/>
      <c r="F63" s="440"/>
      <c r="G63" s="440"/>
      <c r="H63" s="440"/>
      <c r="I63" s="440"/>
      <c r="J63" s="440"/>
      <c r="K63" s="440"/>
      <c r="L63" s="440"/>
      <c r="M63" s="440"/>
      <c r="N63" s="440"/>
      <c r="O63" s="440"/>
      <c r="P63" s="242"/>
      <c r="R63" s="646"/>
      <c r="S63" s="620"/>
      <c r="T63" s="723"/>
      <c r="U63" s="724"/>
      <c r="V63" s="724"/>
      <c r="W63" s="725"/>
      <c r="X63" s="723"/>
      <c r="Y63" s="723"/>
      <c r="Z63" s="723"/>
      <c r="AA63" s="723"/>
      <c r="AB63" s="723"/>
      <c r="AC63" s="723"/>
      <c r="AD63" s="723"/>
      <c r="AE63" s="723"/>
      <c r="AF63" s="726"/>
    </row>
    <row r="64" spans="2:32" ht="15.75" customHeight="1">
      <c r="B64" s="421" t="s">
        <v>711</v>
      </c>
      <c r="C64" s="159"/>
      <c r="D64" s="159"/>
      <c r="E64" s="159"/>
      <c r="F64" s="159"/>
      <c r="G64" s="159"/>
      <c r="H64" s="159"/>
      <c r="I64" s="159"/>
      <c r="J64" s="159"/>
      <c r="K64" s="159"/>
      <c r="L64" s="159"/>
      <c r="M64" s="159"/>
      <c r="N64" s="159"/>
      <c r="O64" s="159"/>
      <c r="P64" s="160"/>
      <c r="R64" s="646"/>
      <c r="S64" s="620"/>
      <c r="T64" s="723"/>
      <c r="U64" s="724"/>
      <c r="V64" s="724"/>
      <c r="W64" s="725"/>
      <c r="X64" s="723"/>
      <c r="Y64" s="723"/>
      <c r="Z64" s="723"/>
      <c r="AA64" s="723"/>
      <c r="AB64" s="723"/>
      <c r="AC64" s="723"/>
      <c r="AD64" s="723"/>
      <c r="AE64" s="723"/>
      <c r="AF64" s="726"/>
    </row>
    <row r="65" spans="2:32" ht="15.75" customHeight="1">
      <c r="B65" s="418"/>
      <c r="C65" s="415"/>
      <c r="D65" s="415"/>
      <c r="E65" s="415"/>
      <c r="F65" s="415"/>
      <c r="G65" s="415"/>
      <c r="H65" s="415"/>
      <c r="I65" s="415"/>
      <c r="J65" s="415"/>
      <c r="K65" s="415"/>
      <c r="L65" s="415"/>
      <c r="M65" s="415"/>
      <c r="N65" s="415"/>
      <c r="O65" s="415"/>
      <c r="P65" s="419"/>
      <c r="R65" s="646"/>
      <c r="S65" s="620"/>
      <c r="T65" s="723"/>
      <c r="U65" s="724"/>
      <c r="V65" s="724"/>
      <c r="W65" s="725"/>
      <c r="X65" s="723"/>
      <c r="Y65" s="723"/>
      <c r="Z65" s="723"/>
      <c r="AA65" s="723"/>
      <c r="AB65" s="723"/>
      <c r="AC65" s="723"/>
      <c r="AD65" s="723"/>
      <c r="AE65" s="723"/>
      <c r="AF65" s="726"/>
    </row>
    <row r="66" spans="2:32" ht="15.75" customHeight="1">
      <c r="B66" s="418"/>
      <c r="C66" s="1422" t="str">
        <f>"Land requirement of a 1 "&amp;Preferences.PowerUnits&amp;" Gas Turbine Plant"</f>
        <v>Land requirement of a 1 GW Gas Turbine Plant</v>
      </c>
      <c r="D66" s="69"/>
      <c r="E66" s="415"/>
      <c r="F66" s="415"/>
      <c r="G66" s="104"/>
      <c r="H66" s="415"/>
      <c r="I66" s="415"/>
      <c r="J66" s="415"/>
      <c r="K66" s="415"/>
      <c r="L66" s="415"/>
      <c r="M66" s="415"/>
      <c r="N66" s="415"/>
      <c r="O66" s="415"/>
      <c r="P66" s="419"/>
      <c r="R66" s="646"/>
      <c r="S66" s="620"/>
      <c r="T66" s="723"/>
      <c r="U66" s="724"/>
      <c r="V66" s="724"/>
      <c r="W66" s="725"/>
      <c r="X66" s="723"/>
      <c r="Y66" s="723"/>
      <c r="Z66" s="723"/>
      <c r="AA66" s="723"/>
      <c r="AB66" s="723"/>
      <c r="AC66" s="723"/>
      <c r="AD66" s="723"/>
      <c r="AE66" s="723"/>
      <c r="AF66" s="726"/>
    </row>
    <row r="67" spans="2:32" ht="15.75" customHeight="1">
      <c r="B67" s="418"/>
      <c r="C67" s="415"/>
      <c r="D67" s="415"/>
      <c r="E67" s="415"/>
      <c r="F67" s="415"/>
      <c r="G67" s="415"/>
      <c r="H67" s="415"/>
      <c r="I67" s="415"/>
      <c r="J67" s="415"/>
      <c r="K67" s="415"/>
      <c r="L67" s="415"/>
      <c r="M67" s="415"/>
      <c r="N67" s="415"/>
      <c r="O67" s="361" t="str">
        <f>Preferences.AreaUnits&amp;"/"&amp;Preferences.PowerUnits</f>
        <v>ha/GW</v>
      </c>
      <c r="P67" s="419"/>
      <c r="R67" s="646"/>
      <c r="S67" s="620"/>
      <c r="T67" s="723"/>
      <c r="U67" s="724"/>
      <c r="V67" s="724"/>
      <c r="W67" s="725"/>
      <c r="X67" s="723"/>
      <c r="Y67" s="723"/>
      <c r="Z67" s="723"/>
      <c r="AA67" s="723"/>
      <c r="AB67" s="723"/>
      <c r="AC67" s="723"/>
      <c r="AD67" s="723"/>
      <c r="AE67" s="723"/>
      <c r="AF67" s="726"/>
    </row>
    <row r="68" spans="2:32" ht="18" customHeight="1">
      <c r="B68" s="152"/>
      <c r="C68" s="61"/>
      <c r="D68" s="61"/>
      <c r="E68" s="61"/>
      <c r="F68" s="119">
        <v>2007</v>
      </c>
      <c r="G68" s="120">
        <f>F68+5</f>
        <v>2012</v>
      </c>
      <c r="H68" s="120">
        <f t="shared" ref="H68:O68" si="17">G68+5</f>
        <v>2017</v>
      </c>
      <c r="I68" s="120">
        <f t="shared" si="17"/>
        <v>2022</v>
      </c>
      <c r="J68" s="120">
        <f t="shared" si="17"/>
        <v>2027</v>
      </c>
      <c r="K68" s="120">
        <f t="shared" si="17"/>
        <v>2032</v>
      </c>
      <c r="L68" s="120">
        <f t="shared" si="17"/>
        <v>2037</v>
      </c>
      <c r="M68" s="120">
        <f t="shared" si="17"/>
        <v>2042</v>
      </c>
      <c r="N68" s="120">
        <f t="shared" si="17"/>
        <v>2047</v>
      </c>
      <c r="O68" s="120">
        <f t="shared" si="17"/>
        <v>2052</v>
      </c>
      <c r="P68" s="419"/>
      <c r="R68" s="646"/>
      <c r="S68" s="620"/>
      <c r="T68" s="723"/>
      <c r="U68" s="724"/>
      <c r="V68" s="724"/>
      <c r="W68" s="725"/>
      <c r="X68" s="723"/>
      <c r="Y68" s="723"/>
      <c r="Z68" s="723"/>
      <c r="AA68" s="723"/>
      <c r="AB68" s="723"/>
      <c r="AC68" s="723"/>
      <c r="AD68" s="723"/>
      <c r="AE68" s="723"/>
      <c r="AF68" s="726"/>
    </row>
    <row r="69" spans="2:32" s="1617" customFormat="1" ht="27.75" customHeight="1">
      <c r="B69" s="2627"/>
      <c r="C69" s="2628"/>
      <c r="D69" s="2629" t="s">
        <v>852</v>
      </c>
      <c r="E69" s="2630" t="str">
        <f>Preferences.AreaUnits&amp;"/"&amp;Preferences.PowerUnits</f>
        <v>ha/GW</v>
      </c>
      <c r="F69" s="669">
        <f t="shared" ref="F69:O69" si="18">(0.11)*(Unit.acre/Unit.MW)</f>
        <v>44.515420646400003</v>
      </c>
      <c r="G69" s="669">
        <f t="shared" si="18"/>
        <v>44.515420646400003</v>
      </c>
      <c r="H69" s="669">
        <f t="shared" si="18"/>
        <v>44.515420646400003</v>
      </c>
      <c r="I69" s="669">
        <f t="shared" si="18"/>
        <v>44.515420646400003</v>
      </c>
      <c r="J69" s="669">
        <f t="shared" si="18"/>
        <v>44.515420646400003</v>
      </c>
      <c r="K69" s="669">
        <f t="shared" si="18"/>
        <v>44.515420646400003</v>
      </c>
      <c r="L69" s="669">
        <f t="shared" si="18"/>
        <v>44.515420646400003</v>
      </c>
      <c r="M69" s="669">
        <f t="shared" si="18"/>
        <v>44.515420646400003</v>
      </c>
      <c r="N69" s="669">
        <f t="shared" si="18"/>
        <v>44.515420646400003</v>
      </c>
      <c r="O69" s="669">
        <f t="shared" si="18"/>
        <v>44.515420646400003</v>
      </c>
      <c r="P69" s="669"/>
      <c r="R69" s="2631"/>
      <c r="S69" s="2632"/>
      <c r="T69" s="2633"/>
      <c r="U69" s="2634"/>
      <c r="V69" s="2634"/>
      <c r="W69" s="2633"/>
      <c r="X69" s="2633"/>
      <c r="Y69" s="2633"/>
      <c r="Z69" s="2633"/>
      <c r="AA69" s="2633"/>
      <c r="AB69" s="2633"/>
      <c r="AC69" s="2633"/>
      <c r="AD69" s="2633"/>
      <c r="AE69" s="2633"/>
      <c r="AF69" s="2635"/>
    </row>
    <row r="70" spans="2:32" s="1617" customFormat="1" ht="24" customHeight="1">
      <c r="B70" s="2636"/>
      <c r="C70" s="2637"/>
      <c r="D70" s="2638" t="s">
        <v>853</v>
      </c>
      <c r="E70" s="2630" t="str">
        <f>Preferences.AreaUnits&amp;"/"&amp;Preferences.PowerUnits</f>
        <v>ha/GW</v>
      </c>
      <c r="F70" s="669">
        <f t="shared" ref="F70:O70" si="19">(0.07)*(Unit.acre/Unit.MW)</f>
        <v>28.327994956800005</v>
      </c>
      <c r="G70" s="669">
        <f t="shared" si="19"/>
        <v>28.327994956800005</v>
      </c>
      <c r="H70" s="669">
        <f t="shared" si="19"/>
        <v>28.327994956800005</v>
      </c>
      <c r="I70" s="669">
        <f t="shared" si="19"/>
        <v>28.327994956800005</v>
      </c>
      <c r="J70" s="669">
        <f t="shared" si="19"/>
        <v>28.327994956800005</v>
      </c>
      <c r="K70" s="669">
        <f t="shared" si="19"/>
        <v>28.327994956800005</v>
      </c>
      <c r="L70" s="669">
        <f t="shared" si="19"/>
        <v>28.327994956800005</v>
      </c>
      <c r="M70" s="669">
        <f t="shared" si="19"/>
        <v>28.327994956800005</v>
      </c>
      <c r="N70" s="669">
        <f t="shared" si="19"/>
        <v>28.327994956800005</v>
      </c>
      <c r="O70" s="669">
        <f t="shared" si="19"/>
        <v>28.327994956800005</v>
      </c>
      <c r="P70" s="669"/>
      <c r="R70" s="2631"/>
      <c r="S70" s="2632"/>
      <c r="T70" s="2633"/>
      <c r="U70" s="2634"/>
      <c r="V70" s="2634"/>
      <c r="W70" s="2633"/>
      <c r="X70" s="2633"/>
      <c r="Y70" s="2633"/>
      <c r="Z70" s="2633"/>
      <c r="AA70" s="2633"/>
      <c r="AB70" s="2633"/>
      <c r="AC70" s="2633"/>
      <c r="AD70" s="2633"/>
      <c r="AE70" s="2633"/>
      <c r="AF70" s="2635"/>
    </row>
    <row r="71" spans="2:32" ht="15.75" customHeight="1">
      <c r="B71" s="402"/>
      <c r="C71" s="402"/>
      <c r="D71" s="415"/>
      <c r="E71" s="264"/>
      <c r="F71" s="415"/>
      <c r="G71" s="415"/>
      <c r="H71" s="415"/>
      <c r="I71" s="415"/>
      <c r="J71" s="444"/>
      <c r="K71" s="444"/>
      <c r="L71" s="402"/>
      <c r="M71" s="402"/>
      <c r="N71" s="402"/>
      <c r="O71" s="402"/>
      <c r="P71" s="402"/>
      <c r="R71" s="646"/>
      <c r="S71" s="620"/>
      <c r="T71" s="723"/>
      <c r="U71" s="724"/>
      <c r="V71" s="724"/>
      <c r="W71" s="725"/>
      <c r="X71" s="723"/>
      <c r="Y71" s="723"/>
      <c r="Z71" s="723"/>
      <c r="AA71" s="723"/>
      <c r="AB71" s="723"/>
      <c r="AC71" s="723"/>
      <c r="AD71" s="723"/>
      <c r="AE71" s="723"/>
      <c r="AF71" s="726"/>
    </row>
    <row r="72" spans="2:32" ht="15.75" customHeight="1">
      <c r="B72" s="402"/>
      <c r="C72" s="402"/>
      <c r="D72" s="415"/>
      <c r="E72" s="264"/>
      <c r="F72" s="415"/>
      <c r="G72" s="415"/>
      <c r="H72" s="415"/>
      <c r="I72" s="415"/>
      <c r="J72" s="444"/>
      <c r="K72" s="444"/>
      <c r="L72" s="402"/>
      <c r="M72" s="402"/>
      <c r="N72" s="402"/>
      <c r="O72" s="402"/>
      <c r="P72" s="402"/>
      <c r="R72" s="646"/>
      <c r="S72" s="620"/>
      <c r="T72" s="723"/>
      <c r="U72" s="724"/>
      <c r="V72" s="724"/>
      <c r="W72" s="725"/>
      <c r="X72" s="723"/>
      <c r="Y72" s="723"/>
      <c r="Z72" s="723"/>
      <c r="AA72" s="723"/>
      <c r="AB72" s="723"/>
      <c r="AC72" s="723"/>
      <c r="AD72" s="723"/>
      <c r="AE72" s="723"/>
      <c r="AF72" s="726"/>
    </row>
    <row r="73" spans="2:32" ht="11.25" customHeight="1">
      <c r="B73" s="727"/>
      <c r="C73" s="620"/>
      <c r="D73" s="723"/>
      <c r="E73" s="724"/>
      <c r="F73" s="724"/>
      <c r="G73" s="725"/>
      <c r="H73" s="723"/>
      <c r="I73" s="723"/>
      <c r="J73" s="723"/>
      <c r="K73" s="723"/>
      <c r="L73" s="723"/>
      <c r="M73" s="723"/>
      <c r="N73" s="728"/>
      <c r="O73" s="728"/>
      <c r="P73" s="729"/>
      <c r="R73" s="646"/>
      <c r="S73" s="620"/>
      <c r="T73" s="723"/>
      <c r="U73" s="724"/>
      <c r="V73" s="724"/>
      <c r="W73" s="725"/>
      <c r="X73" s="723"/>
      <c r="Y73" s="723"/>
      <c r="Z73" s="723"/>
      <c r="AA73" s="723"/>
      <c r="AB73" s="723"/>
      <c r="AC73" s="723"/>
      <c r="AD73" s="723"/>
      <c r="AE73" s="723"/>
      <c r="AF73" s="726"/>
    </row>
    <row r="74" spans="2:32" ht="15.75">
      <c r="B74" s="421" t="s">
        <v>270</v>
      </c>
      <c r="C74" s="159"/>
      <c r="D74" s="159"/>
      <c r="E74" s="159"/>
      <c r="F74" s="159"/>
      <c r="G74" s="159"/>
      <c r="H74" s="159"/>
      <c r="I74" s="159"/>
      <c r="J74" s="159"/>
      <c r="K74" s="159"/>
      <c r="L74" s="159"/>
      <c r="M74" s="159"/>
      <c r="N74" s="159"/>
      <c r="O74" s="159"/>
      <c r="P74" s="160"/>
      <c r="R74" s="35"/>
      <c r="S74" s="35"/>
      <c r="T74" s="35"/>
      <c r="U74" s="511"/>
      <c r="V74" s="511"/>
      <c r="W74" s="35"/>
      <c r="X74" s="35"/>
      <c r="Y74" s="35"/>
      <c r="Z74" s="35"/>
      <c r="AA74" s="35"/>
      <c r="AB74" s="35"/>
      <c r="AC74" s="35"/>
      <c r="AD74" s="35"/>
      <c r="AE74" s="35"/>
      <c r="AF74" s="35"/>
    </row>
    <row r="75" spans="2:32">
      <c r="B75" s="418"/>
      <c r="C75" s="415"/>
      <c r="D75" s="415"/>
      <c r="E75" s="415"/>
      <c r="F75" s="415"/>
      <c r="G75" s="415"/>
      <c r="H75" s="415"/>
      <c r="I75" s="415"/>
      <c r="J75" s="415"/>
      <c r="K75" s="415"/>
      <c r="L75" s="415"/>
      <c r="M75" s="415"/>
      <c r="N75" s="415"/>
      <c r="O75" s="415"/>
      <c r="P75" s="419"/>
      <c r="R75" s="646"/>
      <c r="S75" s="710"/>
      <c r="T75" s="710"/>
      <c r="U75" s="711"/>
      <c r="V75" s="712"/>
      <c r="W75" s="712"/>
      <c r="X75" s="713"/>
      <c r="Y75" s="646"/>
      <c r="Z75" s="646"/>
      <c r="AA75" s="646"/>
      <c r="AB75" s="646"/>
      <c r="AC75" s="646"/>
      <c r="AD75" s="646"/>
      <c r="AE75" s="646"/>
      <c r="AF75" s="35"/>
    </row>
    <row r="76" spans="2:32">
      <c r="B76" s="418"/>
      <c r="C76" s="416" t="s">
        <v>793</v>
      </c>
      <c r="D76" s="415"/>
      <c r="E76" s="104"/>
      <c r="F76" s="415"/>
      <c r="G76" s="415"/>
      <c r="H76" s="415"/>
      <c r="I76" s="415"/>
      <c r="J76" s="415"/>
      <c r="K76" s="415"/>
      <c r="L76" s="415"/>
      <c r="M76" s="415"/>
      <c r="N76" s="415"/>
      <c r="O76" s="104" t="str">
        <f>Preferences.PowerUnits</f>
        <v>GW</v>
      </c>
      <c r="P76" s="419"/>
      <c r="R76" s="646"/>
      <c r="S76" s="710"/>
      <c r="T76" s="730"/>
      <c r="U76" s="731"/>
      <c r="V76" s="732"/>
      <c r="W76" s="732"/>
      <c r="X76" s="713"/>
      <c r="Y76" s="646"/>
      <c r="Z76" s="646"/>
      <c r="AA76" s="646"/>
      <c r="AB76" s="646"/>
      <c r="AC76" s="646"/>
      <c r="AD76" s="646"/>
      <c r="AE76" s="646"/>
      <c r="AF76" s="35"/>
    </row>
    <row r="77" spans="2:32">
      <c r="B77" s="418"/>
      <c r="C77" s="415"/>
      <c r="D77" s="415"/>
      <c r="E77" s="415"/>
      <c r="F77" s="415"/>
      <c r="G77" s="415"/>
      <c r="H77" s="415"/>
      <c r="I77" s="415"/>
      <c r="J77" s="415"/>
      <c r="K77" s="415"/>
      <c r="L77" s="415"/>
      <c r="M77" s="415"/>
      <c r="N77" s="415"/>
      <c r="O77" s="415"/>
      <c r="P77" s="419"/>
      <c r="R77" s="646">
        <f>Unit.year</f>
        <v>31557600</v>
      </c>
      <c r="S77" s="733"/>
      <c r="T77" s="730"/>
      <c r="U77" s="731"/>
      <c r="V77" s="732"/>
      <c r="W77" s="732"/>
      <c r="X77" s="734"/>
      <c r="Y77" s="646"/>
      <c r="Z77" s="646"/>
      <c r="AA77" s="646"/>
      <c r="AB77" s="646"/>
      <c r="AC77" s="646"/>
      <c r="AD77" s="646"/>
      <c r="AE77" s="646"/>
      <c r="AF77" s="35"/>
    </row>
    <row r="78" spans="2:32" ht="15.75">
      <c r="B78" s="152"/>
      <c r="C78" s="61" t="s">
        <v>227</v>
      </c>
      <c r="D78" s="61" t="s">
        <v>65</v>
      </c>
      <c r="E78" s="61" t="s">
        <v>156</v>
      </c>
      <c r="F78" s="119">
        <v>2007</v>
      </c>
      <c r="G78" s="120">
        <f>F78+5</f>
        <v>2012</v>
      </c>
      <c r="H78" s="120">
        <f t="shared" ref="H78:O78" si="20">G78+5</f>
        <v>2017</v>
      </c>
      <c r="I78" s="120">
        <f t="shared" si="20"/>
        <v>2022</v>
      </c>
      <c r="J78" s="120">
        <f t="shared" si="20"/>
        <v>2027</v>
      </c>
      <c r="K78" s="120">
        <f t="shared" si="20"/>
        <v>2032</v>
      </c>
      <c r="L78" s="120">
        <f t="shared" si="20"/>
        <v>2037</v>
      </c>
      <c r="M78" s="120">
        <f t="shared" si="20"/>
        <v>2042</v>
      </c>
      <c r="N78" s="120">
        <f t="shared" si="20"/>
        <v>2047</v>
      </c>
      <c r="O78" s="120">
        <f t="shared" si="20"/>
        <v>2052</v>
      </c>
      <c r="P78" s="419"/>
      <c r="R78" s="646"/>
      <c r="S78" s="733"/>
      <c r="T78" s="730"/>
      <c r="U78" s="731"/>
      <c r="V78" s="732"/>
      <c r="W78" s="732"/>
      <c r="X78" s="734"/>
      <c r="Y78" s="646"/>
      <c r="Z78" s="646"/>
      <c r="AA78" s="646"/>
      <c r="AB78" s="646"/>
      <c r="AC78" s="646"/>
      <c r="AD78" s="646"/>
      <c r="AE78" s="646"/>
      <c r="AF78" s="35"/>
    </row>
    <row r="79" spans="2:32" ht="15.75">
      <c r="B79" s="153"/>
      <c r="C79" s="78" t="s">
        <v>39</v>
      </c>
      <c r="D79" s="79" t="str">
        <f>INDEX(Vectors[Description], MATCH($C79, Vectors[Code], 0))</f>
        <v>Gaseous hydrocarbons</v>
      </c>
      <c r="E79" s="79"/>
      <c r="F79" s="635">
        <f>F38</f>
        <v>13.692</v>
      </c>
      <c r="G79" s="635">
        <f t="shared" ref="G79:O79" si="21">G38</f>
        <v>18.381</v>
      </c>
      <c r="H79" s="635">
        <f t="shared" si="21"/>
        <v>20.919</v>
      </c>
      <c r="I79" s="635">
        <f t="shared" si="21"/>
        <v>20.919</v>
      </c>
      <c r="J79" s="635">
        <f t="shared" si="21"/>
        <v>20.919</v>
      </c>
      <c r="K79" s="635">
        <f t="shared" si="21"/>
        <v>20.919</v>
      </c>
      <c r="L79" s="635">
        <f t="shared" si="21"/>
        <v>20.919</v>
      </c>
      <c r="M79" s="635">
        <f t="shared" si="21"/>
        <v>20.919</v>
      </c>
      <c r="N79" s="635">
        <f t="shared" si="21"/>
        <v>20.919</v>
      </c>
      <c r="O79" s="635">
        <f t="shared" si="21"/>
        <v>20.919</v>
      </c>
      <c r="P79" s="154"/>
      <c r="R79" s="646">
        <f>68000/(18*R77)</f>
        <v>1.1971055396410937E-4</v>
      </c>
      <c r="S79" s="620"/>
      <c r="T79" s="730"/>
      <c r="U79" s="731"/>
      <c r="V79" s="732"/>
      <c r="W79" s="732"/>
      <c r="X79" s="734"/>
      <c r="Y79" s="646"/>
      <c r="Z79" s="646"/>
      <c r="AA79" s="646"/>
      <c r="AB79" s="646"/>
      <c r="AC79" s="646"/>
      <c r="AD79" s="646"/>
      <c r="AE79" s="646"/>
      <c r="AF79" s="35"/>
    </row>
    <row r="80" spans="2:32" ht="11.25" customHeight="1">
      <c r="B80" s="155"/>
      <c r="C80" s="413"/>
      <c r="D80" s="414"/>
      <c r="E80" s="414"/>
      <c r="F80" s="677"/>
      <c r="G80" s="678"/>
      <c r="H80" s="678"/>
      <c r="I80" s="678"/>
      <c r="J80" s="678"/>
      <c r="K80" s="678"/>
      <c r="L80" s="678"/>
      <c r="M80" s="678"/>
      <c r="N80" s="678"/>
      <c r="O80" s="678"/>
      <c r="P80" s="419"/>
      <c r="R80" s="646"/>
      <c r="S80" s="733"/>
      <c r="T80" s="730"/>
      <c r="U80" s="731"/>
      <c r="V80" s="732"/>
      <c r="W80" s="732"/>
      <c r="X80" s="734"/>
      <c r="Y80" s="646"/>
      <c r="Z80" s="646"/>
      <c r="AA80" s="646"/>
      <c r="AB80" s="646"/>
      <c r="AC80" s="646"/>
      <c r="AD80" s="646"/>
      <c r="AE80" s="646"/>
      <c r="AF80" s="35"/>
    </row>
    <row r="81" spans="1:32">
      <c r="R81" s="646"/>
      <c r="S81" s="735"/>
      <c r="T81" s="621"/>
      <c r="U81" s="621"/>
      <c r="V81" s="736"/>
      <c r="W81" s="737"/>
      <c r="X81" s="737"/>
      <c r="Y81" s="737"/>
      <c r="Z81" s="737"/>
      <c r="AA81" s="737"/>
      <c r="AB81" s="737"/>
      <c r="AC81" s="737"/>
      <c r="AD81" s="737"/>
      <c r="AE81" s="737"/>
      <c r="AF81" s="35"/>
    </row>
    <row r="82" spans="1:32">
      <c r="B82" s="2558" t="s">
        <v>2102</v>
      </c>
      <c r="F82" s="119">
        <v>2007</v>
      </c>
      <c r="G82" s="120">
        <f>F82+5</f>
        <v>2012</v>
      </c>
      <c r="H82" s="120">
        <f t="shared" ref="H82:O82" si="22">G82+5</f>
        <v>2017</v>
      </c>
      <c r="I82" s="120">
        <f t="shared" si="22"/>
        <v>2022</v>
      </c>
      <c r="J82" s="120">
        <f t="shared" si="22"/>
        <v>2027</v>
      </c>
      <c r="K82" s="120">
        <f t="shared" si="22"/>
        <v>2032</v>
      </c>
      <c r="L82" s="120">
        <f t="shared" si="22"/>
        <v>2037</v>
      </c>
      <c r="M82" s="120">
        <f t="shared" si="22"/>
        <v>2042</v>
      </c>
      <c r="N82" s="120">
        <f t="shared" si="22"/>
        <v>2047</v>
      </c>
      <c r="O82" s="120">
        <f t="shared" si="22"/>
        <v>2052</v>
      </c>
      <c r="R82" s="646"/>
      <c r="S82" s="735"/>
      <c r="T82" s="738"/>
      <c r="U82" s="621"/>
      <c r="V82" s="739"/>
      <c r="W82" s="739"/>
      <c r="X82" s="740"/>
      <c r="Y82" s="740"/>
      <c r="Z82" s="740"/>
      <c r="AA82" s="740"/>
      <c r="AB82" s="740"/>
      <c r="AC82" s="740"/>
      <c r="AD82" s="740"/>
      <c r="AE82" s="740"/>
      <c r="AF82" s="35"/>
    </row>
    <row r="83" spans="1:32">
      <c r="R83" s="646"/>
      <c r="S83" s="735"/>
      <c r="T83" s="738"/>
      <c r="U83" s="621"/>
      <c r="V83" s="739"/>
      <c r="W83" s="739"/>
      <c r="X83" s="740"/>
      <c r="Y83" s="740"/>
      <c r="Z83" s="740"/>
      <c r="AA83" s="740"/>
      <c r="AB83" s="740"/>
      <c r="AC83" s="740"/>
      <c r="AD83" s="740"/>
      <c r="AE83" s="740"/>
      <c r="AF83" s="35"/>
    </row>
    <row r="84" spans="1:32">
      <c r="C84" s="423" t="s">
        <v>795</v>
      </c>
      <c r="E84" s="2207" t="str">
        <f>Preferences.PowerUnits</f>
        <v>GW</v>
      </c>
      <c r="F84" s="22">
        <f t="shared" ref="F84:O84" si="23">F$79</f>
        <v>13.692</v>
      </c>
      <c r="G84" s="22">
        <f t="shared" si="23"/>
        <v>18.381</v>
      </c>
      <c r="H84" s="22">
        <f t="shared" si="23"/>
        <v>20.919</v>
      </c>
      <c r="I84" s="22">
        <f t="shared" si="23"/>
        <v>20.919</v>
      </c>
      <c r="J84" s="22">
        <f t="shared" si="23"/>
        <v>20.919</v>
      </c>
      <c r="K84" s="22">
        <f t="shared" si="23"/>
        <v>20.919</v>
      </c>
      <c r="L84" s="22">
        <f t="shared" si="23"/>
        <v>20.919</v>
      </c>
      <c r="M84" s="22">
        <f t="shared" si="23"/>
        <v>20.919</v>
      </c>
      <c r="N84" s="22">
        <f t="shared" si="23"/>
        <v>20.919</v>
      </c>
      <c r="O84" s="22">
        <f t="shared" si="23"/>
        <v>20.919</v>
      </c>
      <c r="R84" s="646"/>
      <c r="S84" s="735"/>
      <c r="T84" s="621"/>
      <c r="U84" s="621"/>
      <c r="V84" s="741"/>
      <c r="W84" s="741"/>
      <c r="X84" s="742"/>
      <c r="Y84" s="742"/>
      <c r="Z84" s="742"/>
      <c r="AA84" s="742"/>
      <c r="AB84" s="742"/>
      <c r="AC84" s="742"/>
      <c r="AD84" s="742"/>
      <c r="AE84" s="742"/>
      <c r="AF84" s="35"/>
    </row>
    <row r="85" spans="1:32">
      <c r="B85" s="605" t="s">
        <v>796</v>
      </c>
      <c r="C85" s="605" t="s">
        <v>797</v>
      </c>
      <c r="E85" s="2207"/>
      <c r="F85" s="15">
        <f t="shared" ref="F85:O85" si="24">F$53</f>
        <v>0.5333</v>
      </c>
      <c r="G85" s="15">
        <f t="shared" si="24"/>
        <v>0.59950000000000003</v>
      </c>
      <c r="H85" s="15">
        <f t="shared" si="24"/>
        <v>0.59909999999999997</v>
      </c>
      <c r="I85" s="15">
        <f t="shared" si="24"/>
        <v>0.59909999999999997</v>
      </c>
      <c r="J85" s="15">
        <f t="shared" si="24"/>
        <v>0.59909999999999997</v>
      </c>
      <c r="K85" s="15">
        <f t="shared" si="24"/>
        <v>0.59909999999999997</v>
      </c>
      <c r="L85" s="15">
        <f t="shared" si="24"/>
        <v>0.59909999999999997</v>
      </c>
      <c r="M85" s="15">
        <f t="shared" si="24"/>
        <v>0.59909999999999997</v>
      </c>
      <c r="N85" s="15">
        <f t="shared" si="24"/>
        <v>0.59909999999999997</v>
      </c>
      <c r="O85" s="15">
        <f t="shared" si="24"/>
        <v>0.59909999999999997</v>
      </c>
      <c r="R85" s="646"/>
      <c r="S85" s="735"/>
      <c r="T85" s="621"/>
      <c r="U85" s="621"/>
      <c r="V85" s="736"/>
      <c r="W85" s="737"/>
      <c r="X85" s="737"/>
      <c r="Y85" s="737"/>
      <c r="Z85" s="737"/>
      <c r="AA85" s="737"/>
      <c r="AB85" s="737"/>
      <c r="AC85" s="737"/>
      <c r="AD85" s="737"/>
      <c r="AE85" s="737"/>
      <c r="AF85" s="35"/>
    </row>
    <row r="86" spans="1:32">
      <c r="B86" s="88" t="s">
        <v>276</v>
      </c>
      <c r="C86" s="423" t="s">
        <v>798</v>
      </c>
      <c r="E86" s="2207"/>
      <c r="F86" s="73">
        <f t="shared" ref="F86:O86" si="25">F84*F85</f>
        <v>7.3019436000000004</v>
      </c>
      <c r="G86" s="73">
        <f t="shared" si="25"/>
        <v>11.0194095</v>
      </c>
      <c r="H86" s="73">
        <f t="shared" si="25"/>
        <v>12.5325729</v>
      </c>
      <c r="I86" s="73">
        <f t="shared" si="25"/>
        <v>12.5325729</v>
      </c>
      <c r="J86" s="73">
        <f t="shared" si="25"/>
        <v>12.5325729</v>
      </c>
      <c r="K86" s="73">
        <f t="shared" si="25"/>
        <v>12.5325729</v>
      </c>
      <c r="L86" s="73">
        <f t="shared" si="25"/>
        <v>12.5325729</v>
      </c>
      <c r="M86" s="73">
        <f t="shared" si="25"/>
        <v>12.5325729</v>
      </c>
      <c r="N86" s="73">
        <f t="shared" si="25"/>
        <v>12.5325729</v>
      </c>
      <c r="O86" s="73">
        <f t="shared" si="25"/>
        <v>12.5325729</v>
      </c>
      <c r="R86" s="646"/>
      <c r="S86" s="735"/>
      <c r="T86" s="738"/>
      <c r="U86" s="621"/>
      <c r="V86" s="741"/>
      <c r="W86" s="741"/>
      <c r="X86" s="741"/>
      <c r="Y86" s="741"/>
      <c r="Z86" s="741"/>
      <c r="AA86" s="741"/>
      <c r="AB86" s="741"/>
      <c r="AC86" s="741"/>
      <c r="AD86" s="741"/>
      <c r="AE86" s="741"/>
      <c r="AF86" s="35"/>
    </row>
    <row r="87" spans="1:32">
      <c r="C87" s="423" t="s">
        <v>799</v>
      </c>
      <c r="E87" s="2207" t="str">
        <f>preferences.energyunits</f>
        <v>TWh</v>
      </c>
      <c r="F87" s="2646">
        <f t="shared" ref="F87:O87" si="26">F86*((Preferences.Unit.Power*Unit.year)/Preferences.Unit.Energy)</f>
        <v>64.008837597600007</v>
      </c>
      <c r="G87" s="2646">
        <f t="shared" si="26"/>
        <v>96.596143677000001</v>
      </c>
      <c r="H87" s="2646">
        <f t="shared" si="26"/>
        <v>109.8605340414</v>
      </c>
      <c r="I87" s="2646">
        <f t="shared" si="26"/>
        <v>109.8605340414</v>
      </c>
      <c r="J87" s="2646">
        <f t="shared" si="26"/>
        <v>109.8605340414</v>
      </c>
      <c r="K87" s="2646">
        <f t="shared" si="26"/>
        <v>109.8605340414</v>
      </c>
      <c r="L87" s="2646">
        <f t="shared" si="26"/>
        <v>109.8605340414</v>
      </c>
      <c r="M87" s="2646">
        <f t="shared" si="26"/>
        <v>109.8605340414</v>
      </c>
      <c r="N87" s="2646">
        <f t="shared" si="26"/>
        <v>109.8605340414</v>
      </c>
      <c r="O87" s="2646">
        <f t="shared" si="26"/>
        <v>109.8605340414</v>
      </c>
      <c r="R87" s="646"/>
      <c r="S87" s="735"/>
      <c r="T87" s="738"/>
      <c r="U87" s="621"/>
      <c r="V87" s="741"/>
      <c r="W87" s="741"/>
      <c r="X87" s="741"/>
      <c r="Y87" s="741"/>
      <c r="Z87" s="741"/>
      <c r="AA87" s="741"/>
      <c r="AB87" s="741"/>
      <c r="AC87" s="741"/>
      <c r="AD87" s="741"/>
      <c r="AE87" s="741"/>
      <c r="AF87" s="35"/>
    </row>
    <row r="88" spans="1:32">
      <c r="A88" s="605" t="s">
        <v>1735</v>
      </c>
      <c r="C88" s="423"/>
      <c r="E88" s="2207"/>
      <c r="F88" s="73"/>
      <c r="G88" s="73"/>
      <c r="H88" s="73"/>
      <c r="I88" s="73"/>
      <c r="J88" s="73"/>
      <c r="K88" s="73"/>
      <c r="L88" s="73"/>
      <c r="M88" s="73"/>
      <c r="N88" s="73"/>
      <c r="O88" s="73"/>
      <c r="R88" s="646"/>
      <c r="S88" s="735"/>
      <c r="T88" s="738"/>
      <c r="U88" s="621"/>
      <c r="V88" s="741"/>
      <c r="W88" s="741"/>
      <c r="X88" s="741"/>
      <c r="Y88" s="741"/>
      <c r="Z88" s="741"/>
      <c r="AA88" s="741"/>
      <c r="AB88" s="741"/>
      <c r="AC88" s="741"/>
      <c r="AD88" s="741"/>
      <c r="AE88" s="741"/>
      <c r="AF88" s="35"/>
    </row>
    <row r="89" spans="1:32">
      <c r="B89" s="422" t="s">
        <v>39</v>
      </c>
      <c r="C89" s="19" t="str">
        <f>INDEX(Vectors[Description], MATCH($B89, Vectors[Code], 0))</f>
        <v>Gaseous hydrocarbons</v>
      </c>
      <c r="D89" s="19"/>
      <c r="E89" s="2207" t="str">
        <f>preferences.energyunits</f>
        <v>TWh</v>
      </c>
      <c r="F89" s="73">
        <f t="shared" ref="F89:O89" si="27">F87/F58</f>
        <v>106.68139599600002</v>
      </c>
      <c r="G89" s="73">
        <f t="shared" si="27"/>
        <v>160.99357279500001</v>
      </c>
      <c r="H89" s="73">
        <f t="shared" si="27"/>
        <v>183.100890069</v>
      </c>
      <c r="I89" s="73">
        <f t="shared" si="27"/>
        <v>183.100890069</v>
      </c>
      <c r="J89" s="73">
        <f t="shared" si="27"/>
        <v>183.100890069</v>
      </c>
      <c r="K89" s="73">
        <f t="shared" si="27"/>
        <v>183.100890069</v>
      </c>
      <c r="L89" s="73">
        <f t="shared" si="27"/>
        <v>183.100890069</v>
      </c>
      <c r="M89" s="73">
        <f t="shared" si="27"/>
        <v>183.100890069</v>
      </c>
      <c r="N89" s="73">
        <f t="shared" si="27"/>
        <v>183.100890069</v>
      </c>
      <c r="O89" s="73">
        <f t="shared" si="27"/>
        <v>183.100890069</v>
      </c>
      <c r="R89" s="646"/>
      <c r="S89" s="735"/>
      <c r="T89" s="738"/>
      <c r="U89" s="621"/>
      <c r="V89" s="741"/>
      <c r="W89" s="741"/>
      <c r="X89" s="741"/>
      <c r="Y89" s="741"/>
      <c r="Z89" s="741"/>
      <c r="AA89" s="741"/>
      <c r="AB89" s="741"/>
      <c r="AC89" s="741"/>
      <c r="AD89" s="741"/>
      <c r="AE89" s="741"/>
      <c r="AF89" s="35"/>
    </row>
    <row r="90" spans="1:32">
      <c r="C90" s="423" t="s">
        <v>2374</v>
      </c>
      <c r="E90" s="422"/>
      <c r="F90" s="73">
        <f>G90*F89/G89</f>
        <v>20.134218558182784</v>
      </c>
      <c r="G90" s="73">
        <f>20.3*unit.bcm-G89</f>
        <v>30.384677205000003</v>
      </c>
      <c r="H90" s="73">
        <f>G90*H89/G89</f>
        <v>34.557040657635127</v>
      </c>
      <c r="I90" s="73">
        <f t="shared" ref="I90:O90" si="28">H90*I89/H89</f>
        <v>34.557040657635127</v>
      </c>
      <c r="J90" s="73">
        <f t="shared" si="28"/>
        <v>34.557040657635127</v>
      </c>
      <c r="K90" s="73">
        <f t="shared" si="28"/>
        <v>34.557040657635127</v>
      </c>
      <c r="L90" s="73">
        <f t="shared" si="28"/>
        <v>34.557040657635127</v>
      </c>
      <c r="M90" s="73">
        <f t="shared" si="28"/>
        <v>34.557040657635127</v>
      </c>
      <c r="N90" s="73">
        <f t="shared" si="28"/>
        <v>34.557040657635127</v>
      </c>
      <c r="O90" s="73">
        <f t="shared" si="28"/>
        <v>34.557040657635127</v>
      </c>
      <c r="R90" s="646"/>
      <c r="S90" s="735"/>
      <c r="T90" s="738"/>
      <c r="U90" s="621"/>
      <c r="V90" s="741"/>
      <c r="W90" s="741"/>
      <c r="X90" s="741"/>
      <c r="Y90" s="741"/>
      <c r="Z90" s="741"/>
      <c r="AA90" s="741"/>
      <c r="AB90" s="741"/>
      <c r="AC90" s="741"/>
      <c r="AD90" s="741"/>
      <c r="AE90" s="741"/>
      <c r="AF90" s="35"/>
    </row>
    <row r="91" spans="1:32">
      <c r="C91" s="423"/>
      <c r="E91" s="422"/>
      <c r="F91" s="73"/>
      <c r="G91" s="73"/>
      <c r="H91" s="73"/>
      <c r="I91" s="73"/>
      <c r="J91" s="73"/>
      <c r="K91" s="73"/>
      <c r="L91" s="73"/>
      <c r="M91" s="73"/>
      <c r="N91" s="73"/>
      <c r="O91" s="73"/>
      <c r="R91" s="646"/>
      <c r="S91" s="735"/>
      <c r="T91" s="738"/>
      <c r="U91" s="621"/>
      <c r="V91" s="741"/>
      <c r="W91" s="741"/>
      <c r="X91" s="741"/>
      <c r="Y91" s="741"/>
      <c r="Z91" s="741"/>
      <c r="AA91" s="741"/>
      <c r="AB91" s="741"/>
      <c r="AC91" s="741"/>
      <c r="AD91" s="741"/>
      <c r="AE91" s="741"/>
      <c r="AF91" s="35"/>
    </row>
    <row r="92" spans="1:32">
      <c r="B92" s="859" t="s">
        <v>281</v>
      </c>
      <c r="C92" s="51"/>
      <c r="D92" s="51"/>
      <c r="E92" s="51"/>
      <c r="F92" s="51"/>
      <c r="G92" s="51"/>
      <c r="H92" s="51"/>
      <c r="I92" s="51"/>
      <c r="J92" s="51"/>
      <c r="K92" s="51"/>
      <c r="L92" s="51"/>
      <c r="M92" s="51"/>
      <c r="N92" s="51"/>
      <c r="O92" s="51"/>
      <c r="R92" s="646"/>
      <c r="S92" s="735"/>
      <c r="T92" s="738"/>
      <c r="U92" s="621"/>
      <c r="V92" s="741"/>
      <c r="W92" s="741"/>
      <c r="X92" s="741"/>
      <c r="Y92" s="741"/>
      <c r="Z92" s="741"/>
      <c r="AA92" s="741"/>
      <c r="AB92" s="741"/>
      <c r="AC92" s="741"/>
      <c r="AD92" s="741"/>
      <c r="AE92" s="741"/>
      <c r="AF92" s="35"/>
    </row>
    <row r="93" spans="1:32">
      <c r="B93" s="51"/>
      <c r="C93" s="51" t="s">
        <v>350</v>
      </c>
      <c r="D93" s="51"/>
      <c r="E93" s="99" t="s">
        <v>367</v>
      </c>
      <c r="F93" s="97">
        <f>F$89*INDEX(EF[CO2], MATCH("V.05", EF[Vector], 0))</f>
        <v>21.223982992888423</v>
      </c>
      <c r="G93" s="97">
        <f>G$89*INDEX(EF[CO2], MATCH("V.05", EF[Vector], 0))</f>
        <v>32.029247640268423</v>
      </c>
      <c r="H93" s="97">
        <f>H$89*INDEX(EF[CO2], MATCH("V.05", EF[Vector], 0))</f>
        <v>36.427440234780001</v>
      </c>
      <c r="I93" s="97">
        <f>I$89*INDEX(EF[CO2], MATCH("V.05", EF[Vector], 0))</f>
        <v>36.427440234780001</v>
      </c>
      <c r="J93" s="97">
        <f>J$89*INDEX(EF[CO2], MATCH("V.05", EF[Vector], 0))</f>
        <v>36.427440234780001</v>
      </c>
      <c r="K93" s="97">
        <f>K$89*INDEX(EF[CO2], MATCH("V.05", EF[Vector], 0))</f>
        <v>36.427440234780001</v>
      </c>
      <c r="L93" s="97">
        <f>L$89*INDEX(EF[CO2], MATCH("V.05", EF[Vector], 0))</f>
        <v>36.427440234780001</v>
      </c>
      <c r="M93" s="97">
        <f>M$89*INDEX(EF[CO2], MATCH("V.05", EF[Vector], 0))</f>
        <v>36.427440234780001</v>
      </c>
      <c r="N93" s="97">
        <f>N$89*INDEX(EF[CO2], MATCH("V.05", EF[Vector], 0))</f>
        <v>36.427440234780001</v>
      </c>
      <c r="O93" s="97">
        <f>O$89*INDEX(EF[CO2], MATCH("V.05", EF[Vector], 0))</f>
        <v>36.427440234780001</v>
      </c>
      <c r="R93" s="646"/>
      <c r="S93" s="735"/>
      <c r="T93" s="738"/>
      <c r="U93" s="621"/>
      <c r="V93" s="741"/>
      <c r="W93" s="741"/>
      <c r="X93" s="741"/>
      <c r="Y93" s="741"/>
      <c r="Z93" s="741"/>
      <c r="AA93" s="741"/>
      <c r="AB93" s="741"/>
      <c r="AC93" s="741"/>
      <c r="AD93" s="741"/>
      <c r="AE93" s="741"/>
      <c r="AF93" s="35"/>
    </row>
    <row r="94" spans="1:32">
      <c r="B94" s="51"/>
      <c r="C94" s="51" t="s">
        <v>351</v>
      </c>
      <c r="D94" s="51"/>
      <c r="E94" s="99" t="s">
        <v>367</v>
      </c>
      <c r="F94" s="97">
        <f>F$89*INDEX(EF[CH4], MATCH("V.05", EF[Vector], 0))</f>
        <v>0</v>
      </c>
      <c r="G94" s="97">
        <f>G$89*INDEX(EF[CH4], MATCH("V.05", EF[Vector], 0))</f>
        <v>0</v>
      </c>
      <c r="H94" s="97">
        <f>H$89*INDEX(EF[CH4], MATCH("V.05", EF[Vector], 0))</f>
        <v>0</v>
      </c>
      <c r="I94" s="97">
        <f>I$89*INDEX(EF[CH4], MATCH("V.05", EF[Vector], 0))</f>
        <v>0</v>
      </c>
      <c r="J94" s="97">
        <f>J$89*INDEX(EF[CH4], MATCH("V.05", EF[Vector], 0))</f>
        <v>0</v>
      </c>
      <c r="K94" s="97">
        <f>K$89*INDEX(EF[CH4], MATCH("V.05", EF[Vector], 0))</f>
        <v>0</v>
      </c>
      <c r="L94" s="97">
        <f>L$89*INDEX(EF[CH4], MATCH("V.05", EF[Vector], 0))</f>
        <v>0</v>
      </c>
      <c r="M94" s="97">
        <f>M$89*INDEX(EF[CH4], MATCH("V.05", EF[Vector], 0))</f>
        <v>0</v>
      </c>
      <c r="N94" s="97">
        <f>N$89*INDEX(EF[CH4], MATCH("V.05", EF[Vector], 0))</f>
        <v>0</v>
      </c>
      <c r="O94" s="97">
        <f>O$89*INDEX(EF[CH4], MATCH("V.05", EF[Vector], 0))</f>
        <v>0</v>
      </c>
      <c r="R94" s="646"/>
      <c r="S94" s="735"/>
      <c r="T94" s="738"/>
      <c r="U94" s="621"/>
      <c r="V94" s="741"/>
      <c r="W94" s="741"/>
      <c r="X94" s="741"/>
      <c r="Y94" s="741"/>
      <c r="Z94" s="741"/>
      <c r="AA94" s="741"/>
      <c r="AB94" s="741"/>
      <c r="AC94" s="741"/>
      <c r="AD94" s="741"/>
      <c r="AE94" s="741"/>
      <c r="AF94" s="35"/>
    </row>
    <row r="95" spans="1:32">
      <c r="B95" s="51"/>
      <c r="C95" s="51" t="s">
        <v>352</v>
      </c>
      <c r="D95" s="51"/>
      <c r="E95" s="99" t="s">
        <v>367</v>
      </c>
      <c r="F95" s="97">
        <f>F$89*INDEX(EF[N2O], MATCH("V.05", EF[Vector], 0))</f>
        <v>0</v>
      </c>
      <c r="G95" s="97">
        <f>G$89*INDEX(EF[N2O], MATCH("V.05", EF[Vector], 0))</f>
        <v>0</v>
      </c>
      <c r="H95" s="97">
        <f>H$89*INDEX(EF[N2O], MATCH("V.05", EF[Vector], 0))</f>
        <v>0</v>
      </c>
      <c r="I95" s="97">
        <f>I$89*INDEX(EF[N2O], MATCH("V.05", EF[Vector], 0))</f>
        <v>0</v>
      </c>
      <c r="J95" s="97">
        <f>J$89*INDEX(EF[N2O], MATCH("V.05", EF[Vector], 0))</f>
        <v>0</v>
      </c>
      <c r="K95" s="97">
        <f>K$89*INDEX(EF[N2O], MATCH("V.05", EF[Vector], 0))</f>
        <v>0</v>
      </c>
      <c r="L95" s="97">
        <f>L$89*INDEX(EF[N2O], MATCH("V.05", EF[Vector], 0))</f>
        <v>0</v>
      </c>
      <c r="M95" s="97">
        <f>M$89*INDEX(EF[N2O], MATCH("V.05", EF[Vector], 0))</f>
        <v>0</v>
      </c>
      <c r="N95" s="97">
        <f>N$89*INDEX(EF[N2O], MATCH("V.05", EF[Vector], 0))</f>
        <v>0</v>
      </c>
      <c r="O95" s="97">
        <f>O$89*INDEX(EF[N2O], MATCH("V.05", EF[Vector], 0))</f>
        <v>0</v>
      </c>
      <c r="R95" s="646"/>
      <c r="S95" s="735"/>
      <c r="T95" s="738"/>
      <c r="U95" s="621"/>
      <c r="V95" s="741"/>
      <c r="W95" s="741"/>
      <c r="X95" s="741"/>
      <c r="Y95" s="741"/>
      <c r="Z95" s="741"/>
      <c r="AA95" s="741"/>
      <c r="AB95" s="741"/>
      <c r="AC95" s="741"/>
      <c r="AD95" s="741"/>
      <c r="AE95" s="741"/>
      <c r="AF95" s="35"/>
    </row>
    <row r="96" spans="1:32">
      <c r="C96" s="423"/>
      <c r="E96" s="2207"/>
      <c r="F96" s="73"/>
      <c r="G96" s="73"/>
      <c r="H96" s="73"/>
      <c r="I96" s="73"/>
      <c r="J96" s="73"/>
      <c r="K96" s="73"/>
      <c r="L96" s="73"/>
      <c r="M96" s="73"/>
      <c r="N96" s="73"/>
      <c r="O96" s="73"/>
      <c r="R96" s="646"/>
      <c r="S96" s="735"/>
      <c r="T96" s="738"/>
      <c r="U96" s="621"/>
      <c r="V96" s="741"/>
      <c r="W96" s="741"/>
      <c r="X96" s="741"/>
      <c r="Y96" s="741"/>
      <c r="Z96" s="741"/>
      <c r="AA96" s="741"/>
      <c r="AB96" s="741"/>
      <c r="AC96" s="741"/>
      <c r="AD96" s="741"/>
      <c r="AE96" s="741"/>
      <c r="AF96" s="35"/>
    </row>
    <row r="97" spans="2:32">
      <c r="B97" s="423" t="s">
        <v>721</v>
      </c>
      <c r="E97" s="2207" t="str">
        <f>Preferences.AreaUnits</f>
        <v>ha</v>
      </c>
      <c r="F97" s="643">
        <f>F84*AVERAGE(F69,F70)</f>
        <v>498.68602321950732</v>
      </c>
      <c r="G97" s="643">
        <f t="shared" ref="G97:O97" si="29">G84*AVERAGE(G69,G70)</f>
        <v>669.46741110120979</v>
      </c>
      <c r="H97" s="643">
        <f t="shared" si="29"/>
        <v>761.90570550167058</v>
      </c>
      <c r="I97" s="643">
        <f t="shared" si="29"/>
        <v>761.90570550167058</v>
      </c>
      <c r="J97" s="643">
        <f t="shared" si="29"/>
        <v>761.90570550167058</v>
      </c>
      <c r="K97" s="643">
        <f t="shared" si="29"/>
        <v>761.90570550167058</v>
      </c>
      <c r="L97" s="643">
        <f t="shared" si="29"/>
        <v>761.90570550167058</v>
      </c>
      <c r="M97" s="643">
        <f t="shared" si="29"/>
        <v>761.90570550167058</v>
      </c>
      <c r="N97" s="643">
        <f t="shared" si="29"/>
        <v>761.90570550167058</v>
      </c>
      <c r="O97" s="643">
        <f t="shared" si="29"/>
        <v>761.90570550167058</v>
      </c>
      <c r="P97" s="643"/>
      <c r="R97" s="35"/>
      <c r="S97" s="35"/>
      <c r="T97" s="35"/>
      <c r="U97" s="292"/>
      <c r="V97" s="35"/>
      <c r="W97" s="35"/>
      <c r="X97" s="35"/>
      <c r="Y97" s="35"/>
      <c r="Z97" s="644"/>
      <c r="AA97" s="644"/>
      <c r="AB97" s="35"/>
      <c r="AC97" s="35"/>
      <c r="AD97" s="35"/>
      <c r="AE97" s="35"/>
      <c r="AF97" s="35"/>
    </row>
    <row r="98" spans="2:32">
      <c r="E98" s="2207"/>
      <c r="F98" s="365"/>
      <c r="G98" s="365"/>
      <c r="H98" s="365"/>
      <c r="I98" s="365"/>
      <c r="J98" s="365"/>
      <c r="K98" s="365"/>
      <c r="L98" s="365"/>
      <c r="M98" s="365"/>
      <c r="N98" s="365"/>
      <c r="O98" s="365"/>
      <c r="R98" s="35"/>
      <c r="S98" s="715"/>
      <c r="T98" s="718"/>
      <c r="U98" s="719"/>
      <c r="V98" s="409"/>
      <c r="W98" s="720"/>
      <c r="X98" s="720"/>
      <c r="Y98" s="720"/>
      <c r="Z98" s="720"/>
      <c r="AA98" s="720"/>
      <c r="AB98" s="720"/>
      <c r="AC98" s="720"/>
      <c r="AD98" s="720"/>
      <c r="AE98" s="720"/>
      <c r="AF98" s="35"/>
    </row>
    <row r="99" spans="2:32" ht="15.75">
      <c r="B99" s="206" t="s">
        <v>202</v>
      </c>
      <c r="C99" s="175"/>
      <c r="D99" s="175"/>
      <c r="E99" s="175"/>
      <c r="F99" s="175"/>
      <c r="G99" s="175"/>
      <c r="H99" s="175"/>
      <c r="I99" s="175"/>
      <c r="J99" s="175"/>
      <c r="K99" s="175"/>
      <c r="L99" s="175"/>
      <c r="M99" s="175"/>
      <c r="N99" s="175"/>
      <c r="O99" s="175"/>
      <c r="P99" s="177"/>
      <c r="Q99" s="359"/>
    </row>
    <row r="100" spans="2:32">
      <c r="B100" s="164"/>
      <c r="C100" s="166"/>
      <c r="D100" s="166"/>
      <c r="E100" s="166"/>
      <c r="F100" s="166"/>
      <c r="G100" s="166"/>
      <c r="H100" s="166"/>
      <c r="I100" s="166"/>
      <c r="J100" s="166"/>
      <c r="K100" s="166"/>
      <c r="L100" s="166"/>
      <c r="M100" s="166"/>
      <c r="N100" s="166"/>
      <c r="O100" s="166"/>
      <c r="P100" s="168"/>
      <c r="Q100" s="359"/>
    </row>
    <row r="101" spans="2:32">
      <c r="B101" s="164"/>
      <c r="C101" s="178" t="s">
        <v>239</v>
      </c>
      <c r="D101" s="166"/>
      <c r="E101" s="167"/>
      <c r="F101" s="166"/>
      <c r="G101" s="167">
        <f>61.6*0.365*unit.bcm</f>
        <v>211.96790999999999</v>
      </c>
      <c r="H101" s="166"/>
      <c r="I101" s="166"/>
      <c r="J101" s="166"/>
      <c r="K101" s="166"/>
      <c r="L101" s="166"/>
      <c r="M101" s="166"/>
      <c r="N101" s="166"/>
      <c r="O101" s="167" t="str">
        <f>preferences.energyunits</f>
        <v>TWh</v>
      </c>
      <c r="P101" s="168"/>
      <c r="Q101" s="359"/>
    </row>
    <row r="102" spans="2:32">
      <c r="B102" s="164"/>
      <c r="C102" s="166"/>
      <c r="D102" s="166"/>
      <c r="E102" s="166"/>
      <c r="F102" s="166"/>
      <c r="G102" s="166"/>
      <c r="H102" s="166"/>
      <c r="I102" s="166"/>
      <c r="J102" s="166"/>
      <c r="K102" s="166"/>
      <c r="L102" s="166"/>
      <c r="M102" s="166"/>
      <c r="N102" s="166"/>
      <c r="O102" s="166"/>
      <c r="P102" s="168"/>
      <c r="Q102" s="359"/>
    </row>
    <row r="103" spans="2:32" ht="15.75">
      <c r="B103" s="169"/>
      <c r="C103" s="180" t="s">
        <v>64</v>
      </c>
      <c r="D103" s="180" t="s">
        <v>137</v>
      </c>
      <c r="E103" s="180" t="s">
        <v>156</v>
      </c>
      <c r="F103" s="230" t="s">
        <v>203</v>
      </c>
      <c r="G103" s="566" t="s">
        <v>712</v>
      </c>
      <c r="H103" s="566" t="s">
        <v>713</v>
      </c>
      <c r="I103" s="566" t="s">
        <v>714</v>
      </c>
      <c r="J103" s="566" t="s">
        <v>715</v>
      </c>
      <c r="K103" s="566" t="s">
        <v>716</v>
      </c>
      <c r="L103" s="566" t="s">
        <v>717</v>
      </c>
      <c r="M103" s="566" t="s">
        <v>718</v>
      </c>
      <c r="N103" s="566" t="s">
        <v>719</v>
      </c>
      <c r="O103" s="566" t="s">
        <v>720</v>
      </c>
      <c r="P103" s="168"/>
      <c r="Q103" s="359"/>
      <c r="R103" s="605" t="s">
        <v>120</v>
      </c>
    </row>
    <row r="104" spans="2:32" ht="15.75">
      <c r="B104" s="169"/>
      <c r="C104" s="60" t="s">
        <v>35</v>
      </c>
      <c r="D104" s="60" t="str">
        <f>INDEX(Vectors[Description], MATCH([Vector], Vectors[Code], 0))</f>
        <v>Electricity (supplied to grid)</v>
      </c>
      <c r="E104" s="60"/>
      <c r="F104" s="129">
        <f t="shared" ref="F104:O104" si="30">F$87</f>
        <v>64.008837597600007</v>
      </c>
      <c r="G104" s="129">
        <f t="shared" si="30"/>
        <v>96.596143677000001</v>
      </c>
      <c r="H104" s="129">
        <f t="shared" si="30"/>
        <v>109.8605340414</v>
      </c>
      <c r="I104" s="129">
        <f t="shared" si="30"/>
        <v>109.8605340414</v>
      </c>
      <c r="J104" s="129">
        <f t="shared" si="30"/>
        <v>109.8605340414</v>
      </c>
      <c r="K104" s="129">
        <f t="shared" si="30"/>
        <v>109.8605340414</v>
      </c>
      <c r="L104" s="129">
        <f t="shared" si="30"/>
        <v>109.8605340414</v>
      </c>
      <c r="M104" s="129">
        <f t="shared" si="30"/>
        <v>109.8605340414</v>
      </c>
      <c r="N104" s="129">
        <f t="shared" si="30"/>
        <v>109.8605340414</v>
      </c>
      <c r="O104" s="129">
        <f t="shared" si="30"/>
        <v>109.8605340414</v>
      </c>
      <c r="P104" s="168"/>
      <c r="Q104" s="359"/>
    </row>
    <row r="105" spans="2:32" ht="15.75">
      <c r="B105" s="169"/>
      <c r="C105" s="60" t="s">
        <v>39</v>
      </c>
      <c r="D105" s="60" t="str">
        <f>INDEX(Vectors[Description], MATCH([Vector],Vectors[Code], 0))</f>
        <v>Gaseous hydrocarbons</v>
      </c>
      <c r="E105" s="60"/>
      <c r="F105" s="129">
        <f>-F$89-F90</f>
        <v>-126.8156145541828</v>
      </c>
      <c r="G105" s="129">
        <f t="shared" ref="G105:O105" si="31">-G$89-G90</f>
        <v>-191.37825000000001</v>
      </c>
      <c r="H105" s="129">
        <f t="shared" si="31"/>
        <v>-217.65793072663513</v>
      </c>
      <c r="I105" s="129">
        <f t="shared" si="31"/>
        <v>-217.65793072663513</v>
      </c>
      <c r="J105" s="129">
        <f t="shared" si="31"/>
        <v>-217.65793072663513</v>
      </c>
      <c r="K105" s="129">
        <f t="shared" si="31"/>
        <v>-217.65793072663513</v>
      </c>
      <c r="L105" s="129">
        <f t="shared" si="31"/>
        <v>-217.65793072663513</v>
      </c>
      <c r="M105" s="129">
        <f t="shared" si="31"/>
        <v>-217.65793072663513</v>
      </c>
      <c r="N105" s="129">
        <f t="shared" si="31"/>
        <v>-217.65793072663513</v>
      </c>
      <c r="O105" s="129">
        <f t="shared" si="31"/>
        <v>-217.65793072663513</v>
      </c>
      <c r="P105" s="168"/>
      <c r="Q105" s="359"/>
    </row>
    <row r="106" spans="2:32" ht="15.75">
      <c r="B106" s="169"/>
      <c r="C106" s="60" t="s">
        <v>25</v>
      </c>
      <c r="D106" s="226" t="str">
        <f>INDEX(Vectors[Description], MATCH([Vector],Vectors[Code], 0))</f>
        <v>Conversion losses</v>
      </c>
      <c r="E106" s="226"/>
      <c r="F106" s="606">
        <f>F89-F87+F90</f>
        <v>62.806776956582794</v>
      </c>
      <c r="G106" s="606">
        <f t="shared" ref="G106:O106" si="32">G89-G87+G90</f>
        <v>94.782106323000008</v>
      </c>
      <c r="H106" s="606">
        <f t="shared" si="32"/>
        <v>107.79739668523513</v>
      </c>
      <c r="I106" s="606">
        <f t="shared" si="32"/>
        <v>107.79739668523513</v>
      </c>
      <c r="J106" s="606">
        <f t="shared" si="32"/>
        <v>107.79739668523513</v>
      </c>
      <c r="K106" s="606">
        <f t="shared" si="32"/>
        <v>107.79739668523513</v>
      </c>
      <c r="L106" s="606">
        <f t="shared" si="32"/>
        <v>107.79739668523513</v>
      </c>
      <c r="M106" s="606">
        <f t="shared" si="32"/>
        <v>107.79739668523513</v>
      </c>
      <c r="N106" s="606">
        <f t="shared" si="32"/>
        <v>107.79739668523513</v>
      </c>
      <c r="O106" s="606">
        <f t="shared" si="32"/>
        <v>107.79739668523513</v>
      </c>
      <c r="P106" s="168"/>
      <c r="Q106" s="359"/>
    </row>
    <row r="107" spans="2:32" ht="15.75">
      <c r="B107" s="170"/>
      <c r="C107" s="60" t="s">
        <v>103</v>
      </c>
      <c r="D107" s="60"/>
      <c r="E107" s="60"/>
      <c r="F107" s="648">
        <f>SUBTOTAL(109,[2007])</f>
        <v>0</v>
      </c>
      <c r="G107" s="60">
        <f>SUBTOTAL(109,[2012])</f>
        <v>0</v>
      </c>
      <c r="H107" s="60">
        <f>SUBTOTAL(109,[2017])</f>
        <v>0</v>
      </c>
      <c r="I107" s="60">
        <f>SUBTOTAL(109,[2022])</f>
        <v>0</v>
      </c>
      <c r="J107" s="60">
        <f>SUBTOTAL(109,[2027])</f>
        <v>0</v>
      </c>
      <c r="K107" s="60">
        <f>SUBTOTAL(109,[2032])</f>
        <v>0</v>
      </c>
      <c r="L107" s="60">
        <f>SUBTOTAL(109,[2037])</f>
        <v>0</v>
      </c>
      <c r="M107" s="60">
        <f>SUBTOTAL(109,[2042])</f>
        <v>0</v>
      </c>
      <c r="N107" s="60">
        <f>SUBTOTAL(109,[2047])</f>
        <v>0</v>
      </c>
      <c r="O107" s="60">
        <f>SUBTOTAL(109,[2052])</f>
        <v>0</v>
      </c>
      <c r="P107" s="173"/>
      <c r="Q107" s="359"/>
    </row>
    <row r="108" spans="2:32" ht="15.75">
      <c r="B108" s="1942"/>
      <c r="C108" s="171"/>
      <c r="D108" s="171"/>
      <c r="E108" s="171"/>
      <c r="F108" s="171"/>
      <c r="G108" s="171"/>
      <c r="H108" s="171"/>
      <c r="I108" s="171"/>
      <c r="J108" s="171"/>
      <c r="K108" s="171"/>
      <c r="L108" s="171"/>
      <c r="M108" s="171"/>
      <c r="N108" s="171"/>
      <c r="O108" s="171"/>
    </row>
    <row r="109" spans="2:32">
      <c r="P109" s="426"/>
    </row>
    <row r="110" spans="2:32" ht="15.75">
      <c r="B110" s="424" t="s">
        <v>501</v>
      </c>
      <c r="C110" s="346"/>
      <c r="D110" s="425"/>
      <c r="E110" s="425"/>
      <c r="F110" s="425"/>
      <c r="G110" s="425"/>
      <c r="H110" s="425"/>
      <c r="I110" s="425"/>
      <c r="J110" s="425"/>
      <c r="K110" s="425"/>
      <c r="L110" s="425"/>
      <c r="M110" s="425"/>
      <c r="N110" s="425"/>
      <c r="O110" s="425"/>
      <c r="P110" s="349"/>
    </row>
    <row r="111" spans="2:32">
      <c r="B111" s="347"/>
      <c r="C111" s="348"/>
      <c r="D111" s="348"/>
      <c r="E111" s="348"/>
      <c r="F111" s="348"/>
      <c r="G111" s="348"/>
      <c r="H111" s="348"/>
      <c r="I111" s="348"/>
      <c r="J111" s="348"/>
      <c r="K111" s="348"/>
      <c r="L111" s="348"/>
      <c r="M111" s="348"/>
      <c r="N111" s="348"/>
      <c r="O111" s="348"/>
      <c r="P111" s="429"/>
    </row>
    <row r="112" spans="2:32" collapsed="1">
      <c r="B112" s="427"/>
      <c r="C112" s="350" t="s">
        <v>506</v>
      </c>
      <c r="D112" s="428"/>
      <c r="E112" s="351"/>
      <c r="F112" s="428"/>
      <c r="G112" s="351"/>
      <c r="H112" s="428"/>
      <c r="I112" s="428"/>
      <c r="J112" s="428"/>
      <c r="K112" s="428"/>
      <c r="L112" s="428"/>
      <c r="M112" s="428"/>
      <c r="N112" s="428"/>
      <c r="O112" s="351"/>
      <c r="P112" s="429"/>
    </row>
    <row r="113" spans="1:16">
      <c r="B113" s="427"/>
      <c r="C113" s="428"/>
      <c r="D113" s="428"/>
      <c r="E113" s="428"/>
      <c r="F113" s="428"/>
      <c r="G113" s="428"/>
      <c r="H113" s="428"/>
      <c r="I113" s="428"/>
      <c r="J113" s="428"/>
      <c r="K113" s="428"/>
      <c r="L113" s="428"/>
      <c r="M113" s="428"/>
      <c r="N113" s="428"/>
      <c r="O113" s="428"/>
      <c r="P113" s="429"/>
    </row>
    <row r="114" spans="1:16" ht="15.75">
      <c r="B114" s="430"/>
      <c r="C114" s="431" t="s">
        <v>64</v>
      </c>
      <c r="D114" s="431" t="s">
        <v>502</v>
      </c>
      <c r="E114" s="431" t="s">
        <v>156</v>
      </c>
      <c r="F114" s="230" t="s">
        <v>203</v>
      </c>
      <c r="G114" s="566" t="s">
        <v>712</v>
      </c>
      <c r="H114" s="566" t="s">
        <v>713</v>
      </c>
      <c r="I114" s="566" t="s">
        <v>714</v>
      </c>
      <c r="J114" s="566" t="s">
        <v>715</v>
      </c>
      <c r="K114" s="566" t="s">
        <v>716</v>
      </c>
      <c r="L114" s="566" t="s">
        <v>717</v>
      </c>
      <c r="M114" s="566" t="s">
        <v>718</v>
      </c>
      <c r="N114" s="566" t="s">
        <v>719</v>
      </c>
      <c r="O114" s="566" t="s">
        <v>720</v>
      </c>
      <c r="P114" s="429"/>
    </row>
    <row r="115" spans="1:16" ht="15.75">
      <c r="B115" s="430"/>
      <c r="C115" s="432" t="s">
        <v>503</v>
      </c>
      <c r="D115" s="433" t="str">
        <f>INDEX(Vectors[Description], MATCH([Vector], Vectors[Code], 0))</f>
        <v>India Land area</v>
      </c>
      <c r="E115" s="433" t="str">
        <f>Preferences.AreaUnits</f>
        <v>ha</v>
      </c>
      <c r="F115" s="354">
        <f t="shared" ref="F115:O115" si="33">F97</f>
        <v>498.68602321950732</v>
      </c>
      <c r="G115" s="354">
        <f t="shared" si="33"/>
        <v>669.46741110120979</v>
      </c>
      <c r="H115" s="343">
        <f t="shared" si="33"/>
        <v>761.90570550167058</v>
      </c>
      <c r="I115" s="343">
        <f t="shared" si="33"/>
        <v>761.90570550167058</v>
      </c>
      <c r="J115" s="343">
        <f t="shared" si="33"/>
        <v>761.90570550167058</v>
      </c>
      <c r="K115" s="343">
        <f t="shared" si="33"/>
        <v>761.90570550167058</v>
      </c>
      <c r="L115" s="343">
        <f t="shared" si="33"/>
        <v>761.90570550167058</v>
      </c>
      <c r="M115" s="343">
        <f t="shared" si="33"/>
        <v>761.90570550167058</v>
      </c>
      <c r="N115" s="343">
        <f t="shared" si="33"/>
        <v>761.90570550167058</v>
      </c>
      <c r="O115" s="343">
        <f t="shared" si="33"/>
        <v>761.90570550167058</v>
      </c>
      <c r="P115" s="429"/>
    </row>
    <row r="116" spans="1:16" ht="12.75" customHeight="1">
      <c r="B116" s="430"/>
      <c r="C116" s="432" t="s">
        <v>508</v>
      </c>
      <c r="D116" s="433" t="str">
        <f>INDEX(Vectors[Description], MATCH([Vector], Vectors[Code], 0))</f>
        <v xml:space="preserve">Installed Capacity </v>
      </c>
      <c r="E116" s="433" t="str">
        <f>Preferences.PowerUnits</f>
        <v>GW</v>
      </c>
      <c r="F116" s="354">
        <f>F98</f>
        <v>0</v>
      </c>
      <c r="G116" s="354">
        <f t="shared" ref="G116:O116" si="34">G79</f>
        <v>18.381</v>
      </c>
      <c r="H116" s="354">
        <f t="shared" si="34"/>
        <v>20.919</v>
      </c>
      <c r="I116" s="354">
        <f t="shared" si="34"/>
        <v>20.919</v>
      </c>
      <c r="J116" s="354">
        <f t="shared" si="34"/>
        <v>20.919</v>
      </c>
      <c r="K116" s="354">
        <f t="shared" si="34"/>
        <v>20.919</v>
      </c>
      <c r="L116" s="354">
        <f t="shared" si="34"/>
        <v>20.919</v>
      </c>
      <c r="M116" s="354">
        <f t="shared" si="34"/>
        <v>20.919</v>
      </c>
      <c r="N116" s="354">
        <f t="shared" si="34"/>
        <v>20.919</v>
      </c>
      <c r="O116" s="354">
        <f t="shared" si="34"/>
        <v>20.919</v>
      </c>
      <c r="P116" s="352"/>
    </row>
    <row r="117" spans="1:16" ht="15.75">
      <c r="B117" s="355"/>
      <c r="C117" s="434"/>
      <c r="D117" s="434"/>
      <c r="E117" s="434"/>
      <c r="F117" s="434"/>
      <c r="G117" s="434"/>
      <c r="H117" s="434"/>
      <c r="I117" s="434"/>
      <c r="J117" s="434"/>
      <c r="K117" s="434"/>
      <c r="L117" s="434"/>
      <c r="M117" s="434"/>
      <c r="N117" s="434"/>
      <c r="O117" s="434"/>
    </row>
    <row r="118" spans="1:16">
      <c r="C118" s="2725"/>
      <c r="P118" s="426"/>
    </row>
    <row r="120" spans="1:16">
      <c r="A120" s="423"/>
    </row>
    <row r="121" spans="1:16" ht="15.75" customHeight="1">
      <c r="B121" s="216" t="s">
        <v>281</v>
      </c>
      <c r="C121" s="183"/>
      <c r="D121" s="184"/>
      <c r="E121" s="184"/>
      <c r="F121" s="184"/>
      <c r="G121" s="184"/>
      <c r="H121" s="184"/>
      <c r="I121" s="184"/>
      <c r="J121" s="184"/>
      <c r="K121" s="184"/>
      <c r="L121" s="184"/>
      <c r="M121" s="184"/>
      <c r="N121" s="184"/>
      <c r="O121" s="184"/>
    </row>
    <row r="122" spans="1:16">
      <c r="B122" s="190"/>
      <c r="C122" s="191"/>
      <c r="D122" s="191"/>
      <c r="E122" s="191"/>
      <c r="F122" s="191"/>
      <c r="G122" s="191"/>
      <c r="H122" s="191"/>
      <c r="I122" s="191"/>
      <c r="J122" s="191"/>
      <c r="K122" s="191"/>
      <c r="L122" s="191"/>
      <c r="M122" s="191"/>
      <c r="N122" s="191"/>
      <c r="O122" s="191"/>
    </row>
    <row r="123" spans="1:16" ht="14.25" customHeight="1">
      <c r="B123" s="193"/>
      <c r="C123" s="186" t="s">
        <v>1815</v>
      </c>
      <c r="D123" s="187"/>
      <c r="E123" s="188"/>
      <c r="F123" s="187"/>
      <c r="G123" s="188"/>
      <c r="H123" s="187"/>
      <c r="I123" s="187"/>
      <c r="J123" s="187"/>
      <c r="K123" s="187"/>
      <c r="L123" s="187"/>
      <c r="M123" s="187"/>
      <c r="N123" s="187"/>
      <c r="O123" s="1625" t="s">
        <v>1816</v>
      </c>
    </row>
    <row r="124" spans="1:16">
      <c r="B124" s="193"/>
      <c r="C124" s="187"/>
      <c r="D124" s="187"/>
      <c r="E124" s="187"/>
      <c r="F124" s="187"/>
      <c r="G124" s="187"/>
      <c r="H124" s="187"/>
      <c r="I124" s="187"/>
      <c r="J124" s="187"/>
      <c r="K124" s="187"/>
      <c r="L124" s="187"/>
      <c r="M124" s="187"/>
      <c r="N124" s="187"/>
      <c r="O124" s="187"/>
    </row>
    <row r="125" spans="1:16" ht="15.75">
      <c r="B125" s="195"/>
      <c r="C125" s="221" t="s">
        <v>365</v>
      </c>
      <c r="D125" s="221" t="s">
        <v>337</v>
      </c>
      <c r="E125" s="221" t="s">
        <v>156</v>
      </c>
      <c r="F125" s="2373" t="s">
        <v>203</v>
      </c>
      <c r="G125" s="2373" t="s">
        <v>712</v>
      </c>
      <c r="H125" s="2373" t="s">
        <v>713</v>
      </c>
      <c r="I125" s="2373" t="s">
        <v>714</v>
      </c>
      <c r="J125" s="2373" t="s">
        <v>715</v>
      </c>
      <c r="K125" s="2373" t="s">
        <v>716</v>
      </c>
      <c r="L125" s="2373" t="s">
        <v>717</v>
      </c>
      <c r="M125" s="2373" t="s">
        <v>718</v>
      </c>
      <c r="N125" s="2373" t="s">
        <v>719</v>
      </c>
      <c r="O125" s="2373" t="s">
        <v>720</v>
      </c>
    </row>
    <row r="126" spans="1:16" ht="15.75">
      <c r="B126" s="195"/>
      <c r="C126" s="189" t="s">
        <v>350</v>
      </c>
      <c r="D126" s="196" t="s">
        <v>359</v>
      </c>
      <c r="E126" s="189"/>
      <c r="F126" s="2374">
        <f>F93</f>
        <v>21.223982992888423</v>
      </c>
      <c r="G126" s="2374">
        <f t="shared" ref="G126:O126" si="35">G93</f>
        <v>32.029247640268423</v>
      </c>
      <c r="H126" s="2374">
        <f t="shared" si="35"/>
        <v>36.427440234780001</v>
      </c>
      <c r="I126" s="2374">
        <f t="shared" si="35"/>
        <v>36.427440234780001</v>
      </c>
      <c r="J126" s="2374">
        <f t="shared" si="35"/>
        <v>36.427440234780001</v>
      </c>
      <c r="K126" s="2374">
        <f t="shared" si="35"/>
        <v>36.427440234780001</v>
      </c>
      <c r="L126" s="2374">
        <f t="shared" si="35"/>
        <v>36.427440234780001</v>
      </c>
      <c r="M126" s="2374">
        <f t="shared" si="35"/>
        <v>36.427440234780001</v>
      </c>
      <c r="N126" s="2374">
        <f t="shared" si="35"/>
        <v>36.427440234780001</v>
      </c>
      <c r="O126" s="2374">
        <f t="shared" si="35"/>
        <v>36.427440234780001</v>
      </c>
    </row>
    <row r="127" spans="1:16" ht="15.75">
      <c r="B127" s="195"/>
      <c r="C127" s="189" t="s">
        <v>351</v>
      </c>
      <c r="D127" s="196" t="s">
        <v>359</v>
      </c>
      <c r="E127" s="189"/>
      <c r="F127" s="2374">
        <f t="shared" ref="F127:O127" si="36">F94</f>
        <v>0</v>
      </c>
      <c r="G127" s="2374">
        <f t="shared" si="36"/>
        <v>0</v>
      </c>
      <c r="H127" s="2374">
        <f t="shared" si="36"/>
        <v>0</v>
      </c>
      <c r="I127" s="2374">
        <f t="shared" si="36"/>
        <v>0</v>
      </c>
      <c r="J127" s="2374">
        <f t="shared" si="36"/>
        <v>0</v>
      </c>
      <c r="K127" s="2374">
        <f t="shared" si="36"/>
        <v>0</v>
      </c>
      <c r="L127" s="2374">
        <f t="shared" si="36"/>
        <v>0</v>
      </c>
      <c r="M127" s="2374">
        <f t="shared" si="36"/>
        <v>0</v>
      </c>
      <c r="N127" s="2374">
        <f t="shared" si="36"/>
        <v>0</v>
      </c>
      <c r="O127" s="2374">
        <f t="shared" si="36"/>
        <v>0</v>
      </c>
    </row>
    <row r="128" spans="1:16" ht="15.75">
      <c r="B128" s="195"/>
      <c r="C128" s="189" t="s">
        <v>352</v>
      </c>
      <c r="D128" s="196" t="s">
        <v>359</v>
      </c>
      <c r="E128" s="189"/>
      <c r="F128" s="2374">
        <f t="shared" ref="F128:O128" si="37">F95</f>
        <v>0</v>
      </c>
      <c r="G128" s="2374">
        <f t="shared" si="37"/>
        <v>0</v>
      </c>
      <c r="H128" s="2374">
        <f t="shared" si="37"/>
        <v>0</v>
      </c>
      <c r="I128" s="2374">
        <f t="shared" si="37"/>
        <v>0</v>
      </c>
      <c r="J128" s="2374">
        <f t="shared" si="37"/>
        <v>0</v>
      </c>
      <c r="K128" s="2374">
        <f t="shared" si="37"/>
        <v>0</v>
      </c>
      <c r="L128" s="2374">
        <f t="shared" si="37"/>
        <v>0</v>
      </c>
      <c r="M128" s="2374">
        <f t="shared" si="37"/>
        <v>0</v>
      </c>
      <c r="N128" s="2374">
        <f t="shared" si="37"/>
        <v>0</v>
      </c>
      <c r="O128" s="2374">
        <f t="shared" si="37"/>
        <v>0</v>
      </c>
    </row>
    <row r="129" spans="2:15" ht="15.75">
      <c r="B129" s="195"/>
      <c r="C129" s="189" t="s">
        <v>103</v>
      </c>
      <c r="D129" s="189"/>
      <c r="E129" s="189"/>
      <c r="F129" s="223">
        <f>SUBTOTAL(109,[2007])</f>
        <v>21.223982992888423</v>
      </c>
      <c r="G129" s="223">
        <f>SUBTOTAL(109,[2012])</f>
        <v>32.029247640268423</v>
      </c>
      <c r="H129" s="223">
        <f>SUBTOTAL(109,[2017])</f>
        <v>36.427440234780001</v>
      </c>
      <c r="I129" s="223">
        <f>SUBTOTAL(109,[2022])</f>
        <v>36.427440234780001</v>
      </c>
      <c r="J129" s="223">
        <f>SUBTOTAL(109,[2027])</f>
        <v>36.427440234780001</v>
      </c>
      <c r="K129" s="223">
        <f>SUBTOTAL(109,[2032])</f>
        <v>36.427440234780001</v>
      </c>
      <c r="L129" s="223">
        <f>SUBTOTAL(109,[2037])</f>
        <v>36.427440234780001</v>
      </c>
      <c r="M129" s="223">
        <f>SUBTOTAL(109,[2042])</f>
        <v>36.427440234780001</v>
      </c>
      <c r="N129" s="223">
        <f>SUBTOTAL(109,[2047])</f>
        <v>36.427440234780001</v>
      </c>
      <c r="O129" s="223">
        <f>SUBTOTAL(109,[2052])</f>
        <v>36.427440234780001</v>
      </c>
    </row>
  </sheetData>
  <pageMargins left="0.7" right="0.7" top="0.75" bottom="0.75" header="0.3" footer="0.3"/>
  <pageSetup paperSize="9" orientation="portrait"/>
  <drawing r:id="rId1"/>
  <legacyDrawing r:id="rId2"/>
  <tableParts count="3">
    <tablePart r:id="rId3"/>
    <tablePart r:id="rId4"/>
    <tablePart r:id="rId5"/>
  </tablePar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tabColor theme="9"/>
    <outlinePr summaryBelow="0"/>
    <pageSetUpPr autoPageBreaks="0"/>
  </sheetPr>
  <dimension ref="A1:Q315"/>
  <sheetViews>
    <sheetView showGridLines="0" topLeftCell="C241" zoomScale="70" zoomScaleNormal="70" zoomScalePageLayoutView="70" workbookViewId="0">
      <selection activeCell="C251" sqref="C251"/>
    </sheetView>
  </sheetViews>
  <sheetFormatPr defaultColWidth="8.85546875" defaultRowHeight="12.75"/>
  <cols>
    <col min="1" max="1" width="7.7109375" style="563" customWidth="1"/>
    <col min="2" max="2" width="5.85546875" style="563" customWidth="1"/>
    <col min="3" max="3" width="20.42578125" style="563" customWidth="1"/>
    <col min="4" max="4" width="30.7109375" style="563" customWidth="1"/>
    <col min="5" max="6" width="20.7109375" style="563" customWidth="1"/>
    <col min="7" max="8" width="17.7109375" style="563" customWidth="1"/>
    <col min="9" max="9" width="19.42578125" style="563" customWidth="1"/>
    <col min="10" max="15" width="17.7109375" style="563" customWidth="1"/>
    <col min="16" max="16" width="10.7109375" style="563" customWidth="1"/>
    <col min="17" max="17" width="10.85546875" style="563" customWidth="1"/>
    <col min="18" max="16384" width="8.85546875" style="563"/>
  </cols>
  <sheetData>
    <row r="1" spans="1:16" ht="21">
      <c r="A1" s="77" t="s">
        <v>60</v>
      </c>
      <c r="B1" s="77" t="str">
        <f>INDEX(Workstreams[Workstream], MATCH($A1, Workstreams[Code], 0))</f>
        <v>Hydrocarbon fuel power generation</v>
      </c>
      <c r="C1" s="77"/>
      <c r="F1" s="2976" t="s">
        <v>2328</v>
      </c>
    </row>
    <row r="2" spans="1:16" s="51" customFormat="1" ht="19.5" customHeight="1">
      <c r="A2" s="6" t="s">
        <v>278</v>
      </c>
      <c r="B2" s="6" t="str">
        <f>INDEX(Modules[Module], MATCH($A2, Modules[Code], 0))</f>
        <v>Coal power stations</v>
      </c>
      <c r="C2" s="6"/>
      <c r="E2" s="404"/>
    </row>
    <row r="4" spans="1:16" ht="22.5">
      <c r="A4" s="420"/>
      <c r="B4" s="206" t="s">
        <v>416</v>
      </c>
      <c r="C4" s="174"/>
      <c r="D4" s="175"/>
      <c r="E4" s="176"/>
      <c r="F4" s="175"/>
      <c r="G4" s="175"/>
      <c r="H4" s="175"/>
      <c r="I4" s="175"/>
      <c r="J4" s="175"/>
      <c r="K4" s="175"/>
      <c r="L4" s="175"/>
      <c r="M4" s="175"/>
      <c r="N4" s="175"/>
      <c r="O4" s="175"/>
      <c r="P4" s="177"/>
    </row>
    <row r="5" spans="1:16">
      <c r="B5" s="164"/>
      <c r="C5" s="165"/>
      <c r="D5" s="166"/>
      <c r="E5" s="167" t="s">
        <v>120</v>
      </c>
      <c r="F5" s="166"/>
      <c r="G5" s="166"/>
      <c r="H5" s="166"/>
      <c r="I5" s="166"/>
      <c r="J5" s="166"/>
      <c r="K5" s="166"/>
      <c r="L5" s="166"/>
      <c r="M5" s="166"/>
      <c r="N5" s="166"/>
      <c r="O5" s="166"/>
      <c r="P5" s="168"/>
    </row>
    <row r="6" spans="1:16" ht="15.75">
      <c r="B6" s="169"/>
      <c r="C6" s="166"/>
      <c r="D6" s="118" t="s">
        <v>274</v>
      </c>
      <c r="E6" s="118" t="s">
        <v>411</v>
      </c>
      <c r="F6" s="166"/>
      <c r="G6" s="166"/>
      <c r="H6" s="166"/>
      <c r="I6" s="166"/>
      <c r="J6" s="166"/>
      <c r="K6" s="166"/>
      <c r="L6" s="166"/>
      <c r="M6" s="166"/>
      <c r="N6" s="166"/>
      <c r="O6" s="166"/>
      <c r="P6" s="168"/>
    </row>
    <row r="7" spans="1:16" ht="15.75">
      <c r="B7" s="169"/>
      <c r="C7" s="166"/>
      <c r="D7" s="127" t="s">
        <v>722</v>
      </c>
      <c r="E7" s="127">
        <f>I.b.scenario</f>
        <v>1</v>
      </c>
      <c r="F7" s="166"/>
      <c r="G7" s="166"/>
      <c r="H7" s="166"/>
      <c r="I7" s="166"/>
      <c r="J7" s="166"/>
      <c r="K7" s="166"/>
      <c r="L7" s="166"/>
      <c r="M7" s="166"/>
      <c r="N7" s="166"/>
      <c r="O7" s="166"/>
      <c r="P7" s="168"/>
    </row>
    <row r="8" spans="1:16" ht="15.75">
      <c r="B8" s="170"/>
      <c r="C8" s="171"/>
      <c r="D8" s="171" t="s">
        <v>723</v>
      </c>
      <c r="E8" s="171">
        <f>I.b.scenario.efficiency</f>
        <v>1</v>
      </c>
      <c r="F8" s="2726" t="s">
        <v>2115</v>
      </c>
      <c r="G8" s="172"/>
      <c r="H8" s="172"/>
      <c r="I8" s="172"/>
      <c r="J8" s="172"/>
      <c r="K8" s="172"/>
      <c r="L8" s="172"/>
      <c r="M8" s="172"/>
      <c r="N8" s="172"/>
      <c r="O8" s="172"/>
      <c r="P8" s="173"/>
    </row>
    <row r="10" spans="1:16">
      <c r="B10" s="207"/>
      <c r="C10" s="172"/>
      <c r="D10" s="172"/>
      <c r="E10" s="172"/>
      <c r="F10" s="172"/>
      <c r="G10" s="172"/>
      <c r="H10" s="172"/>
      <c r="I10" s="172"/>
      <c r="J10" s="172"/>
      <c r="K10" s="172"/>
      <c r="L10" s="172"/>
      <c r="M10" s="172"/>
      <c r="N10" s="172"/>
      <c r="O10" s="172"/>
      <c r="P10" s="173"/>
    </row>
    <row r="11" spans="1:16">
      <c r="B11" s="208"/>
    </row>
    <row r="12" spans="1:16" ht="22.5">
      <c r="A12" s="420"/>
      <c r="B12" s="421" t="s">
        <v>413</v>
      </c>
      <c r="C12" s="159"/>
      <c r="D12" s="159"/>
      <c r="E12" s="159"/>
      <c r="F12" s="159"/>
      <c r="G12" s="159"/>
      <c r="H12" s="159"/>
      <c r="I12" s="159"/>
      <c r="J12" s="159"/>
      <c r="K12" s="159"/>
      <c r="L12" s="159"/>
      <c r="M12" s="159"/>
      <c r="N12" s="159"/>
      <c r="O12" s="159"/>
      <c r="P12" s="160"/>
    </row>
    <row r="13" spans="1:16">
      <c r="B13" s="210"/>
      <c r="C13" s="198"/>
      <c r="D13" s="198"/>
      <c r="E13" s="198"/>
      <c r="F13" s="198"/>
      <c r="G13" s="198"/>
      <c r="H13" s="198"/>
      <c r="I13" s="198"/>
      <c r="J13" s="198"/>
      <c r="K13" s="198"/>
      <c r="L13" s="198"/>
      <c r="M13" s="198"/>
      <c r="N13" s="198"/>
      <c r="O13" s="198"/>
      <c r="P13" s="199"/>
    </row>
    <row r="14" spans="1:16">
      <c r="B14" s="211"/>
      <c r="C14" s="416" t="s">
        <v>701</v>
      </c>
      <c r="D14" s="415"/>
      <c r="E14" s="104"/>
      <c r="F14" s="415"/>
      <c r="G14" s="415"/>
      <c r="H14" s="415"/>
      <c r="I14" s="415"/>
      <c r="J14" s="415"/>
      <c r="K14" s="415"/>
      <c r="L14" s="415"/>
      <c r="M14" s="415"/>
      <c r="N14" s="415"/>
      <c r="O14" s="104" t="str">
        <f>Preferences.PowerUnits</f>
        <v>GW</v>
      </c>
      <c r="P14" s="419"/>
    </row>
    <row r="15" spans="1:16" ht="5.25" customHeight="1">
      <c r="B15" s="211"/>
      <c r="C15" s="415"/>
      <c r="D15" s="415"/>
      <c r="E15" s="415"/>
      <c r="F15" s="415"/>
      <c r="G15" s="415"/>
      <c r="H15" s="415"/>
      <c r="I15" s="415"/>
      <c r="J15" s="415"/>
      <c r="K15" s="415"/>
      <c r="L15" s="415"/>
      <c r="M15" s="415"/>
      <c r="N15" s="415"/>
      <c r="O15" s="415"/>
      <c r="P15" s="419"/>
    </row>
    <row r="16" spans="1:16" ht="15.75">
      <c r="B16" s="212"/>
      <c r="C16" s="61" t="s">
        <v>411</v>
      </c>
      <c r="D16" s="61" t="s">
        <v>65</v>
      </c>
      <c r="E16" s="61" t="s">
        <v>156</v>
      </c>
      <c r="F16" s="238">
        <v>2007</v>
      </c>
      <c r="G16" s="119">
        <f>F16+5</f>
        <v>2012</v>
      </c>
      <c r="H16" s="119">
        <f t="shared" ref="H16:O16" si="0">G16+5</f>
        <v>2017</v>
      </c>
      <c r="I16" s="119">
        <f t="shared" si="0"/>
        <v>2022</v>
      </c>
      <c r="J16" s="119">
        <f t="shared" si="0"/>
        <v>2027</v>
      </c>
      <c r="K16" s="119">
        <f t="shared" si="0"/>
        <v>2032</v>
      </c>
      <c r="L16" s="119">
        <f t="shared" si="0"/>
        <v>2037</v>
      </c>
      <c r="M16" s="119">
        <f t="shared" si="0"/>
        <v>2042</v>
      </c>
      <c r="N16" s="119">
        <f t="shared" si="0"/>
        <v>2047</v>
      </c>
      <c r="O16" s="119">
        <f t="shared" si="0"/>
        <v>2052</v>
      </c>
      <c r="P16" s="419"/>
    </row>
    <row r="17" spans="2:16" ht="15.75">
      <c r="B17" s="213"/>
      <c r="C17" s="413">
        <v>1</v>
      </c>
      <c r="D17" s="414"/>
      <c r="E17" s="96" t="s">
        <v>724</v>
      </c>
      <c r="F17" s="519">
        <f>71*(Unit.GW)</f>
        <v>71</v>
      </c>
      <c r="G17" s="222">
        <f>G50-F50-G$42</f>
        <v>34.912300000000002</v>
      </c>
      <c r="H17" s="222">
        <f t="shared" ref="H17:O17" si="1">H50-G50-H42</f>
        <v>45.772551617465993</v>
      </c>
      <c r="I17" s="222">
        <f t="shared" si="1"/>
        <v>0</v>
      </c>
      <c r="J17" s="222">
        <f t="shared" si="1"/>
        <v>0</v>
      </c>
      <c r="K17" s="222">
        <f t="shared" si="1"/>
        <v>0</v>
      </c>
      <c r="L17" s="222">
        <f t="shared" si="1"/>
        <v>0</v>
      </c>
      <c r="M17" s="222">
        <f t="shared" si="1"/>
        <v>7.1054273576010019E-15</v>
      </c>
      <c r="N17" s="222">
        <f t="shared" si="1"/>
        <v>0</v>
      </c>
      <c r="O17" s="222">
        <f t="shared" si="1"/>
        <v>0</v>
      </c>
      <c r="P17" s="154"/>
    </row>
    <row r="18" spans="2:16" s="564" customFormat="1" ht="15.75">
      <c r="B18" s="213"/>
      <c r="C18" s="413"/>
      <c r="D18" s="414"/>
      <c r="E18" s="414" t="s">
        <v>725</v>
      </c>
      <c r="F18" s="519">
        <f>11*(Unit.GW)</f>
        <v>11</v>
      </c>
      <c r="G18" s="222">
        <f>G51-F51-G$43</f>
        <v>8.1110000000000007</v>
      </c>
      <c r="H18" s="222">
        <f t="shared" ref="H18:M18" si="2">H51-G51-H43</f>
        <v>16.378587120761701</v>
      </c>
      <c r="I18" s="222">
        <f t="shared" si="2"/>
        <v>0</v>
      </c>
      <c r="J18" s="222">
        <f t="shared" si="2"/>
        <v>0</v>
      </c>
      <c r="K18" s="222">
        <f t="shared" si="2"/>
        <v>0</v>
      </c>
      <c r="L18" s="222">
        <f t="shared" si="2"/>
        <v>0</v>
      </c>
      <c r="M18" s="222">
        <f t="shared" si="2"/>
        <v>0</v>
      </c>
      <c r="N18" s="222"/>
      <c r="O18" s="222"/>
      <c r="P18" s="154"/>
    </row>
    <row r="19" spans="2:16" s="564" customFormat="1" ht="15.75">
      <c r="B19" s="213"/>
      <c r="C19" s="413"/>
      <c r="D19" s="414"/>
      <c r="E19" s="417" t="s">
        <v>103</v>
      </c>
      <c r="F19" s="569">
        <f>(F18+F17)</f>
        <v>82</v>
      </c>
      <c r="G19" s="572">
        <f>SUM(G17:G18)</f>
        <v>43.023300000000006</v>
      </c>
      <c r="H19" s="572">
        <f t="shared" ref="H19:O19" si="3">SUM(H17:H18)</f>
        <v>62.151138738227694</v>
      </c>
      <c r="I19" s="572">
        <f t="shared" si="3"/>
        <v>0</v>
      </c>
      <c r="J19" s="572">
        <f t="shared" si="3"/>
        <v>0</v>
      </c>
      <c r="K19" s="572">
        <f t="shared" si="3"/>
        <v>0</v>
      </c>
      <c r="L19" s="572">
        <f t="shared" si="3"/>
        <v>0</v>
      </c>
      <c r="M19" s="572">
        <f t="shared" si="3"/>
        <v>7.1054273576010019E-15</v>
      </c>
      <c r="N19" s="572">
        <f t="shared" si="3"/>
        <v>0</v>
      </c>
      <c r="O19" s="572">
        <f t="shared" si="3"/>
        <v>0</v>
      </c>
      <c r="P19" s="154"/>
    </row>
    <row r="20" spans="2:16" ht="15.75">
      <c r="B20" s="212"/>
      <c r="C20" s="413">
        <v>2</v>
      </c>
      <c r="D20" s="414"/>
      <c r="E20" s="96" t="s">
        <v>724</v>
      </c>
      <c r="F20" s="519">
        <f>71*(Unit.GW)</f>
        <v>71</v>
      </c>
      <c r="G20" s="222">
        <f>G53-F53-G$42</f>
        <v>34.912300000000002</v>
      </c>
      <c r="H20" s="222">
        <f t="shared" ref="H20:O20" si="4">H53-G53-H$42</f>
        <v>52.695000000000007</v>
      </c>
      <c r="I20" s="222">
        <f t="shared" si="4"/>
        <v>59.069727899687003</v>
      </c>
      <c r="J20" s="222">
        <f t="shared" si="4"/>
        <v>46.466542440594985</v>
      </c>
      <c r="K20" s="222">
        <f t="shared" si="4"/>
        <v>26.027834348388996</v>
      </c>
      <c r="L20" s="222">
        <f t="shared" si="4"/>
        <v>20.037878291121036</v>
      </c>
      <c r="M20" s="222">
        <f t="shared" si="4"/>
        <v>18.43549265424695</v>
      </c>
      <c r="N20" s="222">
        <f t="shared" si="4"/>
        <v>22.683101267503034</v>
      </c>
      <c r="O20" s="222">
        <f t="shared" si="4"/>
        <v>49.557924051955013</v>
      </c>
      <c r="P20" s="419"/>
    </row>
    <row r="21" spans="2:16" s="564" customFormat="1" ht="15.75">
      <c r="B21" s="212"/>
      <c r="C21" s="413"/>
      <c r="D21" s="414"/>
      <c r="E21" s="414" t="s">
        <v>725</v>
      </c>
      <c r="F21" s="519">
        <f>11*(Unit.GW)</f>
        <v>11</v>
      </c>
      <c r="G21" s="222">
        <f>G54-F54-G$43</f>
        <v>8.1110000000000007</v>
      </c>
      <c r="H21" s="222">
        <f t="shared" ref="H21:M21" si="5">H54-G54-H$43</f>
        <v>17.799999999999997</v>
      </c>
      <c r="I21" s="222">
        <f t="shared" si="5"/>
        <v>17.531842247220901</v>
      </c>
      <c r="J21" s="222">
        <f t="shared" si="5"/>
        <v>13.615465978272805</v>
      </c>
      <c r="K21" s="222">
        <f t="shared" si="5"/>
        <v>8.1743297499204974</v>
      </c>
      <c r="L21" s="222">
        <f t="shared" si="5"/>
        <v>2.8407722455079947</v>
      </c>
      <c r="M21" s="222">
        <f t="shared" si="5"/>
        <v>1.2087839240757052</v>
      </c>
      <c r="N21" s="222"/>
      <c r="O21" s="222"/>
      <c r="P21" s="419"/>
    </row>
    <row r="22" spans="2:16" s="564" customFormat="1" ht="15.75">
      <c r="B22" s="212"/>
      <c r="C22" s="413"/>
      <c r="D22" s="414"/>
      <c r="E22" s="417" t="s">
        <v>103</v>
      </c>
      <c r="F22" s="569">
        <f>(F21+F20)</f>
        <v>82</v>
      </c>
      <c r="G22" s="572">
        <f t="shared" ref="G22:O22" si="6">SUM(G20:G21)</f>
        <v>43.023300000000006</v>
      </c>
      <c r="H22" s="572">
        <f t="shared" si="6"/>
        <v>70.495000000000005</v>
      </c>
      <c r="I22" s="572">
        <f t="shared" si="6"/>
        <v>76.601570146907903</v>
      </c>
      <c r="J22" s="572">
        <f t="shared" si="6"/>
        <v>60.082008418867787</v>
      </c>
      <c r="K22" s="572">
        <f t="shared" si="6"/>
        <v>34.202164098309495</v>
      </c>
      <c r="L22" s="572">
        <f t="shared" si="6"/>
        <v>22.878650536629031</v>
      </c>
      <c r="M22" s="572">
        <f t="shared" si="6"/>
        <v>19.644276578322653</v>
      </c>
      <c r="N22" s="572">
        <f t="shared" si="6"/>
        <v>22.683101267503034</v>
      </c>
      <c r="O22" s="572">
        <f t="shared" si="6"/>
        <v>49.557924051955013</v>
      </c>
      <c r="P22" s="419"/>
    </row>
    <row r="23" spans="2:16" ht="15.75">
      <c r="B23" s="212"/>
      <c r="C23" s="413">
        <v>3</v>
      </c>
      <c r="D23" s="414"/>
      <c r="E23" s="96" t="s">
        <v>724</v>
      </c>
      <c r="F23" s="519">
        <f>71*(Unit.GW)</f>
        <v>71</v>
      </c>
      <c r="G23" s="222">
        <f>G56-F56-G$42</f>
        <v>34.912300000000002</v>
      </c>
      <c r="H23" s="222">
        <f t="shared" ref="H23:O23" si="7">H56-G56-H$42</f>
        <v>59.521577723834</v>
      </c>
      <c r="I23" s="222">
        <f t="shared" si="7"/>
        <v>64.115558845558979</v>
      </c>
      <c r="J23" s="222">
        <f t="shared" si="7"/>
        <v>70.717382714973994</v>
      </c>
      <c r="K23" s="222">
        <f t="shared" si="7"/>
        <v>61.979413093492028</v>
      </c>
      <c r="L23" s="222">
        <f t="shared" si="7"/>
        <v>49.967850511427983</v>
      </c>
      <c r="M23" s="222">
        <f t="shared" si="7"/>
        <v>33.385213783495992</v>
      </c>
      <c r="N23" s="222">
        <f t="shared" si="7"/>
        <v>18.863111730084981</v>
      </c>
      <c r="O23" s="222">
        <f t="shared" si="7"/>
        <v>45.417025867009045</v>
      </c>
      <c r="P23" s="419"/>
    </row>
    <row r="24" spans="2:16" s="564" customFormat="1" ht="15.75">
      <c r="B24" s="212"/>
      <c r="C24" s="413"/>
      <c r="D24" s="414"/>
      <c r="E24" s="414" t="s">
        <v>725</v>
      </c>
      <c r="F24" s="519">
        <f>11*(Unit.GW)</f>
        <v>11</v>
      </c>
      <c r="G24" s="222">
        <f>G57-F57-G$43</f>
        <v>8.1110000000000007</v>
      </c>
      <c r="H24" s="222">
        <f t="shared" ref="H24:N24" si="8">H57-G57-H$43</f>
        <v>15.689</v>
      </c>
      <c r="I24" s="222">
        <f t="shared" si="8"/>
        <v>22.6</v>
      </c>
      <c r="J24" s="222">
        <f t="shared" si="8"/>
        <v>5.1783171624144968</v>
      </c>
      <c r="K24" s="222">
        <f t="shared" si="8"/>
        <v>5.8241440426601034</v>
      </c>
      <c r="L24" s="222">
        <f t="shared" si="8"/>
        <v>5.8113432960885971</v>
      </c>
      <c r="M24" s="222">
        <f t="shared" si="8"/>
        <v>9.3874142091135031</v>
      </c>
      <c r="N24" s="222">
        <f t="shared" si="8"/>
        <v>0.47282244442259724</v>
      </c>
      <c r="O24" s="222"/>
      <c r="P24" s="419"/>
    </row>
    <row r="25" spans="2:16" s="564" customFormat="1" ht="15.75">
      <c r="B25" s="212"/>
      <c r="C25" s="413"/>
      <c r="D25" s="414"/>
      <c r="E25" s="417" t="s">
        <v>103</v>
      </c>
      <c r="F25" s="569">
        <f>(F24+F23)</f>
        <v>82</v>
      </c>
      <c r="G25" s="572">
        <f t="shared" ref="G25:O25" si="9">SUM(G23:G24)</f>
        <v>43.023300000000006</v>
      </c>
      <c r="H25" s="572">
        <f t="shared" si="9"/>
        <v>75.210577723834007</v>
      </c>
      <c r="I25" s="572">
        <f t="shared" si="9"/>
        <v>86.715558845558974</v>
      </c>
      <c r="J25" s="572">
        <f t="shared" si="9"/>
        <v>75.895699877388495</v>
      </c>
      <c r="K25" s="572">
        <f t="shared" si="9"/>
        <v>67.803557136152136</v>
      </c>
      <c r="L25" s="572">
        <f t="shared" si="9"/>
        <v>55.779193807516577</v>
      </c>
      <c r="M25" s="572">
        <f t="shared" si="9"/>
        <v>42.772627992609493</v>
      </c>
      <c r="N25" s="572">
        <f t="shared" si="9"/>
        <v>19.335934174507578</v>
      </c>
      <c r="O25" s="572">
        <f t="shared" si="9"/>
        <v>45.417025867009045</v>
      </c>
      <c r="P25" s="419"/>
    </row>
    <row r="26" spans="2:16" s="564" customFormat="1" ht="15.75">
      <c r="B26" s="212"/>
      <c r="C26" s="413">
        <v>4</v>
      </c>
      <c r="D26" s="414"/>
      <c r="E26" s="96" t="s">
        <v>724</v>
      </c>
      <c r="F26" s="519">
        <f>71*(Unit.GW)</f>
        <v>71</v>
      </c>
      <c r="G26" s="222">
        <f>G59-F59-G$42</f>
        <v>34.912300000000002</v>
      </c>
      <c r="H26" s="222">
        <f t="shared" ref="H26:O26" si="10">H59-G59-H$42</f>
        <v>71.737343331448002</v>
      </c>
      <c r="I26" s="222">
        <f t="shared" si="10"/>
        <v>86.810273984204997</v>
      </c>
      <c r="J26" s="222">
        <f t="shared" si="10"/>
        <v>97.489814463864988</v>
      </c>
      <c r="K26" s="222">
        <f t="shared" si="10"/>
        <v>85.19086312622197</v>
      </c>
      <c r="L26" s="222">
        <f t="shared" si="10"/>
        <v>63.304090177049048</v>
      </c>
      <c r="M26" s="222">
        <f t="shared" si="10"/>
        <v>43.334507514805971</v>
      </c>
      <c r="N26" s="222">
        <f t="shared" si="10"/>
        <v>36.829187772943996</v>
      </c>
      <c r="O26" s="222">
        <f t="shared" si="10"/>
        <v>51.073950917686034</v>
      </c>
      <c r="P26" s="419"/>
    </row>
    <row r="27" spans="2:16" s="564" customFormat="1" ht="15.75">
      <c r="B27" s="212"/>
      <c r="C27" s="413"/>
      <c r="D27" s="414"/>
      <c r="E27" s="414" t="s">
        <v>725</v>
      </c>
      <c r="F27" s="519">
        <f>11*(Unit.GW)</f>
        <v>11</v>
      </c>
      <c r="G27" s="222">
        <f>G60-F60-G$43</f>
        <v>8.1110000000000007</v>
      </c>
      <c r="H27" s="222">
        <f t="shared" ref="H27:O27" si="11">H60-G60-H$43</f>
        <v>20.689</v>
      </c>
      <c r="I27" s="222">
        <f t="shared" si="11"/>
        <v>22.6</v>
      </c>
      <c r="J27" s="222">
        <f t="shared" si="11"/>
        <v>4.9034831322737018</v>
      </c>
      <c r="K27" s="222">
        <f t="shared" si="11"/>
        <v>5.3775693572073013</v>
      </c>
      <c r="L27" s="222">
        <f t="shared" si="11"/>
        <v>5.5188572084581962</v>
      </c>
      <c r="M27" s="222">
        <f t="shared" si="11"/>
        <v>9.6296465439264001</v>
      </c>
      <c r="N27" s="222">
        <f t="shared" si="11"/>
        <v>1.975455335446</v>
      </c>
      <c r="O27" s="222">
        <f t="shared" si="11"/>
        <v>2.0339461662156992</v>
      </c>
      <c r="P27" s="419"/>
    </row>
    <row r="28" spans="2:16" s="564" customFormat="1" ht="15.75">
      <c r="B28" s="212"/>
      <c r="C28" s="413"/>
      <c r="D28" s="414"/>
      <c r="E28" s="417" t="s">
        <v>103</v>
      </c>
      <c r="F28" s="569">
        <f>(F27+F26)</f>
        <v>82</v>
      </c>
      <c r="G28" s="572">
        <f t="shared" ref="G28:O28" si="12">SUM(G26:G27)</f>
        <v>43.023300000000006</v>
      </c>
      <c r="H28" s="572">
        <f t="shared" si="12"/>
        <v>92.42634333144801</v>
      </c>
      <c r="I28" s="572">
        <f t="shared" si="12"/>
        <v>109.41027398420499</v>
      </c>
      <c r="J28" s="572">
        <f t="shared" si="12"/>
        <v>102.39329759613869</v>
      </c>
      <c r="K28" s="572">
        <f t="shared" si="12"/>
        <v>90.568432483429277</v>
      </c>
      <c r="L28" s="572">
        <f t="shared" si="12"/>
        <v>68.822947385507248</v>
      </c>
      <c r="M28" s="572">
        <f t="shared" si="12"/>
        <v>52.964154058732369</v>
      </c>
      <c r="N28" s="572">
        <f t="shared" si="12"/>
        <v>38.804643108389996</v>
      </c>
      <c r="O28" s="572">
        <f t="shared" si="12"/>
        <v>53.107897083901733</v>
      </c>
      <c r="P28" s="419"/>
    </row>
    <row r="29" spans="2:16" ht="15.75">
      <c r="B29" s="212"/>
      <c r="C29" s="411"/>
      <c r="D29" s="65"/>
      <c r="E29" s="65"/>
      <c r="F29" s="314"/>
      <c r="G29" s="263"/>
      <c r="H29" s="263"/>
      <c r="I29" s="263"/>
      <c r="J29" s="263"/>
      <c r="K29" s="263"/>
      <c r="L29" s="263"/>
      <c r="M29" s="263"/>
      <c r="N29" s="263"/>
      <c r="O29" s="101"/>
      <c r="P29" s="419"/>
    </row>
    <row r="30" spans="2:16" ht="15.75">
      <c r="B30" s="152"/>
      <c r="C30" s="581" t="s">
        <v>733</v>
      </c>
      <c r="D30" s="407"/>
      <c r="E30" s="407"/>
      <c r="F30" s="568">
        <f>(INDEX(F$17:F$28,ROUNDDOWN(3*$E$7-2,0))*(1-MOD(3*$E$7-2,1)))+(INDEX(F$17:F$28,ROUNDUP(3*$E$7-2,0))*MOD(3*$E$7-2,1))</f>
        <v>71</v>
      </c>
      <c r="G30" s="568">
        <f>(INDEX(G$17:G$28,ROUNDDOWN(3*$E$7-2,0))*(1-MOD(3*$E$7-2,1)))+(INDEX(G$17:G$28,ROUNDUP(3*$E$7-2,0))*MOD(3*$E$7-2,1))</f>
        <v>34.912300000000002</v>
      </c>
      <c r="H30" s="568">
        <f t="shared" ref="H30:O30" si="13">(INDEX(H$17:H$28,ROUNDDOWN(3*$E$7-2,0))*(1-MOD(3*$E$7-2,1)))+(INDEX(H$17:H$28,ROUNDUP(3*$E$7-2,0))*MOD(3*$E$7-2,1))</f>
        <v>45.772551617465993</v>
      </c>
      <c r="I30" s="568">
        <f t="shared" si="13"/>
        <v>0</v>
      </c>
      <c r="J30" s="568">
        <f t="shared" si="13"/>
        <v>0</v>
      </c>
      <c r="K30" s="568">
        <f t="shared" si="13"/>
        <v>0</v>
      </c>
      <c r="L30" s="568">
        <f t="shared" si="13"/>
        <v>0</v>
      </c>
      <c r="M30" s="568">
        <f t="shared" si="13"/>
        <v>7.1054273576010019E-15</v>
      </c>
      <c r="N30" s="568">
        <f t="shared" si="13"/>
        <v>0</v>
      </c>
      <c r="O30" s="568">
        <f t="shared" si="13"/>
        <v>0</v>
      </c>
      <c r="P30" s="419"/>
    </row>
    <row r="31" spans="2:16" s="576" customFormat="1" ht="15.75">
      <c r="B31" s="152"/>
      <c r="C31" s="455" t="s">
        <v>734</v>
      </c>
      <c r="D31" s="414"/>
      <c r="E31" s="414"/>
      <c r="F31" s="568">
        <f>(INDEX(F$17:F$28,ROUNDDOWN(3*$E$7-1,0))*(1-MOD(3*$E$7-1,1)))+(INDEX(F$17:F$28,ROUNDUP(3*$E$7-1,0))*MOD(3*$E$7-1,1))</f>
        <v>11</v>
      </c>
      <c r="G31" s="568">
        <f>(INDEX(G$17:G$28,ROUNDDOWN(3*$E$7-1,0))*(1-MOD(3*$E$7-1,1)))+(INDEX(G$17:G$28,ROUNDUP(3*$E$7-1,0))*MOD(3*$E$7-1,1))</f>
        <v>8.1110000000000007</v>
      </c>
      <c r="H31" s="568">
        <f t="shared" ref="H31:O31" si="14">(INDEX(H$17:H$28,ROUNDDOWN(3*$E$7-1,0))*(1-MOD(3*$E$7-1,1)))+(INDEX(H$17:H$28,ROUNDUP(3*$E$7-1,0))*MOD(3*$E$7-1,1))</f>
        <v>16.378587120761701</v>
      </c>
      <c r="I31" s="568">
        <f t="shared" si="14"/>
        <v>0</v>
      </c>
      <c r="J31" s="568">
        <f t="shared" si="14"/>
        <v>0</v>
      </c>
      <c r="K31" s="568">
        <f t="shared" si="14"/>
        <v>0</v>
      </c>
      <c r="L31" s="568">
        <f t="shared" si="14"/>
        <v>0</v>
      </c>
      <c r="M31" s="568">
        <f t="shared" si="14"/>
        <v>0</v>
      </c>
      <c r="N31" s="568">
        <f t="shared" si="14"/>
        <v>0</v>
      </c>
      <c r="O31" s="568">
        <f t="shared" si="14"/>
        <v>0</v>
      </c>
      <c r="P31" s="419"/>
    </row>
    <row r="32" spans="2:16" s="576" customFormat="1" ht="15.75">
      <c r="B32" s="152"/>
      <c r="C32" s="455" t="s">
        <v>103</v>
      </c>
      <c r="D32" s="414"/>
      <c r="E32" s="414"/>
      <c r="F32" s="568">
        <f>(INDEX(F$17:F$28,ROUNDDOWN(3*$E$7,0))*(1-MOD(3*$E$7,1)))+(INDEX(F$17:F$28,ROUNDUP(3*$E$7,0))*MOD(3*$E$7,1))</f>
        <v>82</v>
      </c>
      <c r="G32" s="568">
        <f>(INDEX(G$17:G$28,ROUNDDOWN(3*$E$7,0))*(1-MOD(3*$E$7,1)))+(INDEX(G$17:G$28,ROUNDUP(3*$E$7,0))*MOD(3*$E$7,1))</f>
        <v>43.023300000000006</v>
      </c>
      <c r="H32" s="568">
        <f t="shared" ref="H32:O32" si="15">(INDEX(H$17:H$28,ROUNDDOWN(3*$E$7,0))*(1-MOD(3*$E$7,1)))+(INDEX(H$17:H$28,ROUNDUP(3*$E$7,0))*MOD(3*$E$7,1))</f>
        <v>62.151138738227694</v>
      </c>
      <c r="I32" s="568">
        <f t="shared" si="15"/>
        <v>0</v>
      </c>
      <c r="J32" s="568">
        <f t="shared" si="15"/>
        <v>0</v>
      </c>
      <c r="K32" s="568">
        <f t="shared" si="15"/>
        <v>0</v>
      </c>
      <c r="L32" s="568">
        <f t="shared" si="15"/>
        <v>0</v>
      </c>
      <c r="M32" s="568">
        <f t="shared" si="15"/>
        <v>7.1054273576010019E-15</v>
      </c>
      <c r="N32" s="568">
        <f t="shared" si="15"/>
        <v>0</v>
      </c>
      <c r="O32" s="568">
        <f t="shared" si="15"/>
        <v>0</v>
      </c>
      <c r="P32" s="419"/>
    </row>
    <row r="33" spans="2:17" s="576" customFormat="1" ht="15.75">
      <c r="B33" s="152"/>
      <c r="C33" s="126"/>
      <c r="D33" s="414"/>
      <c r="E33" s="414"/>
      <c r="F33" s="222"/>
      <c r="G33" s="580"/>
      <c r="H33" s="580"/>
      <c r="I33" s="580"/>
      <c r="J33" s="580"/>
      <c r="K33" s="580"/>
      <c r="L33" s="580"/>
      <c r="M33" s="580"/>
      <c r="N33" s="580"/>
      <c r="O33" s="580"/>
      <c r="P33" s="419"/>
    </row>
    <row r="34" spans="2:17" s="576" customFormat="1" ht="15.75">
      <c r="B34" s="152"/>
      <c r="C34" s="126"/>
      <c r="D34" s="414"/>
      <c r="E34" s="414"/>
      <c r="F34" s="222"/>
      <c r="G34" s="580"/>
      <c r="H34" s="580"/>
      <c r="I34" s="580"/>
      <c r="J34" s="580"/>
      <c r="K34" s="580"/>
      <c r="L34" s="580"/>
      <c r="M34" s="580"/>
      <c r="N34" s="580"/>
      <c r="O34" s="580"/>
      <c r="P34" s="419"/>
    </row>
    <row r="35" spans="2:17" s="576" customFormat="1" ht="15.75">
      <c r="B35" s="152"/>
      <c r="C35" s="2985"/>
      <c r="D35" s="453"/>
      <c r="E35" s="453"/>
      <c r="F35" s="890"/>
      <c r="G35" s="889"/>
      <c r="H35" s="889"/>
      <c r="I35" s="889"/>
      <c r="J35" s="889"/>
      <c r="K35" s="889"/>
      <c r="L35" s="889"/>
      <c r="M35" s="889"/>
      <c r="N35" s="889"/>
      <c r="O35" s="889"/>
      <c r="P35" s="2986"/>
      <c r="Q35" s="232"/>
    </row>
    <row r="36" spans="2:17" s="576" customFormat="1" ht="15.75">
      <c r="B36" s="152"/>
      <c r="C36" s="2985"/>
      <c r="D36" s="453"/>
      <c r="E36" s="453"/>
      <c r="F36" s="890"/>
      <c r="G36" s="889"/>
      <c r="H36" s="889"/>
      <c r="I36" s="889"/>
      <c r="J36" s="889"/>
      <c r="K36" s="889"/>
      <c r="L36" s="889"/>
      <c r="M36" s="889"/>
      <c r="N36" s="889"/>
      <c r="O36" s="889"/>
      <c r="P36" s="2986"/>
      <c r="Q36" s="232"/>
    </row>
    <row r="37" spans="2:17" s="576" customFormat="1" ht="15.75">
      <c r="B37" s="152"/>
      <c r="C37" s="2985"/>
      <c r="D37" s="453"/>
      <c r="E37" s="453"/>
      <c r="F37" s="890"/>
      <c r="G37" s="889"/>
      <c r="H37" s="889"/>
      <c r="I37" s="889"/>
      <c r="J37" s="889"/>
      <c r="K37" s="889"/>
      <c r="L37" s="889"/>
      <c r="M37" s="889"/>
      <c r="N37" s="889"/>
      <c r="O37" s="889"/>
      <c r="P37" s="2986"/>
      <c r="Q37" s="232"/>
    </row>
    <row r="38" spans="2:17">
      <c r="B38" s="214"/>
      <c r="C38" s="415"/>
      <c r="D38" s="105"/>
      <c r="E38" s="415"/>
      <c r="F38" s="415"/>
      <c r="G38" s="415"/>
      <c r="H38" s="415"/>
      <c r="I38" s="415"/>
      <c r="J38" s="415"/>
      <c r="K38" s="415"/>
      <c r="L38" s="415"/>
      <c r="M38" s="415"/>
      <c r="N38" s="415"/>
      <c r="O38" s="415"/>
      <c r="P38" s="419"/>
    </row>
    <row r="39" spans="2:17" s="564" customFormat="1">
      <c r="B39" s="211"/>
      <c r="C39" s="416" t="s">
        <v>726</v>
      </c>
      <c r="D39" s="415"/>
      <c r="E39" s="104"/>
      <c r="F39" s="415"/>
      <c r="G39" s="415"/>
      <c r="H39" s="415"/>
      <c r="I39" s="415"/>
      <c r="J39" s="415"/>
      <c r="K39" s="415"/>
      <c r="L39" s="415"/>
      <c r="M39" s="415"/>
      <c r="N39" s="415"/>
      <c r="O39" s="104" t="str">
        <f>Preferences.PowerUnits</f>
        <v>GW</v>
      </c>
      <c r="P39" s="419"/>
    </row>
    <row r="40" spans="2:17" s="564" customFormat="1">
      <c r="B40" s="211"/>
      <c r="C40" s="415"/>
      <c r="D40" s="415"/>
      <c r="E40" s="415"/>
      <c r="F40" s="415"/>
      <c r="G40" s="415"/>
      <c r="H40" s="415"/>
      <c r="I40" s="415"/>
      <c r="J40" s="415"/>
      <c r="K40" s="415"/>
      <c r="L40" s="415"/>
      <c r="M40" s="415"/>
      <c r="N40" s="415"/>
      <c r="O40" s="415"/>
      <c r="P40" s="419"/>
    </row>
    <row r="41" spans="2:17" s="564" customFormat="1" ht="15.75">
      <c r="B41" s="212"/>
      <c r="C41" s="61"/>
      <c r="D41" s="61" t="s">
        <v>65</v>
      </c>
      <c r="E41" s="61" t="s">
        <v>156</v>
      </c>
      <c r="F41" s="238">
        <v>2007</v>
      </c>
      <c r="G41" s="119">
        <f>F41+5</f>
        <v>2012</v>
      </c>
      <c r="H41" s="119">
        <f t="shared" ref="H41:O41" si="16">G41+5</f>
        <v>2017</v>
      </c>
      <c r="I41" s="119">
        <f t="shared" si="16"/>
        <v>2022</v>
      </c>
      <c r="J41" s="119">
        <f t="shared" si="16"/>
        <v>2027</v>
      </c>
      <c r="K41" s="119">
        <f t="shared" si="16"/>
        <v>2032</v>
      </c>
      <c r="L41" s="119">
        <f t="shared" si="16"/>
        <v>2037</v>
      </c>
      <c r="M41" s="119">
        <f t="shared" si="16"/>
        <v>2042</v>
      </c>
      <c r="N41" s="119">
        <f t="shared" si="16"/>
        <v>2047</v>
      </c>
      <c r="O41" s="119">
        <f t="shared" si="16"/>
        <v>2052</v>
      </c>
      <c r="P41" s="419"/>
    </row>
    <row r="42" spans="2:17" s="564" customFormat="1" ht="15.75">
      <c r="B42" s="213"/>
      <c r="C42" s="413"/>
      <c r="D42" s="414"/>
      <c r="E42" s="96" t="s">
        <v>724</v>
      </c>
      <c r="F42" s="567">
        <f>(Unit.GW)*0</f>
        <v>0</v>
      </c>
      <c r="G42" s="571">
        <f>0*(-Unit.GW)</f>
        <v>0</v>
      </c>
      <c r="H42" s="571">
        <f>7.083*(-Unit.GW)</f>
        <v>-7.0830000000000002</v>
      </c>
      <c r="I42" s="571">
        <f>6.7678*(-Unit.GW)</f>
        <v>-6.7678000000000003</v>
      </c>
      <c r="J42" s="571">
        <f>12.74*(-Unit.GW)</f>
        <v>-12.74</v>
      </c>
      <c r="K42" s="571">
        <f>12.55*(-Unit.GW)</f>
        <v>-12.55</v>
      </c>
      <c r="L42" s="571">
        <f>9.7075*(-Unit.GW)</f>
        <v>-9.7074999999999996</v>
      </c>
      <c r="M42" s="571">
        <f>7.68*(-Unit.GW)</f>
        <v>-7.68</v>
      </c>
      <c r="N42" s="571">
        <f>11.485*(-Unit.GW)</f>
        <v>-11.484999999999999</v>
      </c>
      <c r="O42" s="571">
        <f>37.899*(-Unit.GW)</f>
        <v>-37.899000000000001</v>
      </c>
      <c r="P42" s="154"/>
    </row>
    <row r="43" spans="2:17" s="564" customFormat="1" ht="15.75">
      <c r="B43" s="213"/>
      <c r="C43" s="413"/>
      <c r="D43" s="414"/>
      <c r="E43" s="414" t="s">
        <v>725</v>
      </c>
      <c r="F43" s="567"/>
      <c r="G43" s="571">
        <f>0*(-Unit.GW)</f>
        <v>0</v>
      </c>
      <c r="H43" s="571">
        <f>4.8*(-Unit.GW)</f>
        <v>-4.8</v>
      </c>
      <c r="I43" s="571">
        <f>2.6*(-Unit.GW)</f>
        <v>-2.6</v>
      </c>
      <c r="J43" s="571">
        <f>0.8*(-Unit.GW)</f>
        <v>-0.8</v>
      </c>
      <c r="K43" s="571">
        <f>2.15*(-Unit.GW)</f>
        <v>-2.15</v>
      </c>
      <c r="L43" s="571">
        <f>3.05*(-Unit.GW)</f>
        <v>-3.05</v>
      </c>
      <c r="M43" s="571">
        <f>7.711*(-Unit.GW)</f>
        <v>-7.7110000000000003</v>
      </c>
      <c r="N43" s="571">
        <f>0*(-Unit.GW)</f>
        <v>0</v>
      </c>
      <c r="O43" s="571">
        <f>0*(-Unit.GW)</f>
        <v>0</v>
      </c>
      <c r="P43" s="154"/>
    </row>
    <row r="44" spans="2:17" s="564" customFormat="1" ht="15.75">
      <c r="B44" s="213"/>
      <c r="C44" s="413"/>
      <c r="D44" s="414"/>
      <c r="E44" s="417" t="s">
        <v>103</v>
      </c>
      <c r="F44" s="573"/>
      <c r="G44" s="574">
        <f>SUM(G42:G43)</f>
        <v>0</v>
      </c>
      <c r="H44" s="574">
        <f t="shared" ref="H44:O44" si="17">SUM(H42:H43)</f>
        <v>-11.882999999999999</v>
      </c>
      <c r="I44" s="574">
        <f t="shared" si="17"/>
        <v>-9.3678000000000008</v>
      </c>
      <c r="J44" s="574">
        <f t="shared" si="17"/>
        <v>-13.540000000000001</v>
      </c>
      <c r="K44" s="574">
        <f t="shared" si="17"/>
        <v>-14.700000000000001</v>
      </c>
      <c r="L44" s="574">
        <f t="shared" si="17"/>
        <v>-12.7575</v>
      </c>
      <c r="M44" s="574">
        <f t="shared" si="17"/>
        <v>-15.391</v>
      </c>
      <c r="N44" s="574">
        <f t="shared" si="17"/>
        <v>-11.484999999999999</v>
      </c>
      <c r="O44" s="574">
        <f t="shared" si="17"/>
        <v>-37.899000000000001</v>
      </c>
      <c r="P44" s="575"/>
    </row>
    <row r="45" spans="2:17" s="564" customFormat="1">
      <c r="B45" s="214"/>
      <c r="C45" s="415"/>
      <c r="D45" s="105"/>
      <c r="E45" s="415"/>
      <c r="F45" s="415"/>
      <c r="G45" s="415"/>
      <c r="H45" s="415"/>
      <c r="I45" s="415"/>
      <c r="J45" s="415"/>
      <c r="K45" s="415"/>
      <c r="L45" s="415"/>
      <c r="M45" s="415"/>
      <c r="N45" s="415"/>
      <c r="O45" s="415"/>
      <c r="P45" s="419"/>
    </row>
    <row r="46" spans="2:17" s="564" customFormat="1">
      <c r="B46" s="214"/>
      <c r="C46" s="415"/>
      <c r="D46" s="105"/>
      <c r="E46" s="415"/>
      <c r="F46" s="415"/>
      <c r="G46" s="415"/>
      <c r="H46" s="415"/>
      <c r="I46" s="415"/>
      <c r="J46" s="415"/>
      <c r="K46" s="415"/>
      <c r="L46" s="415"/>
      <c r="M46" s="415"/>
      <c r="N46" s="415"/>
      <c r="O46" s="415"/>
      <c r="P46" s="419"/>
    </row>
    <row r="47" spans="2:17" s="564" customFormat="1">
      <c r="B47" s="211"/>
      <c r="C47" s="416" t="s">
        <v>727</v>
      </c>
      <c r="D47" s="415"/>
      <c r="E47" s="104"/>
      <c r="F47" s="415"/>
      <c r="G47" s="415"/>
      <c r="H47" s="415"/>
      <c r="I47" s="2975" t="s">
        <v>2330</v>
      </c>
      <c r="J47" s="692"/>
      <c r="K47" s="692"/>
      <c r="L47" s="692"/>
      <c r="M47" s="692"/>
      <c r="N47" s="415"/>
      <c r="O47" s="104" t="str">
        <f>Preferences.PowerUnits</f>
        <v>GW</v>
      </c>
      <c r="P47" s="419"/>
    </row>
    <row r="48" spans="2:17" s="564" customFormat="1">
      <c r="B48" s="211"/>
      <c r="C48" s="415"/>
      <c r="D48" s="415"/>
      <c r="E48" s="415"/>
      <c r="F48" s="415"/>
      <c r="G48" s="415"/>
      <c r="H48" s="415"/>
      <c r="I48" s="415"/>
      <c r="J48" s="415"/>
      <c r="K48" s="415"/>
      <c r="L48" s="415"/>
      <c r="M48" s="415"/>
      <c r="N48" s="415"/>
      <c r="O48" s="415"/>
      <c r="P48" s="419"/>
    </row>
    <row r="49" spans="2:16" s="564" customFormat="1" ht="15.75">
      <c r="B49" s="212"/>
      <c r="C49" s="61" t="s">
        <v>411</v>
      </c>
      <c r="D49" s="61" t="s">
        <v>65</v>
      </c>
      <c r="E49" s="61" t="s">
        <v>156</v>
      </c>
      <c r="F49" s="238">
        <v>2007</v>
      </c>
      <c r="G49" s="119">
        <f>F49+5</f>
        <v>2012</v>
      </c>
      <c r="H49" s="119">
        <f t="shared" ref="H49:O49" si="18">G49+5</f>
        <v>2017</v>
      </c>
      <c r="I49" s="119">
        <f t="shared" si="18"/>
        <v>2022</v>
      </c>
      <c r="J49" s="119">
        <f t="shared" si="18"/>
        <v>2027</v>
      </c>
      <c r="K49" s="119">
        <f t="shared" si="18"/>
        <v>2032</v>
      </c>
      <c r="L49" s="119">
        <f t="shared" si="18"/>
        <v>2037</v>
      </c>
      <c r="M49" s="119">
        <f t="shared" si="18"/>
        <v>2042</v>
      </c>
      <c r="N49" s="119">
        <f t="shared" si="18"/>
        <v>2047</v>
      </c>
      <c r="O49" s="119">
        <f t="shared" si="18"/>
        <v>2052</v>
      </c>
      <c r="P49" s="419"/>
    </row>
    <row r="50" spans="2:16" s="564" customFormat="1" ht="15.75">
      <c r="B50" s="213"/>
      <c r="C50" s="248">
        <v>1</v>
      </c>
      <c r="D50" s="414"/>
      <c r="E50" s="96" t="s">
        <v>724</v>
      </c>
      <c r="F50" s="519">
        <f>71*(Unit.GW)</f>
        <v>71</v>
      </c>
      <c r="G50" s="519">
        <f>105.9123*(Unit.GW)</f>
        <v>105.9123</v>
      </c>
      <c r="H50" s="519">
        <f>144.601851617466*(Unit.GW)</f>
        <v>144.601851617466</v>
      </c>
      <c r="I50" s="2989">
        <f>H50+I42</f>
        <v>137.834051617466</v>
      </c>
      <c r="J50" s="2989">
        <f t="shared" ref="J50:O50" si="19">I50+J42</f>
        <v>125.09405161746601</v>
      </c>
      <c r="K50" s="2989">
        <f t="shared" si="19"/>
        <v>112.54405161746601</v>
      </c>
      <c r="L50" s="2989">
        <f t="shared" si="19"/>
        <v>102.83655161746601</v>
      </c>
      <c r="M50" s="2989">
        <f t="shared" si="19"/>
        <v>95.156551617466022</v>
      </c>
      <c r="N50" s="2989">
        <f t="shared" si="19"/>
        <v>83.671551617466022</v>
      </c>
      <c r="O50" s="2989">
        <f t="shared" si="19"/>
        <v>45.772551617466021</v>
      </c>
      <c r="P50" s="154"/>
    </row>
    <row r="51" spans="2:16" s="564" customFormat="1" ht="15.75">
      <c r="B51" s="213"/>
      <c r="C51" s="248"/>
      <c r="D51" s="414"/>
      <c r="E51" s="414" t="s">
        <v>725</v>
      </c>
      <c r="F51" s="519">
        <f>11*(Unit.GW)</f>
        <v>11</v>
      </c>
      <c r="G51" s="519">
        <f>19.111*(Unit.GW)</f>
        <v>19.111000000000001</v>
      </c>
      <c r="H51" s="519">
        <f>30.6895871207617*(Unit.GW)</f>
        <v>30.689587120761701</v>
      </c>
      <c r="I51" s="2989">
        <f>H51+I43</f>
        <v>28.089587120761699</v>
      </c>
      <c r="J51" s="2989">
        <f t="shared" ref="J51:O51" si="20">I51+J43</f>
        <v>27.289587120761698</v>
      </c>
      <c r="K51" s="2989">
        <f t="shared" si="20"/>
        <v>25.1395871207617</v>
      </c>
      <c r="L51" s="2989">
        <f t="shared" si="20"/>
        <v>22.089587120761699</v>
      </c>
      <c r="M51" s="2989">
        <f t="shared" si="20"/>
        <v>14.378587120761699</v>
      </c>
      <c r="N51" s="2989">
        <f t="shared" si="20"/>
        <v>14.378587120761699</v>
      </c>
      <c r="O51" s="2989">
        <f t="shared" si="20"/>
        <v>14.378587120761699</v>
      </c>
      <c r="P51" s="154"/>
    </row>
    <row r="52" spans="2:16" s="564" customFormat="1" ht="15.75">
      <c r="B52" s="213"/>
      <c r="C52" s="248"/>
      <c r="D52" s="414"/>
      <c r="E52" s="417" t="s">
        <v>103</v>
      </c>
      <c r="F52" s="569">
        <f>(F51+F50)</f>
        <v>82</v>
      </c>
      <c r="G52" s="569">
        <f t="shared" ref="G52:O52" si="21">(G51+G50)</f>
        <v>125.02330000000001</v>
      </c>
      <c r="H52" s="569">
        <f t="shared" si="21"/>
        <v>175.2914387382277</v>
      </c>
      <c r="I52" s="569">
        <f t="shared" si="21"/>
        <v>165.92363873822771</v>
      </c>
      <c r="J52" s="569">
        <f t="shared" si="21"/>
        <v>152.38363873822772</v>
      </c>
      <c r="K52" s="569">
        <f t="shared" si="21"/>
        <v>137.6836387382277</v>
      </c>
      <c r="L52" s="569">
        <f t="shared" si="21"/>
        <v>124.92613873822771</v>
      </c>
      <c r="M52" s="569">
        <f t="shared" si="21"/>
        <v>109.53513873822772</v>
      </c>
      <c r="N52" s="569">
        <f t="shared" si="21"/>
        <v>98.050138738227716</v>
      </c>
      <c r="O52" s="569">
        <f t="shared" si="21"/>
        <v>60.151138738227722</v>
      </c>
      <c r="P52" s="154"/>
    </row>
    <row r="53" spans="2:16" s="564" customFormat="1" ht="15.75">
      <c r="B53" s="212"/>
      <c r="C53" s="248">
        <v>2</v>
      </c>
      <c r="D53" s="414"/>
      <c r="E53" s="96" t="s">
        <v>724</v>
      </c>
      <c r="F53" s="519">
        <f>71*(Unit.GW)</f>
        <v>71</v>
      </c>
      <c r="G53" s="519">
        <f>105.9123*(Unit.GW)</f>
        <v>105.9123</v>
      </c>
      <c r="H53" s="519">
        <f>151.5243*(Unit.GW)</f>
        <v>151.52430000000001</v>
      </c>
      <c r="I53" s="519">
        <f>203.826227899687*(Unit.GW)</f>
        <v>203.82622789968701</v>
      </c>
      <c r="J53" s="519">
        <f>237.552770340282*(Unit.GW)</f>
        <v>237.552770340282</v>
      </c>
      <c r="K53" s="519">
        <f>251.030604688671*(Unit.GW)</f>
        <v>251.03060468867099</v>
      </c>
      <c r="L53" s="519">
        <f>261.360982979792*(Unit.GW)</f>
        <v>261.36098297979203</v>
      </c>
      <c r="M53" s="519">
        <f>272.116475634039*(Unit.GW)</f>
        <v>272.11647563403898</v>
      </c>
      <c r="N53" s="519">
        <f>283.314576901542*(Unit.GW)</f>
        <v>283.31457690154201</v>
      </c>
      <c r="O53" s="519">
        <f>294.973500953497*(Unit.GW)</f>
        <v>294.97350095349702</v>
      </c>
      <c r="P53" s="419"/>
    </row>
    <row r="54" spans="2:16" s="564" customFormat="1" ht="15.75">
      <c r="B54" s="212"/>
      <c r="C54" s="248"/>
      <c r="D54" s="414"/>
      <c r="E54" s="414" t="s">
        <v>725</v>
      </c>
      <c r="F54" s="519">
        <f>11*(Unit.GW)</f>
        <v>11</v>
      </c>
      <c r="G54" s="519">
        <f>19.111*(Unit.GW)</f>
        <v>19.111000000000001</v>
      </c>
      <c r="H54" s="519">
        <f>32.111*(Unit.GW)</f>
        <v>32.110999999999997</v>
      </c>
      <c r="I54" s="519">
        <f>47.0428422472209*(Unit.GW)</f>
        <v>47.042842247220896</v>
      </c>
      <c r="J54" s="519">
        <f>59.8583082254937*(Unit.GW)</f>
        <v>59.858308225493701</v>
      </c>
      <c r="K54" s="519">
        <f>65.8826379754142*(Unit.GW)</f>
        <v>65.882637975414198</v>
      </c>
      <c r="L54" s="519">
        <f>65.6734102209222*(Unit.GW)</f>
        <v>65.673410220922193</v>
      </c>
      <c r="M54" s="519">
        <f>59.1711941449979*(Unit.GW)</f>
        <v>59.171194144997898</v>
      </c>
      <c r="N54" s="519">
        <f>49.3532059477395*(Unit.GW)</f>
        <v>49.353205947739497</v>
      </c>
      <c r="O54" s="519">
        <f>39.0738046710904*(Unit.GW)</f>
        <v>39.0738046710904</v>
      </c>
      <c r="P54" s="419"/>
    </row>
    <row r="55" spans="2:16" s="564" customFormat="1" ht="15.75">
      <c r="B55" s="212"/>
      <c r="C55" s="248"/>
      <c r="D55" s="414"/>
      <c r="E55" s="417" t="s">
        <v>103</v>
      </c>
      <c r="F55" s="569">
        <f>(F54+F53)</f>
        <v>82</v>
      </c>
      <c r="G55" s="569">
        <f t="shared" ref="G55:O55" si="22">(G54+G53)</f>
        <v>125.02330000000001</v>
      </c>
      <c r="H55" s="569">
        <f t="shared" si="22"/>
        <v>183.6353</v>
      </c>
      <c r="I55" s="569">
        <f t="shared" si="22"/>
        <v>250.86907014690792</v>
      </c>
      <c r="J55" s="569">
        <f t="shared" si="22"/>
        <v>297.41107856577571</v>
      </c>
      <c r="K55" s="569">
        <f t="shared" si="22"/>
        <v>316.9132426640852</v>
      </c>
      <c r="L55" s="569">
        <f t="shared" si="22"/>
        <v>327.03439320071425</v>
      </c>
      <c r="M55" s="569">
        <f t="shared" si="22"/>
        <v>331.28766977903689</v>
      </c>
      <c r="N55" s="569">
        <f t="shared" si="22"/>
        <v>332.66778284928148</v>
      </c>
      <c r="O55" s="569">
        <f t="shared" si="22"/>
        <v>334.04730562458741</v>
      </c>
      <c r="P55" s="419"/>
    </row>
    <row r="56" spans="2:16" s="564" customFormat="1" ht="15.75">
      <c r="B56" s="212"/>
      <c r="C56" s="248">
        <v>3</v>
      </c>
      <c r="D56" s="414"/>
      <c r="E56" s="96" t="s">
        <v>724</v>
      </c>
      <c r="F56" s="519">
        <f>71*(Unit.GW)</f>
        <v>71</v>
      </c>
      <c r="G56" s="519">
        <f>105.9123*(Unit.GW)</f>
        <v>105.9123</v>
      </c>
      <c r="H56" s="519">
        <f>158.350877723834*(Unit.GW)</f>
        <v>158.350877723834</v>
      </c>
      <c r="I56" s="519">
        <f>215.698636569393*(Unit.GW)</f>
        <v>215.69863656939299</v>
      </c>
      <c r="J56" s="519">
        <f>273.676019284367*(Unit.GW)</f>
        <v>273.67601928436699</v>
      </c>
      <c r="K56" s="519">
        <f>323.105432377859*(Unit.GW)</f>
        <v>323.10543237785902</v>
      </c>
      <c r="L56" s="519">
        <f>363.365782889287*(Unit.GW)</f>
        <v>363.365782889287</v>
      </c>
      <c r="M56" s="519">
        <f>389.070996672783*(Unit.GW)</f>
        <v>389.070996672783</v>
      </c>
      <c r="N56" s="519">
        <f>396.449108402868*(Unit.GW)</f>
        <v>396.44910840286798</v>
      </c>
      <c r="O56" s="519">
        <f>403.967134269877*(Unit.GW)</f>
        <v>403.96713426987702</v>
      </c>
      <c r="P56" s="419"/>
    </row>
    <row r="57" spans="2:16" s="564" customFormat="1" ht="15.75">
      <c r="B57" s="212"/>
      <c r="C57" s="248"/>
      <c r="D57" s="414"/>
      <c r="E57" s="414" t="s">
        <v>725</v>
      </c>
      <c r="F57" s="519">
        <f>11*(Unit.GW)</f>
        <v>11</v>
      </c>
      <c r="G57" s="519">
        <f>19.111*(Unit.GW)</f>
        <v>19.111000000000001</v>
      </c>
      <c r="H57" s="519">
        <f>30*(Unit.GW)</f>
        <v>30</v>
      </c>
      <c r="I57" s="519">
        <f>50*(Unit.GW)</f>
        <v>50</v>
      </c>
      <c r="J57" s="519">
        <f>54.3783171624145*(Unit.GW)</f>
        <v>54.378317162414497</v>
      </c>
      <c r="K57" s="519">
        <f>58.0524612050746*(Unit.GW)</f>
        <v>58.0524612050746</v>
      </c>
      <c r="L57" s="519">
        <f>60.8138045011632*(Unit.GW)</f>
        <v>60.813804501163197</v>
      </c>
      <c r="M57" s="519">
        <f>62.4902187102767*(Unit.GW)</f>
        <v>62.4902187102767</v>
      </c>
      <c r="N57" s="519">
        <f>62.9630411546993*(Unit.GW)</f>
        <v>62.963041154699297</v>
      </c>
      <c r="O57" s="519">
        <f>62.180180312938*(Unit.GW)</f>
        <v>62.180180312937999</v>
      </c>
      <c r="P57" s="419"/>
    </row>
    <row r="58" spans="2:16" s="564" customFormat="1" ht="15.75">
      <c r="B58" s="212"/>
      <c r="C58" s="248"/>
      <c r="D58" s="414"/>
      <c r="E58" s="417" t="s">
        <v>103</v>
      </c>
      <c r="F58" s="569">
        <f>(F57+F56)</f>
        <v>82</v>
      </c>
      <c r="G58" s="569">
        <f t="shared" ref="G58:O58" si="23">(G57+G56)</f>
        <v>125.02330000000001</v>
      </c>
      <c r="H58" s="569">
        <f t="shared" si="23"/>
        <v>188.350877723834</v>
      </c>
      <c r="I58" s="569">
        <f t="shared" si="23"/>
        <v>265.69863656939299</v>
      </c>
      <c r="J58" s="569">
        <f t="shared" si="23"/>
        <v>328.05433644678146</v>
      </c>
      <c r="K58" s="569">
        <f t="shared" si="23"/>
        <v>381.15789358293364</v>
      </c>
      <c r="L58" s="569">
        <f t="shared" si="23"/>
        <v>424.17958739045019</v>
      </c>
      <c r="M58" s="569">
        <f t="shared" si="23"/>
        <v>451.56121538305968</v>
      </c>
      <c r="N58" s="569">
        <f t="shared" si="23"/>
        <v>459.41214955756726</v>
      </c>
      <c r="O58" s="569">
        <f t="shared" si="23"/>
        <v>466.147314582815</v>
      </c>
      <c r="P58" s="570"/>
    </row>
    <row r="59" spans="2:16" s="564" customFormat="1" ht="15.75">
      <c r="B59" s="212"/>
      <c r="C59" s="248">
        <v>4</v>
      </c>
      <c r="D59" s="414"/>
      <c r="E59" s="96" t="s">
        <v>724</v>
      </c>
      <c r="F59" s="519">
        <f>71*(Unit.GW)</f>
        <v>71</v>
      </c>
      <c r="G59" s="519">
        <f>105.9123*(Unit.GW)</f>
        <v>105.9123</v>
      </c>
      <c r="H59" s="519">
        <f>170.566643331448*(Unit.GW)</f>
        <v>170.56664333144801</v>
      </c>
      <c r="I59" s="519">
        <f>250.609117315653*(Unit.GW)</f>
        <v>250.60911731565301</v>
      </c>
      <c r="J59" s="519">
        <f>335.358931779518*(Unit.GW)</f>
        <v>335.358931779518</v>
      </c>
      <c r="K59" s="519">
        <f>407.99979490574*(Unit.GW)</f>
        <v>407.99979490573998</v>
      </c>
      <c r="L59" s="519">
        <f>461.596385082789*(Unit.GW)</f>
        <v>461.59638508278903</v>
      </c>
      <c r="M59" s="519">
        <f>497.250892597595*(Unit.GW)</f>
        <v>497.250892597595</v>
      </c>
      <c r="N59" s="519">
        <f>522.595080370539*(Unit.GW)</f>
        <v>522.59508037053899</v>
      </c>
      <c r="O59" s="519">
        <f>535.770031288225*(Unit.GW)</f>
        <v>535.77003128822503</v>
      </c>
      <c r="P59" s="419"/>
    </row>
    <row r="60" spans="2:16" s="564" customFormat="1" ht="15.75">
      <c r="B60" s="212"/>
      <c r="C60" s="413"/>
      <c r="D60" s="414"/>
      <c r="E60" s="414" t="s">
        <v>725</v>
      </c>
      <c r="F60" s="519">
        <f>11*(Unit.GW)</f>
        <v>11</v>
      </c>
      <c r="G60" s="519">
        <f>19.111*(Unit.GW)</f>
        <v>19.111000000000001</v>
      </c>
      <c r="H60" s="519">
        <f>35*(Unit.GW)</f>
        <v>35</v>
      </c>
      <c r="I60" s="519">
        <f>55*(Unit.GW)</f>
        <v>55</v>
      </c>
      <c r="J60" s="519">
        <f>59.1034831322737*(Unit.GW)</f>
        <v>59.103483132273702</v>
      </c>
      <c r="K60" s="519">
        <f>62.331052489481*(Unit.GW)</f>
        <v>62.331052489481003</v>
      </c>
      <c r="L60" s="519">
        <f>64.7999096979392*(Unit.GW)</f>
        <v>64.799909697939199</v>
      </c>
      <c r="M60" s="519">
        <f>66.7185562418656*(Unit.GW)</f>
        <v>66.718556241865599</v>
      </c>
      <c r="N60" s="519">
        <f>68.6940115773116*(Unit.GW)</f>
        <v>68.694011577311599</v>
      </c>
      <c r="O60" s="519">
        <f>70.7279577435273*(Unit.GW)</f>
        <v>70.727957743527298</v>
      </c>
      <c r="P60" s="419"/>
    </row>
    <row r="61" spans="2:16" s="564" customFormat="1" ht="15.75">
      <c r="B61" s="212"/>
      <c r="C61" s="413"/>
      <c r="D61" s="414"/>
      <c r="E61" s="417" t="s">
        <v>103</v>
      </c>
      <c r="F61" s="569">
        <f>(F60+F59)</f>
        <v>82</v>
      </c>
      <c r="G61" s="569">
        <f t="shared" ref="G61" si="24">(G60+G59)</f>
        <v>125.02330000000001</v>
      </c>
      <c r="H61" s="569">
        <f>(H60+H59)</f>
        <v>205.56664333144801</v>
      </c>
      <c r="I61" s="569">
        <f t="shared" ref="I61:O61" si="25">(I60+I59)</f>
        <v>305.60911731565301</v>
      </c>
      <c r="J61" s="569">
        <f t="shared" si="25"/>
        <v>394.46241491179171</v>
      </c>
      <c r="K61" s="569">
        <f t="shared" si="25"/>
        <v>470.33084739522099</v>
      </c>
      <c r="L61" s="569">
        <f t="shared" si="25"/>
        <v>526.39629478072823</v>
      </c>
      <c r="M61" s="569">
        <f t="shared" si="25"/>
        <v>563.9694488394606</v>
      </c>
      <c r="N61" s="569">
        <f t="shared" si="25"/>
        <v>591.28909194785058</v>
      </c>
      <c r="O61" s="569">
        <f t="shared" si="25"/>
        <v>606.49798903175235</v>
      </c>
      <c r="P61" s="419"/>
    </row>
    <row r="62" spans="2:16" s="564" customFormat="1" ht="15.75">
      <c r="B62" s="212"/>
      <c r="C62" s="411"/>
      <c r="D62" s="65"/>
      <c r="E62" s="65"/>
      <c r="F62" s="314"/>
      <c r="G62" s="263"/>
      <c r="H62" s="263"/>
      <c r="I62" s="263"/>
      <c r="J62" s="263"/>
      <c r="K62" s="263"/>
      <c r="L62" s="263"/>
      <c r="M62" s="263"/>
      <c r="N62" s="263"/>
      <c r="O62" s="101"/>
      <c r="P62" s="419"/>
    </row>
    <row r="63" spans="2:16" s="564" customFormat="1" ht="15.75">
      <c r="B63" s="152"/>
      <c r="C63" s="542" t="s">
        <v>406</v>
      </c>
      <c r="D63" s="407"/>
      <c r="E63" s="407"/>
      <c r="F63" s="568">
        <f t="shared" ref="F63:O63" si="26">(INDEX(F$50:F$61,ROUNDDOWN(3*$E$7,0))*(1-MOD(3*$E$7,1)))+(INDEX(F$50:F$61,ROUNDUP(3*$E$7,0))*MOD(3*$E$7,1))</f>
        <v>82</v>
      </c>
      <c r="G63" s="568">
        <f t="shared" si="26"/>
        <v>125.02330000000001</v>
      </c>
      <c r="H63" s="568">
        <f t="shared" si="26"/>
        <v>175.2914387382277</v>
      </c>
      <c r="I63" s="568">
        <f t="shared" si="26"/>
        <v>165.92363873822771</v>
      </c>
      <c r="J63" s="568">
        <f t="shared" si="26"/>
        <v>152.38363873822772</v>
      </c>
      <c r="K63" s="568">
        <f t="shared" si="26"/>
        <v>137.6836387382277</v>
      </c>
      <c r="L63" s="568">
        <f t="shared" si="26"/>
        <v>124.92613873822771</v>
      </c>
      <c r="M63" s="568">
        <f t="shared" si="26"/>
        <v>109.53513873822772</v>
      </c>
      <c r="N63" s="568">
        <f t="shared" si="26"/>
        <v>98.050138738227716</v>
      </c>
      <c r="O63" s="568">
        <f t="shared" si="26"/>
        <v>60.151138738227722</v>
      </c>
      <c r="P63" s="419"/>
    </row>
    <row r="64" spans="2:16" s="564" customFormat="1">
      <c r="B64" s="214"/>
      <c r="C64" s="415"/>
      <c r="D64" s="105"/>
      <c r="E64" s="415"/>
      <c r="F64" s="415">
        <v>82</v>
      </c>
      <c r="G64" s="415">
        <v>125.02330000000001</v>
      </c>
      <c r="H64" s="415">
        <v>205.56664333144801</v>
      </c>
      <c r="I64" s="415">
        <v>305.60911731565301</v>
      </c>
      <c r="J64" s="415">
        <v>394.46241491179171</v>
      </c>
      <c r="K64" s="415">
        <v>470.33084739522099</v>
      </c>
      <c r="L64" s="415">
        <v>526.39629478072823</v>
      </c>
      <c r="M64" s="415">
        <v>563.9694488394606</v>
      </c>
      <c r="N64" s="415">
        <v>591.28909194785058</v>
      </c>
      <c r="O64" s="415">
        <v>606.49798903175235</v>
      </c>
      <c r="P64" s="419"/>
    </row>
    <row r="65" spans="2:16" s="564" customFormat="1">
      <c r="B65" s="214"/>
      <c r="C65" s="2984" t="s">
        <v>2329</v>
      </c>
      <c r="D65" s="105"/>
      <c r="E65" s="415"/>
      <c r="F65" s="415"/>
      <c r="G65" s="415"/>
      <c r="H65" s="415"/>
      <c r="I65" s="415"/>
      <c r="J65" s="415"/>
      <c r="K65" s="415"/>
      <c r="L65" s="415"/>
      <c r="M65" s="415"/>
      <c r="N65" s="415"/>
      <c r="O65" s="415"/>
      <c r="P65" s="419"/>
    </row>
    <row r="66" spans="2:16" s="564" customFormat="1">
      <c r="B66" s="214"/>
      <c r="C66" s="2987">
        <v>1</v>
      </c>
      <c r="D66" s="2988"/>
      <c r="E66" s="2987" t="s">
        <v>724</v>
      </c>
      <c r="F66" s="2987">
        <v>71</v>
      </c>
      <c r="G66" s="2987">
        <v>105.9123</v>
      </c>
      <c r="H66" s="2987">
        <v>144.601851617466</v>
      </c>
      <c r="I66" s="2987">
        <v>181.14903234449099</v>
      </c>
      <c r="J66" s="2987">
        <v>201.082121776815</v>
      </c>
      <c r="K66" s="2987">
        <v>215.50183667667099</v>
      </c>
      <c r="L66" s="2987">
        <v>215.091983894713</v>
      </c>
      <c r="M66" s="2987">
        <v>214.682910592436</v>
      </c>
      <c r="N66" s="2987">
        <v>215.34802984034599</v>
      </c>
      <c r="O66" s="2987">
        <v>215.34802984034599</v>
      </c>
      <c r="P66" s="419"/>
    </row>
    <row r="67" spans="2:16" s="564" customFormat="1">
      <c r="B67" s="214"/>
      <c r="C67" s="2987"/>
      <c r="D67" s="2988"/>
      <c r="E67" s="2987" t="s">
        <v>725</v>
      </c>
      <c r="F67" s="2987">
        <v>11</v>
      </c>
      <c r="G67" s="2987">
        <v>19.111000000000001</v>
      </c>
      <c r="H67" s="2987">
        <v>30.689587120761701</v>
      </c>
      <c r="I67" s="2987">
        <v>41.922001536232699</v>
      </c>
      <c r="J67" s="2987">
        <v>50.848768792953898</v>
      </c>
      <c r="K67" s="2987">
        <v>54.495163323328697</v>
      </c>
      <c r="L67" s="2987">
        <v>51.658115814096</v>
      </c>
      <c r="M67" s="2987">
        <v>45.367494575032801</v>
      </c>
      <c r="N67" s="2987">
        <v>37.839887050578099</v>
      </c>
      <c r="O67" s="2987">
        <v>31.5612987980276</v>
      </c>
      <c r="P67" s="419"/>
    </row>
    <row r="68" spans="2:16" s="564" customFormat="1">
      <c r="B68" s="214"/>
      <c r="C68" s="415"/>
      <c r="D68" s="105"/>
      <c r="E68" s="415"/>
      <c r="F68" s="415"/>
      <c r="G68" s="415"/>
      <c r="H68" s="415"/>
      <c r="I68" s="415"/>
      <c r="J68" s="415"/>
      <c r="K68" s="415"/>
      <c r="L68" s="415"/>
      <c r="M68" s="415"/>
      <c r="N68" s="415"/>
      <c r="O68" s="415"/>
      <c r="P68" s="419"/>
    </row>
    <row r="69" spans="2:16" s="564" customFormat="1">
      <c r="B69" s="214"/>
      <c r="C69" s="106" t="s">
        <v>459</v>
      </c>
      <c r="D69" s="417"/>
      <c r="E69" s="414"/>
      <c r="F69" s="246"/>
      <c r="G69" s="247"/>
      <c r="H69" s="247"/>
      <c r="I69" s="247"/>
      <c r="J69" s="247"/>
      <c r="K69" s="123"/>
      <c r="L69" s="123"/>
      <c r="M69" s="123"/>
      <c r="N69" s="123"/>
      <c r="O69" s="123"/>
      <c r="P69" s="204"/>
    </row>
    <row r="70" spans="2:16" s="564" customFormat="1">
      <c r="B70" s="214"/>
      <c r="C70" s="413"/>
      <c r="D70" s="417"/>
      <c r="E70" s="414"/>
      <c r="F70" s="246"/>
      <c r="G70" s="247"/>
      <c r="H70" s="247"/>
      <c r="I70" s="247"/>
      <c r="J70" s="247"/>
      <c r="K70" s="123"/>
      <c r="L70" s="123"/>
      <c r="M70" s="123"/>
      <c r="N70" s="123"/>
      <c r="O70" s="123"/>
      <c r="P70" s="204"/>
    </row>
    <row r="71" spans="2:16" s="564" customFormat="1">
      <c r="B71" s="214"/>
      <c r="C71" s="106" t="s">
        <v>2104</v>
      </c>
      <c r="D71" s="417"/>
      <c r="E71" s="414"/>
      <c r="F71" s="246"/>
      <c r="G71" s="247"/>
      <c r="H71" s="247"/>
      <c r="I71" s="247"/>
      <c r="J71" s="247"/>
      <c r="K71" s="123"/>
      <c r="L71" s="123"/>
      <c r="M71" s="123"/>
      <c r="N71" s="123"/>
      <c r="O71" s="123"/>
      <c r="P71" s="204"/>
    </row>
    <row r="72" spans="2:16" s="564" customFormat="1">
      <c r="B72" s="214"/>
      <c r="C72" s="248"/>
      <c r="D72" s="414"/>
      <c r="E72" s="218"/>
      <c r="F72" s="246"/>
      <c r="G72" s="247"/>
      <c r="H72" s="247"/>
      <c r="I72" s="247"/>
      <c r="J72" s="247"/>
      <c r="K72" s="123"/>
      <c r="L72" s="123"/>
      <c r="M72" s="123"/>
      <c r="N72" s="123"/>
      <c r="O72" s="123"/>
      <c r="P72" s="204"/>
    </row>
    <row r="73" spans="2:16" s="564" customFormat="1">
      <c r="B73" s="214"/>
      <c r="C73" s="61"/>
      <c r="D73" s="61" t="s">
        <v>275</v>
      </c>
      <c r="E73" s="61" t="s">
        <v>156</v>
      </c>
      <c r="F73" s="238">
        <v>2007</v>
      </c>
      <c r="G73" s="119">
        <f t="shared" ref="G73:O73" si="27">F73+5</f>
        <v>2012</v>
      </c>
      <c r="H73" s="119">
        <f t="shared" si="27"/>
        <v>2017</v>
      </c>
      <c r="I73" s="119">
        <f t="shared" si="27"/>
        <v>2022</v>
      </c>
      <c r="J73" s="119">
        <f t="shared" si="27"/>
        <v>2027</v>
      </c>
      <c r="K73" s="119">
        <f t="shared" si="27"/>
        <v>2032</v>
      </c>
      <c r="L73" s="119">
        <f t="shared" si="27"/>
        <v>2037</v>
      </c>
      <c r="M73" s="119">
        <f t="shared" si="27"/>
        <v>2042</v>
      </c>
      <c r="N73" s="119">
        <f t="shared" si="27"/>
        <v>2047</v>
      </c>
      <c r="O73" s="119">
        <f t="shared" si="27"/>
        <v>2052</v>
      </c>
      <c r="P73" s="204"/>
    </row>
    <row r="74" spans="2:16" s="564" customFormat="1">
      <c r="B74" s="214"/>
      <c r="C74" s="69"/>
      <c r="D74" s="69" t="s">
        <v>728</v>
      </c>
      <c r="E74" s="257"/>
      <c r="F74" s="254">
        <v>1</v>
      </c>
      <c r="G74" s="254">
        <v>0.94</v>
      </c>
      <c r="H74" s="257">
        <v>0.63</v>
      </c>
      <c r="I74" s="254">
        <v>0.15</v>
      </c>
      <c r="J74" s="254">
        <v>0</v>
      </c>
      <c r="K74" s="254">
        <v>0</v>
      </c>
      <c r="L74" s="257">
        <v>0</v>
      </c>
      <c r="M74" s="254">
        <v>0</v>
      </c>
      <c r="N74" s="254">
        <v>0</v>
      </c>
      <c r="O74" s="257">
        <v>0</v>
      </c>
      <c r="P74" s="204"/>
    </row>
    <row r="75" spans="2:16" s="564" customFormat="1">
      <c r="B75" s="214"/>
      <c r="C75" s="96"/>
      <c r="D75" s="251" t="s">
        <v>729</v>
      </c>
      <c r="E75" s="257"/>
      <c r="F75" s="254">
        <v>0</v>
      </c>
      <c r="G75" s="254">
        <v>0.06</v>
      </c>
      <c r="H75" s="257">
        <v>0.37</v>
      </c>
      <c r="I75" s="254">
        <v>0.85</v>
      </c>
      <c r="J75" s="254">
        <v>0.95</v>
      </c>
      <c r="K75" s="254">
        <v>1</v>
      </c>
      <c r="L75" s="257">
        <v>0.8</v>
      </c>
      <c r="M75" s="254">
        <v>0.6</v>
      </c>
      <c r="N75" s="254">
        <v>0.4</v>
      </c>
      <c r="O75" s="2727">
        <v>9.9999999999999978E-2</v>
      </c>
      <c r="P75" s="204"/>
    </row>
    <row r="76" spans="2:16" s="564" customFormat="1">
      <c r="B76" s="214"/>
      <c r="C76" s="414"/>
      <c r="D76" s="218" t="s">
        <v>730</v>
      </c>
      <c r="E76" s="258"/>
      <c r="F76" s="255">
        <v>0</v>
      </c>
      <c r="G76" s="255">
        <v>0</v>
      </c>
      <c r="H76" s="258">
        <v>0</v>
      </c>
      <c r="I76" s="255">
        <v>0</v>
      </c>
      <c r="J76" s="255">
        <v>0.05</v>
      </c>
      <c r="K76" s="255">
        <v>0</v>
      </c>
      <c r="L76" s="258">
        <v>0.1</v>
      </c>
      <c r="M76" s="255">
        <v>0.2</v>
      </c>
      <c r="N76" s="255">
        <v>0.3</v>
      </c>
      <c r="O76" s="2728">
        <v>0.3</v>
      </c>
      <c r="P76" s="204" t="s">
        <v>2105</v>
      </c>
    </row>
    <row r="77" spans="2:16" s="564" customFormat="1">
      <c r="B77" s="214"/>
      <c r="C77" s="414"/>
      <c r="D77" s="218" t="s">
        <v>731</v>
      </c>
      <c r="E77" s="258"/>
      <c r="F77" s="255">
        <v>0</v>
      </c>
      <c r="G77" s="255">
        <v>0</v>
      </c>
      <c r="H77" s="258">
        <v>0</v>
      </c>
      <c r="I77" s="255">
        <v>0</v>
      </c>
      <c r="J77" s="255">
        <v>0</v>
      </c>
      <c r="K77" s="255">
        <v>0</v>
      </c>
      <c r="L77" s="258">
        <v>0.1</v>
      </c>
      <c r="M77" s="255">
        <v>0.2</v>
      </c>
      <c r="N77" s="255">
        <v>0.3</v>
      </c>
      <c r="O77" s="2728">
        <v>0.4</v>
      </c>
      <c r="P77" s="204"/>
    </row>
    <row r="78" spans="2:16" s="564" customFormat="1">
      <c r="B78" s="214"/>
      <c r="C78" s="252"/>
      <c r="D78" s="579" t="s">
        <v>135</v>
      </c>
      <c r="E78" s="259"/>
      <c r="F78" s="256">
        <f>SUM(F74:F77)</f>
        <v>1</v>
      </c>
      <c r="G78" s="256">
        <f t="shared" ref="G78:O78" si="28">SUM(G74:G77)</f>
        <v>1</v>
      </c>
      <c r="H78" s="256">
        <f t="shared" si="28"/>
        <v>1</v>
      </c>
      <c r="I78" s="256">
        <f t="shared" si="28"/>
        <v>1</v>
      </c>
      <c r="J78" s="256">
        <f t="shared" si="28"/>
        <v>1</v>
      </c>
      <c r="K78" s="256">
        <f t="shared" si="28"/>
        <v>1</v>
      </c>
      <c r="L78" s="256">
        <f t="shared" si="28"/>
        <v>1</v>
      </c>
      <c r="M78" s="256">
        <f t="shared" si="28"/>
        <v>1</v>
      </c>
      <c r="N78" s="256">
        <f t="shared" si="28"/>
        <v>1</v>
      </c>
      <c r="O78" s="2730">
        <f t="shared" si="28"/>
        <v>0.8</v>
      </c>
      <c r="P78" s="204"/>
    </row>
    <row r="79" spans="2:16" s="564" customFormat="1">
      <c r="B79" s="214"/>
      <c r="C79" s="415"/>
      <c r="D79" s="105"/>
      <c r="E79" s="415"/>
      <c r="F79" s="415"/>
      <c r="G79" s="415"/>
      <c r="H79" s="415"/>
      <c r="I79" s="415"/>
      <c r="J79" s="415"/>
      <c r="K79" s="415"/>
      <c r="L79" s="415"/>
      <c r="M79" s="415"/>
      <c r="N79" s="415"/>
      <c r="O79" s="692"/>
      <c r="P79" s="419"/>
    </row>
    <row r="80" spans="2:16" s="564" customFormat="1">
      <c r="B80" s="214"/>
      <c r="C80" s="415"/>
      <c r="D80" s="105"/>
      <c r="E80" s="415"/>
      <c r="F80" s="415"/>
      <c r="G80" s="415"/>
      <c r="H80" s="415"/>
      <c r="I80" s="415"/>
      <c r="J80" s="415"/>
      <c r="K80" s="415"/>
      <c r="L80" s="415"/>
      <c r="M80" s="415"/>
      <c r="N80" s="415"/>
      <c r="O80" s="692"/>
      <c r="P80" s="419"/>
    </row>
    <row r="81" spans="2:16" s="564" customFormat="1">
      <c r="B81" s="214"/>
      <c r="C81" s="106" t="s">
        <v>2112</v>
      </c>
      <c r="D81" s="417"/>
      <c r="E81" s="414"/>
      <c r="F81" s="246"/>
      <c r="G81" s="247"/>
      <c r="H81" s="247"/>
      <c r="I81" s="247"/>
      <c r="J81" s="247"/>
      <c r="K81" s="123"/>
      <c r="L81" s="123"/>
      <c r="M81" s="123"/>
      <c r="N81" s="123"/>
      <c r="O81" s="2731"/>
      <c r="P81" s="204"/>
    </row>
    <row r="82" spans="2:16" s="564" customFormat="1">
      <c r="B82" s="214"/>
      <c r="C82" s="248"/>
      <c r="D82" s="414"/>
      <c r="E82" s="218"/>
      <c r="F82" s="246"/>
      <c r="G82" s="247"/>
      <c r="H82" s="247"/>
      <c r="I82" s="247"/>
      <c r="J82" s="247"/>
      <c r="K82" s="123"/>
      <c r="L82" s="123"/>
      <c r="M82" s="123"/>
      <c r="N82" s="123"/>
      <c r="O82" s="2731"/>
      <c r="P82" s="204"/>
    </row>
    <row r="83" spans="2:16" s="564" customFormat="1">
      <c r="B83" s="214"/>
      <c r="C83" s="61"/>
      <c r="D83" s="61" t="s">
        <v>275</v>
      </c>
      <c r="E83" s="61" t="s">
        <v>156</v>
      </c>
      <c r="F83" s="238">
        <v>2007</v>
      </c>
      <c r="G83" s="119">
        <f t="shared" ref="G83:O83" si="29">F83+5</f>
        <v>2012</v>
      </c>
      <c r="H83" s="119">
        <f t="shared" si="29"/>
        <v>2017</v>
      </c>
      <c r="I83" s="119">
        <f t="shared" si="29"/>
        <v>2022</v>
      </c>
      <c r="J83" s="119">
        <f t="shared" si="29"/>
        <v>2027</v>
      </c>
      <c r="K83" s="119">
        <f t="shared" si="29"/>
        <v>2032</v>
      </c>
      <c r="L83" s="119">
        <f t="shared" si="29"/>
        <v>2037</v>
      </c>
      <c r="M83" s="119">
        <f t="shared" si="29"/>
        <v>2042</v>
      </c>
      <c r="N83" s="119">
        <f t="shared" si="29"/>
        <v>2047</v>
      </c>
      <c r="O83" s="2174">
        <f t="shared" si="29"/>
        <v>2052</v>
      </c>
      <c r="P83" s="204"/>
    </row>
    <row r="84" spans="2:16" s="564" customFormat="1">
      <c r="B84" s="214"/>
      <c r="C84" s="69"/>
      <c r="D84" s="69" t="s">
        <v>728</v>
      </c>
      <c r="E84" s="257"/>
      <c r="F84" s="254">
        <v>1</v>
      </c>
      <c r="G84" s="254">
        <v>0.94</v>
      </c>
      <c r="H84" s="257">
        <v>0.5</v>
      </c>
      <c r="I84" s="254">
        <v>0</v>
      </c>
      <c r="J84" s="254">
        <v>0</v>
      </c>
      <c r="K84" s="254">
        <v>0</v>
      </c>
      <c r="L84" s="257">
        <v>0</v>
      </c>
      <c r="M84" s="254">
        <v>0</v>
      </c>
      <c r="N84" s="254">
        <v>0</v>
      </c>
      <c r="O84" s="2727">
        <v>0</v>
      </c>
      <c r="P84" s="204"/>
    </row>
    <row r="85" spans="2:16" s="564" customFormat="1">
      <c r="B85" s="214"/>
      <c r="C85" s="96"/>
      <c r="D85" s="251" t="s">
        <v>729</v>
      </c>
      <c r="E85" s="257"/>
      <c r="F85" s="254">
        <v>0</v>
      </c>
      <c r="G85" s="254">
        <v>0.06</v>
      </c>
      <c r="H85" s="257">
        <v>0.5</v>
      </c>
      <c r="I85" s="254">
        <v>0.95</v>
      </c>
      <c r="J85" s="254">
        <v>0.9</v>
      </c>
      <c r="K85" s="254">
        <v>0.75</v>
      </c>
      <c r="L85" s="257">
        <v>0.49999999999999994</v>
      </c>
      <c r="M85" s="254">
        <v>0.3</v>
      </c>
      <c r="N85" s="254">
        <v>9.9999999999999978E-2</v>
      </c>
      <c r="O85" s="2727">
        <v>0</v>
      </c>
      <c r="P85" s="204"/>
    </row>
    <row r="86" spans="2:16" s="564" customFormat="1">
      <c r="B86" s="214"/>
      <c r="C86" s="414"/>
      <c r="D86" s="218" t="s">
        <v>730</v>
      </c>
      <c r="E86" s="258"/>
      <c r="F86" s="255">
        <v>0</v>
      </c>
      <c r="G86" s="255">
        <v>0</v>
      </c>
      <c r="H86" s="258">
        <v>0</v>
      </c>
      <c r="I86" s="255">
        <v>0.05</v>
      </c>
      <c r="J86" s="255">
        <v>0.1</v>
      </c>
      <c r="K86" s="255">
        <v>0.15</v>
      </c>
      <c r="L86" s="258">
        <v>0.3</v>
      </c>
      <c r="M86" s="255">
        <v>0.4</v>
      </c>
      <c r="N86" s="255">
        <v>0.4</v>
      </c>
      <c r="O86" s="2728">
        <v>0.4</v>
      </c>
      <c r="P86" s="204"/>
    </row>
    <row r="87" spans="2:16" s="564" customFormat="1">
      <c r="B87" s="214"/>
      <c r="C87" s="414"/>
      <c r="D87" s="218" t="s">
        <v>731</v>
      </c>
      <c r="E87" s="258"/>
      <c r="F87" s="255">
        <v>0</v>
      </c>
      <c r="G87" s="255">
        <v>0</v>
      </c>
      <c r="H87" s="258">
        <v>0</v>
      </c>
      <c r="I87" s="255">
        <v>0</v>
      </c>
      <c r="J87" s="255">
        <v>0</v>
      </c>
      <c r="K87" s="255">
        <v>0.1</v>
      </c>
      <c r="L87" s="258">
        <v>0.2</v>
      </c>
      <c r="M87" s="255">
        <v>0.3</v>
      </c>
      <c r="N87" s="255">
        <v>0.5</v>
      </c>
      <c r="O87" s="2728">
        <v>0.6</v>
      </c>
      <c r="P87" s="204"/>
    </row>
    <row r="88" spans="2:16" s="564" customFormat="1">
      <c r="B88" s="214"/>
      <c r="C88" s="252"/>
      <c r="D88" s="579" t="s">
        <v>135</v>
      </c>
      <c r="E88" s="259"/>
      <c r="F88" s="256">
        <v>1</v>
      </c>
      <c r="G88" s="256">
        <v>1</v>
      </c>
      <c r="H88" s="259">
        <v>1</v>
      </c>
      <c r="I88" s="256">
        <v>1</v>
      </c>
      <c r="J88" s="256">
        <v>1</v>
      </c>
      <c r="K88" s="256">
        <v>1</v>
      </c>
      <c r="L88" s="259">
        <v>1</v>
      </c>
      <c r="M88" s="256">
        <v>1</v>
      </c>
      <c r="N88" s="256">
        <v>1</v>
      </c>
      <c r="O88" s="2732">
        <v>1</v>
      </c>
      <c r="P88" s="204"/>
    </row>
    <row r="89" spans="2:16" s="564" customFormat="1">
      <c r="B89" s="214"/>
      <c r="C89" s="415"/>
      <c r="D89" s="105"/>
      <c r="E89" s="415"/>
      <c r="F89" s="415"/>
      <c r="G89" s="415"/>
      <c r="H89" s="415"/>
      <c r="I89" s="415"/>
      <c r="J89" s="415"/>
      <c r="K89" s="415"/>
      <c r="L89" s="415"/>
      <c r="M89" s="415"/>
      <c r="N89" s="415"/>
      <c r="O89" s="692"/>
      <c r="P89" s="419"/>
    </row>
    <row r="90" spans="2:16" s="564" customFormat="1">
      <c r="B90" s="214"/>
      <c r="C90" s="415"/>
      <c r="D90" s="105"/>
      <c r="E90" s="415"/>
      <c r="F90" s="415"/>
      <c r="G90" s="415"/>
      <c r="H90" s="415"/>
      <c r="I90" s="415"/>
      <c r="J90" s="415"/>
      <c r="K90" s="415"/>
      <c r="L90" s="415"/>
      <c r="M90" s="415"/>
      <c r="N90" s="415"/>
      <c r="O90" s="692"/>
      <c r="P90" s="419"/>
    </row>
    <row r="91" spans="2:16" s="564" customFormat="1">
      <c r="B91" s="214"/>
      <c r="C91" s="106" t="s">
        <v>2113</v>
      </c>
      <c r="D91" s="417"/>
      <c r="E91" s="414"/>
      <c r="F91" s="246"/>
      <c r="G91" s="247"/>
      <c r="H91" s="247"/>
      <c r="I91" s="247"/>
      <c r="J91" s="247"/>
      <c r="K91" s="123"/>
      <c r="L91" s="123"/>
      <c r="M91" s="123"/>
      <c r="N91" s="123"/>
      <c r="O91" s="2731"/>
      <c r="P91" s="204"/>
    </row>
    <row r="92" spans="2:16" s="564" customFormat="1">
      <c r="B92" s="214"/>
      <c r="C92" s="248"/>
      <c r="D92" s="414"/>
      <c r="E92" s="218"/>
      <c r="F92" s="246"/>
      <c r="G92" s="247"/>
      <c r="H92" s="247"/>
      <c r="I92" s="247"/>
      <c r="J92" s="247"/>
      <c r="K92" s="123"/>
      <c r="L92" s="123"/>
      <c r="M92" s="123"/>
      <c r="N92" s="123"/>
      <c r="O92" s="2731"/>
      <c r="P92" s="204"/>
    </row>
    <row r="93" spans="2:16" s="564" customFormat="1">
      <c r="B93" s="214"/>
      <c r="C93" s="61"/>
      <c r="D93" s="61" t="s">
        <v>275</v>
      </c>
      <c r="E93" s="61" t="s">
        <v>156</v>
      </c>
      <c r="F93" s="238">
        <v>2007</v>
      </c>
      <c r="G93" s="119">
        <f t="shared" ref="G93:O93" si="30">F93+5</f>
        <v>2012</v>
      </c>
      <c r="H93" s="119">
        <f t="shared" si="30"/>
        <v>2017</v>
      </c>
      <c r="I93" s="119">
        <f t="shared" si="30"/>
        <v>2022</v>
      </c>
      <c r="J93" s="119">
        <f t="shared" si="30"/>
        <v>2027</v>
      </c>
      <c r="K93" s="119">
        <f t="shared" si="30"/>
        <v>2032</v>
      </c>
      <c r="L93" s="119">
        <f t="shared" si="30"/>
        <v>2037</v>
      </c>
      <c r="M93" s="119">
        <f t="shared" si="30"/>
        <v>2042</v>
      </c>
      <c r="N93" s="119">
        <f t="shared" si="30"/>
        <v>2047</v>
      </c>
      <c r="O93" s="2174">
        <f t="shared" si="30"/>
        <v>2052</v>
      </c>
      <c r="P93" s="204"/>
    </row>
    <row r="94" spans="2:16" s="564" customFormat="1">
      <c r="B94" s="214"/>
      <c r="C94" s="69"/>
      <c r="D94" s="69" t="s">
        <v>728</v>
      </c>
      <c r="E94" s="257"/>
      <c r="F94" s="254">
        <v>1</v>
      </c>
      <c r="G94" s="254">
        <v>0.94</v>
      </c>
      <c r="H94" s="257">
        <v>0.5</v>
      </c>
      <c r="I94" s="254">
        <v>0</v>
      </c>
      <c r="J94" s="254">
        <v>0</v>
      </c>
      <c r="K94" s="254">
        <v>0</v>
      </c>
      <c r="L94" s="257">
        <v>0</v>
      </c>
      <c r="M94" s="254">
        <v>0</v>
      </c>
      <c r="N94" s="254">
        <v>0</v>
      </c>
      <c r="O94" s="2727">
        <v>0</v>
      </c>
      <c r="P94" s="204"/>
    </row>
    <row r="95" spans="2:16" s="564" customFormat="1">
      <c r="B95" s="214"/>
      <c r="C95" s="96"/>
      <c r="D95" s="251" t="s">
        <v>729</v>
      </c>
      <c r="E95" s="257"/>
      <c r="F95" s="254">
        <v>0</v>
      </c>
      <c r="G95" s="254">
        <v>0.06</v>
      </c>
      <c r="H95" s="257">
        <v>0.5</v>
      </c>
      <c r="I95" s="254">
        <v>0.9</v>
      </c>
      <c r="J95" s="254">
        <v>0.70000000000000007</v>
      </c>
      <c r="K95" s="254">
        <v>0.44999999999999996</v>
      </c>
      <c r="L95" s="257">
        <v>0.19999999999999996</v>
      </c>
      <c r="M95" s="254">
        <v>9.9999999999999978E-2</v>
      </c>
      <c r="N95" s="254">
        <v>4.9999999999999933E-2</v>
      </c>
      <c r="O95" s="2727">
        <v>5.0000000000000044E-2</v>
      </c>
      <c r="P95" s="204"/>
    </row>
    <row r="96" spans="2:16" s="564" customFormat="1">
      <c r="B96" s="214"/>
      <c r="C96" s="414"/>
      <c r="D96" s="218" t="s">
        <v>730</v>
      </c>
      <c r="E96" s="258"/>
      <c r="F96" s="255">
        <v>0</v>
      </c>
      <c r="G96" s="255">
        <v>0</v>
      </c>
      <c r="H96" s="258">
        <v>0</v>
      </c>
      <c r="I96" s="255">
        <v>0.1</v>
      </c>
      <c r="J96" s="255">
        <v>0.2</v>
      </c>
      <c r="K96" s="255">
        <v>0.3</v>
      </c>
      <c r="L96" s="258">
        <v>0.4</v>
      </c>
      <c r="M96" s="255">
        <v>0.4</v>
      </c>
      <c r="N96" s="255">
        <v>0.3</v>
      </c>
      <c r="O96" s="2728">
        <v>0.2</v>
      </c>
      <c r="P96" s="204"/>
    </row>
    <row r="97" spans="2:16" s="564" customFormat="1">
      <c r="B97" s="214"/>
      <c r="C97" s="414"/>
      <c r="D97" s="218" t="s">
        <v>731</v>
      </c>
      <c r="E97" s="258"/>
      <c r="F97" s="255">
        <v>0</v>
      </c>
      <c r="G97" s="255">
        <v>0</v>
      </c>
      <c r="H97" s="258">
        <v>0</v>
      </c>
      <c r="I97" s="255">
        <v>0</v>
      </c>
      <c r="J97" s="255">
        <v>0.1</v>
      </c>
      <c r="K97" s="255">
        <v>0.25</v>
      </c>
      <c r="L97" s="258">
        <v>0.4</v>
      </c>
      <c r="M97" s="255">
        <v>0.5</v>
      </c>
      <c r="N97" s="255">
        <v>0.65</v>
      </c>
      <c r="O97" s="2728">
        <v>0.75</v>
      </c>
      <c r="P97" s="204"/>
    </row>
    <row r="98" spans="2:16" s="564" customFormat="1">
      <c r="B98" s="214"/>
      <c r="C98" s="252"/>
      <c r="D98" s="579" t="s">
        <v>135</v>
      </c>
      <c r="E98" s="259"/>
      <c r="F98" s="256">
        <v>1</v>
      </c>
      <c r="G98" s="256">
        <v>1</v>
      </c>
      <c r="H98" s="259">
        <v>1</v>
      </c>
      <c r="I98" s="256">
        <v>1</v>
      </c>
      <c r="J98" s="256">
        <v>1</v>
      </c>
      <c r="K98" s="256">
        <v>1</v>
      </c>
      <c r="L98" s="259">
        <v>1</v>
      </c>
      <c r="M98" s="256">
        <v>1</v>
      </c>
      <c r="N98" s="256">
        <v>1</v>
      </c>
      <c r="O98" s="2732">
        <v>1</v>
      </c>
      <c r="P98" s="204"/>
    </row>
    <row r="99" spans="2:16" s="576" customFormat="1">
      <c r="B99" s="214"/>
      <c r="C99" s="414"/>
      <c r="D99" s="218"/>
      <c r="E99" s="218"/>
      <c r="F99" s="611"/>
      <c r="G99" s="611"/>
      <c r="H99" s="255"/>
      <c r="I99" s="255"/>
      <c r="J99" s="255"/>
      <c r="K99" s="255"/>
      <c r="L99" s="255"/>
      <c r="M99" s="578"/>
      <c r="N99" s="578"/>
      <c r="O99" s="2733"/>
      <c r="P99" s="204"/>
    </row>
    <row r="100" spans="2:16" s="576" customFormat="1">
      <c r="B100" s="214"/>
      <c r="C100" s="417" t="s">
        <v>2114</v>
      </c>
      <c r="D100" s="218"/>
      <c r="E100" s="218"/>
      <c r="F100" s="611"/>
      <c r="G100" s="611"/>
      <c r="H100" s="255"/>
      <c r="I100" s="255"/>
      <c r="J100" s="255"/>
      <c r="K100" s="255"/>
      <c r="L100" s="255"/>
      <c r="M100" s="578"/>
      <c r="N100" s="578"/>
      <c r="O100" s="2733"/>
      <c r="P100" s="204"/>
    </row>
    <row r="101" spans="2:16" s="576" customFormat="1">
      <c r="B101" s="214"/>
      <c r="C101" s="414"/>
      <c r="D101" s="218"/>
      <c r="E101" s="218"/>
      <c r="F101" s="611"/>
      <c r="G101" s="611"/>
      <c r="H101" s="255"/>
      <c r="I101" s="255"/>
      <c r="J101" s="255"/>
      <c r="K101" s="255"/>
      <c r="L101" s="255"/>
      <c r="M101" s="578"/>
      <c r="N101" s="578"/>
      <c r="O101" s="2733"/>
      <c r="P101" s="204"/>
    </row>
    <row r="102" spans="2:16" s="576" customFormat="1">
      <c r="B102" s="214"/>
      <c r="C102" s="61"/>
      <c r="D102" s="61" t="s">
        <v>275</v>
      </c>
      <c r="E102" s="61" t="s">
        <v>156</v>
      </c>
      <c r="F102" s="238">
        <v>2007</v>
      </c>
      <c r="G102" s="119">
        <f t="shared" ref="G102:O102" si="31">F102+5</f>
        <v>2012</v>
      </c>
      <c r="H102" s="119">
        <f t="shared" si="31"/>
        <v>2017</v>
      </c>
      <c r="I102" s="119">
        <f t="shared" si="31"/>
        <v>2022</v>
      </c>
      <c r="J102" s="119">
        <f t="shared" si="31"/>
        <v>2027</v>
      </c>
      <c r="K102" s="119">
        <f t="shared" si="31"/>
        <v>2032</v>
      </c>
      <c r="L102" s="119">
        <f t="shared" si="31"/>
        <v>2037</v>
      </c>
      <c r="M102" s="119">
        <f t="shared" si="31"/>
        <v>2042</v>
      </c>
      <c r="N102" s="119">
        <f t="shared" si="31"/>
        <v>2047</v>
      </c>
      <c r="O102" s="2174">
        <f t="shared" si="31"/>
        <v>2052</v>
      </c>
      <c r="P102" s="204"/>
    </row>
    <row r="103" spans="2:16" s="576" customFormat="1">
      <c r="B103" s="214"/>
      <c r="C103" s="69"/>
      <c r="D103" s="69" t="s">
        <v>728</v>
      </c>
      <c r="E103" s="257"/>
      <c r="F103" s="254">
        <v>1</v>
      </c>
      <c r="G103" s="254">
        <v>0.94</v>
      </c>
      <c r="H103" s="257">
        <v>0.5</v>
      </c>
      <c r="I103" s="254">
        <v>0</v>
      </c>
      <c r="J103" s="254">
        <v>0</v>
      </c>
      <c r="K103" s="254">
        <v>0</v>
      </c>
      <c r="L103" s="257">
        <v>0</v>
      </c>
      <c r="M103" s="254">
        <v>0</v>
      </c>
      <c r="N103" s="254">
        <v>0</v>
      </c>
      <c r="O103" s="2727">
        <v>0</v>
      </c>
      <c r="P103" s="204"/>
    </row>
    <row r="104" spans="2:16" s="576" customFormat="1">
      <c r="B104" s="214"/>
      <c r="C104" s="96"/>
      <c r="D104" s="251" t="s">
        <v>729</v>
      </c>
      <c r="E104" s="257"/>
      <c r="F104" s="254">
        <v>0</v>
      </c>
      <c r="G104" s="254">
        <v>0.06</v>
      </c>
      <c r="H104" s="257">
        <v>0.5</v>
      </c>
      <c r="I104" s="254">
        <v>0.8</v>
      </c>
      <c r="J104" s="254">
        <v>0.49999999999999994</v>
      </c>
      <c r="K104" s="254">
        <v>0.15000000000000002</v>
      </c>
      <c r="L104" s="257">
        <v>9.9999999999999978E-2</v>
      </c>
      <c r="M104" s="254">
        <v>0</v>
      </c>
      <c r="N104" s="254">
        <v>0</v>
      </c>
      <c r="O104" s="2727">
        <v>0</v>
      </c>
      <c r="P104" s="204"/>
    </row>
    <row r="105" spans="2:16" s="576" customFormat="1">
      <c r="B105" s="214"/>
      <c r="C105" s="414"/>
      <c r="D105" s="218" t="s">
        <v>730</v>
      </c>
      <c r="E105" s="258"/>
      <c r="F105" s="255">
        <v>0</v>
      </c>
      <c r="G105" s="255">
        <v>0</v>
      </c>
      <c r="H105" s="258">
        <v>0</v>
      </c>
      <c r="I105" s="255">
        <v>0.2</v>
      </c>
      <c r="J105" s="255">
        <v>0.3</v>
      </c>
      <c r="K105" s="255">
        <v>0.5</v>
      </c>
      <c r="L105" s="258">
        <v>0.4</v>
      </c>
      <c r="M105" s="255">
        <v>0.35</v>
      </c>
      <c r="N105" s="255">
        <v>0.2</v>
      </c>
      <c r="O105" s="2728">
        <v>0.1</v>
      </c>
      <c r="P105" s="204"/>
    </row>
    <row r="106" spans="2:16" s="576" customFormat="1">
      <c r="B106" s="214"/>
      <c r="C106" s="414"/>
      <c r="D106" s="218" t="s">
        <v>731</v>
      </c>
      <c r="E106" s="258"/>
      <c r="F106" s="255">
        <v>0</v>
      </c>
      <c r="G106" s="255">
        <v>0</v>
      </c>
      <c r="H106" s="258">
        <v>0</v>
      </c>
      <c r="I106" s="255">
        <v>0</v>
      </c>
      <c r="J106" s="255">
        <v>0.2</v>
      </c>
      <c r="K106" s="255">
        <v>0.35</v>
      </c>
      <c r="L106" s="258">
        <v>0.5</v>
      </c>
      <c r="M106" s="255">
        <v>0.65</v>
      </c>
      <c r="N106" s="255">
        <v>0.8</v>
      </c>
      <c r="O106" s="2728">
        <v>0.9</v>
      </c>
      <c r="P106" s="204"/>
    </row>
    <row r="107" spans="2:16" s="576" customFormat="1">
      <c r="B107" s="214"/>
      <c r="C107" s="252"/>
      <c r="D107" s="579" t="s">
        <v>135</v>
      </c>
      <c r="E107" s="259"/>
      <c r="F107" s="256">
        <v>1</v>
      </c>
      <c r="G107" s="256">
        <v>1</v>
      </c>
      <c r="H107" s="259">
        <v>1</v>
      </c>
      <c r="I107" s="256">
        <v>1</v>
      </c>
      <c r="J107" s="256">
        <v>1</v>
      </c>
      <c r="K107" s="256">
        <v>1</v>
      </c>
      <c r="L107" s="259">
        <v>1</v>
      </c>
      <c r="M107" s="256">
        <v>1</v>
      </c>
      <c r="N107" s="256">
        <v>1</v>
      </c>
      <c r="O107" s="2732">
        <v>1</v>
      </c>
      <c r="P107" s="204"/>
    </row>
    <row r="108" spans="2:16" s="576" customFormat="1">
      <c r="B108" s="214"/>
      <c r="C108" s="414"/>
      <c r="D108" s="218"/>
      <c r="E108" s="218"/>
      <c r="F108" s="611"/>
      <c r="G108" s="611"/>
      <c r="H108" s="255"/>
      <c r="I108" s="255"/>
      <c r="J108" s="255"/>
      <c r="K108" s="255"/>
      <c r="L108" s="255"/>
      <c r="M108" s="578"/>
      <c r="N108" s="578"/>
      <c r="O108" s="578"/>
      <c r="P108" s="204"/>
    </row>
    <row r="109" spans="2:16" s="576" customFormat="1">
      <c r="B109" s="214"/>
      <c r="C109" s="414"/>
      <c r="D109" s="218"/>
      <c r="E109" s="218"/>
      <c r="F109" s="611"/>
      <c r="G109" s="611"/>
      <c r="H109" s="255"/>
      <c r="I109" s="255"/>
      <c r="J109" s="255"/>
      <c r="K109" s="255"/>
      <c r="L109" s="255"/>
      <c r="M109" s="578"/>
      <c r="N109" s="578"/>
      <c r="O109" s="578"/>
      <c r="P109" s="204"/>
    </row>
    <row r="110" spans="2:16" s="576" customFormat="1">
      <c r="B110" s="214"/>
      <c r="C110" s="414"/>
      <c r="D110" s="218"/>
      <c r="E110" s="218"/>
      <c r="F110" s="611"/>
      <c r="G110" s="611"/>
      <c r="H110" s="255"/>
      <c r="I110" s="255"/>
      <c r="J110" s="255"/>
      <c r="K110" s="255"/>
      <c r="L110" s="255"/>
      <c r="M110" s="578"/>
      <c r="N110" s="578"/>
      <c r="O110" s="578"/>
      <c r="P110" s="204"/>
    </row>
    <row r="111" spans="2:16" s="576" customFormat="1">
      <c r="B111" s="214"/>
      <c r="C111" s="417" t="s">
        <v>406</v>
      </c>
      <c r="D111" s="218" t="str">
        <f>"Trajectory "&amp; I.b.1.scenario&amp;""</f>
        <v>Trajectory 10</v>
      </c>
      <c r="E111" s="218"/>
      <c r="F111" s="611"/>
      <c r="G111" s="611"/>
      <c r="H111" s="255"/>
      <c r="I111" s="255"/>
      <c r="J111" s="255"/>
      <c r="K111" s="255"/>
      <c r="L111" s="255"/>
      <c r="M111" s="578"/>
      <c r="N111" s="578"/>
      <c r="O111" s="578"/>
      <c r="P111" s="204"/>
    </row>
    <row r="112" spans="2:16" s="576" customFormat="1">
      <c r="B112" s="214"/>
      <c r="C112" s="414"/>
      <c r="D112" s="218"/>
      <c r="E112" s="218"/>
      <c r="F112" s="611"/>
      <c r="G112" s="611"/>
      <c r="H112" s="255"/>
      <c r="I112" s="255"/>
      <c r="J112" s="255"/>
      <c r="K112" s="255"/>
      <c r="L112" s="255"/>
      <c r="M112" s="578"/>
      <c r="N112" s="578"/>
      <c r="O112" s="578"/>
      <c r="P112" s="204"/>
    </row>
    <row r="113" spans="1:16" s="576" customFormat="1">
      <c r="B113" s="214"/>
      <c r="C113" s="61"/>
      <c r="D113" s="61" t="s">
        <v>275</v>
      </c>
      <c r="E113" s="61" t="s">
        <v>156</v>
      </c>
      <c r="F113" s="238">
        <v>2007</v>
      </c>
      <c r="G113" s="119">
        <f t="shared" ref="G113:O113" si="32">F113+5</f>
        <v>2012</v>
      </c>
      <c r="H113" s="119">
        <f t="shared" si="32"/>
        <v>2017</v>
      </c>
      <c r="I113" s="119">
        <f t="shared" si="32"/>
        <v>2022</v>
      </c>
      <c r="J113" s="119">
        <f t="shared" si="32"/>
        <v>2027</v>
      </c>
      <c r="K113" s="119">
        <f t="shared" si="32"/>
        <v>2032</v>
      </c>
      <c r="L113" s="119">
        <f t="shared" si="32"/>
        <v>2037</v>
      </c>
      <c r="M113" s="119">
        <f t="shared" si="32"/>
        <v>2042</v>
      </c>
      <c r="N113" s="119">
        <f t="shared" si="32"/>
        <v>2047</v>
      </c>
      <c r="O113" s="119">
        <f t="shared" si="32"/>
        <v>2052</v>
      </c>
      <c r="P113" s="204"/>
    </row>
    <row r="114" spans="1:16" s="576" customFormat="1">
      <c r="B114" s="214"/>
      <c r="C114" s="69"/>
      <c r="D114" s="69" t="s">
        <v>728</v>
      </c>
      <c r="E114" s="257"/>
      <c r="F114" s="254">
        <f>CHOOSE($E$8,F74,F84,F94,F103)</f>
        <v>1</v>
      </c>
      <c r="G114" s="254">
        <f t="shared" ref="G114:O114" si="33">CHOOSE($E$8,G74,G84,G94,G103)</f>
        <v>0.94</v>
      </c>
      <c r="H114" s="254">
        <f t="shared" si="33"/>
        <v>0.63</v>
      </c>
      <c r="I114" s="254">
        <f t="shared" si="33"/>
        <v>0.15</v>
      </c>
      <c r="J114" s="254">
        <f t="shared" si="33"/>
        <v>0</v>
      </c>
      <c r="K114" s="254">
        <f t="shared" si="33"/>
        <v>0</v>
      </c>
      <c r="L114" s="254">
        <f t="shared" si="33"/>
        <v>0</v>
      </c>
      <c r="M114" s="254">
        <f t="shared" si="33"/>
        <v>0</v>
      </c>
      <c r="N114" s="254">
        <f t="shared" si="33"/>
        <v>0</v>
      </c>
      <c r="O114" s="254">
        <f t="shared" si="33"/>
        <v>0</v>
      </c>
      <c r="P114" s="204"/>
    </row>
    <row r="115" spans="1:16" s="576" customFormat="1">
      <c r="B115" s="214"/>
      <c r="C115" s="96"/>
      <c r="D115" s="251" t="s">
        <v>729</v>
      </c>
      <c r="E115" s="257"/>
      <c r="F115" s="254">
        <f t="shared" ref="F115:O115" si="34">CHOOSE($E$8,F75,F85,F95,F104)</f>
        <v>0</v>
      </c>
      <c r="G115" s="254">
        <f t="shared" si="34"/>
        <v>0.06</v>
      </c>
      <c r="H115" s="254">
        <f t="shared" si="34"/>
        <v>0.37</v>
      </c>
      <c r="I115" s="254">
        <f t="shared" si="34"/>
        <v>0.85</v>
      </c>
      <c r="J115" s="254">
        <f t="shared" si="34"/>
        <v>0.95</v>
      </c>
      <c r="K115" s="254">
        <f t="shared" si="34"/>
        <v>1</v>
      </c>
      <c r="L115" s="254">
        <f t="shared" si="34"/>
        <v>0.8</v>
      </c>
      <c r="M115" s="254">
        <f t="shared" si="34"/>
        <v>0.6</v>
      </c>
      <c r="N115" s="254">
        <f t="shared" si="34"/>
        <v>0.4</v>
      </c>
      <c r="O115" s="254">
        <f t="shared" si="34"/>
        <v>9.9999999999999978E-2</v>
      </c>
      <c r="P115" s="204"/>
    </row>
    <row r="116" spans="1:16" s="564" customFormat="1">
      <c r="B116" s="214"/>
      <c r="C116" s="414"/>
      <c r="D116" s="218" t="s">
        <v>730</v>
      </c>
      <c r="E116" s="258"/>
      <c r="F116" s="254">
        <f t="shared" ref="F116:O116" si="35">CHOOSE($E$8,F76,F86,F96,F105)</f>
        <v>0</v>
      </c>
      <c r="G116" s="254">
        <f t="shared" si="35"/>
        <v>0</v>
      </c>
      <c r="H116" s="254">
        <f t="shared" si="35"/>
        <v>0</v>
      </c>
      <c r="I116" s="254">
        <f t="shared" si="35"/>
        <v>0</v>
      </c>
      <c r="J116" s="254">
        <f t="shared" si="35"/>
        <v>0.05</v>
      </c>
      <c r="K116" s="254">
        <f t="shared" si="35"/>
        <v>0</v>
      </c>
      <c r="L116" s="254">
        <f t="shared" si="35"/>
        <v>0.1</v>
      </c>
      <c r="M116" s="254">
        <f t="shared" si="35"/>
        <v>0.2</v>
      </c>
      <c r="N116" s="254">
        <f t="shared" si="35"/>
        <v>0.3</v>
      </c>
      <c r="O116" s="254">
        <f t="shared" si="35"/>
        <v>0.3</v>
      </c>
      <c r="P116" s="419"/>
    </row>
    <row r="117" spans="1:16" s="51" customFormat="1" ht="22.5">
      <c r="A117" s="162"/>
      <c r="B117" s="214"/>
      <c r="C117" s="414"/>
      <c r="D117" s="218" t="s">
        <v>731</v>
      </c>
      <c r="E117" s="258"/>
      <c r="F117" s="254">
        <f t="shared" ref="F117:O117" si="36">CHOOSE($E$8,F77,F87,F97,F106)</f>
        <v>0</v>
      </c>
      <c r="G117" s="254">
        <f t="shared" si="36"/>
        <v>0</v>
      </c>
      <c r="H117" s="254">
        <f t="shared" si="36"/>
        <v>0</v>
      </c>
      <c r="I117" s="254">
        <f t="shared" si="36"/>
        <v>0</v>
      </c>
      <c r="J117" s="254">
        <f t="shared" si="36"/>
        <v>0</v>
      </c>
      <c r="K117" s="254">
        <f t="shared" si="36"/>
        <v>0</v>
      </c>
      <c r="L117" s="254">
        <f t="shared" si="36"/>
        <v>0.1</v>
      </c>
      <c r="M117" s="254">
        <f t="shared" si="36"/>
        <v>0.2</v>
      </c>
      <c r="N117" s="254">
        <f t="shared" si="36"/>
        <v>0.3</v>
      </c>
      <c r="O117" s="254">
        <f t="shared" si="36"/>
        <v>0.4</v>
      </c>
      <c r="P117" s="204"/>
    </row>
    <row r="118" spans="1:16">
      <c r="B118" s="214"/>
      <c r="C118" s="252"/>
      <c r="D118" s="579" t="s">
        <v>135</v>
      </c>
      <c r="E118" s="259"/>
      <c r="F118" s="254">
        <f t="shared" ref="F118:O118" si="37">CHOOSE($E$8,F78,F88,F98,F107)</f>
        <v>1</v>
      </c>
      <c r="G118" s="254">
        <f t="shared" si="37"/>
        <v>1</v>
      </c>
      <c r="H118" s="254">
        <f t="shared" si="37"/>
        <v>1</v>
      </c>
      <c r="I118" s="254">
        <f t="shared" si="37"/>
        <v>1</v>
      </c>
      <c r="J118" s="254">
        <f t="shared" si="37"/>
        <v>1</v>
      </c>
      <c r="K118" s="254">
        <f t="shared" si="37"/>
        <v>1</v>
      </c>
      <c r="L118" s="254">
        <f t="shared" si="37"/>
        <v>1</v>
      </c>
      <c r="M118" s="254">
        <f t="shared" si="37"/>
        <v>1</v>
      </c>
      <c r="N118" s="254">
        <f t="shared" si="37"/>
        <v>1</v>
      </c>
      <c r="O118" s="254">
        <f t="shared" si="37"/>
        <v>0.8</v>
      </c>
      <c r="P118" s="204"/>
    </row>
    <row r="119" spans="1:16">
      <c r="B119" s="214"/>
      <c r="C119" s="252"/>
      <c r="D119" s="253"/>
      <c r="E119" s="259"/>
      <c r="F119" s="256"/>
      <c r="G119" s="256"/>
      <c r="H119" s="259"/>
      <c r="I119" s="256"/>
      <c r="J119" s="256"/>
      <c r="K119" s="256"/>
      <c r="L119" s="259"/>
      <c r="M119" s="259"/>
      <c r="N119" s="256"/>
      <c r="O119" s="256"/>
      <c r="P119" s="204"/>
    </row>
    <row r="120" spans="1:16" s="576" customFormat="1">
      <c r="B120" s="214"/>
      <c r="C120" s="414"/>
      <c r="D120" s="218"/>
      <c r="E120" s="255"/>
      <c r="F120" s="255"/>
      <c r="G120" s="255"/>
      <c r="H120" s="255"/>
      <c r="I120" s="255"/>
      <c r="J120" s="255"/>
      <c r="K120" s="255"/>
      <c r="L120" s="255"/>
      <c r="M120" s="255"/>
      <c r="N120" s="255"/>
      <c r="O120" s="255"/>
      <c r="P120" s="204"/>
    </row>
    <row r="121" spans="1:16" s="576" customFormat="1">
      <c r="B121" s="214"/>
      <c r="C121" s="414"/>
      <c r="D121" s="218"/>
      <c r="E121" s="255"/>
      <c r="F121" s="255"/>
      <c r="G121" s="255"/>
      <c r="H121" s="255"/>
      <c r="I121" s="255"/>
      <c r="J121" s="255"/>
      <c r="K121" s="255"/>
      <c r="L121" s="255"/>
      <c r="M121" s="255"/>
      <c r="N121" s="255"/>
      <c r="O121" s="255"/>
      <c r="P121" s="204"/>
    </row>
    <row r="122" spans="1:16" s="576" customFormat="1">
      <c r="B122" s="214"/>
      <c r="C122" s="414"/>
      <c r="D122" s="218"/>
      <c r="E122" s="255"/>
      <c r="F122" s="255"/>
      <c r="G122" s="255"/>
      <c r="H122" s="255"/>
      <c r="I122" s="255"/>
      <c r="J122" s="255"/>
      <c r="K122" s="255"/>
      <c r="L122" s="255"/>
      <c r="M122" s="255"/>
      <c r="N122" s="255"/>
      <c r="O122" s="255"/>
      <c r="P122" s="204"/>
    </row>
    <row r="123" spans="1:16" s="576" customFormat="1">
      <c r="B123" s="214"/>
      <c r="C123" s="414" t="s">
        <v>732</v>
      </c>
      <c r="D123" s="218"/>
      <c r="E123" s="255"/>
      <c r="F123" s="255"/>
      <c r="G123" s="255"/>
      <c r="H123" s="255"/>
      <c r="I123" s="255"/>
      <c r="J123" s="255"/>
      <c r="K123" s="255"/>
      <c r="L123" s="255"/>
      <c r="M123" s="255"/>
      <c r="N123" s="255"/>
      <c r="O123" s="255"/>
      <c r="P123" s="204"/>
    </row>
    <row r="124" spans="1:16" s="576" customFormat="1">
      <c r="B124" s="214"/>
      <c r="C124" s="414"/>
      <c r="D124" s="218"/>
      <c r="E124" s="255"/>
      <c r="F124" s="255"/>
      <c r="G124" s="255"/>
      <c r="H124" s="255"/>
      <c r="I124" s="255"/>
      <c r="J124" s="255"/>
      <c r="K124" s="255"/>
      <c r="L124" s="255"/>
      <c r="M124" s="255"/>
      <c r="N124" s="255"/>
      <c r="O124" s="298" t="str">
        <f>Preferences.PowerUnits</f>
        <v>GW</v>
      </c>
      <c r="P124" s="204"/>
    </row>
    <row r="125" spans="1:16" s="576" customFormat="1">
      <c r="B125" s="214"/>
      <c r="C125" s="61"/>
      <c r="D125" s="61" t="s">
        <v>275</v>
      </c>
      <c r="E125" s="61" t="s">
        <v>156</v>
      </c>
      <c r="F125" s="238">
        <v>2007</v>
      </c>
      <c r="G125" s="119">
        <f t="shared" ref="G125:O125" si="38">F125+5</f>
        <v>2012</v>
      </c>
      <c r="H125" s="119">
        <f t="shared" si="38"/>
        <v>2017</v>
      </c>
      <c r="I125" s="119">
        <f t="shared" si="38"/>
        <v>2022</v>
      </c>
      <c r="J125" s="119">
        <f t="shared" si="38"/>
        <v>2027</v>
      </c>
      <c r="K125" s="119">
        <f t="shared" si="38"/>
        <v>2032</v>
      </c>
      <c r="L125" s="119">
        <f t="shared" si="38"/>
        <v>2037</v>
      </c>
      <c r="M125" s="119">
        <f t="shared" si="38"/>
        <v>2042</v>
      </c>
      <c r="N125" s="119">
        <f t="shared" si="38"/>
        <v>2047</v>
      </c>
      <c r="O125" s="119">
        <f t="shared" si="38"/>
        <v>2052</v>
      </c>
      <c r="P125" s="204"/>
    </row>
    <row r="126" spans="1:16" s="576" customFormat="1">
      <c r="B126" s="214"/>
      <c r="C126" s="69"/>
      <c r="D126" s="69" t="s">
        <v>728</v>
      </c>
      <c r="E126" s="257"/>
      <c r="F126" s="582">
        <f>F114*F$30</f>
        <v>71</v>
      </c>
      <c r="G126" s="582">
        <f t="shared" ref="G126:O126" si="39">G114*G$30</f>
        <v>32.817562000000002</v>
      </c>
      <c r="H126" s="582">
        <f t="shared" si="39"/>
        <v>28.836707519003575</v>
      </c>
      <c r="I126" s="582">
        <f t="shared" si="39"/>
        <v>0</v>
      </c>
      <c r="J126" s="582">
        <f t="shared" si="39"/>
        <v>0</v>
      </c>
      <c r="K126" s="582">
        <f t="shared" si="39"/>
        <v>0</v>
      </c>
      <c r="L126" s="582">
        <f t="shared" si="39"/>
        <v>0</v>
      </c>
      <c r="M126" s="582">
        <f t="shared" si="39"/>
        <v>0</v>
      </c>
      <c r="N126" s="582">
        <f t="shared" si="39"/>
        <v>0</v>
      </c>
      <c r="O126" s="582">
        <f t="shared" si="39"/>
        <v>0</v>
      </c>
      <c r="P126" s="204"/>
    </row>
    <row r="127" spans="1:16" s="576" customFormat="1">
      <c r="B127" s="214"/>
      <c r="C127" s="96"/>
      <c r="D127" s="251" t="s">
        <v>729</v>
      </c>
      <c r="E127" s="257"/>
      <c r="F127" s="582">
        <f t="shared" ref="F127:O127" si="40">F115*F$30</f>
        <v>0</v>
      </c>
      <c r="G127" s="582">
        <f t="shared" si="40"/>
        <v>2.094738</v>
      </c>
      <c r="H127" s="582">
        <f t="shared" si="40"/>
        <v>16.935844098462418</v>
      </c>
      <c r="I127" s="582">
        <f t="shared" si="40"/>
        <v>0</v>
      </c>
      <c r="J127" s="582">
        <f t="shared" si="40"/>
        <v>0</v>
      </c>
      <c r="K127" s="582">
        <f t="shared" si="40"/>
        <v>0</v>
      </c>
      <c r="L127" s="582">
        <f t="shared" si="40"/>
        <v>0</v>
      </c>
      <c r="M127" s="582">
        <f t="shared" si="40"/>
        <v>4.263256414560601E-15</v>
      </c>
      <c r="N127" s="582">
        <f t="shared" si="40"/>
        <v>0</v>
      </c>
      <c r="O127" s="582">
        <f t="shared" si="40"/>
        <v>0</v>
      </c>
      <c r="P127" s="204"/>
    </row>
    <row r="128" spans="1:16" s="576" customFormat="1">
      <c r="B128" s="214"/>
      <c r="C128" s="414"/>
      <c r="D128" s="218" t="s">
        <v>730</v>
      </c>
      <c r="E128" s="258"/>
      <c r="F128" s="582">
        <f t="shared" ref="F128:O128" si="41">F116*F$30</f>
        <v>0</v>
      </c>
      <c r="G128" s="582">
        <f t="shared" si="41"/>
        <v>0</v>
      </c>
      <c r="H128" s="582">
        <f t="shared" si="41"/>
        <v>0</v>
      </c>
      <c r="I128" s="582">
        <f t="shared" si="41"/>
        <v>0</v>
      </c>
      <c r="J128" s="582">
        <f t="shared" si="41"/>
        <v>0</v>
      </c>
      <c r="K128" s="582">
        <f t="shared" si="41"/>
        <v>0</v>
      </c>
      <c r="L128" s="582">
        <f t="shared" si="41"/>
        <v>0</v>
      </c>
      <c r="M128" s="582">
        <f t="shared" si="41"/>
        <v>1.4210854715202005E-15</v>
      </c>
      <c r="N128" s="582">
        <f t="shared" si="41"/>
        <v>0</v>
      </c>
      <c r="O128" s="582">
        <f t="shared" si="41"/>
        <v>0</v>
      </c>
      <c r="P128" s="204"/>
    </row>
    <row r="129" spans="2:16" s="576" customFormat="1">
      <c r="B129" s="214"/>
      <c r="C129" s="414"/>
      <c r="D129" s="218" t="s">
        <v>731</v>
      </c>
      <c r="E129" s="258"/>
      <c r="F129" s="582">
        <f t="shared" ref="F129:O129" si="42">F117*F$30</f>
        <v>0</v>
      </c>
      <c r="G129" s="582">
        <f t="shared" si="42"/>
        <v>0</v>
      </c>
      <c r="H129" s="582">
        <f t="shared" si="42"/>
        <v>0</v>
      </c>
      <c r="I129" s="582">
        <f t="shared" si="42"/>
        <v>0</v>
      </c>
      <c r="J129" s="582">
        <f t="shared" si="42"/>
        <v>0</v>
      </c>
      <c r="K129" s="582">
        <f t="shared" si="42"/>
        <v>0</v>
      </c>
      <c r="L129" s="582">
        <f t="shared" si="42"/>
        <v>0</v>
      </c>
      <c r="M129" s="582">
        <f t="shared" si="42"/>
        <v>1.4210854715202005E-15</v>
      </c>
      <c r="N129" s="582">
        <f t="shared" si="42"/>
        <v>0</v>
      </c>
      <c r="O129" s="582">
        <f t="shared" si="42"/>
        <v>0</v>
      </c>
      <c r="P129" s="204"/>
    </row>
    <row r="130" spans="2:16" s="576" customFormat="1">
      <c r="B130" s="214"/>
      <c r="C130" s="252"/>
      <c r="D130" s="579" t="s">
        <v>135</v>
      </c>
      <c r="E130" s="259"/>
      <c r="F130" s="582">
        <f>SUM(F126:F129)</f>
        <v>71</v>
      </c>
      <c r="G130" s="582">
        <f t="shared" ref="G130:O130" si="43">SUM(G126:G129)</f>
        <v>34.912300000000002</v>
      </c>
      <c r="H130" s="582">
        <f t="shared" si="43"/>
        <v>45.772551617465993</v>
      </c>
      <c r="I130" s="582">
        <f t="shared" si="43"/>
        <v>0</v>
      </c>
      <c r="J130" s="582">
        <f t="shared" si="43"/>
        <v>0</v>
      </c>
      <c r="K130" s="582">
        <f t="shared" si="43"/>
        <v>0</v>
      </c>
      <c r="L130" s="582">
        <f t="shared" si="43"/>
        <v>0</v>
      </c>
      <c r="M130" s="582">
        <f t="shared" si="43"/>
        <v>7.1054273576010019E-15</v>
      </c>
      <c r="N130" s="582">
        <f t="shared" si="43"/>
        <v>0</v>
      </c>
      <c r="O130" s="582">
        <f t="shared" si="43"/>
        <v>0</v>
      </c>
      <c r="P130" s="204"/>
    </row>
    <row r="131" spans="2:16" s="576" customFormat="1">
      <c r="B131" s="214"/>
      <c r="C131" s="414"/>
      <c r="D131" s="218"/>
      <c r="E131" s="255"/>
      <c r="F131" s="255"/>
      <c r="G131" s="255"/>
      <c r="H131" s="255"/>
      <c r="I131" s="255"/>
      <c r="J131" s="255"/>
      <c r="K131" s="255"/>
      <c r="L131" s="255"/>
      <c r="M131" s="255"/>
      <c r="N131" s="255"/>
      <c r="O131" s="255"/>
      <c r="P131" s="204"/>
    </row>
    <row r="132" spans="2:16" s="576" customFormat="1">
      <c r="B132" s="214"/>
      <c r="C132" s="414"/>
      <c r="D132" s="218"/>
      <c r="E132" s="255"/>
      <c r="F132" s="255"/>
      <c r="G132" s="255"/>
      <c r="H132" s="255"/>
      <c r="I132" s="255"/>
      <c r="J132" s="255"/>
      <c r="K132" s="255"/>
      <c r="L132" s="255"/>
      <c r="M132" s="255"/>
      <c r="N132" s="255"/>
      <c r="O132" s="255"/>
      <c r="P132" s="204"/>
    </row>
    <row r="133" spans="2:16" s="576" customFormat="1">
      <c r="B133" s="214"/>
      <c r="C133" s="414" t="s">
        <v>735</v>
      </c>
      <c r="D133" s="218"/>
      <c r="E133" s="255"/>
      <c r="F133" s="255"/>
      <c r="G133" s="255"/>
      <c r="H133" s="255"/>
      <c r="I133" s="255"/>
      <c r="J133" s="255"/>
      <c r="K133" s="255"/>
      <c r="L133" s="255"/>
      <c r="M133" s="255"/>
      <c r="N133" s="255"/>
      <c r="O133" s="255"/>
      <c r="P133" s="204"/>
    </row>
    <row r="134" spans="2:16" s="576" customFormat="1">
      <c r="B134" s="214"/>
      <c r="C134" s="414"/>
      <c r="D134" s="218"/>
      <c r="E134" s="255"/>
      <c r="F134" s="255"/>
      <c r="G134" s="255"/>
      <c r="H134" s="255"/>
      <c r="I134" s="255"/>
      <c r="J134" s="255"/>
      <c r="K134" s="255"/>
      <c r="L134" s="255"/>
      <c r="M134" s="255"/>
      <c r="N134" s="255"/>
      <c r="O134" s="298" t="str">
        <f>Preferences.PowerUnits</f>
        <v>GW</v>
      </c>
      <c r="P134" s="204"/>
    </row>
    <row r="135" spans="2:16" s="576" customFormat="1">
      <c r="B135" s="214"/>
      <c r="C135" s="61"/>
      <c r="D135" s="61" t="s">
        <v>275</v>
      </c>
      <c r="E135" s="61" t="s">
        <v>156</v>
      </c>
      <c r="F135" s="238">
        <v>2007</v>
      </c>
      <c r="G135" s="119">
        <f t="shared" ref="G135:O135" si="44">F135+5</f>
        <v>2012</v>
      </c>
      <c r="H135" s="119">
        <f t="shared" si="44"/>
        <v>2017</v>
      </c>
      <c r="I135" s="119">
        <f t="shared" si="44"/>
        <v>2022</v>
      </c>
      <c r="J135" s="119">
        <f t="shared" si="44"/>
        <v>2027</v>
      </c>
      <c r="K135" s="119">
        <f t="shared" si="44"/>
        <v>2032</v>
      </c>
      <c r="L135" s="119">
        <f t="shared" si="44"/>
        <v>2037</v>
      </c>
      <c r="M135" s="119">
        <f t="shared" si="44"/>
        <v>2042</v>
      </c>
      <c r="N135" s="119">
        <f t="shared" si="44"/>
        <v>2047</v>
      </c>
      <c r="O135" s="119">
        <f t="shared" si="44"/>
        <v>2052</v>
      </c>
      <c r="P135" s="204"/>
    </row>
    <row r="136" spans="2:16" s="576" customFormat="1">
      <c r="B136" s="214"/>
      <c r="C136" s="69"/>
      <c r="D136" s="69" t="s">
        <v>728</v>
      </c>
      <c r="E136" s="257"/>
      <c r="F136" s="567">
        <f t="shared" ref="F136:O139" si="45">(Unit.GW)*0</f>
        <v>0</v>
      </c>
      <c r="G136" s="571">
        <f>0*(-Unit.GW)</f>
        <v>0</v>
      </c>
      <c r="H136" s="571">
        <f>7.083*(-Unit.GW)</f>
        <v>-7.0830000000000002</v>
      </c>
      <c r="I136" s="571">
        <f>6.7678*(-Unit.GW)</f>
        <v>-6.7678000000000003</v>
      </c>
      <c r="J136" s="571">
        <f>12.74*(-Unit.GW)</f>
        <v>-12.74</v>
      </c>
      <c r="K136" s="571">
        <f>12.55*(-Unit.GW)</f>
        <v>-12.55</v>
      </c>
      <c r="L136" s="571">
        <f>9.7075*(-Unit.GW)</f>
        <v>-9.7074999999999996</v>
      </c>
      <c r="M136" s="571">
        <f>7.68*(-Unit.GW)</f>
        <v>-7.68</v>
      </c>
      <c r="N136" s="571">
        <f>11.485*(-Unit.GW)</f>
        <v>-11.484999999999999</v>
      </c>
      <c r="O136" s="571">
        <f>37.899*(-Unit.GW)</f>
        <v>-37.899000000000001</v>
      </c>
      <c r="P136" s="204"/>
    </row>
    <row r="137" spans="2:16" s="576" customFormat="1">
      <c r="B137" s="214"/>
      <c r="C137" s="96"/>
      <c r="D137" s="251" t="s">
        <v>729</v>
      </c>
      <c r="E137" s="257"/>
      <c r="F137" s="567">
        <f t="shared" si="45"/>
        <v>0</v>
      </c>
      <c r="G137" s="567">
        <f t="shared" si="45"/>
        <v>0</v>
      </c>
      <c r="H137" s="567">
        <f t="shared" si="45"/>
        <v>0</v>
      </c>
      <c r="I137" s="567">
        <f t="shared" si="45"/>
        <v>0</v>
      </c>
      <c r="J137" s="567">
        <f t="shared" si="45"/>
        <v>0</v>
      </c>
      <c r="K137" s="567">
        <f t="shared" si="45"/>
        <v>0</v>
      </c>
      <c r="L137" s="567">
        <f t="shared" si="45"/>
        <v>0</v>
      </c>
      <c r="M137" s="567">
        <f t="shared" si="45"/>
        <v>0</v>
      </c>
      <c r="N137" s="567">
        <f t="shared" si="45"/>
        <v>0</v>
      </c>
      <c r="O137" s="567">
        <f t="shared" si="45"/>
        <v>0</v>
      </c>
      <c r="P137" s="204"/>
    </row>
    <row r="138" spans="2:16" s="576" customFormat="1">
      <c r="B138" s="214"/>
      <c r="C138" s="414"/>
      <c r="D138" s="218" t="s">
        <v>730</v>
      </c>
      <c r="E138" s="258"/>
      <c r="F138" s="567">
        <f t="shared" si="45"/>
        <v>0</v>
      </c>
      <c r="G138" s="567">
        <f t="shared" si="45"/>
        <v>0</v>
      </c>
      <c r="H138" s="567">
        <f t="shared" si="45"/>
        <v>0</v>
      </c>
      <c r="I138" s="567">
        <f t="shared" si="45"/>
        <v>0</v>
      </c>
      <c r="J138" s="567">
        <f t="shared" si="45"/>
        <v>0</v>
      </c>
      <c r="K138" s="567">
        <f t="shared" si="45"/>
        <v>0</v>
      </c>
      <c r="L138" s="567">
        <f t="shared" si="45"/>
        <v>0</v>
      </c>
      <c r="M138" s="567">
        <f t="shared" si="45"/>
        <v>0</v>
      </c>
      <c r="N138" s="567">
        <f t="shared" si="45"/>
        <v>0</v>
      </c>
      <c r="O138" s="567">
        <f t="shared" si="45"/>
        <v>0</v>
      </c>
      <c r="P138" s="204"/>
    </row>
    <row r="139" spans="2:16" s="576" customFormat="1">
      <c r="B139" s="214"/>
      <c r="C139" s="414"/>
      <c r="D139" s="218" t="s">
        <v>731</v>
      </c>
      <c r="E139" s="258"/>
      <c r="F139" s="567">
        <f t="shared" si="45"/>
        <v>0</v>
      </c>
      <c r="G139" s="567">
        <f t="shared" si="45"/>
        <v>0</v>
      </c>
      <c r="H139" s="567">
        <f t="shared" si="45"/>
        <v>0</v>
      </c>
      <c r="I139" s="567">
        <f t="shared" si="45"/>
        <v>0</v>
      </c>
      <c r="J139" s="567">
        <f t="shared" si="45"/>
        <v>0</v>
      </c>
      <c r="K139" s="567">
        <f t="shared" si="45"/>
        <v>0</v>
      </c>
      <c r="L139" s="567">
        <f t="shared" si="45"/>
        <v>0</v>
      </c>
      <c r="M139" s="567">
        <f t="shared" si="45"/>
        <v>0</v>
      </c>
      <c r="N139" s="567">
        <f t="shared" si="45"/>
        <v>0</v>
      </c>
      <c r="O139" s="567">
        <f t="shared" si="45"/>
        <v>0</v>
      </c>
      <c r="P139" s="204"/>
    </row>
    <row r="140" spans="2:16" s="576" customFormat="1">
      <c r="B140" s="214"/>
      <c r="C140" s="252"/>
      <c r="D140" s="579" t="s">
        <v>135</v>
      </c>
      <c r="E140" s="259"/>
      <c r="F140" s="582">
        <f>SUM(F136:F139)</f>
        <v>0</v>
      </c>
      <c r="G140" s="582">
        <f t="shared" ref="G140:O140" si="46">SUM(G136:G139)</f>
        <v>0</v>
      </c>
      <c r="H140" s="582">
        <f t="shared" si="46"/>
        <v>-7.0830000000000002</v>
      </c>
      <c r="I140" s="582">
        <f t="shared" si="46"/>
        <v>-6.7678000000000003</v>
      </c>
      <c r="J140" s="582">
        <f t="shared" si="46"/>
        <v>-12.74</v>
      </c>
      <c r="K140" s="582">
        <f t="shared" si="46"/>
        <v>-12.55</v>
      </c>
      <c r="L140" s="582">
        <f t="shared" si="46"/>
        <v>-9.7074999999999996</v>
      </c>
      <c r="M140" s="582">
        <f t="shared" si="46"/>
        <v>-7.68</v>
      </c>
      <c r="N140" s="582">
        <f t="shared" si="46"/>
        <v>-11.484999999999999</v>
      </c>
      <c r="O140" s="582">
        <f t="shared" si="46"/>
        <v>-37.899000000000001</v>
      </c>
      <c r="P140" s="204"/>
    </row>
    <row r="141" spans="2:16" s="576" customFormat="1">
      <c r="B141" s="214"/>
      <c r="C141" s="414"/>
      <c r="D141" s="218"/>
      <c r="E141" s="255"/>
      <c r="F141" s="255"/>
      <c r="G141" s="255"/>
      <c r="H141" s="255"/>
      <c r="I141" s="255"/>
      <c r="J141" s="255"/>
      <c r="K141" s="255"/>
      <c r="L141" s="255"/>
      <c r="M141" s="255"/>
      <c r="N141" s="255"/>
      <c r="O141" s="255"/>
      <c r="P141" s="204"/>
    </row>
    <row r="142" spans="2:16" s="576" customFormat="1">
      <c r="B142" s="214"/>
      <c r="C142" s="414"/>
      <c r="D142" s="218"/>
      <c r="E142" s="255"/>
      <c r="F142" s="255"/>
      <c r="G142" s="255"/>
      <c r="H142" s="255"/>
      <c r="I142" s="255"/>
      <c r="J142" s="255"/>
      <c r="K142" s="255"/>
      <c r="L142" s="255"/>
      <c r="M142" s="255"/>
      <c r="N142" s="255"/>
      <c r="O142" s="255"/>
      <c r="P142" s="204"/>
    </row>
    <row r="143" spans="2:16" s="576" customFormat="1">
      <c r="B143" s="214"/>
      <c r="C143" s="417" t="s">
        <v>736</v>
      </c>
      <c r="D143" s="218"/>
      <c r="E143" s="255"/>
      <c r="F143" s="255"/>
      <c r="G143" s="255"/>
      <c r="H143" s="255"/>
      <c r="I143" s="255"/>
      <c r="J143" s="255"/>
      <c r="K143" s="255"/>
      <c r="L143" s="255"/>
      <c r="M143" s="255"/>
      <c r="N143" s="255"/>
      <c r="O143" s="255"/>
      <c r="P143" s="204"/>
    </row>
    <row r="144" spans="2:16" s="576" customFormat="1">
      <c r="B144" s="214"/>
      <c r="C144" s="414"/>
      <c r="D144" s="218"/>
      <c r="E144" s="255"/>
      <c r="F144" s="255"/>
      <c r="G144" s="255"/>
      <c r="H144" s="255"/>
      <c r="I144" s="255"/>
      <c r="J144" s="255"/>
      <c r="K144" s="255"/>
      <c r="L144" s="255"/>
      <c r="M144" s="255"/>
      <c r="N144" s="255"/>
      <c r="O144" s="298" t="str">
        <f>Preferences.PowerUnits</f>
        <v>GW</v>
      </c>
      <c r="P144" s="204"/>
    </row>
    <row r="145" spans="2:16" s="576" customFormat="1">
      <c r="B145" s="214"/>
      <c r="C145" s="61"/>
      <c r="D145" s="61" t="s">
        <v>275</v>
      </c>
      <c r="E145" s="61" t="s">
        <v>156</v>
      </c>
      <c r="F145" s="238">
        <v>2007</v>
      </c>
      <c r="G145" s="119">
        <f t="shared" ref="G145:O145" si="47">F145+5</f>
        <v>2012</v>
      </c>
      <c r="H145" s="119">
        <f t="shared" si="47"/>
        <v>2017</v>
      </c>
      <c r="I145" s="119">
        <f t="shared" si="47"/>
        <v>2022</v>
      </c>
      <c r="J145" s="119">
        <f t="shared" si="47"/>
        <v>2027</v>
      </c>
      <c r="K145" s="119">
        <f t="shared" si="47"/>
        <v>2032</v>
      </c>
      <c r="L145" s="119">
        <f t="shared" si="47"/>
        <v>2037</v>
      </c>
      <c r="M145" s="119">
        <f t="shared" si="47"/>
        <v>2042</v>
      </c>
      <c r="N145" s="119">
        <f t="shared" si="47"/>
        <v>2047</v>
      </c>
      <c r="O145" s="119">
        <f t="shared" si="47"/>
        <v>2052</v>
      </c>
      <c r="P145" s="204"/>
    </row>
    <row r="146" spans="2:16" s="576" customFormat="1">
      <c r="B146" s="214"/>
      <c r="C146" s="69"/>
      <c r="D146" s="69" t="s">
        <v>728</v>
      </c>
      <c r="E146" s="257"/>
      <c r="F146" s="582">
        <f>E146+F126+F136</f>
        <v>71</v>
      </c>
      <c r="G146" s="582">
        <f t="shared" ref="G146:O146" si="48">F146+G126+G136</f>
        <v>103.81756200000001</v>
      </c>
      <c r="H146" s="582">
        <f t="shared" si="48"/>
        <v>125.57126951900358</v>
      </c>
      <c r="I146" s="582">
        <f t="shared" si="48"/>
        <v>118.80346951900358</v>
      </c>
      <c r="J146" s="582">
        <f t="shared" si="48"/>
        <v>106.06346951900359</v>
      </c>
      <c r="K146" s="582">
        <f t="shared" si="48"/>
        <v>93.513469519003593</v>
      </c>
      <c r="L146" s="582">
        <f t="shared" si="48"/>
        <v>83.805969519003597</v>
      </c>
      <c r="M146" s="582">
        <f t="shared" si="48"/>
        <v>76.125969519003604</v>
      </c>
      <c r="N146" s="582">
        <f t="shared" si="48"/>
        <v>64.640969519003605</v>
      </c>
      <c r="O146" s="582">
        <f t="shared" si="48"/>
        <v>26.741969519003604</v>
      </c>
      <c r="P146" s="204"/>
    </row>
    <row r="147" spans="2:16" s="576" customFormat="1">
      <c r="B147" s="214"/>
      <c r="C147" s="96"/>
      <c r="D147" s="251" t="s">
        <v>729</v>
      </c>
      <c r="E147" s="257"/>
      <c r="F147" s="582">
        <f t="shared" ref="F147:O147" si="49">E147+F127+F137</f>
        <v>0</v>
      </c>
      <c r="G147" s="582">
        <f t="shared" si="49"/>
        <v>2.094738</v>
      </c>
      <c r="H147" s="582">
        <f t="shared" si="49"/>
        <v>19.030582098462418</v>
      </c>
      <c r="I147" s="582">
        <f t="shared" si="49"/>
        <v>19.030582098462418</v>
      </c>
      <c r="J147" s="582">
        <f t="shared" si="49"/>
        <v>19.030582098462418</v>
      </c>
      <c r="K147" s="582">
        <f t="shared" si="49"/>
        <v>19.030582098462418</v>
      </c>
      <c r="L147" s="582">
        <f t="shared" si="49"/>
        <v>19.030582098462418</v>
      </c>
      <c r="M147" s="582">
        <f t="shared" si="49"/>
        <v>19.030582098462421</v>
      </c>
      <c r="N147" s="582">
        <f t="shared" si="49"/>
        <v>19.030582098462421</v>
      </c>
      <c r="O147" s="582">
        <f t="shared" si="49"/>
        <v>19.030582098462421</v>
      </c>
      <c r="P147" s="204"/>
    </row>
    <row r="148" spans="2:16" s="576" customFormat="1">
      <c r="B148" s="214"/>
      <c r="C148" s="414"/>
      <c r="D148" s="218" t="s">
        <v>730</v>
      </c>
      <c r="E148" s="258"/>
      <c r="F148" s="582">
        <f t="shared" ref="F148:O148" si="50">E148+F128+F138</f>
        <v>0</v>
      </c>
      <c r="G148" s="582">
        <f t="shared" si="50"/>
        <v>0</v>
      </c>
      <c r="H148" s="582">
        <f t="shared" si="50"/>
        <v>0</v>
      </c>
      <c r="I148" s="582">
        <f t="shared" si="50"/>
        <v>0</v>
      </c>
      <c r="J148" s="582">
        <f t="shared" si="50"/>
        <v>0</v>
      </c>
      <c r="K148" s="582">
        <f t="shared" si="50"/>
        <v>0</v>
      </c>
      <c r="L148" s="582">
        <f t="shared" si="50"/>
        <v>0</v>
      </c>
      <c r="M148" s="582">
        <f t="shared" si="50"/>
        <v>1.4210854715202005E-15</v>
      </c>
      <c r="N148" s="582">
        <f t="shared" si="50"/>
        <v>1.4210854715202005E-15</v>
      </c>
      <c r="O148" s="582">
        <f t="shared" si="50"/>
        <v>1.4210854715202005E-15</v>
      </c>
      <c r="P148" s="204"/>
    </row>
    <row r="149" spans="2:16" s="576" customFormat="1">
      <c r="B149" s="214"/>
      <c r="C149" s="414"/>
      <c r="D149" s="218" t="s">
        <v>731</v>
      </c>
      <c r="E149" s="258"/>
      <c r="F149" s="582">
        <f t="shared" ref="F149:O149" si="51">E149+F129+F139</f>
        <v>0</v>
      </c>
      <c r="G149" s="582">
        <f t="shared" si="51"/>
        <v>0</v>
      </c>
      <c r="H149" s="582">
        <f t="shared" si="51"/>
        <v>0</v>
      </c>
      <c r="I149" s="582">
        <f t="shared" si="51"/>
        <v>0</v>
      </c>
      <c r="J149" s="582">
        <f t="shared" si="51"/>
        <v>0</v>
      </c>
      <c r="K149" s="582">
        <f t="shared" si="51"/>
        <v>0</v>
      </c>
      <c r="L149" s="582">
        <f t="shared" si="51"/>
        <v>0</v>
      </c>
      <c r="M149" s="582">
        <f t="shared" si="51"/>
        <v>1.4210854715202005E-15</v>
      </c>
      <c r="N149" s="582">
        <f t="shared" si="51"/>
        <v>1.4210854715202005E-15</v>
      </c>
      <c r="O149" s="582">
        <f t="shared" si="51"/>
        <v>1.4210854715202005E-15</v>
      </c>
      <c r="P149" s="204"/>
    </row>
    <row r="150" spans="2:16" s="576" customFormat="1">
      <c r="B150" s="214"/>
      <c r="C150" s="252"/>
      <c r="D150" s="579" t="s">
        <v>135</v>
      </c>
      <c r="E150" s="259"/>
      <c r="F150" s="582">
        <f>SUM(F146:F149)</f>
        <v>71</v>
      </c>
      <c r="G150" s="582">
        <f t="shared" ref="G150:O150" si="52">SUM(G146:G149)</f>
        <v>105.91230000000002</v>
      </c>
      <c r="H150" s="582">
        <f t="shared" si="52"/>
        <v>144.601851617466</v>
      </c>
      <c r="I150" s="582">
        <f t="shared" si="52"/>
        <v>137.834051617466</v>
      </c>
      <c r="J150" s="582">
        <f t="shared" si="52"/>
        <v>125.09405161746601</v>
      </c>
      <c r="K150" s="582">
        <f t="shared" si="52"/>
        <v>112.54405161746601</v>
      </c>
      <c r="L150" s="582">
        <f t="shared" si="52"/>
        <v>102.83655161746601</v>
      </c>
      <c r="M150" s="582">
        <f t="shared" si="52"/>
        <v>95.156551617466022</v>
      </c>
      <c r="N150" s="582">
        <f t="shared" si="52"/>
        <v>83.671551617466022</v>
      </c>
      <c r="O150" s="582">
        <f t="shared" si="52"/>
        <v>45.772551617466021</v>
      </c>
      <c r="P150" s="204"/>
    </row>
    <row r="151" spans="2:16" s="576" customFormat="1">
      <c r="B151" s="214"/>
      <c r="C151" s="414"/>
      <c r="D151" s="218"/>
      <c r="E151" s="255"/>
      <c r="F151" s="454"/>
      <c r="G151" s="454"/>
      <c r="H151" s="454"/>
      <c r="I151" s="454"/>
      <c r="J151" s="454"/>
      <c r="K151" s="454"/>
      <c r="L151" s="454"/>
      <c r="M151" s="454"/>
      <c r="N151" s="454"/>
      <c r="O151" s="454"/>
      <c r="P151" s="204"/>
    </row>
    <row r="152" spans="2:16" s="576" customFormat="1">
      <c r="B152" s="214"/>
      <c r="C152" s="417" t="s">
        <v>737</v>
      </c>
      <c r="D152" s="218"/>
      <c r="E152" s="255"/>
      <c r="F152" s="255"/>
      <c r="G152" s="255"/>
      <c r="H152" s="255"/>
      <c r="I152" s="255"/>
      <c r="J152" s="255"/>
      <c r="K152" s="255"/>
      <c r="L152" s="255"/>
      <c r="M152" s="255"/>
      <c r="N152" s="255"/>
      <c r="O152" s="255"/>
      <c r="P152" s="204"/>
    </row>
    <row r="153" spans="2:16" s="576" customFormat="1">
      <c r="B153" s="214"/>
      <c r="C153" s="414"/>
      <c r="D153" s="218"/>
      <c r="E153" s="255"/>
      <c r="F153" s="255"/>
      <c r="G153" s="255"/>
      <c r="H153" s="255"/>
      <c r="I153" s="255"/>
      <c r="J153" s="255"/>
      <c r="K153" s="255"/>
      <c r="L153" s="255"/>
      <c r="M153" s="255"/>
      <c r="N153" s="255"/>
      <c r="O153" s="298" t="str">
        <f>Preferences.PowerUnits</f>
        <v>GW</v>
      </c>
      <c r="P153" s="204"/>
    </row>
    <row r="154" spans="2:16" s="576" customFormat="1">
      <c r="B154" s="214"/>
      <c r="C154" s="61"/>
      <c r="D154" s="61" t="s">
        <v>65</v>
      </c>
      <c r="E154" s="61" t="s">
        <v>156</v>
      </c>
      <c r="F154" s="238">
        <v>2007</v>
      </c>
      <c r="G154" s="119">
        <f t="shared" ref="G154:O154" si="53">F154+5</f>
        <v>2012</v>
      </c>
      <c r="H154" s="119">
        <f t="shared" si="53"/>
        <v>2017</v>
      </c>
      <c r="I154" s="119">
        <f t="shared" si="53"/>
        <v>2022</v>
      </c>
      <c r="J154" s="119">
        <f t="shared" si="53"/>
        <v>2027</v>
      </c>
      <c r="K154" s="119">
        <f t="shared" si="53"/>
        <v>2032</v>
      </c>
      <c r="L154" s="119">
        <f t="shared" si="53"/>
        <v>2037</v>
      </c>
      <c r="M154" s="119">
        <f t="shared" si="53"/>
        <v>2042</v>
      </c>
      <c r="N154" s="119">
        <f t="shared" si="53"/>
        <v>2047</v>
      </c>
      <c r="O154" s="119">
        <f t="shared" si="53"/>
        <v>2052</v>
      </c>
      <c r="P154" s="204"/>
    </row>
    <row r="155" spans="2:16" s="576" customFormat="1">
      <c r="B155" s="214"/>
      <c r="C155" s="69"/>
      <c r="D155" s="69" t="s">
        <v>725</v>
      </c>
      <c r="E155" s="257"/>
      <c r="F155" s="582">
        <f>F31+F43+E155</f>
        <v>11</v>
      </c>
      <c r="G155" s="582">
        <f t="shared" ref="G155:O155" si="54">G31+G43+F155</f>
        <v>19.111000000000001</v>
      </c>
      <c r="H155" s="582">
        <f t="shared" si="54"/>
        <v>30.689587120761701</v>
      </c>
      <c r="I155" s="582">
        <f t="shared" si="54"/>
        <v>28.089587120761699</v>
      </c>
      <c r="J155" s="582">
        <f t="shared" si="54"/>
        <v>27.289587120761698</v>
      </c>
      <c r="K155" s="582">
        <f t="shared" si="54"/>
        <v>25.1395871207617</v>
      </c>
      <c r="L155" s="582">
        <f t="shared" si="54"/>
        <v>22.089587120761699</v>
      </c>
      <c r="M155" s="582">
        <f t="shared" si="54"/>
        <v>14.378587120761699</v>
      </c>
      <c r="N155" s="582">
        <f t="shared" si="54"/>
        <v>14.378587120761699</v>
      </c>
      <c r="O155" s="582">
        <f t="shared" si="54"/>
        <v>14.378587120761699</v>
      </c>
      <c r="P155" s="204"/>
    </row>
    <row r="156" spans="2:16" s="576" customFormat="1">
      <c r="B156" s="214"/>
      <c r="C156" s="69"/>
      <c r="D156" s="69"/>
      <c r="E156" s="255"/>
      <c r="F156" s="454"/>
      <c r="G156" s="454"/>
      <c r="H156" s="454"/>
      <c r="I156" s="454"/>
      <c r="J156" s="454"/>
      <c r="K156" s="454"/>
      <c r="L156" s="454"/>
      <c r="M156" s="454"/>
      <c r="N156" s="454"/>
      <c r="O156" s="454"/>
      <c r="P156" s="204"/>
    </row>
    <row r="157" spans="2:16" s="576" customFormat="1">
      <c r="B157" s="214"/>
      <c r="C157" s="417" t="s">
        <v>738</v>
      </c>
      <c r="D157" s="218"/>
      <c r="E157" s="255"/>
      <c r="F157" s="255"/>
      <c r="G157" s="255"/>
      <c r="H157" s="255"/>
      <c r="I157" s="255"/>
      <c r="J157" s="255"/>
      <c r="K157" s="255"/>
      <c r="L157" s="255"/>
      <c r="M157" s="255"/>
      <c r="N157" s="255"/>
      <c r="O157" s="255"/>
      <c r="P157" s="204"/>
    </row>
    <row r="158" spans="2:16" s="576" customFormat="1">
      <c r="B158" s="214"/>
      <c r="C158" s="414"/>
      <c r="D158" s="218"/>
      <c r="E158" s="255"/>
      <c r="F158" s="255"/>
      <c r="G158" s="255"/>
      <c r="H158" s="255"/>
      <c r="I158" s="255"/>
      <c r="J158" s="255"/>
      <c r="K158" s="255"/>
      <c r="L158" s="255"/>
      <c r="M158" s="255"/>
      <c r="N158" s="255"/>
      <c r="O158" s="298" t="str">
        <f>Preferences.PowerUnits</f>
        <v>GW</v>
      </c>
      <c r="P158" s="204"/>
    </row>
    <row r="159" spans="2:16" s="576" customFormat="1">
      <c r="B159" s="214"/>
      <c r="C159" s="61"/>
      <c r="D159" s="61" t="s">
        <v>65</v>
      </c>
      <c r="E159" s="61" t="s">
        <v>156</v>
      </c>
      <c r="F159" s="238">
        <v>2007</v>
      </c>
      <c r="G159" s="119">
        <f t="shared" ref="G159:O159" si="55">F159+5</f>
        <v>2012</v>
      </c>
      <c r="H159" s="119">
        <f t="shared" si="55"/>
        <v>2017</v>
      </c>
      <c r="I159" s="119">
        <f t="shared" si="55"/>
        <v>2022</v>
      </c>
      <c r="J159" s="119">
        <f t="shared" si="55"/>
        <v>2027</v>
      </c>
      <c r="K159" s="119">
        <f t="shared" si="55"/>
        <v>2032</v>
      </c>
      <c r="L159" s="119">
        <f t="shared" si="55"/>
        <v>2037</v>
      </c>
      <c r="M159" s="119">
        <f t="shared" si="55"/>
        <v>2042</v>
      </c>
      <c r="N159" s="119">
        <f t="shared" si="55"/>
        <v>2047</v>
      </c>
      <c r="O159" s="119">
        <f t="shared" si="55"/>
        <v>2052</v>
      </c>
      <c r="P159" s="204"/>
    </row>
    <row r="160" spans="2:16" s="576" customFormat="1">
      <c r="B160" s="214"/>
      <c r="C160" s="69"/>
      <c r="D160" s="69" t="s">
        <v>739</v>
      </c>
      <c r="E160" s="257"/>
      <c r="F160" s="582">
        <f>F155+F150</f>
        <v>82</v>
      </c>
      <c r="G160" s="582">
        <f t="shared" ref="G160:O160" si="56">G155+G150</f>
        <v>125.02330000000002</v>
      </c>
      <c r="H160" s="582">
        <f t="shared" si="56"/>
        <v>175.2914387382277</v>
      </c>
      <c r="I160" s="582">
        <f t="shared" si="56"/>
        <v>165.92363873822771</v>
      </c>
      <c r="J160" s="582">
        <f t="shared" si="56"/>
        <v>152.38363873822772</v>
      </c>
      <c r="K160" s="582">
        <f t="shared" si="56"/>
        <v>137.6836387382277</v>
      </c>
      <c r="L160" s="582">
        <f t="shared" si="56"/>
        <v>124.92613873822771</v>
      </c>
      <c r="M160" s="582">
        <f t="shared" si="56"/>
        <v>109.53513873822772</v>
      </c>
      <c r="N160" s="582">
        <f t="shared" si="56"/>
        <v>98.050138738227716</v>
      </c>
      <c r="O160" s="582">
        <f t="shared" si="56"/>
        <v>60.151138738227722</v>
      </c>
      <c r="P160" s="204"/>
    </row>
    <row r="161" spans="2:16" s="576" customFormat="1">
      <c r="B161" s="214"/>
      <c r="C161" s="69"/>
      <c r="D161" s="69"/>
      <c r="E161" s="255"/>
      <c r="F161" s="454"/>
      <c r="G161" s="454"/>
      <c r="H161" s="454"/>
      <c r="I161" s="454"/>
      <c r="J161" s="454"/>
      <c r="K161" s="454"/>
      <c r="L161" s="454"/>
      <c r="M161" s="454"/>
      <c r="N161" s="454"/>
      <c r="O161" s="454"/>
      <c r="P161" s="204"/>
    </row>
    <row r="162" spans="2:16" s="576" customFormat="1">
      <c r="B162" s="214"/>
      <c r="C162" s="69"/>
      <c r="D162" s="69"/>
      <c r="E162" s="255"/>
      <c r="F162" s="454"/>
      <c r="G162" s="454"/>
      <c r="H162" s="454"/>
      <c r="I162" s="454"/>
      <c r="J162" s="454"/>
      <c r="K162" s="454"/>
      <c r="L162" s="454"/>
      <c r="M162" s="454"/>
      <c r="N162" s="454"/>
      <c r="O162" s="454"/>
      <c r="P162" s="204"/>
    </row>
    <row r="163" spans="2:16" s="576" customFormat="1">
      <c r="B163" s="214"/>
      <c r="C163" s="412" t="s">
        <v>740</v>
      </c>
      <c r="D163" s="69"/>
      <c r="E163" s="255"/>
      <c r="F163" s="454"/>
      <c r="G163" s="454"/>
      <c r="H163" s="454"/>
      <c r="I163" s="454"/>
      <c r="J163" s="454"/>
      <c r="K163" s="454"/>
      <c r="L163" s="454"/>
      <c r="M163" s="454"/>
      <c r="N163" s="454"/>
      <c r="O163" s="454"/>
      <c r="P163" s="204"/>
    </row>
    <row r="164" spans="2:16" s="576" customFormat="1">
      <c r="B164" s="214"/>
      <c r="C164" s="69"/>
      <c r="D164" s="69"/>
      <c r="E164" s="255"/>
      <c r="F164" s="454"/>
      <c r="G164" s="454"/>
      <c r="H164" s="454"/>
      <c r="I164" s="454"/>
      <c r="J164" s="454"/>
      <c r="K164" s="454"/>
      <c r="L164" s="454"/>
      <c r="M164" s="454"/>
      <c r="N164" s="454"/>
      <c r="O164" s="454"/>
      <c r="P164" s="204"/>
    </row>
    <row r="165" spans="2:16" s="576" customFormat="1">
      <c r="B165" s="214"/>
      <c r="C165" s="61" t="s">
        <v>411</v>
      </c>
      <c r="D165" s="61" t="s">
        <v>65</v>
      </c>
      <c r="E165" s="61" t="s">
        <v>156</v>
      </c>
      <c r="F165" s="119">
        <v>2007</v>
      </c>
      <c r="G165" s="120">
        <f>F165+5</f>
        <v>2012</v>
      </c>
      <c r="H165" s="120">
        <f t="shared" ref="H165:O165" si="57">G165+5</f>
        <v>2017</v>
      </c>
      <c r="I165" s="120">
        <f t="shared" si="57"/>
        <v>2022</v>
      </c>
      <c r="J165" s="120">
        <f t="shared" si="57"/>
        <v>2027</v>
      </c>
      <c r="K165" s="120">
        <f t="shared" si="57"/>
        <v>2032</v>
      </c>
      <c r="L165" s="120">
        <f t="shared" si="57"/>
        <v>2037</v>
      </c>
      <c r="M165" s="120">
        <f t="shared" si="57"/>
        <v>2042</v>
      </c>
      <c r="N165" s="120">
        <f t="shared" si="57"/>
        <v>2047</v>
      </c>
      <c r="O165" s="120">
        <f t="shared" si="57"/>
        <v>2052</v>
      </c>
      <c r="P165" s="204"/>
    </row>
    <row r="166" spans="2:16" s="576" customFormat="1">
      <c r="B166" s="214"/>
      <c r="C166" s="509">
        <v>1</v>
      </c>
      <c r="D166" s="414"/>
      <c r="E166" s="96"/>
      <c r="F166" s="2734">
        <v>0.77</v>
      </c>
      <c r="G166" s="2734">
        <v>0.73299999999999998</v>
      </c>
      <c r="H166" s="2734">
        <v>0.73</v>
      </c>
      <c r="I166" s="2734">
        <v>0.73</v>
      </c>
      <c r="J166" s="2734">
        <v>0.73</v>
      </c>
      <c r="K166" s="2734">
        <v>0.73</v>
      </c>
      <c r="L166" s="2734">
        <v>0.74</v>
      </c>
      <c r="M166" s="2734">
        <v>0.74</v>
      </c>
      <c r="N166" s="2734">
        <v>0.74</v>
      </c>
      <c r="O166" s="2644">
        <v>0.74</v>
      </c>
      <c r="P166" s="204"/>
    </row>
    <row r="167" spans="2:16" s="576" customFormat="1">
      <c r="B167" s="214"/>
      <c r="C167" s="509">
        <v>2</v>
      </c>
      <c r="D167" s="414"/>
      <c r="E167" s="414"/>
      <c r="F167" s="2734">
        <v>0.76800000000000002</v>
      </c>
      <c r="G167" s="2734">
        <v>0.73</v>
      </c>
      <c r="H167" s="2734">
        <v>0.75</v>
      </c>
      <c r="I167" s="2734">
        <v>0.75</v>
      </c>
      <c r="J167" s="2734">
        <v>0.75</v>
      </c>
      <c r="K167" s="2734">
        <v>0.75</v>
      </c>
      <c r="L167" s="2734">
        <v>0.76</v>
      </c>
      <c r="M167" s="2734">
        <v>0.76</v>
      </c>
      <c r="N167" s="2734">
        <v>0.76</v>
      </c>
      <c r="O167" s="2644">
        <v>0.76</v>
      </c>
      <c r="P167" s="204"/>
    </row>
    <row r="168" spans="2:16" s="576" customFormat="1">
      <c r="B168" s="214"/>
      <c r="C168" s="509">
        <v>3</v>
      </c>
      <c r="D168" s="414"/>
      <c r="E168" s="414"/>
      <c r="F168" s="2734">
        <v>0.76800000000000002</v>
      </c>
      <c r="G168" s="2734">
        <v>0.73</v>
      </c>
      <c r="H168" s="2734">
        <v>0.77</v>
      </c>
      <c r="I168" s="2734">
        <v>0.77</v>
      </c>
      <c r="J168" s="2734">
        <v>0.77</v>
      </c>
      <c r="K168" s="2734">
        <v>0.77</v>
      </c>
      <c r="L168" s="2734">
        <v>0.78</v>
      </c>
      <c r="M168" s="2734">
        <v>0.78</v>
      </c>
      <c r="N168" s="2734">
        <v>0.78</v>
      </c>
      <c r="O168" s="2644">
        <v>0.78</v>
      </c>
      <c r="P168" s="204"/>
    </row>
    <row r="169" spans="2:16" s="576" customFormat="1">
      <c r="B169" s="214"/>
      <c r="C169" s="583">
        <v>4</v>
      </c>
      <c r="D169" s="65"/>
      <c r="E169" s="65"/>
      <c r="F169" s="2734">
        <v>0.76800000000000002</v>
      </c>
      <c r="G169" s="2734">
        <v>0.73</v>
      </c>
      <c r="H169" s="2734">
        <v>0.79</v>
      </c>
      <c r="I169" s="2734">
        <v>0.79</v>
      </c>
      <c r="J169" s="2734">
        <v>0.79</v>
      </c>
      <c r="K169" s="2734">
        <v>0.79</v>
      </c>
      <c r="L169" s="2734">
        <v>0.8</v>
      </c>
      <c r="M169" s="2734">
        <v>0.8</v>
      </c>
      <c r="N169" s="2734">
        <v>0.8</v>
      </c>
      <c r="O169" s="2644">
        <v>0.8</v>
      </c>
      <c r="P169" s="204"/>
    </row>
    <row r="170" spans="2:16" s="576" customFormat="1">
      <c r="B170" s="214"/>
      <c r="C170" s="406" t="s">
        <v>406</v>
      </c>
      <c r="D170" s="407"/>
      <c r="E170" s="407"/>
      <c r="F170" s="584">
        <f>(INDEX(F$166:F$169,ROUNDDOWN($E$7,0))*(1-MOD($E$8,1)))+(INDEX(F$166:F$169,ROUNDUP($E$8,0))*MOD($E$8,1))</f>
        <v>0.77</v>
      </c>
      <c r="G170" s="584">
        <f t="shared" ref="G170:O170" si="58">(INDEX(G$166:G$169,ROUNDDOWN($E$7,0))*(1-MOD($E$8,1)))+(INDEX(G$166:G$169,ROUNDUP($E$8,0))*MOD($E$8,1))</f>
        <v>0.73299999999999998</v>
      </c>
      <c r="H170" s="584">
        <f t="shared" si="58"/>
        <v>0.73</v>
      </c>
      <c r="I170" s="584">
        <f t="shared" si="58"/>
        <v>0.73</v>
      </c>
      <c r="J170" s="584">
        <f t="shared" si="58"/>
        <v>0.73</v>
      </c>
      <c r="K170" s="584">
        <f t="shared" si="58"/>
        <v>0.73</v>
      </c>
      <c r="L170" s="584">
        <f t="shared" si="58"/>
        <v>0.74</v>
      </c>
      <c r="M170" s="584">
        <f t="shared" si="58"/>
        <v>0.74</v>
      </c>
      <c r="N170" s="584">
        <f t="shared" si="58"/>
        <v>0.74</v>
      </c>
      <c r="O170" s="584">
        <f t="shared" si="58"/>
        <v>0.74</v>
      </c>
      <c r="P170" s="204"/>
    </row>
    <row r="171" spans="2:16" s="576" customFormat="1">
      <c r="B171" s="214"/>
      <c r="C171" s="69"/>
      <c r="D171" s="69"/>
      <c r="E171" s="255"/>
      <c r="F171" s="2735"/>
      <c r="G171" s="2735"/>
      <c r="H171" s="2735"/>
      <c r="I171" s="2735"/>
      <c r="J171" s="2735"/>
      <c r="K171" s="2735"/>
      <c r="L171" s="2735"/>
      <c r="M171" s="2735"/>
      <c r="N171" s="2735"/>
      <c r="O171" s="454"/>
      <c r="P171" s="204"/>
    </row>
    <row r="172" spans="2:16" s="576" customFormat="1">
      <c r="B172" s="214"/>
      <c r="C172" s="69"/>
      <c r="D172" s="69"/>
      <c r="E172" s="255"/>
      <c r="F172" s="2735"/>
      <c r="G172" s="2735"/>
      <c r="H172" s="2735"/>
      <c r="I172" s="2735"/>
      <c r="J172" s="2735"/>
      <c r="K172" s="2735"/>
      <c r="L172" s="2735"/>
      <c r="M172" s="2735"/>
      <c r="N172" s="2735"/>
      <c r="O172" s="454"/>
      <c r="P172" s="204"/>
    </row>
    <row r="173" spans="2:16" s="576" customFormat="1">
      <c r="B173" s="214"/>
      <c r="C173" s="412" t="s">
        <v>741</v>
      </c>
      <c r="D173" s="69"/>
      <c r="E173" s="255"/>
      <c r="F173" s="2735"/>
      <c r="G173" s="2735"/>
      <c r="H173" s="2735"/>
      <c r="I173" s="2735"/>
      <c r="J173" s="2735"/>
      <c r="K173" s="2735"/>
      <c r="L173" s="2735"/>
      <c r="M173" s="2735"/>
      <c r="N173" s="2735"/>
      <c r="O173" s="454"/>
      <c r="P173" s="204"/>
    </row>
    <row r="174" spans="2:16" s="576" customFormat="1">
      <c r="B174" s="214"/>
      <c r="C174" s="69"/>
      <c r="D174" s="69"/>
      <c r="E174" s="255"/>
      <c r="F174" s="2735"/>
      <c r="G174" s="2735"/>
      <c r="H174" s="2735"/>
      <c r="I174" s="2735"/>
      <c r="J174" s="2735"/>
      <c r="K174" s="2735"/>
      <c r="L174" s="2735"/>
      <c r="M174" s="2735"/>
      <c r="N174" s="2735"/>
      <c r="O174" s="454"/>
      <c r="P174" s="204"/>
    </row>
    <row r="175" spans="2:16" s="576" customFormat="1">
      <c r="B175" s="214"/>
      <c r="C175" s="61" t="s">
        <v>411</v>
      </c>
      <c r="D175" s="61" t="s">
        <v>65</v>
      </c>
      <c r="E175" s="61" t="s">
        <v>156</v>
      </c>
      <c r="F175" s="119">
        <v>2007</v>
      </c>
      <c r="G175" s="120">
        <f t="shared" ref="G175:O175" si="59">F175+5</f>
        <v>2012</v>
      </c>
      <c r="H175" s="120">
        <f t="shared" si="59"/>
        <v>2017</v>
      </c>
      <c r="I175" s="120">
        <f t="shared" si="59"/>
        <v>2022</v>
      </c>
      <c r="J175" s="120">
        <f t="shared" si="59"/>
        <v>2027</v>
      </c>
      <c r="K175" s="120">
        <f t="shared" si="59"/>
        <v>2032</v>
      </c>
      <c r="L175" s="120">
        <f t="shared" si="59"/>
        <v>2037</v>
      </c>
      <c r="M175" s="120">
        <f t="shared" si="59"/>
        <v>2042</v>
      </c>
      <c r="N175" s="120">
        <f t="shared" si="59"/>
        <v>2047</v>
      </c>
      <c r="O175" s="120">
        <f t="shared" si="59"/>
        <v>2052</v>
      </c>
      <c r="P175" s="204"/>
    </row>
    <row r="176" spans="2:16" s="576" customFormat="1">
      <c r="B176" s="214"/>
      <c r="C176" s="509">
        <v>1</v>
      </c>
      <c r="D176" s="414"/>
      <c r="E176" s="96"/>
      <c r="F176" s="2734">
        <v>0.55000000000000004</v>
      </c>
      <c r="G176" s="2734">
        <v>0.55000000000000004</v>
      </c>
      <c r="H176" s="2734">
        <v>0.55000000000000004</v>
      </c>
      <c r="I176" s="2734">
        <v>0.55000000000000004</v>
      </c>
      <c r="J176" s="2734">
        <v>0.55000000000000004</v>
      </c>
      <c r="K176" s="2734">
        <v>0.55000000000000004</v>
      </c>
      <c r="L176" s="2734">
        <v>0.55000000000000004</v>
      </c>
      <c r="M176" s="2734">
        <v>0.55000000000000004</v>
      </c>
      <c r="N176" s="2734">
        <v>0.55000000000000004</v>
      </c>
      <c r="O176" s="2644">
        <v>0.55000000000000004</v>
      </c>
      <c r="P176" s="204"/>
    </row>
    <row r="177" spans="2:16" s="576" customFormat="1">
      <c r="B177" s="214"/>
      <c r="C177" s="509">
        <v>2</v>
      </c>
      <c r="D177" s="414"/>
      <c r="E177" s="414"/>
      <c r="F177" s="2734">
        <v>0.55000000000000004</v>
      </c>
      <c r="G177" s="2734">
        <v>0.55000000000000004</v>
      </c>
      <c r="H177" s="2734">
        <v>0.55000000000000004</v>
      </c>
      <c r="I177" s="2734">
        <v>0.55000000000000004</v>
      </c>
      <c r="J177" s="2734">
        <v>0.55000000000000004</v>
      </c>
      <c r="K177" s="2734">
        <v>0.55000000000000004</v>
      </c>
      <c r="L177" s="2734">
        <v>0.56999999999999995</v>
      </c>
      <c r="M177" s="2734">
        <v>0.56999999999999995</v>
      </c>
      <c r="N177" s="2734">
        <v>0.56999999999999995</v>
      </c>
      <c r="O177" s="2644">
        <v>0.56999999999999995</v>
      </c>
      <c r="P177" s="204"/>
    </row>
    <row r="178" spans="2:16" s="576" customFormat="1">
      <c r="B178" s="214"/>
      <c r="C178" s="509">
        <v>3</v>
      </c>
      <c r="D178" s="414"/>
      <c r="E178" s="414"/>
      <c r="F178" s="2734">
        <v>0.55000000000000004</v>
      </c>
      <c r="G178" s="2734">
        <v>0.55000000000000004</v>
      </c>
      <c r="H178" s="2734">
        <v>0.56999999999999995</v>
      </c>
      <c r="I178" s="2734">
        <v>0.56999999999999995</v>
      </c>
      <c r="J178" s="2734">
        <v>0.56999999999999995</v>
      </c>
      <c r="K178" s="2734">
        <v>0.56999999999999995</v>
      </c>
      <c r="L178" s="2734">
        <v>0.6</v>
      </c>
      <c r="M178" s="2734">
        <v>0.6</v>
      </c>
      <c r="N178" s="2734">
        <v>0.6</v>
      </c>
      <c r="O178" s="2644">
        <v>0.6</v>
      </c>
      <c r="P178" s="204"/>
    </row>
    <row r="179" spans="2:16" s="576" customFormat="1">
      <c r="B179" s="214"/>
      <c r="C179" s="583">
        <v>4</v>
      </c>
      <c r="D179" s="65"/>
      <c r="E179" s="65"/>
      <c r="F179" s="2734">
        <v>0.55000000000000004</v>
      </c>
      <c r="G179" s="2734">
        <v>0.55000000000000004</v>
      </c>
      <c r="H179" s="2734">
        <v>0.56999999999999995</v>
      </c>
      <c r="I179" s="2734">
        <v>0.56999999999999995</v>
      </c>
      <c r="J179" s="2734">
        <v>0.56999999999999995</v>
      </c>
      <c r="K179" s="2734">
        <v>0.56999999999999995</v>
      </c>
      <c r="L179" s="2734">
        <v>0.6</v>
      </c>
      <c r="M179" s="2734">
        <v>0.6</v>
      </c>
      <c r="N179" s="2734">
        <v>0.6</v>
      </c>
      <c r="O179" s="2644">
        <v>0.6</v>
      </c>
      <c r="P179" s="204"/>
    </row>
    <row r="180" spans="2:16" s="576" customFormat="1">
      <c r="B180" s="214"/>
      <c r="C180" s="406" t="s">
        <v>406</v>
      </c>
      <c r="D180" s="407"/>
      <c r="E180" s="407"/>
      <c r="F180" s="584">
        <f>(INDEX(F$176:F$179,ROUNDDOWN($E$7,0))*(1-MOD($E$7,1)))+(INDEX(F$176:F$179,ROUNDUP($E$8,0))*MOD($E$8,1))</f>
        <v>0.55000000000000004</v>
      </c>
      <c r="G180" s="584">
        <f t="shared" ref="G180:O180" si="60">(INDEX(G$176:G$179,ROUNDDOWN($E$7,0))*(1-MOD($E$7,1)))+(INDEX(G$176:G$179,ROUNDUP($E$8,0))*MOD($E$8,1))</f>
        <v>0.55000000000000004</v>
      </c>
      <c r="H180" s="584">
        <f t="shared" si="60"/>
        <v>0.55000000000000004</v>
      </c>
      <c r="I180" s="584">
        <f t="shared" si="60"/>
        <v>0.55000000000000004</v>
      </c>
      <c r="J180" s="584">
        <f t="shared" si="60"/>
        <v>0.55000000000000004</v>
      </c>
      <c r="K180" s="584">
        <f t="shared" si="60"/>
        <v>0.55000000000000004</v>
      </c>
      <c r="L180" s="584">
        <f t="shared" si="60"/>
        <v>0.55000000000000004</v>
      </c>
      <c r="M180" s="584">
        <f t="shared" si="60"/>
        <v>0.55000000000000004</v>
      </c>
      <c r="N180" s="584">
        <f t="shared" si="60"/>
        <v>0.55000000000000004</v>
      </c>
      <c r="O180" s="584">
        <f t="shared" si="60"/>
        <v>0.55000000000000004</v>
      </c>
      <c r="P180" s="204"/>
    </row>
    <row r="181" spans="2:16" s="576" customFormat="1">
      <c r="B181" s="214"/>
      <c r="C181" s="69"/>
      <c r="D181" s="69"/>
      <c r="E181" s="255"/>
      <c r="F181" s="454"/>
      <c r="G181" s="454"/>
      <c r="H181" s="454"/>
      <c r="I181" s="454"/>
      <c r="J181" s="454"/>
      <c r="K181" s="454"/>
      <c r="L181" s="454"/>
      <c r="M181" s="454"/>
      <c r="N181" s="454"/>
      <c r="O181" s="454"/>
      <c r="P181" s="204"/>
    </row>
    <row r="182" spans="2:16" s="576" customFormat="1">
      <c r="B182" s="214"/>
      <c r="C182" s="69"/>
      <c r="D182" s="69"/>
      <c r="E182" s="255"/>
      <c r="F182" s="454"/>
      <c r="G182" s="454"/>
      <c r="H182" s="454"/>
      <c r="I182" s="454"/>
      <c r="J182" s="454"/>
      <c r="K182" s="454"/>
      <c r="L182" s="454"/>
      <c r="M182" s="454"/>
      <c r="N182" s="454"/>
      <c r="O182" s="454"/>
      <c r="P182" s="204"/>
    </row>
    <row r="183" spans="2:16" s="576" customFormat="1">
      <c r="B183" s="214"/>
      <c r="C183" s="69"/>
      <c r="D183" s="69"/>
      <c r="E183" s="255"/>
      <c r="F183" s="454"/>
      <c r="G183" s="454"/>
      <c r="H183" s="454"/>
      <c r="I183" s="454"/>
      <c r="J183" s="454"/>
      <c r="K183" s="454"/>
      <c r="L183" s="454"/>
      <c r="M183" s="454"/>
      <c r="N183" s="454"/>
      <c r="O183" s="454"/>
      <c r="P183" s="204"/>
    </row>
    <row r="184" spans="2:16" s="576" customFormat="1">
      <c r="B184" s="214"/>
      <c r="C184" s="69"/>
      <c r="D184" s="69"/>
      <c r="E184" s="255"/>
      <c r="F184" s="454"/>
      <c r="G184" s="454"/>
      <c r="H184" s="454"/>
      <c r="I184" s="454"/>
      <c r="J184" s="454"/>
      <c r="K184" s="454"/>
      <c r="L184" s="454"/>
      <c r="M184" s="454"/>
      <c r="N184" s="454"/>
      <c r="O184" s="454"/>
      <c r="P184" s="204"/>
    </row>
    <row r="185" spans="2:16" s="576" customFormat="1">
      <c r="B185" s="214"/>
      <c r="C185" s="69"/>
      <c r="D185" s="69"/>
      <c r="E185" s="255"/>
      <c r="F185" s="454"/>
      <c r="G185" s="454"/>
      <c r="H185" s="454"/>
      <c r="I185" s="454"/>
      <c r="J185" s="454"/>
      <c r="K185" s="454"/>
      <c r="L185" s="454"/>
      <c r="M185" s="454"/>
      <c r="N185" s="454"/>
      <c r="O185" s="454"/>
      <c r="P185" s="204"/>
    </row>
    <row r="186" spans="2:16" s="576" customFormat="1">
      <c r="B186" s="214"/>
      <c r="C186" s="69"/>
      <c r="D186" s="69"/>
      <c r="E186" s="255"/>
      <c r="F186" s="454"/>
      <c r="G186" s="454"/>
      <c r="H186" s="454"/>
      <c r="I186" s="454"/>
      <c r="J186" s="454"/>
      <c r="K186" s="454"/>
      <c r="L186" s="454"/>
      <c r="M186" s="454"/>
      <c r="N186" s="454"/>
      <c r="O186" s="454"/>
      <c r="P186" s="204"/>
    </row>
    <row r="187" spans="2:16" s="576" customFormat="1">
      <c r="B187" s="214"/>
      <c r="C187" s="69"/>
      <c r="D187" s="69"/>
      <c r="E187" s="255"/>
      <c r="F187" s="454"/>
      <c r="G187" s="454"/>
      <c r="H187" s="454"/>
      <c r="I187" s="454"/>
      <c r="J187" s="454"/>
      <c r="K187" s="454"/>
      <c r="L187" s="454"/>
      <c r="M187" s="454"/>
      <c r="N187" s="454"/>
      <c r="O187" s="454"/>
      <c r="P187" s="204"/>
    </row>
    <row r="188" spans="2:16" s="576" customFormat="1">
      <c r="B188" s="214"/>
      <c r="C188" s="69"/>
      <c r="D188" s="69"/>
      <c r="E188" s="255"/>
      <c r="F188" s="454"/>
      <c r="G188" s="454"/>
      <c r="H188" s="454"/>
      <c r="I188" s="454"/>
      <c r="J188" s="454"/>
      <c r="K188" s="454"/>
      <c r="L188" s="454"/>
      <c r="M188" s="454"/>
      <c r="N188" s="454"/>
      <c r="O188" s="454"/>
      <c r="P188" s="204"/>
    </row>
    <row r="189" spans="2:16" s="576" customFormat="1">
      <c r="B189" s="214"/>
      <c r="C189" s="69"/>
      <c r="D189" s="69"/>
      <c r="E189" s="255"/>
      <c r="F189" s="454"/>
      <c r="G189" s="454"/>
      <c r="H189" s="454"/>
      <c r="I189" s="454"/>
      <c r="J189" s="454"/>
      <c r="K189" s="454"/>
      <c r="L189" s="454"/>
      <c r="M189" s="454"/>
      <c r="N189" s="454"/>
      <c r="O189" s="454"/>
      <c r="P189" s="204"/>
    </row>
    <row r="190" spans="2:16" s="576" customFormat="1">
      <c r="B190" s="214"/>
      <c r="C190" s="69"/>
      <c r="D190" s="69"/>
      <c r="E190" s="255"/>
      <c r="F190" s="454"/>
      <c r="G190" s="454"/>
      <c r="H190" s="454"/>
      <c r="I190" s="454"/>
      <c r="J190" s="454"/>
      <c r="K190" s="454"/>
      <c r="L190" s="454"/>
      <c r="M190" s="454"/>
      <c r="N190" s="454"/>
      <c r="O190" s="454"/>
      <c r="P190" s="204"/>
    </row>
    <row r="191" spans="2:16" s="576" customFormat="1">
      <c r="B191" s="214"/>
      <c r="C191" s="69"/>
      <c r="D191" s="69"/>
      <c r="E191" s="255"/>
      <c r="F191" s="454"/>
      <c r="G191" s="454"/>
      <c r="H191" s="454"/>
      <c r="I191" s="454"/>
      <c r="J191" s="454"/>
      <c r="K191" s="454"/>
      <c r="L191" s="454"/>
      <c r="M191" s="454"/>
      <c r="N191" s="454"/>
      <c r="O191" s="454"/>
      <c r="P191" s="204"/>
    </row>
    <row r="192" spans="2:16" s="576" customFormat="1">
      <c r="B192" s="214"/>
      <c r="C192" s="69"/>
      <c r="D192" s="69"/>
      <c r="E192" s="255"/>
      <c r="F192" s="454"/>
      <c r="G192" s="454"/>
      <c r="H192" s="454"/>
      <c r="I192" s="454"/>
      <c r="J192" s="454"/>
      <c r="K192" s="454"/>
      <c r="L192" s="454"/>
      <c r="M192" s="454"/>
      <c r="N192" s="454"/>
      <c r="O192" s="454"/>
      <c r="P192" s="204"/>
    </row>
    <row r="193" spans="1:16" s="576" customFormat="1">
      <c r="B193" s="214"/>
      <c r="C193" s="69"/>
      <c r="D193" s="69"/>
      <c r="E193" s="255"/>
      <c r="F193" s="454"/>
      <c r="G193" s="454"/>
      <c r="H193" s="454"/>
      <c r="I193" s="454"/>
      <c r="J193" s="454"/>
      <c r="K193" s="454"/>
      <c r="L193" s="454"/>
      <c r="M193" s="454"/>
      <c r="N193" s="454"/>
      <c r="O193" s="454"/>
      <c r="P193" s="204"/>
    </row>
    <row r="194" spans="1:16" s="576" customFormat="1">
      <c r="B194" s="214"/>
      <c r="C194" s="69"/>
      <c r="D194" s="69"/>
      <c r="E194" s="255"/>
      <c r="F194" s="454"/>
      <c r="G194" s="454"/>
      <c r="H194" s="454"/>
      <c r="I194" s="454"/>
      <c r="J194" s="454"/>
      <c r="K194" s="454"/>
      <c r="L194" s="454"/>
      <c r="M194" s="454"/>
      <c r="N194" s="454"/>
      <c r="O194" s="454"/>
      <c r="P194" s="204"/>
    </row>
    <row r="195" spans="1:16" s="576" customFormat="1">
      <c r="B195" s="214"/>
      <c r="C195" s="69"/>
      <c r="D195" s="69"/>
      <c r="E195" s="255"/>
      <c r="F195" s="454"/>
      <c r="G195" s="454"/>
      <c r="H195" s="454"/>
      <c r="I195" s="454"/>
      <c r="J195" s="454"/>
      <c r="K195" s="454"/>
      <c r="L195" s="454"/>
      <c r="M195" s="454"/>
      <c r="N195" s="454"/>
      <c r="O195" s="454"/>
      <c r="P195" s="204"/>
    </row>
    <row r="196" spans="1:16" s="576" customFormat="1">
      <c r="B196" s="214"/>
      <c r="C196" s="69"/>
      <c r="D196" s="69"/>
      <c r="E196" s="255"/>
      <c r="F196" s="454"/>
      <c r="G196" s="454"/>
      <c r="H196" s="454"/>
      <c r="I196" s="454"/>
      <c r="J196" s="454"/>
      <c r="K196" s="454"/>
      <c r="L196" s="454"/>
      <c r="M196" s="454"/>
      <c r="N196" s="454"/>
      <c r="O196" s="454"/>
      <c r="P196" s="204"/>
    </row>
    <row r="197" spans="1:16" s="576" customFormat="1">
      <c r="B197" s="214"/>
      <c r="C197" s="69"/>
      <c r="D197" s="69"/>
      <c r="E197" s="255"/>
      <c r="F197" s="454"/>
      <c r="G197" s="454"/>
      <c r="H197" s="454"/>
      <c r="I197" s="454"/>
      <c r="J197" s="454"/>
      <c r="K197" s="454"/>
      <c r="L197" s="454"/>
      <c r="M197" s="454"/>
      <c r="N197" s="454"/>
      <c r="O197" s="454"/>
      <c r="P197" s="204"/>
    </row>
    <row r="198" spans="1:16" s="576" customFormat="1" ht="21" customHeight="1">
      <c r="B198" s="214"/>
      <c r="C198" s="69"/>
      <c r="D198" s="69"/>
      <c r="E198" s="255"/>
      <c r="F198" s="454"/>
      <c r="G198" s="454"/>
      <c r="H198" s="454"/>
      <c r="I198" s="454"/>
      <c r="J198" s="454"/>
      <c r="K198" s="454"/>
      <c r="L198" s="454"/>
      <c r="M198" s="454"/>
      <c r="N198" s="454"/>
      <c r="O198" s="454"/>
      <c r="P198" s="204"/>
    </row>
    <row r="199" spans="1:16" s="576" customFormat="1" ht="15.75">
      <c r="B199" s="421" t="s">
        <v>265</v>
      </c>
      <c r="C199" s="159"/>
      <c r="D199" s="159"/>
      <c r="E199" s="159"/>
      <c r="F199" s="159"/>
      <c r="G199" s="159"/>
      <c r="H199" s="159"/>
      <c r="I199" s="159"/>
      <c r="J199" s="159"/>
      <c r="K199" s="159"/>
      <c r="L199" s="159"/>
      <c r="M199" s="159"/>
      <c r="N199" s="159"/>
      <c r="O199" s="159"/>
      <c r="P199" s="160"/>
    </row>
    <row r="200" spans="1:16" s="576" customFormat="1">
      <c r="B200" s="418"/>
      <c r="C200" s="415"/>
      <c r="D200" s="415"/>
      <c r="E200" s="415"/>
      <c r="F200" s="415"/>
      <c r="G200" s="415"/>
      <c r="H200" s="415"/>
      <c r="I200" s="415"/>
      <c r="J200" s="415"/>
      <c r="K200" s="415"/>
      <c r="L200" s="415"/>
      <c r="M200" s="415"/>
      <c r="N200" s="415"/>
      <c r="O200" s="415"/>
      <c r="P200" s="419"/>
    </row>
    <row r="201" spans="1:16" s="576" customFormat="1" ht="23.25" customHeight="1">
      <c r="B201" s="214"/>
      <c r="C201" s="416" t="s">
        <v>1210</v>
      </c>
      <c r="D201" s="415"/>
      <c r="E201" s="415"/>
      <c r="F201" s="415"/>
      <c r="G201" s="415"/>
      <c r="H201" s="415"/>
      <c r="I201" s="415"/>
      <c r="J201" s="415"/>
      <c r="K201" s="415"/>
      <c r="L201" s="415"/>
      <c r="M201" s="415"/>
      <c r="N201" s="415"/>
      <c r="O201" s="415"/>
      <c r="P201" s="419"/>
    </row>
    <row r="202" spans="1:16">
      <c r="B202" s="214"/>
      <c r="C202" s="61" t="s">
        <v>227</v>
      </c>
      <c r="D202" s="61" t="s">
        <v>240</v>
      </c>
      <c r="E202" s="61" t="s">
        <v>156</v>
      </c>
      <c r="F202" s="234" t="s">
        <v>203</v>
      </c>
      <c r="G202" s="67">
        <f>F202+5</f>
        <v>2012</v>
      </c>
      <c r="H202" s="67">
        <f t="shared" ref="H202:O202" si="61">G202+5</f>
        <v>2017</v>
      </c>
      <c r="I202" s="67">
        <f t="shared" si="61"/>
        <v>2022</v>
      </c>
      <c r="J202" s="67">
        <f t="shared" si="61"/>
        <v>2027</v>
      </c>
      <c r="K202" s="67">
        <f t="shared" si="61"/>
        <v>2032</v>
      </c>
      <c r="L202" s="67">
        <f t="shared" si="61"/>
        <v>2037</v>
      </c>
      <c r="M202" s="67">
        <f t="shared" si="61"/>
        <v>2042</v>
      </c>
      <c r="N202" s="67">
        <f t="shared" si="61"/>
        <v>2047</v>
      </c>
      <c r="O202" s="67">
        <f t="shared" si="61"/>
        <v>2052</v>
      </c>
      <c r="P202" s="419"/>
    </row>
    <row r="203" spans="1:16">
      <c r="B203" s="214"/>
      <c r="C203" s="81" t="s">
        <v>36</v>
      </c>
      <c r="D203" s="81" t="s">
        <v>1211</v>
      </c>
      <c r="E203" s="82"/>
      <c r="F203" s="235">
        <v>0.08</v>
      </c>
      <c r="G203" s="235">
        <v>0.08</v>
      </c>
      <c r="H203" s="235">
        <v>0.08</v>
      </c>
      <c r="I203" s="235">
        <v>0.08</v>
      </c>
      <c r="J203" s="235">
        <v>0.08</v>
      </c>
      <c r="K203" s="235">
        <v>0.08</v>
      </c>
      <c r="L203" s="235">
        <v>0.08</v>
      </c>
      <c r="M203" s="235">
        <v>0.08</v>
      </c>
      <c r="N203" s="235">
        <v>0.08</v>
      </c>
      <c r="O203" s="235">
        <v>0.08</v>
      </c>
      <c r="P203" s="419"/>
    </row>
    <row r="204" spans="1:16">
      <c r="B204" s="214"/>
      <c r="C204" s="415"/>
      <c r="D204" s="415"/>
      <c r="E204" s="415"/>
      <c r="F204" s="415"/>
      <c r="G204" s="415"/>
      <c r="H204" s="415"/>
      <c r="I204" s="415"/>
      <c r="J204" s="415"/>
      <c r="K204" s="415"/>
      <c r="L204" s="415"/>
      <c r="M204" s="415"/>
      <c r="N204" s="415"/>
      <c r="O204" s="415"/>
      <c r="P204" s="419"/>
    </row>
    <row r="205" spans="1:16">
      <c r="B205" s="214"/>
      <c r="C205" s="416" t="s">
        <v>2111</v>
      </c>
      <c r="D205" s="415"/>
      <c r="E205" s="415"/>
      <c r="F205" s="136"/>
      <c r="G205" s="104"/>
      <c r="H205" s="415"/>
      <c r="I205" s="415"/>
      <c r="J205" s="415"/>
      <c r="K205" s="415"/>
      <c r="L205" s="415"/>
      <c r="M205" s="415"/>
      <c r="N205" s="415"/>
      <c r="O205" s="415"/>
      <c r="P205" s="419"/>
    </row>
    <row r="206" spans="1:16">
      <c r="B206" s="214"/>
      <c r="C206" s="415"/>
      <c r="D206" s="415"/>
      <c r="E206" s="415"/>
      <c r="F206" s="136"/>
      <c r="G206" s="415"/>
      <c r="H206" s="415"/>
      <c r="I206" s="415"/>
      <c r="J206" s="415"/>
      <c r="K206" s="415"/>
      <c r="L206" s="415"/>
      <c r="M206" s="415"/>
      <c r="N206" s="415"/>
      <c r="O206" s="415"/>
      <c r="P206" s="419"/>
    </row>
    <row r="207" spans="1:16">
      <c r="A207" s="2736"/>
      <c r="B207" s="214"/>
      <c r="C207" s="61" t="s">
        <v>227</v>
      </c>
      <c r="D207" s="61" t="s">
        <v>240</v>
      </c>
      <c r="E207" s="61" t="s">
        <v>156</v>
      </c>
      <c r="F207" s="234" t="s">
        <v>203</v>
      </c>
      <c r="G207" s="67">
        <f>F207+5</f>
        <v>2012</v>
      </c>
      <c r="H207" s="67">
        <f t="shared" ref="H207:O207" si="62">G207+5</f>
        <v>2017</v>
      </c>
      <c r="I207" s="67">
        <f t="shared" si="62"/>
        <v>2022</v>
      </c>
      <c r="J207" s="67">
        <f t="shared" si="62"/>
        <v>2027</v>
      </c>
      <c r="K207" s="67">
        <f t="shared" si="62"/>
        <v>2032</v>
      </c>
      <c r="L207" s="67">
        <f t="shared" si="62"/>
        <v>2037</v>
      </c>
      <c r="M207" s="67">
        <f t="shared" si="62"/>
        <v>2042</v>
      </c>
      <c r="N207" s="67">
        <f t="shared" si="62"/>
        <v>2047</v>
      </c>
      <c r="O207" s="67">
        <f t="shared" si="62"/>
        <v>2052</v>
      </c>
      <c r="P207" s="419"/>
    </row>
    <row r="208" spans="1:16" s="51" customFormat="1">
      <c r="B208" s="214"/>
      <c r="C208" s="78" t="s">
        <v>36</v>
      </c>
      <c r="D208" s="81" t="s">
        <v>1211</v>
      </c>
      <c r="E208" s="79" t="s">
        <v>94</v>
      </c>
      <c r="F208" s="236">
        <f t="shared" ref="F208:O208" si="63">(F146*$D221+F147*$D222+F148*$D223+F149*$D224)/F150</f>
        <v>0.32700000000000001</v>
      </c>
      <c r="G208" s="236">
        <f t="shared" si="63"/>
        <v>0.32804823626717577</v>
      </c>
      <c r="H208" s="236">
        <f t="shared" si="63"/>
        <v>0.33397515861613408</v>
      </c>
      <c r="I208" s="236">
        <f t="shared" si="63"/>
        <v>0.33431764639711642</v>
      </c>
      <c r="J208" s="236">
        <f t="shared" si="63"/>
        <v>0.33506290017932144</v>
      </c>
      <c r="K208" s="236">
        <f t="shared" si="63"/>
        <v>0.33596200942406784</v>
      </c>
      <c r="L208" s="236">
        <f t="shared" si="63"/>
        <v>0.33680799954252066</v>
      </c>
      <c r="M208" s="236">
        <f t="shared" si="63"/>
        <v>0.33759959439548859</v>
      </c>
      <c r="N208" s="236">
        <f t="shared" si="63"/>
        <v>0.33905452548352127</v>
      </c>
      <c r="O208" s="236">
        <f t="shared" si="63"/>
        <v>0.34903549541323009</v>
      </c>
      <c r="P208" s="154"/>
    </row>
    <row r="209" spans="2:16">
      <c r="B209" s="214"/>
      <c r="C209" s="415"/>
      <c r="D209" s="415"/>
      <c r="E209" s="415"/>
      <c r="F209" s="415"/>
      <c r="G209" s="415"/>
      <c r="H209" s="415"/>
      <c r="I209" s="415"/>
      <c r="J209" s="415"/>
      <c r="K209" s="415"/>
      <c r="L209" s="415"/>
      <c r="M209" s="415"/>
      <c r="N209" s="415"/>
      <c r="O209" s="415"/>
      <c r="P209" s="419"/>
    </row>
    <row r="210" spans="2:16">
      <c r="B210" s="214"/>
      <c r="C210" s="415"/>
      <c r="D210" s="415"/>
      <c r="E210" s="415"/>
      <c r="F210" s="415"/>
      <c r="G210" s="415"/>
      <c r="H210" s="415"/>
      <c r="I210" s="415"/>
      <c r="J210" s="415"/>
      <c r="K210" s="415"/>
      <c r="L210" s="415"/>
      <c r="M210" s="415"/>
      <c r="N210" s="415"/>
      <c r="O210" s="415"/>
      <c r="P210" s="419"/>
    </row>
    <row r="211" spans="2:16" ht="15.75">
      <c r="B211" s="212"/>
      <c r="C211" s="416" t="s">
        <v>524</v>
      </c>
      <c r="D211" s="415"/>
      <c r="E211" s="415"/>
      <c r="F211" s="415"/>
      <c r="G211" s="104"/>
      <c r="H211" s="415"/>
      <c r="I211" s="415"/>
      <c r="J211" s="415"/>
      <c r="K211" s="415"/>
      <c r="L211" s="415"/>
      <c r="M211" s="415"/>
      <c r="N211" s="415"/>
      <c r="O211" s="415"/>
      <c r="P211" s="419"/>
    </row>
    <row r="212" spans="2:16" ht="4.5" customHeight="1">
      <c r="B212" s="212"/>
      <c r="C212" s="415"/>
      <c r="D212" s="415"/>
      <c r="E212" s="415"/>
      <c r="F212" s="415"/>
      <c r="G212" s="415"/>
      <c r="H212" s="415"/>
      <c r="I212" s="415"/>
      <c r="J212" s="415"/>
      <c r="K212" s="415"/>
      <c r="L212" s="415"/>
      <c r="M212" s="415"/>
      <c r="N212" s="415"/>
      <c r="O212" s="415"/>
      <c r="P212" s="419"/>
    </row>
    <row r="213" spans="2:16">
      <c r="B213" s="211"/>
      <c r="C213" s="61"/>
      <c r="D213" s="61"/>
      <c r="E213" s="61"/>
      <c r="F213" s="121"/>
      <c r="G213" s="364"/>
      <c r="H213" s="415"/>
      <c r="I213" s="415"/>
      <c r="J213" s="227"/>
      <c r="K213" s="227"/>
      <c r="L213" s="227"/>
      <c r="M213" s="227"/>
      <c r="N213" s="227"/>
      <c r="O213" s="227"/>
      <c r="P213" s="419"/>
    </row>
    <row r="214" spans="2:16">
      <c r="B214" s="215"/>
      <c r="C214" s="415"/>
      <c r="D214" s="239" t="s">
        <v>742</v>
      </c>
      <c r="E214" s="239"/>
      <c r="F214" s="320"/>
      <c r="G214" s="415">
        <v>40</v>
      </c>
      <c r="H214" s="415"/>
      <c r="I214" s="415"/>
      <c r="J214" s="227"/>
      <c r="K214" s="227"/>
      <c r="L214" s="227"/>
      <c r="M214" s="227"/>
      <c r="N214" s="227"/>
      <c r="O214" s="227"/>
      <c r="P214" s="419"/>
    </row>
    <row r="215" spans="2:16" s="576" customFormat="1">
      <c r="B215" s="215"/>
      <c r="C215" s="69"/>
      <c r="D215" s="69" t="s">
        <v>743</v>
      </c>
      <c r="E215" s="69"/>
      <c r="F215" s="415"/>
      <c r="G215" s="415">
        <v>30</v>
      </c>
      <c r="H215" s="415"/>
      <c r="I215" s="415"/>
      <c r="J215" s="227"/>
      <c r="K215" s="227"/>
      <c r="L215" s="227"/>
      <c r="M215" s="227"/>
      <c r="N215" s="227"/>
      <c r="O215" s="227"/>
      <c r="P215" s="419"/>
    </row>
    <row r="216" spans="2:16" s="576" customFormat="1">
      <c r="B216" s="215"/>
      <c r="C216" s="69"/>
      <c r="D216" s="69" t="s">
        <v>744</v>
      </c>
      <c r="E216" s="69"/>
      <c r="F216" s="415"/>
      <c r="G216" s="415">
        <v>5</v>
      </c>
      <c r="H216" s="415"/>
      <c r="I216" s="415"/>
      <c r="J216" s="227"/>
      <c r="K216" s="227"/>
      <c r="L216" s="227"/>
      <c r="M216" s="227"/>
      <c r="N216" s="227"/>
      <c r="O216" s="227"/>
      <c r="P216" s="419"/>
    </row>
    <row r="217" spans="2:16" s="576" customFormat="1">
      <c r="B217" s="215"/>
      <c r="C217" s="69"/>
      <c r="D217" s="112" t="s">
        <v>532</v>
      </c>
      <c r="E217" s="112"/>
      <c r="F217" s="262">
        <f>1*Unit.GW</f>
        <v>1</v>
      </c>
      <c r="G217" s="366" t="str">
        <f>Preferences.PowerUnits&amp;"peak"</f>
        <v>GWpeak</v>
      </c>
      <c r="H217" s="415"/>
      <c r="I217" s="415"/>
      <c r="J217" s="227"/>
      <c r="K217" s="227"/>
      <c r="L217" s="227"/>
      <c r="M217" s="227"/>
      <c r="N217" s="227"/>
      <c r="O217" s="227"/>
      <c r="P217" s="419"/>
    </row>
    <row r="218" spans="2:16" s="576" customFormat="1">
      <c r="B218" s="215"/>
      <c r="C218" s="363"/>
      <c r="D218" s="239"/>
      <c r="E218" s="239"/>
      <c r="F218" s="415"/>
      <c r="G218" s="363"/>
      <c r="H218" s="415"/>
      <c r="I218" s="415"/>
      <c r="J218" s="227"/>
      <c r="K218" s="227"/>
      <c r="L218" s="227"/>
      <c r="M218" s="227"/>
      <c r="N218" s="227"/>
      <c r="O218" s="227"/>
      <c r="P218" s="419"/>
    </row>
    <row r="219" spans="2:16" s="576" customFormat="1">
      <c r="B219" s="215"/>
      <c r="C219" s="416" t="s">
        <v>769</v>
      </c>
      <c r="D219" s="415"/>
      <c r="E219" s="227"/>
      <c r="F219" s="227"/>
      <c r="G219" s="227"/>
      <c r="H219" s="415"/>
      <c r="I219" s="415"/>
      <c r="J219" s="227"/>
      <c r="K219" s="227"/>
      <c r="L219" s="227"/>
      <c r="M219" s="227"/>
      <c r="N219" s="227"/>
      <c r="O219" s="227"/>
      <c r="P219" s="419"/>
    </row>
    <row r="220" spans="2:16" s="576" customFormat="1">
      <c r="B220" s="215"/>
      <c r="C220" s="594"/>
      <c r="D220" s="518" t="s">
        <v>2119</v>
      </c>
      <c r="E220" s="462" t="s">
        <v>770</v>
      </c>
      <c r="F220" s="462" t="s">
        <v>771</v>
      </c>
      <c r="G220" s="462" t="s">
        <v>772</v>
      </c>
      <c r="H220" s="459" t="s">
        <v>773</v>
      </c>
      <c r="I220" s="603"/>
      <c r="J220" s="227"/>
      <c r="K220" s="227"/>
      <c r="L220" s="227"/>
      <c r="M220" s="227"/>
      <c r="N220" s="227"/>
      <c r="O220" s="227"/>
      <c r="P220" s="419"/>
    </row>
    <row r="221" spans="2:16" s="576" customFormat="1">
      <c r="B221" s="215"/>
      <c r="C221" s="596" t="s">
        <v>774</v>
      </c>
      <c r="D221" s="600">
        <v>0.32700000000000001</v>
      </c>
      <c r="E221" s="602">
        <v>3753.9543760943352</v>
      </c>
      <c r="F221" s="601">
        <v>4.1859999999999999</v>
      </c>
      <c r="G221" s="601">
        <v>0.72</v>
      </c>
      <c r="H221" s="536">
        <f>G221*10^-9/(10^-9)</f>
        <v>0.72</v>
      </c>
      <c r="I221" s="597"/>
      <c r="J221" s="227"/>
      <c r="K221" s="227"/>
      <c r="L221" s="227"/>
      <c r="M221" s="227"/>
      <c r="N221" s="227"/>
      <c r="O221" s="227"/>
      <c r="P221" s="419"/>
    </row>
    <row r="222" spans="2:16" s="576" customFormat="1">
      <c r="B222" s="215"/>
      <c r="C222" s="596" t="s">
        <v>775</v>
      </c>
      <c r="D222" s="600">
        <v>0.38</v>
      </c>
      <c r="E222" s="602">
        <f>E221</f>
        <v>3753.9543760943352</v>
      </c>
      <c r="F222" s="601">
        <f>F221</f>
        <v>4.1859999999999999</v>
      </c>
      <c r="G222" s="601">
        <f>1*3600/(D222*E222*F222)</f>
        <v>0.60287974079475204</v>
      </c>
      <c r="H222" s="536">
        <f>G222*10^-9/(10^-9)</f>
        <v>0.60287974079475204</v>
      </c>
      <c r="I222" s="597"/>
      <c r="J222" s="227"/>
      <c r="K222" s="227"/>
      <c r="L222" s="227"/>
      <c r="M222" s="227"/>
      <c r="N222" s="227"/>
      <c r="O222" s="227"/>
      <c r="P222" s="419"/>
    </row>
    <row r="223" spans="2:16" s="576" customFormat="1">
      <c r="B223" s="215"/>
      <c r="C223" s="596" t="s">
        <v>776</v>
      </c>
      <c r="D223" s="600">
        <v>0.49</v>
      </c>
      <c r="E223" s="602">
        <f>E221</f>
        <v>3753.9543760943352</v>
      </c>
      <c r="F223" s="601">
        <f>F221</f>
        <v>4.1859999999999999</v>
      </c>
      <c r="G223" s="601">
        <f>1*3600/(D223*E223*F223)</f>
        <v>0.46753939082041995</v>
      </c>
      <c r="H223" s="536">
        <f>G223*10^-9/(10^-9)</f>
        <v>0.4675393908204199</v>
      </c>
      <c r="I223" s="597"/>
      <c r="J223" s="227"/>
      <c r="K223" s="227"/>
      <c r="L223" s="227"/>
      <c r="M223" s="227"/>
      <c r="N223" s="227"/>
      <c r="O223" s="227"/>
      <c r="P223" s="419"/>
    </row>
    <row r="224" spans="2:16" s="576" customFormat="1">
      <c r="B224" s="215"/>
      <c r="C224" s="596" t="s">
        <v>777</v>
      </c>
      <c r="D224" s="600">
        <v>0.53</v>
      </c>
      <c r="E224" s="602">
        <f>E221</f>
        <v>3753.9543760943352</v>
      </c>
      <c r="F224" s="601">
        <f>F221</f>
        <v>4.1859999999999999</v>
      </c>
      <c r="G224" s="601">
        <f>1*3600/(D224*E224*F224)</f>
        <v>0.43225339906038818</v>
      </c>
      <c r="H224" s="536">
        <f>G224*10^-9/(10^-9)</f>
        <v>0.43225339906038818</v>
      </c>
      <c r="I224" s="597"/>
      <c r="J224" s="227"/>
      <c r="K224" s="227"/>
      <c r="L224" s="227"/>
      <c r="M224" s="227"/>
      <c r="N224" s="227"/>
      <c r="O224" s="227"/>
      <c r="P224" s="419"/>
    </row>
    <row r="225" spans="2:17">
      <c r="B225" s="211"/>
      <c r="C225" s="598"/>
      <c r="D225" s="228"/>
      <c r="E225" s="228"/>
      <c r="F225" s="228"/>
      <c r="G225" s="228"/>
      <c r="H225" s="228"/>
      <c r="I225" s="599"/>
      <c r="J225" s="115"/>
      <c r="K225" s="115"/>
      <c r="L225" s="115"/>
      <c r="M225" s="115"/>
      <c r="N225" s="115"/>
      <c r="O225" s="115"/>
      <c r="P225" s="419"/>
    </row>
    <row r="226" spans="2:17" s="410" customFormat="1" ht="15.75">
      <c r="B226" s="212"/>
      <c r="C226" s="126"/>
      <c r="D226" s="205"/>
      <c r="E226" s="203"/>
      <c r="F226" s="203"/>
      <c r="G226" s="203"/>
      <c r="H226" s="203"/>
      <c r="I226" s="203"/>
      <c r="J226" s="203"/>
      <c r="K226" s="203"/>
      <c r="L226" s="203"/>
      <c r="M226" s="203"/>
      <c r="N226" s="203"/>
      <c r="O226" s="203"/>
      <c r="P226" s="204"/>
    </row>
    <row r="227" spans="2:17" s="576" customFormat="1" ht="20.25" customHeight="1">
      <c r="B227" s="421" t="s">
        <v>711</v>
      </c>
      <c r="C227" s="159"/>
      <c r="D227" s="159"/>
      <c r="E227" s="159"/>
      <c r="F227" s="159"/>
      <c r="G227" s="159"/>
      <c r="H227" s="159"/>
      <c r="I227" s="159"/>
      <c r="J227" s="159"/>
      <c r="K227" s="159"/>
      <c r="L227" s="159"/>
      <c r="M227" s="159"/>
      <c r="N227" s="159"/>
      <c r="O227" s="159"/>
      <c r="P227" s="160"/>
    </row>
    <row r="228" spans="2:17" s="576" customFormat="1" ht="20.25" customHeight="1">
      <c r="B228" s="418"/>
      <c r="C228" s="415"/>
      <c r="D228" s="415"/>
      <c r="E228" s="415"/>
      <c r="F228" s="415"/>
      <c r="G228" s="415"/>
      <c r="H228" s="415"/>
      <c r="I228" s="415"/>
      <c r="J228" s="415"/>
      <c r="K228" s="415"/>
      <c r="L228" s="415"/>
      <c r="M228" s="415"/>
      <c r="N228" s="415"/>
      <c r="O228" s="415"/>
      <c r="P228" s="419"/>
    </row>
    <row r="229" spans="2:17" s="576" customFormat="1" ht="20.25" customHeight="1">
      <c r="B229" s="418"/>
      <c r="C229" s="416" t="str">
        <f>"Land requirememt of a "&amp;plantsize.I.b&amp;" "&amp;Preferences.PowerUnits&amp;" Domestic coal based Thermal power plant"</f>
        <v>Land requirememt of a 1 GW Domestic coal based Thermal power plant</v>
      </c>
      <c r="D229" s="69"/>
      <c r="E229" s="415"/>
      <c r="F229" s="415"/>
      <c r="G229" s="104"/>
      <c r="H229" s="415"/>
      <c r="I229" s="415"/>
      <c r="J229" s="415"/>
      <c r="K229" s="415"/>
      <c r="L229" s="415"/>
      <c r="M229" s="415"/>
      <c r="N229" s="415"/>
      <c r="O229" s="415"/>
      <c r="P229" s="419"/>
    </row>
    <row r="230" spans="2:17" s="576" customFormat="1" ht="20.25" customHeight="1">
      <c r="B230" s="418"/>
      <c r="C230" s="415"/>
      <c r="D230" s="415"/>
      <c r="E230" s="415"/>
      <c r="F230" s="415"/>
      <c r="G230" s="415"/>
      <c r="H230" s="415"/>
      <c r="I230" s="415"/>
      <c r="J230" s="415"/>
      <c r="K230" s="415"/>
      <c r="L230" s="415"/>
      <c r="M230" s="415"/>
      <c r="N230" s="415"/>
      <c r="O230" s="361" t="str">
        <f>Preferences.AreaUnits&amp;"/plant size"</f>
        <v>ha/plant size</v>
      </c>
      <c r="P230" s="419"/>
    </row>
    <row r="231" spans="2:17" s="576" customFormat="1" ht="20.25" customHeight="1">
      <c r="B231" s="152"/>
      <c r="C231" s="61"/>
      <c r="D231" s="61"/>
      <c r="E231" s="61"/>
      <c r="F231" s="119">
        <v>2007</v>
      </c>
      <c r="G231" s="120">
        <f>F231+5</f>
        <v>2012</v>
      </c>
      <c r="H231" s="120">
        <f t="shared" ref="H231:O231" si="64">G231+5</f>
        <v>2017</v>
      </c>
      <c r="I231" s="120">
        <f t="shared" si="64"/>
        <v>2022</v>
      </c>
      <c r="J231" s="120">
        <f t="shared" si="64"/>
        <v>2027</v>
      </c>
      <c r="K231" s="120">
        <f t="shared" si="64"/>
        <v>2032</v>
      </c>
      <c r="L231" s="120">
        <f t="shared" si="64"/>
        <v>2037</v>
      </c>
      <c r="M231" s="120">
        <f t="shared" si="64"/>
        <v>2042</v>
      </c>
      <c r="N231" s="120">
        <f t="shared" si="64"/>
        <v>2047</v>
      </c>
      <c r="O231" s="120">
        <f t="shared" si="64"/>
        <v>2052</v>
      </c>
      <c r="P231" s="419"/>
    </row>
    <row r="232" spans="2:17" s="576" customFormat="1" ht="20.25" customHeight="1">
      <c r="B232" s="152"/>
      <c r="C232" s="78"/>
      <c r="D232" s="79"/>
      <c r="E232" s="79"/>
      <c r="F232" s="532">
        <f t="shared" ref="F232:O232" si="65">277*(Unit.ha/Unit.GW)</f>
        <v>277</v>
      </c>
      <c r="G232" s="532">
        <f t="shared" si="65"/>
        <v>277</v>
      </c>
      <c r="H232" s="532">
        <f t="shared" si="65"/>
        <v>277</v>
      </c>
      <c r="I232" s="532">
        <f t="shared" si="65"/>
        <v>277</v>
      </c>
      <c r="J232" s="532">
        <f t="shared" si="65"/>
        <v>277</v>
      </c>
      <c r="K232" s="532">
        <f t="shared" si="65"/>
        <v>277</v>
      </c>
      <c r="L232" s="532">
        <f t="shared" si="65"/>
        <v>277</v>
      </c>
      <c r="M232" s="532">
        <f t="shared" si="65"/>
        <v>277</v>
      </c>
      <c r="N232" s="532">
        <f t="shared" si="65"/>
        <v>277</v>
      </c>
      <c r="O232" s="532">
        <f t="shared" si="65"/>
        <v>277</v>
      </c>
      <c r="P232" s="415"/>
    </row>
    <row r="233" spans="2:17" s="576" customFormat="1" ht="20.25" customHeight="1">
      <c r="B233" s="402"/>
      <c r="C233" s="402"/>
      <c r="D233" s="415"/>
      <c r="E233" s="264"/>
      <c r="F233" s="535">
        <f>Unit.ha*plantsize.I.b/Unit.GW</f>
        <v>1</v>
      </c>
      <c r="G233" s="415"/>
      <c r="H233" s="415"/>
      <c r="I233" s="415"/>
      <c r="J233" s="444"/>
      <c r="K233" s="444"/>
      <c r="L233" s="402"/>
      <c r="M233" s="402"/>
      <c r="N233" s="402"/>
      <c r="O233" s="402"/>
      <c r="P233" s="402"/>
    </row>
    <row r="234" spans="2:17" s="576" customFormat="1" ht="20.25" customHeight="1">
      <c r="B234" s="402"/>
      <c r="C234" s="416" t="str">
        <f>"Land requirememt of a "&amp;plantsize.I.b&amp;" "&amp;Preferences.PowerUnits&amp;" Imported coal based Thermal power plant"</f>
        <v>Land requirememt of a 1 GW Imported coal based Thermal power plant</v>
      </c>
      <c r="D234" s="69"/>
      <c r="E234" s="415"/>
      <c r="F234" s="415"/>
      <c r="G234" s="104"/>
      <c r="H234" s="415"/>
      <c r="I234" s="415"/>
      <c r="J234" s="415"/>
      <c r="K234" s="415"/>
      <c r="L234" s="415"/>
      <c r="M234" s="415"/>
      <c r="N234" s="415"/>
      <c r="O234" s="415"/>
      <c r="P234" s="419"/>
    </row>
    <row r="235" spans="2:17" s="576" customFormat="1" ht="20.25" customHeight="1">
      <c r="B235" s="316"/>
      <c r="C235" s="415"/>
      <c r="D235" s="415"/>
      <c r="E235" s="415"/>
      <c r="F235" s="415"/>
      <c r="G235" s="415"/>
      <c r="H235" s="415"/>
      <c r="I235" s="415"/>
      <c r="J235" s="415"/>
      <c r="K235" s="415"/>
      <c r="L235" s="415"/>
      <c r="M235" s="415"/>
      <c r="N235" s="415"/>
      <c r="O235" s="361" t="str">
        <f>Preferences.AreaUnits&amp;"/plant size"</f>
        <v>ha/plant size</v>
      </c>
      <c r="P235" s="419"/>
    </row>
    <row r="236" spans="2:17" s="576" customFormat="1" ht="20.25" customHeight="1">
      <c r="B236" s="316"/>
      <c r="C236" s="61"/>
      <c r="D236" s="61"/>
      <c r="E236" s="61"/>
      <c r="F236" s="119">
        <v>2007</v>
      </c>
      <c r="G236" s="120">
        <f t="shared" ref="G236:O236" si="66">F236+5</f>
        <v>2012</v>
      </c>
      <c r="H236" s="120">
        <f t="shared" si="66"/>
        <v>2017</v>
      </c>
      <c r="I236" s="120">
        <f t="shared" si="66"/>
        <v>2022</v>
      </c>
      <c r="J236" s="120">
        <f t="shared" si="66"/>
        <v>2027</v>
      </c>
      <c r="K236" s="120">
        <f t="shared" si="66"/>
        <v>2032</v>
      </c>
      <c r="L236" s="120">
        <f t="shared" si="66"/>
        <v>2037</v>
      </c>
      <c r="M236" s="120">
        <f t="shared" si="66"/>
        <v>2042</v>
      </c>
      <c r="N236" s="120">
        <f t="shared" si="66"/>
        <v>2047</v>
      </c>
      <c r="O236" s="120">
        <f t="shared" si="66"/>
        <v>2052</v>
      </c>
      <c r="P236" s="419"/>
    </row>
    <row r="237" spans="2:17" s="576" customFormat="1" ht="20.25" customHeight="1">
      <c r="B237" s="316"/>
      <c r="C237" s="78"/>
      <c r="D237" s="79"/>
      <c r="E237" s="79"/>
      <c r="F237" s="532">
        <f t="shared" ref="F237:O237" si="67">152*(Unit.ha/Unit.GW)</f>
        <v>152</v>
      </c>
      <c r="G237" s="532">
        <f t="shared" si="67"/>
        <v>152</v>
      </c>
      <c r="H237" s="532">
        <f t="shared" si="67"/>
        <v>152</v>
      </c>
      <c r="I237" s="532">
        <f t="shared" si="67"/>
        <v>152</v>
      </c>
      <c r="J237" s="532">
        <f t="shared" si="67"/>
        <v>152</v>
      </c>
      <c r="K237" s="532">
        <f t="shared" si="67"/>
        <v>152</v>
      </c>
      <c r="L237" s="532">
        <f t="shared" si="67"/>
        <v>152</v>
      </c>
      <c r="M237" s="532">
        <f t="shared" si="67"/>
        <v>152</v>
      </c>
      <c r="N237" s="532">
        <f t="shared" si="67"/>
        <v>152</v>
      </c>
      <c r="O237" s="532">
        <f t="shared" si="67"/>
        <v>152</v>
      </c>
      <c r="P237" s="415"/>
    </row>
    <row r="238" spans="2:17" s="2724" customFormat="1" ht="20.25" customHeight="1">
      <c r="B238" s="316"/>
      <c r="C238" s="413"/>
      <c r="D238" s="414"/>
      <c r="E238" s="414"/>
      <c r="F238" s="535"/>
      <c r="G238" s="535"/>
      <c r="H238" s="535"/>
      <c r="I238" s="535"/>
      <c r="J238" s="535"/>
      <c r="K238" s="535"/>
      <c r="L238" s="535"/>
      <c r="M238" s="535"/>
      <c r="N238" s="535"/>
      <c r="O238" s="535"/>
      <c r="P238" s="415"/>
    </row>
    <row r="239" spans="2:17" s="2724" customFormat="1" ht="20.25" customHeight="1">
      <c r="B239" s="1955"/>
      <c r="C239" s="894"/>
      <c r="D239" s="628"/>
      <c r="E239" s="628"/>
      <c r="F239" s="931"/>
      <c r="G239" s="931"/>
      <c r="H239" s="931"/>
      <c r="I239" s="931"/>
      <c r="J239" s="931"/>
      <c r="K239" s="931"/>
      <c r="L239" s="931"/>
      <c r="M239" s="931"/>
      <c r="N239" s="931"/>
      <c r="O239" s="931"/>
      <c r="P239" s="624"/>
      <c r="Q239" s="623"/>
    </row>
    <row r="240" spans="2:17" s="2724" customFormat="1" ht="20.25" customHeight="1">
      <c r="B240" s="1955"/>
      <c r="C240" s="894"/>
      <c r="D240" s="628"/>
      <c r="E240" s="628"/>
      <c r="F240" s="931"/>
      <c r="G240" s="931"/>
      <c r="H240" s="931"/>
      <c r="I240" s="931"/>
      <c r="J240" s="931"/>
      <c r="K240" s="931"/>
      <c r="L240" s="931"/>
      <c r="M240" s="931"/>
      <c r="N240" s="931"/>
      <c r="O240" s="931"/>
      <c r="P240" s="624"/>
      <c r="Q240" s="623"/>
    </row>
    <row r="241" spans="1:17">
      <c r="B241" s="973"/>
      <c r="C241" s="623"/>
      <c r="D241" s="623"/>
      <c r="E241" s="623"/>
      <c r="F241" s="623"/>
      <c r="G241" s="623"/>
      <c r="H241" s="623"/>
      <c r="I241" s="623"/>
      <c r="J241" s="623"/>
      <c r="K241" s="623"/>
      <c r="L241" s="623"/>
      <c r="M241" s="623"/>
      <c r="N241" s="623"/>
      <c r="O241" s="623"/>
      <c r="P241" s="623"/>
      <c r="Q241" s="623"/>
    </row>
    <row r="242" spans="1:17">
      <c r="B242" s="973"/>
      <c r="C242" s="623" t="s">
        <v>746</v>
      </c>
      <c r="D242" s="2737"/>
      <c r="E242" s="623"/>
      <c r="F242" s="641">
        <v>2007</v>
      </c>
      <c r="G242" s="642">
        <f t="shared" ref="G242:O242" si="68">F242+5</f>
        <v>2012</v>
      </c>
      <c r="H242" s="642">
        <f t="shared" si="68"/>
        <v>2017</v>
      </c>
      <c r="I242" s="642">
        <f t="shared" si="68"/>
        <v>2022</v>
      </c>
      <c r="J242" s="642">
        <f t="shared" si="68"/>
        <v>2027</v>
      </c>
      <c r="K242" s="642">
        <f t="shared" si="68"/>
        <v>2032</v>
      </c>
      <c r="L242" s="642">
        <f t="shared" si="68"/>
        <v>2037</v>
      </c>
      <c r="M242" s="642">
        <f t="shared" si="68"/>
        <v>2042</v>
      </c>
      <c r="N242" s="642">
        <f t="shared" si="68"/>
        <v>2047</v>
      </c>
      <c r="O242" s="642">
        <f t="shared" si="68"/>
        <v>2052</v>
      </c>
    </row>
    <row r="243" spans="1:17">
      <c r="B243" s="973"/>
      <c r="C243" s="1699" t="s">
        <v>747</v>
      </c>
      <c r="D243" s="623"/>
      <c r="E243" s="623" t="str">
        <f>Preferences.PowerUnits</f>
        <v>GW</v>
      </c>
      <c r="F243" s="2738">
        <f t="shared" ref="F243:O243" si="69">F150</f>
        <v>71</v>
      </c>
      <c r="G243" s="2738">
        <f t="shared" si="69"/>
        <v>105.91230000000002</v>
      </c>
      <c r="H243" s="2738">
        <f t="shared" si="69"/>
        <v>144.601851617466</v>
      </c>
      <c r="I243" s="2738">
        <f t="shared" si="69"/>
        <v>137.834051617466</v>
      </c>
      <c r="J243" s="2738">
        <f t="shared" si="69"/>
        <v>125.09405161746601</v>
      </c>
      <c r="K243" s="2738">
        <f t="shared" si="69"/>
        <v>112.54405161746601</v>
      </c>
      <c r="L243" s="2738">
        <f t="shared" si="69"/>
        <v>102.83655161746601</v>
      </c>
      <c r="M243" s="2738">
        <f t="shared" si="69"/>
        <v>95.156551617466022</v>
      </c>
      <c r="N243" s="2738">
        <f t="shared" si="69"/>
        <v>83.671551617466022</v>
      </c>
      <c r="O243" s="2738">
        <f t="shared" si="69"/>
        <v>45.772551617466021</v>
      </c>
    </row>
    <row r="244" spans="1:17" s="576" customFormat="1">
      <c r="B244" s="973"/>
      <c r="C244" s="1699" t="s">
        <v>748</v>
      </c>
      <c r="D244" s="623"/>
      <c r="E244" s="623" t="str">
        <f>Preferences.PowerUnits</f>
        <v>GW</v>
      </c>
      <c r="F244" s="2738">
        <f t="shared" ref="F244:O244" si="70">F155</f>
        <v>11</v>
      </c>
      <c r="G244" s="2738">
        <f t="shared" si="70"/>
        <v>19.111000000000001</v>
      </c>
      <c r="H244" s="2738">
        <f t="shared" si="70"/>
        <v>30.689587120761701</v>
      </c>
      <c r="I244" s="2738">
        <f t="shared" si="70"/>
        <v>28.089587120761699</v>
      </c>
      <c r="J244" s="2738">
        <f t="shared" si="70"/>
        <v>27.289587120761698</v>
      </c>
      <c r="K244" s="2738">
        <f t="shared" si="70"/>
        <v>25.1395871207617</v>
      </c>
      <c r="L244" s="2738">
        <f t="shared" si="70"/>
        <v>22.089587120761699</v>
      </c>
      <c r="M244" s="2738">
        <f t="shared" si="70"/>
        <v>14.378587120761699</v>
      </c>
      <c r="N244" s="2738">
        <f t="shared" si="70"/>
        <v>14.378587120761699</v>
      </c>
      <c r="O244" s="2738">
        <f t="shared" si="70"/>
        <v>14.378587120761699</v>
      </c>
    </row>
    <row r="245" spans="1:17" ht="15.75">
      <c r="B245" s="2197"/>
      <c r="C245" s="623" t="s">
        <v>749</v>
      </c>
      <c r="D245" s="623"/>
      <c r="E245" s="623"/>
      <c r="F245" s="2739">
        <f t="shared" ref="F245:O245" si="71">F170</f>
        <v>0.77</v>
      </c>
      <c r="G245" s="2739">
        <f t="shared" si="71"/>
        <v>0.73299999999999998</v>
      </c>
      <c r="H245" s="2739">
        <f t="shared" si="71"/>
        <v>0.73</v>
      </c>
      <c r="I245" s="2739">
        <f t="shared" si="71"/>
        <v>0.73</v>
      </c>
      <c r="J245" s="2739">
        <f t="shared" si="71"/>
        <v>0.73</v>
      </c>
      <c r="K245" s="2739">
        <f t="shared" si="71"/>
        <v>0.73</v>
      </c>
      <c r="L245" s="2739">
        <f t="shared" si="71"/>
        <v>0.74</v>
      </c>
      <c r="M245" s="2739">
        <f t="shared" si="71"/>
        <v>0.74</v>
      </c>
      <c r="N245" s="2739">
        <f t="shared" si="71"/>
        <v>0.74</v>
      </c>
      <c r="O245" s="2739">
        <f t="shared" si="71"/>
        <v>0.74</v>
      </c>
    </row>
    <row r="246" spans="1:17" s="576" customFormat="1" ht="15.75">
      <c r="B246" s="2197"/>
      <c r="C246" s="623" t="s">
        <v>750</v>
      </c>
      <c r="D246" s="623"/>
      <c r="E246" s="623"/>
      <c r="F246" s="2739">
        <f t="shared" ref="F246:O246" si="72">F180</f>
        <v>0.55000000000000004</v>
      </c>
      <c r="G246" s="2739">
        <f t="shared" si="72"/>
        <v>0.55000000000000004</v>
      </c>
      <c r="H246" s="2739">
        <f t="shared" si="72"/>
        <v>0.55000000000000004</v>
      </c>
      <c r="I246" s="2739">
        <f t="shared" si="72"/>
        <v>0.55000000000000004</v>
      </c>
      <c r="J246" s="2739">
        <f t="shared" si="72"/>
        <v>0.55000000000000004</v>
      </c>
      <c r="K246" s="2739">
        <f t="shared" si="72"/>
        <v>0.55000000000000004</v>
      </c>
      <c r="L246" s="2739">
        <f t="shared" si="72"/>
        <v>0.55000000000000004</v>
      </c>
      <c r="M246" s="2739">
        <f t="shared" si="72"/>
        <v>0.55000000000000004</v>
      </c>
      <c r="N246" s="2739">
        <f t="shared" si="72"/>
        <v>0.55000000000000004</v>
      </c>
      <c r="O246" s="2739">
        <f t="shared" si="72"/>
        <v>0.55000000000000004</v>
      </c>
    </row>
    <row r="247" spans="1:17" ht="15.75">
      <c r="B247" s="2740"/>
      <c r="C247" s="2737" t="s">
        <v>257</v>
      </c>
      <c r="D247" s="623"/>
      <c r="E247" s="623"/>
      <c r="F247" s="2741">
        <f>F243*F245+F244*F246</f>
        <v>60.72</v>
      </c>
      <c r="G247" s="2741">
        <f t="shared" ref="G247:O247" si="73">G243*G245+G244*G246</f>
        <v>88.14476590000001</v>
      </c>
      <c r="H247" s="2741">
        <f t="shared" si="73"/>
        <v>122.43862459716911</v>
      </c>
      <c r="I247" s="2741">
        <f t="shared" si="73"/>
        <v>116.06813059716912</v>
      </c>
      <c r="J247" s="2741">
        <f t="shared" si="73"/>
        <v>106.32793059716911</v>
      </c>
      <c r="K247" s="2741">
        <f t="shared" si="73"/>
        <v>95.98393059716912</v>
      </c>
      <c r="L247" s="2741">
        <f t="shared" si="73"/>
        <v>88.248321113343792</v>
      </c>
      <c r="M247" s="2741">
        <f t="shared" si="73"/>
        <v>78.324071113343791</v>
      </c>
      <c r="N247" s="2741">
        <f t="shared" si="73"/>
        <v>69.825171113343785</v>
      </c>
      <c r="O247" s="2741">
        <f t="shared" si="73"/>
        <v>41.779911113343793</v>
      </c>
      <c r="P247" s="310"/>
    </row>
    <row r="248" spans="1:17">
      <c r="B248" s="2814"/>
      <c r="C248" s="703" t="s">
        <v>266</v>
      </c>
      <c r="D248" s="242"/>
      <c r="E248" s="242" t="str">
        <f>preferences.energyunits</f>
        <v>TWh</v>
      </c>
      <c r="F248" s="704">
        <f t="shared" ref="F248:O248" si="74">F$247*Preferences.Unit.Power*Unit.year/Preferences.Unit.Energy</f>
        <v>532.27152000000001</v>
      </c>
      <c r="G248" s="704">
        <f t="shared" si="74"/>
        <v>772.67701787940007</v>
      </c>
      <c r="H248" s="704">
        <f t="shared" si="74"/>
        <v>1073.2969832187844</v>
      </c>
      <c r="I248" s="704">
        <f t="shared" si="74"/>
        <v>1017.4532328147844</v>
      </c>
      <c r="J248" s="704">
        <f t="shared" si="74"/>
        <v>932.07063961478445</v>
      </c>
      <c r="K248" s="704">
        <f t="shared" si="74"/>
        <v>841.39513561478452</v>
      </c>
      <c r="L248" s="704">
        <f t="shared" si="74"/>
        <v>773.58478287957178</v>
      </c>
      <c r="M248" s="704">
        <f t="shared" si="74"/>
        <v>686.58880737957168</v>
      </c>
      <c r="N248" s="704">
        <f t="shared" si="74"/>
        <v>612.0874499795716</v>
      </c>
      <c r="O248" s="704">
        <f t="shared" si="74"/>
        <v>366.24270081957167</v>
      </c>
    </row>
    <row r="249" spans="1:17">
      <c r="B249" s="974"/>
      <c r="C249" s="2737"/>
      <c r="D249" s="623"/>
      <c r="E249" s="623"/>
      <c r="F249" s="2646"/>
      <c r="G249" s="623"/>
      <c r="H249" s="623"/>
      <c r="I249" s="623"/>
      <c r="J249" s="623"/>
      <c r="K249" s="623"/>
      <c r="L249" s="623"/>
      <c r="M249" s="623"/>
      <c r="N249" s="623"/>
      <c r="O249" s="623"/>
    </row>
    <row r="250" spans="1:17">
      <c r="B250" s="974"/>
      <c r="C250" s="754" t="s">
        <v>256</v>
      </c>
      <c r="D250" s="754"/>
      <c r="E250" s="754" t="str">
        <f>preferences.energyunits</f>
        <v>TWh</v>
      </c>
      <c r="F250" s="2742"/>
      <c r="G250" s="2742"/>
      <c r="H250" s="2742"/>
      <c r="I250" s="2742"/>
      <c r="J250" s="2742"/>
      <c r="K250" s="2742"/>
      <c r="L250" s="2742"/>
      <c r="M250" s="2742"/>
      <c r="N250" s="2742"/>
      <c r="O250" s="2742"/>
      <c r="P250" s="22"/>
    </row>
    <row r="251" spans="1:17">
      <c r="B251" s="623"/>
      <c r="C251" s="2743" t="s">
        <v>433</v>
      </c>
      <c r="D251" s="754"/>
      <c r="E251" s="754"/>
      <c r="F251" s="2742"/>
      <c r="G251" s="2742"/>
      <c r="H251" s="2742"/>
      <c r="I251" s="2742"/>
      <c r="J251" s="2742"/>
      <c r="K251" s="2742"/>
      <c r="L251" s="2742"/>
      <c r="M251" s="2742"/>
      <c r="N251" s="2742"/>
      <c r="O251" s="2742"/>
    </row>
    <row r="252" spans="1:17">
      <c r="B252" s="623"/>
      <c r="C252" s="623"/>
      <c r="D252" s="623"/>
      <c r="E252" s="623"/>
      <c r="F252" s="2738"/>
      <c r="G252" s="623"/>
      <c r="H252" s="623"/>
      <c r="I252" s="623"/>
      <c r="J252" s="623"/>
      <c r="K252" s="623"/>
      <c r="L252" s="623"/>
      <c r="M252" s="623"/>
      <c r="N252" s="623"/>
      <c r="O252" s="623"/>
      <c r="P252" s="141"/>
    </row>
    <row r="253" spans="1:17">
      <c r="A253" s="37"/>
      <c r="B253" s="623"/>
      <c r="C253" s="1699" t="s">
        <v>434</v>
      </c>
      <c r="D253" s="623"/>
      <c r="E253" s="623"/>
      <c r="F253" s="2646">
        <f>F248</f>
        <v>532.27152000000001</v>
      </c>
      <c r="G253" s="2646">
        <f t="shared" ref="G253:O253" si="75">G248</f>
        <v>772.67701787940007</v>
      </c>
      <c r="H253" s="2646">
        <f t="shared" si="75"/>
        <v>1073.2969832187844</v>
      </c>
      <c r="I253" s="2646">
        <f t="shared" si="75"/>
        <v>1017.4532328147844</v>
      </c>
      <c r="J253" s="2646">
        <f t="shared" si="75"/>
        <v>932.07063961478445</v>
      </c>
      <c r="K253" s="2646">
        <f t="shared" si="75"/>
        <v>841.39513561478452</v>
      </c>
      <c r="L253" s="2646">
        <f t="shared" si="75"/>
        <v>773.58478287957178</v>
      </c>
      <c r="M253" s="2646">
        <f t="shared" si="75"/>
        <v>686.58880737957168</v>
      </c>
      <c r="N253" s="2646">
        <f t="shared" si="75"/>
        <v>612.0874499795716</v>
      </c>
      <c r="O253" s="2646">
        <f t="shared" si="75"/>
        <v>366.24270081957167</v>
      </c>
      <c r="P253" s="37" t="s">
        <v>690</v>
      </c>
    </row>
    <row r="254" spans="1:17" ht="14.25" customHeight="1">
      <c r="A254" s="37"/>
      <c r="B254" s="973"/>
      <c r="C254" s="2744" t="s">
        <v>2120</v>
      </c>
      <c r="D254" s="623"/>
      <c r="E254" s="623"/>
      <c r="F254" s="2738">
        <f t="shared" ref="F254:O254" si="76">F$203*F253</f>
        <v>42.581721600000002</v>
      </c>
      <c r="G254" s="2738">
        <f t="shared" si="76"/>
        <v>61.814161430352009</v>
      </c>
      <c r="H254" s="2738">
        <f t="shared" si="76"/>
        <v>85.863758657502757</v>
      </c>
      <c r="I254" s="2738">
        <f t="shared" si="76"/>
        <v>81.396258625182753</v>
      </c>
      <c r="J254" s="2738">
        <f t="shared" si="76"/>
        <v>74.565651169182757</v>
      </c>
      <c r="K254" s="2738">
        <f t="shared" si="76"/>
        <v>67.311610849182756</v>
      </c>
      <c r="L254" s="2738">
        <f t="shared" si="76"/>
        <v>61.886782630365744</v>
      </c>
      <c r="M254" s="2738">
        <f t="shared" si="76"/>
        <v>54.927104590365737</v>
      </c>
      <c r="N254" s="2738">
        <f t="shared" si="76"/>
        <v>48.966995998365732</v>
      </c>
      <c r="O254" s="2738">
        <f t="shared" si="76"/>
        <v>29.299416065565733</v>
      </c>
    </row>
    <row r="255" spans="1:17">
      <c r="B255" s="623"/>
      <c r="C255" s="2737" t="s">
        <v>258</v>
      </c>
      <c r="D255" s="623"/>
      <c r="E255" s="623"/>
      <c r="F255" s="2646">
        <f>F253-F254</f>
        <v>489.68979840000003</v>
      </c>
      <c r="G255" s="2646">
        <f t="shared" ref="G255:O255" si="77">G253-G254</f>
        <v>710.86285644904808</v>
      </c>
      <c r="H255" s="2646">
        <f t="shared" si="77"/>
        <v>987.43322456128158</v>
      </c>
      <c r="I255" s="2646">
        <f t="shared" si="77"/>
        <v>936.05697418960165</v>
      </c>
      <c r="J255" s="2646">
        <f t="shared" si="77"/>
        <v>857.50498844560173</v>
      </c>
      <c r="K255" s="2646">
        <f t="shared" si="77"/>
        <v>774.08352476560174</v>
      </c>
      <c r="L255" s="2646">
        <f t="shared" si="77"/>
        <v>711.69800024920607</v>
      </c>
      <c r="M255" s="2646">
        <f t="shared" si="77"/>
        <v>631.66170278920595</v>
      </c>
      <c r="N255" s="2646">
        <f t="shared" si="77"/>
        <v>563.12045398120586</v>
      </c>
      <c r="O255" s="2646">
        <f t="shared" si="77"/>
        <v>336.94328475400596</v>
      </c>
      <c r="P255" s="310"/>
    </row>
    <row r="256" spans="1:17">
      <c r="B256" s="623"/>
      <c r="C256" s="623" t="s">
        <v>260</v>
      </c>
      <c r="D256" s="623"/>
      <c r="E256" s="623"/>
      <c r="F256" s="2739">
        <f t="shared" ref="F256:O256" si="78">F$208</f>
        <v>0.32700000000000001</v>
      </c>
      <c r="G256" s="2739">
        <f t="shared" si="78"/>
        <v>0.32804823626717577</v>
      </c>
      <c r="H256" s="2739">
        <f t="shared" si="78"/>
        <v>0.33397515861613408</v>
      </c>
      <c r="I256" s="2739">
        <f t="shared" si="78"/>
        <v>0.33431764639711642</v>
      </c>
      <c r="J256" s="2739">
        <f t="shared" si="78"/>
        <v>0.33506290017932144</v>
      </c>
      <c r="K256" s="2739">
        <f t="shared" si="78"/>
        <v>0.33596200942406784</v>
      </c>
      <c r="L256" s="2739">
        <f t="shared" si="78"/>
        <v>0.33680799954252066</v>
      </c>
      <c r="M256" s="2739">
        <f t="shared" si="78"/>
        <v>0.33759959439548859</v>
      </c>
      <c r="N256" s="2739">
        <f t="shared" si="78"/>
        <v>0.33905452548352127</v>
      </c>
      <c r="O256" s="2739">
        <f t="shared" si="78"/>
        <v>0.34903549541323009</v>
      </c>
    </row>
    <row r="257" spans="2:16">
      <c r="B257" s="623"/>
      <c r="C257" s="2737" t="s">
        <v>1213</v>
      </c>
      <c r="D257" s="623"/>
      <c r="E257" s="754" t="str">
        <f>preferences.energyunits</f>
        <v>TWh</v>
      </c>
      <c r="F257" s="2646">
        <f>F255/F256</f>
        <v>1497.5223192660551</v>
      </c>
      <c r="G257" s="2646">
        <f t="shared" ref="G257:O257" si="79">G255/G256</f>
        <v>2166.9461312698313</v>
      </c>
      <c r="H257" s="2646">
        <f t="shared" si="79"/>
        <v>2956.6067986997264</v>
      </c>
      <c r="I257" s="2646">
        <f t="shared" si="79"/>
        <v>2799.9029793291684</v>
      </c>
      <c r="J257" s="2646">
        <f t="shared" si="79"/>
        <v>2559.235856869489</v>
      </c>
      <c r="K257" s="2646">
        <f t="shared" si="79"/>
        <v>2304.0805300950419</v>
      </c>
      <c r="L257" s="2646">
        <f t="shared" si="79"/>
        <v>2113.0673891828305</v>
      </c>
      <c r="M257" s="2646">
        <f t="shared" si="79"/>
        <v>1871.0380974250572</v>
      </c>
      <c r="N257" s="2646">
        <f t="shared" si="79"/>
        <v>1660.8551476437221</v>
      </c>
      <c r="O257" s="2646">
        <f t="shared" si="79"/>
        <v>965.35535549211716</v>
      </c>
      <c r="P257" s="310"/>
    </row>
    <row r="258" spans="2:16">
      <c r="B258" s="2745" t="s">
        <v>692</v>
      </c>
      <c r="C258" s="2737"/>
      <c r="D258" s="623"/>
      <c r="E258" s="623"/>
      <c r="F258" s="2646"/>
      <c r="G258" s="2646"/>
      <c r="H258" s="2646"/>
      <c r="I258" s="2646"/>
      <c r="J258" s="2646"/>
      <c r="K258" s="2646"/>
      <c r="L258" s="2646"/>
      <c r="M258" s="2646"/>
      <c r="N258" s="2646"/>
      <c r="O258" s="2646"/>
    </row>
    <row r="259" spans="2:16" ht="15.75">
      <c r="B259" s="2746"/>
      <c r="C259" s="1699" t="s">
        <v>721</v>
      </c>
      <c r="D259" s="623"/>
      <c r="E259" s="623" t="str">
        <f>Preferences.AreaUnits</f>
        <v>ha</v>
      </c>
      <c r="F259" s="2747">
        <f t="shared" ref="F259:O259" si="80">F232*F63</f>
        <v>22714</v>
      </c>
      <c r="G259" s="2747">
        <f t="shared" si="80"/>
        <v>34631.454100000003</v>
      </c>
      <c r="H259" s="2747">
        <f t="shared" si="80"/>
        <v>48555.728530489076</v>
      </c>
      <c r="I259" s="2747">
        <f t="shared" si="80"/>
        <v>45960.847930489079</v>
      </c>
      <c r="J259" s="2747">
        <f t="shared" si="80"/>
        <v>42210.267930489077</v>
      </c>
      <c r="K259" s="2747">
        <f t="shared" si="80"/>
        <v>38138.367930489076</v>
      </c>
      <c r="L259" s="2747">
        <f t="shared" si="80"/>
        <v>34604.540430489076</v>
      </c>
      <c r="M259" s="2747">
        <f t="shared" si="80"/>
        <v>30341.233430489076</v>
      </c>
      <c r="N259" s="2747">
        <f t="shared" si="80"/>
        <v>27159.888430489078</v>
      </c>
      <c r="O259" s="2747">
        <f t="shared" si="80"/>
        <v>16661.865430489081</v>
      </c>
      <c r="P259" s="359"/>
    </row>
    <row r="260" spans="2:16" s="577" customFormat="1" ht="15.75">
      <c r="B260" s="2746"/>
      <c r="C260" s="1699"/>
      <c r="D260" s="623"/>
      <c r="E260" s="623"/>
      <c r="F260" s="2747"/>
      <c r="G260" s="2747"/>
      <c r="H260" s="2747"/>
      <c r="I260" s="2747"/>
      <c r="J260" s="2747"/>
      <c r="K260" s="2747"/>
      <c r="L260" s="2747"/>
      <c r="M260" s="2747"/>
      <c r="N260" s="2747"/>
      <c r="O260" s="2747"/>
      <c r="P260" s="359"/>
    </row>
    <row r="261" spans="2:16" s="577" customFormat="1" ht="15.75">
      <c r="B261" s="2746"/>
      <c r="C261" s="1699"/>
      <c r="D261" s="623"/>
      <c r="E261" s="623"/>
      <c r="F261" s="2747"/>
      <c r="G261" s="2747"/>
      <c r="H261" s="2747"/>
      <c r="I261" s="2747"/>
      <c r="J261" s="2747"/>
      <c r="K261" s="2747"/>
      <c r="L261" s="2747"/>
      <c r="M261" s="2747"/>
      <c r="N261" s="2747"/>
      <c r="O261" s="2747"/>
      <c r="P261" s="359"/>
    </row>
    <row r="262" spans="2:16" s="605" customFormat="1">
      <c r="F262" s="365"/>
      <c r="G262" s="365"/>
      <c r="H262" s="365"/>
      <c r="I262" s="365"/>
      <c r="J262" s="365"/>
      <c r="K262" s="365"/>
      <c r="L262" s="365"/>
      <c r="M262" s="365"/>
      <c r="N262" s="365"/>
      <c r="O262" s="365"/>
      <c r="P262" s="365"/>
    </row>
    <row r="263" spans="2:16" s="605" customFormat="1">
      <c r="B263" s="859" t="s">
        <v>281</v>
      </c>
      <c r="C263" s="51"/>
      <c r="D263" s="51"/>
      <c r="E263" s="51"/>
      <c r="F263" s="51"/>
      <c r="G263" s="51"/>
      <c r="H263" s="51"/>
      <c r="I263" s="51"/>
      <c r="J263" s="51"/>
      <c r="K263" s="51"/>
      <c r="L263" s="51"/>
      <c r="M263" s="51"/>
      <c r="N263" s="51"/>
      <c r="O263" s="51"/>
      <c r="P263" s="365"/>
    </row>
    <row r="264" spans="2:16" s="605" customFormat="1">
      <c r="B264" s="51"/>
      <c r="C264" s="51" t="s">
        <v>350</v>
      </c>
      <c r="D264" s="51"/>
      <c r="E264" s="51" t="s">
        <v>367</v>
      </c>
      <c r="F264" s="97">
        <f>F$257*INDEX(EF[CO2], MATCH("V.03", EF[Vector], 0))</f>
        <v>519.7851663000888</v>
      </c>
      <c r="G264" s="97">
        <f>G$257*INDEX(EF[CO2], MATCH("V.03", EF[Vector], 0))</f>
        <v>752.14001201494796</v>
      </c>
      <c r="H264" s="97">
        <f>H$257*INDEX(EF[CO2], MATCH("V.03", EF[Vector], 0))</f>
        <v>1026.228682387389</v>
      </c>
      <c r="I264" s="97">
        <f>I$257*INDEX(EF[CO2], MATCH("V.03", EF[Vector], 0))</f>
        <v>971.83729218005976</v>
      </c>
      <c r="J264" s="97">
        <f>J$257*INDEX(EF[CO2], MATCH("V.03", EF[Vector], 0))</f>
        <v>888.30251031986131</v>
      </c>
      <c r="K264" s="97">
        <f>K$257*INDEX(EF[CO2], MATCH("V.03", EF[Vector], 0))</f>
        <v>799.73891947815002</v>
      </c>
      <c r="L264" s="97">
        <f>L$257*INDEX(EF[CO2], MATCH("V.03", EF[Vector], 0))</f>
        <v>733.4388744389438</v>
      </c>
      <c r="M264" s="97">
        <f>M$257*INDEX(EF[CO2], MATCH("V.03", EF[Vector], 0))</f>
        <v>649.43128800947147</v>
      </c>
      <c r="N264" s="97">
        <f>N$257*INDEX(EF[CO2], MATCH("V.03", EF[Vector], 0))</f>
        <v>576.47746414988546</v>
      </c>
      <c r="O264" s="97">
        <f>O$257*INDEX(EF[CO2], MATCH("V.03", EF[Vector], 0))</f>
        <v>335.07172984178004</v>
      </c>
      <c r="P264" s="365"/>
    </row>
    <row r="265" spans="2:16" s="605" customFormat="1">
      <c r="B265" s="51"/>
      <c r="C265" s="51" t="s">
        <v>351</v>
      </c>
      <c r="D265" s="51"/>
      <c r="E265" s="51" t="s">
        <v>367</v>
      </c>
      <c r="F265" s="97">
        <f>F$257*INDEX(EF[CH4], MATCH("V.03", EF[Vector], 0))</f>
        <v>0</v>
      </c>
      <c r="G265" s="97">
        <f>G$257*INDEX(EF[CH4], MATCH("V.03", EF[Vector], 0))</f>
        <v>0</v>
      </c>
      <c r="H265" s="97">
        <f>H$257*INDEX(EF[CH4], MATCH("V.03", EF[Vector], 0))</f>
        <v>0</v>
      </c>
      <c r="I265" s="97">
        <f>I$257*INDEX(EF[CH4], MATCH("V.03", EF[Vector], 0))</f>
        <v>0</v>
      </c>
      <c r="J265" s="97">
        <f>J$257*INDEX(EF[CH4], MATCH("V.03", EF[Vector], 0))</f>
        <v>0</v>
      </c>
      <c r="K265" s="97">
        <f>K$257*INDEX(EF[CH4], MATCH("V.03", EF[Vector], 0))</f>
        <v>0</v>
      </c>
      <c r="L265" s="97">
        <f>L$257*INDEX(EF[CH4], MATCH("V.03", EF[Vector], 0))</f>
        <v>0</v>
      </c>
      <c r="M265" s="97">
        <f>M$257*INDEX(EF[CH4], MATCH("V.03", EF[Vector], 0))</f>
        <v>0</v>
      </c>
      <c r="N265" s="97">
        <f>N$257*INDEX(EF[CH4], MATCH("V.03", EF[Vector], 0))</f>
        <v>0</v>
      </c>
      <c r="O265" s="97">
        <f>O$257*INDEX(EF[CH4], MATCH("V.03", EF[Vector], 0))</f>
        <v>0</v>
      </c>
      <c r="P265" s="365"/>
    </row>
    <row r="266" spans="2:16" s="605" customFormat="1">
      <c r="B266" s="51"/>
      <c r="C266" s="51" t="s">
        <v>352</v>
      </c>
      <c r="D266" s="51"/>
      <c r="E266" s="51" t="s">
        <v>367</v>
      </c>
      <c r="F266" s="97">
        <f>F$257*INDEX(EF[N2O], MATCH("V.03", EF[Vector], 0))</f>
        <v>0</v>
      </c>
      <c r="G266" s="97">
        <f>G$257*INDEX(EF[N2O], MATCH("V.03", EF[Vector], 0))</f>
        <v>0</v>
      </c>
      <c r="H266" s="97">
        <f>H$257*INDEX(EF[N2O], MATCH("V.03", EF[Vector], 0))</f>
        <v>0</v>
      </c>
      <c r="I266" s="97">
        <f>I$257*INDEX(EF[N2O], MATCH("V.03", EF[Vector], 0))</f>
        <v>0</v>
      </c>
      <c r="J266" s="97">
        <f>J$257*INDEX(EF[N2O], MATCH("V.03", EF[Vector], 0))</f>
        <v>0</v>
      </c>
      <c r="K266" s="97">
        <f>K$257*INDEX(EF[N2O], MATCH("V.03", EF[Vector], 0))</f>
        <v>0</v>
      </c>
      <c r="L266" s="97">
        <f>L$257*INDEX(EF[N2O], MATCH("V.03", EF[Vector], 0))</f>
        <v>0</v>
      </c>
      <c r="M266" s="97">
        <f>M$257*INDEX(EF[N2O], MATCH("V.03", EF[Vector], 0))</f>
        <v>0</v>
      </c>
      <c r="N266" s="97">
        <f>N$257*INDEX(EF[N2O], MATCH("V.03", EF[Vector], 0))</f>
        <v>0</v>
      </c>
      <c r="O266" s="97">
        <f>O$257*INDEX(EF[N2O], MATCH("V.03", EF[Vector], 0))</f>
        <v>0</v>
      </c>
      <c r="P266" s="365"/>
    </row>
    <row r="267" spans="2:16" s="605" customFormat="1">
      <c r="F267" s="365"/>
      <c r="G267" s="365"/>
      <c r="H267" s="365"/>
      <c r="I267" s="365"/>
      <c r="J267" s="365"/>
      <c r="K267" s="365"/>
      <c r="L267" s="365"/>
      <c r="M267" s="365"/>
      <c r="N267" s="365"/>
      <c r="O267" s="365"/>
      <c r="P267" s="365"/>
    </row>
    <row r="268" spans="2:16" s="605" customFormat="1">
      <c r="F268" s="365"/>
      <c r="G268" s="365"/>
      <c r="H268" s="365"/>
      <c r="I268" s="365"/>
      <c r="J268" s="365"/>
      <c r="K268" s="365"/>
      <c r="L268" s="365"/>
      <c r="M268" s="365"/>
      <c r="N268" s="365"/>
      <c r="O268" s="365"/>
      <c r="P268" s="365"/>
    </row>
    <row r="269" spans="2:16" s="605" customFormat="1">
      <c r="F269" s="365"/>
      <c r="G269" s="365"/>
      <c r="H269" s="365"/>
      <c r="I269" s="365"/>
      <c r="J269" s="365"/>
      <c r="K269" s="365"/>
      <c r="L269" s="365"/>
      <c r="M269" s="365"/>
      <c r="N269" s="365"/>
      <c r="O269" s="365"/>
      <c r="P269" s="365"/>
    </row>
    <row r="270" spans="2:16">
      <c r="F270" s="365"/>
      <c r="G270" s="365"/>
      <c r="H270" s="365"/>
      <c r="I270" s="365"/>
      <c r="J270" s="365"/>
      <c r="K270" s="365"/>
      <c r="L270" s="365"/>
      <c r="M270" s="365"/>
      <c r="N270" s="365"/>
      <c r="O270" s="365"/>
    </row>
    <row r="271" spans="2:16">
      <c r="C271" s="175"/>
      <c r="D271" s="175"/>
      <c r="E271" s="175"/>
      <c r="F271" s="175"/>
      <c r="G271" s="175"/>
      <c r="H271" s="175"/>
      <c r="I271" s="175"/>
      <c r="J271" s="175"/>
      <c r="K271" s="175"/>
      <c r="L271" s="175"/>
      <c r="M271" s="175"/>
      <c r="N271" s="175"/>
      <c r="O271" s="175"/>
      <c r="P271" s="177"/>
    </row>
    <row r="272" spans="2:16">
      <c r="C272" s="166"/>
      <c r="D272" s="166"/>
      <c r="E272" s="166"/>
      <c r="F272" s="166"/>
      <c r="G272" s="166"/>
      <c r="H272" s="166"/>
      <c r="I272" s="166"/>
      <c r="J272" s="166"/>
      <c r="K272" s="166"/>
      <c r="L272" s="166"/>
      <c r="M272" s="166"/>
      <c r="N272" s="166"/>
      <c r="O272" s="166"/>
      <c r="P272" s="168"/>
    </row>
    <row r="273" spans="1:16">
      <c r="C273" s="178" t="s">
        <v>239</v>
      </c>
      <c r="D273" s="166"/>
      <c r="E273" s="167"/>
      <c r="F273" s="166"/>
      <c r="G273" s="167"/>
      <c r="H273" s="166"/>
      <c r="I273" s="166"/>
      <c r="J273" s="166"/>
      <c r="K273" s="166"/>
      <c r="L273" s="166"/>
      <c r="M273" s="166"/>
      <c r="N273" s="166"/>
      <c r="O273" s="167" t="str">
        <f>preferences.energyunits</f>
        <v>TWh</v>
      </c>
      <c r="P273" s="168"/>
    </row>
    <row r="274" spans="1:16" ht="22.5">
      <c r="A274" s="420"/>
      <c r="C274" s="166"/>
      <c r="D274" s="166"/>
      <c r="E274" s="166"/>
      <c r="F274" s="166"/>
      <c r="G274" s="166"/>
      <c r="H274" s="166"/>
      <c r="I274" s="166"/>
      <c r="J274" s="166"/>
      <c r="K274" s="166"/>
      <c r="L274" s="166"/>
      <c r="M274" s="166"/>
      <c r="N274" s="166"/>
      <c r="O274" s="166"/>
      <c r="P274" s="168"/>
    </row>
    <row r="275" spans="1:16">
      <c r="C275" s="180" t="s">
        <v>64</v>
      </c>
      <c r="D275" s="180" t="s">
        <v>137</v>
      </c>
      <c r="E275" s="180" t="s">
        <v>156</v>
      </c>
      <c r="F275" s="230" t="s">
        <v>203</v>
      </c>
      <c r="G275" s="566" t="s">
        <v>712</v>
      </c>
      <c r="H275" s="566" t="s">
        <v>713</v>
      </c>
      <c r="I275" s="566" t="s">
        <v>714</v>
      </c>
      <c r="J275" s="566" t="s">
        <v>715</v>
      </c>
      <c r="K275" s="566" t="s">
        <v>716</v>
      </c>
      <c r="L275" s="566" t="s">
        <v>717</v>
      </c>
      <c r="M275" s="566" t="s">
        <v>718</v>
      </c>
      <c r="N275" s="566" t="s">
        <v>719</v>
      </c>
      <c r="O275" s="566" t="s">
        <v>720</v>
      </c>
      <c r="P275" s="168"/>
    </row>
    <row r="276" spans="1:16">
      <c r="C276" s="60" t="s">
        <v>35</v>
      </c>
      <c r="D276" s="60" t="str">
        <f>INDEX(Vectors[Description], MATCH([Vector], Vectors[Code], 0))</f>
        <v>Electricity (supplied to grid)</v>
      </c>
      <c r="E276" s="60"/>
      <c r="F276" s="129">
        <f>F255</f>
        <v>489.68979840000003</v>
      </c>
      <c r="G276" s="129">
        <f t="shared" ref="G276:O276" si="81">G255</f>
        <v>710.86285644904808</v>
      </c>
      <c r="H276" s="129">
        <f t="shared" si="81"/>
        <v>987.43322456128158</v>
      </c>
      <c r="I276" s="129">
        <f t="shared" si="81"/>
        <v>936.05697418960165</v>
      </c>
      <c r="J276" s="129">
        <f t="shared" si="81"/>
        <v>857.50498844560173</v>
      </c>
      <c r="K276" s="129">
        <f t="shared" si="81"/>
        <v>774.08352476560174</v>
      </c>
      <c r="L276" s="129">
        <f t="shared" si="81"/>
        <v>711.69800024920607</v>
      </c>
      <c r="M276" s="129">
        <f t="shared" si="81"/>
        <v>631.66170278920595</v>
      </c>
      <c r="N276" s="129">
        <f t="shared" si="81"/>
        <v>563.12045398120586</v>
      </c>
      <c r="O276" s="129">
        <f t="shared" si="81"/>
        <v>336.94328475400596</v>
      </c>
      <c r="P276" s="168"/>
    </row>
    <row r="277" spans="1:16">
      <c r="C277" s="60" t="s">
        <v>36</v>
      </c>
      <c r="D277" s="60" t="str">
        <f>INDEX(Vectors[Description], MATCH([Vector], Vectors[Code], 0))</f>
        <v>Solid hydrocarbons</v>
      </c>
      <c r="E277" s="60"/>
      <c r="F277" s="129">
        <f>-(F257)</f>
        <v>-1497.5223192660551</v>
      </c>
      <c r="G277" s="129">
        <f t="shared" ref="G277:O277" si="82">-(G257)</f>
        <v>-2166.9461312698313</v>
      </c>
      <c r="H277" s="129">
        <f t="shared" si="82"/>
        <v>-2956.6067986997264</v>
      </c>
      <c r="I277" s="129">
        <f t="shared" si="82"/>
        <v>-2799.9029793291684</v>
      </c>
      <c r="J277" s="129">
        <f t="shared" si="82"/>
        <v>-2559.235856869489</v>
      </c>
      <c r="K277" s="129">
        <f t="shared" si="82"/>
        <v>-2304.0805300950419</v>
      </c>
      <c r="L277" s="129">
        <f t="shared" si="82"/>
        <v>-2113.0673891828305</v>
      </c>
      <c r="M277" s="129">
        <f t="shared" si="82"/>
        <v>-1871.0380974250572</v>
      </c>
      <c r="N277" s="129">
        <f t="shared" si="82"/>
        <v>-1660.8551476437221</v>
      </c>
      <c r="O277" s="129">
        <f t="shared" si="82"/>
        <v>-965.35535549211716</v>
      </c>
      <c r="P277" s="168"/>
    </row>
    <row r="278" spans="1:16" ht="15.75">
      <c r="A278" s="3"/>
      <c r="C278" s="60" t="s">
        <v>25</v>
      </c>
      <c r="D278" s="60" t="str">
        <f>INDEX(Vectors[Description], MATCH([Vector], Vectors[Code], 0))</f>
        <v>Conversion losses</v>
      </c>
      <c r="E278" s="60"/>
      <c r="F278" s="129">
        <f>-F277-(F279+F276)</f>
        <v>965.25079926605508</v>
      </c>
      <c r="G278" s="129">
        <f t="shared" ref="G278:O278" si="83">-G277-(G279+G276)</f>
        <v>1394.2691133904314</v>
      </c>
      <c r="H278" s="129">
        <f t="shared" si="83"/>
        <v>1883.309815480942</v>
      </c>
      <c r="I278" s="129">
        <f t="shared" si="83"/>
        <v>1782.4497465143841</v>
      </c>
      <c r="J278" s="129">
        <f t="shared" si="83"/>
        <v>1627.1652172547047</v>
      </c>
      <c r="K278" s="129">
        <f t="shared" si="83"/>
        <v>1462.6853944802574</v>
      </c>
      <c r="L278" s="129">
        <f t="shared" si="83"/>
        <v>1339.4826063032588</v>
      </c>
      <c r="M278" s="129">
        <f t="shared" si="83"/>
        <v>1184.4492900454857</v>
      </c>
      <c r="N278" s="129">
        <f t="shared" si="83"/>
        <v>1048.7676976641505</v>
      </c>
      <c r="O278" s="129">
        <f t="shared" si="83"/>
        <v>599.11265467254543</v>
      </c>
      <c r="P278" s="168"/>
    </row>
    <row r="279" spans="1:16" ht="15.75">
      <c r="A279" s="3"/>
      <c r="C279" s="60" t="s">
        <v>26</v>
      </c>
      <c r="D279" s="60" t="str">
        <f>INDEX(Vectors[Description], MATCH([Vector], Vectors[Code], 0))</f>
        <v>Distribution losses and own use</v>
      </c>
      <c r="E279" s="60"/>
      <c r="F279" s="129">
        <f t="shared" ref="F279:O279" si="84">F$254</f>
        <v>42.581721600000002</v>
      </c>
      <c r="G279" s="129">
        <f t="shared" si="84"/>
        <v>61.814161430352009</v>
      </c>
      <c r="H279" s="129">
        <f t="shared" si="84"/>
        <v>85.863758657502757</v>
      </c>
      <c r="I279" s="129">
        <f t="shared" si="84"/>
        <v>81.396258625182753</v>
      </c>
      <c r="J279" s="129">
        <f t="shared" si="84"/>
        <v>74.565651169182757</v>
      </c>
      <c r="K279" s="129">
        <f t="shared" si="84"/>
        <v>67.311610849182756</v>
      </c>
      <c r="L279" s="129">
        <f t="shared" si="84"/>
        <v>61.886782630365744</v>
      </c>
      <c r="M279" s="129">
        <f t="shared" si="84"/>
        <v>54.927104590365737</v>
      </c>
      <c r="N279" s="129">
        <f t="shared" si="84"/>
        <v>48.966995998365732</v>
      </c>
      <c r="O279" s="129">
        <f t="shared" si="84"/>
        <v>29.299416065565733</v>
      </c>
      <c r="P279" s="168"/>
    </row>
    <row r="280" spans="1:16" ht="15.75">
      <c r="A280" s="3"/>
      <c r="C280" s="60" t="s">
        <v>103</v>
      </c>
      <c r="D280" s="60"/>
      <c r="E280" s="60"/>
      <c r="F280" s="231">
        <f>SUBTOTAL(109,[2007])</f>
        <v>0</v>
      </c>
      <c r="G280" s="231">
        <f>SUBTOTAL(109,[2012])</f>
        <v>2.4868995751603507E-13</v>
      </c>
      <c r="H280" s="231">
        <f>SUBTOTAL(109,[2017])</f>
        <v>0</v>
      </c>
      <c r="I280" s="231">
        <f>SUBTOTAL(109,[2022])</f>
        <v>0</v>
      </c>
      <c r="J280" s="231">
        <f>SUBTOTAL(109,[2027])</f>
        <v>0</v>
      </c>
      <c r="K280" s="231">
        <f>SUBTOTAL(109,[2032])</f>
        <v>0</v>
      </c>
      <c r="L280" s="231">
        <f>SUBTOTAL(109,[2037])</f>
        <v>-7.1054273576010019E-14</v>
      </c>
      <c r="M280" s="231">
        <f>SUBTOTAL(109,[2042])</f>
        <v>1.2079226507921703E-13</v>
      </c>
      <c r="N280" s="231">
        <f>SUBTOTAL(109,[2047])</f>
        <v>0</v>
      </c>
      <c r="O280" s="231">
        <f>SUBTOTAL(109,[2052])</f>
        <v>-3.1974423109204508E-14</v>
      </c>
      <c r="P280" s="168"/>
    </row>
    <row r="281" spans="1:16" ht="15.75">
      <c r="A281" s="3"/>
      <c r="C281" s="171"/>
      <c r="D281" s="171"/>
      <c r="E281" s="171"/>
      <c r="F281" s="171"/>
      <c r="G281" s="171"/>
      <c r="H281" s="171"/>
      <c r="I281" s="171"/>
      <c r="J281" s="171"/>
      <c r="K281" s="171"/>
      <c r="L281" s="171"/>
      <c r="M281" s="171"/>
      <c r="N281" s="171"/>
      <c r="O281" s="171"/>
      <c r="P281" s="168"/>
    </row>
    <row r="282" spans="1:16" ht="15.75">
      <c r="A282" s="3"/>
      <c r="C282" s="60"/>
      <c r="D282" s="60"/>
      <c r="E282" s="60"/>
      <c r="F282" s="60"/>
      <c r="G282" s="60"/>
      <c r="H282" s="60"/>
      <c r="I282" s="60"/>
      <c r="J282" s="60"/>
      <c r="K282" s="60"/>
      <c r="L282" s="60"/>
      <c r="M282" s="60"/>
      <c r="N282" s="60"/>
      <c r="O282" s="60"/>
      <c r="P282" s="173"/>
    </row>
    <row r="283" spans="1:16" s="585" customFormat="1" ht="15.75">
      <c r="A283" s="3"/>
      <c r="C283" s="178" t="s">
        <v>239</v>
      </c>
      <c r="D283" s="166"/>
      <c r="E283" s="167"/>
      <c r="F283" s="166"/>
      <c r="G283" s="167"/>
      <c r="H283" s="166"/>
      <c r="I283" s="166"/>
      <c r="J283" s="166"/>
      <c r="K283" s="166"/>
      <c r="L283" s="166"/>
      <c r="M283" s="166"/>
      <c r="N283" s="166"/>
      <c r="O283" s="167" t="str">
        <f>preferences.energyunits</f>
        <v>TWh</v>
      </c>
      <c r="P283" s="166"/>
    </row>
    <row r="284" spans="1:16" s="585" customFormat="1" ht="15.75">
      <c r="A284" s="3"/>
      <c r="C284" s="166"/>
      <c r="D284" s="166"/>
      <c r="E284" s="166"/>
      <c r="F284" s="166"/>
      <c r="G284" s="166"/>
      <c r="H284" s="166"/>
      <c r="I284" s="166"/>
      <c r="J284" s="166"/>
      <c r="K284" s="166"/>
      <c r="L284" s="166"/>
      <c r="M284" s="166"/>
      <c r="N284" s="166"/>
      <c r="O284" s="166"/>
      <c r="P284" s="166"/>
    </row>
    <row r="285" spans="1:16" s="585" customFormat="1" ht="15.75">
      <c r="A285" s="3"/>
      <c r="C285" s="180" t="s">
        <v>64</v>
      </c>
      <c r="D285" s="180" t="s">
        <v>137</v>
      </c>
      <c r="E285" s="180" t="s">
        <v>156</v>
      </c>
      <c r="F285" s="230" t="s">
        <v>203</v>
      </c>
      <c r="G285" s="566" t="s">
        <v>712</v>
      </c>
      <c r="H285" s="566" t="s">
        <v>713</v>
      </c>
      <c r="I285" s="566" t="s">
        <v>714</v>
      </c>
      <c r="J285" s="566" t="s">
        <v>715</v>
      </c>
      <c r="K285" s="566" t="s">
        <v>716</v>
      </c>
      <c r="L285" s="566" t="s">
        <v>717</v>
      </c>
      <c r="M285" s="566" t="s">
        <v>718</v>
      </c>
      <c r="N285" s="566" t="s">
        <v>719</v>
      </c>
      <c r="O285" s="566" t="s">
        <v>720</v>
      </c>
      <c r="P285" s="166"/>
    </row>
    <row r="286" spans="1:16" s="585" customFormat="1" ht="15.75">
      <c r="A286" s="3"/>
      <c r="C286" s="60" t="s">
        <v>780</v>
      </c>
      <c r="D286" s="1322" t="s">
        <v>728</v>
      </c>
      <c r="E286" s="60"/>
      <c r="F286" s="129">
        <f t="shared" ref="F286:O286" si="85">F146*F$245*Unit.year*Preferences.Unit.Power/Preferences.Unit.Energy</f>
        <v>479.23721999999998</v>
      </c>
      <c r="G286" s="129">
        <f t="shared" si="85"/>
        <v>667.07746064463595</v>
      </c>
      <c r="H286" s="129">
        <f t="shared" si="85"/>
        <v>803.5531564806173</v>
      </c>
      <c r="I286" s="129">
        <f t="shared" si="85"/>
        <v>760.2447860766174</v>
      </c>
      <c r="J286" s="129">
        <f t="shared" si="85"/>
        <v>678.7192328766173</v>
      </c>
      <c r="K286" s="129">
        <f t="shared" si="85"/>
        <v>598.40952387661741</v>
      </c>
      <c r="L286" s="129">
        <f t="shared" si="85"/>
        <v>543.63591531465329</v>
      </c>
      <c r="M286" s="129">
        <f t="shared" si="85"/>
        <v>493.81698411465339</v>
      </c>
      <c r="N286" s="129">
        <f t="shared" si="85"/>
        <v>419.31562671465338</v>
      </c>
      <c r="O286" s="129">
        <f t="shared" si="85"/>
        <v>173.47087755465336</v>
      </c>
      <c r="P286" s="166"/>
    </row>
    <row r="287" spans="1:16" s="585" customFormat="1" ht="15.75">
      <c r="A287" s="3"/>
      <c r="C287" s="60" t="s">
        <v>781</v>
      </c>
      <c r="D287" s="1322" t="s">
        <v>729</v>
      </c>
      <c r="E287" s="60"/>
      <c r="F287" s="129">
        <f t="shared" ref="F287:O287" si="86">F147*F$245*Unit.year*Preferences.Unit.Power/Preferences.Unit.Energy</f>
        <v>0</v>
      </c>
      <c r="G287" s="129">
        <f t="shared" si="86"/>
        <v>13.459692934764</v>
      </c>
      <c r="H287" s="129">
        <f t="shared" si="86"/>
        <v>121.78012035283872</v>
      </c>
      <c r="I287" s="129">
        <f t="shared" si="86"/>
        <v>121.78012035283872</v>
      </c>
      <c r="J287" s="129">
        <f t="shared" si="86"/>
        <v>121.78012035283872</v>
      </c>
      <c r="K287" s="129">
        <f t="shared" si="86"/>
        <v>121.78012035283872</v>
      </c>
      <c r="L287" s="129">
        <f t="shared" si="86"/>
        <v>123.44834117958996</v>
      </c>
      <c r="M287" s="129">
        <f t="shared" si="86"/>
        <v>123.44834117958997</v>
      </c>
      <c r="N287" s="129">
        <f t="shared" si="86"/>
        <v>123.44834117958997</v>
      </c>
      <c r="O287" s="129">
        <f t="shared" si="86"/>
        <v>123.44834117958997</v>
      </c>
      <c r="P287" s="166"/>
    </row>
    <row r="288" spans="1:16" s="585" customFormat="1" ht="15.75">
      <c r="A288" s="3"/>
      <c r="C288" s="60" t="s">
        <v>782</v>
      </c>
      <c r="D288" s="1322" t="s">
        <v>730</v>
      </c>
      <c r="E288" s="60"/>
      <c r="F288" s="129">
        <f t="shared" ref="F288:O288" si="87">F148*F$245*Unit.year*Preferences.Unit.Power/Preferences.Unit.Energy</f>
        <v>0</v>
      </c>
      <c r="G288" s="129">
        <f t="shared" si="87"/>
        <v>0</v>
      </c>
      <c r="H288" s="129">
        <f t="shared" si="87"/>
        <v>0</v>
      </c>
      <c r="I288" s="129">
        <f t="shared" si="87"/>
        <v>0</v>
      </c>
      <c r="J288" s="129">
        <f t="shared" si="87"/>
        <v>0</v>
      </c>
      <c r="K288" s="129">
        <f t="shared" si="87"/>
        <v>0</v>
      </c>
      <c r="L288" s="129">
        <f t="shared" si="87"/>
        <v>0</v>
      </c>
      <c r="M288" s="129">
        <f t="shared" si="87"/>
        <v>9.2183540800760955E-15</v>
      </c>
      <c r="N288" s="129">
        <f t="shared" si="87"/>
        <v>9.2183540800760955E-15</v>
      </c>
      <c r="O288" s="129">
        <f t="shared" si="87"/>
        <v>9.2183540800760955E-15</v>
      </c>
      <c r="P288" s="166"/>
    </row>
    <row r="289" spans="1:16" s="585" customFormat="1" ht="15.75">
      <c r="A289" s="3"/>
      <c r="C289" s="60" t="s">
        <v>783</v>
      </c>
      <c r="D289" s="1322" t="s">
        <v>731</v>
      </c>
      <c r="E289" s="60"/>
      <c r="F289" s="129">
        <f t="shared" ref="F289:O289" si="88">F149*F$245*Unit.year*Preferences.Unit.Power/Preferences.Unit.Energy</f>
        <v>0</v>
      </c>
      <c r="G289" s="129">
        <f t="shared" si="88"/>
        <v>0</v>
      </c>
      <c r="H289" s="129">
        <f t="shared" si="88"/>
        <v>0</v>
      </c>
      <c r="I289" s="129">
        <f t="shared" si="88"/>
        <v>0</v>
      </c>
      <c r="J289" s="129">
        <f t="shared" si="88"/>
        <v>0</v>
      </c>
      <c r="K289" s="129">
        <f t="shared" si="88"/>
        <v>0</v>
      </c>
      <c r="L289" s="129">
        <f t="shared" si="88"/>
        <v>0</v>
      </c>
      <c r="M289" s="129">
        <f t="shared" si="88"/>
        <v>9.2183540800760955E-15</v>
      </c>
      <c r="N289" s="129">
        <f t="shared" si="88"/>
        <v>9.2183540800760955E-15</v>
      </c>
      <c r="O289" s="129">
        <f t="shared" si="88"/>
        <v>9.2183540800760955E-15</v>
      </c>
      <c r="P289" s="166"/>
    </row>
    <row r="290" spans="1:16" s="585" customFormat="1" ht="15.75">
      <c r="A290" s="3"/>
      <c r="C290" s="226" t="s">
        <v>784</v>
      </c>
      <c r="D290" s="1323" t="s">
        <v>725</v>
      </c>
      <c r="E290" s="226"/>
      <c r="F290" s="606">
        <f t="shared" ref="F290:O290" si="89">F246*F155*Preferences.Unit.Power*Unit.year/Preferences.Unit.Energy</f>
        <v>53.034300000000009</v>
      </c>
      <c r="G290" s="606">
        <f t="shared" si="89"/>
        <v>92.139864300000013</v>
      </c>
      <c r="H290" s="606">
        <f t="shared" si="89"/>
        <v>147.96370638532841</v>
      </c>
      <c r="I290" s="606">
        <f t="shared" si="89"/>
        <v>135.4283263853284</v>
      </c>
      <c r="J290" s="606">
        <f t="shared" si="89"/>
        <v>131.57128638532836</v>
      </c>
      <c r="K290" s="606">
        <f t="shared" si="89"/>
        <v>121.20549138532839</v>
      </c>
      <c r="L290" s="606">
        <f t="shared" si="89"/>
        <v>106.50052638532839</v>
      </c>
      <c r="M290" s="606">
        <f t="shared" si="89"/>
        <v>69.323482085328379</v>
      </c>
      <c r="N290" s="606">
        <f t="shared" si="89"/>
        <v>69.323482085328379</v>
      </c>
      <c r="O290" s="606">
        <f t="shared" si="89"/>
        <v>69.323482085328379</v>
      </c>
      <c r="P290" s="166"/>
    </row>
    <row r="291" spans="1:16" s="585" customFormat="1" ht="15.75">
      <c r="A291" s="3"/>
      <c r="C291" s="60" t="s">
        <v>51</v>
      </c>
      <c r="D291" s="266" t="str">
        <f>INDEX(Vectors[Description], MATCH([Vector], Vectors[Code], 0))</f>
        <v>Coal indigenous production</v>
      </c>
      <c r="E291" s="60"/>
      <c r="F291" s="129">
        <f t="shared" ref="F291:O291" si="90">F248</f>
        <v>532.27152000000001</v>
      </c>
      <c r="G291" s="129">
        <f t="shared" si="90"/>
        <v>772.67701787940007</v>
      </c>
      <c r="H291" s="129">
        <f t="shared" si="90"/>
        <v>1073.2969832187844</v>
      </c>
      <c r="I291" s="129">
        <f t="shared" si="90"/>
        <v>1017.4532328147844</v>
      </c>
      <c r="J291" s="129">
        <f t="shared" si="90"/>
        <v>932.07063961478445</v>
      </c>
      <c r="K291" s="129">
        <f t="shared" si="90"/>
        <v>841.39513561478452</v>
      </c>
      <c r="L291" s="129">
        <f t="shared" si="90"/>
        <v>773.58478287957178</v>
      </c>
      <c r="M291" s="129">
        <f t="shared" si="90"/>
        <v>686.58880737957168</v>
      </c>
      <c r="N291" s="129">
        <f t="shared" si="90"/>
        <v>612.0874499795716</v>
      </c>
      <c r="O291" s="129">
        <f t="shared" si="90"/>
        <v>366.24270081957167</v>
      </c>
      <c r="P291" s="166"/>
    </row>
    <row r="292" spans="1:16" s="585" customFormat="1" ht="15.75">
      <c r="A292" s="3"/>
      <c r="C292" s="60"/>
      <c r="D292" s="60"/>
      <c r="E292" s="60"/>
      <c r="F292" s="60"/>
      <c r="G292" s="60"/>
      <c r="H292" s="60"/>
      <c r="I292" s="60"/>
      <c r="J292" s="60"/>
      <c r="K292" s="60"/>
      <c r="L292" s="60"/>
      <c r="M292" s="60"/>
      <c r="N292" s="60"/>
      <c r="O292" s="60"/>
      <c r="P292" s="166"/>
    </row>
    <row r="293" spans="1:16" s="605" customFormat="1" ht="15.75">
      <c r="A293" s="3"/>
      <c r="C293" s="346" t="s">
        <v>1214</v>
      </c>
      <c r="D293" s="425"/>
      <c r="E293" s="425"/>
      <c r="F293" s="425"/>
      <c r="G293" s="425"/>
      <c r="H293" s="425"/>
      <c r="I293" s="425"/>
      <c r="J293" s="425"/>
      <c r="K293" s="425"/>
      <c r="L293" s="425"/>
      <c r="M293" s="425"/>
      <c r="N293" s="425"/>
      <c r="O293" s="425"/>
      <c r="P293" s="166"/>
    </row>
    <row r="294" spans="1:16" s="585" customFormat="1" ht="15.75">
      <c r="A294" s="3"/>
      <c r="C294" s="60"/>
      <c r="D294" s="60"/>
      <c r="E294" s="60"/>
      <c r="F294" s="60"/>
      <c r="G294" s="60"/>
      <c r="H294" s="60"/>
      <c r="I294" s="60"/>
      <c r="J294" s="60"/>
      <c r="K294" s="60"/>
      <c r="L294" s="60"/>
      <c r="M294" s="60"/>
      <c r="N294" s="60"/>
      <c r="O294" s="60"/>
      <c r="P294" s="166"/>
    </row>
    <row r="295" spans="1:16" s="585" customFormat="1" ht="15.75">
      <c r="A295" s="3"/>
      <c r="C295" s="180" t="s">
        <v>64</v>
      </c>
      <c r="D295" s="180" t="s">
        <v>786</v>
      </c>
      <c r="E295" s="180" t="s">
        <v>156</v>
      </c>
      <c r="F295" s="230" t="s">
        <v>203</v>
      </c>
      <c r="G295" s="566" t="s">
        <v>712</v>
      </c>
      <c r="H295" s="566" t="s">
        <v>713</v>
      </c>
      <c r="I295" s="566" t="s">
        <v>714</v>
      </c>
      <c r="J295" s="566" t="s">
        <v>715</v>
      </c>
      <c r="K295" s="566" t="s">
        <v>716</v>
      </c>
      <c r="L295" s="566" t="s">
        <v>717</v>
      </c>
      <c r="M295" s="566" t="s">
        <v>718</v>
      </c>
      <c r="N295" s="566" t="s">
        <v>719</v>
      </c>
      <c r="O295" s="566" t="s">
        <v>720</v>
      </c>
      <c r="P295" s="166"/>
    </row>
    <row r="296" spans="1:16" s="585" customFormat="1" ht="15.75">
      <c r="A296" s="3"/>
      <c r="C296" s="60" t="s">
        <v>607</v>
      </c>
      <c r="D296" s="60" t="str">
        <f>INDEX(Vectors[Description], MATCH([Vector], Vectors[Code], 0))</f>
        <v>Load factor</v>
      </c>
      <c r="E296" s="60" t="s">
        <v>277</v>
      </c>
      <c r="F296" s="607">
        <f t="shared" ref="F296:O296" si="91">F245</f>
        <v>0.77</v>
      </c>
      <c r="G296" s="607">
        <f t="shared" si="91"/>
        <v>0.73299999999999998</v>
      </c>
      <c r="H296" s="607">
        <f t="shared" si="91"/>
        <v>0.73</v>
      </c>
      <c r="I296" s="607">
        <f t="shared" si="91"/>
        <v>0.73</v>
      </c>
      <c r="J296" s="607">
        <f t="shared" si="91"/>
        <v>0.73</v>
      </c>
      <c r="K296" s="607">
        <f t="shared" si="91"/>
        <v>0.73</v>
      </c>
      <c r="L296" s="607">
        <f t="shared" si="91"/>
        <v>0.74</v>
      </c>
      <c r="M296" s="607">
        <f t="shared" si="91"/>
        <v>0.74</v>
      </c>
      <c r="N296" s="607">
        <f t="shared" si="91"/>
        <v>0.74</v>
      </c>
      <c r="O296" s="607">
        <f t="shared" si="91"/>
        <v>0.74</v>
      </c>
      <c r="P296" s="166"/>
    </row>
    <row r="297" spans="1:16" s="585" customFormat="1" ht="15.75">
      <c r="A297" s="3"/>
      <c r="C297" s="60" t="s">
        <v>508</v>
      </c>
      <c r="D297" s="60" t="str">
        <f>INDEX(Vectors[Description], MATCH([Vector], Vectors[Code], 0))</f>
        <v xml:space="preserve">Installed Capacity </v>
      </c>
      <c r="E297" s="60" t="str">
        <f>Preferences.PowerUnits</f>
        <v>GW</v>
      </c>
      <c r="F297" s="129">
        <f t="shared" ref="F297:O297" si="92">F63</f>
        <v>82</v>
      </c>
      <c r="G297" s="129">
        <f t="shared" si="92"/>
        <v>125.02330000000001</v>
      </c>
      <c r="H297" s="129">
        <f t="shared" si="92"/>
        <v>175.2914387382277</v>
      </c>
      <c r="I297" s="129">
        <f t="shared" si="92"/>
        <v>165.92363873822771</v>
      </c>
      <c r="J297" s="129">
        <f t="shared" si="92"/>
        <v>152.38363873822772</v>
      </c>
      <c r="K297" s="129">
        <f t="shared" si="92"/>
        <v>137.6836387382277</v>
      </c>
      <c r="L297" s="129">
        <f t="shared" si="92"/>
        <v>124.92613873822771</v>
      </c>
      <c r="M297" s="129">
        <f t="shared" si="92"/>
        <v>109.53513873822772</v>
      </c>
      <c r="N297" s="129">
        <f t="shared" si="92"/>
        <v>98.050138738227716</v>
      </c>
      <c r="O297" s="129">
        <f t="shared" si="92"/>
        <v>60.151138738227722</v>
      </c>
      <c r="P297" s="166"/>
    </row>
    <row r="298" spans="1:16" s="585" customFormat="1" ht="15.75">
      <c r="A298" s="3"/>
      <c r="C298" s="60" t="s">
        <v>503</v>
      </c>
      <c r="D298" s="60" t="str">
        <f>INDEX(Vectors[Description], MATCH([Vector], Vectors[Code], 0))</f>
        <v>India Land area</v>
      </c>
      <c r="E298" s="60" t="str">
        <f>Preferences.AreaUnits</f>
        <v>ha</v>
      </c>
      <c r="F298" s="129">
        <f>F259</f>
        <v>22714</v>
      </c>
      <c r="G298" s="129">
        <f t="shared" ref="G298:O298" si="93">G259</f>
        <v>34631.454100000003</v>
      </c>
      <c r="H298" s="129">
        <f t="shared" si="93"/>
        <v>48555.728530489076</v>
      </c>
      <c r="I298" s="129">
        <f t="shared" si="93"/>
        <v>45960.847930489079</v>
      </c>
      <c r="J298" s="129">
        <f t="shared" si="93"/>
        <v>42210.267930489077</v>
      </c>
      <c r="K298" s="129">
        <f t="shared" si="93"/>
        <v>38138.367930489076</v>
      </c>
      <c r="L298" s="129">
        <f t="shared" si="93"/>
        <v>34604.540430489076</v>
      </c>
      <c r="M298" s="129">
        <f t="shared" si="93"/>
        <v>30341.233430489076</v>
      </c>
      <c r="N298" s="129">
        <f t="shared" si="93"/>
        <v>27159.888430489078</v>
      </c>
      <c r="O298" s="129">
        <f t="shared" si="93"/>
        <v>16661.865430489081</v>
      </c>
      <c r="P298" s="166"/>
    </row>
    <row r="299" spans="1:16" s="585" customFormat="1" ht="15.75">
      <c r="A299" s="3"/>
      <c r="C299" s="60"/>
      <c r="D299" s="60"/>
      <c r="E299" s="60"/>
      <c r="F299" s="129"/>
      <c r="G299" s="129"/>
      <c r="H299" s="129"/>
      <c r="I299" s="129"/>
      <c r="J299" s="129"/>
      <c r="K299" s="129"/>
      <c r="L299" s="129"/>
      <c r="M299" s="129"/>
      <c r="N299" s="129"/>
      <c r="O299" s="129"/>
      <c r="P299" s="166"/>
    </row>
    <row r="300" spans="1:16" s="585" customFormat="1" ht="15.75">
      <c r="A300" s="3"/>
      <c r="C300" s="60"/>
      <c r="D300" s="60"/>
      <c r="E300" s="60"/>
      <c r="F300" s="129"/>
      <c r="G300" s="129"/>
      <c r="H300" s="129"/>
      <c r="I300" s="129"/>
      <c r="J300" s="129"/>
      <c r="K300" s="129"/>
      <c r="L300" s="129"/>
      <c r="M300" s="129"/>
      <c r="N300" s="129"/>
      <c r="O300" s="129"/>
      <c r="P300" s="166"/>
    </row>
    <row r="301" spans="1:16" s="585" customFormat="1" ht="15.75">
      <c r="A301" s="3"/>
      <c r="C301" s="60"/>
      <c r="D301" s="60"/>
      <c r="E301" s="60"/>
      <c r="F301" s="60"/>
      <c r="G301" s="60"/>
      <c r="H301" s="60"/>
      <c r="I301" s="60"/>
      <c r="J301" s="60"/>
      <c r="K301" s="60"/>
      <c r="L301" s="60"/>
      <c r="M301" s="60"/>
      <c r="N301" s="60"/>
      <c r="O301" s="60"/>
      <c r="P301" s="166"/>
    </row>
    <row r="302" spans="1:16" s="585" customFormat="1" ht="15.75">
      <c r="A302" s="3"/>
      <c r="C302" s="60"/>
      <c r="D302" s="60"/>
      <c r="E302" s="60"/>
      <c r="F302" s="60"/>
      <c r="G302" s="60"/>
      <c r="H302" s="60"/>
      <c r="I302" s="60"/>
      <c r="J302" s="60"/>
      <c r="K302" s="60"/>
      <c r="L302" s="60"/>
      <c r="M302" s="60"/>
      <c r="N302" s="60"/>
      <c r="O302" s="60"/>
      <c r="P302" s="166"/>
    </row>
    <row r="303" spans="1:16" s="585" customFormat="1" ht="15.75">
      <c r="A303" s="3"/>
      <c r="C303" s="60"/>
      <c r="D303" s="60"/>
      <c r="E303" s="60"/>
      <c r="F303" s="60"/>
      <c r="G303" s="60"/>
      <c r="H303" s="60"/>
      <c r="I303" s="60"/>
      <c r="J303" s="60"/>
      <c r="K303" s="60"/>
      <c r="L303" s="60"/>
      <c r="M303" s="60"/>
      <c r="N303" s="60"/>
      <c r="O303" s="60"/>
      <c r="P303" s="166"/>
    </row>
    <row r="304" spans="1:16" s="585" customFormat="1" ht="15.75">
      <c r="A304" s="3"/>
      <c r="C304" s="60"/>
      <c r="D304" s="60"/>
      <c r="E304" s="60"/>
      <c r="F304" s="60"/>
      <c r="G304" s="60"/>
      <c r="H304" s="60"/>
      <c r="I304" s="60"/>
      <c r="J304" s="60"/>
      <c r="K304" s="60"/>
      <c r="L304" s="60"/>
      <c r="M304" s="60"/>
      <c r="N304" s="60"/>
      <c r="O304" s="60"/>
      <c r="P304" s="166"/>
    </row>
    <row r="305" spans="1:16" s="585" customFormat="1" ht="15.75">
      <c r="A305" s="3"/>
      <c r="C305" s="563"/>
      <c r="D305" s="563"/>
      <c r="E305" s="563"/>
      <c r="F305" s="563"/>
      <c r="G305" s="563"/>
      <c r="H305" s="563"/>
      <c r="I305" s="563"/>
      <c r="J305" s="563"/>
      <c r="K305" s="563"/>
      <c r="L305" s="563"/>
      <c r="M305" s="563"/>
      <c r="N305" s="563"/>
      <c r="O305" s="563"/>
      <c r="P305" s="166"/>
    </row>
    <row r="306" spans="1:16">
      <c r="B306" s="605"/>
    </row>
    <row r="307" spans="1:16" ht="15.75">
      <c r="B307" s="216" t="s">
        <v>281</v>
      </c>
      <c r="C307" s="183"/>
      <c r="D307" s="184"/>
      <c r="E307" s="184"/>
      <c r="F307" s="184"/>
      <c r="G307" s="184"/>
      <c r="H307" s="184"/>
      <c r="I307" s="184"/>
      <c r="J307" s="184"/>
      <c r="K307" s="184"/>
      <c r="L307" s="184"/>
      <c r="M307" s="184"/>
      <c r="N307" s="184"/>
      <c r="O307" s="184"/>
      <c r="P307" s="185"/>
    </row>
    <row r="308" spans="1:16">
      <c r="B308" s="190"/>
      <c r="C308" s="191"/>
      <c r="D308" s="191"/>
      <c r="E308" s="191"/>
      <c r="F308" s="191"/>
      <c r="G308" s="191"/>
      <c r="H308" s="191"/>
      <c r="I308" s="191"/>
      <c r="J308" s="191"/>
      <c r="K308" s="191"/>
      <c r="L308" s="191"/>
      <c r="M308" s="191"/>
      <c r="N308" s="191"/>
      <c r="O308" s="191"/>
      <c r="P308" s="192"/>
    </row>
    <row r="309" spans="1:16" ht="14.25">
      <c r="B309" s="193"/>
      <c r="C309" s="186" t="s">
        <v>1815</v>
      </c>
      <c r="D309" s="187"/>
      <c r="E309" s="188"/>
      <c r="F309" s="187"/>
      <c r="G309" s="188"/>
      <c r="H309" s="187"/>
      <c r="I309" s="187"/>
      <c r="J309" s="187"/>
      <c r="K309" s="187"/>
      <c r="L309" s="187"/>
      <c r="M309" s="187"/>
      <c r="N309" s="187"/>
      <c r="O309" s="1625" t="s">
        <v>1816</v>
      </c>
      <c r="P309" s="194"/>
    </row>
    <row r="310" spans="1:16">
      <c r="B310" s="193"/>
      <c r="C310" s="187"/>
      <c r="D310" s="187"/>
      <c r="E310" s="187"/>
      <c r="F310" s="187"/>
      <c r="G310" s="187"/>
      <c r="H310" s="187"/>
      <c r="I310" s="187"/>
      <c r="J310" s="187"/>
      <c r="K310" s="187"/>
      <c r="L310" s="187"/>
      <c r="M310" s="187"/>
      <c r="N310" s="187"/>
      <c r="O310" s="187"/>
      <c r="P310" s="194"/>
    </row>
    <row r="311" spans="1:16" ht="15.75">
      <c r="B311" s="195"/>
      <c r="C311" s="221" t="s">
        <v>365</v>
      </c>
      <c r="D311" s="221" t="s">
        <v>337</v>
      </c>
      <c r="E311" s="221" t="s">
        <v>156</v>
      </c>
      <c r="F311" s="2373" t="s">
        <v>203</v>
      </c>
      <c r="G311" s="2373" t="s">
        <v>712</v>
      </c>
      <c r="H311" s="2373" t="s">
        <v>713</v>
      </c>
      <c r="I311" s="2373" t="s">
        <v>714</v>
      </c>
      <c r="J311" s="2373" t="s">
        <v>715</v>
      </c>
      <c r="K311" s="2373" t="s">
        <v>716</v>
      </c>
      <c r="L311" s="2373" t="s">
        <v>717</v>
      </c>
      <c r="M311" s="2373" t="s">
        <v>718</v>
      </c>
      <c r="N311" s="2373" t="s">
        <v>719</v>
      </c>
      <c r="O311" s="2373" t="s">
        <v>720</v>
      </c>
      <c r="P311" s="605"/>
    </row>
    <row r="312" spans="1:16" ht="15.75">
      <c r="B312" s="195"/>
      <c r="C312" s="189" t="s">
        <v>350</v>
      </c>
      <c r="D312" s="196" t="s">
        <v>359</v>
      </c>
      <c r="E312" s="189"/>
      <c r="F312" s="2374">
        <f t="shared" ref="F312:O314" si="94">F264</f>
        <v>519.7851663000888</v>
      </c>
      <c r="G312" s="2374">
        <f t="shared" si="94"/>
        <v>752.14001201494796</v>
      </c>
      <c r="H312" s="2374">
        <f t="shared" si="94"/>
        <v>1026.228682387389</v>
      </c>
      <c r="I312" s="2374">
        <f t="shared" si="94"/>
        <v>971.83729218005976</v>
      </c>
      <c r="J312" s="2374">
        <f t="shared" si="94"/>
        <v>888.30251031986131</v>
      </c>
      <c r="K312" s="2374">
        <f t="shared" si="94"/>
        <v>799.73891947815002</v>
      </c>
      <c r="L312" s="2374">
        <f t="shared" si="94"/>
        <v>733.4388744389438</v>
      </c>
      <c r="M312" s="2374">
        <f t="shared" si="94"/>
        <v>649.43128800947147</v>
      </c>
      <c r="N312" s="2374">
        <f t="shared" si="94"/>
        <v>576.47746414988546</v>
      </c>
      <c r="O312" s="2374">
        <f t="shared" si="94"/>
        <v>335.07172984178004</v>
      </c>
      <c r="P312" s="194"/>
    </row>
    <row r="313" spans="1:16" ht="15.75">
      <c r="B313" s="195"/>
      <c r="C313" s="189" t="s">
        <v>351</v>
      </c>
      <c r="D313" s="196" t="s">
        <v>359</v>
      </c>
      <c r="E313" s="189"/>
      <c r="F313" s="2374">
        <f t="shared" si="94"/>
        <v>0</v>
      </c>
      <c r="G313" s="2374">
        <f t="shared" si="94"/>
        <v>0</v>
      </c>
      <c r="H313" s="2374">
        <f t="shared" si="94"/>
        <v>0</v>
      </c>
      <c r="I313" s="2374">
        <f t="shared" si="94"/>
        <v>0</v>
      </c>
      <c r="J313" s="2374">
        <f t="shared" si="94"/>
        <v>0</v>
      </c>
      <c r="K313" s="2374">
        <f t="shared" si="94"/>
        <v>0</v>
      </c>
      <c r="L313" s="2374">
        <f t="shared" si="94"/>
        <v>0</v>
      </c>
      <c r="M313" s="2374">
        <f t="shared" si="94"/>
        <v>0</v>
      </c>
      <c r="N313" s="2374">
        <f t="shared" si="94"/>
        <v>0</v>
      </c>
      <c r="O313" s="2374">
        <f t="shared" si="94"/>
        <v>0</v>
      </c>
      <c r="P313" s="194"/>
    </row>
    <row r="314" spans="1:16" ht="15.75">
      <c r="B314" s="195"/>
      <c r="C314" s="189" t="s">
        <v>352</v>
      </c>
      <c r="D314" s="196" t="s">
        <v>359</v>
      </c>
      <c r="E314" s="189"/>
      <c r="F314" s="2374">
        <f t="shared" si="94"/>
        <v>0</v>
      </c>
      <c r="G314" s="2374">
        <f t="shared" si="94"/>
        <v>0</v>
      </c>
      <c r="H314" s="2374">
        <f t="shared" si="94"/>
        <v>0</v>
      </c>
      <c r="I314" s="2374">
        <f t="shared" si="94"/>
        <v>0</v>
      </c>
      <c r="J314" s="2374">
        <f t="shared" si="94"/>
        <v>0</v>
      </c>
      <c r="K314" s="2374">
        <f t="shared" si="94"/>
        <v>0</v>
      </c>
      <c r="L314" s="2374">
        <f t="shared" si="94"/>
        <v>0</v>
      </c>
      <c r="M314" s="2374">
        <f t="shared" si="94"/>
        <v>0</v>
      </c>
      <c r="N314" s="2374">
        <f t="shared" si="94"/>
        <v>0</v>
      </c>
      <c r="O314" s="2374">
        <f t="shared" si="94"/>
        <v>0</v>
      </c>
      <c r="P314" s="194"/>
    </row>
    <row r="315" spans="1:16" ht="15.75">
      <c r="B315" s="195"/>
      <c r="C315" s="189" t="s">
        <v>103</v>
      </c>
      <c r="D315" s="189"/>
      <c r="E315" s="189"/>
      <c r="F315" s="223">
        <f>SUBTOTAL(109,[2007])</f>
        <v>519.7851663000888</v>
      </c>
      <c r="G315" s="223">
        <f>SUBTOTAL(109,[2012])</f>
        <v>752.14001201494796</v>
      </c>
      <c r="H315" s="223">
        <f>SUBTOTAL(109,[2017])</f>
        <v>1026.228682387389</v>
      </c>
      <c r="I315" s="223">
        <f>SUBTOTAL(109,[2022])</f>
        <v>971.83729218005976</v>
      </c>
      <c r="J315" s="223">
        <f>SUBTOTAL(109,[2027])</f>
        <v>888.30251031986131</v>
      </c>
      <c r="K315" s="223">
        <f>SUBTOTAL(109,[2032])</f>
        <v>799.73891947815002</v>
      </c>
      <c r="L315" s="223">
        <f>SUBTOTAL(109,[2037])</f>
        <v>733.4388744389438</v>
      </c>
      <c r="M315" s="223">
        <f>SUBTOTAL(109,[2042])</f>
        <v>649.43128800947147</v>
      </c>
      <c r="N315" s="223">
        <f>SUBTOTAL(109,[2047])</f>
        <v>576.47746414988546</v>
      </c>
      <c r="O315" s="223">
        <f>SUBTOTAL(109,[2052])</f>
        <v>335.07172984178004</v>
      </c>
      <c r="P315" s="194"/>
    </row>
  </sheetData>
  <pageMargins left="0.7" right="0.7" top="0.75" bottom="0.75" header="0.3" footer="0.3"/>
  <pageSetup paperSize="9" orientation="portrait"/>
  <legacyDrawing r:id="rId1"/>
  <tableParts count="4">
    <tablePart r:id="rId2"/>
    <tablePart r:id="rId3"/>
    <tablePart r:id="rId4"/>
    <tablePart r:id="rId5"/>
  </tablePart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tabColor theme="9"/>
    <outlinePr summaryBelow="0"/>
    <pageSetUpPr autoPageBreaks="0"/>
  </sheetPr>
  <dimension ref="A1:R240"/>
  <sheetViews>
    <sheetView showGridLines="0" topLeftCell="A183" workbookViewId="0">
      <selection activeCell="E192" sqref="E192"/>
    </sheetView>
  </sheetViews>
  <sheetFormatPr defaultColWidth="8.85546875" defaultRowHeight="12.75"/>
  <cols>
    <col min="1" max="1" width="7.7109375" style="623"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10.7109375" style="605" customWidth="1"/>
    <col min="17" max="17" width="10.85546875" style="605" customWidth="1"/>
    <col min="18" max="16384" width="8.85546875" style="605"/>
  </cols>
  <sheetData>
    <row r="1" spans="1:16" ht="21">
      <c r="A1" s="743" t="s">
        <v>60</v>
      </c>
      <c r="B1" s="77" t="str">
        <f>INDEX(Workstreams[Workstream], MATCH($A1, Workstreams[Code], 0))</f>
        <v>Hydrocarbon fuel power generation</v>
      </c>
      <c r="C1" s="77"/>
    </row>
    <row r="2" spans="1:16" s="51" customFormat="1" ht="19.5" customHeight="1">
      <c r="A2" s="744" t="s">
        <v>696</v>
      </c>
      <c r="B2" s="6" t="str">
        <f>INDEX(Modules[Module], MATCH($A2, Modules[Code], 0))</f>
        <v>Carbon Capture Storage (CCS)</v>
      </c>
      <c r="C2" s="6"/>
      <c r="E2" s="404"/>
    </row>
    <row r="4" spans="1:16" ht="22.5">
      <c r="A4" s="745"/>
      <c r="B4" s="206" t="s">
        <v>416</v>
      </c>
      <c r="C4" s="174"/>
      <c r="D4" s="175"/>
      <c r="E4" s="176"/>
      <c r="F4" s="175"/>
      <c r="G4" s="175"/>
      <c r="H4" s="175"/>
      <c r="I4" s="175"/>
      <c r="J4" s="175"/>
      <c r="K4" s="175"/>
      <c r="L4" s="175"/>
      <c r="M4" s="175"/>
      <c r="N4" s="175"/>
      <c r="O4" s="175"/>
      <c r="P4" s="177"/>
    </row>
    <row r="5" spans="1:16">
      <c r="B5" s="164"/>
      <c r="C5" s="165"/>
      <c r="D5" s="166"/>
      <c r="E5" s="167"/>
      <c r="F5" s="166"/>
      <c r="G5" s="166"/>
      <c r="H5" s="166"/>
      <c r="I5" s="166"/>
      <c r="J5" s="166"/>
      <c r="K5" s="166"/>
      <c r="L5" s="166"/>
      <c r="M5" s="166"/>
      <c r="N5" s="166"/>
      <c r="O5" s="166"/>
      <c r="P5" s="168"/>
    </row>
    <row r="6" spans="1:16" ht="15.75">
      <c r="B6" s="169"/>
      <c r="C6" s="166"/>
      <c r="D6" s="1700" t="s">
        <v>274</v>
      </c>
      <c r="E6" s="1700" t="s">
        <v>411</v>
      </c>
      <c r="F6" s="166"/>
      <c r="G6" s="166"/>
      <c r="H6" s="166"/>
      <c r="I6" s="166"/>
      <c r="J6" s="166"/>
      <c r="K6" s="166"/>
      <c r="L6" s="166"/>
      <c r="M6" s="166"/>
      <c r="N6" s="166"/>
      <c r="O6" s="166"/>
      <c r="P6" s="168"/>
    </row>
    <row r="7" spans="1:16" ht="15.75">
      <c r="B7" s="169"/>
      <c r="C7" s="166"/>
      <c r="D7" s="60" t="s">
        <v>414</v>
      </c>
      <c r="E7" s="2263">
        <f>I.c.scenario</f>
        <v>1</v>
      </c>
      <c r="F7" s="166"/>
      <c r="G7" s="166"/>
      <c r="H7" s="166"/>
      <c r="I7" s="166"/>
      <c r="J7" s="166"/>
      <c r="K7" s="166"/>
      <c r="L7" s="166"/>
      <c r="M7" s="166"/>
      <c r="N7" s="166"/>
      <c r="O7" s="166"/>
      <c r="P7" s="168"/>
    </row>
    <row r="8" spans="1:16" ht="15.75">
      <c r="B8" s="169"/>
      <c r="C8" s="166"/>
      <c r="D8" s="226" t="s">
        <v>1782</v>
      </c>
      <c r="E8" s="2208">
        <f>I.c.scenario.fuelmix</f>
        <v>1</v>
      </c>
      <c r="F8" s="166"/>
      <c r="G8" s="166"/>
      <c r="H8" s="166"/>
      <c r="I8" s="166"/>
      <c r="J8" s="166"/>
      <c r="K8" s="166"/>
      <c r="L8" s="166"/>
      <c r="M8" s="166"/>
      <c r="N8" s="166"/>
      <c r="O8" s="166"/>
      <c r="P8" s="168"/>
    </row>
    <row r="9" spans="1:16" ht="15.75">
      <c r="B9" s="170"/>
      <c r="C9" s="171"/>
      <c r="D9" s="171"/>
      <c r="E9" s="171"/>
      <c r="F9" s="172"/>
      <c r="G9" s="172"/>
      <c r="H9" s="172"/>
      <c r="I9" s="172"/>
      <c r="J9" s="172"/>
      <c r="K9" s="172"/>
      <c r="L9" s="172"/>
      <c r="M9" s="172"/>
      <c r="N9" s="172"/>
      <c r="O9" s="172"/>
      <c r="P9" s="173"/>
    </row>
    <row r="11" spans="1:16">
      <c r="B11" s="208"/>
    </row>
    <row r="12" spans="1:16" ht="22.5">
      <c r="A12" s="745"/>
      <c r="B12" s="421" t="s">
        <v>413</v>
      </c>
      <c r="C12" s="159"/>
      <c r="D12" s="159"/>
      <c r="E12" s="159"/>
      <c r="F12" s="159"/>
      <c r="G12" s="159"/>
      <c r="H12" s="159"/>
      <c r="I12" s="159"/>
      <c r="J12" s="159"/>
      <c r="K12" s="159"/>
      <c r="L12" s="159"/>
      <c r="M12" s="159"/>
      <c r="N12" s="159"/>
      <c r="O12" s="159"/>
      <c r="P12" s="160"/>
    </row>
    <row r="13" spans="1:16">
      <c r="B13" s="210"/>
      <c r="C13" s="198"/>
      <c r="D13" s="198"/>
      <c r="E13" s="198"/>
      <c r="F13" s="198"/>
      <c r="G13" s="198">
        <f>Unit.GW</f>
        <v>1</v>
      </c>
      <c r="H13" s="198"/>
      <c r="I13" s="198"/>
      <c r="J13" s="198"/>
      <c r="K13" s="198"/>
      <c r="L13" s="198"/>
      <c r="M13" s="198"/>
      <c r="N13" s="198"/>
      <c r="O13" s="198"/>
      <c r="P13" s="199"/>
    </row>
    <row r="14" spans="1:16">
      <c r="B14" s="211"/>
      <c r="C14" s="2209" t="s">
        <v>1752</v>
      </c>
      <c r="D14" s="415"/>
      <c r="E14" s="104"/>
      <c r="F14" s="415"/>
      <c r="G14" s="415"/>
      <c r="H14" s="415"/>
      <c r="I14" s="415"/>
      <c r="J14" s="415"/>
      <c r="K14" s="415"/>
      <c r="L14" s="415"/>
      <c r="M14" s="415"/>
      <c r="N14" s="415"/>
      <c r="O14" s="104" t="str">
        <f>Preferences.PowerUnits</f>
        <v>GW</v>
      </c>
      <c r="P14" s="419"/>
    </row>
    <row r="15" spans="1:16" ht="5.25" customHeight="1">
      <c r="B15" s="211"/>
      <c r="C15" s="415"/>
      <c r="D15" s="415"/>
      <c r="E15" s="415"/>
      <c r="F15" s="415"/>
      <c r="G15" s="415"/>
      <c r="H15" s="415"/>
      <c r="I15" s="415"/>
      <c r="J15" s="415"/>
      <c r="K15" s="415"/>
      <c r="L15" s="415"/>
      <c r="M15" s="415"/>
      <c r="N15" s="415"/>
      <c r="O15" s="415"/>
      <c r="P15" s="419"/>
    </row>
    <row r="16" spans="1:16" ht="15.75">
      <c r="B16" s="212"/>
      <c r="C16" s="61" t="s">
        <v>411</v>
      </c>
      <c r="D16" s="61" t="s">
        <v>65</v>
      </c>
      <c r="E16" s="61" t="s">
        <v>156</v>
      </c>
      <c r="F16" s="238">
        <v>2007</v>
      </c>
      <c r="G16" s="119">
        <v>2012</v>
      </c>
      <c r="H16" s="119">
        <v>2017</v>
      </c>
      <c r="I16" s="119">
        <v>2022</v>
      </c>
      <c r="J16" s="119">
        <v>2027</v>
      </c>
      <c r="K16" s="119">
        <v>2032</v>
      </c>
      <c r="L16" s="119">
        <v>2037</v>
      </c>
      <c r="M16" s="119">
        <v>2042</v>
      </c>
      <c r="N16" s="119">
        <v>2047</v>
      </c>
      <c r="O16" s="119">
        <v>2052</v>
      </c>
      <c r="P16" s="2210"/>
    </row>
    <row r="17" spans="2:16" ht="15.75">
      <c r="B17" s="213"/>
      <c r="C17" s="413">
        <v>1</v>
      </c>
      <c r="D17" s="414"/>
      <c r="E17" s="96"/>
      <c r="F17" s="198">
        <f>0*(Unit.GW)</f>
        <v>0</v>
      </c>
      <c r="G17" s="198">
        <f>0*(Unit.GW)</f>
        <v>0</v>
      </c>
      <c r="H17" s="198">
        <f>0*(Unit.GW)</f>
        <v>0</v>
      </c>
      <c r="I17" s="198">
        <f>0*(Unit.GW)</f>
        <v>0</v>
      </c>
      <c r="J17" s="198">
        <f>0*(Unit.GW)</f>
        <v>0</v>
      </c>
      <c r="K17" s="198">
        <f>1*(Unit.GW)</f>
        <v>1</v>
      </c>
      <c r="L17" s="198">
        <f>2*(Unit.GW)</f>
        <v>2</v>
      </c>
      <c r="M17" s="198">
        <f>5*(Unit.GW)</f>
        <v>5</v>
      </c>
      <c r="N17" s="198">
        <f>7*(Unit.GW)</f>
        <v>7</v>
      </c>
      <c r="O17" s="198">
        <f>10*(Unit.GW)</f>
        <v>10</v>
      </c>
      <c r="P17" s="154"/>
    </row>
    <row r="18" spans="2:16" ht="15.75">
      <c r="B18" s="212"/>
      <c r="C18" s="413">
        <v>2</v>
      </c>
      <c r="D18" s="414"/>
      <c r="E18" s="414"/>
      <c r="F18" s="198">
        <f>0*(Unit.GW)</f>
        <v>0</v>
      </c>
      <c r="G18" s="198">
        <f>0*(Unit.GW)</f>
        <v>0</v>
      </c>
      <c r="H18" s="198">
        <f>0*(Unit.GW)</f>
        <v>0</v>
      </c>
      <c r="I18" s="198">
        <f>1*(Unit.GW)</f>
        <v>1</v>
      </c>
      <c r="J18" s="198">
        <f>5*(Unit.GW)</f>
        <v>5</v>
      </c>
      <c r="K18" s="198">
        <f>15*(Unit.GW)</f>
        <v>15</v>
      </c>
      <c r="L18" s="198">
        <f>20*(Unit.GW)</f>
        <v>20</v>
      </c>
      <c r="M18" s="198">
        <f>30*(Unit.GW)</f>
        <v>30</v>
      </c>
      <c r="N18" s="198">
        <f>35*(Unit.GW)</f>
        <v>35</v>
      </c>
      <c r="O18" s="198">
        <f>40*(Unit.GW)</f>
        <v>40</v>
      </c>
      <c r="P18" s="419"/>
    </row>
    <row r="19" spans="2:16" ht="15.75">
      <c r="B19" s="212"/>
      <c r="C19" s="413">
        <v>3</v>
      </c>
      <c r="D19" s="414"/>
      <c r="E19" s="414"/>
      <c r="F19" s="198">
        <f>0*(Unit.GW)</f>
        <v>0</v>
      </c>
      <c r="G19" s="198">
        <f>0*(Unit.GW)</f>
        <v>0</v>
      </c>
      <c r="H19" s="198">
        <f>1*(Unit.GW)</f>
        <v>1</v>
      </c>
      <c r="I19" s="198">
        <f>3*(Unit.GW)</f>
        <v>3</v>
      </c>
      <c r="J19" s="198">
        <f>10*(Unit.GW)</f>
        <v>10</v>
      </c>
      <c r="K19" s="198">
        <f>30*(Unit.GW)</f>
        <v>30</v>
      </c>
      <c r="L19" s="198">
        <f>45*(Unit.GW)</f>
        <v>45</v>
      </c>
      <c r="M19" s="198">
        <f>55*(Unit.GW)</f>
        <v>55</v>
      </c>
      <c r="N19" s="198">
        <f>70*(Unit.GW)</f>
        <v>70</v>
      </c>
      <c r="O19" s="198">
        <f>88*(Unit.GW)</f>
        <v>88</v>
      </c>
      <c r="P19" s="419"/>
    </row>
    <row r="20" spans="2:16" ht="15.75">
      <c r="B20" s="212"/>
      <c r="C20" s="411">
        <v>4</v>
      </c>
      <c r="D20" s="65"/>
      <c r="E20" s="65"/>
      <c r="F20" s="198">
        <f>0*(Unit.GW)</f>
        <v>0</v>
      </c>
      <c r="G20" s="198">
        <f>0*(Unit.GW)</f>
        <v>0</v>
      </c>
      <c r="H20" s="198">
        <f>2*(Unit.GW)</f>
        <v>2</v>
      </c>
      <c r="I20" s="198">
        <f>5*(Unit.GW)</f>
        <v>5</v>
      </c>
      <c r="J20" s="198">
        <f>25*(Unit.GW)</f>
        <v>25</v>
      </c>
      <c r="K20" s="198">
        <f>45*(Unit.GW)</f>
        <v>45</v>
      </c>
      <c r="L20" s="198">
        <f>55*(Unit.GW)</f>
        <v>55</v>
      </c>
      <c r="M20" s="198">
        <f>70*(Unit.GW)</f>
        <v>70</v>
      </c>
      <c r="N20" s="198">
        <f>88*(Unit.GW)</f>
        <v>88</v>
      </c>
      <c r="O20" s="198">
        <f>100*(Unit.GW)</f>
        <v>100</v>
      </c>
      <c r="P20" s="419"/>
    </row>
    <row r="21" spans="2:16" ht="15.75">
      <c r="B21" s="152"/>
      <c r="C21" s="542" t="s">
        <v>406</v>
      </c>
      <c r="D21" s="407"/>
      <c r="E21" s="407"/>
      <c r="F21" s="408">
        <f t="shared" ref="F21:O21" si="0">(INDEX(F$17:F$20,ROUNDDOWN($E$7,0))*(1-MOD($E$7,1)))+(INDEX(F$17:F$20,ROUNDUP($E$7,0))*MOD($E$7,1))</f>
        <v>0</v>
      </c>
      <c r="G21" s="610">
        <f t="shared" si="0"/>
        <v>0</v>
      </c>
      <c r="H21" s="408">
        <f t="shared" si="0"/>
        <v>0</v>
      </c>
      <c r="I21" s="408">
        <f t="shared" si="0"/>
        <v>0</v>
      </c>
      <c r="J21" s="408">
        <f t="shared" si="0"/>
        <v>0</v>
      </c>
      <c r="K21" s="408">
        <f t="shared" si="0"/>
        <v>1</v>
      </c>
      <c r="L21" s="408">
        <f t="shared" si="0"/>
        <v>2</v>
      </c>
      <c r="M21" s="408">
        <f t="shared" si="0"/>
        <v>5</v>
      </c>
      <c r="N21" s="408">
        <f t="shared" si="0"/>
        <v>7</v>
      </c>
      <c r="O21" s="654">
        <f t="shared" si="0"/>
        <v>10</v>
      </c>
      <c r="P21" s="419"/>
    </row>
    <row r="22" spans="2:16">
      <c r="B22" s="214"/>
      <c r="C22" s="415"/>
      <c r="D22" s="105"/>
      <c r="E22" s="415"/>
      <c r="F22" s="415"/>
      <c r="G22" s="415"/>
      <c r="H22" s="415"/>
      <c r="I22" s="415"/>
      <c r="J22" s="415"/>
      <c r="K22" s="415"/>
      <c r="L22" s="415"/>
      <c r="M22" s="415"/>
      <c r="N22" s="415"/>
      <c r="O22" s="415"/>
      <c r="P22" s="419"/>
    </row>
    <row r="23" spans="2:16">
      <c r="B23" s="214"/>
      <c r="C23" s="2209" t="s">
        <v>1419</v>
      </c>
      <c r="D23" s="415"/>
      <c r="E23" s="104"/>
      <c r="F23" s="415"/>
      <c r="G23" s="415"/>
      <c r="H23" s="415"/>
      <c r="I23" s="415"/>
      <c r="J23" s="415"/>
      <c r="K23" s="415"/>
      <c r="L23" s="415"/>
      <c r="M23" s="415"/>
      <c r="N23" s="415"/>
      <c r="O23" s="104" t="str">
        <f>Preferences.PowerUnits&amp;"/year"</f>
        <v>GW/year</v>
      </c>
      <c r="P23" s="419"/>
    </row>
    <row r="24" spans="2:16" ht="5.25" customHeight="1">
      <c r="B24" s="214"/>
      <c r="C24" s="415"/>
      <c r="D24" s="415"/>
      <c r="E24" s="415"/>
      <c r="F24" s="415"/>
      <c r="G24" s="415"/>
      <c r="H24" s="415"/>
      <c r="I24" s="415"/>
      <c r="J24" s="415"/>
      <c r="K24" s="415"/>
      <c r="L24" s="415"/>
      <c r="M24" s="415"/>
      <c r="N24" s="415"/>
      <c r="O24" s="415"/>
      <c r="P24" s="419"/>
    </row>
    <row r="25" spans="2:16" ht="15.75">
      <c r="B25" s="212"/>
      <c r="C25" s="61" t="s">
        <v>411</v>
      </c>
      <c r="D25" s="61" t="s">
        <v>65</v>
      </c>
      <c r="E25" s="61" t="s">
        <v>156</v>
      </c>
      <c r="F25" s="238">
        <v>2007</v>
      </c>
      <c r="G25" s="119">
        <v>2012</v>
      </c>
      <c r="H25" s="119">
        <v>2017</v>
      </c>
      <c r="I25" s="119">
        <v>2022</v>
      </c>
      <c r="J25" s="119">
        <v>2027</v>
      </c>
      <c r="K25" s="119">
        <v>2032</v>
      </c>
      <c r="L25" s="119">
        <v>2037</v>
      </c>
      <c r="M25" s="119">
        <v>2042</v>
      </c>
      <c r="N25" s="119">
        <v>2047</v>
      </c>
      <c r="O25" s="119">
        <v>2052</v>
      </c>
      <c r="P25" s="419"/>
    </row>
    <row r="26" spans="2:16" ht="15.75">
      <c r="B26" s="212"/>
      <c r="C26" s="413">
        <v>1</v>
      </c>
      <c r="D26" s="414"/>
      <c r="E26" s="96"/>
      <c r="F26" s="198">
        <f t="shared" ref="F26:O29" si="1">0*(Unit.GW)</f>
        <v>0</v>
      </c>
      <c r="G26" s="198">
        <f t="shared" si="1"/>
        <v>0</v>
      </c>
      <c r="H26" s="198">
        <f t="shared" si="1"/>
        <v>0</v>
      </c>
      <c r="I26" s="198">
        <f t="shared" si="1"/>
        <v>0</v>
      </c>
      <c r="J26" s="198">
        <f t="shared" si="1"/>
        <v>0</v>
      </c>
      <c r="K26" s="198">
        <f t="shared" si="1"/>
        <v>0</v>
      </c>
      <c r="L26" s="198">
        <f t="shared" si="1"/>
        <v>0</v>
      </c>
      <c r="M26" s="198">
        <f t="shared" si="1"/>
        <v>0</v>
      </c>
      <c r="N26" s="198">
        <f t="shared" si="1"/>
        <v>0</v>
      </c>
      <c r="O26" s="198">
        <f t="shared" si="1"/>
        <v>0</v>
      </c>
      <c r="P26" s="419"/>
    </row>
    <row r="27" spans="2:16" ht="15.75">
      <c r="B27" s="212"/>
      <c r="C27" s="413">
        <v>2</v>
      </c>
      <c r="D27" s="414"/>
      <c r="E27" s="414"/>
      <c r="F27" s="198">
        <f t="shared" si="1"/>
        <v>0</v>
      </c>
      <c r="G27" s="198">
        <f t="shared" si="1"/>
        <v>0</v>
      </c>
      <c r="H27" s="198">
        <f t="shared" si="1"/>
        <v>0</v>
      </c>
      <c r="I27" s="198">
        <f t="shared" si="1"/>
        <v>0</v>
      </c>
      <c r="J27" s="198">
        <f t="shared" si="1"/>
        <v>0</v>
      </c>
      <c r="K27" s="198">
        <f t="shared" si="1"/>
        <v>0</v>
      </c>
      <c r="L27" s="198">
        <f t="shared" si="1"/>
        <v>0</v>
      </c>
      <c r="M27" s="198">
        <f t="shared" si="1"/>
        <v>0</v>
      </c>
      <c r="N27" s="198">
        <f t="shared" si="1"/>
        <v>0</v>
      </c>
      <c r="O27" s="198">
        <f t="shared" si="1"/>
        <v>0</v>
      </c>
      <c r="P27" s="419"/>
    </row>
    <row r="28" spans="2:16" ht="15.75">
      <c r="B28" s="212"/>
      <c r="C28" s="413">
        <v>3</v>
      </c>
      <c r="D28" s="414"/>
      <c r="E28" s="414"/>
      <c r="F28" s="198">
        <f t="shared" si="1"/>
        <v>0</v>
      </c>
      <c r="G28" s="198">
        <f t="shared" si="1"/>
        <v>0</v>
      </c>
      <c r="H28" s="198">
        <f t="shared" si="1"/>
        <v>0</v>
      </c>
      <c r="I28" s="198">
        <f t="shared" si="1"/>
        <v>0</v>
      </c>
      <c r="J28" s="198">
        <f t="shared" si="1"/>
        <v>0</v>
      </c>
      <c r="K28" s="198">
        <f t="shared" si="1"/>
        <v>0</v>
      </c>
      <c r="L28" s="198">
        <f t="shared" si="1"/>
        <v>0</v>
      </c>
      <c r="M28" s="198">
        <f t="shared" si="1"/>
        <v>0</v>
      </c>
      <c r="N28" s="198">
        <f t="shared" si="1"/>
        <v>0</v>
      </c>
      <c r="O28" s="198">
        <f t="shared" si="1"/>
        <v>0</v>
      </c>
      <c r="P28" s="419"/>
    </row>
    <row r="29" spans="2:16" ht="15.75">
      <c r="B29" s="212"/>
      <c r="C29" s="411">
        <v>4</v>
      </c>
      <c r="D29" s="65"/>
      <c r="E29" s="65"/>
      <c r="F29" s="198">
        <f t="shared" si="1"/>
        <v>0</v>
      </c>
      <c r="G29" s="198">
        <f t="shared" si="1"/>
        <v>0</v>
      </c>
      <c r="H29" s="198">
        <f t="shared" si="1"/>
        <v>0</v>
      </c>
      <c r="I29" s="198">
        <f t="shared" si="1"/>
        <v>0</v>
      </c>
      <c r="J29" s="198">
        <f t="shared" si="1"/>
        <v>0</v>
      </c>
      <c r="K29" s="198">
        <f t="shared" si="1"/>
        <v>0</v>
      </c>
      <c r="L29" s="198">
        <f t="shared" si="1"/>
        <v>0</v>
      </c>
      <c r="M29" s="198">
        <f t="shared" si="1"/>
        <v>0</v>
      </c>
      <c r="N29" s="198">
        <f t="shared" si="1"/>
        <v>0</v>
      </c>
      <c r="O29" s="198">
        <f t="shared" si="1"/>
        <v>0</v>
      </c>
      <c r="P29" s="419"/>
    </row>
    <row r="30" spans="2:16" ht="15.75">
      <c r="B30" s="152"/>
      <c r="C30" s="542" t="s">
        <v>406</v>
      </c>
      <c r="D30" s="407"/>
      <c r="E30" s="407"/>
      <c r="F30" s="408">
        <f t="shared" ref="F30:O30" si="2">(INDEX(F$26:F$29,ROUNDDOWN($E$7,0))*(1-MOD($E$7,1)))+(INDEX(F$26:F$29,ROUNDUP($E$7,0))*MOD($E$7,1))</f>
        <v>0</v>
      </c>
      <c r="G30" s="610">
        <f t="shared" si="2"/>
        <v>0</v>
      </c>
      <c r="H30" s="408">
        <f t="shared" si="2"/>
        <v>0</v>
      </c>
      <c r="I30" s="408">
        <f t="shared" si="2"/>
        <v>0</v>
      </c>
      <c r="J30" s="408">
        <f t="shared" si="2"/>
        <v>0</v>
      </c>
      <c r="K30" s="408">
        <f t="shared" si="2"/>
        <v>0</v>
      </c>
      <c r="L30" s="408">
        <f t="shared" si="2"/>
        <v>0</v>
      </c>
      <c r="M30" s="408">
        <f t="shared" si="2"/>
        <v>0</v>
      </c>
      <c r="N30" s="408">
        <f t="shared" si="2"/>
        <v>0</v>
      </c>
      <c r="O30" s="654">
        <f t="shared" si="2"/>
        <v>0</v>
      </c>
      <c r="P30" s="419"/>
    </row>
    <row r="31" spans="2:16" ht="15.75">
      <c r="B31" s="152"/>
      <c r="C31" s="126"/>
      <c r="D31" s="414"/>
      <c r="E31" s="414"/>
      <c r="F31" s="222"/>
      <c r="G31" s="222"/>
      <c r="H31" s="222"/>
      <c r="I31" s="222"/>
      <c r="J31" s="222">
        <f>J18-I18</f>
        <v>4</v>
      </c>
      <c r="K31" s="222"/>
      <c r="L31" s="222"/>
      <c r="M31" s="222"/>
      <c r="N31" s="222"/>
      <c r="O31" s="137"/>
      <c r="P31" s="419"/>
    </row>
    <row r="32" spans="2:16" ht="15.75">
      <c r="B32" s="152"/>
      <c r="C32" s="416" t="s">
        <v>1783</v>
      </c>
      <c r="D32" s="415"/>
      <c r="E32" s="104"/>
      <c r="F32" s="415"/>
      <c r="G32" s="415"/>
      <c r="H32" s="415"/>
      <c r="I32" s="415"/>
      <c r="J32" s="415"/>
      <c r="K32" s="415"/>
      <c r="L32" s="415"/>
      <c r="M32" s="415"/>
      <c r="N32" s="415"/>
      <c r="O32" s="104" t="str">
        <f>Preferences.PowerUnits&amp;"/year"</f>
        <v>GW/year</v>
      </c>
      <c r="P32" s="419"/>
    </row>
    <row r="33" spans="1:16" ht="15.75">
      <c r="B33" s="152"/>
      <c r="C33" s="61" t="s">
        <v>411</v>
      </c>
      <c r="D33" s="61" t="s">
        <v>65</v>
      </c>
      <c r="E33" s="61" t="s">
        <v>156</v>
      </c>
      <c r="F33" s="238">
        <v>2007</v>
      </c>
      <c r="G33" s="119">
        <v>2012</v>
      </c>
      <c r="H33" s="119">
        <v>2017</v>
      </c>
      <c r="I33" s="119">
        <v>2022</v>
      </c>
      <c r="J33" s="119">
        <v>2027</v>
      </c>
      <c r="K33" s="119">
        <v>2032</v>
      </c>
      <c r="L33" s="119">
        <v>2037</v>
      </c>
      <c r="M33" s="119">
        <v>2042</v>
      </c>
      <c r="N33" s="119">
        <v>2047</v>
      </c>
      <c r="O33" s="119">
        <v>2052</v>
      </c>
      <c r="P33" s="419"/>
    </row>
    <row r="34" spans="1:16" ht="15.75">
      <c r="B34" s="152"/>
      <c r="C34" s="413">
        <v>1</v>
      </c>
      <c r="D34" s="414"/>
      <c r="E34" s="96"/>
      <c r="F34" s="98">
        <v>0</v>
      </c>
      <c r="G34" s="98">
        <v>0</v>
      </c>
      <c r="H34" s="98">
        <f>MAX((H17-G17)/5,0)+H26</f>
        <v>0</v>
      </c>
      <c r="I34" s="98">
        <f t="shared" ref="I34:O34" si="3">MAX((I17-H17)/5,0)+I26</f>
        <v>0</v>
      </c>
      <c r="J34" s="98">
        <f t="shared" si="3"/>
        <v>0</v>
      </c>
      <c r="K34" s="98">
        <f t="shared" si="3"/>
        <v>0.2</v>
      </c>
      <c r="L34" s="98">
        <f t="shared" si="3"/>
        <v>0.2</v>
      </c>
      <c r="M34" s="98">
        <f t="shared" si="3"/>
        <v>0.6</v>
      </c>
      <c r="N34" s="98">
        <f t="shared" si="3"/>
        <v>0.4</v>
      </c>
      <c r="O34" s="98">
        <f t="shared" si="3"/>
        <v>0.6</v>
      </c>
      <c r="P34" s="419"/>
    </row>
    <row r="35" spans="1:16" ht="15.75">
      <c r="B35" s="152"/>
      <c r="C35" s="413">
        <v>2</v>
      </c>
      <c r="D35" s="414"/>
      <c r="E35" s="414"/>
      <c r="F35" s="98">
        <v>0</v>
      </c>
      <c r="G35" s="98">
        <v>0</v>
      </c>
      <c r="H35" s="98">
        <f t="shared" ref="H35:O35" si="4">MAX((H18-G18)/5,0)+H27</f>
        <v>0</v>
      </c>
      <c r="I35" s="98">
        <f t="shared" si="4"/>
        <v>0.2</v>
      </c>
      <c r="J35" s="98">
        <f t="shared" si="4"/>
        <v>0.8</v>
      </c>
      <c r="K35" s="98">
        <f t="shared" si="4"/>
        <v>2</v>
      </c>
      <c r="L35" s="98">
        <f t="shared" si="4"/>
        <v>1</v>
      </c>
      <c r="M35" s="98">
        <f t="shared" si="4"/>
        <v>2</v>
      </c>
      <c r="N35" s="98">
        <f t="shared" si="4"/>
        <v>1</v>
      </c>
      <c r="O35" s="98">
        <f t="shared" si="4"/>
        <v>1</v>
      </c>
      <c r="P35" s="419"/>
    </row>
    <row r="36" spans="1:16" ht="15.75">
      <c r="B36" s="152"/>
      <c r="C36" s="413">
        <v>3</v>
      </c>
      <c r="D36" s="414"/>
      <c r="E36" s="414"/>
      <c r="F36" s="98">
        <v>0</v>
      </c>
      <c r="G36" s="98">
        <v>0</v>
      </c>
      <c r="H36" s="98">
        <f t="shared" ref="H36:O36" si="5">MAX((H19-G19)/5,0)+H28</f>
        <v>0.2</v>
      </c>
      <c r="I36" s="98">
        <f t="shared" si="5"/>
        <v>0.4</v>
      </c>
      <c r="J36" s="98">
        <f t="shared" si="5"/>
        <v>1.4</v>
      </c>
      <c r="K36" s="98">
        <f t="shared" si="5"/>
        <v>4</v>
      </c>
      <c r="L36" s="98">
        <f t="shared" si="5"/>
        <v>3</v>
      </c>
      <c r="M36" s="98">
        <f t="shared" si="5"/>
        <v>2</v>
      </c>
      <c r="N36" s="98">
        <f t="shared" si="5"/>
        <v>3</v>
      </c>
      <c r="O36" s="98">
        <f t="shared" si="5"/>
        <v>3.6</v>
      </c>
      <c r="P36" s="419"/>
    </row>
    <row r="37" spans="1:16" ht="15.75">
      <c r="B37" s="152"/>
      <c r="C37" s="411">
        <v>4</v>
      </c>
      <c r="D37" s="65"/>
      <c r="E37" s="65"/>
      <c r="F37" s="98">
        <v>0</v>
      </c>
      <c r="G37" s="98">
        <v>0</v>
      </c>
      <c r="H37" s="98">
        <f t="shared" ref="H37:O37" si="6">MAX((H20-G20)/5,0)+H29</f>
        <v>0.4</v>
      </c>
      <c r="I37" s="98">
        <f t="shared" si="6"/>
        <v>0.6</v>
      </c>
      <c r="J37" s="98">
        <f t="shared" si="6"/>
        <v>4</v>
      </c>
      <c r="K37" s="98">
        <f t="shared" si="6"/>
        <v>4</v>
      </c>
      <c r="L37" s="98">
        <f t="shared" si="6"/>
        <v>2</v>
      </c>
      <c r="M37" s="98">
        <f t="shared" si="6"/>
        <v>3</v>
      </c>
      <c r="N37" s="98">
        <f t="shared" si="6"/>
        <v>3.6</v>
      </c>
      <c r="O37" s="98">
        <f t="shared" si="6"/>
        <v>2.4</v>
      </c>
      <c r="P37" s="419"/>
    </row>
    <row r="38" spans="1:16" ht="15.75">
      <c r="B38" s="152"/>
      <c r="C38" s="542" t="s">
        <v>406</v>
      </c>
      <c r="D38" s="407"/>
      <c r="E38" s="407"/>
      <c r="F38" s="408">
        <f>(INDEX(F$26:F$29,ROUNDDOWN($E$7,0))*(1-MOD($E$7,1)))+(INDEX(F$26:F$29,ROUNDUP($E$7,0))*MOD($E$7,1))</f>
        <v>0</v>
      </c>
      <c r="G38" s="610">
        <f t="shared" ref="G38:O38" si="7">(INDEX(G$34:G$37,ROUNDDOWN($E$7,0))*(1-MOD($E$7,1)))+(INDEX(G$34:G$37,ROUNDUP($E$7,0))*MOD($E$7,1))</f>
        <v>0</v>
      </c>
      <c r="H38" s="610">
        <f t="shared" si="7"/>
        <v>0</v>
      </c>
      <c r="I38" s="610">
        <f t="shared" si="7"/>
        <v>0</v>
      </c>
      <c r="J38" s="610">
        <f t="shared" si="7"/>
        <v>0</v>
      </c>
      <c r="K38" s="610">
        <f t="shared" si="7"/>
        <v>0.2</v>
      </c>
      <c r="L38" s="610">
        <f t="shared" si="7"/>
        <v>0.2</v>
      </c>
      <c r="M38" s="610">
        <f t="shared" si="7"/>
        <v>0.6</v>
      </c>
      <c r="N38" s="610">
        <f t="shared" si="7"/>
        <v>0.4</v>
      </c>
      <c r="O38" s="610">
        <f t="shared" si="7"/>
        <v>0.6</v>
      </c>
      <c r="P38" s="419"/>
    </row>
    <row r="39" spans="1:16" s="623" customFormat="1" ht="15.75">
      <c r="B39" s="2197"/>
      <c r="C39" s="747"/>
      <c r="D39" s="628"/>
      <c r="E39" s="628"/>
      <c r="F39" s="748"/>
      <c r="G39" s="748"/>
      <c r="H39" s="748"/>
      <c r="I39" s="748"/>
      <c r="J39" s="748"/>
      <c r="K39" s="748"/>
      <c r="L39" s="748"/>
      <c r="M39" s="748"/>
      <c r="N39" s="748"/>
      <c r="O39" s="748"/>
      <c r="P39" s="969"/>
    </row>
    <row r="40" spans="1:16" s="2215" customFormat="1" ht="21.75" customHeight="1">
      <c r="A40" s="630"/>
      <c r="B40" s="2211" t="s">
        <v>1753</v>
      </c>
      <c r="C40" s="2212"/>
      <c r="D40" s="521"/>
      <c r="E40" s="521"/>
      <c r="F40" s="2213"/>
      <c r="G40" s="2213"/>
      <c r="H40" s="2213"/>
      <c r="I40" s="2213"/>
      <c r="J40" s="2213"/>
      <c r="K40" s="2213"/>
      <c r="L40" s="2213"/>
      <c r="M40" s="2213"/>
      <c r="N40" s="2213"/>
      <c r="O40" s="2213"/>
      <c r="P40" s="2214"/>
    </row>
    <row r="41" spans="1:16" ht="15.75">
      <c r="B41" s="152"/>
      <c r="C41" s="126"/>
      <c r="D41" s="414"/>
      <c r="E41" s="414"/>
      <c r="F41" s="222"/>
      <c r="G41" s="222"/>
      <c r="H41" s="222"/>
      <c r="I41" s="222"/>
      <c r="J41" s="222"/>
      <c r="K41" s="222"/>
      <c r="L41" s="222"/>
      <c r="M41" s="222"/>
      <c r="N41" s="222"/>
      <c r="O41" s="222"/>
      <c r="P41" s="419"/>
    </row>
    <row r="42" spans="1:16" ht="15.75">
      <c r="B42" s="152"/>
      <c r="C42" s="2216" t="s">
        <v>411</v>
      </c>
      <c r="D42" s="2216" t="s">
        <v>65</v>
      </c>
      <c r="E42" s="2216" t="s">
        <v>156</v>
      </c>
      <c r="F42" s="2216" t="s">
        <v>102</v>
      </c>
      <c r="G42" s="2216" t="s">
        <v>14</v>
      </c>
      <c r="H42" s="222"/>
      <c r="I42" s="222"/>
      <c r="J42" s="222"/>
      <c r="K42" s="222"/>
      <c r="L42" s="222"/>
      <c r="M42" s="222"/>
      <c r="N42" s="222"/>
      <c r="O42" s="222"/>
      <c r="P42" s="419"/>
    </row>
    <row r="43" spans="1:16" ht="15.75">
      <c r="B43" s="152"/>
      <c r="C43" s="2217">
        <v>1</v>
      </c>
      <c r="D43" s="2218"/>
      <c r="E43" s="2218"/>
      <c r="F43" s="2219">
        <v>1</v>
      </c>
      <c r="G43" s="2219">
        <v>0</v>
      </c>
      <c r="H43" s="222"/>
      <c r="I43" s="222"/>
      <c r="J43" s="222"/>
      <c r="K43" s="222"/>
      <c r="L43" s="222"/>
      <c r="M43" s="222"/>
      <c r="N43" s="222"/>
      <c r="O43" s="222"/>
      <c r="P43" s="419"/>
    </row>
    <row r="44" spans="1:16" ht="15.75">
      <c r="B44" s="152"/>
      <c r="C44" s="2217">
        <v>2</v>
      </c>
      <c r="D44" s="2218"/>
      <c r="E44" s="2218"/>
      <c r="F44" s="2219">
        <v>0.9</v>
      </c>
      <c r="G44" s="2219">
        <v>9.9999999999999978E-2</v>
      </c>
      <c r="H44" s="222"/>
      <c r="I44" s="222"/>
      <c r="J44" s="222"/>
      <c r="K44" s="222"/>
      <c r="L44" s="222"/>
      <c r="M44" s="222"/>
      <c r="N44" s="222"/>
      <c r="O44" s="222"/>
      <c r="P44" s="419"/>
    </row>
    <row r="45" spans="1:16" ht="15.75">
      <c r="B45" s="152"/>
      <c r="C45" s="2217">
        <v>3</v>
      </c>
      <c r="D45" s="2218"/>
      <c r="E45" s="2218"/>
      <c r="F45" s="2219">
        <v>0.9</v>
      </c>
      <c r="G45" s="2219">
        <v>9.9999999999999978E-2</v>
      </c>
      <c r="H45" s="222"/>
      <c r="I45" s="222"/>
      <c r="J45" s="222"/>
      <c r="K45" s="222"/>
      <c r="L45" s="222"/>
      <c r="M45" s="222"/>
      <c r="N45" s="222"/>
      <c r="O45" s="222"/>
      <c r="P45" s="419"/>
    </row>
    <row r="46" spans="1:16" ht="15.75">
      <c r="B46" s="152"/>
      <c r="C46" s="2220">
        <v>4</v>
      </c>
      <c r="D46" s="2221"/>
      <c r="E46" s="2221"/>
      <c r="F46" s="2222">
        <v>0.9</v>
      </c>
      <c r="G46" s="2222">
        <v>9.9999999999999978E-2</v>
      </c>
      <c r="H46" s="222"/>
      <c r="I46" s="222"/>
      <c r="J46" s="222"/>
      <c r="K46" s="222"/>
      <c r="L46" s="222"/>
      <c r="M46" s="222"/>
      <c r="N46" s="222"/>
      <c r="O46" s="222"/>
      <c r="P46" s="419"/>
    </row>
    <row r="47" spans="1:16" ht="15.75">
      <c r="B47" s="152"/>
      <c r="C47" s="2223"/>
      <c r="D47" s="2224" t="s">
        <v>406</v>
      </c>
      <c r="E47" s="2224"/>
      <c r="F47" s="2225">
        <f>(INDEX(F$43:F$46,ROUNDDOWN($E$8,0))*(1-MOD($E$8,1)))+(INDEX(F$43:F$46,ROUNDUP($E$8,0))*MOD($E$8,1))</f>
        <v>1</v>
      </c>
      <c r="G47" s="2225">
        <f>(INDEX(G$43:G$46,ROUNDDOWN($E$8,0))*(1-MOD($E$8,1)))+(INDEX(G$43:G$46,ROUNDUP($E$8,0))*MOD($E$8,1))</f>
        <v>0</v>
      </c>
      <c r="H47" s="222"/>
      <c r="I47" s="222"/>
      <c r="J47" s="222"/>
      <c r="K47" s="222"/>
      <c r="L47" s="222"/>
      <c r="M47" s="222"/>
      <c r="N47" s="222"/>
      <c r="O47" s="222"/>
      <c r="P47" s="419"/>
    </row>
    <row r="48" spans="1:16" s="623" customFormat="1" ht="15.75">
      <c r="B48" s="2197"/>
      <c r="C48" s="2226"/>
      <c r="D48" s="2227"/>
      <c r="E48" s="2227"/>
      <c r="F48" s="2228"/>
      <c r="G48" s="2228"/>
      <c r="H48" s="748"/>
      <c r="I48" s="748"/>
      <c r="J48" s="748"/>
      <c r="K48" s="748"/>
      <c r="L48" s="748"/>
      <c r="M48" s="748"/>
      <c r="N48" s="748"/>
      <c r="O48" s="748"/>
      <c r="P48" s="969"/>
    </row>
    <row r="49" spans="1:16" s="2236" customFormat="1" ht="20.25" customHeight="1">
      <c r="A49" s="2229"/>
      <c r="B49" s="2211" t="s">
        <v>1754</v>
      </c>
      <c r="C49" s="2230"/>
      <c r="D49" s="2231"/>
      <c r="E49" s="2232"/>
      <c r="F49" s="2233"/>
      <c r="G49" s="2233"/>
      <c r="H49" s="2234"/>
      <c r="I49" s="2234"/>
      <c r="J49" s="2234"/>
      <c r="K49" s="2234"/>
      <c r="L49" s="2234"/>
      <c r="M49" s="2234"/>
      <c r="N49" s="2234"/>
      <c r="O49" s="2234"/>
      <c r="P49" s="2235"/>
    </row>
    <row r="50" spans="1:16" ht="15.75">
      <c r="B50" s="152"/>
      <c r="C50" s="2237"/>
      <c r="D50" s="2238"/>
      <c r="E50" s="2238"/>
      <c r="F50" s="2239"/>
      <c r="G50" s="2239"/>
      <c r="H50" s="222"/>
      <c r="I50" s="222"/>
      <c r="J50" s="222"/>
      <c r="K50" s="222"/>
      <c r="L50" s="222"/>
      <c r="M50" s="222"/>
      <c r="N50" s="222"/>
      <c r="O50" s="222"/>
      <c r="P50" s="419"/>
    </row>
    <row r="51" spans="1:16" ht="15.75">
      <c r="B51" s="152"/>
      <c r="C51" s="2216" t="s">
        <v>411</v>
      </c>
      <c r="D51" s="2216" t="s">
        <v>65</v>
      </c>
      <c r="E51" s="2216" t="s">
        <v>156</v>
      </c>
      <c r="F51" s="2216">
        <v>2007</v>
      </c>
      <c r="G51" s="2216">
        <v>2012</v>
      </c>
      <c r="H51" s="2216">
        <v>2017</v>
      </c>
      <c r="I51" s="2216">
        <v>2022</v>
      </c>
      <c r="J51" s="2216">
        <v>2027</v>
      </c>
      <c r="K51" s="2216">
        <v>2032</v>
      </c>
      <c r="L51" s="2216">
        <v>2037</v>
      </c>
      <c r="M51" s="2216">
        <v>2042</v>
      </c>
      <c r="N51" s="2216">
        <v>2047</v>
      </c>
      <c r="O51" s="2216">
        <v>2052</v>
      </c>
      <c r="P51" s="419"/>
    </row>
    <row r="52" spans="1:16" ht="15.75">
      <c r="B52" s="152"/>
      <c r="C52" s="2217" t="s">
        <v>1755</v>
      </c>
      <c r="D52" s="2218"/>
      <c r="E52" s="2218"/>
      <c r="F52" s="2219">
        <v>0</v>
      </c>
      <c r="G52" s="2219">
        <v>0.7</v>
      </c>
      <c r="H52" s="2219">
        <v>0.7</v>
      </c>
      <c r="I52" s="2219">
        <v>0.7</v>
      </c>
      <c r="J52" s="2219">
        <v>0.7</v>
      </c>
      <c r="K52" s="2219">
        <v>0.5</v>
      </c>
      <c r="L52" s="2219">
        <v>0.3</v>
      </c>
      <c r="M52" s="2219">
        <v>0.3</v>
      </c>
      <c r="N52" s="2219">
        <v>0.3</v>
      </c>
      <c r="O52" s="2219">
        <v>0.3</v>
      </c>
      <c r="P52" s="419"/>
    </row>
    <row r="53" spans="1:16" ht="15.75">
      <c r="B53" s="152"/>
      <c r="C53" s="2220" t="s">
        <v>1756</v>
      </c>
      <c r="D53" s="2221"/>
      <c r="E53" s="2221"/>
      <c r="F53" s="2222">
        <v>0</v>
      </c>
      <c r="G53" s="2222">
        <v>0.3</v>
      </c>
      <c r="H53" s="2222">
        <v>0.3</v>
      </c>
      <c r="I53" s="2222">
        <v>0.3</v>
      </c>
      <c r="J53" s="2222">
        <v>0.3</v>
      </c>
      <c r="K53" s="2222">
        <v>0.5</v>
      </c>
      <c r="L53" s="2222">
        <v>0.7</v>
      </c>
      <c r="M53" s="2222">
        <v>0.7</v>
      </c>
      <c r="N53" s="2222">
        <v>0.7</v>
      </c>
      <c r="O53" s="2222">
        <v>0.7</v>
      </c>
      <c r="P53" s="419"/>
    </row>
    <row r="54" spans="1:16" ht="15.75">
      <c r="B54" s="152"/>
      <c r="C54" s="126"/>
      <c r="D54" s="414"/>
      <c r="E54" s="414"/>
      <c r="F54" s="222"/>
      <c r="G54" s="222"/>
      <c r="H54" s="222"/>
      <c r="I54" s="222"/>
      <c r="J54" s="222"/>
      <c r="K54" s="222"/>
      <c r="L54" s="222"/>
      <c r="M54" s="222"/>
      <c r="N54" s="222"/>
      <c r="O54" s="222"/>
      <c r="P54" s="419"/>
    </row>
    <row r="55" spans="1:16">
      <c r="B55" s="208"/>
    </row>
    <row r="56" spans="1:16" s="51" customFormat="1" ht="22.5">
      <c r="A56" s="752"/>
      <c r="B56" s="421" t="s">
        <v>265</v>
      </c>
      <c r="C56" s="159"/>
      <c r="D56" s="159"/>
      <c r="E56" s="159"/>
      <c r="F56" s="159"/>
      <c r="G56" s="159">
        <f>Unit.GW</f>
        <v>1</v>
      </c>
      <c r="H56" s="159"/>
      <c r="I56" s="159"/>
      <c r="J56" s="159"/>
      <c r="K56" s="159"/>
      <c r="L56" s="159"/>
      <c r="M56" s="159"/>
      <c r="N56" s="159"/>
      <c r="O56" s="159"/>
      <c r="P56" s="160"/>
    </row>
    <row r="57" spans="1:16">
      <c r="B57" s="211"/>
      <c r="C57" s="415"/>
      <c r="D57" s="415"/>
      <c r="E57" s="415"/>
      <c r="F57" s="415"/>
      <c r="G57" s="415"/>
      <c r="H57" s="415"/>
      <c r="I57" s="415"/>
      <c r="J57" s="415"/>
      <c r="K57" s="415"/>
      <c r="L57" s="415"/>
      <c r="M57" s="415"/>
      <c r="N57" s="415"/>
      <c r="O57" s="415"/>
      <c r="P57" s="419"/>
    </row>
    <row r="58" spans="1:16" ht="14.25">
      <c r="B58" s="211"/>
      <c r="C58" s="2240" t="s">
        <v>1757</v>
      </c>
      <c r="D58" s="2218"/>
      <c r="E58" s="2218"/>
      <c r="F58" s="2218"/>
      <c r="G58" s="2218"/>
      <c r="H58" s="2218"/>
      <c r="I58" s="2218"/>
      <c r="J58" s="2218"/>
      <c r="K58" s="2218"/>
      <c r="L58" s="2218"/>
      <c r="M58" s="2218"/>
      <c r="N58" s="2218"/>
      <c r="O58" s="2218"/>
      <c r="P58" s="419"/>
    </row>
    <row r="59" spans="1:16" ht="14.25" customHeight="1">
      <c r="B59" s="211"/>
      <c r="C59" s="2216" t="s">
        <v>227</v>
      </c>
      <c r="D59" s="2216" t="s">
        <v>1758</v>
      </c>
      <c r="E59" s="2216" t="s">
        <v>156</v>
      </c>
      <c r="F59" s="2216">
        <v>2007</v>
      </c>
      <c r="G59" s="2216">
        <v>2012</v>
      </c>
      <c r="H59" s="2216">
        <v>2017</v>
      </c>
      <c r="I59" s="2216">
        <v>2022</v>
      </c>
      <c r="J59" s="2216">
        <v>2027</v>
      </c>
      <c r="K59" s="2216">
        <v>2032</v>
      </c>
      <c r="L59" s="2216">
        <v>2037</v>
      </c>
      <c r="M59" s="2216">
        <v>2042</v>
      </c>
      <c r="N59" s="2216">
        <v>2047</v>
      </c>
      <c r="O59" s="2216">
        <v>2052</v>
      </c>
      <c r="P59" s="419"/>
    </row>
    <row r="60" spans="1:16" ht="15.75">
      <c r="B60" s="212"/>
      <c r="C60" s="2241" t="s">
        <v>102</v>
      </c>
      <c r="D60" s="2217" t="s">
        <v>1755</v>
      </c>
      <c r="E60" s="2218"/>
      <c r="F60" s="716">
        <f t="shared" ref="F60:G62" si="8">0*(Unit.GW)</f>
        <v>0</v>
      </c>
      <c r="G60" s="716">
        <f t="shared" si="8"/>
        <v>0</v>
      </c>
      <c r="H60" s="716">
        <f t="shared" ref="H60:O60" si="9">0.8*(Unit.GW)</f>
        <v>0.8</v>
      </c>
      <c r="I60" s="716">
        <f t="shared" si="9"/>
        <v>0.8</v>
      </c>
      <c r="J60" s="716">
        <f t="shared" si="9"/>
        <v>0.8</v>
      </c>
      <c r="K60" s="716">
        <f t="shared" si="9"/>
        <v>0.8</v>
      </c>
      <c r="L60" s="716">
        <f t="shared" si="9"/>
        <v>0.8</v>
      </c>
      <c r="M60" s="716">
        <f t="shared" si="9"/>
        <v>0.8</v>
      </c>
      <c r="N60" s="716">
        <f t="shared" si="9"/>
        <v>0.8</v>
      </c>
      <c r="O60" s="716">
        <f t="shared" si="9"/>
        <v>0.8</v>
      </c>
      <c r="P60" s="419"/>
    </row>
    <row r="61" spans="1:16" ht="15.75">
      <c r="B61" s="212"/>
      <c r="C61" s="2241" t="s">
        <v>102</v>
      </c>
      <c r="D61" s="2217" t="s">
        <v>1756</v>
      </c>
      <c r="E61" s="2218"/>
      <c r="F61" s="716">
        <f t="shared" si="8"/>
        <v>0</v>
      </c>
      <c r="G61" s="716">
        <f t="shared" si="8"/>
        <v>0</v>
      </c>
      <c r="H61" s="716">
        <f t="shared" ref="H61:O62" si="10">0.5*(Unit.GW)</f>
        <v>0.5</v>
      </c>
      <c r="I61" s="716">
        <f t="shared" si="10"/>
        <v>0.5</v>
      </c>
      <c r="J61" s="716">
        <f t="shared" si="10"/>
        <v>0.5</v>
      </c>
      <c r="K61" s="716">
        <f t="shared" si="10"/>
        <v>0.5</v>
      </c>
      <c r="L61" s="716">
        <f t="shared" si="10"/>
        <v>0.5</v>
      </c>
      <c r="M61" s="716">
        <f t="shared" si="10"/>
        <v>0.5</v>
      </c>
      <c r="N61" s="716">
        <f t="shared" si="10"/>
        <v>0.5</v>
      </c>
      <c r="O61" s="716">
        <f t="shared" si="10"/>
        <v>0.5</v>
      </c>
      <c r="P61" s="419"/>
    </row>
    <row r="62" spans="1:16" ht="18" customHeight="1">
      <c r="B62" s="211"/>
      <c r="C62" s="2221" t="s">
        <v>14</v>
      </c>
      <c r="D62" s="2220" t="s">
        <v>14</v>
      </c>
      <c r="E62" s="2221"/>
      <c r="F62" s="716">
        <f t="shared" si="8"/>
        <v>0</v>
      </c>
      <c r="G62" s="716">
        <f t="shared" si="8"/>
        <v>0</v>
      </c>
      <c r="H62" s="716">
        <f t="shared" si="10"/>
        <v>0.5</v>
      </c>
      <c r="I62" s="716">
        <f t="shared" si="10"/>
        <v>0.5</v>
      </c>
      <c r="J62" s="716">
        <f t="shared" si="10"/>
        <v>0.5</v>
      </c>
      <c r="K62" s="716">
        <f t="shared" si="10"/>
        <v>0.5</v>
      </c>
      <c r="L62" s="716">
        <f t="shared" si="10"/>
        <v>0.5</v>
      </c>
      <c r="M62" s="716">
        <f t="shared" si="10"/>
        <v>0.5</v>
      </c>
      <c r="N62" s="716">
        <f t="shared" si="10"/>
        <v>0.5</v>
      </c>
      <c r="O62" s="716">
        <f t="shared" si="10"/>
        <v>0.5</v>
      </c>
      <c r="P62" s="419"/>
    </row>
    <row r="63" spans="1:16" ht="14.25">
      <c r="B63" s="215"/>
      <c r="C63" s="2242" t="s">
        <v>1759</v>
      </c>
      <c r="D63" s="2218"/>
      <c r="E63" s="2218"/>
      <c r="F63" s="2218"/>
      <c r="G63" s="2218"/>
      <c r="H63" s="2218"/>
      <c r="I63" s="2218"/>
      <c r="J63" s="2218"/>
      <c r="K63" s="2218"/>
      <c r="L63" s="2218"/>
      <c r="M63" s="2218"/>
      <c r="N63" s="2218"/>
      <c r="O63" s="2218"/>
      <c r="P63" s="419"/>
    </row>
    <row r="64" spans="1:16">
      <c r="B64" s="211"/>
      <c r="C64" s="402"/>
      <c r="D64" s="402"/>
      <c r="E64" s="402"/>
      <c r="F64" s="402"/>
      <c r="G64" s="402"/>
      <c r="H64" s="402"/>
      <c r="I64" s="402"/>
      <c r="J64" s="402"/>
      <c r="K64" s="402"/>
      <c r="L64" s="402"/>
      <c r="M64" s="402"/>
      <c r="N64" s="402"/>
      <c r="O64" s="402"/>
      <c r="P64" s="419"/>
    </row>
    <row r="65" spans="1:16" ht="15.75">
      <c r="B65" s="212"/>
      <c r="C65" s="2240" t="s">
        <v>1760</v>
      </c>
      <c r="D65" s="2218"/>
      <c r="E65" s="2218"/>
      <c r="F65" s="2218"/>
      <c r="G65" s="2218"/>
      <c r="H65" s="2218"/>
      <c r="I65" s="2218"/>
      <c r="J65" s="2218"/>
      <c r="K65" s="2218"/>
      <c r="L65" s="2218"/>
      <c r="M65" s="2218"/>
      <c r="N65" s="2218"/>
      <c r="O65" s="2218"/>
      <c r="P65" s="419"/>
    </row>
    <row r="66" spans="1:16" s="51" customFormat="1" ht="15.75">
      <c r="A66" s="630"/>
      <c r="B66" s="213"/>
      <c r="C66" s="2216" t="s">
        <v>227</v>
      </c>
      <c r="D66" s="2216" t="s">
        <v>1758</v>
      </c>
      <c r="E66" s="2216" t="s">
        <v>156</v>
      </c>
      <c r="F66" s="2216">
        <v>2007</v>
      </c>
      <c r="G66" s="2216">
        <v>2012</v>
      </c>
      <c r="H66" s="2216">
        <v>2017</v>
      </c>
      <c r="I66" s="2216">
        <v>2022</v>
      </c>
      <c r="J66" s="2216">
        <v>2027</v>
      </c>
      <c r="K66" s="2216">
        <v>2032</v>
      </c>
      <c r="L66" s="2216">
        <v>2037</v>
      </c>
      <c r="M66" s="2216">
        <v>2042</v>
      </c>
      <c r="N66" s="2216">
        <v>2047</v>
      </c>
      <c r="O66" s="2216">
        <v>2052</v>
      </c>
      <c r="P66" s="154"/>
    </row>
    <row r="67" spans="1:16" ht="14.25">
      <c r="B67" s="211"/>
      <c r="C67" s="2241" t="s">
        <v>102</v>
      </c>
      <c r="D67" s="2217" t="s">
        <v>1755</v>
      </c>
      <c r="E67" s="2218"/>
      <c r="F67" s="2219">
        <v>0.3</v>
      </c>
      <c r="G67" s="2219">
        <v>0.3</v>
      </c>
      <c r="H67" s="2219">
        <v>0.3</v>
      </c>
      <c r="I67" s="2219">
        <v>0.31</v>
      </c>
      <c r="J67" s="2219">
        <v>0.31</v>
      </c>
      <c r="K67" s="2219">
        <v>0.32</v>
      </c>
      <c r="L67" s="2219">
        <v>0.32</v>
      </c>
      <c r="M67" s="2219">
        <v>0.33</v>
      </c>
      <c r="N67" s="2219">
        <v>0.33</v>
      </c>
      <c r="O67" s="2219">
        <v>0.34</v>
      </c>
      <c r="P67" s="419"/>
    </row>
    <row r="68" spans="1:16" ht="14.25">
      <c r="B68" s="211"/>
      <c r="C68" s="2241" t="s">
        <v>102</v>
      </c>
      <c r="D68" s="2217" t="s">
        <v>1756</v>
      </c>
      <c r="E68" s="2218"/>
      <c r="F68" s="2219">
        <v>0.3</v>
      </c>
      <c r="G68" s="2219">
        <v>0.3</v>
      </c>
      <c r="H68" s="2219">
        <v>0.3</v>
      </c>
      <c r="I68" s="2219">
        <v>0.31</v>
      </c>
      <c r="J68" s="2219">
        <v>0.31</v>
      </c>
      <c r="K68" s="2219">
        <v>0.32</v>
      </c>
      <c r="L68" s="2219">
        <v>0.32</v>
      </c>
      <c r="M68" s="2219">
        <v>0.33</v>
      </c>
      <c r="N68" s="2219">
        <v>0.33</v>
      </c>
      <c r="O68" s="2219">
        <v>0.34</v>
      </c>
      <c r="P68" s="419"/>
    </row>
    <row r="69" spans="1:16" ht="15.75" customHeight="1">
      <c r="B69" s="211"/>
      <c r="C69" s="2221" t="s">
        <v>14</v>
      </c>
      <c r="D69" s="2220" t="s">
        <v>14</v>
      </c>
      <c r="E69" s="2221"/>
      <c r="F69" s="2222">
        <v>0.42</v>
      </c>
      <c r="G69" s="2222">
        <v>0.42</v>
      </c>
      <c r="H69" s="2222">
        <v>0.42</v>
      </c>
      <c r="I69" s="2222">
        <v>0.43</v>
      </c>
      <c r="J69" s="2222">
        <v>0.43</v>
      </c>
      <c r="K69" s="2222">
        <v>0.44</v>
      </c>
      <c r="L69" s="2222">
        <v>0.45</v>
      </c>
      <c r="M69" s="2222">
        <v>0.45</v>
      </c>
      <c r="N69" s="2222">
        <v>0.45</v>
      </c>
      <c r="O69" s="2222">
        <v>0.46</v>
      </c>
      <c r="P69" s="419"/>
    </row>
    <row r="70" spans="1:16" ht="15.75">
      <c r="B70" s="212"/>
      <c r="C70" s="2242" t="s">
        <v>1761</v>
      </c>
      <c r="D70" s="2218"/>
      <c r="E70" s="2218"/>
      <c r="F70" s="2218"/>
      <c r="G70" s="2218"/>
      <c r="H70" s="2218"/>
      <c r="I70" s="2218"/>
      <c r="J70" s="2218"/>
      <c r="K70" s="2218"/>
      <c r="L70" s="2218"/>
      <c r="M70" s="2218"/>
      <c r="N70" s="2218"/>
      <c r="O70" s="2218"/>
      <c r="P70" s="419"/>
    </row>
    <row r="71" spans="1:16" ht="15.75">
      <c r="B71" s="212"/>
      <c r="C71" s="2243"/>
      <c r="D71" s="2218"/>
      <c r="E71" s="2218"/>
      <c r="F71" s="2218"/>
      <c r="G71" s="2218"/>
      <c r="H71" s="2218"/>
      <c r="I71" s="2218"/>
      <c r="J71" s="2218"/>
      <c r="K71" s="2218"/>
      <c r="L71" s="2218"/>
      <c r="M71" s="2218"/>
      <c r="N71" s="2218"/>
      <c r="O71" s="2218"/>
      <c r="P71" s="419"/>
    </row>
    <row r="72" spans="1:16" ht="14.25">
      <c r="B72" s="211"/>
      <c r="C72" s="2240" t="s">
        <v>1762</v>
      </c>
      <c r="D72" s="2218"/>
      <c r="E72" s="2218"/>
      <c r="F72" s="2218"/>
      <c r="G72" s="2218"/>
      <c r="H72" s="2218"/>
      <c r="I72" s="2218"/>
      <c r="J72" s="2218"/>
      <c r="K72" s="2218"/>
      <c r="L72" s="2218"/>
      <c r="M72" s="2218"/>
      <c r="N72" s="2218"/>
      <c r="O72" s="2218"/>
      <c r="P72" s="419"/>
    </row>
    <row r="73" spans="1:16">
      <c r="B73" s="211"/>
      <c r="C73" s="2216" t="s">
        <v>227</v>
      </c>
      <c r="D73" s="2216" t="s">
        <v>1758</v>
      </c>
      <c r="E73" s="2216" t="s">
        <v>156</v>
      </c>
      <c r="F73" s="2216">
        <v>2007</v>
      </c>
      <c r="G73" s="2216">
        <v>2012</v>
      </c>
      <c r="H73" s="2216">
        <v>2017</v>
      </c>
      <c r="I73" s="2216">
        <v>2022</v>
      </c>
      <c r="J73" s="2216">
        <v>2027</v>
      </c>
      <c r="K73" s="2216">
        <v>2032</v>
      </c>
      <c r="L73" s="2216">
        <v>2037</v>
      </c>
      <c r="M73" s="2216">
        <v>2042</v>
      </c>
      <c r="N73" s="2216">
        <v>2047</v>
      </c>
      <c r="O73" s="2216">
        <v>2052</v>
      </c>
      <c r="P73" s="419"/>
    </row>
    <row r="74" spans="1:16" ht="16.5" customHeight="1">
      <c r="B74" s="211"/>
      <c r="C74" s="2241" t="s">
        <v>102</v>
      </c>
      <c r="D74" s="2217" t="s">
        <v>1755</v>
      </c>
      <c r="E74" s="2218"/>
      <c r="F74" s="2244"/>
      <c r="G74" s="2219">
        <v>0.27</v>
      </c>
      <c r="H74" s="2219">
        <v>0.16</v>
      </c>
      <c r="I74" s="2219">
        <v>0.16</v>
      </c>
      <c r="J74" s="2219">
        <v>0.16</v>
      </c>
      <c r="K74" s="2219">
        <v>0.16</v>
      </c>
      <c r="L74" s="2219">
        <v>0.16</v>
      </c>
      <c r="M74" s="2219">
        <v>0.15</v>
      </c>
      <c r="N74" s="2219">
        <v>0.15</v>
      </c>
      <c r="O74" s="2219">
        <v>0.15</v>
      </c>
      <c r="P74" s="419"/>
    </row>
    <row r="75" spans="1:16" ht="15.75">
      <c r="B75" s="212"/>
      <c r="C75" s="2241" t="s">
        <v>102</v>
      </c>
      <c r="D75" s="2217" t="s">
        <v>1756</v>
      </c>
      <c r="E75" s="2218"/>
      <c r="F75" s="2244"/>
      <c r="G75" s="2219">
        <v>0.24</v>
      </c>
      <c r="H75" s="2219">
        <v>0.14000000000000001</v>
      </c>
      <c r="I75" s="2219">
        <v>0.14000000000000001</v>
      </c>
      <c r="J75" s="2219">
        <v>0.14000000000000001</v>
      </c>
      <c r="K75" s="2219">
        <v>0.14000000000000001</v>
      </c>
      <c r="L75" s="2219">
        <v>0.14000000000000001</v>
      </c>
      <c r="M75" s="2219">
        <v>0.13</v>
      </c>
      <c r="N75" s="2219">
        <v>0.13</v>
      </c>
      <c r="O75" s="2219">
        <v>0.13</v>
      </c>
      <c r="P75" s="419"/>
    </row>
    <row r="76" spans="1:16" ht="15.75">
      <c r="B76" s="212"/>
      <c r="C76" s="2221" t="s">
        <v>14</v>
      </c>
      <c r="D76" s="2220" t="s">
        <v>14</v>
      </c>
      <c r="E76" s="2221"/>
      <c r="F76" s="2222"/>
      <c r="G76" s="2222">
        <v>0.13</v>
      </c>
      <c r="H76" s="2222">
        <v>0.12</v>
      </c>
      <c r="I76" s="2222">
        <v>0.12</v>
      </c>
      <c r="J76" s="2222">
        <v>0.12</v>
      </c>
      <c r="K76" s="2222">
        <v>0.11</v>
      </c>
      <c r="L76" s="2222">
        <v>0.11</v>
      </c>
      <c r="M76" s="2222">
        <v>0.11</v>
      </c>
      <c r="N76" s="2222">
        <v>0.11</v>
      </c>
      <c r="O76" s="2222">
        <v>0.1</v>
      </c>
      <c r="P76" s="419"/>
    </row>
    <row r="77" spans="1:16">
      <c r="B77" s="211"/>
      <c r="C77" s="2242" t="s">
        <v>1763</v>
      </c>
      <c r="D77" s="2238"/>
      <c r="E77" s="2237"/>
      <c r="F77" s="2238"/>
      <c r="G77" s="2239"/>
      <c r="H77" s="2239"/>
      <c r="I77" s="2239"/>
      <c r="J77" s="2239"/>
      <c r="K77" s="2239"/>
      <c r="L77" s="2239"/>
      <c r="M77" s="2239"/>
      <c r="N77" s="2239"/>
      <c r="O77" s="2239"/>
      <c r="P77" s="419"/>
    </row>
    <row r="78" spans="1:16">
      <c r="B78" s="211"/>
      <c r="C78" s="402"/>
      <c r="D78" s="402"/>
      <c r="E78" s="402"/>
      <c r="F78" s="402"/>
      <c r="G78" s="402"/>
      <c r="H78" s="402"/>
      <c r="I78" s="402"/>
      <c r="J78" s="402"/>
      <c r="K78" s="402"/>
      <c r="L78" s="402"/>
      <c r="M78" s="402"/>
      <c r="N78" s="402"/>
      <c r="O78" s="402"/>
      <c r="P78" s="419"/>
    </row>
    <row r="79" spans="1:16" ht="15.75" customHeight="1">
      <c r="B79" s="211"/>
      <c r="C79" s="2240" t="s">
        <v>1764</v>
      </c>
      <c r="D79" s="2218"/>
      <c r="E79" s="2218"/>
      <c r="F79" s="2218"/>
      <c r="G79" s="2218"/>
      <c r="H79" s="2218"/>
      <c r="I79" s="2218"/>
      <c r="J79" s="2218"/>
      <c r="K79" s="2218"/>
      <c r="L79" s="2218"/>
      <c r="M79" s="2218"/>
      <c r="N79" s="2218"/>
      <c r="O79" s="2218"/>
      <c r="P79" s="419"/>
    </row>
    <row r="80" spans="1:16" ht="15.75">
      <c r="B80" s="212"/>
      <c r="C80" s="2216" t="s">
        <v>227</v>
      </c>
      <c r="D80" s="2216" t="s">
        <v>1758</v>
      </c>
      <c r="E80" s="2216" t="s">
        <v>156</v>
      </c>
      <c r="F80" s="2216">
        <v>2007</v>
      </c>
      <c r="G80" s="2216">
        <v>2012</v>
      </c>
      <c r="H80" s="2216">
        <v>2017</v>
      </c>
      <c r="I80" s="2216">
        <v>2022</v>
      </c>
      <c r="J80" s="2216">
        <v>2027</v>
      </c>
      <c r="K80" s="2216">
        <v>2032</v>
      </c>
      <c r="L80" s="2216">
        <v>2037</v>
      </c>
      <c r="M80" s="2216">
        <v>2042</v>
      </c>
      <c r="N80" s="2216">
        <v>2047</v>
      </c>
      <c r="O80" s="2216">
        <v>2052</v>
      </c>
      <c r="P80" s="419"/>
    </row>
    <row r="81" spans="1:16" ht="15.75">
      <c r="B81" s="212"/>
      <c r="C81" s="2241" t="s">
        <v>102</v>
      </c>
      <c r="D81" s="2217" t="s">
        <v>1755</v>
      </c>
      <c r="E81" s="2218"/>
      <c r="F81" s="2219">
        <v>0.7</v>
      </c>
      <c r="G81" s="2219">
        <v>0.7</v>
      </c>
      <c r="H81" s="2219">
        <v>0.7</v>
      </c>
      <c r="I81" s="2219">
        <v>0.7</v>
      </c>
      <c r="J81" s="2219">
        <v>0.7</v>
      </c>
      <c r="K81" s="2219">
        <v>0.7</v>
      </c>
      <c r="L81" s="2219">
        <v>0.7</v>
      </c>
      <c r="M81" s="2219">
        <v>0.7</v>
      </c>
      <c r="N81" s="2219">
        <v>0.7</v>
      </c>
      <c r="O81" s="2219">
        <v>0.7</v>
      </c>
      <c r="P81" s="419"/>
    </row>
    <row r="82" spans="1:16" ht="14.25">
      <c r="B82" s="211"/>
      <c r="C82" s="2241" t="s">
        <v>102</v>
      </c>
      <c r="D82" s="2217" t="s">
        <v>1756</v>
      </c>
      <c r="E82" s="2218"/>
      <c r="F82" s="2219">
        <v>0.7</v>
      </c>
      <c r="G82" s="2219">
        <v>0.7</v>
      </c>
      <c r="H82" s="2219">
        <v>0.7</v>
      </c>
      <c r="I82" s="2219">
        <v>0.7</v>
      </c>
      <c r="J82" s="2219">
        <v>0.7</v>
      </c>
      <c r="K82" s="2219">
        <v>0.7</v>
      </c>
      <c r="L82" s="2219">
        <v>0.7</v>
      </c>
      <c r="M82" s="2219">
        <v>0.7</v>
      </c>
      <c r="N82" s="2219">
        <v>0.7</v>
      </c>
      <c r="O82" s="2219">
        <v>0.7</v>
      </c>
      <c r="P82" s="419"/>
    </row>
    <row r="83" spans="1:16" ht="15.75">
      <c r="B83" s="152"/>
      <c r="C83" s="2221" t="s">
        <v>14</v>
      </c>
      <c r="D83" s="2220" t="s">
        <v>14</v>
      </c>
      <c r="E83" s="2221"/>
      <c r="F83" s="2222">
        <v>0.7</v>
      </c>
      <c r="G83" s="2222">
        <v>0.7</v>
      </c>
      <c r="H83" s="2222">
        <v>0.7</v>
      </c>
      <c r="I83" s="2222">
        <v>0.7</v>
      </c>
      <c r="J83" s="2222">
        <v>0.7</v>
      </c>
      <c r="K83" s="2222">
        <v>0.7</v>
      </c>
      <c r="L83" s="2222">
        <v>0.7</v>
      </c>
      <c r="M83" s="2222">
        <v>0.7</v>
      </c>
      <c r="N83" s="2222">
        <v>0.7</v>
      </c>
      <c r="O83" s="2222">
        <v>0.7</v>
      </c>
      <c r="P83" s="419"/>
    </row>
    <row r="84" spans="1:16" ht="15" customHeight="1">
      <c r="B84" s="152"/>
      <c r="C84" s="2242" t="s">
        <v>1765</v>
      </c>
      <c r="D84" s="2218"/>
      <c r="E84" s="2218"/>
      <c r="F84" s="2218"/>
      <c r="G84" s="2218"/>
      <c r="H84" s="2218"/>
      <c r="I84" s="2218"/>
      <c r="J84" s="2218"/>
      <c r="K84" s="2218"/>
      <c r="L84" s="2218"/>
      <c r="M84" s="2218"/>
      <c r="N84" s="2218"/>
      <c r="O84" s="2218"/>
      <c r="P84" s="419"/>
    </row>
    <row r="85" spans="1:16" ht="15.75">
      <c r="B85" s="152"/>
      <c r="C85" s="402"/>
      <c r="D85" s="402"/>
      <c r="E85" s="402"/>
      <c r="F85" s="402"/>
      <c r="G85" s="402"/>
      <c r="H85" s="402"/>
      <c r="I85" s="402"/>
      <c r="J85" s="402"/>
      <c r="K85" s="402"/>
      <c r="L85" s="402"/>
      <c r="M85" s="402"/>
      <c r="N85" s="402"/>
      <c r="O85" s="402"/>
      <c r="P85" s="419"/>
    </row>
    <row r="86" spans="1:16" ht="15.75">
      <c r="B86" s="152"/>
      <c r="C86" s="2240" t="s">
        <v>1766</v>
      </c>
      <c r="D86" s="2218"/>
      <c r="E86" s="2218"/>
      <c r="F86" s="2218"/>
      <c r="G86" s="2218"/>
      <c r="H86" s="2218"/>
      <c r="I86" s="2218"/>
      <c r="J86" s="2218"/>
      <c r="K86" s="2218"/>
      <c r="L86" s="2218"/>
      <c r="M86" s="2218"/>
      <c r="N86" s="2218"/>
      <c r="O86" s="2218"/>
      <c r="P86" s="419"/>
    </row>
    <row r="87" spans="1:16" ht="15.75">
      <c r="B87" s="152"/>
      <c r="C87" s="2216" t="s">
        <v>227</v>
      </c>
      <c r="D87" s="2216" t="s">
        <v>1758</v>
      </c>
      <c r="E87" s="2216" t="s">
        <v>156</v>
      </c>
      <c r="F87" s="2216">
        <v>2007</v>
      </c>
      <c r="G87" s="2216">
        <v>2012</v>
      </c>
      <c r="H87" s="2216">
        <v>2017</v>
      </c>
      <c r="I87" s="2216">
        <v>2022</v>
      </c>
      <c r="J87" s="2216">
        <v>2027</v>
      </c>
      <c r="K87" s="2216">
        <v>2032</v>
      </c>
      <c r="L87" s="2216">
        <v>2037</v>
      </c>
      <c r="M87" s="2216">
        <v>2042</v>
      </c>
      <c r="N87" s="2216">
        <v>2047</v>
      </c>
      <c r="O87" s="2216">
        <v>2052</v>
      </c>
      <c r="P87" s="419"/>
    </row>
    <row r="88" spans="1:16" ht="14.25">
      <c r="B88" s="418"/>
      <c r="C88" s="2241" t="s">
        <v>102</v>
      </c>
      <c r="D88" s="2217" t="s">
        <v>1755</v>
      </c>
      <c r="E88" s="2218"/>
      <c r="F88" s="2219">
        <v>0</v>
      </c>
      <c r="G88" s="2219">
        <v>0</v>
      </c>
      <c r="H88" s="2219">
        <v>0.9</v>
      </c>
      <c r="I88" s="2219">
        <v>0.9</v>
      </c>
      <c r="J88" s="2219">
        <v>0.9</v>
      </c>
      <c r="K88" s="2219">
        <v>0.9</v>
      </c>
      <c r="L88" s="2219">
        <v>0.9</v>
      </c>
      <c r="M88" s="2219">
        <v>0.9</v>
      </c>
      <c r="N88" s="2219">
        <v>0.9</v>
      </c>
      <c r="O88" s="2219">
        <v>0.9</v>
      </c>
      <c r="P88" s="419"/>
    </row>
    <row r="89" spans="1:16" ht="14.25">
      <c r="B89" s="214"/>
      <c r="C89" s="2241" t="s">
        <v>102</v>
      </c>
      <c r="D89" s="2217" t="s">
        <v>1756</v>
      </c>
      <c r="E89" s="2218"/>
      <c r="F89" s="2219">
        <v>0</v>
      </c>
      <c r="G89" s="2219">
        <v>0</v>
      </c>
      <c r="H89" s="2219">
        <v>0.9</v>
      </c>
      <c r="I89" s="2219">
        <v>0.9</v>
      </c>
      <c r="J89" s="2219">
        <v>0.9</v>
      </c>
      <c r="K89" s="2219">
        <v>0.9</v>
      </c>
      <c r="L89" s="2219">
        <v>0.9</v>
      </c>
      <c r="M89" s="2219">
        <v>0.9</v>
      </c>
      <c r="N89" s="2219">
        <v>0.9</v>
      </c>
      <c r="O89" s="2219">
        <v>0.9</v>
      </c>
      <c r="P89" s="419"/>
    </row>
    <row r="90" spans="1:16" s="410" customFormat="1" ht="12">
      <c r="A90" s="2245"/>
      <c r="B90" s="662"/>
      <c r="C90" s="2221" t="s">
        <v>14</v>
      </c>
      <c r="D90" s="2220" t="s">
        <v>14</v>
      </c>
      <c r="E90" s="2221"/>
      <c r="F90" s="2222">
        <v>0</v>
      </c>
      <c r="G90" s="2222">
        <v>0</v>
      </c>
      <c r="H90" s="2222">
        <v>0.9</v>
      </c>
      <c r="I90" s="2222">
        <v>0.9</v>
      </c>
      <c r="J90" s="2222">
        <v>0.9</v>
      </c>
      <c r="K90" s="2222">
        <v>0.9</v>
      </c>
      <c r="L90" s="2222">
        <v>0.9</v>
      </c>
      <c r="M90" s="2222">
        <v>0.9</v>
      </c>
      <c r="N90" s="2222">
        <v>0.9</v>
      </c>
      <c r="O90" s="2222">
        <v>0.9</v>
      </c>
      <c r="P90" s="204"/>
    </row>
    <row r="91" spans="1:16" s="410" customFormat="1">
      <c r="A91" s="2245"/>
      <c r="B91" s="662"/>
      <c r="C91" s="402"/>
      <c r="D91" s="402"/>
      <c r="E91" s="402"/>
      <c r="F91" s="402"/>
      <c r="G91" s="402"/>
      <c r="H91" s="402"/>
      <c r="I91" s="402"/>
      <c r="J91" s="402"/>
      <c r="K91" s="402"/>
      <c r="L91" s="402"/>
      <c r="M91" s="402"/>
      <c r="N91" s="402"/>
      <c r="O91" s="402"/>
      <c r="P91" s="204"/>
    </row>
    <row r="92" spans="1:16" s="410" customFormat="1" ht="14.25">
      <c r="A92" s="2245"/>
      <c r="B92" s="662"/>
      <c r="C92" s="2240" t="s">
        <v>1767</v>
      </c>
      <c r="D92" s="2218"/>
      <c r="E92" s="2218"/>
      <c r="F92" s="2218"/>
      <c r="G92" s="2218"/>
      <c r="H92" s="2218"/>
      <c r="I92" s="2218"/>
      <c r="J92" s="2218"/>
      <c r="K92" s="2218"/>
      <c r="L92" s="2218"/>
      <c r="M92" s="2218"/>
      <c r="N92" s="2218"/>
      <c r="O92" s="2218"/>
      <c r="P92" s="204"/>
    </row>
    <row r="93" spans="1:16" s="410" customFormat="1" ht="12">
      <c r="A93" s="2245"/>
      <c r="B93" s="662"/>
      <c r="C93" s="2216" t="s">
        <v>227</v>
      </c>
      <c r="D93" s="2216" t="s">
        <v>1758</v>
      </c>
      <c r="E93" s="2216" t="s">
        <v>156</v>
      </c>
      <c r="F93" s="2216">
        <v>2007</v>
      </c>
      <c r="G93" s="2216">
        <v>2012</v>
      </c>
      <c r="H93" s="2216">
        <v>2017</v>
      </c>
      <c r="I93" s="2216">
        <v>2022</v>
      </c>
      <c r="J93" s="2216">
        <v>2027</v>
      </c>
      <c r="K93" s="2216">
        <v>2032</v>
      </c>
      <c r="L93" s="2216">
        <v>2037</v>
      </c>
      <c r="M93" s="2216">
        <v>2042</v>
      </c>
      <c r="N93" s="2216">
        <v>2047</v>
      </c>
      <c r="O93" s="2216">
        <v>2052</v>
      </c>
      <c r="P93" s="204"/>
    </row>
    <row r="94" spans="1:16" s="410" customFormat="1" ht="14.25">
      <c r="A94" s="2245"/>
      <c r="B94" s="662"/>
      <c r="C94" s="2241" t="s">
        <v>102</v>
      </c>
      <c r="D94" s="2217" t="s">
        <v>1755</v>
      </c>
      <c r="E94" s="2218"/>
      <c r="F94" s="2246">
        <v>0.95</v>
      </c>
      <c r="G94" s="2246">
        <v>0.94</v>
      </c>
      <c r="H94" s="2246">
        <v>0.94</v>
      </c>
      <c r="I94" s="2246">
        <v>0.94</v>
      </c>
      <c r="J94" s="2246">
        <v>0.94</v>
      </c>
      <c r="K94" s="2246">
        <v>0.94</v>
      </c>
      <c r="L94" s="2246">
        <v>0.94</v>
      </c>
      <c r="M94" s="2246">
        <v>0.94</v>
      </c>
      <c r="N94" s="2246">
        <v>0.94</v>
      </c>
      <c r="O94" s="2246">
        <v>0.94</v>
      </c>
      <c r="P94" s="204"/>
    </row>
    <row r="95" spans="1:16" s="410" customFormat="1" ht="14.25">
      <c r="A95" s="2245"/>
      <c r="B95" s="662"/>
      <c r="C95" s="2241" t="s">
        <v>102</v>
      </c>
      <c r="D95" s="2217" t="s">
        <v>1756</v>
      </c>
      <c r="E95" s="2218"/>
      <c r="F95" s="2246">
        <v>0.95</v>
      </c>
      <c r="G95" s="2246">
        <v>0.94</v>
      </c>
      <c r="H95" s="2246">
        <v>0.94</v>
      </c>
      <c r="I95" s="2246">
        <v>0.94</v>
      </c>
      <c r="J95" s="2246">
        <v>0.94</v>
      </c>
      <c r="K95" s="2246">
        <v>0.94</v>
      </c>
      <c r="L95" s="2246">
        <v>0.94</v>
      </c>
      <c r="M95" s="2246">
        <v>0.94</v>
      </c>
      <c r="N95" s="2246">
        <v>0.94</v>
      </c>
      <c r="O95" s="2246">
        <v>0.94</v>
      </c>
      <c r="P95" s="204"/>
    </row>
    <row r="96" spans="1:16" s="410" customFormat="1" ht="12">
      <c r="A96" s="2245"/>
      <c r="B96" s="662"/>
      <c r="C96" s="2221" t="s">
        <v>14</v>
      </c>
      <c r="D96" s="2220" t="s">
        <v>14</v>
      </c>
      <c r="E96" s="2221"/>
      <c r="F96" s="2247">
        <v>0.47</v>
      </c>
      <c r="G96" s="2247">
        <v>0.47</v>
      </c>
      <c r="H96" s="2247">
        <v>0.47</v>
      </c>
      <c r="I96" s="2247">
        <v>0.47</v>
      </c>
      <c r="J96" s="2247">
        <v>0.47</v>
      </c>
      <c r="K96" s="2247">
        <v>0.47</v>
      </c>
      <c r="L96" s="2247">
        <v>0.47</v>
      </c>
      <c r="M96" s="2247">
        <v>0.47</v>
      </c>
      <c r="N96" s="2247">
        <v>0.47</v>
      </c>
      <c r="O96" s="2247">
        <v>0.47</v>
      </c>
      <c r="P96" s="204"/>
    </row>
    <row r="97" spans="1:18" s="410" customFormat="1" ht="14.25">
      <c r="A97" s="2245"/>
      <c r="B97" s="662"/>
      <c r="C97" s="2242" t="s">
        <v>1768</v>
      </c>
      <c r="D97" s="2218"/>
      <c r="E97" s="2218"/>
      <c r="F97" s="2218"/>
      <c r="G97" s="2218"/>
      <c r="H97" s="2218"/>
      <c r="I97" s="2218"/>
      <c r="J97" s="2218"/>
      <c r="K97" s="2218"/>
      <c r="L97" s="2218"/>
      <c r="M97" s="2218"/>
      <c r="N97" s="2218"/>
      <c r="O97" s="2218"/>
      <c r="P97" s="204"/>
    </row>
    <row r="98" spans="1:18" s="410" customFormat="1" ht="14.25">
      <c r="A98" s="2245"/>
      <c r="B98" s="662"/>
      <c r="C98" s="2242" t="s">
        <v>1761</v>
      </c>
      <c r="D98" s="2218"/>
      <c r="E98" s="2218"/>
      <c r="F98" s="2218"/>
      <c r="G98" s="2218"/>
      <c r="H98" s="2218"/>
      <c r="I98" s="2218"/>
      <c r="J98" s="2218"/>
      <c r="K98" s="2218"/>
      <c r="L98" s="2218"/>
      <c r="M98" s="2218"/>
      <c r="N98" s="2218"/>
      <c r="O98" s="2218"/>
      <c r="P98" s="204"/>
    </row>
    <row r="99" spans="1:18" s="410" customFormat="1">
      <c r="A99" s="2245"/>
      <c r="B99" s="662"/>
      <c r="C99" s="126"/>
      <c r="D99" s="205"/>
      <c r="E99" s="203"/>
      <c r="F99" s="463"/>
      <c r="G99" s="203"/>
      <c r="H99" s="203"/>
      <c r="I99" s="203"/>
      <c r="J99" s="203"/>
      <c r="K99" s="203"/>
      <c r="L99" s="203"/>
      <c r="M99" s="203"/>
      <c r="N99" s="203"/>
      <c r="O99" s="203"/>
      <c r="P99" s="204"/>
    </row>
    <row r="100" spans="1:18" s="410" customFormat="1">
      <c r="A100" s="2245"/>
      <c r="B100" s="662"/>
      <c r="C100" s="126"/>
      <c r="D100" s="205"/>
      <c r="E100" s="203"/>
      <c r="F100" s="203"/>
      <c r="G100" s="203"/>
      <c r="H100" s="203"/>
      <c r="I100" s="203"/>
      <c r="J100" s="203"/>
      <c r="K100" s="203"/>
      <c r="L100" s="203"/>
      <c r="M100" s="203"/>
      <c r="N100" s="203"/>
      <c r="O100" s="203"/>
      <c r="P100" s="204"/>
    </row>
    <row r="101" spans="1:18">
      <c r="B101" s="211"/>
      <c r="C101" s="415"/>
      <c r="D101" s="415"/>
      <c r="E101" s="415"/>
      <c r="F101" s="415"/>
      <c r="G101" s="415"/>
      <c r="H101" s="415"/>
      <c r="I101" s="415"/>
      <c r="J101" s="415"/>
      <c r="K101" s="415"/>
      <c r="L101" s="415"/>
      <c r="M101" s="415"/>
      <c r="N101" s="415"/>
      <c r="O101" s="415"/>
      <c r="P101" s="419"/>
    </row>
    <row r="102" spans="1:18">
      <c r="A102" s="624"/>
      <c r="B102" s="539"/>
      <c r="C102" s="539"/>
      <c r="D102" s="539"/>
      <c r="E102" s="539"/>
      <c r="F102" s="539"/>
      <c r="G102" s="539"/>
      <c r="H102" s="539"/>
      <c r="I102" s="539"/>
      <c r="J102" s="539"/>
      <c r="K102" s="539"/>
      <c r="L102" s="539"/>
      <c r="M102" s="539"/>
      <c r="N102" s="539"/>
      <c r="O102" s="539"/>
      <c r="P102" s="539"/>
      <c r="Q102" s="539"/>
      <c r="R102" s="539"/>
    </row>
    <row r="103" spans="1:18" ht="15.75" customHeight="1">
      <c r="B103" s="402"/>
      <c r="C103" s="248"/>
      <c r="D103" s="415"/>
      <c r="E103" s="107"/>
      <c r="F103" s="665"/>
      <c r="G103" s="665"/>
      <c r="H103" s="317"/>
      <c r="I103" s="317"/>
      <c r="J103" s="317"/>
      <c r="K103" s="317"/>
      <c r="L103" s="317"/>
      <c r="M103" s="317"/>
      <c r="N103" s="317"/>
      <c r="O103" s="665"/>
      <c r="P103" s="402"/>
    </row>
    <row r="104" spans="1:18" s="2331" customFormat="1" ht="15.75" customHeight="1">
      <c r="A104" s="623"/>
      <c r="B104" s="652" t="s">
        <v>711</v>
      </c>
      <c r="C104" s="544"/>
      <c r="D104" s="544"/>
      <c r="E104" s="544"/>
      <c r="F104" s="544"/>
      <c r="G104" s="544"/>
      <c r="H104" s="544"/>
      <c r="I104" s="544"/>
      <c r="J104" s="544"/>
      <c r="K104" s="544"/>
      <c r="L104" s="544"/>
      <c r="M104" s="544"/>
      <c r="N104" s="544"/>
      <c r="O104" s="521"/>
      <c r="P104" s="521"/>
    </row>
    <row r="105" spans="1:18" s="2331" customFormat="1" ht="15.75" customHeight="1">
      <c r="A105" s="623"/>
      <c r="B105" s="402"/>
      <c r="C105" s="248"/>
      <c r="D105" s="415"/>
      <c r="E105" s="107"/>
      <c r="F105" s="665"/>
      <c r="G105" s="665"/>
      <c r="H105" s="317"/>
      <c r="I105" s="317"/>
      <c r="J105" s="317"/>
      <c r="K105" s="317"/>
      <c r="L105" s="317"/>
      <c r="M105" s="317"/>
      <c r="N105" s="317"/>
      <c r="O105" s="665"/>
      <c r="P105" s="402"/>
    </row>
    <row r="106" spans="1:18" s="2331" customFormat="1" ht="15.75" customHeight="1">
      <c r="A106" s="623"/>
      <c r="B106" s="402"/>
      <c r="C106" s="248"/>
      <c r="D106" s="415"/>
      <c r="E106" s="107"/>
      <c r="F106" s="665"/>
      <c r="G106" s="665"/>
      <c r="H106" s="317"/>
      <c r="I106" s="317"/>
      <c r="J106" s="317"/>
      <c r="K106" s="317"/>
      <c r="L106" s="317"/>
      <c r="M106" s="317"/>
      <c r="N106" s="317"/>
      <c r="O106" s="665"/>
      <c r="P106" s="402"/>
    </row>
    <row r="107" spans="1:18" s="2331" customFormat="1" ht="15.75" customHeight="1">
      <c r="A107" s="623"/>
      <c r="B107" s="402"/>
      <c r="C107" s="248"/>
      <c r="D107" s="415"/>
      <c r="E107" s="107"/>
      <c r="F107" s="665"/>
      <c r="G107" s="665"/>
      <c r="H107" s="317"/>
      <c r="I107" s="317"/>
      <c r="J107" s="317"/>
      <c r="K107" s="317"/>
      <c r="L107" s="317"/>
      <c r="M107" s="317"/>
      <c r="N107" s="317"/>
      <c r="O107" s="665"/>
      <c r="P107" s="402"/>
    </row>
    <row r="108" spans="1:18" s="2331" customFormat="1" ht="15.75" customHeight="1">
      <c r="A108" s="623"/>
      <c r="B108" s="402"/>
      <c r="C108" s="248"/>
      <c r="D108" s="415"/>
      <c r="E108" s="107"/>
      <c r="F108" s="665"/>
      <c r="G108" s="665"/>
      <c r="H108" s="317"/>
      <c r="I108" s="317"/>
      <c r="J108" s="317"/>
      <c r="K108" s="317"/>
      <c r="L108" s="317"/>
      <c r="M108" s="317"/>
      <c r="N108" s="317"/>
      <c r="O108" s="665"/>
      <c r="P108" s="402"/>
    </row>
    <row r="109" spans="1:18" s="2331" customFormat="1" ht="15.75" customHeight="1">
      <c r="A109" s="623"/>
      <c r="B109" s="402"/>
      <c r="C109" s="248"/>
      <c r="D109" s="415"/>
      <c r="E109" s="107"/>
      <c r="F109" s="665"/>
      <c r="G109" s="665"/>
      <c r="H109" s="317"/>
      <c r="I109" s="317"/>
      <c r="J109" s="317"/>
      <c r="K109" s="317"/>
      <c r="L109" s="317"/>
      <c r="M109" s="317"/>
      <c r="N109" s="317"/>
      <c r="O109" s="665"/>
      <c r="P109" s="402"/>
    </row>
    <row r="110" spans="1:18" s="2331" customFormat="1" ht="15.75" customHeight="1">
      <c r="A110" s="623"/>
      <c r="B110" s="402"/>
      <c r="C110" s="248"/>
      <c r="D110" s="415"/>
      <c r="E110" s="107"/>
      <c r="F110" s="665"/>
      <c r="G110" s="665"/>
      <c r="H110" s="317"/>
      <c r="I110" s="317"/>
      <c r="J110" s="317"/>
      <c r="K110" s="317"/>
      <c r="L110" s="317"/>
      <c r="M110" s="317"/>
      <c r="N110" s="317"/>
      <c r="O110" s="665"/>
      <c r="P110" s="402"/>
    </row>
    <row r="111" spans="1:18" s="2331" customFormat="1" ht="15.75" customHeight="1">
      <c r="A111" s="623"/>
      <c r="B111" s="402"/>
      <c r="C111" s="248"/>
      <c r="D111" s="415"/>
      <c r="E111" s="107"/>
      <c r="F111" s="665"/>
      <c r="G111" s="665"/>
      <c r="H111" s="317"/>
      <c r="I111" s="317"/>
      <c r="J111" s="317"/>
      <c r="K111" s="317"/>
      <c r="L111" s="317"/>
      <c r="M111" s="317"/>
      <c r="N111" s="317"/>
      <c r="O111" s="665"/>
      <c r="P111" s="402"/>
    </row>
    <row r="112" spans="1:18" s="2331" customFormat="1" ht="15.75" customHeight="1">
      <c r="A112" s="623"/>
      <c r="B112" s="402"/>
      <c r="C112" s="248"/>
      <c r="D112" s="415"/>
      <c r="E112" s="107"/>
      <c r="F112" s="665"/>
      <c r="G112" s="665"/>
      <c r="H112" s="317"/>
      <c r="I112" s="317"/>
      <c r="J112" s="317"/>
      <c r="K112" s="317"/>
      <c r="L112" s="317"/>
      <c r="M112" s="317"/>
      <c r="N112" s="317"/>
      <c r="O112" s="665"/>
      <c r="P112" s="402"/>
    </row>
    <row r="113" spans="1:16" s="2331" customFormat="1" ht="15.75" customHeight="1">
      <c r="A113" s="623"/>
      <c r="B113" s="402"/>
      <c r="C113" s="248"/>
      <c r="D113" s="415"/>
      <c r="E113" s="107"/>
      <c r="F113" s="665"/>
      <c r="G113" s="665"/>
      <c r="H113" s="317"/>
      <c r="I113" s="317"/>
      <c r="J113" s="317"/>
      <c r="K113" s="317"/>
      <c r="L113" s="317"/>
      <c r="M113" s="317"/>
      <c r="N113" s="317"/>
      <c r="O113" s="665"/>
      <c r="P113" s="402"/>
    </row>
    <row r="114" spans="1:16" s="2331" customFormat="1" ht="15.75" customHeight="1">
      <c r="A114" s="623"/>
      <c r="B114" s="402"/>
      <c r="C114" s="248"/>
      <c r="D114" s="415"/>
      <c r="E114" s="107"/>
      <c r="F114" s="665"/>
      <c r="G114" s="665"/>
      <c r="H114" s="317"/>
      <c r="I114" s="317"/>
      <c r="J114" s="317"/>
      <c r="K114" s="317"/>
      <c r="L114" s="317"/>
      <c r="M114" s="317"/>
      <c r="N114" s="317"/>
      <c r="O114" s="665"/>
      <c r="P114" s="402"/>
    </row>
    <row r="115" spans="1:16" ht="16.5" customHeight="1">
      <c r="B115" s="402"/>
      <c r="C115" s="402"/>
      <c r="D115" s="402"/>
      <c r="E115" s="402"/>
      <c r="F115" s="402"/>
      <c r="G115" s="402"/>
      <c r="H115" s="402"/>
      <c r="I115" s="402"/>
      <c r="J115" s="402"/>
      <c r="K115" s="402"/>
      <c r="L115" s="402"/>
      <c r="M115" s="402"/>
      <c r="N115" s="402"/>
      <c r="O115" s="402"/>
      <c r="P115" s="402"/>
    </row>
    <row r="116" spans="1:16">
      <c r="B116" s="208"/>
    </row>
    <row r="117" spans="1:16" ht="15.75">
      <c r="B117" s="421" t="s">
        <v>270</v>
      </c>
      <c r="C117" s="159"/>
      <c r="D117" s="159"/>
      <c r="E117" s="159"/>
      <c r="F117" s="159"/>
      <c r="G117" s="159"/>
      <c r="H117" s="159"/>
      <c r="I117" s="159"/>
      <c r="J117" s="159"/>
      <c r="K117" s="159"/>
      <c r="L117" s="159"/>
      <c r="M117" s="159"/>
      <c r="N117" s="159"/>
      <c r="O117" s="159"/>
      <c r="P117" s="160"/>
    </row>
    <row r="118" spans="1:16">
      <c r="B118" s="210"/>
      <c r="C118" s="198"/>
      <c r="D118" s="198"/>
      <c r="E118" s="198"/>
      <c r="F118" s="198"/>
      <c r="G118" s="198"/>
      <c r="H118" s="198"/>
      <c r="I118" s="198"/>
      <c r="J118" s="198"/>
      <c r="K118" s="198"/>
      <c r="L118" s="198"/>
      <c r="M118" s="198"/>
      <c r="N118" s="198"/>
      <c r="O118" s="198"/>
      <c r="P118" s="199"/>
    </row>
    <row r="119" spans="1:16" ht="14.25">
      <c r="B119" s="211"/>
      <c r="C119" s="2240" t="s">
        <v>1769</v>
      </c>
      <c r="D119" s="2218"/>
      <c r="E119" s="2218"/>
      <c r="F119" s="2218"/>
      <c r="G119" s="2218"/>
      <c r="H119" s="2218"/>
      <c r="I119" s="2218"/>
      <c r="J119" s="2218"/>
      <c r="K119" s="2218"/>
      <c r="L119" s="2218"/>
      <c r="M119" s="2218"/>
      <c r="N119" s="2218"/>
      <c r="O119" s="2218"/>
      <c r="P119" s="419"/>
    </row>
    <row r="120" spans="1:16" ht="15" customHeight="1">
      <c r="A120" s="745"/>
      <c r="B120" s="211"/>
      <c r="C120" s="2216" t="s">
        <v>227</v>
      </c>
      <c r="D120" s="2216" t="s">
        <v>1758</v>
      </c>
      <c r="E120" s="2216" t="s">
        <v>156</v>
      </c>
      <c r="F120" s="2216">
        <v>2007</v>
      </c>
      <c r="G120" s="2216">
        <v>2012</v>
      </c>
      <c r="H120" s="2216">
        <v>2017</v>
      </c>
      <c r="I120" s="2216">
        <v>2022</v>
      </c>
      <c r="J120" s="2216">
        <v>2027</v>
      </c>
      <c r="K120" s="2216">
        <v>2032</v>
      </c>
      <c r="L120" s="2216">
        <v>2037</v>
      </c>
      <c r="M120" s="2216">
        <v>2042</v>
      </c>
      <c r="N120" s="2216">
        <v>2047</v>
      </c>
      <c r="O120" s="2216">
        <v>2052</v>
      </c>
      <c r="P120" s="419"/>
    </row>
    <row r="121" spans="1:16" ht="15.75">
      <c r="B121" s="212"/>
      <c r="C121" s="2217" t="s">
        <v>102</v>
      </c>
      <c r="D121" s="2217" t="s">
        <v>1755</v>
      </c>
      <c r="E121" s="2218"/>
      <c r="F121" s="2219">
        <f>G121</f>
        <v>0.7</v>
      </c>
      <c r="G121" s="2219">
        <f>H121</f>
        <v>0.7</v>
      </c>
      <c r="H121" s="2219">
        <f t="shared" ref="H121:O122" si="11">$F$47*G52</f>
        <v>0.7</v>
      </c>
      <c r="I121" s="2219">
        <f t="shared" si="11"/>
        <v>0.7</v>
      </c>
      <c r="J121" s="2219">
        <f t="shared" si="11"/>
        <v>0.7</v>
      </c>
      <c r="K121" s="2219">
        <f t="shared" si="11"/>
        <v>0.7</v>
      </c>
      <c r="L121" s="2219">
        <f t="shared" si="11"/>
        <v>0.5</v>
      </c>
      <c r="M121" s="2219">
        <f t="shared" si="11"/>
        <v>0.3</v>
      </c>
      <c r="N121" s="2219">
        <f t="shared" si="11"/>
        <v>0.3</v>
      </c>
      <c r="O121" s="2219">
        <f t="shared" si="11"/>
        <v>0.3</v>
      </c>
      <c r="P121" s="419"/>
    </row>
    <row r="122" spans="1:16" ht="15.75">
      <c r="B122" s="213"/>
      <c r="C122" s="2217" t="s">
        <v>102</v>
      </c>
      <c r="D122" s="2217" t="s">
        <v>1756</v>
      </c>
      <c r="E122" s="2218"/>
      <c r="F122" s="2219">
        <f>G122</f>
        <v>0.3</v>
      </c>
      <c r="G122" s="2219">
        <f>H122</f>
        <v>0.3</v>
      </c>
      <c r="H122" s="2219">
        <f t="shared" si="11"/>
        <v>0.3</v>
      </c>
      <c r="I122" s="2219">
        <f t="shared" si="11"/>
        <v>0.3</v>
      </c>
      <c r="J122" s="2219">
        <f t="shared" si="11"/>
        <v>0.3</v>
      </c>
      <c r="K122" s="2219">
        <f t="shared" si="11"/>
        <v>0.3</v>
      </c>
      <c r="L122" s="2219">
        <f t="shared" si="11"/>
        <v>0.5</v>
      </c>
      <c r="M122" s="2219">
        <f t="shared" si="11"/>
        <v>0.7</v>
      </c>
      <c r="N122" s="2219">
        <f t="shared" si="11"/>
        <v>0.7</v>
      </c>
      <c r="O122" s="2219">
        <f t="shared" si="11"/>
        <v>0.7</v>
      </c>
      <c r="P122" s="154"/>
    </row>
    <row r="123" spans="1:16" ht="15.75">
      <c r="B123" s="213"/>
      <c r="C123" s="2220" t="s">
        <v>14</v>
      </c>
      <c r="D123" s="2220" t="s">
        <v>14</v>
      </c>
      <c r="E123" s="2221"/>
      <c r="F123" s="2219">
        <f>G123</f>
        <v>0</v>
      </c>
      <c r="G123" s="2222">
        <f>$G$47</f>
        <v>0</v>
      </c>
      <c r="H123" s="2222">
        <f t="shared" ref="H123:O123" si="12">$G$47</f>
        <v>0</v>
      </c>
      <c r="I123" s="2222">
        <f t="shared" si="12"/>
        <v>0</v>
      </c>
      <c r="J123" s="2222">
        <f t="shared" si="12"/>
        <v>0</v>
      </c>
      <c r="K123" s="2222">
        <f t="shared" si="12"/>
        <v>0</v>
      </c>
      <c r="L123" s="2222">
        <f t="shared" si="12"/>
        <v>0</v>
      </c>
      <c r="M123" s="2222">
        <f t="shared" si="12"/>
        <v>0</v>
      </c>
      <c r="N123" s="2222">
        <f t="shared" si="12"/>
        <v>0</v>
      </c>
      <c r="O123" s="2222">
        <f t="shared" si="12"/>
        <v>0</v>
      </c>
      <c r="P123" s="154"/>
    </row>
    <row r="124" spans="1:16" ht="15.75">
      <c r="B124" s="213"/>
      <c r="C124" s="402"/>
      <c r="D124" s="402"/>
      <c r="E124" s="402"/>
      <c r="F124" s="402"/>
      <c r="G124" s="402"/>
      <c r="H124" s="402"/>
      <c r="I124" s="402"/>
      <c r="J124" s="402"/>
      <c r="K124" s="402"/>
      <c r="L124" s="402"/>
      <c r="M124" s="402"/>
      <c r="N124" s="402"/>
      <c r="O124" s="402"/>
      <c r="P124" s="154"/>
    </row>
    <row r="125" spans="1:16" ht="15.75">
      <c r="B125" s="213"/>
      <c r="C125" s="2240" t="s">
        <v>1770</v>
      </c>
      <c r="D125" s="2218"/>
      <c r="E125" s="2218"/>
      <c r="F125" s="2218"/>
      <c r="G125" s="2218">
        <f>Unit.GW</f>
        <v>1</v>
      </c>
      <c r="H125" s="2218"/>
      <c r="I125" s="2218"/>
      <c r="J125" s="2218"/>
      <c r="K125" s="2218"/>
      <c r="L125" s="2218"/>
      <c r="M125" s="2218"/>
      <c r="N125" s="2218"/>
      <c r="O125" s="2218"/>
      <c r="P125" s="154"/>
    </row>
    <row r="126" spans="1:16" ht="15.75">
      <c r="B126" s="213"/>
      <c r="C126" s="2216" t="s">
        <v>227</v>
      </c>
      <c r="D126" s="2216" t="s">
        <v>1758</v>
      </c>
      <c r="E126" s="2216" t="s">
        <v>156</v>
      </c>
      <c r="F126" s="2216">
        <v>2007</v>
      </c>
      <c r="G126" s="2216">
        <v>2012</v>
      </c>
      <c r="H126" s="2216">
        <v>2017</v>
      </c>
      <c r="I126" s="2216">
        <v>2022</v>
      </c>
      <c r="J126" s="2216">
        <v>2027</v>
      </c>
      <c r="K126" s="2216">
        <v>2032</v>
      </c>
      <c r="L126" s="2216">
        <v>2037</v>
      </c>
      <c r="M126" s="2216">
        <v>2042</v>
      </c>
      <c r="N126" s="2216">
        <v>2047</v>
      </c>
      <c r="O126" s="2216">
        <v>2052</v>
      </c>
      <c r="P126" s="154"/>
    </row>
    <row r="127" spans="1:16" ht="15.75">
      <c r="B127" s="213"/>
      <c r="C127" s="2217" t="s">
        <v>102</v>
      </c>
      <c r="D127" s="2217" t="s">
        <v>1755</v>
      </c>
      <c r="E127" s="2218"/>
      <c r="F127" s="2248"/>
      <c r="G127" s="2218">
        <f>F127+5*G121*G$38</f>
        <v>0</v>
      </c>
      <c r="H127" s="2218">
        <f t="shared" ref="H127:O127" si="13">G127+5*H121*H$38</f>
        <v>0</v>
      </c>
      <c r="I127" s="2218">
        <f t="shared" si="13"/>
        <v>0</v>
      </c>
      <c r="J127" s="2218">
        <f t="shared" si="13"/>
        <v>0</v>
      </c>
      <c r="K127" s="2218">
        <f t="shared" si="13"/>
        <v>0.70000000000000007</v>
      </c>
      <c r="L127" s="2218">
        <f t="shared" si="13"/>
        <v>1.2000000000000002</v>
      </c>
      <c r="M127" s="2218">
        <f t="shared" si="13"/>
        <v>2.1</v>
      </c>
      <c r="N127" s="2218">
        <f t="shared" si="13"/>
        <v>2.7</v>
      </c>
      <c r="O127" s="2218">
        <f t="shared" si="13"/>
        <v>3.6</v>
      </c>
      <c r="P127" s="154"/>
    </row>
    <row r="128" spans="1:16" ht="15.75">
      <c r="B128" s="213"/>
      <c r="C128" s="2217" t="s">
        <v>102</v>
      </c>
      <c r="D128" s="2217" t="s">
        <v>1756</v>
      </c>
      <c r="E128" s="2218"/>
      <c r="F128" s="2248"/>
      <c r="G128" s="2218">
        <f t="shared" ref="G128:O128" si="14">F128+5*G122*G$38</f>
        <v>0</v>
      </c>
      <c r="H128" s="2218">
        <f t="shared" si="14"/>
        <v>0</v>
      </c>
      <c r="I128" s="2218">
        <f t="shared" si="14"/>
        <v>0</v>
      </c>
      <c r="J128" s="2218">
        <f t="shared" si="14"/>
        <v>0</v>
      </c>
      <c r="K128" s="2218">
        <f t="shared" si="14"/>
        <v>0.30000000000000004</v>
      </c>
      <c r="L128" s="2218">
        <f t="shared" si="14"/>
        <v>0.8</v>
      </c>
      <c r="M128" s="2218">
        <f t="shared" si="14"/>
        <v>2.9000000000000004</v>
      </c>
      <c r="N128" s="2218">
        <f t="shared" si="14"/>
        <v>4.3000000000000007</v>
      </c>
      <c r="O128" s="2218">
        <f t="shared" si="14"/>
        <v>6.4</v>
      </c>
      <c r="P128" s="154"/>
    </row>
    <row r="129" spans="1:16" ht="15.75">
      <c r="B129" s="213"/>
      <c r="C129" s="2220" t="s">
        <v>14</v>
      </c>
      <c r="D129" s="2220" t="s">
        <v>14</v>
      </c>
      <c r="E129" s="2221"/>
      <c r="F129" s="2249"/>
      <c r="G129" s="2218">
        <f t="shared" ref="G129:O129" si="15">F129+5*G123*G$38</f>
        <v>0</v>
      </c>
      <c r="H129" s="2218">
        <f t="shared" si="15"/>
        <v>0</v>
      </c>
      <c r="I129" s="2218">
        <f t="shared" si="15"/>
        <v>0</v>
      </c>
      <c r="J129" s="2218">
        <f t="shared" si="15"/>
        <v>0</v>
      </c>
      <c r="K129" s="2218">
        <f t="shared" si="15"/>
        <v>0</v>
      </c>
      <c r="L129" s="2218">
        <f t="shared" si="15"/>
        <v>0</v>
      </c>
      <c r="M129" s="2218">
        <f t="shared" si="15"/>
        <v>0</v>
      </c>
      <c r="N129" s="2218">
        <f t="shared" si="15"/>
        <v>0</v>
      </c>
      <c r="O129" s="2218">
        <f t="shared" si="15"/>
        <v>0</v>
      </c>
      <c r="P129" s="154"/>
    </row>
    <row r="130" spans="1:16" ht="15.75">
      <c r="B130" s="213"/>
      <c r="C130" s="2224"/>
      <c r="D130" s="2223" t="s">
        <v>103</v>
      </c>
      <c r="E130" s="2224"/>
      <c r="F130" s="2224"/>
      <c r="G130" s="2265">
        <f t="shared" ref="G130:O130" si="16">SUM(G127:G129)</f>
        <v>0</v>
      </c>
      <c r="H130" s="2265">
        <f t="shared" si="16"/>
        <v>0</v>
      </c>
      <c r="I130" s="2265">
        <f t="shared" si="16"/>
        <v>0</v>
      </c>
      <c r="J130" s="2265">
        <f t="shared" si="16"/>
        <v>0</v>
      </c>
      <c r="K130" s="2265">
        <f t="shared" si="16"/>
        <v>1</v>
      </c>
      <c r="L130" s="2265">
        <f t="shared" si="16"/>
        <v>2</v>
      </c>
      <c r="M130" s="2265">
        <f t="shared" si="16"/>
        <v>5</v>
      </c>
      <c r="N130" s="2265">
        <f t="shared" si="16"/>
        <v>7.0000000000000009</v>
      </c>
      <c r="O130" s="2265">
        <f t="shared" si="16"/>
        <v>10</v>
      </c>
      <c r="P130" s="154"/>
    </row>
    <row r="131" spans="1:16" ht="15.75">
      <c r="B131" s="213"/>
      <c r="C131" s="402"/>
      <c r="D131" s="402"/>
      <c r="E131" s="402"/>
      <c r="F131" s="402"/>
      <c r="G131" s="402"/>
      <c r="H131" s="402"/>
      <c r="I131" s="402"/>
      <c r="J131" s="402"/>
      <c r="K131" s="402"/>
      <c r="L131" s="402"/>
      <c r="M131" s="402"/>
      <c r="N131" s="402"/>
      <c r="O131" s="402"/>
      <c r="P131" s="154"/>
    </row>
    <row r="132" spans="1:16" ht="15.75">
      <c r="B132" s="213"/>
      <c r="C132" s="2240" t="s">
        <v>1771</v>
      </c>
      <c r="D132" s="2218"/>
      <c r="E132" s="2218"/>
      <c r="F132" s="2218"/>
      <c r="G132" s="2218"/>
      <c r="H132" s="2218"/>
      <c r="I132" s="2218"/>
      <c r="J132" s="2218"/>
      <c r="K132" s="2218"/>
      <c r="L132" s="2218"/>
      <c r="M132" s="2218"/>
      <c r="N132" s="2218"/>
      <c r="O132" s="2218"/>
      <c r="P132" s="154"/>
    </row>
    <row r="133" spans="1:16" ht="15.75">
      <c r="B133" s="213"/>
      <c r="C133" s="2216" t="s">
        <v>227</v>
      </c>
      <c r="D133" s="2216" t="s">
        <v>1758</v>
      </c>
      <c r="E133" s="2216" t="s">
        <v>156</v>
      </c>
      <c r="F133" s="2216">
        <v>2007</v>
      </c>
      <c r="G133" s="2216">
        <v>2012</v>
      </c>
      <c r="H133" s="2216">
        <v>2017</v>
      </c>
      <c r="I133" s="2216">
        <v>2022</v>
      </c>
      <c r="J133" s="2216">
        <v>2027</v>
      </c>
      <c r="K133" s="2216">
        <v>2032</v>
      </c>
      <c r="L133" s="2216">
        <v>2037</v>
      </c>
      <c r="M133" s="2216">
        <v>2042</v>
      </c>
      <c r="N133" s="2216">
        <v>2047</v>
      </c>
      <c r="O133" s="2216">
        <v>2052</v>
      </c>
      <c r="P133" s="154"/>
    </row>
    <row r="134" spans="1:16" ht="15.75">
      <c r="B134" s="213"/>
      <c r="C134" s="2223"/>
      <c r="D134" s="2223" t="s">
        <v>1772</v>
      </c>
      <c r="E134" s="2224"/>
      <c r="F134" s="2225">
        <f t="shared" ref="F134:O134" si="17">F121*F81+F122*F82+F123*F83</f>
        <v>0.7</v>
      </c>
      <c r="G134" s="2225">
        <f t="shared" si="17"/>
        <v>0.7</v>
      </c>
      <c r="H134" s="2225">
        <f t="shared" si="17"/>
        <v>0.7</v>
      </c>
      <c r="I134" s="2225">
        <f t="shared" si="17"/>
        <v>0.7</v>
      </c>
      <c r="J134" s="2225">
        <f t="shared" si="17"/>
        <v>0.7</v>
      </c>
      <c r="K134" s="2225">
        <f t="shared" si="17"/>
        <v>0.7</v>
      </c>
      <c r="L134" s="2225">
        <f t="shared" si="17"/>
        <v>0.7</v>
      </c>
      <c r="M134" s="2225">
        <f t="shared" si="17"/>
        <v>0.7</v>
      </c>
      <c r="N134" s="2225">
        <f t="shared" si="17"/>
        <v>0.7</v>
      </c>
      <c r="O134" s="2225">
        <f t="shared" si="17"/>
        <v>0.7</v>
      </c>
      <c r="P134" s="154"/>
    </row>
    <row r="135" spans="1:16" ht="15.75">
      <c r="B135" s="213"/>
      <c r="C135" s="413"/>
      <c r="D135" s="414"/>
      <c r="E135" s="414"/>
      <c r="F135" s="98"/>
      <c r="G135" s="98"/>
      <c r="H135" s="98"/>
      <c r="I135" s="98"/>
      <c r="J135" s="98"/>
      <c r="K135" s="98"/>
      <c r="L135" s="98"/>
      <c r="M135" s="98"/>
      <c r="N135" s="98"/>
      <c r="O135" s="98"/>
      <c r="P135" s="154"/>
    </row>
    <row r="136" spans="1:16">
      <c r="B136" s="214"/>
      <c r="C136" s="415"/>
      <c r="D136" s="105"/>
      <c r="E136" s="415"/>
      <c r="F136" s="415"/>
      <c r="G136" s="415"/>
      <c r="H136" s="415"/>
      <c r="I136" s="415"/>
      <c r="J136" s="415"/>
      <c r="K136" s="415"/>
      <c r="L136" s="415"/>
      <c r="M136" s="415"/>
      <c r="N136" s="415"/>
      <c r="O136" s="415"/>
      <c r="P136" s="419"/>
    </row>
    <row r="137" spans="1:16">
      <c r="B137" s="208"/>
    </row>
    <row r="138" spans="1:16">
      <c r="C138" s="2250" t="s">
        <v>241</v>
      </c>
      <c r="D138" s="2251"/>
      <c r="E138" s="2251"/>
      <c r="F138" s="2251"/>
      <c r="G138" s="2251"/>
      <c r="H138" s="2251"/>
      <c r="I138" s="2251"/>
      <c r="J138" s="2251"/>
      <c r="K138" s="2251"/>
      <c r="L138" s="2251"/>
      <c r="M138" s="2251"/>
      <c r="N138" s="2251"/>
      <c r="O138" s="2251"/>
      <c r="P138" s="2251"/>
    </row>
    <row r="139" spans="1:16">
      <c r="C139" s="2251"/>
      <c r="D139" s="2251"/>
      <c r="E139" s="2251"/>
      <c r="F139" s="2251"/>
      <c r="G139" s="2251"/>
      <c r="H139" s="2251"/>
      <c r="I139" s="2251"/>
      <c r="J139" s="2251"/>
      <c r="K139" s="2251"/>
      <c r="L139" s="2251"/>
      <c r="M139" s="2251"/>
      <c r="N139" s="2251"/>
      <c r="O139" s="2251"/>
      <c r="P139" s="2251"/>
    </row>
    <row r="140" spans="1:16">
      <c r="C140" s="2252">
        <v>1</v>
      </c>
      <c r="D140" s="2253" t="s">
        <v>1773</v>
      </c>
      <c r="E140" s="2254"/>
      <c r="F140" s="2254"/>
      <c r="G140" s="2254">
        <f>Unit.TWh</f>
        <v>1</v>
      </c>
      <c r="H140" s="2254"/>
      <c r="I140" s="2254"/>
      <c r="J140" s="2254"/>
      <c r="K140" s="2254"/>
      <c r="L140" s="2254"/>
      <c r="M140" s="2254"/>
      <c r="N140" s="2254"/>
      <c r="O140" s="2254"/>
      <c r="P140" s="2254"/>
    </row>
    <row r="141" spans="1:16">
      <c r="C141" s="2251"/>
      <c r="D141" s="2251"/>
      <c r="E141" s="2251"/>
      <c r="F141" s="2251"/>
      <c r="G141" s="2251"/>
      <c r="H141" s="2251"/>
      <c r="I141" s="2251"/>
      <c r="J141" s="2251"/>
      <c r="K141" s="2251"/>
      <c r="L141" s="2251"/>
      <c r="M141" s="2251"/>
      <c r="N141" s="2251"/>
      <c r="O141" s="2251"/>
      <c r="P141" s="2251"/>
    </row>
    <row r="142" spans="1:16">
      <c r="A142" s="605"/>
      <c r="B142" s="2251"/>
      <c r="C142" s="2255"/>
      <c r="D142" s="2255"/>
      <c r="E142" s="2255" t="s">
        <v>404</v>
      </c>
      <c r="F142" s="2267">
        <v>2007</v>
      </c>
      <c r="G142" s="2267">
        <v>2012</v>
      </c>
      <c r="H142" s="2267">
        <v>2017</v>
      </c>
      <c r="I142" s="2267">
        <v>2022</v>
      </c>
      <c r="J142" s="2267">
        <v>2027</v>
      </c>
      <c r="K142" s="2267">
        <v>2032</v>
      </c>
      <c r="L142" s="2267">
        <v>2037</v>
      </c>
      <c r="M142" s="2267">
        <v>2042</v>
      </c>
      <c r="N142" s="2267">
        <v>2047</v>
      </c>
      <c r="O142" s="2267">
        <v>2052</v>
      </c>
    </row>
    <row r="143" spans="1:16">
      <c r="A143" s="605"/>
      <c r="B143" s="2251"/>
      <c r="C143" s="2251" t="s">
        <v>793</v>
      </c>
      <c r="E143" s="2268" t="str">
        <f>Preferences.PowerUnits</f>
        <v>GW</v>
      </c>
      <c r="F143" s="2256">
        <f t="shared" ref="F143:O143" si="18">F127</f>
        <v>0</v>
      </c>
      <c r="G143" s="2256">
        <f t="shared" si="18"/>
        <v>0</v>
      </c>
      <c r="H143" s="2256">
        <f t="shared" si="18"/>
        <v>0</v>
      </c>
      <c r="I143" s="2256">
        <f t="shared" si="18"/>
        <v>0</v>
      </c>
      <c r="J143" s="2256">
        <f t="shared" si="18"/>
        <v>0</v>
      </c>
      <c r="K143" s="2256">
        <f t="shared" si="18"/>
        <v>0.70000000000000007</v>
      </c>
      <c r="L143" s="2256">
        <f t="shared" si="18"/>
        <v>1.2000000000000002</v>
      </c>
      <c r="M143" s="2256">
        <f t="shared" si="18"/>
        <v>2.1</v>
      </c>
      <c r="N143" s="2256">
        <f t="shared" si="18"/>
        <v>2.7</v>
      </c>
      <c r="O143" s="2256">
        <f t="shared" si="18"/>
        <v>3.6</v>
      </c>
    </row>
    <row r="144" spans="1:16">
      <c r="A144" s="37"/>
      <c r="B144" s="2258" t="s">
        <v>1774</v>
      </c>
      <c r="C144" s="2258" t="s">
        <v>1775</v>
      </c>
      <c r="E144" s="2268" t="str">
        <f>Preferences.PowerUnits</f>
        <v>GW</v>
      </c>
      <c r="F144" s="2259">
        <f t="shared" ref="F144:O144" si="19">F143*F121</f>
        <v>0</v>
      </c>
      <c r="G144" s="2259">
        <f t="shared" si="19"/>
        <v>0</v>
      </c>
      <c r="H144" s="2259">
        <f t="shared" si="19"/>
        <v>0</v>
      </c>
      <c r="I144" s="2259">
        <f t="shared" si="19"/>
        <v>0</v>
      </c>
      <c r="J144" s="2259">
        <f t="shared" si="19"/>
        <v>0</v>
      </c>
      <c r="K144" s="2259">
        <f t="shared" si="19"/>
        <v>0.49</v>
      </c>
      <c r="L144" s="2259">
        <f t="shared" si="19"/>
        <v>0.60000000000000009</v>
      </c>
      <c r="M144" s="2259">
        <f t="shared" si="19"/>
        <v>0.63</v>
      </c>
      <c r="N144" s="2259">
        <f t="shared" si="19"/>
        <v>0.81</v>
      </c>
      <c r="O144" s="2259">
        <f t="shared" si="19"/>
        <v>1.08</v>
      </c>
    </row>
    <row r="145" spans="1:16" ht="14.25">
      <c r="A145" s="37"/>
      <c r="B145" s="2258" t="s">
        <v>1311</v>
      </c>
      <c r="C145" s="2258" t="s">
        <v>788</v>
      </c>
      <c r="E145" s="2269" t="s">
        <v>277</v>
      </c>
      <c r="F145" s="2260">
        <f t="shared" ref="F145:O145" si="20">F81</f>
        <v>0.7</v>
      </c>
      <c r="G145" s="2260">
        <f t="shared" si="20"/>
        <v>0.7</v>
      </c>
      <c r="H145" s="2260">
        <f t="shared" si="20"/>
        <v>0.7</v>
      </c>
      <c r="I145" s="2260">
        <f t="shared" si="20"/>
        <v>0.7</v>
      </c>
      <c r="J145" s="2260">
        <f t="shared" si="20"/>
        <v>0.7</v>
      </c>
      <c r="K145" s="2260">
        <f t="shared" si="20"/>
        <v>0.7</v>
      </c>
      <c r="L145" s="2260">
        <f t="shared" si="20"/>
        <v>0.7</v>
      </c>
      <c r="M145" s="2260">
        <f t="shared" si="20"/>
        <v>0.7</v>
      </c>
      <c r="N145" s="2260">
        <f t="shared" si="20"/>
        <v>0.7</v>
      </c>
      <c r="O145" s="2260">
        <f t="shared" si="20"/>
        <v>0.7</v>
      </c>
    </row>
    <row r="146" spans="1:16">
      <c r="A146" s="605"/>
      <c r="B146" s="2258" t="s">
        <v>276</v>
      </c>
      <c r="C146" s="2258" t="s">
        <v>1776</v>
      </c>
      <c r="E146" s="2268" t="str">
        <f>Preferences.PowerUnits</f>
        <v>GW</v>
      </c>
      <c r="F146" s="2259">
        <f t="shared" ref="F146:O146" si="21">(F143-F144)*F145</f>
        <v>0</v>
      </c>
      <c r="G146" s="2259">
        <f t="shared" si="21"/>
        <v>0</v>
      </c>
      <c r="H146" s="2259">
        <f t="shared" si="21"/>
        <v>0</v>
      </c>
      <c r="I146" s="2259">
        <f t="shared" si="21"/>
        <v>0</v>
      </c>
      <c r="J146" s="2259">
        <f t="shared" si="21"/>
        <v>0</v>
      </c>
      <c r="K146" s="2259">
        <f t="shared" si="21"/>
        <v>0.14700000000000005</v>
      </c>
      <c r="L146" s="2259">
        <f t="shared" si="21"/>
        <v>0.42000000000000004</v>
      </c>
      <c r="M146" s="2259">
        <f t="shared" si="21"/>
        <v>1.0290000000000001</v>
      </c>
      <c r="N146" s="2259">
        <f t="shared" si="21"/>
        <v>1.323</v>
      </c>
      <c r="O146" s="2259">
        <f t="shared" si="21"/>
        <v>1.7639999999999998</v>
      </c>
    </row>
    <row r="147" spans="1:16">
      <c r="A147" s="605"/>
      <c r="E147" s="2168"/>
    </row>
    <row r="148" spans="1:16" ht="14.25" customHeight="1">
      <c r="A148" s="605"/>
      <c r="B148" s="2257"/>
      <c r="C148" s="2261" t="s">
        <v>1784</v>
      </c>
      <c r="E148" s="2269" t="str">
        <f>preferences.energyunits</f>
        <v>TWh</v>
      </c>
      <c r="F148" s="2266">
        <f t="shared" ref="F148:O148" si="22">F146*Preferences.Unit.Power*Unit.year/Preferences.Unit.Energy</f>
        <v>0</v>
      </c>
      <c r="G148" s="2266">
        <f t="shared" si="22"/>
        <v>0</v>
      </c>
      <c r="H148" s="2266">
        <f t="shared" si="22"/>
        <v>0</v>
      </c>
      <c r="I148" s="2266">
        <f t="shared" si="22"/>
        <v>0</v>
      </c>
      <c r="J148" s="2266">
        <f t="shared" si="22"/>
        <v>0</v>
      </c>
      <c r="K148" s="2266">
        <f t="shared" si="22"/>
        <v>1.2886020000000005</v>
      </c>
      <c r="L148" s="2266">
        <f t="shared" si="22"/>
        <v>3.6817200000000003</v>
      </c>
      <c r="M148" s="2266">
        <f t="shared" si="22"/>
        <v>9.0202140000000011</v>
      </c>
      <c r="N148" s="2266">
        <f t="shared" si="22"/>
        <v>11.597417999999999</v>
      </c>
      <c r="O148" s="2266">
        <f t="shared" si="22"/>
        <v>15.463223999999999</v>
      </c>
    </row>
    <row r="149" spans="1:16">
      <c r="A149" s="605"/>
      <c r="E149" s="2168"/>
    </row>
    <row r="150" spans="1:16" ht="14.25">
      <c r="A150" s="605"/>
      <c r="B150" s="2258" t="s">
        <v>1777</v>
      </c>
      <c r="C150" s="2258" t="s">
        <v>1785</v>
      </c>
      <c r="E150" s="2269" t="str">
        <f>preferences.energyunits</f>
        <v>TWh</v>
      </c>
      <c r="F150" s="2266">
        <f t="shared" ref="F150:O150" si="23">F144*F145*Preferences.Unit.Power*Unit.year/Preferences.Unit.Energy</f>
        <v>0</v>
      </c>
      <c r="G150" s="2266">
        <f t="shared" si="23"/>
        <v>0</v>
      </c>
      <c r="H150" s="2266">
        <f t="shared" si="23"/>
        <v>0</v>
      </c>
      <c r="I150" s="2266">
        <f t="shared" si="23"/>
        <v>0</v>
      </c>
      <c r="J150" s="2266">
        <f t="shared" si="23"/>
        <v>0</v>
      </c>
      <c r="K150" s="2266">
        <f t="shared" si="23"/>
        <v>3.0067379999999999</v>
      </c>
      <c r="L150" s="2266">
        <f t="shared" si="23"/>
        <v>3.6817200000000003</v>
      </c>
      <c r="M150" s="2266">
        <f t="shared" si="23"/>
        <v>3.8658059999999996</v>
      </c>
      <c r="N150" s="2266">
        <f t="shared" si="23"/>
        <v>4.9703219999999995</v>
      </c>
      <c r="O150" s="2266">
        <f t="shared" si="23"/>
        <v>6.6270959999999999</v>
      </c>
    </row>
    <row r="151" spans="1:16" ht="14.25">
      <c r="A151" s="605"/>
      <c r="B151" s="2258" t="s">
        <v>276</v>
      </c>
      <c r="C151" s="2258" t="s">
        <v>1778</v>
      </c>
      <c r="E151" s="2269" t="str">
        <f>preferences.energyunits</f>
        <v>TWh</v>
      </c>
      <c r="F151" s="2259">
        <f>F150+F148</f>
        <v>0</v>
      </c>
      <c r="G151" s="2259">
        <f t="shared" ref="G151:O151" si="24">G150+G148</f>
        <v>0</v>
      </c>
      <c r="H151" s="2259">
        <f t="shared" si="24"/>
        <v>0</v>
      </c>
      <c r="I151" s="2259">
        <f t="shared" si="24"/>
        <v>0</v>
      </c>
      <c r="J151" s="2259">
        <f t="shared" si="24"/>
        <v>0</v>
      </c>
      <c r="K151" s="2259">
        <f t="shared" si="24"/>
        <v>4.2953400000000004</v>
      </c>
      <c r="L151" s="2259">
        <f t="shared" si="24"/>
        <v>7.3634400000000007</v>
      </c>
      <c r="M151" s="2259">
        <f t="shared" si="24"/>
        <v>12.88602</v>
      </c>
      <c r="N151" s="2259">
        <f t="shared" si="24"/>
        <v>16.567740000000001</v>
      </c>
      <c r="O151" s="2259">
        <f t="shared" si="24"/>
        <v>22.090319999999998</v>
      </c>
    </row>
    <row r="152" spans="1:16" ht="14.25">
      <c r="A152" s="605"/>
      <c r="B152" s="2258" t="s">
        <v>1311</v>
      </c>
      <c r="C152" s="2258" t="s">
        <v>1779</v>
      </c>
      <c r="E152" s="2269"/>
      <c r="F152" s="2260">
        <f t="shared" ref="F152:O152" si="25">F67</f>
        <v>0.3</v>
      </c>
      <c r="G152" s="2260">
        <f t="shared" si="25"/>
        <v>0.3</v>
      </c>
      <c r="H152" s="2260">
        <f t="shared" si="25"/>
        <v>0.3</v>
      </c>
      <c r="I152" s="2260">
        <f t="shared" si="25"/>
        <v>0.31</v>
      </c>
      <c r="J152" s="2260">
        <f t="shared" si="25"/>
        <v>0.31</v>
      </c>
      <c r="K152" s="2260">
        <f t="shared" si="25"/>
        <v>0.32</v>
      </c>
      <c r="L152" s="2260">
        <f t="shared" si="25"/>
        <v>0.32</v>
      </c>
      <c r="M152" s="2260">
        <f t="shared" si="25"/>
        <v>0.33</v>
      </c>
      <c r="N152" s="2260">
        <f t="shared" si="25"/>
        <v>0.33</v>
      </c>
      <c r="O152" s="2260">
        <f t="shared" si="25"/>
        <v>0.34</v>
      </c>
    </row>
    <row r="153" spans="1:16">
      <c r="A153" s="423" t="s">
        <v>1735</v>
      </c>
      <c r="C153" s="423"/>
      <c r="E153" s="2168"/>
    </row>
    <row r="154" spans="1:16" ht="14.25">
      <c r="A154" s="605"/>
      <c r="B154" s="422" t="s">
        <v>36</v>
      </c>
      <c r="C154" s="19" t="str">
        <f>INDEX(Vectors[Description], MATCH(B$154, Vectors[Code], 0))</f>
        <v>Solid hydrocarbons</v>
      </c>
      <c r="E154" s="2269" t="str">
        <f>preferences.energyunits</f>
        <v>TWh</v>
      </c>
      <c r="F154" s="2259">
        <f>F151/F152</f>
        <v>0</v>
      </c>
      <c r="G154" s="2259">
        <f t="shared" ref="G154:O154" si="26">G151/G152</f>
        <v>0</v>
      </c>
      <c r="H154" s="2259">
        <f t="shared" si="26"/>
        <v>0</v>
      </c>
      <c r="I154" s="2259">
        <f t="shared" si="26"/>
        <v>0</v>
      </c>
      <c r="J154" s="2259">
        <f t="shared" si="26"/>
        <v>0</v>
      </c>
      <c r="K154" s="2259">
        <f t="shared" si="26"/>
        <v>13.422937500000002</v>
      </c>
      <c r="L154" s="2259">
        <f t="shared" si="26"/>
        <v>23.010750000000002</v>
      </c>
      <c r="M154" s="2259">
        <f t="shared" si="26"/>
        <v>39.048545454545454</v>
      </c>
      <c r="N154" s="2259">
        <f t="shared" si="26"/>
        <v>50.205272727272728</v>
      </c>
      <c r="O154" s="2259">
        <f t="shared" si="26"/>
        <v>64.971529411764692</v>
      </c>
    </row>
    <row r="155" spans="1:16" ht="14.25">
      <c r="A155" s="423" t="s">
        <v>281</v>
      </c>
      <c r="B155" s="422"/>
      <c r="C155" s="605" t="s">
        <v>350</v>
      </c>
      <c r="D155" s="51"/>
      <c r="E155" s="99" t="s">
        <v>368</v>
      </c>
      <c r="F155" s="90">
        <f>F$154*INDEX(EF[CO2], MATCH("V.03", EF[Vector], 0))</f>
        <v>0</v>
      </c>
      <c r="G155" s="90">
        <f>G$154*INDEX(EF[CO2], MATCH("V.03", EF[Vector], 0))</f>
        <v>0</v>
      </c>
      <c r="H155" s="90">
        <f>H$154*INDEX(EF[CO2], MATCH("V.03", EF[Vector], 0))</f>
        <v>0</v>
      </c>
      <c r="I155" s="90">
        <f>I$154*INDEX(EF[CO2], MATCH("V.03", EF[Vector], 0))</f>
        <v>0</v>
      </c>
      <c r="J155" s="90">
        <f>J$154*INDEX(EF[CO2], MATCH("V.03", EF[Vector], 0))</f>
        <v>0</v>
      </c>
      <c r="K155" s="90">
        <f>K$154*INDEX(EF[CO2], MATCH("V.03", EF[Vector], 0))</f>
        <v>4.6590583064516133</v>
      </c>
      <c r="L155" s="90">
        <f>L$154*INDEX(EF[CO2], MATCH("V.03", EF[Vector], 0))</f>
        <v>7.9869570967741943</v>
      </c>
      <c r="M155" s="90">
        <f>M$154*INDEX(EF[CO2], MATCH("V.03", EF[Vector], 0))</f>
        <v>13.553624164222875</v>
      </c>
      <c r="N155" s="90">
        <f>N$154*INDEX(EF[CO2], MATCH("V.03", EF[Vector], 0))</f>
        <v>17.426088211143696</v>
      </c>
      <c r="O155" s="90">
        <f>O$154*INDEX(EF[CO2], MATCH("V.03", EF[Vector], 0))</f>
        <v>22.551408273244778</v>
      </c>
    </row>
    <row r="156" spans="1:16" ht="14.25">
      <c r="A156" s="423" t="s">
        <v>1786</v>
      </c>
      <c r="C156" s="605" t="s">
        <v>350</v>
      </c>
      <c r="E156" s="99" t="s">
        <v>368</v>
      </c>
      <c r="F156" s="315">
        <f t="shared" ref="F156:O156" si="27">(1-F88)*F155</f>
        <v>0</v>
      </c>
      <c r="G156" s="315">
        <f t="shared" si="27"/>
        <v>0</v>
      </c>
      <c r="H156" s="315">
        <f t="shared" si="27"/>
        <v>0</v>
      </c>
      <c r="I156" s="315">
        <f t="shared" si="27"/>
        <v>0</v>
      </c>
      <c r="J156" s="315">
        <f t="shared" si="27"/>
        <v>0</v>
      </c>
      <c r="K156" s="315">
        <f t="shared" si="27"/>
        <v>0.46590583064516122</v>
      </c>
      <c r="L156" s="315">
        <f t="shared" si="27"/>
        <v>0.79869570967741921</v>
      </c>
      <c r="M156" s="315">
        <f t="shared" si="27"/>
        <v>1.3553624164222871</v>
      </c>
      <c r="N156" s="315">
        <f t="shared" si="27"/>
        <v>1.7426088211143693</v>
      </c>
      <c r="O156" s="315">
        <f t="shared" si="27"/>
        <v>2.2551408273244773</v>
      </c>
    </row>
    <row r="157" spans="1:16">
      <c r="A157" s="423"/>
      <c r="E157" s="99"/>
    </row>
    <row r="158" spans="1:16">
      <c r="C158" s="2252">
        <v>2</v>
      </c>
      <c r="D158" s="2253" t="s">
        <v>1780</v>
      </c>
      <c r="E158" s="2254"/>
      <c r="F158" s="2254"/>
      <c r="G158" s="2254">
        <f>Unit.GW</f>
        <v>1</v>
      </c>
      <c r="H158" s="2254"/>
      <c r="I158" s="2254"/>
      <c r="J158" s="2254"/>
      <c r="K158" s="2254"/>
      <c r="L158" s="2254"/>
      <c r="M158" s="2254"/>
      <c r="N158" s="2254"/>
      <c r="O158" s="2254"/>
      <c r="P158" s="2254"/>
    </row>
    <row r="160" spans="1:16">
      <c r="A160" s="605"/>
      <c r="B160" s="2251"/>
      <c r="C160" s="2255"/>
      <c r="D160" s="2255"/>
      <c r="E160" s="2255"/>
      <c r="F160" s="2270">
        <v>2007</v>
      </c>
      <c r="G160" s="2270">
        <v>2012</v>
      </c>
      <c r="H160" s="2270">
        <v>2017</v>
      </c>
      <c r="I160" s="2270">
        <v>2022</v>
      </c>
      <c r="J160" s="2270">
        <v>2027</v>
      </c>
      <c r="K160" s="2270">
        <v>2032</v>
      </c>
      <c r="L160" s="2270">
        <v>2037</v>
      </c>
      <c r="M160" s="2270">
        <v>2042</v>
      </c>
      <c r="N160" s="2270">
        <v>2047</v>
      </c>
      <c r="O160" s="2270">
        <v>2052</v>
      </c>
    </row>
    <row r="161" spans="1:16" s="37" customFormat="1">
      <c r="A161" s="605"/>
      <c r="B161" s="2251"/>
      <c r="C161" s="2251" t="s">
        <v>793</v>
      </c>
      <c r="D161" s="605"/>
      <c r="E161" s="2268" t="str">
        <f>Preferences.PowerUnits</f>
        <v>GW</v>
      </c>
      <c r="F161" s="2256">
        <f t="shared" ref="F161:O161" si="28">F128</f>
        <v>0</v>
      </c>
      <c r="G161" s="2256">
        <f t="shared" si="28"/>
        <v>0</v>
      </c>
      <c r="H161" s="2256">
        <f t="shared" si="28"/>
        <v>0</v>
      </c>
      <c r="I161" s="2256">
        <f t="shared" si="28"/>
        <v>0</v>
      </c>
      <c r="J161" s="2256">
        <f t="shared" si="28"/>
        <v>0</v>
      </c>
      <c r="K161" s="2256">
        <f t="shared" si="28"/>
        <v>0.30000000000000004</v>
      </c>
      <c r="L161" s="2256">
        <f t="shared" si="28"/>
        <v>0.8</v>
      </c>
      <c r="M161" s="2256">
        <f t="shared" si="28"/>
        <v>2.9000000000000004</v>
      </c>
      <c r="N161" s="2256">
        <f t="shared" si="28"/>
        <v>4.3000000000000007</v>
      </c>
      <c r="O161" s="2256">
        <f t="shared" si="28"/>
        <v>6.4</v>
      </c>
    </row>
    <row r="162" spans="1:16" s="37" customFormat="1">
      <c r="B162" s="2258" t="s">
        <v>1774</v>
      </c>
      <c r="C162" s="2258" t="s">
        <v>1775</v>
      </c>
      <c r="D162" s="605"/>
      <c r="E162" s="2268" t="str">
        <f>Preferences.PowerUnits</f>
        <v>GW</v>
      </c>
      <c r="F162" s="2259">
        <f t="shared" ref="F162:O162" si="29">F161*F122</f>
        <v>0</v>
      </c>
      <c r="G162" s="2259">
        <f t="shared" si="29"/>
        <v>0</v>
      </c>
      <c r="H162" s="2259">
        <f t="shared" si="29"/>
        <v>0</v>
      </c>
      <c r="I162" s="2259">
        <f t="shared" si="29"/>
        <v>0</v>
      </c>
      <c r="J162" s="2259">
        <f t="shared" si="29"/>
        <v>0</v>
      </c>
      <c r="K162" s="2259">
        <f t="shared" si="29"/>
        <v>9.0000000000000011E-2</v>
      </c>
      <c r="L162" s="2259">
        <f t="shared" si="29"/>
        <v>0.4</v>
      </c>
      <c r="M162" s="2259">
        <f t="shared" si="29"/>
        <v>2.0300000000000002</v>
      </c>
      <c r="N162" s="2259">
        <f t="shared" si="29"/>
        <v>3.0100000000000002</v>
      </c>
      <c r="O162" s="2259">
        <f t="shared" si="29"/>
        <v>4.4799999999999995</v>
      </c>
    </row>
    <row r="163" spans="1:16" ht="14.25">
      <c r="A163" s="37"/>
      <c r="B163" s="2258" t="s">
        <v>1311</v>
      </c>
      <c r="C163" s="2258" t="s">
        <v>788</v>
      </c>
      <c r="E163" s="2269" t="s">
        <v>277</v>
      </c>
      <c r="F163" s="2260">
        <f t="shared" ref="F163:O163" si="30">F82</f>
        <v>0.7</v>
      </c>
      <c r="G163" s="2260">
        <f t="shared" si="30"/>
        <v>0.7</v>
      </c>
      <c r="H163" s="2260">
        <f t="shared" si="30"/>
        <v>0.7</v>
      </c>
      <c r="I163" s="2260">
        <f t="shared" si="30"/>
        <v>0.7</v>
      </c>
      <c r="J163" s="2260">
        <f t="shared" si="30"/>
        <v>0.7</v>
      </c>
      <c r="K163" s="2260">
        <f t="shared" si="30"/>
        <v>0.7</v>
      </c>
      <c r="L163" s="2260">
        <f t="shared" si="30"/>
        <v>0.7</v>
      </c>
      <c r="M163" s="2260">
        <f t="shared" si="30"/>
        <v>0.7</v>
      </c>
      <c r="N163" s="2260">
        <f t="shared" si="30"/>
        <v>0.7</v>
      </c>
      <c r="O163" s="2260">
        <f t="shared" si="30"/>
        <v>0.7</v>
      </c>
    </row>
    <row r="164" spans="1:16">
      <c r="A164" s="605"/>
      <c r="B164" s="2258" t="s">
        <v>276</v>
      </c>
      <c r="C164" s="2258" t="s">
        <v>1776</v>
      </c>
      <c r="E164" s="2268" t="str">
        <f>Preferences.PowerUnits</f>
        <v>GW</v>
      </c>
      <c r="F164" s="2259">
        <f t="shared" ref="F164:O164" si="31">(F161-F162)*F163</f>
        <v>0</v>
      </c>
      <c r="G164" s="2259">
        <f t="shared" si="31"/>
        <v>0</v>
      </c>
      <c r="H164" s="2259">
        <f t="shared" si="31"/>
        <v>0</v>
      </c>
      <c r="I164" s="2259">
        <f t="shared" si="31"/>
        <v>0</v>
      </c>
      <c r="J164" s="2259">
        <f t="shared" si="31"/>
        <v>0</v>
      </c>
      <c r="K164" s="2259">
        <f t="shared" si="31"/>
        <v>0.14699999999999999</v>
      </c>
      <c r="L164" s="2259">
        <f t="shared" si="31"/>
        <v>0.27999999999999997</v>
      </c>
      <c r="M164" s="2259">
        <f t="shared" si="31"/>
        <v>0.60899999999999999</v>
      </c>
      <c r="N164" s="2259">
        <f t="shared" si="31"/>
        <v>0.90300000000000025</v>
      </c>
      <c r="O164" s="2259">
        <f t="shared" si="31"/>
        <v>1.3440000000000005</v>
      </c>
    </row>
    <row r="165" spans="1:16">
      <c r="A165" s="605"/>
      <c r="E165" s="2168"/>
    </row>
    <row r="166" spans="1:16" ht="14.25">
      <c r="A166" s="605"/>
      <c r="B166" s="2257"/>
      <c r="C166" s="2261" t="s">
        <v>1784</v>
      </c>
      <c r="E166" s="2269" t="str">
        <f>preferences.energyunits</f>
        <v>TWh</v>
      </c>
      <c r="F166" s="2266">
        <f t="shared" ref="F166:O166" si="32">F164*Preferences.Unit.Power*Unit.year/Preferences.Unit.Energy</f>
        <v>0</v>
      </c>
      <c r="G166" s="2266">
        <f t="shared" si="32"/>
        <v>0</v>
      </c>
      <c r="H166" s="2266">
        <f t="shared" si="32"/>
        <v>0</v>
      </c>
      <c r="I166" s="2266">
        <f t="shared" si="32"/>
        <v>0</v>
      </c>
      <c r="J166" s="2266">
        <f t="shared" si="32"/>
        <v>0</v>
      </c>
      <c r="K166" s="2266">
        <f t="shared" si="32"/>
        <v>1.2886019999999998</v>
      </c>
      <c r="L166" s="2266">
        <f t="shared" si="32"/>
        <v>2.4544799999999998</v>
      </c>
      <c r="M166" s="2266">
        <f t="shared" si="32"/>
        <v>5.3384939999999999</v>
      </c>
      <c r="N166" s="2266">
        <f t="shared" si="32"/>
        <v>7.9156980000000026</v>
      </c>
      <c r="O166" s="2266">
        <f t="shared" si="32"/>
        <v>11.781504000000005</v>
      </c>
    </row>
    <row r="167" spans="1:16">
      <c r="A167" s="605"/>
      <c r="E167" s="2168"/>
    </row>
    <row r="168" spans="1:16" ht="14.25">
      <c r="A168" s="605"/>
      <c r="B168" s="2258" t="s">
        <v>1777</v>
      </c>
      <c r="C168" s="2258" t="s">
        <v>1785</v>
      </c>
      <c r="E168" s="2269" t="str">
        <f>preferences.energyunits</f>
        <v>TWh</v>
      </c>
      <c r="F168" s="2266">
        <f t="shared" ref="F168:O168" si="33">F162*F163*Preferences.Unit.Power*Unit.year/Preferences.Unit.Energy</f>
        <v>0</v>
      </c>
      <c r="G168" s="2266">
        <f t="shared" si="33"/>
        <v>0</v>
      </c>
      <c r="H168" s="2266">
        <f t="shared" si="33"/>
        <v>0</v>
      </c>
      <c r="I168" s="2266">
        <f t="shared" si="33"/>
        <v>0</v>
      </c>
      <c r="J168" s="2266">
        <f t="shared" si="33"/>
        <v>0</v>
      </c>
      <c r="K168" s="2266">
        <f t="shared" si="33"/>
        <v>0.55225800000000003</v>
      </c>
      <c r="L168" s="2266">
        <f t="shared" si="33"/>
        <v>2.4544799999999998</v>
      </c>
      <c r="M168" s="2266">
        <f t="shared" si="33"/>
        <v>12.456486</v>
      </c>
      <c r="N168" s="2266">
        <f t="shared" si="33"/>
        <v>18.469962000000002</v>
      </c>
      <c r="O168" s="2266">
        <f t="shared" si="33"/>
        <v>27.490175999999998</v>
      </c>
    </row>
    <row r="169" spans="1:16" ht="14.25">
      <c r="A169" s="605"/>
      <c r="B169" s="2258" t="s">
        <v>276</v>
      </c>
      <c r="C169" s="2258" t="s">
        <v>1778</v>
      </c>
      <c r="E169" s="2269" t="str">
        <f>preferences.energyunits</f>
        <v>TWh</v>
      </c>
      <c r="F169" s="2259">
        <f t="shared" ref="F169:O169" si="34">F168+F166</f>
        <v>0</v>
      </c>
      <c r="G169" s="2259">
        <f t="shared" si="34"/>
        <v>0</v>
      </c>
      <c r="H169" s="2259">
        <f t="shared" si="34"/>
        <v>0</v>
      </c>
      <c r="I169" s="2259">
        <f t="shared" si="34"/>
        <v>0</v>
      </c>
      <c r="J169" s="2259">
        <f t="shared" si="34"/>
        <v>0</v>
      </c>
      <c r="K169" s="2259">
        <f t="shared" si="34"/>
        <v>1.8408599999999997</v>
      </c>
      <c r="L169" s="2259">
        <f t="shared" si="34"/>
        <v>4.9089599999999995</v>
      </c>
      <c r="M169" s="2259">
        <f t="shared" si="34"/>
        <v>17.794979999999999</v>
      </c>
      <c r="N169" s="2259">
        <f t="shared" si="34"/>
        <v>26.385660000000005</v>
      </c>
      <c r="O169" s="2259">
        <f t="shared" si="34"/>
        <v>39.271680000000003</v>
      </c>
    </row>
    <row r="170" spans="1:16" ht="14.25">
      <c r="A170" s="605"/>
      <c r="B170" s="2258" t="s">
        <v>1311</v>
      </c>
      <c r="C170" s="2258" t="s">
        <v>1779</v>
      </c>
      <c r="E170" s="2269"/>
      <c r="F170" s="2260">
        <f t="shared" ref="F170:O170" si="35">F68</f>
        <v>0.3</v>
      </c>
      <c r="G170" s="2260">
        <f t="shared" si="35"/>
        <v>0.3</v>
      </c>
      <c r="H170" s="2260">
        <f t="shared" si="35"/>
        <v>0.3</v>
      </c>
      <c r="I170" s="2260">
        <f t="shared" si="35"/>
        <v>0.31</v>
      </c>
      <c r="J170" s="2260">
        <f t="shared" si="35"/>
        <v>0.31</v>
      </c>
      <c r="K170" s="2260">
        <f t="shared" si="35"/>
        <v>0.32</v>
      </c>
      <c r="L170" s="2260">
        <f t="shared" si="35"/>
        <v>0.32</v>
      </c>
      <c r="M170" s="2260">
        <f t="shared" si="35"/>
        <v>0.33</v>
      </c>
      <c r="N170" s="2260">
        <f t="shared" si="35"/>
        <v>0.33</v>
      </c>
      <c r="O170" s="2260">
        <f t="shared" si="35"/>
        <v>0.34</v>
      </c>
    </row>
    <row r="171" spans="1:16">
      <c r="A171" s="423" t="s">
        <v>1735</v>
      </c>
      <c r="C171" s="423"/>
      <c r="E171" s="2168"/>
    </row>
    <row r="172" spans="1:16" ht="14.25">
      <c r="A172" s="605"/>
      <c r="B172" s="422" t="s">
        <v>36</v>
      </c>
      <c r="C172" s="19" t="str">
        <f>INDEX(Vectors[Description], MATCH(B$154, Vectors[Code], 0))</f>
        <v>Solid hydrocarbons</v>
      </c>
      <c r="E172" s="2269" t="str">
        <f>preferences.energyunits</f>
        <v>TWh</v>
      </c>
      <c r="F172" s="2259">
        <f>F169/F170</f>
        <v>0</v>
      </c>
      <c r="G172" s="2259">
        <f t="shared" ref="G172:O172" si="36">G169/G170</f>
        <v>0</v>
      </c>
      <c r="H172" s="2259">
        <f t="shared" si="36"/>
        <v>0</v>
      </c>
      <c r="I172" s="2259">
        <f t="shared" si="36"/>
        <v>0</v>
      </c>
      <c r="J172" s="2259">
        <f t="shared" si="36"/>
        <v>0</v>
      </c>
      <c r="K172" s="2259">
        <f t="shared" si="36"/>
        <v>5.7526874999999986</v>
      </c>
      <c r="L172" s="2259">
        <f t="shared" si="36"/>
        <v>15.340499999999999</v>
      </c>
      <c r="M172" s="2259">
        <f t="shared" si="36"/>
        <v>53.924181818181815</v>
      </c>
      <c r="N172" s="2259">
        <f t="shared" si="36"/>
        <v>79.956545454545463</v>
      </c>
      <c r="O172" s="2259">
        <f t="shared" si="36"/>
        <v>115.5049411764706</v>
      </c>
    </row>
    <row r="173" spans="1:16" ht="14.25">
      <c r="A173" s="423" t="s">
        <v>281</v>
      </c>
      <c r="B173" s="422"/>
      <c r="C173" s="605" t="s">
        <v>350</v>
      </c>
      <c r="D173" s="51"/>
      <c r="E173" s="99" t="s">
        <v>368</v>
      </c>
      <c r="F173" s="90">
        <f>F$172*INDEX(EF[CO2], MATCH("V.03", EF[Vector], 0))</f>
        <v>0</v>
      </c>
      <c r="G173" s="90">
        <f>G$172*INDEX(EF[CO2], MATCH("V.03", EF[Vector], 0))</f>
        <v>0</v>
      </c>
      <c r="H173" s="90">
        <f>H$172*INDEX(EF[CO2], MATCH("V.03", EF[Vector], 0))</f>
        <v>0</v>
      </c>
      <c r="I173" s="90">
        <f>I$172*INDEX(EF[CO2], MATCH("V.03", EF[Vector], 0))</f>
        <v>0</v>
      </c>
      <c r="J173" s="90">
        <f>J$172*INDEX(EF[CO2], MATCH("V.03", EF[Vector], 0))</f>
        <v>0</v>
      </c>
      <c r="K173" s="90">
        <f>K$172*INDEX(EF[CO2], MATCH("V.03", EF[Vector], 0))</f>
        <v>1.9967392741935479</v>
      </c>
      <c r="L173" s="90">
        <f>L$172*INDEX(EF[CO2], MATCH("V.03", EF[Vector], 0))</f>
        <v>5.3246380645161286</v>
      </c>
      <c r="M173" s="90">
        <f>M$172*INDEX(EF[CO2], MATCH("V.03", EF[Vector], 0))</f>
        <v>18.716909560117301</v>
      </c>
      <c r="N173" s="90">
        <f>N$172*INDEX(EF[CO2], MATCH("V.03", EF[Vector], 0))</f>
        <v>27.752659002932553</v>
      </c>
      <c r="O173" s="90">
        <f>O$172*INDEX(EF[CO2], MATCH("V.03", EF[Vector], 0))</f>
        <v>40.091392485768502</v>
      </c>
    </row>
    <row r="174" spans="1:16" ht="14.25">
      <c r="A174" s="423" t="s">
        <v>1786</v>
      </c>
      <c r="C174" s="605" t="s">
        <v>350</v>
      </c>
      <c r="E174" s="99" t="s">
        <v>368</v>
      </c>
      <c r="F174" s="315">
        <f t="shared" ref="F174:O174" si="37">(1-F89)*F173</f>
        <v>0</v>
      </c>
      <c r="G174" s="315">
        <f t="shared" si="37"/>
        <v>0</v>
      </c>
      <c r="H174" s="315">
        <f t="shared" si="37"/>
        <v>0</v>
      </c>
      <c r="I174" s="315">
        <f t="shared" si="37"/>
        <v>0</v>
      </c>
      <c r="J174" s="315">
        <f t="shared" si="37"/>
        <v>0</v>
      </c>
      <c r="K174" s="315">
        <f t="shared" si="37"/>
        <v>0.19967392741935475</v>
      </c>
      <c r="L174" s="315">
        <f t="shared" si="37"/>
        <v>0.53246380645161273</v>
      </c>
      <c r="M174" s="315">
        <f t="shared" si="37"/>
        <v>1.8716909560117296</v>
      </c>
      <c r="N174" s="315">
        <f t="shared" si="37"/>
        <v>2.7752659002932547</v>
      </c>
      <c r="O174" s="315">
        <f t="shared" si="37"/>
        <v>4.0091392485768491</v>
      </c>
    </row>
    <row r="176" spans="1:16">
      <c r="C176" s="2252">
        <v>3</v>
      </c>
      <c r="D176" s="2253" t="s">
        <v>1781</v>
      </c>
      <c r="E176" s="2254"/>
      <c r="F176" s="2254"/>
      <c r="G176" s="2254">
        <f>Unit.TWh</f>
        <v>1</v>
      </c>
      <c r="H176" s="2254"/>
      <c r="I176" s="2254"/>
      <c r="J176" s="2254"/>
      <c r="K176" s="2254"/>
      <c r="L176" s="2254"/>
      <c r="M176" s="2254"/>
      <c r="N176" s="2254"/>
      <c r="O176" s="2254"/>
      <c r="P176" s="2254"/>
    </row>
    <row r="178" spans="1:16">
      <c r="A178" s="605"/>
      <c r="B178" s="2251"/>
      <c r="C178" s="2255"/>
      <c r="D178" s="2255"/>
      <c r="E178" s="2255"/>
      <c r="F178" s="2267">
        <v>2007</v>
      </c>
      <c r="G178" s="2267">
        <v>2012</v>
      </c>
      <c r="H178" s="2267">
        <v>2017</v>
      </c>
      <c r="I178" s="2267">
        <v>2022</v>
      </c>
      <c r="J178" s="2267">
        <v>2027</v>
      </c>
      <c r="K178" s="2267">
        <v>2032</v>
      </c>
      <c r="L178" s="2267">
        <v>2037</v>
      </c>
      <c r="M178" s="2267">
        <v>2042</v>
      </c>
      <c r="N178" s="2267">
        <v>2047</v>
      </c>
      <c r="O178" s="2267">
        <v>2052</v>
      </c>
    </row>
    <row r="179" spans="1:16">
      <c r="A179" s="605"/>
      <c r="B179" s="2251"/>
      <c r="C179" s="2251" t="s">
        <v>793</v>
      </c>
      <c r="E179" s="2268" t="str">
        <f>Preferences.PowerUnits</f>
        <v>GW</v>
      </c>
      <c r="F179" s="2256">
        <f t="shared" ref="F179:O179" si="38">F129</f>
        <v>0</v>
      </c>
      <c r="G179" s="2256">
        <f t="shared" si="38"/>
        <v>0</v>
      </c>
      <c r="H179" s="2256">
        <f t="shared" si="38"/>
        <v>0</v>
      </c>
      <c r="I179" s="2256">
        <f t="shared" si="38"/>
        <v>0</v>
      </c>
      <c r="J179" s="2256">
        <f t="shared" si="38"/>
        <v>0</v>
      </c>
      <c r="K179" s="2256">
        <f t="shared" si="38"/>
        <v>0</v>
      </c>
      <c r="L179" s="2256">
        <f t="shared" si="38"/>
        <v>0</v>
      </c>
      <c r="M179" s="2256">
        <f t="shared" si="38"/>
        <v>0</v>
      </c>
      <c r="N179" s="2256">
        <f t="shared" si="38"/>
        <v>0</v>
      </c>
      <c r="O179" s="2256">
        <f t="shared" si="38"/>
        <v>0</v>
      </c>
    </row>
    <row r="180" spans="1:16">
      <c r="A180" s="37"/>
      <c r="B180" s="2258" t="s">
        <v>1774</v>
      </c>
      <c r="C180" s="2258" t="s">
        <v>1775</v>
      </c>
      <c r="E180" s="2268" t="str">
        <f>Preferences.PowerUnits</f>
        <v>GW</v>
      </c>
      <c r="F180" s="2259">
        <f t="shared" ref="F180:O180" si="39">F179*F76</f>
        <v>0</v>
      </c>
      <c r="G180" s="2259">
        <f t="shared" si="39"/>
        <v>0</v>
      </c>
      <c r="H180" s="2259">
        <f t="shared" si="39"/>
        <v>0</v>
      </c>
      <c r="I180" s="2259">
        <f t="shared" si="39"/>
        <v>0</v>
      </c>
      <c r="J180" s="2259">
        <f t="shared" si="39"/>
        <v>0</v>
      </c>
      <c r="K180" s="2259">
        <f t="shared" si="39"/>
        <v>0</v>
      </c>
      <c r="L180" s="2259">
        <f t="shared" si="39"/>
        <v>0</v>
      </c>
      <c r="M180" s="2259">
        <f t="shared" si="39"/>
        <v>0</v>
      </c>
      <c r="N180" s="2259">
        <f t="shared" si="39"/>
        <v>0</v>
      </c>
      <c r="O180" s="2259">
        <f t="shared" si="39"/>
        <v>0</v>
      </c>
    </row>
    <row r="181" spans="1:16" ht="14.25">
      <c r="A181" s="37"/>
      <c r="B181" s="2258" t="s">
        <v>1311</v>
      </c>
      <c r="C181" s="2258" t="s">
        <v>788</v>
      </c>
      <c r="E181" s="2269" t="s">
        <v>277</v>
      </c>
      <c r="F181" s="2260">
        <f t="shared" ref="F181:O181" si="40">F83</f>
        <v>0.7</v>
      </c>
      <c r="G181" s="2260">
        <f t="shared" si="40"/>
        <v>0.7</v>
      </c>
      <c r="H181" s="2260">
        <f t="shared" si="40"/>
        <v>0.7</v>
      </c>
      <c r="I181" s="2260">
        <f t="shared" si="40"/>
        <v>0.7</v>
      </c>
      <c r="J181" s="2260">
        <f t="shared" si="40"/>
        <v>0.7</v>
      </c>
      <c r="K181" s="2260">
        <f t="shared" si="40"/>
        <v>0.7</v>
      </c>
      <c r="L181" s="2260">
        <f t="shared" si="40"/>
        <v>0.7</v>
      </c>
      <c r="M181" s="2260">
        <f t="shared" si="40"/>
        <v>0.7</v>
      </c>
      <c r="N181" s="2260">
        <f t="shared" si="40"/>
        <v>0.7</v>
      </c>
      <c r="O181" s="2260">
        <f t="shared" si="40"/>
        <v>0.7</v>
      </c>
    </row>
    <row r="182" spans="1:16">
      <c r="A182" s="605"/>
      <c r="B182" s="2258" t="s">
        <v>276</v>
      </c>
      <c r="C182" s="2258" t="s">
        <v>1776</v>
      </c>
      <c r="E182" s="2268" t="str">
        <f>Preferences.PowerUnits</f>
        <v>GW</v>
      </c>
      <c r="F182" s="2259">
        <f t="shared" ref="F182:O182" si="41">(F179-F180)*F181</f>
        <v>0</v>
      </c>
      <c r="G182" s="2259">
        <f t="shared" si="41"/>
        <v>0</v>
      </c>
      <c r="H182" s="2259">
        <f t="shared" si="41"/>
        <v>0</v>
      </c>
      <c r="I182" s="2259">
        <f t="shared" si="41"/>
        <v>0</v>
      </c>
      <c r="J182" s="2259">
        <f t="shared" si="41"/>
        <v>0</v>
      </c>
      <c r="K182" s="2259">
        <f t="shared" si="41"/>
        <v>0</v>
      </c>
      <c r="L182" s="2259">
        <f t="shared" si="41"/>
        <v>0</v>
      </c>
      <c r="M182" s="2259">
        <f t="shared" si="41"/>
        <v>0</v>
      </c>
      <c r="N182" s="2259">
        <f t="shared" si="41"/>
        <v>0</v>
      </c>
      <c r="O182" s="2259">
        <f t="shared" si="41"/>
        <v>0</v>
      </c>
    </row>
    <row r="183" spans="1:16">
      <c r="A183" s="605"/>
      <c r="E183" s="2168"/>
    </row>
    <row r="184" spans="1:16" ht="14.25">
      <c r="A184" s="605"/>
      <c r="B184" s="2257"/>
      <c r="C184" s="2261" t="s">
        <v>1784</v>
      </c>
      <c r="E184" s="2269" t="str">
        <f>preferences.energyunits</f>
        <v>TWh</v>
      </c>
      <c r="F184" s="2266">
        <f t="shared" ref="F184:O184" si="42">F182*Preferences.Unit.Power*Unit.year/Preferences.Unit.Energy</f>
        <v>0</v>
      </c>
      <c r="G184" s="2266">
        <f t="shared" si="42"/>
        <v>0</v>
      </c>
      <c r="H184" s="2266">
        <f t="shared" si="42"/>
        <v>0</v>
      </c>
      <c r="I184" s="2266">
        <f t="shared" si="42"/>
        <v>0</v>
      </c>
      <c r="J184" s="2266">
        <f t="shared" si="42"/>
        <v>0</v>
      </c>
      <c r="K184" s="2266">
        <f t="shared" si="42"/>
        <v>0</v>
      </c>
      <c r="L184" s="2266">
        <f t="shared" si="42"/>
        <v>0</v>
      </c>
      <c r="M184" s="2266">
        <f t="shared" si="42"/>
        <v>0</v>
      </c>
      <c r="N184" s="2266">
        <f t="shared" si="42"/>
        <v>0</v>
      </c>
      <c r="O184" s="2266">
        <f t="shared" si="42"/>
        <v>0</v>
      </c>
    </row>
    <row r="185" spans="1:16">
      <c r="A185" s="605"/>
      <c r="E185" s="2168"/>
    </row>
    <row r="186" spans="1:16" ht="14.25">
      <c r="A186" s="605"/>
      <c r="B186" s="2258" t="s">
        <v>1777</v>
      </c>
      <c r="C186" s="2258" t="s">
        <v>1785</v>
      </c>
      <c r="E186" s="2269" t="str">
        <f>preferences.energyunits</f>
        <v>TWh</v>
      </c>
      <c r="F186" s="2266">
        <f t="shared" ref="F186:O186" si="43">F180*F181*Preferences.Unit.Power*Unit.year/Preferences.Unit.Energy</f>
        <v>0</v>
      </c>
      <c r="G186" s="2266">
        <f t="shared" si="43"/>
        <v>0</v>
      </c>
      <c r="H186" s="2266">
        <f t="shared" si="43"/>
        <v>0</v>
      </c>
      <c r="I186" s="2266">
        <f t="shared" si="43"/>
        <v>0</v>
      </c>
      <c r="J186" s="2266">
        <f t="shared" si="43"/>
        <v>0</v>
      </c>
      <c r="K186" s="2266">
        <f t="shared" si="43"/>
        <v>0</v>
      </c>
      <c r="L186" s="2266">
        <f t="shared" si="43"/>
        <v>0</v>
      </c>
      <c r="M186" s="2266">
        <f t="shared" si="43"/>
        <v>0</v>
      </c>
      <c r="N186" s="2266">
        <f t="shared" si="43"/>
        <v>0</v>
      </c>
      <c r="O186" s="2266">
        <f t="shared" si="43"/>
        <v>0</v>
      </c>
    </row>
    <row r="187" spans="1:16" ht="14.25">
      <c r="A187" s="605"/>
      <c r="B187" s="2258" t="s">
        <v>276</v>
      </c>
      <c r="C187" s="2258" t="s">
        <v>1778</v>
      </c>
      <c r="E187" s="2269" t="str">
        <f>preferences.energyunits</f>
        <v>TWh</v>
      </c>
      <c r="F187" s="2259">
        <f t="shared" ref="F187:O187" si="44">F186+F184</f>
        <v>0</v>
      </c>
      <c r="G187" s="2259">
        <f t="shared" si="44"/>
        <v>0</v>
      </c>
      <c r="H187" s="2259">
        <f t="shared" si="44"/>
        <v>0</v>
      </c>
      <c r="I187" s="2259">
        <f t="shared" si="44"/>
        <v>0</v>
      </c>
      <c r="J187" s="2259">
        <f t="shared" si="44"/>
        <v>0</v>
      </c>
      <c r="K187" s="2259">
        <f t="shared" si="44"/>
        <v>0</v>
      </c>
      <c r="L187" s="2259">
        <f t="shared" si="44"/>
        <v>0</v>
      </c>
      <c r="M187" s="2259">
        <f t="shared" si="44"/>
        <v>0</v>
      </c>
      <c r="N187" s="2259">
        <f t="shared" si="44"/>
        <v>0</v>
      </c>
      <c r="O187" s="2259">
        <f t="shared" si="44"/>
        <v>0</v>
      </c>
    </row>
    <row r="188" spans="1:16" ht="14.25">
      <c r="A188" s="605"/>
      <c r="B188" s="2258" t="s">
        <v>1311</v>
      </c>
      <c r="C188" s="2258" t="s">
        <v>1779</v>
      </c>
      <c r="E188" s="2269"/>
      <c r="F188" s="2260">
        <f t="shared" ref="F188:O188" si="45">F69</f>
        <v>0.42</v>
      </c>
      <c r="G188" s="2260">
        <f t="shared" si="45"/>
        <v>0.42</v>
      </c>
      <c r="H188" s="2260">
        <f t="shared" si="45"/>
        <v>0.42</v>
      </c>
      <c r="I188" s="2260">
        <f t="shared" si="45"/>
        <v>0.43</v>
      </c>
      <c r="J188" s="2260">
        <f t="shared" si="45"/>
        <v>0.43</v>
      </c>
      <c r="K188" s="2260">
        <f t="shared" si="45"/>
        <v>0.44</v>
      </c>
      <c r="L188" s="2260">
        <f t="shared" si="45"/>
        <v>0.45</v>
      </c>
      <c r="M188" s="2260">
        <f t="shared" si="45"/>
        <v>0.45</v>
      </c>
      <c r="N188" s="2260">
        <f t="shared" si="45"/>
        <v>0.45</v>
      </c>
      <c r="O188" s="2260">
        <f t="shared" si="45"/>
        <v>0.46</v>
      </c>
    </row>
    <row r="189" spans="1:16">
      <c r="A189" s="423" t="s">
        <v>1735</v>
      </c>
      <c r="C189" s="423"/>
      <c r="E189" s="2168"/>
    </row>
    <row r="190" spans="1:16" ht="14.25">
      <c r="A190" s="605"/>
      <c r="B190" s="422" t="s">
        <v>39</v>
      </c>
      <c r="C190" s="19" t="str">
        <f>INDEX(Vectors[Description], MATCH(B$190, Vectors[Code], 0))</f>
        <v>Gaseous hydrocarbons</v>
      </c>
      <c r="E190" s="2269" t="str">
        <f>preferences.energyunits</f>
        <v>TWh</v>
      </c>
      <c r="F190" s="2259">
        <f>F187/F188</f>
        <v>0</v>
      </c>
      <c r="G190" s="2259">
        <f t="shared" ref="G190:O190" si="46">G187/G188</f>
        <v>0</v>
      </c>
      <c r="H190" s="2259">
        <f t="shared" si="46"/>
        <v>0</v>
      </c>
      <c r="I190" s="2259">
        <f t="shared" si="46"/>
        <v>0</v>
      </c>
      <c r="J190" s="2259">
        <f t="shared" si="46"/>
        <v>0</v>
      </c>
      <c r="K190" s="2259">
        <f t="shared" si="46"/>
        <v>0</v>
      </c>
      <c r="L190" s="2259">
        <f t="shared" si="46"/>
        <v>0</v>
      </c>
      <c r="M190" s="2259">
        <f t="shared" si="46"/>
        <v>0</v>
      </c>
      <c r="N190" s="2259">
        <f t="shared" si="46"/>
        <v>0</v>
      </c>
      <c r="O190" s="2259">
        <f t="shared" si="46"/>
        <v>0</v>
      </c>
    </row>
    <row r="191" spans="1:16" ht="14.25">
      <c r="A191" s="423" t="s">
        <v>281</v>
      </c>
      <c r="B191" s="422"/>
      <c r="C191" s="605" t="s">
        <v>350</v>
      </c>
      <c r="D191" s="51"/>
      <c r="E191" s="99" t="s">
        <v>368</v>
      </c>
      <c r="F191" s="90">
        <f>F$190*INDEX(EF[CO2], MATCH("V.05", EF[Vector], 0))</f>
        <v>0</v>
      </c>
      <c r="G191" s="90">
        <f>G$190*INDEX(EF[CO2], MATCH("V.05", EF[Vector], 0))</f>
        <v>0</v>
      </c>
      <c r="H191" s="90">
        <f>H$190*INDEX(EF[CO2], MATCH("V.05", EF[Vector], 0))</f>
        <v>0</v>
      </c>
      <c r="I191" s="90">
        <f>I$190*INDEX(EF[CO2], MATCH("V.05", EF[Vector], 0))</f>
        <v>0</v>
      </c>
      <c r="J191" s="90">
        <f>J$190*INDEX(EF[CO2], MATCH("V.05", EF[Vector], 0))</f>
        <v>0</v>
      </c>
      <c r="K191" s="90">
        <f>K$190*INDEX(EF[CO2], MATCH("V.05", EF[Vector], 0))</f>
        <v>0</v>
      </c>
      <c r="L191" s="90">
        <f>L$190*INDEX(EF[CO2], MATCH("V.05", EF[Vector], 0))</f>
        <v>0</v>
      </c>
      <c r="M191" s="90">
        <f>M$190*INDEX(EF[CO2], MATCH("V.05", EF[Vector], 0))</f>
        <v>0</v>
      </c>
      <c r="N191" s="90">
        <f>N$190*INDEX(EF[CO2], MATCH("V.05", EF[Vector], 0))</f>
        <v>0</v>
      </c>
      <c r="O191" s="90">
        <f>O$190*INDEX(EF[CO2], MATCH("V.05", EF[Vector], 0))</f>
        <v>0</v>
      </c>
      <c r="P191" s="365"/>
    </row>
    <row r="192" spans="1:16" ht="14.25">
      <c r="A192" s="423" t="s">
        <v>1786</v>
      </c>
      <c r="C192" s="605" t="s">
        <v>350</v>
      </c>
      <c r="E192" s="99" t="s">
        <v>368</v>
      </c>
      <c r="F192" s="315">
        <f t="shared" ref="F192:O192" si="47">(1-F90)*F191</f>
        <v>0</v>
      </c>
      <c r="G192" s="315">
        <f t="shared" si="47"/>
        <v>0</v>
      </c>
      <c r="H192" s="315">
        <f t="shared" si="47"/>
        <v>0</v>
      </c>
      <c r="I192" s="315">
        <f t="shared" si="47"/>
        <v>0</v>
      </c>
      <c r="J192" s="315">
        <f t="shared" si="47"/>
        <v>0</v>
      </c>
      <c r="K192" s="315">
        <f t="shared" si="47"/>
        <v>0</v>
      </c>
      <c r="L192" s="315">
        <f t="shared" si="47"/>
        <v>0</v>
      </c>
      <c r="M192" s="315">
        <f t="shared" si="47"/>
        <v>0</v>
      </c>
      <c r="N192" s="315">
        <f t="shared" si="47"/>
        <v>0</v>
      </c>
      <c r="O192" s="315">
        <f t="shared" si="47"/>
        <v>0</v>
      </c>
      <c r="P192" s="365"/>
    </row>
    <row r="193" spans="1:16">
      <c r="F193" s="365"/>
      <c r="G193" s="365"/>
      <c r="H193" s="365"/>
      <c r="I193" s="365"/>
      <c r="J193" s="365"/>
      <c r="K193" s="365"/>
      <c r="L193" s="365"/>
      <c r="M193" s="365"/>
      <c r="N193" s="365"/>
      <c r="O193" s="365"/>
      <c r="P193" s="365"/>
    </row>
    <row r="194" spans="1:16">
      <c r="F194" s="365"/>
      <c r="G194" s="365"/>
      <c r="H194" s="365"/>
      <c r="I194" s="365"/>
      <c r="J194" s="365"/>
      <c r="K194" s="365"/>
      <c r="L194" s="365"/>
      <c r="M194" s="365"/>
      <c r="N194" s="365"/>
      <c r="O194" s="365"/>
      <c r="P194" s="365"/>
    </row>
    <row r="195" spans="1:16">
      <c r="F195" s="365"/>
      <c r="G195" s="365"/>
      <c r="H195" s="365"/>
      <c r="I195" s="365"/>
      <c r="J195" s="365"/>
      <c r="K195" s="365"/>
      <c r="L195" s="365"/>
      <c r="M195" s="365"/>
      <c r="N195" s="365"/>
      <c r="O195" s="365"/>
    </row>
    <row r="196" spans="1:16" ht="15.75">
      <c r="B196" s="206" t="s">
        <v>202</v>
      </c>
      <c r="C196" s="175"/>
      <c r="D196" s="175"/>
      <c r="E196" s="175"/>
      <c r="F196" s="175"/>
      <c r="G196" s="175"/>
      <c r="H196" s="175"/>
      <c r="I196" s="175"/>
      <c r="J196" s="175"/>
      <c r="K196" s="175"/>
      <c r="L196" s="175"/>
      <c r="M196" s="175"/>
      <c r="N196" s="175"/>
      <c r="O196" s="175"/>
      <c r="P196" s="177"/>
    </row>
    <row r="197" spans="1:16">
      <c r="B197" s="164"/>
      <c r="C197" s="166"/>
      <c r="D197" s="166"/>
      <c r="E197" s="166"/>
      <c r="F197" s="166"/>
      <c r="G197" s="166"/>
      <c r="H197" s="166"/>
      <c r="I197" s="166"/>
      <c r="J197" s="166"/>
      <c r="K197" s="166"/>
      <c r="L197" s="166"/>
      <c r="M197" s="166"/>
      <c r="N197" s="166"/>
      <c r="O197" s="166"/>
      <c r="P197" s="168"/>
    </row>
    <row r="198" spans="1:16">
      <c r="B198" s="164"/>
      <c r="C198" s="178" t="s">
        <v>239</v>
      </c>
      <c r="D198" s="166"/>
      <c r="E198" s="167"/>
      <c r="F198" s="166"/>
      <c r="G198" s="167"/>
      <c r="H198" s="166"/>
      <c r="I198" s="166"/>
      <c r="J198" s="166"/>
      <c r="K198" s="166"/>
      <c r="L198" s="166"/>
      <c r="M198" s="166"/>
      <c r="N198" s="166"/>
      <c r="O198" s="167" t="str">
        <f>preferences.energyunits</f>
        <v>TWh</v>
      </c>
      <c r="P198" s="168"/>
    </row>
    <row r="199" spans="1:16" ht="22.5">
      <c r="A199" s="745"/>
      <c r="B199" s="164"/>
      <c r="C199" s="166"/>
      <c r="D199" s="166"/>
      <c r="E199" s="166"/>
      <c r="F199" s="166"/>
      <c r="G199" s="166"/>
      <c r="H199" s="166"/>
      <c r="I199" s="166"/>
      <c r="J199" s="166"/>
      <c r="K199" s="166"/>
      <c r="L199" s="166"/>
      <c r="M199" s="166"/>
      <c r="N199" s="166"/>
      <c r="O199" s="166"/>
      <c r="P199" s="168"/>
    </row>
    <row r="200" spans="1:16" ht="15.75">
      <c r="B200" s="169"/>
      <c r="C200" s="2280" t="s">
        <v>64</v>
      </c>
      <c r="D200" s="2280" t="s">
        <v>137</v>
      </c>
      <c r="E200" s="2280" t="s">
        <v>156</v>
      </c>
      <c r="F200" s="2281" t="s">
        <v>203</v>
      </c>
      <c r="G200" s="2282" t="s">
        <v>712</v>
      </c>
      <c r="H200" s="2281" t="s">
        <v>713</v>
      </c>
      <c r="I200" s="2281" t="s">
        <v>714</v>
      </c>
      <c r="J200" s="2281" t="s">
        <v>715</v>
      </c>
      <c r="K200" s="2281" t="s">
        <v>716</v>
      </c>
      <c r="L200" s="2281" t="s">
        <v>717</v>
      </c>
      <c r="M200" s="2281" t="s">
        <v>718</v>
      </c>
      <c r="N200" s="2281" t="s">
        <v>719</v>
      </c>
      <c r="O200" s="2281" t="s">
        <v>720</v>
      </c>
      <c r="P200" s="609"/>
    </row>
    <row r="201" spans="1:16" ht="15.75">
      <c r="B201" s="169"/>
      <c r="C201" s="1523" t="s">
        <v>35</v>
      </c>
      <c r="D201" s="2278" t="str">
        <f>INDEX(Vectors[Description], MATCH(I.c!$C$201:$C$205,Vectors[Code], 0))</f>
        <v>Electricity (supplied to grid)</v>
      </c>
      <c r="E201" s="2278"/>
      <c r="F201" s="2283">
        <f t="shared" ref="F201:O201" si="48">F148+F166+F184</f>
        <v>0</v>
      </c>
      <c r="G201" s="2283">
        <f t="shared" si="48"/>
        <v>0</v>
      </c>
      <c r="H201" s="2283">
        <f t="shared" si="48"/>
        <v>0</v>
      </c>
      <c r="I201" s="2283">
        <f t="shared" si="48"/>
        <v>0</v>
      </c>
      <c r="J201" s="2283">
        <f t="shared" si="48"/>
        <v>0</v>
      </c>
      <c r="K201" s="2283">
        <f t="shared" si="48"/>
        <v>2.5772040000000001</v>
      </c>
      <c r="L201" s="2283">
        <f t="shared" si="48"/>
        <v>6.1362000000000005</v>
      </c>
      <c r="M201" s="2283">
        <f t="shared" si="48"/>
        <v>14.358708</v>
      </c>
      <c r="N201" s="2283">
        <f t="shared" si="48"/>
        <v>19.513116000000004</v>
      </c>
      <c r="O201" s="2283">
        <f t="shared" si="48"/>
        <v>27.244728000000002</v>
      </c>
      <c r="P201" s="609"/>
    </row>
    <row r="202" spans="1:16" ht="15.75">
      <c r="B202" s="169"/>
      <c r="C202" s="60" t="s">
        <v>36</v>
      </c>
      <c r="D202" s="2275" t="str">
        <f>INDEX(Vectors[Description], MATCH(I.c!$C$201:$C$205,Vectors[Code], 0))</f>
        <v>Solid hydrocarbons</v>
      </c>
      <c r="E202" s="2275"/>
      <c r="F202" s="2284">
        <f>-(F154+F172)</f>
        <v>0</v>
      </c>
      <c r="G202" s="2284">
        <f t="shared" ref="G202:O202" si="49">-(G154+G172)</f>
        <v>0</v>
      </c>
      <c r="H202" s="2284">
        <f t="shared" si="49"/>
        <v>0</v>
      </c>
      <c r="I202" s="2284">
        <f t="shared" si="49"/>
        <v>0</v>
      </c>
      <c r="J202" s="2284">
        <f t="shared" si="49"/>
        <v>0</v>
      </c>
      <c r="K202" s="2284">
        <f t="shared" si="49"/>
        <v>-19.175625</v>
      </c>
      <c r="L202" s="2284">
        <f t="shared" si="49"/>
        <v>-38.35125</v>
      </c>
      <c r="M202" s="2284">
        <f t="shared" si="49"/>
        <v>-92.972727272727269</v>
      </c>
      <c r="N202" s="2284">
        <f t="shared" si="49"/>
        <v>-130.16181818181821</v>
      </c>
      <c r="O202" s="2284">
        <f t="shared" si="49"/>
        <v>-180.47647058823529</v>
      </c>
      <c r="P202" s="609"/>
    </row>
    <row r="203" spans="1:16" ht="15.75">
      <c r="A203" s="758"/>
      <c r="B203" s="169"/>
      <c r="C203" s="60" t="s">
        <v>39</v>
      </c>
      <c r="D203" s="2275" t="str">
        <f>INDEX(Vectors[Description], MATCH(I.c!$C$201:$C$205,Vectors[Code], 0))</f>
        <v>Gaseous hydrocarbons</v>
      </c>
      <c r="E203" s="2275"/>
      <c r="F203" s="2284">
        <f>-F190</f>
        <v>0</v>
      </c>
      <c r="G203" s="2284">
        <f t="shared" ref="G203:O203" si="50">-G190</f>
        <v>0</v>
      </c>
      <c r="H203" s="2284">
        <f t="shared" si="50"/>
        <v>0</v>
      </c>
      <c r="I203" s="2284">
        <f t="shared" si="50"/>
        <v>0</v>
      </c>
      <c r="J203" s="2284">
        <f t="shared" si="50"/>
        <v>0</v>
      </c>
      <c r="K203" s="2284">
        <f t="shared" si="50"/>
        <v>0</v>
      </c>
      <c r="L203" s="2284">
        <f t="shared" si="50"/>
        <v>0</v>
      </c>
      <c r="M203" s="2284">
        <f t="shared" si="50"/>
        <v>0</v>
      </c>
      <c r="N203" s="2284">
        <f t="shared" si="50"/>
        <v>0</v>
      </c>
      <c r="O203" s="2284">
        <f t="shared" si="50"/>
        <v>0</v>
      </c>
      <c r="P203" s="609"/>
    </row>
    <row r="204" spans="1:16" ht="15.75">
      <c r="A204" s="758"/>
      <c r="B204" s="169"/>
      <c r="C204" s="60" t="s">
        <v>26</v>
      </c>
      <c r="D204" s="2275" t="str">
        <f>INDEX(Vectors[Description], MATCH(I.c!$C$201:$C$205,Vectors[Code], 0))</f>
        <v>Distribution losses and own use</v>
      </c>
      <c r="E204" s="2275"/>
      <c r="F204" s="2285">
        <f>F186+F168+F150</f>
        <v>0</v>
      </c>
      <c r="G204" s="2285">
        <f t="shared" ref="G204:O204" si="51">G186+G168+G150</f>
        <v>0</v>
      </c>
      <c r="H204" s="2285">
        <f t="shared" si="51"/>
        <v>0</v>
      </c>
      <c r="I204" s="2285">
        <f t="shared" si="51"/>
        <v>0</v>
      </c>
      <c r="J204" s="2285">
        <f t="shared" si="51"/>
        <v>0</v>
      </c>
      <c r="K204" s="2285">
        <f t="shared" si="51"/>
        <v>3.558996</v>
      </c>
      <c r="L204" s="2285">
        <f t="shared" si="51"/>
        <v>6.1362000000000005</v>
      </c>
      <c r="M204" s="2285">
        <f t="shared" si="51"/>
        <v>16.322292000000001</v>
      </c>
      <c r="N204" s="2285">
        <f t="shared" si="51"/>
        <v>23.440284000000002</v>
      </c>
      <c r="O204" s="2285">
        <f t="shared" si="51"/>
        <v>34.117272</v>
      </c>
      <c r="P204" s="609"/>
    </row>
    <row r="205" spans="1:16" ht="15.75">
      <c r="A205" s="758"/>
      <c r="B205" s="169"/>
      <c r="C205" s="60" t="s">
        <v>25</v>
      </c>
      <c r="D205" s="2293" t="str">
        <f>INDEX(Vectors[Description], MATCH(I.c!$C$201:$C$205,Vectors[Code], 0))</f>
        <v>Conversion losses</v>
      </c>
      <c r="E205" s="2293"/>
      <c r="F205" s="2262">
        <f>-(SUM(F201:F204))</f>
        <v>0</v>
      </c>
      <c r="G205" s="2262">
        <f t="shared" ref="G205:O205" si="52">-(SUM(G201:G204))</f>
        <v>0</v>
      </c>
      <c r="H205" s="2262">
        <f t="shared" si="52"/>
        <v>0</v>
      </c>
      <c r="I205" s="2262">
        <f t="shared" si="52"/>
        <v>0</v>
      </c>
      <c r="J205" s="2262">
        <f t="shared" si="52"/>
        <v>0</v>
      </c>
      <c r="K205" s="2262">
        <f t="shared" si="52"/>
        <v>13.039425000000001</v>
      </c>
      <c r="L205" s="2262">
        <f t="shared" si="52"/>
        <v>26.078849999999996</v>
      </c>
      <c r="M205" s="2262">
        <f t="shared" si="52"/>
        <v>62.291727272727258</v>
      </c>
      <c r="N205" s="2262">
        <f t="shared" si="52"/>
        <v>87.208418181818203</v>
      </c>
      <c r="O205" s="2262">
        <f t="shared" si="52"/>
        <v>119.11447058823528</v>
      </c>
      <c r="P205" s="609"/>
    </row>
    <row r="206" spans="1:16" ht="15.75">
      <c r="A206" s="758"/>
      <c r="B206" s="169"/>
      <c r="C206" s="2276" t="s">
        <v>103</v>
      </c>
      <c r="D206" s="2276"/>
      <c r="E206" s="2276"/>
      <c r="F206" s="2277">
        <f>SUBTOTAL(109,I.c!$F$201:$F$205)</f>
        <v>0</v>
      </c>
      <c r="G206" s="2277">
        <f>SUBTOTAL(109,I.c!$G$201:$G$205)</f>
        <v>0</v>
      </c>
      <c r="H206" s="2277">
        <f>SUBTOTAL(109,I.c!$H$201:$H$205)</f>
        <v>0</v>
      </c>
      <c r="I206" s="2277">
        <f>SUBTOTAL(109,I.c!$I$201:$I$205)</f>
        <v>0</v>
      </c>
      <c r="J206" s="2277">
        <f>SUBTOTAL(109,I.c!$J$201:$J$205)</f>
        <v>0</v>
      </c>
      <c r="K206" s="2277">
        <f>SUBTOTAL(109,I.c!$K$201:$K$205)</f>
        <v>0</v>
      </c>
      <c r="L206" s="2277">
        <f>SUBTOTAL(109,I.c!$L$201:$L$205)</f>
        <v>0</v>
      </c>
      <c r="M206" s="2277">
        <f>SUBTOTAL(109,I.c!$M$201:$M$205)</f>
        <v>0</v>
      </c>
      <c r="N206" s="2277">
        <f>SUBTOTAL(109,I.c!$N$201:$N$205)</f>
        <v>0</v>
      </c>
      <c r="O206" s="2277">
        <f>SUBTOTAL(109,I.c!$O$201:$O$205)</f>
        <v>0</v>
      </c>
      <c r="P206" s="609"/>
    </row>
    <row r="207" spans="1:16" ht="15.75">
      <c r="A207" s="758"/>
      <c r="B207" s="170"/>
      <c r="C207" s="171"/>
      <c r="D207" s="171"/>
      <c r="E207" s="171"/>
      <c r="F207" s="171"/>
      <c r="G207" s="171"/>
      <c r="H207" s="171"/>
      <c r="I207" s="171"/>
      <c r="J207" s="171"/>
      <c r="K207" s="171"/>
      <c r="L207" s="171"/>
      <c r="M207" s="171"/>
      <c r="N207" s="171"/>
      <c r="O207" s="171"/>
      <c r="P207" s="173"/>
    </row>
    <row r="208" spans="1:16" ht="15.75">
      <c r="A208" s="758"/>
    </row>
    <row r="210" spans="1:16" ht="15.75">
      <c r="B210" s="216" t="s">
        <v>281</v>
      </c>
      <c r="C210" s="183"/>
      <c r="D210" s="184"/>
      <c r="E210" s="184"/>
      <c r="F210" s="184"/>
      <c r="G210" s="184"/>
      <c r="H210" s="184"/>
      <c r="I210" s="184"/>
      <c r="J210" s="184"/>
      <c r="K210" s="184"/>
      <c r="L210" s="184"/>
      <c r="M210" s="184"/>
      <c r="N210" s="184"/>
      <c r="O210" s="184"/>
      <c r="P210" s="185"/>
    </row>
    <row r="211" spans="1:16">
      <c r="A211" s="623" t="s">
        <v>120</v>
      </c>
      <c r="B211" s="190"/>
      <c r="C211" s="191"/>
      <c r="D211" s="191"/>
      <c r="E211" s="191"/>
      <c r="F211" s="191"/>
      <c r="G211" s="191"/>
      <c r="H211" s="191"/>
      <c r="I211" s="191"/>
      <c r="J211" s="191"/>
      <c r="K211" s="191"/>
      <c r="L211" s="191"/>
      <c r="M211" s="191"/>
      <c r="N211" s="191"/>
      <c r="O211" s="191"/>
      <c r="P211" s="192"/>
    </row>
    <row r="212" spans="1:16" ht="14.25">
      <c r="B212" s="193"/>
      <c r="C212" s="186" t="s">
        <v>1654</v>
      </c>
      <c r="D212" s="187"/>
      <c r="E212" s="188"/>
      <c r="F212" s="187"/>
      <c r="G212" s="188"/>
      <c r="H212" s="187"/>
      <c r="I212" s="187"/>
      <c r="J212" s="187"/>
      <c r="K212" s="187"/>
      <c r="L212" s="187"/>
      <c r="M212" s="187"/>
      <c r="N212" s="187"/>
      <c r="O212" s="188" t="s">
        <v>368</v>
      </c>
      <c r="P212" s="194"/>
    </row>
    <row r="213" spans="1:16" ht="22.5" customHeight="1">
      <c r="B213" s="193"/>
      <c r="C213" s="187"/>
      <c r="D213" s="187"/>
      <c r="E213" s="187"/>
      <c r="F213" s="187"/>
      <c r="G213" s="187"/>
      <c r="H213" s="187"/>
      <c r="I213" s="187"/>
      <c r="J213" s="187"/>
      <c r="K213" s="187"/>
      <c r="L213" s="187"/>
      <c r="M213" s="187"/>
      <c r="N213" s="187"/>
      <c r="O213" s="187"/>
      <c r="P213" s="194"/>
    </row>
    <row r="214" spans="1:16" ht="15.75">
      <c r="B214" s="195"/>
      <c r="C214" s="221" t="s">
        <v>365</v>
      </c>
      <c r="D214" s="221" t="s">
        <v>337</v>
      </c>
      <c r="E214" s="221" t="s">
        <v>156</v>
      </c>
      <c r="F214" s="901" t="s">
        <v>203</v>
      </c>
      <c r="G214" s="902" t="s">
        <v>712</v>
      </c>
      <c r="H214" s="902" t="s">
        <v>713</v>
      </c>
      <c r="I214" s="902" t="s">
        <v>714</v>
      </c>
      <c r="J214" s="902" t="s">
        <v>715</v>
      </c>
      <c r="K214" s="902" t="s">
        <v>716</v>
      </c>
      <c r="L214" s="902" t="s">
        <v>717</v>
      </c>
      <c r="M214" s="902" t="s">
        <v>718</v>
      </c>
      <c r="N214" s="902" t="s">
        <v>719</v>
      </c>
      <c r="O214" s="902" t="s">
        <v>720</v>
      </c>
      <c r="P214" s="194"/>
    </row>
    <row r="215" spans="1:16" ht="15.75" customHeight="1">
      <c r="B215" s="195"/>
      <c r="C215" s="189" t="s">
        <v>350</v>
      </c>
      <c r="D215" s="196" t="s">
        <v>359</v>
      </c>
      <c r="E215" s="189" t="str">
        <f>INDEX(IPCC[Sector_description], MATCH([IPCC Sector], IPCC[Sector_code], 0))</f>
        <v>Fuel Combustion</v>
      </c>
      <c r="F215" s="197">
        <f>F191+F173+F155</f>
        <v>0</v>
      </c>
      <c r="G215" s="197">
        <f t="shared" ref="G215:O215" si="53">G191+G173+G155</f>
        <v>0</v>
      </c>
      <c r="H215" s="197">
        <f t="shared" si="53"/>
        <v>0</v>
      </c>
      <c r="I215" s="197">
        <f t="shared" si="53"/>
        <v>0</v>
      </c>
      <c r="J215" s="197">
        <f t="shared" si="53"/>
        <v>0</v>
      </c>
      <c r="K215" s="197">
        <f t="shared" si="53"/>
        <v>6.655797580645161</v>
      </c>
      <c r="L215" s="197">
        <f t="shared" si="53"/>
        <v>13.311595161290324</v>
      </c>
      <c r="M215" s="197">
        <f t="shared" si="53"/>
        <v>32.270533724340176</v>
      </c>
      <c r="N215" s="197">
        <f t="shared" si="53"/>
        <v>45.178747214076253</v>
      </c>
      <c r="O215" s="197">
        <f t="shared" si="53"/>
        <v>62.642800759013284</v>
      </c>
      <c r="P215" s="194"/>
    </row>
    <row r="216" spans="1:16" ht="17.25" customHeight="1">
      <c r="B216" s="195"/>
      <c r="C216" s="189" t="s">
        <v>351</v>
      </c>
      <c r="D216" s="196" t="s">
        <v>359</v>
      </c>
      <c r="E216" s="189" t="str">
        <f>INDEX(IPCC[Sector_description], MATCH([IPCC Sector], IPCC[Sector_code], 0))</f>
        <v>Fuel Combustion</v>
      </c>
      <c r="F216" s="197"/>
      <c r="G216" s="197"/>
      <c r="H216" s="197"/>
      <c r="I216" s="197"/>
      <c r="J216" s="197"/>
      <c r="K216" s="197"/>
      <c r="L216" s="197"/>
      <c r="M216" s="197"/>
      <c r="N216" s="197"/>
      <c r="O216" s="197"/>
      <c r="P216" s="194"/>
    </row>
    <row r="217" spans="1:16" ht="15.75">
      <c r="B217" s="195"/>
      <c r="C217" s="189" t="s">
        <v>352</v>
      </c>
      <c r="D217" s="196" t="s">
        <v>359</v>
      </c>
      <c r="E217" s="189" t="str">
        <f>INDEX(IPCC[Sector_description], MATCH([IPCC Sector], IPCC[Sector_code], 0))</f>
        <v>Fuel Combustion</v>
      </c>
      <c r="F217" s="197"/>
      <c r="G217" s="197"/>
      <c r="H217" s="197"/>
      <c r="I217" s="197"/>
      <c r="J217" s="197"/>
      <c r="K217" s="197"/>
      <c r="L217" s="197"/>
      <c r="M217" s="197"/>
      <c r="N217" s="197"/>
      <c r="O217" s="197"/>
      <c r="P217" s="194"/>
    </row>
    <row r="218" spans="1:16" ht="15.75">
      <c r="B218" s="195"/>
      <c r="C218" s="189" t="s">
        <v>350</v>
      </c>
      <c r="D218" s="196" t="s">
        <v>369</v>
      </c>
      <c r="E218" s="189" t="str">
        <f>INDEX(IPCC[Sector_description], MATCH([IPCC Sector], IPCC[Sector_code], 0))</f>
        <v>Carbon capture</v>
      </c>
      <c r="F218" s="1413">
        <f>-((F191-F192)+(F173-F174)+(F155-F156))</f>
        <v>0</v>
      </c>
      <c r="G218" s="1413">
        <f t="shared" ref="G218:O218" si="54">-((G191-G192)+(G173-G174)+(G155-G156))</f>
        <v>0</v>
      </c>
      <c r="H218" s="1413">
        <f t="shared" si="54"/>
        <v>0</v>
      </c>
      <c r="I218" s="1413">
        <f t="shared" si="54"/>
        <v>0</v>
      </c>
      <c r="J218" s="1413">
        <f t="shared" si="54"/>
        <v>0</v>
      </c>
      <c r="K218" s="1413">
        <f t="shared" si="54"/>
        <v>-5.9902178225806457</v>
      </c>
      <c r="L218" s="1413">
        <f t="shared" si="54"/>
        <v>-11.98043564516129</v>
      </c>
      <c r="M218" s="1413">
        <f t="shared" si="54"/>
        <v>-29.043480351906162</v>
      </c>
      <c r="N218" s="1413">
        <f t="shared" si="54"/>
        <v>-40.660872492668624</v>
      </c>
      <c r="O218" s="1413">
        <f t="shared" si="54"/>
        <v>-56.378520683111951</v>
      </c>
      <c r="P218" s="194"/>
    </row>
    <row r="219" spans="1:16" ht="15.75">
      <c r="B219" s="1626"/>
      <c r="C219" s="189" t="s">
        <v>103</v>
      </c>
      <c r="D219" s="189"/>
      <c r="E219" s="189"/>
      <c r="F219" s="2279">
        <f>SUBTOTAL(109,[2007])</f>
        <v>0</v>
      </c>
      <c r="G219" s="2279">
        <f>SUBTOTAL(109,[2012])</f>
        <v>0</v>
      </c>
      <c r="H219" s="2279">
        <f>SUBTOTAL(109,[2017])</f>
        <v>0</v>
      </c>
      <c r="I219" s="2279">
        <f>SUBTOTAL(109,[2022])</f>
        <v>0</v>
      </c>
      <c r="J219" s="2279">
        <f>SUBTOTAL(109,[2027])</f>
        <v>0</v>
      </c>
      <c r="K219" s="2279">
        <f>SUBTOTAL(109,[2032])</f>
        <v>0.6655797580645153</v>
      </c>
      <c r="L219" s="2279">
        <f>SUBTOTAL(109,[2037])</f>
        <v>1.3311595161290342</v>
      </c>
      <c r="M219" s="2279">
        <f>SUBTOTAL(109,[2042])</f>
        <v>3.227053372434014</v>
      </c>
      <c r="N219" s="2279">
        <f>SUBTOTAL(109,[2047])</f>
        <v>4.5178747214076296</v>
      </c>
      <c r="O219" s="2279">
        <f>SUBTOTAL(109,[2052])</f>
        <v>6.2642800759013326</v>
      </c>
      <c r="P219" s="187"/>
    </row>
    <row r="220" spans="1:16" ht="15.75">
      <c r="B220" s="1626"/>
      <c r="C220" s="189"/>
      <c r="D220" s="189"/>
      <c r="E220" s="189"/>
      <c r="F220" s="223"/>
      <c r="G220" s="223"/>
      <c r="H220" s="223"/>
      <c r="I220" s="223"/>
      <c r="J220" s="223"/>
      <c r="K220" s="223"/>
      <c r="L220" s="223"/>
      <c r="M220" s="223"/>
      <c r="N220" s="223"/>
      <c r="O220" s="223"/>
      <c r="P220" s="187"/>
    </row>
    <row r="221" spans="1:16" ht="15.75">
      <c r="B221" s="1626"/>
      <c r="C221" s="189"/>
      <c r="D221" s="189"/>
      <c r="E221" s="189"/>
      <c r="F221" s="223"/>
      <c r="G221" s="223"/>
      <c r="H221" s="223"/>
      <c r="I221" s="223"/>
      <c r="J221" s="223"/>
      <c r="K221" s="223"/>
      <c r="L221" s="223"/>
      <c r="M221" s="223"/>
      <c r="N221" s="223"/>
      <c r="O221" s="223"/>
      <c r="P221" s="187"/>
    </row>
    <row r="222" spans="1:16" ht="15.75">
      <c r="B222" s="1626"/>
      <c r="C222" s="189"/>
      <c r="D222" s="189"/>
      <c r="E222" s="189"/>
      <c r="F222" s="223"/>
      <c r="G222" s="223"/>
      <c r="H222" s="223"/>
      <c r="I222" s="223"/>
      <c r="J222" s="223"/>
      <c r="K222" s="223"/>
      <c r="L222" s="223"/>
      <c r="M222" s="223"/>
      <c r="N222" s="223"/>
      <c r="O222" s="223"/>
    </row>
    <row r="223" spans="1:16">
      <c r="B223" s="539"/>
      <c r="C223" s="539"/>
      <c r="P223" s="426"/>
    </row>
    <row r="224" spans="1:16" ht="15.75">
      <c r="B224" s="424" t="s">
        <v>501</v>
      </c>
      <c r="C224" s="346"/>
      <c r="D224" s="425"/>
      <c r="E224" s="425"/>
      <c r="F224" s="425"/>
      <c r="G224" s="425"/>
      <c r="H224" s="425"/>
      <c r="I224" s="425"/>
      <c r="J224" s="425"/>
      <c r="K224" s="425"/>
      <c r="L224" s="425"/>
      <c r="M224" s="425"/>
      <c r="N224" s="425"/>
      <c r="O224" s="425"/>
      <c r="P224" s="349"/>
    </row>
    <row r="225" spans="2:16">
      <c r="B225" s="347"/>
      <c r="C225" s="348"/>
      <c r="D225" s="348"/>
      <c r="E225" s="348"/>
      <c r="F225" s="348"/>
      <c r="G225" s="348"/>
      <c r="H225" s="348"/>
      <c r="I225" s="348"/>
      <c r="J225" s="348"/>
      <c r="K225" s="348"/>
      <c r="L225" s="348"/>
      <c r="M225" s="348"/>
      <c r="N225" s="348"/>
      <c r="O225" s="348"/>
      <c r="P225" s="429"/>
    </row>
    <row r="226" spans="2:16">
      <c r="B226" s="427"/>
      <c r="C226" s="350" t="s">
        <v>506</v>
      </c>
      <c r="D226" s="428"/>
      <c r="E226" s="351"/>
      <c r="F226" s="428"/>
      <c r="G226" s="351"/>
      <c r="H226" s="428"/>
      <c r="I226" s="428"/>
      <c r="J226" s="428"/>
      <c r="K226" s="428"/>
      <c r="L226" s="428"/>
      <c r="M226" s="428"/>
      <c r="N226" s="428"/>
      <c r="O226" s="351"/>
      <c r="P226" s="429"/>
    </row>
    <row r="227" spans="2:16">
      <c r="B227" s="427"/>
      <c r="C227" s="428"/>
      <c r="D227" s="428"/>
      <c r="E227" s="428"/>
      <c r="F227" s="428"/>
      <c r="G227" s="428"/>
      <c r="H227" s="428"/>
      <c r="I227" s="428"/>
      <c r="J227" s="428"/>
      <c r="K227" s="428"/>
      <c r="L227" s="428"/>
      <c r="M227" s="428"/>
      <c r="N227" s="428"/>
      <c r="O227" s="428"/>
      <c r="P227" s="429"/>
    </row>
    <row r="228" spans="2:16" ht="15.75">
      <c r="B228" s="430"/>
      <c r="C228" s="431" t="s">
        <v>64</v>
      </c>
      <c r="D228" s="431" t="s">
        <v>502</v>
      </c>
      <c r="E228" s="431" t="s">
        <v>156</v>
      </c>
      <c r="F228" s="901" t="s">
        <v>203</v>
      </c>
      <c r="G228" s="902" t="s">
        <v>712</v>
      </c>
      <c r="H228" s="902" t="s">
        <v>713</v>
      </c>
      <c r="I228" s="902" t="s">
        <v>714</v>
      </c>
      <c r="J228" s="902" t="s">
        <v>715</v>
      </c>
      <c r="K228" s="902" t="s">
        <v>716</v>
      </c>
      <c r="L228" s="902" t="s">
        <v>717</v>
      </c>
      <c r="M228" s="902" t="s">
        <v>718</v>
      </c>
      <c r="N228" s="902" t="s">
        <v>719</v>
      </c>
      <c r="O228" s="902" t="s">
        <v>720</v>
      </c>
      <c r="P228" s="429"/>
    </row>
    <row r="229" spans="2:16" ht="15.75">
      <c r="B229" s="430"/>
      <c r="C229" s="432" t="s">
        <v>503</v>
      </c>
      <c r="D229" s="2275" t="str">
        <f>INDEX(Vectors[Description], MATCH($C229:$C231,Vectors[Code], 0))</f>
        <v>India Land area</v>
      </c>
      <c r="E229" s="433"/>
      <c r="F229" s="354">
        <f>F20</f>
        <v>0</v>
      </c>
      <c r="G229" s="354">
        <f>0</f>
        <v>0</v>
      </c>
      <c r="H229" s="354">
        <f>0</f>
        <v>0</v>
      </c>
      <c r="I229" s="354">
        <f>0</f>
        <v>0</v>
      </c>
      <c r="J229" s="354">
        <f>0</f>
        <v>0</v>
      </c>
      <c r="K229" s="354">
        <f>0</f>
        <v>0</v>
      </c>
      <c r="L229" s="354">
        <f>0</f>
        <v>0</v>
      </c>
      <c r="M229" s="354">
        <f>0</f>
        <v>0</v>
      </c>
      <c r="N229" s="354">
        <f>0</f>
        <v>0</v>
      </c>
      <c r="O229" s="354">
        <f>0</f>
        <v>0</v>
      </c>
      <c r="P229" s="429"/>
    </row>
    <row r="230" spans="2:16" ht="15.75">
      <c r="B230" s="430"/>
      <c r="C230" s="432" t="s">
        <v>508</v>
      </c>
      <c r="D230" s="2275" t="str">
        <f>INDEX(Vectors[Description], MATCH($C230:$C232,Vectors[Code], 0))</f>
        <v xml:space="preserve">Installed Capacity </v>
      </c>
      <c r="E230" s="433"/>
      <c r="F230" s="354">
        <f>F21</f>
        <v>0</v>
      </c>
      <c r="G230" s="354">
        <f t="shared" ref="G230:O230" si="55">G21</f>
        <v>0</v>
      </c>
      <c r="H230" s="354">
        <f t="shared" si="55"/>
        <v>0</v>
      </c>
      <c r="I230" s="354">
        <f t="shared" si="55"/>
        <v>0</v>
      </c>
      <c r="J230" s="354">
        <f t="shared" si="55"/>
        <v>0</v>
      </c>
      <c r="K230" s="354">
        <f t="shared" si="55"/>
        <v>1</v>
      </c>
      <c r="L230" s="354">
        <f t="shared" si="55"/>
        <v>2</v>
      </c>
      <c r="M230" s="354">
        <f t="shared" si="55"/>
        <v>5</v>
      </c>
      <c r="N230" s="354">
        <f t="shared" si="55"/>
        <v>7</v>
      </c>
      <c r="O230" s="354">
        <f t="shared" si="55"/>
        <v>10</v>
      </c>
      <c r="P230" s="429"/>
    </row>
    <row r="231" spans="2:16" ht="15.75">
      <c r="B231" s="430"/>
      <c r="C231" s="432" t="s">
        <v>509</v>
      </c>
      <c r="D231" s="2275" t="str">
        <f>INDEX(Vectors[Description], MATCH($C231:$C233,Vectors[Code], 0))</f>
        <v>Number of units</v>
      </c>
      <c r="E231" s="433"/>
      <c r="F231" s="354">
        <f>F22</f>
        <v>0</v>
      </c>
      <c r="G231" s="354"/>
      <c r="H231" s="354"/>
      <c r="I231" s="354"/>
      <c r="J231" s="354"/>
      <c r="K231" s="354"/>
      <c r="L231" s="354"/>
      <c r="M231" s="354"/>
      <c r="N231" s="354"/>
      <c r="O231" s="354"/>
      <c r="P231" s="352"/>
    </row>
    <row r="232" spans="2:16" ht="15.75">
      <c r="B232" s="355"/>
      <c r="C232" s="434"/>
      <c r="D232" s="434"/>
      <c r="E232" s="434"/>
      <c r="F232" s="434"/>
      <c r="G232" s="434"/>
      <c r="H232" s="434"/>
      <c r="I232" s="434"/>
      <c r="J232" s="434"/>
      <c r="K232" s="434"/>
      <c r="L232" s="434"/>
      <c r="M232" s="434"/>
      <c r="N232" s="434"/>
      <c r="O232" s="434"/>
    </row>
    <row r="234" spans="2:16">
      <c r="P234" s="426"/>
    </row>
    <row r="235" spans="2:16">
      <c r="C235" s="423"/>
    </row>
    <row r="236" spans="2:16">
      <c r="C236" s="423"/>
    </row>
    <row r="237" spans="2:16">
      <c r="C237" s="423"/>
    </row>
    <row r="240" spans="2:16">
      <c r="C240" s="423"/>
    </row>
  </sheetData>
  <pageMargins left="0.7" right="0.7" top="0.75" bottom="0.75" header="0.3" footer="0.3"/>
  <pageSetup paperSize="9" orientation="portrait"/>
  <legacyDrawing r:id="rId1"/>
  <tableParts count="3">
    <tablePart r:id="rId2"/>
    <tablePart r:id="rId3"/>
    <tablePart r:id="rId4"/>
  </tablePart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sheetPr>
    <tabColor theme="9"/>
    <outlinePr summaryBelow="0"/>
    <pageSetUpPr autoPageBreaks="0"/>
  </sheetPr>
  <dimension ref="A1:DK222"/>
  <sheetViews>
    <sheetView showGridLines="0" zoomScale="85" zoomScaleNormal="85" zoomScalePageLayoutView="85" workbookViewId="0">
      <selection activeCell="D7" sqref="D7"/>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28" width="13.28515625" style="605" customWidth="1"/>
    <col min="29" max="16384" width="8.85546875" style="605"/>
  </cols>
  <sheetData>
    <row r="1" spans="1:115" ht="21">
      <c r="A1" s="835" t="s">
        <v>60</v>
      </c>
      <c r="B1" s="835" t="str">
        <f>INDEX(Workstreams[Workstream], MATCH($A1, Workstreams[Code], 0))</f>
        <v>Hydrocarbon fuel power generation</v>
      </c>
      <c r="C1" s="835"/>
    </row>
    <row r="2" spans="1:115" s="51" customFormat="1" ht="19.5" customHeight="1">
      <c r="A2" s="6" t="s">
        <v>1819</v>
      </c>
      <c r="B2" s="6" t="str">
        <f>INDEX(Modules[Module], MATCH($A2, Modules[Code], 0))</f>
        <v>Electricity Balancing Requirement</v>
      </c>
      <c r="C2" s="6"/>
      <c r="E2" s="404"/>
      <c r="Q2" s="605"/>
      <c r="R2" s="605"/>
      <c r="S2" s="605"/>
      <c r="T2" s="605"/>
      <c r="U2" s="605"/>
      <c r="V2" s="605"/>
      <c r="W2" s="605"/>
      <c r="X2" s="605"/>
      <c r="Y2" s="605"/>
      <c r="Z2" s="605"/>
      <c r="AA2" s="605"/>
      <c r="AB2" s="605"/>
      <c r="AC2" s="605"/>
      <c r="AD2" s="605"/>
      <c r="AE2" s="605"/>
      <c r="AF2" s="605"/>
      <c r="AG2" s="605"/>
      <c r="AH2" s="605"/>
      <c r="AI2" s="605"/>
      <c r="AJ2" s="605"/>
      <c r="AK2" s="605"/>
      <c r="AL2" s="605"/>
      <c r="AM2" s="605"/>
      <c r="AN2" s="605"/>
      <c r="AO2" s="605"/>
      <c r="AP2" s="605"/>
      <c r="AQ2" s="605"/>
      <c r="AR2" s="605"/>
      <c r="AS2" s="605"/>
      <c r="AT2" s="605"/>
      <c r="AU2" s="605"/>
      <c r="AV2" s="605"/>
      <c r="AW2" s="605"/>
      <c r="AX2" s="605"/>
      <c r="AY2" s="605"/>
      <c r="AZ2" s="605"/>
      <c r="BA2" s="605"/>
      <c r="BB2" s="605"/>
      <c r="BC2" s="605"/>
      <c r="BD2" s="605"/>
      <c r="BE2" s="605"/>
      <c r="BF2" s="605"/>
      <c r="BG2" s="605"/>
      <c r="BH2" s="605"/>
      <c r="BI2" s="605"/>
      <c r="BJ2" s="605"/>
      <c r="BK2" s="605"/>
      <c r="BL2" s="605"/>
      <c r="BM2" s="605"/>
      <c r="BN2" s="605"/>
      <c r="BO2" s="605"/>
      <c r="BP2" s="605"/>
      <c r="BQ2" s="605"/>
      <c r="BR2" s="605"/>
      <c r="BS2" s="605"/>
      <c r="BT2" s="605"/>
      <c r="BU2" s="605"/>
      <c r="BV2" s="605"/>
      <c r="BW2" s="605"/>
      <c r="BX2" s="605"/>
      <c r="BY2" s="605"/>
      <c r="BZ2" s="605"/>
      <c r="CA2" s="605"/>
      <c r="CB2" s="605"/>
      <c r="CC2" s="605"/>
      <c r="CD2" s="605"/>
      <c r="CE2" s="605"/>
      <c r="CF2" s="605"/>
      <c r="CG2" s="605"/>
      <c r="CH2" s="605"/>
      <c r="CI2" s="605"/>
      <c r="CJ2" s="605"/>
      <c r="CK2" s="605"/>
      <c r="CL2" s="605"/>
      <c r="CM2" s="605"/>
      <c r="CN2" s="605"/>
      <c r="CO2" s="605"/>
      <c r="CP2" s="605"/>
      <c r="CQ2" s="605"/>
      <c r="CR2" s="605"/>
      <c r="CS2" s="605"/>
      <c r="CT2" s="605"/>
      <c r="CU2" s="605"/>
      <c r="CV2" s="605"/>
      <c r="CW2" s="605"/>
      <c r="CX2" s="605"/>
      <c r="CY2" s="605"/>
      <c r="CZ2" s="605"/>
      <c r="DA2" s="605"/>
      <c r="DB2" s="605"/>
      <c r="DC2" s="605"/>
      <c r="DD2" s="605"/>
      <c r="DE2" s="605"/>
      <c r="DF2" s="605"/>
      <c r="DG2" s="605"/>
      <c r="DH2" s="605"/>
      <c r="DI2" s="605"/>
      <c r="DJ2" s="605"/>
      <c r="DK2" s="605"/>
    </row>
    <row r="3" spans="1:115" s="51" customFormat="1" ht="12.75" customHeight="1">
      <c r="A3" s="605"/>
      <c r="B3" s="6"/>
      <c r="C3" s="6"/>
      <c r="Q3" s="605"/>
      <c r="R3" s="605"/>
      <c r="S3" s="605"/>
      <c r="T3" s="605"/>
      <c r="U3" s="605"/>
      <c r="V3" s="605"/>
      <c r="W3" s="605"/>
      <c r="X3" s="605"/>
      <c r="Y3" s="605"/>
      <c r="Z3" s="605"/>
      <c r="AA3" s="605"/>
      <c r="AB3" s="605"/>
      <c r="AC3" s="605"/>
      <c r="AD3" s="605"/>
      <c r="AE3" s="605"/>
      <c r="AF3" s="605"/>
      <c r="AG3" s="605"/>
      <c r="AH3" s="605"/>
      <c r="AI3" s="605"/>
      <c r="AJ3" s="605"/>
      <c r="AK3" s="605"/>
      <c r="AL3" s="605"/>
      <c r="AM3" s="605"/>
      <c r="AN3" s="605"/>
      <c r="AO3" s="605"/>
      <c r="AP3" s="605"/>
      <c r="AQ3" s="605"/>
      <c r="AR3" s="605"/>
      <c r="AS3" s="605"/>
      <c r="AT3" s="605"/>
      <c r="AU3" s="605"/>
      <c r="AV3" s="605"/>
      <c r="AW3" s="605"/>
      <c r="AX3" s="605"/>
      <c r="AY3" s="605"/>
      <c r="AZ3" s="605"/>
      <c r="BA3" s="605"/>
      <c r="BB3" s="605"/>
      <c r="BC3" s="605"/>
      <c r="BD3" s="605"/>
      <c r="BE3" s="605"/>
      <c r="BF3" s="605"/>
      <c r="BG3" s="605"/>
      <c r="BH3" s="605"/>
      <c r="BI3" s="605"/>
      <c r="BJ3" s="605"/>
      <c r="BK3" s="605"/>
      <c r="BL3" s="605"/>
      <c r="BM3" s="605"/>
      <c r="BN3" s="605"/>
      <c r="BO3" s="605"/>
      <c r="BP3" s="605"/>
      <c r="BQ3" s="605"/>
      <c r="BR3" s="605"/>
      <c r="BS3" s="605"/>
      <c r="BT3" s="605"/>
      <c r="BU3" s="605"/>
      <c r="BV3" s="605"/>
      <c r="BW3" s="605"/>
      <c r="BX3" s="605"/>
      <c r="BY3" s="605"/>
      <c r="BZ3" s="605"/>
      <c r="CA3" s="605"/>
      <c r="CB3" s="605"/>
      <c r="CC3" s="605"/>
      <c r="CD3" s="605"/>
      <c r="CE3" s="605"/>
      <c r="CF3" s="605"/>
      <c r="CG3" s="605"/>
      <c r="CH3" s="605"/>
      <c r="CI3" s="605"/>
      <c r="CJ3" s="605"/>
      <c r="CK3" s="605"/>
      <c r="CL3" s="605"/>
      <c r="CM3" s="605"/>
      <c r="CN3" s="605"/>
      <c r="CO3" s="605"/>
      <c r="CP3" s="605"/>
      <c r="CQ3" s="605"/>
      <c r="CR3" s="605"/>
      <c r="CS3" s="605"/>
      <c r="CT3" s="605"/>
      <c r="CU3" s="605"/>
      <c r="CV3" s="605"/>
      <c r="CW3" s="605"/>
      <c r="CX3" s="605"/>
      <c r="CY3" s="605"/>
      <c r="CZ3" s="605"/>
      <c r="DA3" s="605"/>
      <c r="DB3" s="605"/>
      <c r="DC3" s="605"/>
      <c r="DD3" s="605"/>
      <c r="DE3" s="605"/>
      <c r="DF3" s="605"/>
      <c r="DG3" s="605"/>
      <c r="DH3" s="605"/>
      <c r="DI3" s="605"/>
      <c r="DJ3" s="605"/>
      <c r="DK3" s="605"/>
    </row>
    <row r="4" spans="1:115" ht="22.5" collapsed="1">
      <c r="A4" s="420"/>
      <c r="B4" s="206" t="s">
        <v>416</v>
      </c>
      <c r="C4" s="174"/>
      <c r="D4" s="175"/>
      <c r="E4" s="176"/>
      <c r="F4" s="175"/>
      <c r="G4" s="175"/>
      <c r="H4" s="175"/>
      <c r="I4" s="175"/>
      <c r="J4" s="175"/>
      <c r="K4" s="175"/>
      <c r="L4" s="175"/>
      <c r="M4" s="175"/>
      <c r="N4" s="175"/>
      <c r="O4" s="175"/>
      <c r="P4" s="177"/>
    </row>
    <row r="5" spans="1:115">
      <c r="B5" s="2313"/>
      <c r="C5" s="165"/>
      <c r="D5" s="166"/>
      <c r="E5" s="167"/>
      <c r="F5" s="166"/>
      <c r="G5" s="166"/>
      <c r="H5" s="166"/>
      <c r="I5" s="166"/>
      <c r="J5" s="166"/>
      <c r="K5" s="166"/>
      <c r="L5" s="166"/>
      <c r="M5" s="166"/>
      <c r="N5" s="166"/>
      <c r="O5" s="166"/>
      <c r="P5" s="168"/>
    </row>
    <row r="6" spans="1:115" ht="15.75">
      <c r="B6" s="2314"/>
      <c r="C6" s="166"/>
      <c r="D6" s="118"/>
      <c r="E6" s="118"/>
      <c r="F6" s="166"/>
      <c r="G6" s="166"/>
      <c r="H6" s="166"/>
      <c r="I6" s="166"/>
      <c r="J6" s="166"/>
      <c r="K6" s="166"/>
      <c r="L6" s="166"/>
      <c r="M6" s="166"/>
      <c r="N6" s="166"/>
      <c r="O6" s="166"/>
      <c r="P6" s="168"/>
    </row>
    <row r="7" spans="1:115" ht="15.75">
      <c r="B7" s="2314"/>
      <c r="C7" s="166"/>
      <c r="D7" s="127"/>
      <c r="E7" s="127"/>
      <c r="F7" s="166"/>
      <c r="G7" s="166"/>
      <c r="H7" s="166"/>
      <c r="I7" s="166"/>
      <c r="J7" s="166"/>
      <c r="K7" s="166"/>
      <c r="L7" s="166"/>
      <c r="M7" s="166"/>
      <c r="N7" s="166"/>
      <c r="O7" s="166"/>
      <c r="P7" s="168"/>
    </row>
    <row r="8" spans="1:115" ht="15.75">
      <c r="B8" s="2315"/>
      <c r="C8" s="171"/>
      <c r="D8" s="171"/>
      <c r="E8" s="171"/>
      <c r="F8" s="172"/>
      <c r="G8" s="172"/>
      <c r="H8" s="172"/>
      <c r="I8" s="172"/>
      <c r="J8" s="172"/>
      <c r="K8" s="172"/>
      <c r="L8" s="172"/>
      <c r="M8" s="172"/>
      <c r="N8" s="172"/>
      <c r="O8" s="172"/>
      <c r="P8" s="173"/>
    </row>
    <row r="10" spans="1:115" ht="22.5">
      <c r="A10" s="420"/>
      <c r="B10" s="206" t="s">
        <v>201</v>
      </c>
      <c r="C10" s="175"/>
      <c r="D10" s="175"/>
      <c r="E10" s="175"/>
      <c r="F10" s="175"/>
      <c r="G10" s="175"/>
      <c r="H10" s="175"/>
      <c r="I10" s="175"/>
      <c r="J10" s="175"/>
      <c r="K10" s="175"/>
      <c r="L10" s="175"/>
      <c r="M10" s="175"/>
      <c r="N10" s="175"/>
      <c r="O10" s="175"/>
      <c r="P10" s="177"/>
    </row>
    <row r="11" spans="1:115">
      <c r="B11" s="164"/>
      <c r="C11" s="166"/>
      <c r="D11" s="166"/>
      <c r="E11" s="166"/>
      <c r="F11" s="166"/>
      <c r="G11" s="166"/>
      <c r="H11" s="166"/>
      <c r="I11" s="166"/>
      <c r="J11" s="166"/>
      <c r="K11" s="166"/>
      <c r="L11" s="166"/>
      <c r="M11" s="166"/>
      <c r="N11" s="166"/>
      <c r="O11" s="166"/>
      <c r="P11" s="168"/>
    </row>
    <row r="12" spans="1:115">
      <c r="B12" s="164"/>
      <c r="C12" s="178" t="s">
        <v>1809</v>
      </c>
      <c r="D12" s="166"/>
      <c r="E12" s="166"/>
      <c r="F12" s="166"/>
      <c r="G12" s="166"/>
      <c r="H12" s="166"/>
      <c r="I12" s="166"/>
      <c r="J12" s="166"/>
      <c r="K12" s="166"/>
      <c r="L12" s="166"/>
      <c r="M12" s="166"/>
      <c r="N12" s="166"/>
      <c r="O12" s="167" t="str">
        <f>preferences.energyunits</f>
        <v>TWh</v>
      </c>
      <c r="P12" s="168"/>
    </row>
    <row r="13" spans="1:115" ht="6" customHeight="1">
      <c r="B13" s="164"/>
      <c r="C13" s="165"/>
      <c r="D13" s="166"/>
      <c r="E13" s="167"/>
      <c r="F13" s="166"/>
      <c r="G13" s="166"/>
      <c r="H13" s="166"/>
      <c r="I13" s="166"/>
      <c r="J13" s="166"/>
      <c r="K13" s="166"/>
      <c r="L13" s="166"/>
      <c r="M13" s="166"/>
      <c r="N13" s="166"/>
      <c r="O13" s="166"/>
      <c r="P13" s="168"/>
    </row>
    <row r="14" spans="1:115" s="51" customFormat="1" ht="15.75">
      <c r="A14" s="605"/>
      <c r="B14" s="179"/>
      <c r="C14" s="180" t="s">
        <v>64</v>
      </c>
      <c r="D14" s="180" t="s">
        <v>137</v>
      </c>
      <c r="E14" s="180" t="s">
        <v>156</v>
      </c>
      <c r="F14" s="2310" t="s">
        <v>203</v>
      </c>
      <c r="G14" s="2364" t="s">
        <v>712</v>
      </c>
      <c r="H14" s="2364" t="s">
        <v>713</v>
      </c>
      <c r="I14" s="2364" t="s">
        <v>714</v>
      </c>
      <c r="J14" s="2364" t="s">
        <v>715</v>
      </c>
      <c r="K14" s="2364" t="s">
        <v>716</v>
      </c>
      <c r="L14" s="2364" t="s">
        <v>717</v>
      </c>
      <c r="M14" s="2364" t="s">
        <v>718</v>
      </c>
      <c r="N14" s="2364" t="s">
        <v>719</v>
      </c>
      <c r="O14" s="2364" t="s">
        <v>720</v>
      </c>
      <c r="P14" s="659"/>
      <c r="Q14" s="605"/>
      <c r="R14" s="605"/>
      <c r="S14" s="605"/>
      <c r="T14" s="605"/>
      <c r="U14" s="605"/>
      <c r="V14" s="605"/>
      <c r="W14" s="605"/>
      <c r="X14" s="605"/>
      <c r="Y14" s="605"/>
      <c r="Z14" s="605"/>
      <c r="AA14" s="605"/>
      <c r="AB14" s="605"/>
      <c r="AC14" s="605"/>
      <c r="AD14" s="605"/>
      <c r="AE14" s="605"/>
      <c r="AF14" s="605"/>
      <c r="AG14" s="605"/>
      <c r="AH14" s="605"/>
      <c r="AI14" s="605"/>
      <c r="AJ14" s="605"/>
      <c r="AK14" s="605"/>
      <c r="AL14" s="605"/>
      <c r="AM14" s="605"/>
      <c r="AN14" s="605"/>
      <c r="AO14" s="605"/>
      <c r="AP14" s="605"/>
      <c r="AQ14" s="605"/>
      <c r="AR14" s="605"/>
      <c r="AS14" s="605"/>
      <c r="AT14" s="605"/>
      <c r="AU14" s="605"/>
      <c r="AV14" s="605"/>
      <c r="AW14" s="605"/>
      <c r="AX14" s="605"/>
      <c r="AY14" s="605"/>
      <c r="AZ14" s="605"/>
      <c r="BA14" s="605"/>
      <c r="BB14" s="605"/>
      <c r="BC14" s="605"/>
      <c r="BD14" s="605"/>
      <c r="BE14" s="605"/>
      <c r="BF14" s="605"/>
      <c r="BG14" s="605"/>
      <c r="BH14" s="605"/>
      <c r="BI14" s="605"/>
      <c r="BJ14" s="605"/>
      <c r="BK14" s="605"/>
      <c r="BL14" s="605"/>
      <c r="BM14" s="605"/>
      <c r="BN14" s="605"/>
      <c r="BO14" s="605"/>
      <c r="BP14" s="605"/>
      <c r="BQ14" s="605"/>
      <c r="BR14" s="605"/>
      <c r="BS14" s="605"/>
      <c r="BT14" s="605"/>
      <c r="BU14" s="605"/>
      <c r="BV14" s="605"/>
      <c r="BW14" s="605"/>
      <c r="BX14" s="605"/>
      <c r="BY14" s="605"/>
      <c r="BZ14" s="605"/>
      <c r="CA14" s="605"/>
      <c r="CB14" s="605"/>
      <c r="CC14" s="605"/>
      <c r="CD14" s="605"/>
      <c r="CE14" s="605"/>
      <c r="CF14" s="605"/>
      <c r="CG14" s="605"/>
      <c r="CH14" s="605"/>
      <c r="CI14" s="605"/>
      <c r="CJ14" s="605"/>
      <c r="CK14" s="605"/>
      <c r="CL14" s="605"/>
      <c r="CM14" s="605"/>
      <c r="CN14" s="605"/>
      <c r="CO14" s="605"/>
      <c r="CP14" s="605"/>
      <c r="CQ14" s="605"/>
      <c r="CR14" s="605"/>
      <c r="CS14" s="605"/>
      <c r="CT14" s="605"/>
      <c r="CU14" s="605"/>
      <c r="CV14" s="605"/>
      <c r="CW14" s="605"/>
      <c r="CX14" s="605"/>
      <c r="CY14" s="605"/>
      <c r="CZ14" s="605"/>
      <c r="DA14" s="605"/>
      <c r="DB14" s="605"/>
      <c r="DC14" s="605"/>
      <c r="DD14" s="605"/>
      <c r="DE14" s="605"/>
      <c r="DF14" s="605"/>
      <c r="DG14" s="605"/>
      <c r="DH14" s="605"/>
      <c r="DI14" s="605"/>
      <c r="DJ14" s="605"/>
      <c r="DK14" s="605"/>
    </row>
    <row r="15" spans="1:115" s="51" customFormat="1" ht="15.75">
      <c r="A15" s="605"/>
      <c r="B15" s="179"/>
      <c r="C15" s="180" t="s">
        <v>34</v>
      </c>
      <c r="D15" s="180" t="str">
        <f>INDEX(Vectors[Description], MATCH([Vector], Vectors[Code], 0))</f>
        <v>Electricity (delivered to end user)</v>
      </c>
      <c r="E15" s="180"/>
      <c r="F15" s="220">
        <f ca="1">INDEX(INDIRECT("'"&amp;I.d.Inputs[#Headers]&amp;"'!Year.Matrix"), MATCH("Subtotal."&amp;$A$2, INDIRECT("'"&amp;I.d.Inputs[#Headers]&amp;"'!Year.Modules"), 0), MATCH([Vector], INDIRECT("'"&amp;I.d.Inputs[#Headers]&amp;"'!Year.Vectors"), 0))</f>
        <v>-595.68681516482502</v>
      </c>
      <c r="G15" s="220">
        <f ca="1">INDEX(INDIRECT("'"&amp;I.d.Inputs[#Headers]&amp;"'!Year.Matrix"), MATCH("Subtotal."&amp;$A$2, INDIRECT("'"&amp;I.d.Inputs[#Headers]&amp;"'!Year.Modules"), 0), MATCH([Vector], INDIRECT("'"&amp;I.d.Inputs[#Headers]&amp;"'!Year.Vectors"), 0))</f>
        <v>-798.39296177664801</v>
      </c>
      <c r="H15" s="220">
        <f ca="1">INDEX(INDIRECT("'"&amp;I.d.Inputs[#Headers]&amp;"'!Year.Matrix"), MATCH("Subtotal."&amp;$A$2, INDIRECT("'"&amp;I.d.Inputs[#Headers]&amp;"'!Year.Modules"), 0), MATCH([Vector], INDIRECT("'"&amp;I.d.Inputs[#Headers]&amp;"'!Year.Vectors"), 0))</f>
        <v>-1142.8498773739643</v>
      </c>
      <c r="I15" s="220">
        <f ca="1">INDEX(INDIRECT("'"&amp;I.d.Inputs[#Headers]&amp;"'!Year.Matrix"), MATCH("Subtotal."&amp;$A$2, INDIRECT("'"&amp;I.d.Inputs[#Headers]&amp;"'!Year.Modules"), 0), MATCH([Vector], INDIRECT("'"&amp;I.d.Inputs[#Headers]&amp;"'!Year.Vectors"), 0))</f>
        <v>-1640.0251055308779</v>
      </c>
      <c r="J15" s="220">
        <f ca="1">INDEX(INDIRECT("'"&amp;I.d.Inputs[#Headers]&amp;"'!Year.Matrix"), MATCH("Subtotal."&amp;$A$2, INDIRECT("'"&amp;I.d.Inputs[#Headers]&amp;"'!Year.Modules"), 0), MATCH([Vector], INDIRECT("'"&amp;I.d.Inputs[#Headers]&amp;"'!Year.Vectors"), 0))</f>
        <v>-2290.662235710573</v>
      </c>
      <c r="K15" s="220">
        <f ca="1">INDEX(INDIRECT("'"&amp;I.d.Inputs[#Headers]&amp;"'!Year.Matrix"), MATCH("Subtotal."&amp;$A$2, INDIRECT("'"&amp;I.d.Inputs[#Headers]&amp;"'!Year.Modules"), 0), MATCH([Vector], INDIRECT("'"&amp;I.d.Inputs[#Headers]&amp;"'!Year.Vectors"), 0))</f>
        <v>-3170.4883780648101</v>
      </c>
      <c r="L15" s="220">
        <f ca="1">INDEX(INDIRECT("'"&amp;I.d.Inputs[#Headers]&amp;"'!Year.Matrix"), MATCH("Subtotal."&amp;$A$2, INDIRECT("'"&amp;I.d.Inputs[#Headers]&amp;"'!Year.Modules"), 0), MATCH([Vector], INDIRECT("'"&amp;I.d.Inputs[#Headers]&amp;"'!Year.Vectors"), 0))</f>
        <v>-3970.4133793283249</v>
      </c>
      <c r="M15" s="220">
        <f ca="1">INDEX(INDIRECT("'"&amp;I.d.Inputs[#Headers]&amp;"'!Year.Matrix"), MATCH("Subtotal."&amp;$A$2, INDIRECT("'"&amp;I.d.Inputs[#Headers]&amp;"'!Year.Modules"), 0), MATCH([Vector], INDIRECT("'"&amp;I.d.Inputs[#Headers]&amp;"'!Year.Vectors"), 0))</f>
        <v>-4914.3042732371441</v>
      </c>
      <c r="N15" s="220">
        <f ca="1">INDEX(INDIRECT("'"&amp;I.d.Inputs[#Headers]&amp;"'!Year.Matrix"), MATCH("Subtotal."&amp;$A$2, INDIRECT("'"&amp;I.d.Inputs[#Headers]&amp;"'!Year.Modules"), 0), MATCH([Vector], INDIRECT("'"&amp;I.d.Inputs[#Headers]&amp;"'!Year.Vectors"), 0))</f>
        <v>-5747.5586114860871</v>
      </c>
      <c r="O15" s="220">
        <f ca="1">INDEX(INDIRECT("'"&amp;I.d.Inputs[#Headers]&amp;"'!Year.Matrix"), MATCH("Subtotal."&amp;$A$2, INDIRECT("'"&amp;I.d.Inputs[#Headers]&amp;"'!Year.Modules"), 0), MATCH([Vector], INDIRECT("'"&amp;I.d.Inputs[#Headers]&amp;"'!Year.Vectors"), 0))</f>
        <v>-6680.5573002001365</v>
      </c>
      <c r="P15" s="659"/>
      <c r="Q15" s="605"/>
      <c r="R15" s="605"/>
      <c r="S15" s="605"/>
      <c r="T15" s="605"/>
      <c r="U15" s="605"/>
      <c r="V15" s="605"/>
      <c r="W15" s="605"/>
      <c r="X15" s="605"/>
      <c r="Y15" s="605"/>
      <c r="Z15" s="605"/>
      <c r="AA15" s="605"/>
      <c r="AB15" s="605"/>
      <c r="AC15" s="605"/>
      <c r="AD15" s="605"/>
      <c r="AE15" s="605"/>
      <c r="AF15" s="605"/>
      <c r="AG15" s="605"/>
      <c r="AH15" s="605"/>
      <c r="AI15" s="605"/>
      <c r="AJ15" s="605"/>
      <c r="AK15" s="605"/>
      <c r="AL15" s="605"/>
      <c r="AM15" s="605"/>
      <c r="AN15" s="605"/>
      <c r="AO15" s="605"/>
      <c r="AP15" s="605"/>
      <c r="AQ15" s="605"/>
      <c r="AR15" s="605"/>
      <c r="AS15" s="605"/>
      <c r="AT15" s="605"/>
      <c r="AU15" s="605"/>
      <c r="AV15" s="605"/>
      <c r="AW15" s="605"/>
      <c r="AX15" s="605"/>
      <c r="AY15" s="605"/>
      <c r="AZ15" s="605"/>
      <c r="BA15" s="605"/>
      <c r="BB15" s="605"/>
      <c r="BC15" s="605"/>
      <c r="BD15" s="605"/>
      <c r="BE15" s="605"/>
      <c r="BF15" s="605"/>
      <c r="BG15" s="605"/>
      <c r="BH15" s="605"/>
      <c r="BI15" s="605"/>
      <c r="BJ15" s="605"/>
      <c r="BK15" s="605"/>
      <c r="BL15" s="605"/>
      <c r="BM15" s="605"/>
      <c r="BN15" s="605"/>
      <c r="BO15" s="605"/>
      <c r="BP15" s="605"/>
      <c r="BQ15" s="605"/>
      <c r="BR15" s="605"/>
      <c r="BS15" s="605"/>
      <c r="BT15" s="605"/>
      <c r="BU15" s="605"/>
      <c r="BV15" s="605"/>
      <c r="BW15" s="605"/>
      <c r="BX15" s="605"/>
      <c r="BY15" s="605"/>
      <c r="BZ15" s="605"/>
      <c r="CA15" s="605"/>
      <c r="CB15" s="605"/>
      <c r="CC15" s="605"/>
      <c r="CD15" s="605"/>
      <c r="CE15" s="605"/>
      <c r="CF15" s="605"/>
      <c r="CG15" s="605"/>
      <c r="CH15" s="605"/>
      <c r="CI15" s="605"/>
      <c r="CJ15" s="605"/>
      <c r="CK15" s="605"/>
      <c r="CL15" s="605"/>
      <c r="CM15" s="605"/>
      <c r="CN15" s="605"/>
      <c r="CO15" s="605"/>
      <c r="CP15" s="605"/>
      <c r="CQ15" s="605"/>
      <c r="CR15" s="605"/>
      <c r="CS15" s="605"/>
      <c r="CT15" s="605"/>
      <c r="CU15" s="605"/>
      <c r="CV15" s="605"/>
      <c r="CW15" s="605"/>
      <c r="CX15" s="605"/>
      <c r="CY15" s="605"/>
      <c r="CZ15" s="605"/>
      <c r="DA15" s="605"/>
      <c r="DB15" s="605"/>
      <c r="DC15" s="605"/>
      <c r="DD15" s="605"/>
      <c r="DE15" s="605"/>
      <c r="DF15" s="605"/>
      <c r="DG15" s="605"/>
      <c r="DH15" s="605"/>
      <c r="DI15" s="605"/>
      <c r="DJ15" s="605"/>
      <c r="DK15" s="605"/>
    </row>
    <row r="16" spans="1:115" s="51" customFormat="1" ht="15.75">
      <c r="A16" s="605"/>
      <c r="B16" s="179"/>
      <c r="C16" s="60" t="s">
        <v>35</v>
      </c>
      <c r="D16" s="180" t="str">
        <f>INDEX(Vectors[Description], MATCH([Vector], Vectors[Code], 0))</f>
        <v>Electricity (supplied to grid)</v>
      </c>
      <c r="E16" s="60"/>
      <c r="F16" s="220">
        <f ca="1">INDEX(INDIRECT("'"&amp;I.d.Inputs[#Headers]&amp;"'!Year.Matrix"), MATCH("Subtotal."&amp;$A$2, INDIRECT("'"&amp;I.d.Inputs[#Headers]&amp;"'!Year.Modules"), 0), MATCH([Vector], INDIRECT("'"&amp;I.d.Inputs[#Headers]&amp;"'!Year.Vectors"), 0))</f>
        <v>538.43362950178494</v>
      </c>
      <c r="G16" s="220">
        <f ca="1">INDEX(INDIRECT("'"&amp;I.d.Inputs[#Headers]&amp;"'!Year.Matrix"), MATCH("Subtotal."&amp;$A$2, INDIRECT("'"&amp;I.d.Inputs[#Headers]&amp;"'!Year.Modules"), 0), MATCH([Vector], INDIRECT("'"&amp;I.d.Inputs[#Headers]&amp;"'!Year.Vectors"), 0))</f>
        <v>795.83440987979588</v>
      </c>
      <c r="H16" s="220">
        <f ca="1">INDEX(INDIRECT("'"&amp;I.d.Inputs[#Headers]&amp;"'!Year.Matrix"), MATCH("Subtotal."&amp;$A$2, INDIRECT("'"&amp;I.d.Inputs[#Headers]&amp;"'!Year.Modules"), 0), MATCH([Vector], INDIRECT("'"&amp;I.d.Inputs[#Headers]&amp;"'!Year.Vectors"), 0))</f>
        <v>1116.1735965815524</v>
      </c>
      <c r="I16" s="220">
        <f ca="1">INDEX(INDIRECT("'"&amp;I.d.Inputs[#Headers]&amp;"'!Year.Matrix"), MATCH("Subtotal."&amp;$A$2, INDIRECT("'"&amp;I.d.Inputs[#Headers]&amp;"'!Year.Modules"), 0), MATCH([Vector], INDIRECT("'"&amp;I.d.Inputs[#Headers]&amp;"'!Year.Vectors"), 0))</f>
        <v>1006.0648213823154</v>
      </c>
      <c r="J16" s="220">
        <f ca="1">INDEX(INDIRECT("'"&amp;I.d.Inputs[#Headers]&amp;"'!Year.Matrix"), MATCH("Subtotal."&amp;$A$2, INDIRECT("'"&amp;I.d.Inputs[#Headers]&amp;"'!Year.Modules"), 0), MATCH([Vector], INDIRECT("'"&amp;I.d.Inputs[#Headers]&amp;"'!Year.Vectors"), 0))</f>
        <v>854.59496183366423</v>
      </c>
      <c r="K16" s="220">
        <f ca="1">INDEX(INDIRECT("'"&amp;I.d.Inputs[#Headers]&amp;"'!Year.Matrix"), MATCH("Subtotal."&amp;$A$2, INDIRECT("'"&amp;I.d.Inputs[#Headers]&amp;"'!Year.Modules"), 0), MATCH([Vector], INDIRECT("'"&amp;I.d.Inputs[#Headers]&amp;"'!Year.Vectors"), 0))</f>
        <v>670.97433590323612</v>
      </c>
      <c r="L16" s="220">
        <f ca="1">INDEX(INDIRECT("'"&amp;I.d.Inputs[#Headers]&amp;"'!Year.Matrix"), MATCH("Subtotal."&amp;$A$2, INDIRECT("'"&amp;I.d.Inputs[#Headers]&amp;"'!Year.Modules"), 0), MATCH([Vector], INDIRECT("'"&amp;I.d.Inputs[#Headers]&amp;"'!Year.Vectors"), 0))</f>
        <v>527.8727580038892</v>
      </c>
      <c r="M16" s="220">
        <f ca="1">INDEX(INDIRECT("'"&amp;I.d.Inputs[#Headers]&amp;"'!Year.Matrix"), MATCH("Subtotal."&amp;$A$2, INDIRECT("'"&amp;I.d.Inputs[#Headers]&amp;"'!Year.Modules"), 0), MATCH([Vector], INDIRECT("'"&amp;I.d.Inputs[#Headers]&amp;"'!Year.Vectors"), 0))</f>
        <v>375.41816352598084</v>
      </c>
      <c r="N16" s="220">
        <f ca="1">INDEX(INDIRECT("'"&amp;I.d.Inputs[#Headers]&amp;"'!Year.Matrix"), MATCH("Subtotal."&amp;$A$2, INDIRECT("'"&amp;I.d.Inputs[#Headers]&amp;"'!Year.Modules"), 0), MATCH([Vector], INDIRECT("'"&amp;I.d.Inputs[#Headers]&amp;"'!Year.Vectors"), 0))</f>
        <v>206.43882204537817</v>
      </c>
      <c r="O16" s="220">
        <f ca="1">INDEX(INDIRECT("'"&amp;I.d.Inputs[#Headers]&amp;"'!Year.Matrix"), MATCH("Subtotal."&amp;$A$2, INDIRECT("'"&amp;I.d.Inputs[#Headers]&amp;"'!Year.Modules"), 0), MATCH([Vector], INDIRECT("'"&amp;I.d.Inputs[#Headers]&amp;"'!Year.Vectors"), 0))</f>
        <v>-160.70154743603996</v>
      </c>
      <c r="P16" s="181"/>
      <c r="Q16" s="605"/>
      <c r="R16" s="605"/>
      <c r="S16" s="605"/>
      <c r="T16" s="605"/>
      <c r="U16" s="605"/>
      <c r="V16" s="605"/>
      <c r="W16" s="605"/>
      <c r="X16" s="605"/>
      <c r="Y16" s="605"/>
      <c r="Z16" s="605"/>
      <c r="AA16" s="605"/>
      <c r="AB16" s="605"/>
      <c r="AC16" s="605"/>
      <c r="AD16" s="605"/>
      <c r="AE16" s="605"/>
      <c r="AF16" s="605"/>
      <c r="AG16" s="605"/>
      <c r="AH16" s="605"/>
      <c r="AI16" s="605"/>
      <c r="AJ16" s="605"/>
      <c r="AK16" s="605"/>
      <c r="AL16" s="605"/>
      <c r="AM16" s="605"/>
      <c r="AN16" s="605"/>
      <c r="AO16" s="605"/>
      <c r="AP16" s="605"/>
      <c r="AQ16" s="605"/>
      <c r="AR16" s="605"/>
      <c r="AS16" s="605"/>
      <c r="AT16" s="605"/>
      <c r="AU16" s="605"/>
      <c r="AV16" s="605"/>
      <c r="AW16" s="605"/>
      <c r="AX16" s="605"/>
      <c r="AY16" s="605"/>
      <c r="AZ16" s="605"/>
      <c r="BA16" s="605"/>
      <c r="BB16" s="605"/>
      <c r="BC16" s="605"/>
      <c r="BD16" s="605"/>
      <c r="BE16" s="605"/>
      <c r="BF16" s="605"/>
      <c r="BG16" s="605"/>
      <c r="BH16" s="605"/>
      <c r="BI16" s="605"/>
      <c r="BJ16" s="605"/>
      <c r="BK16" s="605"/>
      <c r="BL16" s="605"/>
      <c r="BM16" s="605"/>
      <c r="BN16" s="605"/>
      <c r="BO16" s="605"/>
      <c r="BP16" s="605"/>
      <c r="BQ16" s="605"/>
      <c r="BR16" s="605"/>
      <c r="BS16" s="605"/>
      <c r="BT16" s="605"/>
      <c r="BU16" s="605"/>
      <c r="BV16" s="605"/>
      <c r="BW16" s="605"/>
      <c r="BX16" s="605"/>
      <c r="BY16" s="605"/>
      <c r="BZ16" s="605"/>
      <c r="CA16" s="605"/>
      <c r="CB16" s="605"/>
      <c r="CC16" s="605"/>
      <c r="CD16" s="605"/>
      <c r="CE16" s="605"/>
      <c r="CF16" s="605"/>
      <c r="CG16" s="605"/>
      <c r="CH16" s="605"/>
      <c r="CI16" s="605"/>
      <c r="CJ16" s="605"/>
      <c r="CK16" s="605"/>
      <c r="CL16" s="605"/>
      <c r="CM16" s="605"/>
      <c r="CN16" s="605"/>
      <c r="CO16" s="605"/>
      <c r="CP16" s="605"/>
      <c r="CQ16" s="605"/>
      <c r="CR16" s="605"/>
      <c r="CS16" s="605"/>
      <c r="CT16" s="605"/>
      <c r="CU16" s="605"/>
      <c r="CV16" s="605"/>
      <c r="CW16" s="605"/>
      <c r="CX16" s="605"/>
      <c r="CY16" s="605"/>
      <c r="CZ16" s="605"/>
      <c r="DA16" s="605"/>
      <c r="DB16" s="605"/>
      <c r="DC16" s="605"/>
      <c r="DD16" s="605"/>
      <c r="DE16" s="605"/>
      <c r="DF16" s="605"/>
      <c r="DG16" s="605"/>
      <c r="DH16" s="605"/>
      <c r="DI16" s="605"/>
      <c r="DJ16" s="605"/>
      <c r="DK16" s="605"/>
    </row>
    <row r="17" spans="1:115">
      <c r="B17" s="182"/>
      <c r="C17" s="172"/>
      <c r="D17" s="172"/>
      <c r="E17" s="172"/>
      <c r="F17" s="172"/>
      <c r="G17" s="172"/>
      <c r="H17" s="172"/>
      <c r="I17" s="172"/>
      <c r="J17" s="172"/>
      <c r="K17" s="172"/>
      <c r="L17" s="172"/>
      <c r="M17" s="172"/>
      <c r="N17" s="172"/>
      <c r="O17" s="172"/>
      <c r="P17" s="173"/>
    </row>
    <row r="19" spans="1:115" s="51" customFormat="1" ht="22.5">
      <c r="A19" s="420"/>
      <c r="B19" s="421" t="s">
        <v>413</v>
      </c>
      <c r="C19" s="161"/>
      <c r="D19" s="159"/>
      <c r="E19" s="159"/>
      <c r="F19" s="159"/>
      <c r="G19" s="159"/>
      <c r="H19" s="159"/>
      <c r="I19" s="159"/>
      <c r="J19" s="159"/>
      <c r="K19" s="159"/>
      <c r="L19" s="159"/>
      <c r="M19" s="159"/>
      <c r="N19" s="159"/>
      <c r="O19" s="159"/>
      <c r="P19" s="160"/>
      <c r="Q19" s="605"/>
      <c r="R19" s="605"/>
      <c r="S19" s="605"/>
      <c r="T19" s="605"/>
      <c r="U19" s="605"/>
      <c r="V19" s="605"/>
      <c r="W19" s="605"/>
      <c r="X19" s="605"/>
      <c r="Y19" s="605"/>
      <c r="Z19" s="605"/>
      <c r="AA19" s="605"/>
      <c r="AB19" s="605"/>
      <c r="AC19" s="605"/>
      <c r="AD19" s="605"/>
      <c r="AE19" s="605"/>
      <c r="AF19" s="605"/>
      <c r="AG19" s="605"/>
      <c r="AH19" s="605"/>
      <c r="AI19" s="605"/>
      <c r="AJ19" s="605"/>
      <c r="AK19" s="605"/>
      <c r="AL19" s="605"/>
      <c r="AM19" s="605"/>
      <c r="AN19" s="605"/>
      <c r="AO19" s="605"/>
      <c r="AP19" s="605"/>
      <c r="AQ19" s="605"/>
      <c r="AR19" s="605"/>
      <c r="AS19" s="605"/>
      <c r="AT19" s="605"/>
      <c r="AU19" s="605"/>
      <c r="AV19" s="605"/>
      <c r="AW19" s="605"/>
      <c r="AX19" s="605"/>
      <c r="AY19" s="605"/>
      <c r="AZ19" s="605"/>
      <c r="BA19" s="605"/>
      <c r="BB19" s="605"/>
      <c r="BC19" s="605"/>
      <c r="BD19" s="605"/>
      <c r="BE19" s="605"/>
      <c r="BF19" s="605"/>
      <c r="BG19" s="605"/>
      <c r="BH19" s="605"/>
      <c r="BI19" s="605"/>
      <c r="BJ19" s="605"/>
      <c r="BK19" s="605"/>
      <c r="BL19" s="605"/>
      <c r="BM19" s="605"/>
      <c r="BN19" s="605"/>
      <c r="BO19" s="605"/>
      <c r="BP19" s="605"/>
      <c r="BQ19" s="605"/>
      <c r="BR19" s="605"/>
      <c r="BS19" s="605"/>
      <c r="BT19" s="605"/>
      <c r="BU19" s="605"/>
      <c r="BV19" s="605"/>
      <c r="BW19" s="605"/>
      <c r="BX19" s="605"/>
      <c r="BY19" s="605"/>
      <c r="BZ19" s="605"/>
      <c r="CA19" s="605"/>
      <c r="CB19" s="605"/>
      <c r="CC19" s="605"/>
      <c r="CD19" s="605"/>
      <c r="CE19" s="605"/>
      <c r="CF19" s="605"/>
      <c r="CG19" s="605"/>
      <c r="CH19" s="605"/>
      <c r="CI19" s="605"/>
      <c r="CJ19" s="605"/>
      <c r="CK19" s="605"/>
      <c r="CL19" s="605"/>
      <c r="CM19" s="605"/>
      <c r="CN19" s="605"/>
      <c r="CO19" s="605"/>
      <c r="CP19" s="605"/>
      <c r="CQ19" s="605"/>
      <c r="CR19" s="605"/>
      <c r="CS19" s="605"/>
      <c r="CT19" s="605"/>
      <c r="CU19" s="605"/>
      <c r="CV19" s="605"/>
      <c r="CW19" s="605"/>
      <c r="CX19" s="605"/>
      <c r="CY19" s="605"/>
      <c r="CZ19" s="605"/>
      <c r="DA19" s="605"/>
      <c r="DB19" s="605"/>
      <c r="DC19" s="605"/>
      <c r="DD19" s="605"/>
      <c r="DE19" s="605"/>
      <c r="DF19" s="605"/>
      <c r="DG19" s="605"/>
      <c r="DH19" s="605"/>
      <c r="DI19" s="605"/>
      <c r="DJ19" s="605"/>
      <c r="DK19" s="605"/>
    </row>
    <row r="20" spans="1:115">
      <c r="B20" s="211"/>
      <c r="C20" s="415"/>
      <c r="D20" s="415"/>
      <c r="E20" s="415"/>
      <c r="F20" s="415"/>
      <c r="G20" s="415"/>
      <c r="H20" s="415"/>
      <c r="I20" s="415"/>
      <c r="J20" s="415"/>
      <c r="K20" s="415"/>
      <c r="L20" s="415"/>
      <c r="M20" s="415"/>
      <c r="N20" s="415"/>
      <c r="O20" s="415"/>
      <c r="P20" s="419"/>
    </row>
    <row r="21" spans="1:115">
      <c r="B21" s="211"/>
      <c r="C21" s="416"/>
      <c r="D21" s="415"/>
      <c r="E21" s="104"/>
      <c r="F21" s="415"/>
      <c r="G21" s="415"/>
      <c r="H21" s="415"/>
      <c r="I21" s="415"/>
      <c r="J21" s="415"/>
      <c r="K21" s="415"/>
      <c r="L21" s="415"/>
      <c r="M21" s="415"/>
      <c r="N21" s="415"/>
      <c r="O21" s="104"/>
      <c r="P21" s="419"/>
    </row>
    <row r="22" spans="1:115" ht="5.25" customHeight="1">
      <c r="B22" s="211"/>
      <c r="C22" s="415"/>
      <c r="D22" s="415"/>
      <c r="E22" s="415"/>
      <c r="F22" s="415"/>
      <c r="G22" s="415"/>
      <c r="H22" s="415"/>
      <c r="I22" s="415"/>
      <c r="J22" s="415"/>
      <c r="K22" s="415"/>
      <c r="L22" s="415"/>
      <c r="M22" s="415"/>
      <c r="N22" s="415"/>
      <c r="O22" s="415"/>
      <c r="P22" s="419"/>
    </row>
    <row r="23" spans="1:115" ht="15.75">
      <c r="B23" s="212"/>
      <c r="C23" s="61"/>
      <c r="D23" s="61"/>
      <c r="E23" s="61"/>
      <c r="F23" s="238"/>
      <c r="G23" s="2316"/>
      <c r="H23" s="2316"/>
      <c r="I23" s="2316"/>
      <c r="J23" s="2316"/>
      <c r="K23" s="2316"/>
      <c r="L23" s="2316"/>
      <c r="M23" s="2316"/>
      <c r="N23" s="2316"/>
      <c r="O23" s="2316"/>
      <c r="P23" s="419"/>
    </row>
    <row r="24" spans="1:115" ht="15.75">
      <c r="B24" s="212"/>
      <c r="C24" s="413"/>
      <c r="D24" s="414"/>
      <c r="E24" s="96"/>
      <c r="F24" s="657"/>
      <c r="G24" s="98"/>
      <c r="H24" s="98"/>
      <c r="I24" s="98"/>
      <c r="J24" s="98"/>
      <c r="K24" s="98"/>
      <c r="L24" s="98"/>
      <c r="M24" s="98"/>
      <c r="N24" s="98"/>
      <c r="O24" s="98"/>
      <c r="P24" s="419"/>
    </row>
    <row r="25" spans="1:115" ht="15.75">
      <c r="B25" s="212"/>
      <c r="C25" s="413"/>
      <c r="D25" s="414"/>
      <c r="E25" s="414"/>
      <c r="F25" s="657"/>
      <c r="G25" s="98"/>
      <c r="H25" s="98"/>
      <c r="I25" s="98"/>
      <c r="J25" s="98"/>
      <c r="K25" s="98"/>
      <c r="L25" s="98"/>
      <c r="M25" s="98"/>
      <c r="N25" s="98"/>
      <c r="O25" s="98"/>
      <c r="P25" s="419"/>
    </row>
    <row r="26" spans="1:115" ht="15.75">
      <c r="B26" s="212"/>
      <c r="C26" s="413"/>
      <c r="D26" s="414"/>
      <c r="E26" s="414"/>
      <c r="F26" s="657"/>
      <c r="G26" s="98"/>
      <c r="H26" s="98"/>
      <c r="I26" s="98"/>
      <c r="J26" s="98"/>
      <c r="K26" s="98"/>
      <c r="L26" s="98"/>
      <c r="M26" s="98"/>
      <c r="N26" s="98"/>
      <c r="O26" s="98"/>
      <c r="P26" s="419"/>
    </row>
    <row r="27" spans="1:115" ht="15.75">
      <c r="B27" s="212"/>
      <c r="C27" s="411"/>
      <c r="D27" s="65"/>
      <c r="E27" s="65"/>
      <c r="F27" s="2317"/>
      <c r="G27" s="699"/>
      <c r="H27" s="699"/>
      <c r="I27" s="699"/>
      <c r="J27" s="699"/>
      <c r="K27" s="699"/>
      <c r="L27" s="699"/>
      <c r="M27" s="699"/>
      <c r="N27" s="699"/>
      <c r="O27" s="699"/>
      <c r="P27" s="419"/>
    </row>
    <row r="28" spans="1:115" ht="15.75">
      <c r="B28" s="152"/>
      <c r="C28" s="406"/>
      <c r="D28" s="407"/>
      <c r="E28" s="407"/>
      <c r="F28" s="408"/>
      <c r="G28" s="408"/>
      <c r="H28" s="408"/>
      <c r="I28" s="408"/>
      <c r="J28" s="408"/>
      <c r="K28" s="408"/>
      <c r="L28" s="408"/>
      <c r="M28" s="408"/>
      <c r="N28" s="408"/>
      <c r="O28" s="654"/>
      <c r="P28" s="419"/>
    </row>
    <row r="29" spans="1:115">
      <c r="B29" s="211"/>
      <c r="C29" s="415"/>
      <c r="D29" s="415"/>
      <c r="E29" s="415"/>
      <c r="F29" s="415"/>
      <c r="G29" s="415"/>
      <c r="H29" s="415"/>
      <c r="I29" s="415"/>
      <c r="J29" s="415"/>
      <c r="K29" s="415"/>
      <c r="L29" s="415"/>
      <c r="M29" s="415"/>
      <c r="N29" s="415"/>
      <c r="O29" s="415"/>
      <c r="P29" s="419"/>
    </row>
    <row r="30" spans="1:115">
      <c r="B30" s="211"/>
      <c r="C30" s="416"/>
      <c r="D30" s="415"/>
      <c r="E30" s="415"/>
      <c r="F30" s="415"/>
      <c r="G30" s="415"/>
      <c r="H30" s="415"/>
      <c r="I30" s="415"/>
      <c r="J30" s="415"/>
      <c r="K30" s="415"/>
      <c r="L30" s="415"/>
      <c r="M30" s="415"/>
      <c r="N30" s="415"/>
      <c r="O30" s="415"/>
      <c r="P30" s="419"/>
    </row>
    <row r="31" spans="1:115" ht="4.5" customHeight="1">
      <c r="B31" s="211"/>
      <c r="C31" s="415"/>
      <c r="D31" s="415"/>
      <c r="E31" s="415"/>
      <c r="F31" s="415"/>
      <c r="G31" s="415"/>
      <c r="H31" s="415"/>
      <c r="I31" s="415"/>
      <c r="J31" s="415"/>
      <c r="K31" s="415"/>
      <c r="L31" s="415"/>
      <c r="M31" s="415"/>
      <c r="N31" s="415"/>
      <c r="O31" s="415"/>
      <c r="P31" s="419"/>
    </row>
    <row r="32" spans="1:115">
      <c r="B32" s="211"/>
      <c r="C32" s="61"/>
      <c r="D32" s="61"/>
      <c r="E32" s="61"/>
      <c r="F32" s="238"/>
      <c r="G32" s="2316"/>
      <c r="H32" s="2316"/>
      <c r="I32" s="2316"/>
      <c r="J32" s="2316"/>
      <c r="K32" s="2316"/>
      <c r="L32" s="2316"/>
      <c r="M32" s="2316"/>
      <c r="N32" s="2316"/>
      <c r="O32" s="2316"/>
      <c r="P32" s="419"/>
    </row>
    <row r="33" spans="1:115">
      <c r="B33" s="211"/>
      <c r="C33" s="413"/>
      <c r="D33" s="414"/>
      <c r="E33" s="96"/>
      <c r="F33" s="657"/>
      <c r="G33" s="98"/>
      <c r="H33" s="98"/>
      <c r="I33" s="98"/>
      <c r="J33" s="98"/>
      <c r="K33" s="98"/>
      <c r="L33" s="98"/>
      <c r="M33" s="98"/>
      <c r="N33" s="98"/>
      <c r="O33" s="98"/>
      <c r="P33" s="419"/>
    </row>
    <row r="34" spans="1:115">
      <c r="B34" s="211"/>
      <c r="C34" s="413"/>
      <c r="D34" s="414"/>
      <c r="E34" s="414"/>
      <c r="F34" s="657"/>
      <c r="G34" s="137"/>
      <c r="H34" s="137"/>
      <c r="I34" s="137"/>
      <c r="J34" s="137"/>
      <c r="K34" s="137"/>
      <c r="L34" s="137"/>
      <c r="M34" s="137"/>
      <c r="N34" s="137"/>
      <c r="O34" s="137"/>
      <c r="P34" s="419"/>
    </row>
    <row r="35" spans="1:115">
      <c r="B35" s="211"/>
      <c r="C35" s="413"/>
      <c r="D35" s="414"/>
      <c r="E35" s="414"/>
      <c r="F35" s="657"/>
      <c r="G35" s="137"/>
      <c r="H35" s="137"/>
      <c r="I35" s="137"/>
      <c r="J35" s="137"/>
      <c r="K35" s="137"/>
      <c r="L35" s="137"/>
      <c r="M35" s="137"/>
      <c r="N35" s="137"/>
      <c r="O35" s="137"/>
      <c r="P35" s="419"/>
    </row>
    <row r="36" spans="1:115">
      <c r="B36" s="211"/>
      <c r="C36" s="411"/>
      <c r="D36" s="65"/>
      <c r="E36" s="65"/>
      <c r="F36" s="2317"/>
      <c r="G36" s="101"/>
      <c r="H36" s="342"/>
      <c r="I36" s="342"/>
      <c r="J36" s="342"/>
      <c r="K36" s="342"/>
      <c r="L36" s="342"/>
      <c r="M36" s="342"/>
      <c r="N36" s="342"/>
      <c r="O36" s="342"/>
      <c r="P36" s="419"/>
    </row>
    <row r="37" spans="1:115" ht="15.75">
      <c r="B37" s="152"/>
      <c r="C37" s="406"/>
      <c r="D37" s="407"/>
      <c r="E37" s="407"/>
      <c r="F37" s="408"/>
      <c r="G37" s="408"/>
      <c r="H37" s="408"/>
      <c r="I37" s="408"/>
      <c r="J37" s="408"/>
      <c r="K37" s="408"/>
      <c r="L37" s="408"/>
      <c r="M37" s="408"/>
      <c r="N37" s="408"/>
      <c r="O37" s="654"/>
      <c r="P37" s="419"/>
    </row>
    <row r="38" spans="1:115">
      <c r="B38" s="211"/>
      <c r="C38" s="415"/>
      <c r="D38" s="415"/>
      <c r="E38" s="415"/>
      <c r="F38" s="415"/>
      <c r="G38" s="415"/>
      <c r="H38" s="415"/>
      <c r="I38" s="415"/>
      <c r="J38" s="415"/>
      <c r="K38" s="415"/>
      <c r="L38" s="415"/>
      <c r="M38" s="415"/>
      <c r="N38" s="415"/>
      <c r="O38" s="415"/>
      <c r="P38" s="419"/>
    </row>
    <row r="39" spans="1:115">
      <c r="B39" s="211"/>
      <c r="C39" s="415"/>
      <c r="D39" s="415"/>
      <c r="E39" s="415"/>
      <c r="F39" s="415"/>
      <c r="G39" s="415"/>
      <c r="H39" s="415"/>
      <c r="I39" s="415"/>
      <c r="J39" s="415"/>
      <c r="K39" s="415"/>
      <c r="L39" s="415"/>
      <c r="M39" s="415"/>
      <c r="N39" s="415"/>
      <c r="O39" s="415"/>
      <c r="P39" s="419"/>
    </row>
    <row r="40" spans="1:115">
      <c r="B40" s="211"/>
      <c r="C40" s="217"/>
      <c r="D40" s="203"/>
      <c r="E40" s="415"/>
      <c r="F40" s="415"/>
      <c r="G40" s="415"/>
      <c r="H40" s="415"/>
      <c r="I40" s="415"/>
      <c r="J40" s="415"/>
      <c r="K40" s="415"/>
      <c r="L40" s="415"/>
      <c r="M40" s="415"/>
      <c r="N40" s="415"/>
      <c r="O40" s="415"/>
      <c r="P40" s="419"/>
    </row>
    <row r="41" spans="1:115">
      <c r="B41" s="211"/>
      <c r="C41" s="217"/>
      <c r="D41" s="203"/>
      <c r="E41" s="415"/>
      <c r="F41" s="415"/>
      <c r="G41" s="415"/>
      <c r="H41" s="415"/>
      <c r="I41" s="415"/>
      <c r="J41" s="415"/>
      <c r="K41" s="415"/>
      <c r="L41" s="415"/>
      <c r="M41" s="415"/>
      <c r="N41" s="415"/>
      <c r="O41" s="415"/>
      <c r="P41" s="419"/>
    </row>
    <row r="42" spans="1:115">
      <c r="B42" s="211"/>
      <c r="C42" s="217"/>
      <c r="D42" s="2318"/>
      <c r="E42" s="415"/>
      <c r="F42" s="415"/>
      <c r="G42" s="415"/>
      <c r="H42" s="415"/>
      <c r="I42" s="415"/>
      <c r="J42" s="415"/>
      <c r="K42" s="415"/>
      <c r="L42" s="415"/>
      <c r="M42" s="415"/>
      <c r="N42" s="415"/>
      <c r="O42" s="415"/>
      <c r="P42" s="419"/>
    </row>
    <row r="43" spans="1:115">
      <c r="B43" s="211"/>
      <c r="C43" s="415"/>
      <c r="D43" s="415"/>
      <c r="E43" s="415"/>
      <c r="F43" s="415"/>
      <c r="G43" s="415"/>
      <c r="H43" s="415"/>
      <c r="I43" s="415"/>
      <c r="J43" s="415"/>
      <c r="K43" s="415"/>
      <c r="L43" s="415"/>
      <c r="M43" s="415"/>
      <c r="N43" s="415"/>
      <c r="O43" s="415"/>
      <c r="P43" s="419"/>
    </row>
    <row r="46" spans="1:115" s="51" customFormat="1" ht="22.5">
      <c r="A46" s="420"/>
      <c r="B46" s="421" t="s">
        <v>265</v>
      </c>
      <c r="C46" s="159"/>
      <c r="D46" s="159"/>
      <c r="E46" s="159"/>
      <c r="F46" s="159"/>
      <c r="G46" s="159"/>
      <c r="H46" s="159"/>
      <c r="I46" s="159"/>
      <c r="J46" s="159"/>
      <c r="K46" s="159"/>
      <c r="L46" s="159"/>
      <c r="M46" s="159"/>
      <c r="N46" s="159"/>
      <c r="O46" s="159"/>
      <c r="P46" s="160"/>
      <c r="Q46" s="605"/>
      <c r="R46" s="605"/>
      <c r="S46" s="605"/>
      <c r="T46" s="605"/>
      <c r="U46" s="605"/>
      <c r="V46" s="605"/>
      <c r="W46" s="605"/>
      <c r="X46" s="605"/>
      <c r="Y46" s="605"/>
      <c r="Z46" s="605"/>
      <c r="AA46" s="605"/>
      <c r="AB46" s="605"/>
      <c r="AC46" s="605"/>
      <c r="AD46" s="605"/>
      <c r="AE46" s="605"/>
      <c r="AF46" s="605"/>
      <c r="AG46" s="605"/>
      <c r="AH46" s="605"/>
      <c r="AI46" s="605"/>
      <c r="AJ46" s="605"/>
      <c r="AK46" s="605"/>
      <c r="AL46" s="605"/>
      <c r="AM46" s="605"/>
      <c r="AN46" s="605"/>
      <c r="AO46" s="605"/>
      <c r="AP46" s="605"/>
      <c r="AQ46" s="605"/>
      <c r="AR46" s="605"/>
      <c r="AS46" s="605"/>
      <c r="AT46" s="605"/>
      <c r="AU46" s="605"/>
      <c r="AV46" s="605"/>
      <c r="AW46" s="605"/>
      <c r="AX46" s="605"/>
      <c r="AY46" s="605"/>
      <c r="AZ46" s="605"/>
      <c r="BA46" s="605"/>
      <c r="BB46" s="605"/>
      <c r="BC46" s="605"/>
      <c r="BD46" s="605"/>
      <c r="BE46" s="605"/>
      <c r="BF46" s="605"/>
      <c r="BG46" s="605"/>
      <c r="BH46" s="605"/>
      <c r="BI46" s="605"/>
      <c r="BJ46" s="605"/>
      <c r="BK46" s="605"/>
      <c r="BL46" s="605"/>
      <c r="BM46" s="605"/>
      <c r="BN46" s="605"/>
      <c r="BO46" s="605"/>
      <c r="BP46" s="605"/>
      <c r="BQ46" s="605"/>
      <c r="BR46" s="605"/>
      <c r="BS46" s="605"/>
      <c r="BT46" s="605"/>
      <c r="BU46" s="605"/>
      <c r="BV46" s="605"/>
      <c r="BW46" s="605"/>
      <c r="BX46" s="605"/>
      <c r="BY46" s="605"/>
      <c r="BZ46" s="605"/>
      <c r="CA46" s="605"/>
      <c r="CB46" s="605"/>
      <c r="CC46" s="605"/>
      <c r="CD46" s="605"/>
      <c r="CE46" s="605"/>
      <c r="CF46" s="605"/>
      <c r="CG46" s="605"/>
      <c r="CH46" s="605"/>
      <c r="CI46" s="605"/>
      <c r="CJ46" s="605"/>
      <c r="CK46" s="605"/>
      <c r="CL46" s="605"/>
      <c r="CM46" s="605"/>
      <c r="CN46" s="605"/>
      <c r="CO46" s="605"/>
      <c r="CP46" s="605"/>
      <c r="CQ46" s="605"/>
      <c r="CR46" s="605"/>
      <c r="CS46" s="605"/>
      <c r="CT46" s="605"/>
      <c r="CU46" s="605"/>
      <c r="CV46" s="605"/>
      <c r="CW46" s="605"/>
      <c r="CX46" s="605"/>
      <c r="CY46" s="605"/>
      <c r="CZ46" s="605"/>
      <c r="DA46" s="605"/>
      <c r="DB46" s="605"/>
      <c r="DC46" s="605"/>
      <c r="DD46" s="605"/>
      <c r="DE46" s="605"/>
      <c r="DF46" s="605"/>
      <c r="DG46" s="605"/>
      <c r="DH46" s="605"/>
      <c r="DI46" s="605"/>
      <c r="DJ46" s="605"/>
      <c r="DK46" s="605"/>
    </row>
    <row r="47" spans="1:115">
      <c r="B47" s="2319"/>
      <c r="C47" s="198"/>
      <c r="D47" s="198"/>
      <c r="E47" s="198"/>
      <c r="F47" s="198"/>
      <c r="G47" s="198"/>
      <c r="H47" s="198"/>
      <c r="I47" s="198"/>
      <c r="J47" s="198"/>
      <c r="K47" s="198"/>
      <c r="L47" s="198"/>
      <c r="M47" s="198"/>
      <c r="N47" s="198"/>
      <c r="O47" s="198"/>
      <c r="P47" s="199"/>
    </row>
    <row r="48" spans="1:115">
      <c r="B48" s="418"/>
      <c r="C48" s="416"/>
      <c r="D48" s="415"/>
      <c r="E48" s="415"/>
      <c r="F48" s="415"/>
      <c r="G48" s="104"/>
      <c r="H48" s="415"/>
      <c r="I48" s="415"/>
      <c r="J48" s="415"/>
      <c r="K48" s="415"/>
      <c r="L48" s="415"/>
      <c r="M48" s="415"/>
      <c r="N48" s="415"/>
      <c r="O48" s="415"/>
      <c r="P48" s="419"/>
    </row>
    <row r="49" spans="1:115" ht="4.5" customHeight="1">
      <c r="B49" s="418"/>
      <c r="C49" s="415"/>
      <c r="D49" s="415"/>
      <c r="E49" s="415"/>
      <c r="F49" s="415"/>
      <c r="G49" s="415"/>
      <c r="H49" s="415"/>
      <c r="I49" s="415"/>
      <c r="J49" s="415"/>
      <c r="K49" s="415"/>
      <c r="L49" s="415"/>
      <c r="M49" s="415"/>
      <c r="N49" s="415"/>
      <c r="O49" s="415"/>
      <c r="P49" s="419"/>
    </row>
    <row r="50" spans="1:115" ht="15.75">
      <c r="B50" s="152"/>
      <c r="C50" s="416" t="s">
        <v>1210</v>
      </c>
      <c r="D50" s="415"/>
      <c r="E50" s="415"/>
      <c r="F50" s="415"/>
      <c r="G50" s="415"/>
      <c r="H50" s="415"/>
      <c r="I50" s="415"/>
      <c r="J50" s="415"/>
      <c r="K50" s="415"/>
      <c r="L50" s="415"/>
      <c r="M50" s="415"/>
      <c r="N50" s="415"/>
      <c r="O50" s="415"/>
      <c r="P50" s="419"/>
    </row>
    <row r="51" spans="1:115" ht="15.75">
      <c r="B51" s="152"/>
      <c r="C51" s="61" t="s">
        <v>227</v>
      </c>
      <c r="D51" s="61" t="s">
        <v>240</v>
      </c>
      <c r="E51" s="61" t="s">
        <v>156</v>
      </c>
      <c r="F51" s="234" t="s">
        <v>203</v>
      </c>
      <c r="G51" s="67">
        <f>F51+5</f>
        <v>2012</v>
      </c>
      <c r="H51" s="67">
        <f t="shared" ref="H51:O51" si="0">G51+5</f>
        <v>2017</v>
      </c>
      <c r="I51" s="67">
        <f t="shared" si="0"/>
        <v>2022</v>
      </c>
      <c r="J51" s="67">
        <f t="shared" si="0"/>
        <v>2027</v>
      </c>
      <c r="K51" s="67">
        <f t="shared" si="0"/>
        <v>2032</v>
      </c>
      <c r="L51" s="67">
        <f t="shared" si="0"/>
        <v>2037</v>
      </c>
      <c r="M51" s="67">
        <f t="shared" si="0"/>
        <v>2042</v>
      </c>
      <c r="N51" s="67">
        <f t="shared" si="0"/>
        <v>2047</v>
      </c>
      <c r="O51" s="67">
        <f t="shared" si="0"/>
        <v>2052</v>
      </c>
      <c r="P51" s="419"/>
    </row>
    <row r="52" spans="1:115" ht="15.75">
      <c r="B52" s="152"/>
      <c r="C52" s="81" t="s">
        <v>36</v>
      </c>
      <c r="D52" s="81" t="s">
        <v>1211</v>
      </c>
      <c r="E52" s="82"/>
      <c r="F52" s="235">
        <v>0.05</v>
      </c>
      <c r="G52" s="84">
        <v>0.05</v>
      </c>
      <c r="H52" s="83">
        <v>0.05</v>
      </c>
      <c r="I52" s="83">
        <v>0.05</v>
      </c>
      <c r="J52" s="83">
        <v>0.05</v>
      </c>
      <c r="K52" s="83">
        <v>0.05</v>
      </c>
      <c r="L52" s="83">
        <v>0.05</v>
      </c>
      <c r="M52" s="83">
        <v>0.05</v>
      </c>
      <c r="N52" s="83">
        <v>0.05</v>
      </c>
      <c r="O52" s="83">
        <v>0.05</v>
      </c>
      <c r="P52" s="419"/>
    </row>
    <row r="53" spans="1:115" ht="15.75">
      <c r="B53" s="152"/>
      <c r="C53" s="415"/>
      <c r="D53" s="415"/>
      <c r="E53" s="415"/>
      <c r="F53" s="415"/>
      <c r="G53" s="415"/>
      <c r="H53" s="415"/>
      <c r="I53" s="415"/>
      <c r="J53" s="415"/>
      <c r="K53" s="415"/>
      <c r="L53" s="415"/>
      <c r="M53" s="415"/>
      <c r="N53" s="415"/>
      <c r="O53" s="415"/>
      <c r="P53" s="419"/>
    </row>
    <row r="54" spans="1:115">
      <c r="B54" s="418"/>
      <c r="C54" s="416" t="s">
        <v>238</v>
      </c>
      <c r="D54" s="415"/>
      <c r="E54" s="415"/>
      <c r="F54" s="136"/>
      <c r="G54" s="104"/>
      <c r="H54" s="415"/>
      <c r="I54" s="415"/>
      <c r="J54" s="415"/>
      <c r="K54" s="415"/>
      <c r="L54" s="415"/>
      <c r="M54" s="415"/>
      <c r="N54" s="415"/>
      <c r="O54" s="415"/>
      <c r="P54" s="419"/>
    </row>
    <row r="55" spans="1:115">
      <c r="B55" s="840"/>
      <c r="C55" s="415"/>
      <c r="D55" s="415"/>
      <c r="E55" s="415"/>
      <c r="F55" s="136"/>
      <c r="G55" s="415"/>
      <c r="H55" s="415"/>
      <c r="I55" s="415"/>
      <c r="J55" s="415"/>
      <c r="K55" s="415"/>
      <c r="L55" s="415"/>
      <c r="M55" s="415"/>
      <c r="N55" s="415"/>
      <c r="O55" s="415"/>
      <c r="P55" s="419"/>
    </row>
    <row r="56" spans="1:115" ht="14.25" customHeight="1">
      <c r="B56" s="418"/>
      <c r="C56" s="61" t="s">
        <v>227</v>
      </c>
      <c r="D56" s="61" t="s">
        <v>240</v>
      </c>
      <c r="E56" s="61" t="s">
        <v>156</v>
      </c>
      <c r="F56" s="234" t="s">
        <v>203</v>
      </c>
      <c r="G56" s="67">
        <f>F56+5</f>
        <v>2012</v>
      </c>
      <c r="H56" s="67">
        <f t="shared" ref="H56:O56" si="1">G56+5</f>
        <v>2017</v>
      </c>
      <c r="I56" s="67">
        <f t="shared" si="1"/>
        <v>2022</v>
      </c>
      <c r="J56" s="67">
        <f t="shared" si="1"/>
        <v>2027</v>
      </c>
      <c r="K56" s="67">
        <f t="shared" si="1"/>
        <v>2032</v>
      </c>
      <c r="L56" s="67">
        <f t="shared" si="1"/>
        <v>2037</v>
      </c>
      <c r="M56" s="67">
        <f t="shared" si="1"/>
        <v>2042</v>
      </c>
      <c r="N56" s="67">
        <f t="shared" si="1"/>
        <v>2047</v>
      </c>
      <c r="O56" s="67">
        <f t="shared" si="1"/>
        <v>2052</v>
      </c>
      <c r="P56" s="419"/>
    </row>
    <row r="57" spans="1:115" ht="15.75">
      <c r="B57" s="152"/>
      <c r="C57" s="78" t="s">
        <v>36</v>
      </c>
      <c r="D57" s="81" t="s">
        <v>1211</v>
      </c>
      <c r="E57" s="79" t="s">
        <v>94</v>
      </c>
      <c r="F57" s="236">
        <v>0.38600000000000001</v>
      </c>
      <c r="G57" s="236">
        <v>0.38600000000000001</v>
      </c>
      <c r="H57" s="236">
        <v>0.38600000000000001</v>
      </c>
      <c r="I57" s="236">
        <v>0.38600000000000001</v>
      </c>
      <c r="J57" s="236">
        <v>0.38600000000000001</v>
      </c>
      <c r="K57" s="236">
        <v>0.38600000000000001</v>
      </c>
      <c r="L57" s="236">
        <v>0.38600000000000001</v>
      </c>
      <c r="M57" s="236">
        <v>0.38600000000000001</v>
      </c>
      <c r="N57" s="236">
        <v>0.38600000000000001</v>
      </c>
      <c r="O57" s="236">
        <v>0.38600000000000001</v>
      </c>
      <c r="P57" s="419"/>
    </row>
    <row r="58" spans="1:115" s="51" customFormat="1" ht="15.75">
      <c r="A58" s="605"/>
      <c r="B58" s="153"/>
      <c r="C58" s="415"/>
      <c r="D58" s="415"/>
      <c r="E58" s="415"/>
      <c r="F58" s="415"/>
      <c r="G58" s="415"/>
      <c r="H58" s="415"/>
      <c r="I58" s="415"/>
      <c r="J58" s="415"/>
      <c r="K58" s="415"/>
      <c r="L58" s="415"/>
      <c r="M58" s="415"/>
      <c r="N58" s="415"/>
      <c r="O58" s="415"/>
      <c r="P58" s="154"/>
      <c r="Q58" s="605"/>
      <c r="R58" s="605"/>
      <c r="S58" s="605"/>
      <c r="T58" s="605"/>
      <c r="U58" s="605"/>
      <c r="V58" s="605"/>
      <c r="W58" s="605"/>
      <c r="X58" s="605"/>
      <c r="Y58" s="605"/>
      <c r="Z58" s="605"/>
      <c r="AA58" s="605"/>
      <c r="AB58" s="605"/>
      <c r="AC58" s="605"/>
      <c r="AD58" s="605"/>
      <c r="AE58" s="605"/>
      <c r="AF58" s="605"/>
      <c r="AG58" s="605"/>
      <c r="AH58" s="605"/>
      <c r="AI58" s="605"/>
      <c r="AJ58" s="605"/>
      <c r="AK58" s="605"/>
      <c r="AL58" s="605"/>
      <c r="AM58" s="605"/>
      <c r="AN58" s="605"/>
      <c r="AO58" s="605"/>
      <c r="AP58" s="605"/>
      <c r="AQ58" s="605"/>
      <c r="AR58" s="605"/>
      <c r="AS58" s="605"/>
      <c r="AT58" s="605"/>
      <c r="AU58" s="605"/>
      <c r="AV58" s="605"/>
      <c r="AW58" s="605"/>
      <c r="AX58" s="605"/>
      <c r="AY58" s="605"/>
      <c r="AZ58" s="605"/>
      <c r="BA58" s="605"/>
      <c r="BB58" s="605"/>
      <c r="BC58" s="605"/>
      <c r="BD58" s="605"/>
      <c r="BE58" s="605"/>
      <c r="BF58" s="605"/>
      <c r="BG58" s="605"/>
      <c r="BH58" s="605"/>
      <c r="BI58" s="605"/>
      <c r="BJ58" s="605"/>
      <c r="BK58" s="605"/>
      <c r="BL58" s="605"/>
      <c r="BM58" s="605"/>
      <c r="BN58" s="605"/>
      <c r="BO58" s="605"/>
      <c r="BP58" s="605"/>
      <c r="BQ58" s="605"/>
      <c r="BR58" s="605"/>
      <c r="BS58" s="605"/>
      <c r="BT58" s="605"/>
      <c r="BU58" s="605"/>
      <c r="BV58" s="605"/>
      <c r="BW58" s="605"/>
      <c r="BX58" s="605"/>
      <c r="BY58" s="605"/>
      <c r="BZ58" s="605"/>
      <c r="CA58" s="605"/>
      <c r="CB58" s="605"/>
      <c r="CC58" s="605"/>
      <c r="CD58" s="605"/>
      <c r="CE58" s="605"/>
      <c r="CF58" s="605"/>
      <c r="CG58" s="605"/>
      <c r="CH58" s="605"/>
      <c r="CI58" s="605"/>
      <c r="CJ58" s="605"/>
      <c r="CK58" s="605"/>
      <c r="CL58" s="605"/>
      <c r="CM58" s="605"/>
      <c r="CN58" s="605"/>
      <c r="CO58" s="605"/>
      <c r="CP58" s="605"/>
      <c r="CQ58" s="605"/>
      <c r="CR58" s="605"/>
      <c r="CS58" s="605"/>
      <c r="CT58" s="605"/>
      <c r="CU58" s="605"/>
      <c r="CV58" s="605"/>
      <c r="CW58" s="605"/>
      <c r="CX58" s="605"/>
      <c r="CY58" s="605"/>
      <c r="CZ58" s="605"/>
      <c r="DA58" s="605"/>
      <c r="DB58" s="605"/>
      <c r="DC58" s="605"/>
      <c r="DD58" s="605"/>
      <c r="DE58" s="605"/>
      <c r="DF58" s="605"/>
      <c r="DG58" s="605"/>
      <c r="DH58" s="605"/>
      <c r="DI58" s="605"/>
      <c r="DJ58" s="605"/>
      <c r="DK58" s="605"/>
    </row>
    <row r="59" spans="1:115" s="51" customFormat="1" ht="15.75">
      <c r="A59" s="605"/>
      <c r="B59" s="153"/>
      <c r="C59" s="416" t="s">
        <v>262</v>
      </c>
      <c r="D59" s="415"/>
      <c r="E59" s="415"/>
      <c r="F59" s="415"/>
      <c r="G59" s="104"/>
      <c r="H59" s="415"/>
      <c r="I59" s="415"/>
      <c r="J59" s="415"/>
      <c r="K59" s="415"/>
      <c r="L59" s="415"/>
      <c r="M59" s="415"/>
      <c r="N59" s="415"/>
      <c r="O59" s="415"/>
      <c r="P59" s="154"/>
      <c r="Q59" s="605"/>
      <c r="R59" s="605"/>
      <c r="S59" s="605"/>
      <c r="T59" s="605"/>
      <c r="U59" s="605"/>
      <c r="V59" s="605"/>
      <c r="W59" s="605"/>
      <c r="X59" s="605"/>
      <c r="Y59" s="605"/>
      <c r="Z59" s="605"/>
      <c r="AA59" s="605"/>
      <c r="AB59" s="605"/>
      <c r="AC59" s="605"/>
      <c r="AD59" s="605"/>
      <c r="AE59" s="605"/>
      <c r="AF59" s="605"/>
      <c r="AG59" s="605"/>
      <c r="AH59" s="605"/>
      <c r="AI59" s="605"/>
      <c r="AJ59" s="605"/>
      <c r="AK59" s="605"/>
      <c r="AL59" s="605"/>
      <c r="AM59" s="605"/>
      <c r="AN59" s="605"/>
      <c r="AO59" s="605"/>
      <c r="AP59" s="605"/>
      <c r="AQ59" s="605"/>
      <c r="AR59" s="605"/>
      <c r="AS59" s="605"/>
      <c r="AT59" s="605"/>
      <c r="AU59" s="605"/>
      <c r="AV59" s="605"/>
      <c r="AW59" s="605"/>
      <c r="AX59" s="605"/>
      <c r="AY59" s="605"/>
      <c r="AZ59" s="605"/>
      <c r="BA59" s="605"/>
      <c r="BB59" s="605"/>
      <c r="BC59" s="605"/>
      <c r="BD59" s="605"/>
      <c r="BE59" s="605"/>
      <c r="BF59" s="605"/>
      <c r="BG59" s="605"/>
      <c r="BH59" s="605"/>
      <c r="BI59" s="605"/>
      <c r="BJ59" s="605"/>
      <c r="BK59" s="605"/>
      <c r="BL59" s="605"/>
      <c r="BM59" s="605"/>
      <c r="BN59" s="605"/>
      <c r="BO59" s="605"/>
      <c r="BP59" s="605"/>
      <c r="BQ59" s="605"/>
      <c r="BR59" s="605"/>
      <c r="BS59" s="605"/>
      <c r="BT59" s="605"/>
      <c r="BU59" s="605"/>
      <c r="BV59" s="605"/>
      <c r="BW59" s="605"/>
      <c r="BX59" s="605"/>
      <c r="BY59" s="605"/>
      <c r="BZ59" s="605"/>
      <c r="CA59" s="605"/>
      <c r="CB59" s="605"/>
      <c r="CC59" s="605"/>
      <c r="CD59" s="605"/>
      <c r="CE59" s="605"/>
      <c r="CF59" s="605"/>
      <c r="CG59" s="605"/>
      <c r="CH59" s="605"/>
      <c r="CI59" s="605"/>
      <c r="CJ59" s="605"/>
      <c r="CK59" s="605"/>
      <c r="CL59" s="605"/>
      <c r="CM59" s="605"/>
      <c r="CN59" s="605"/>
      <c r="CO59" s="605"/>
      <c r="CP59" s="605"/>
      <c r="CQ59" s="605"/>
      <c r="CR59" s="605"/>
      <c r="CS59" s="605"/>
      <c r="CT59" s="605"/>
      <c r="CU59" s="605"/>
      <c r="CV59" s="605"/>
      <c r="CW59" s="605"/>
      <c r="CX59" s="605"/>
      <c r="CY59" s="605"/>
      <c r="CZ59" s="605"/>
      <c r="DA59" s="605"/>
      <c r="DB59" s="605"/>
      <c r="DC59" s="605"/>
      <c r="DD59" s="605"/>
      <c r="DE59" s="605"/>
      <c r="DF59" s="605"/>
      <c r="DG59" s="605"/>
      <c r="DH59" s="605"/>
      <c r="DI59" s="605"/>
      <c r="DJ59" s="605"/>
      <c r="DK59" s="605"/>
    </row>
    <row r="60" spans="1:115" s="51" customFormat="1" ht="15.75">
      <c r="A60" s="605"/>
      <c r="B60" s="153"/>
      <c r="C60" s="415"/>
      <c r="D60" s="415"/>
      <c r="E60" s="415"/>
      <c r="F60" s="415"/>
      <c r="G60" s="415"/>
      <c r="H60" s="415"/>
      <c r="I60" s="415"/>
      <c r="J60" s="415"/>
      <c r="K60" s="415"/>
      <c r="L60" s="415"/>
      <c r="M60" s="415"/>
      <c r="N60" s="415"/>
      <c r="O60" s="415"/>
      <c r="P60" s="154"/>
      <c r="Q60" s="605"/>
      <c r="R60" s="605"/>
      <c r="S60" s="605"/>
      <c r="T60" s="605"/>
      <c r="U60" s="605"/>
      <c r="V60" s="605"/>
      <c r="W60" s="605"/>
      <c r="X60" s="605"/>
      <c r="Y60" s="605"/>
      <c r="Z60" s="605"/>
      <c r="AA60" s="605"/>
      <c r="AB60" s="605"/>
      <c r="AC60" s="605"/>
      <c r="AD60" s="605"/>
      <c r="AE60" s="605"/>
      <c r="AF60" s="605"/>
      <c r="AG60" s="605"/>
      <c r="AH60" s="605"/>
      <c r="AI60" s="605"/>
      <c r="AJ60" s="605"/>
      <c r="AK60" s="605"/>
      <c r="AL60" s="605"/>
      <c r="AM60" s="605"/>
      <c r="AN60" s="605"/>
      <c r="AO60" s="605"/>
      <c r="AP60" s="605"/>
      <c r="AQ60" s="605"/>
      <c r="AR60" s="605"/>
      <c r="AS60" s="605"/>
      <c r="AT60" s="605"/>
      <c r="AU60" s="605"/>
      <c r="AV60" s="605"/>
      <c r="AW60" s="605"/>
      <c r="AX60" s="605"/>
      <c r="AY60" s="605"/>
      <c r="AZ60" s="605"/>
      <c r="BA60" s="605"/>
      <c r="BB60" s="605"/>
      <c r="BC60" s="605"/>
      <c r="BD60" s="605"/>
      <c r="BE60" s="605"/>
      <c r="BF60" s="605"/>
      <c r="BG60" s="605"/>
      <c r="BH60" s="605"/>
      <c r="BI60" s="605"/>
      <c r="BJ60" s="605"/>
      <c r="BK60" s="605"/>
      <c r="BL60" s="605"/>
      <c r="BM60" s="605"/>
      <c r="BN60" s="605"/>
      <c r="BO60" s="605"/>
      <c r="BP60" s="605"/>
      <c r="BQ60" s="605"/>
      <c r="BR60" s="605"/>
      <c r="BS60" s="605"/>
      <c r="BT60" s="605"/>
      <c r="BU60" s="605"/>
      <c r="BV60" s="605"/>
      <c r="BW60" s="605"/>
      <c r="BX60" s="605"/>
      <c r="BY60" s="605"/>
      <c r="BZ60" s="605"/>
      <c r="CA60" s="605"/>
      <c r="CB60" s="605"/>
      <c r="CC60" s="605"/>
      <c r="CD60" s="605"/>
      <c r="CE60" s="605"/>
      <c r="CF60" s="605"/>
      <c r="CG60" s="605"/>
      <c r="CH60" s="605"/>
      <c r="CI60" s="605"/>
      <c r="CJ60" s="605"/>
      <c r="CK60" s="605"/>
      <c r="CL60" s="605"/>
      <c r="CM60" s="605"/>
      <c r="CN60" s="605"/>
      <c r="CO60" s="605"/>
      <c r="CP60" s="605"/>
      <c r="CQ60" s="605"/>
      <c r="CR60" s="605"/>
      <c r="CS60" s="605"/>
      <c r="CT60" s="605"/>
      <c r="CU60" s="605"/>
      <c r="CV60" s="605"/>
      <c r="CW60" s="605"/>
      <c r="CX60" s="605"/>
      <c r="CY60" s="605"/>
      <c r="CZ60" s="605"/>
      <c r="DA60" s="605"/>
      <c r="DB60" s="605"/>
      <c r="DC60" s="605"/>
      <c r="DD60" s="605"/>
      <c r="DE60" s="605"/>
      <c r="DF60" s="605"/>
      <c r="DG60" s="605"/>
      <c r="DH60" s="605"/>
      <c r="DI60" s="605"/>
      <c r="DJ60" s="605"/>
      <c r="DK60" s="605"/>
    </row>
    <row r="61" spans="1:115">
      <c r="B61" s="418"/>
      <c r="C61" s="61" t="s">
        <v>227</v>
      </c>
      <c r="D61" s="61" t="s">
        <v>240</v>
      </c>
      <c r="E61" s="61" t="s">
        <v>156</v>
      </c>
      <c r="F61" s="234" t="s">
        <v>203</v>
      </c>
      <c r="G61" s="67">
        <f>F61+5</f>
        <v>2012</v>
      </c>
      <c r="H61" s="67">
        <f t="shared" ref="H61:O61" si="2">G61+5</f>
        <v>2017</v>
      </c>
      <c r="I61" s="67">
        <f t="shared" si="2"/>
        <v>2022</v>
      </c>
      <c r="J61" s="67">
        <f t="shared" si="2"/>
        <v>2027</v>
      </c>
      <c r="K61" s="67">
        <f t="shared" si="2"/>
        <v>2032</v>
      </c>
      <c r="L61" s="67">
        <f t="shared" si="2"/>
        <v>2037</v>
      </c>
      <c r="M61" s="67">
        <f t="shared" si="2"/>
        <v>2042</v>
      </c>
      <c r="N61" s="67">
        <f t="shared" si="2"/>
        <v>2047</v>
      </c>
      <c r="O61" s="67">
        <f t="shared" si="2"/>
        <v>2052</v>
      </c>
      <c r="P61" s="419"/>
    </row>
    <row r="62" spans="1:115">
      <c r="B62" s="840"/>
      <c r="C62" s="78" t="s">
        <v>36</v>
      </c>
      <c r="D62" s="81" t="s">
        <v>1211</v>
      </c>
      <c r="E62" s="65" t="s">
        <v>94</v>
      </c>
      <c r="F62" s="236">
        <v>0.59599999999999997</v>
      </c>
      <c r="G62" s="86">
        <v>0.6</v>
      </c>
      <c r="H62" s="70">
        <v>0.7</v>
      </c>
      <c r="I62" s="70">
        <v>0.8</v>
      </c>
      <c r="J62" s="70">
        <v>0.8</v>
      </c>
      <c r="K62" s="70">
        <v>0.8</v>
      </c>
      <c r="L62" s="70">
        <v>0.8</v>
      </c>
      <c r="M62" s="70">
        <v>0.8</v>
      </c>
      <c r="N62" s="70">
        <v>0.8</v>
      </c>
      <c r="O62" s="70">
        <v>0.8</v>
      </c>
      <c r="P62" s="419"/>
    </row>
    <row r="63" spans="1:115" ht="14.25" customHeight="1">
      <c r="B63" s="418"/>
      <c r="C63" s="415"/>
      <c r="D63" s="415"/>
      <c r="E63" s="415"/>
      <c r="F63" s="415"/>
      <c r="G63" s="415"/>
      <c r="H63" s="415"/>
      <c r="I63" s="415"/>
      <c r="J63" s="415"/>
      <c r="K63" s="415"/>
      <c r="L63" s="415"/>
      <c r="M63" s="415"/>
      <c r="N63" s="415"/>
      <c r="O63" s="415"/>
      <c r="P63" s="419"/>
    </row>
    <row r="64" spans="1:115" ht="15.75">
      <c r="B64" s="152"/>
      <c r="C64" s="412"/>
      <c r="D64" s="412"/>
      <c r="E64" s="412"/>
      <c r="F64" s="779"/>
      <c r="G64" s="779"/>
      <c r="H64" s="779"/>
      <c r="I64" s="779"/>
      <c r="J64" s="779"/>
      <c r="K64" s="779"/>
      <c r="L64" s="779"/>
      <c r="M64" s="779"/>
      <c r="N64" s="779"/>
      <c r="O64" s="779"/>
      <c r="P64" s="419"/>
    </row>
    <row r="65" spans="1:115" s="51" customFormat="1" ht="15.75">
      <c r="A65" s="605"/>
      <c r="B65" s="153"/>
      <c r="C65" s="106" t="s">
        <v>2081</v>
      </c>
      <c r="D65" s="135"/>
      <c r="E65" s="135">
        <f>40</f>
        <v>40</v>
      </c>
      <c r="F65" s="116" t="s">
        <v>809</v>
      </c>
      <c r="G65" s="613"/>
      <c r="H65" s="613"/>
      <c r="I65" s="613"/>
      <c r="J65" s="613"/>
      <c r="K65" s="613"/>
      <c r="L65" s="613"/>
      <c r="M65" s="613"/>
      <c r="N65" s="613"/>
      <c r="O65" s="613"/>
      <c r="P65" s="154"/>
      <c r="Q65" s="605"/>
      <c r="R65" s="605"/>
      <c r="S65" s="605"/>
      <c r="T65" s="605"/>
      <c r="U65" s="605"/>
      <c r="V65" s="605"/>
      <c r="W65" s="605"/>
      <c r="X65" s="605"/>
      <c r="Y65" s="605"/>
      <c r="Z65" s="605"/>
      <c r="AA65" s="605"/>
      <c r="AB65" s="605"/>
      <c r="AC65" s="605"/>
      <c r="AD65" s="605"/>
      <c r="AE65" s="605"/>
      <c r="AF65" s="605"/>
      <c r="AG65" s="605"/>
      <c r="AH65" s="605"/>
      <c r="AI65" s="605"/>
      <c r="AJ65" s="605"/>
      <c r="AK65" s="605"/>
      <c r="AL65" s="605"/>
      <c r="AM65" s="605"/>
      <c r="AN65" s="605"/>
      <c r="AO65" s="605"/>
      <c r="AP65" s="605"/>
      <c r="AQ65" s="605"/>
      <c r="AR65" s="605"/>
      <c r="AS65" s="605"/>
      <c r="AT65" s="605"/>
      <c r="AU65" s="605"/>
      <c r="AV65" s="605"/>
      <c r="AW65" s="605"/>
      <c r="AX65" s="605"/>
      <c r="AY65" s="605"/>
      <c r="AZ65" s="605"/>
      <c r="BA65" s="605"/>
      <c r="BB65" s="605"/>
      <c r="BC65" s="605"/>
      <c r="BD65" s="605"/>
      <c r="BE65" s="605"/>
      <c r="BF65" s="605"/>
      <c r="BG65" s="605"/>
      <c r="BH65" s="605"/>
      <c r="BI65" s="605"/>
      <c r="BJ65" s="605"/>
      <c r="BK65" s="605"/>
      <c r="BL65" s="605"/>
      <c r="BM65" s="605"/>
      <c r="BN65" s="605"/>
      <c r="BO65" s="605"/>
      <c r="BP65" s="605"/>
      <c r="BQ65" s="605"/>
      <c r="BR65" s="605"/>
      <c r="BS65" s="605"/>
      <c r="BT65" s="605"/>
      <c r="BU65" s="605"/>
      <c r="BV65" s="605"/>
      <c r="BW65" s="605"/>
      <c r="BX65" s="605"/>
      <c r="BY65" s="605"/>
      <c r="BZ65" s="605"/>
      <c r="CA65" s="605"/>
      <c r="CB65" s="605"/>
      <c r="CC65" s="605"/>
      <c r="CD65" s="605"/>
      <c r="CE65" s="605"/>
      <c r="CF65" s="605"/>
      <c r="CG65" s="605"/>
      <c r="CH65" s="605"/>
      <c r="CI65" s="605"/>
      <c r="CJ65" s="605"/>
      <c r="CK65" s="605"/>
      <c r="CL65" s="605"/>
      <c r="CM65" s="605"/>
      <c r="CN65" s="605"/>
      <c r="CO65" s="605"/>
      <c r="CP65" s="605"/>
      <c r="CQ65" s="605"/>
      <c r="CR65" s="605"/>
      <c r="CS65" s="605"/>
      <c r="CT65" s="605"/>
      <c r="CU65" s="605"/>
      <c r="CV65" s="605"/>
      <c r="CW65" s="605"/>
      <c r="CX65" s="605"/>
      <c r="CY65" s="605"/>
      <c r="CZ65" s="605"/>
      <c r="DA65" s="605"/>
      <c r="DB65" s="605"/>
      <c r="DC65" s="605"/>
      <c r="DD65" s="605"/>
      <c r="DE65" s="605"/>
      <c r="DF65" s="605"/>
      <c r="DG65" s="605"/>
      <c r="DH65" s="605"/>
      <c r="DI65" s="605"/>
      <c r="DJ65" s="605"/>
      <c r="DK65" s="605"/>
    </row>
    <row r="66" spans="1:115" s="51" customFormat="1" ht="15.75">
      <c r="A66" s="605"/>
      <c r="B66" s="153"/>
      <c r="C66" s="751"/>
      <c r="D66" s="135"/>
      <c r="E66" s="135"/>
      <c r="F66" s="116"/>
      <c r="G66" s="613"/>
      <c r="H66" s="613"/>
      <c r="I66" s="613"/>
      <c r="J66" s="613"/>
      <c r="K66" s="613"/>
      <c r="L66" s="613"/>
      <c r="M66" s="613"/>
      <c r="N66" s="613"/>
      <c r="O66" s="613"/>
      <c r="P66" s="154"/>
      <c r="Q66" s="605"/>
      <c r="R66" s="605"/>
      <c r="S66" s="605"/>
      <c r="T66" s="605"/>
      <c r="U66" s="605"/>
      <c r="V66" s="605"/>
      <c r="W66" s="605"/>
      <c r="X66" s="605"/>
      <c r="Y66" s="605"/>
      <c r="Z66" s="605"/>
      <c r="AA66" s="605"/>
      <c r="AB66" s="605"/>
      <c r="AC66" s="605"/>
      <c r="AD66" s="605"/>
      <c r="AE66" s="605"/>
      <c r="AF66" s="605"/>
      <c r="AG66" s="605"/>
      <c r="AH66" s="605"/>
      <c r="AI66" s="605"/>
      <c r="AJ66" s="605"/>
      <c r="AK66" s="605"/>
      <c r="AL66" s="605"/>
      <c r="AM66" s="605"/>
      <c r="AN66" s="605"/>
      <c r="AO66" s="605"/>
      <c r="AP66" s="605"/>
      <c r="AQ66" s="605"/>
      <c r="AR66" s="605"/>
      <c r="AS66" s="605"/>
      <c r="AT66" s="605"/>
      <c r="AU66" s="605"/>
      <c r="AV66" s="605"/>
      <c r="AW66" s="605"/>
      <c r="AX66" s="605"/>
      <c r="AY66" s="605"/>
      <c r="AZ66" s="605"/>
      <c r="BA66" s="605"/>
      <c r="BB66" s="605"/>
      <c r="BC66" s="605"/>
      <c r="BD66" s="605"/>
      <c r="BE66" s="605"/>
      <c r="BF66" s="605"/>
      <c r="BG66" s="605"/>
      <c r="BH66" s="605"/>
      <c r="BI66" s="605"/>
      <c r="BJ66" s="605"/>
      <c r="BK66" s="605"/>
      <c r="BL66" s="605"/>
      <c r="BM66" s="605"/>
      <c r="BN66" s="605"/>
      <c r="BO66" s="605"/>
      <c r="BP66" s="605"/>
      <c r="BQ66" s="605"/>
      <c r="BR66" s="605"/>
      <c r="BS66" s="605"/>
      <c r="BT66" s="605"/>
      <c r="BU66" s="605"/>
      <c r="BV66" s="605"/>
      <c r="BW66" s="605"/>
      <c r="BX66" s="605"/>
      <c r="BY66" s="605"/>
      <c r="BZ66" s="605"/>
      <c r="CA66" s="605"/>
      <c r="CB66" s="605"/>
      <c r="CC66" s="605"/>
      <c r="CD66" s="605"/>
      <c r="CE66" s="605"/>
      <c r="CF66" s="605"/>
      <c r="CG66" s="605"/>
      <c r="CH66" s="605"/>
      <c r="CI66" s="605"/>
      <c r="CJ66" s="605"/>
      <c r="CK66" s="605"/>
      <c r="CL66" s="605"/>
      <c r="CM66" s="605"/>
      <c r="CN66" s="605"/>
      <c r="CO66" s="605"/>
      <c r="CP66" s="605"/>
      <c r="CQ66" s="605"/>
      <c r="CR66" s="605"/>
      <c r="CS66" s="605"/>
      <c r="CT66" s="605"/>
      <c r="CU66" s="605"/>
      <c r="CV66" s="605"/>
      <c r="CW66" s="605"/>
      <c r="CX66" s="605"/>
      <c r="CY66" s="605"/>
      <c r="CZ66" s="605"/>
      <c r="DA66" s="605"/>
      <c r="DB66" s="605"/>
      <c r="DC66" s="605"/>
      <c r="DD66" s="605"/>
      <c r="DE66" s="605"/>
      <c r="DF66" s="605"/>
      <c r="DG66" s="605"/>
      <c r="DH66" s="605"/>
      <c r="DI66" s="605"/>
      <c r="DJ66" s="605"/>
      <c r="DK66" s="605"/>
    </row>
    <row r="67" spans="1:115" s="51" customFormat="1" ht="5.25" customHeight="1">
      <c r="A67" s="605"/>
      <c r="B67" s="153"/>
      <c r="C67" s="751"/>
      <c r="D67" s="135"/>
      <c r="E67" s="135"/>
      <c r="F67" s="116"/>
      <c r="G67" s="613"/>
      <c r="H67" s="613"/>
      <c r="I67" s="613"/>
      <c r="J67" s="613"/>
      <c r="K67" s="613"/>
      <c r="L67" s="613"/>
      <c r="M67" s="613"/>
      <c r="N67" s="613"/>
      <c r="O67" s="613"/>
      <c r="P67" s="154"/>
      <c r="Q67" s="605"/>
      <c r="R67" s="605"/>
      <c r="S67" s="605"/>
      <c r="T67" s="605"/>
      <c r="U67" s="605"/>
      <c r="V67" s="605"/>
      <c r="W67" s="605"/>
      <c r="X67" s="605"/>
      <c r="Y67" s="605"/>
      <c r="Z67" s="605"/>
      <c r="AA67" s="605"/>
      <c r="AB67" s="605"/>
      <c r="AC67" s="605"/>
      <c r="AD67" s="605"/>
      <c r="AE67" s="605"/>
      <c r="AF67" s="605"/>
      <c r="AG67" s="605"/>
      <c r="AH67" s="605"/>
      <c r="AI67" s="605"/>
      <c r="AJ67" s="605"/>
      <c r="AK67" s="605"/>
      <c r="AL67" s="605"/>
      <c r="AM67" s="605"/>
      <c r="AN67" s="605"/>
      <c r="AO67" s="605"/>
      <c r="AP67" s="605"/>
      <c r="AQ67" s="605"/>
      <c r="AR67" s="605"/>
      <c r="AS67" s="605"/>
      <c r="AT67" s="605"/>
      <c r="AU67" s="605"/>
      <c r="AV67" s="605"/>
      <c r="AW67" s="605"/>
      <c r="AX67" s="605"/>
      <c r="AY67" s="605"/>
      <c r="AZ67" s="605"/>
      <c r="BA67" s="605"/>
      <c r="BB67" s="605"/>
      <c r="BC67" s="605"/>
      <c r="BD67" s="605"/>
      <c r="BE67" s="605"/>
      <c r="BF67" s="605"/>
      <c r="BG67" s="605"/>
      <c r="BH67" s="605"/>
      <c r="BI67" s="605"/>
      <c r="BJ67" s="605"/>
      <c r="BK67" s="605"/>
      <c r="BL67" s="605"/>
      <c r="BM67" s="605"/>
      <c r="BN67" s="605"/>
      <c r="BO67" s="605"/>
      <c r="BP67" s="605"/>
      <c r="BQ67" s="605"/>
      <c r="BR67" s="605"/>
      <c r="BS67" s="605"/>
      <c r="BT67" s="605"/>
      <c r="BU67" s="605"/>
      <c r="BV67" s="605"/>
      <c r="BW67" s="605"/>
      <c r="BX67" s="605"/>
      <c r="BY67" s="605"/>
      <c r="BZ67" s="605"/>
      <c r="CA67" s="605"/>
      <c r="CB67" s="605"/>
      <c r="CC67" s="605"/>
      <c r="CD67" s="605"/>
      <c r="CE67" s="605"/>
      <c r="CF67" s="605"/>
      <c r="CG67" s="605"/>
      <c r="CH67" s="605"/>
      <c r="CI67" s="605"/>
      <c r="CJ67" s="605"/>
      <c r="CK67" s="605"/>
      <c r="CL67" s="605"/>
      <c r="CM67" s="605"/>
      <c r="CN67" s="605"/>
      <c r="CO67" s="605"/>
      <c r="CP67" s="605"/>
      <c r="CQ67" s="605"/>
      <c r="CR67" s="605"/>
      <c r="CS67" s="605"/>
      <c r="CT67" s="605"/>
      <c r="CU67" s="605"/>
      <c r="CV67" s="605"/>
      <c r="CW67" s="605"/>
      <c r="CX67" s="605"/>
      <c r="CY67" s="605"/>
      <c r="CZ67" s="605"/>
      <c r="DA67" s="605"/>
      <c r="DB67" s="605"/>
      <c r="DC67" s="605"/>
      <c r="DD67" s="605"/>
      <c r="DE67" s="605"/>
      <c r="DF67" s="605"/>
      <c r="DG67" s="605"/>
      <c r="DH67" s="605"/>
      <c r="DI67" s="605"/>
      <c r="DJ67" s="605"/>
      <c r="DK67" s="605"/>
    </row>
    <row r="68" spans="1:115" s="51" customFormat="1" ht="15.75">
      <c r="A68" s="605"/>
      <c r="B68" s="153"/>
      <c r="C68" s="106"/>
      <c r="D68" s="135"/>
      <c r="E68" s="135"/>
      <c r="F68" s="116"/>
      <c r="G68" s="613"/>
      <c r="H68" s="613"/>
      <c r="I68" s="613"/>
      <c r="J68" s="613"/>
      <c r="K68" s="613"/>
      <c r="L68" s="613"/>
      <c r="M68" s="613"/>
      <c r="N68" s="613"/>
      <c r="O68" s="613"/>
      <c r="P68" s="154"/>
      <c r="Q68" s="605"/>
      <c r="R68" s="605"/>
      <c r="S68" s="605"/>
      <c r="T68" s="605"/>
      <c r="U68" s="605"/>
      <c r="V68" s="605"/>
      <c r="W68" s="605"/>
      <c r="X68" s="605"/>
      <c r="Y68" s="605"/>
      <c r="Z68" s="605"/>
      <c r="AA68" s="605"/>
      <c r="AB68" s="605"/>
      <c r="AC68" s="605"/>
      <c r="AD68" s="605"/>
      <c r="AE68" s="605"/>
      <c r="AF68" s="605"/>
      <c r="AG68" s="605"/>
      <c r="AH68" s="605"/>
      <c r="AI68" s="605"/>
      <c r="AJ68" s="605"/>
      <c r="AK68" s="605"/>
      <c r="AL68" s="605"/>
      <c r="AM68" s="605"/>
      <c r="AN68" s="605"/>
      <c r="AO68" s="605"/>
      <c r="AP68" s="605"/>
      <c r="AQ68" s="605"/>
      <c r="AR68" s="605"/>
      <c r="AS68" s="605"/>
      <c r="AT68" s="605"/>
      <c r="AU68" s="605"/>
      <c r="AV68" s="605"/>
      <c r="AW68" s="605"/>
      <c r="AX68" s="605"/>
      <c r="AY68" s="605"/>
      <c r="AZ68" s="605"/>
      <c r="BA68" s="605"/>
      <c r="BB68" s="605"/>
      <c r="BC68" s="605"/>
      <c r="BD68" s="605"/>
      <c r="BE68" s="605"/>
      <c r="BF68" s="605"/>
      <c r="BG68" s="605"/>
      <c r="BH68" s="605"/>
      <c r="BI68" s="605"/>
      <c r="BJ68" s="605"/>
      <c r="BK68" s="605"/>
      <c r="BL68" s="605"/>
      <c r="BM68" s="605"/>
      <c r="BN68" s="605"/>
      <c r="BO68" s="605"/>
      <c r="BP68" s="605"/>
      <c r="BQ68" s="605"/>
      <c r="BR68" s="605"/>
      <c r="BS68" s="605"/>
      <c r="BT68" s="605"/>
      <c r="BU68" s="605"/>
      <c r="BV68" s="605"/>
      <c r="BW68" s="605"/>
      <c r="BX68" s="605"/>
      <c r="BY68" s="605"/>
      <c r="BZ68" s="605"/>
      <c r="CA68" s="605"/>
      <c r="CB68" s="605"/>
      <c r="CC68" s="605"/>
      <c r="CD68" s="605"/>
      <c r="CE68" s="605"/>
      <c r="CF68" s="605"/>
      <c r="CG68" s="605"/>
      <c r="CH68" s="605"/>
      <c r="CI68" s="605"/>
      <c r="CJ68" s="605"/>
      <c r="CK68" s="605"/>
      <c r="CL68" s="605"/>
      <c r="CM68" s="605"/>
      <c r="CN68" s="605"/>
      <c r="CO68" s="605"/>
      <c r="CP68" s="605"/>
      <c r="CQ68" s="605"/>
      <c r="CR68" s="605"/>
      <c r="CS68" s="605"/>
      <c r="CT68" s="605"/>
      <c r="CU68" s="605"/>
      <c r="CV68" s="605"/>
      <c r="CW68" s="605"/>
      <c r="CX68" s="605"/>
      <c r="CY68" s="605"/>
      <c r="CZ68" s="605"/>
      <c r="DA68" s="605"/>
      <c r="DB68" s="605"/>
      <c r="DC68" s="605"/>
      <c r="DD68" s="605"/>
      <c r="DE68" s="605"/>
      <c r="DF68" s="605"/>
      <c r="DG68" s="605"/>
      <c r="DH68" s="605"/>
      <c r="DI68" s="605"/>
      <c r="DJ68" s="605"/>
      <c r="DK68" s="605"/>
    </row>
    <row r="69" spans="1:115" s="51" customFormat="1" ht="3.75" customHeight="1">
      <c r="A69" s="605"/>
      <c r="B69" s="153"/>
      <c r="C69" s="106"/>
      <c r="D69" s="135"/>
      <c r="E69" s="135"/>
      <c r="F69" s="116"/>
      <c r="G69" s="613"/>
      <c r="H69" s="613"/>
      <c r="I69" s="613"/>
      <c r="J69" s="613"/>
      <c r="K69" s="613"/>
      <c r="L69" s="613"/>
      <c r="M69" s="613"/>
      <c r="N69" s="613"/>
      <c r="O69" s="613"/>
      <c r="P69" s="154"/>
      <c r="Q69" s="605"/>
      <c r="R69" s="605"/>
      <c r="S69" s="605"/>
      <c r="T69" s="605"/>
      <c r="U69" s="605"/>
      <c r="V69" s="605"/>
      <c r="W69" s="605"/>
      <c r="X69" s="605"/>
      <c r="Y69" s="605"/>
      <c r="Z69" s="605"/>
      <c r="AA69" s="605"/>
      <c r="AB69" s="605"/>
      <c r="AC69" s="605"/>
      <c r="AD69" s="605"/>
      <c r="AE69" s="605"/>
      <c r="AF69" s="605"/>
      <c r="AG69" s="605"/>
      <c r="AH69" s="605"/>
      <c r="AI69" s="605"/>
      <c r="AJ69" s="605"/>
      <c r="AK69" s="605"/>
      <c r="AL69" s="605"/>
      <c r="AM69" s="605"/>
      <c r="AN69" s="605"/>
      <c r="AO69" s="605"/>
      <c r="AP69" s="605"/>
      <c r="AQ69" s="605"/>
      <c r="AR69" s="605"/>
      <c r="AS69" s="605"/>
      <c r="AT69" s="605"/>
      <c r="AU69" s="605"/>
      <c r="AV69" s="605"/>
      <c r="AW69" s="605"/>
      <c r="AX69" s="605"/>
      <c r="AY69" s="605"/>
      <c r="AZ69" s="605"/>
      <c r="BA69" s="605"/>
      <c r="BB69" s="605"/>
      <c r="BC69" s="605"/>
      <c r="BD69" s="605"/>
      <c r="BE69" s="605"/>
      <c r="BF69" s="605"/>
      <c r="BG69" s="605"/>
      <c r="BH69" s="605"/>
      <c r="BI69" s="605"/>
      <c r="BJ69" s="605"/>
      <c r="BK69" s="605"/>
      <c r="BL69" s="605"/>
      <c r="BM69" s="605"/>
      <c r="BN69" s="605"/>
      <c r="BO69" s="605"/>
      <c r="BP69" s="605"/>
      <c r="BQ69" s="605"/>
      <c r="BR69" s="605"/>
      <c r="BS69" s="605"/>
      <c r="BT69" s="605"/>
      <c r="BU69" s="605"/>
      <c r="BV69" s="605"/>
      <c r="BW69" s="605"/>
      <c r="BX69" s="605"/>
      <c r="BY69" s="605"/>
      <c r="BZ69" s="605"/>
      <c r="CA69" s="605"/>
      <c r="CB69" s="605"/>
      <c r="CC69" s="605"/>
      <c r="CD69" s="605"/>
      <c r="CE69" s="605"/>
      <c r="CF69" s="605"/>
      <c r="CG69" s="605"/>
      <c r="CH69" s="605"/>
      <c r="CI69" s="605"/>
      <c r="CJ69" s="605"/>
      <c r="CK69" s="605"/>
      <c r="CL69" s="605"/>
      <c r="CM69" s="605"/>
      <c r="CN69" s="605"/>
      <c r="CO69" s="605"/>
      <c r="CP69" s="605"/>
      <c r="CQ69" s="605"/>
      <c r="CR69" s="605"/>
      <c r="CS69" s="605"/>
      <c r="CT69" s="605"/>
      <c r="CU69" s="605"/>
      <c r="CV69" s="605"/>
      <c r="CW69" s="605"/>
      <c r="CX69" s="605"/>
      <c r="CY69" s="605"/>
      <c r="CZ69" s="605"/>
      <c r="DA69" s="605"/>
      <c r="DB69" s="605"/>
      <c r="DC69" s="605"/>
      <c r="DD69" s="605"/>
      <c r="DE69" s="605"/>
      <c r="DF69" s="605"/>
      <c r="DG69" s="605"/>
      <c r="DH69" s="605"/>
      <c r="DI69" s="605"/>
      <c r="DJ69" s="605"/>
      <c r="DK69" s="605"/>
    </row>
    <row r="70" spans="1:115" s="51" customFormat="1" ht="15.75">
      <c r="A70" s="605"/>
      <c r="B70" s="153"/>
      <c r="C70" s="413"/>
      <c r="D70" s="613"/>
      <c r="E70" s="135"/>
      <c r="F70" s="116"/>
      <c r="G70" s="613"/>
      <c r="H70" s="613"/>
      <c r="I70" s="613"/>
      <c r="J70" s="613"/>
      <c r="K70" s="613"/>
      <c r="L70" s="613"/>
      <c r="M70" s="613"/>
      <c r="N70" s="613"/>
      <c r="O70" s="613"/>
      <c r="P70" s="154"/>
      <c r="Q70" s="605"/>
      <c r="R70" s="605"/>
      <c r="S70" s="605"/>
      <c r="T70" s="605"/>
      <c r="U70" s="605"/>
      <c r="V70" s="605"/>
      <c r="W70" s="605"/>
      <c r="X70" s="605"/>
      <c r="Y70" s="605"/>
      <c r="Z70" s="605"/>
      <c r="AA70" s="605"/>
      <c r="AB70" s="605"/>
      <c r="AC70" s="605"/>
      <c r="AD70" s="605"/>
      <c r="AE70" s="605"/>
      <c r="AF70" s="605"/>
      <c r="AG70" s="605"/>
      <c r="AH70" s="605"/>
      <c r="AI70" s="605"/>
      <c r="AJ70" s="605"/>
      <c r="AK70" s="605"/>
      <c r="AL70" s="605"/>
      <c r="AM70" s="605"/>
      <c r="AN70" s="605"/>
      <c r="AO70" s="605"/>
      <c r="AP70" s="605"/>
      <c r="AQ70" s="605"/>
      <c r="AR70" s="605"/>
      <c r="AS70" s="605"/>
      <c r="AT70" s="605"/>
      <c r="AU70" s="605"/>
      <c r="AV70" s="605"/>
      <c r="AW70" s="605"/>
      <c r="AX70" s="605"/>
      <c r="AY70" s="605"/>
      <c r="AZ70" s="605"/>
      <c r="BA70" s="605"/>
      <c r="BB70" s="605"/>
      <c r="BC70" s="605"/>
      <c r="BD70" s="605"/>
      <c r="BE70" s="605"/>
      <c r="BF70" s="605"/>
      <c r="BG70" s="605"/>
      <c r="BH70" s="605"/>
      <c r="BI70" s="605"/>
      <c r="BJ70" s="605"/>
      <c r="BK70" s="605"/>
      <c r="BL70" s="605"/>
      <c r="BM70" s="605"/>
      <c r="BN70" s="605"/>
      <c r="BO70" s="605"/>
      <c r="BP70" s="605"/>
      <c r="BQ70" s="605"/>
      <c r="BR70" s="605"/>
      <c r="BS70" s="605"/>
      <c r="BT70" s="605"/>
      <c r="BU70" s="605"/>
      <c r="BV70" s="605"/>
      <c r="BW70" s="605"/>
      <c r="BX70" s="605"/>
      <c r="BY70" s="605"/>
      <c r="BZ70" s="605"/>
      <c r="CA70" s="605"/>
      <c r="CB70" s="605"/>
      <c r="CC70" s="605"/>
      <c r="CD70" s="605"/>
      <c r="CE70" s="605"/>
      <c r="CF70" s="605"/>
      <c r="CG70" s="605"/>
      <c r="CH70" s="605"/>
      <c r="CI70" s="605"/>
      <c r="CJ70" s="605"/>
      <c r="CK70" s="605"/>
      <c r="CL70" s="605"/>
      <c r="CM70" s="605"/>
      <c r="CN70" s="605"/>
      <c r="CO70" s="605"/>
      <c r="CP70" s="605"/>
      <c r="CQ70" s="605"/>
      <c r="CR70" s="605"/>
      <c r="CS70" s="605"/>
      <c r="CT70" s="605"/>
      <c r="CU70" s="605"/>
      <c r="CV70" s="605"/>
      <c r="CW70" s="605"/>
      <c r="CX70" s="605"/>
      <c r="CY70" s="605"/>
      <c r="CZ70" s="605"/>
      <c r="DA70" s="605"/>
      <c r="DB70" s="605"/>
      <c r="DC70" s="605"/>
      <c r="DD70" s="605"/>
      <c r="DE70" s="605"/>
      <c r="DF70" s="605"/>
      <c r="DG70" s="605"/>
      <c r="DH70" s="605"/>
      <c r="DI70" s="605"/>
      <c r="DJ70" s="605"/>
      <c r="DK70" s="605"/>
    </row>
    <row r="71" spans="1:115">
      <c r="B71" s="418"/>
      <c r="C71" s="413"/>
      <c r="D71" s="613"/>
      <c r="E71" s="415"/>
      <c r="F71" s="415"/>
      <c r="G71" s="415"/>
      <c r="H71" s="415"/>
      <c r="I71" s="415"/>
      <c r="J71" s="415"/>
      <c r="K71" s="415"/>
      <c r="L71" s="415"/>
      <c r="M71" s="415"/>
      <c r="N71" s="415"/>
      <c r="O71" s="415"/>
      <c r="P71" s="419"/>
    </row>
    <row r="72" spans="1:115">
      <c r="B72" s="418"/>
      <c r="C72" s="413"/>
      <c r="D72" s="135"/>
      <c r="E72" s="415"/>
      <c r="F72" s="415"/>
      <c r="G72" s="415"/>
      <c r="H72" s="415"/>
      <c r="I72" s="415"/>
      <c r="J72" s="415"/>
      <c r="K72" s="415"/>
      <c r="L72" s="415"/>
      <c r="M72" s="415"/>
      <c r="N72" s="415"/>
      <c r="O72" s="415"/>
      <c r="P72" s="419"/>
    </row>
    <row r="73" spans="1:115">
      <c r="B73" s="418"/>
      <c r="C73" s="416"/>
      <c r="D73" s="415"/>
      <c r="E73" s="104"/>
      <c r="F73" s="415"/>
      <c r="G73" s="415"/>
      <c r="H73" s="415"/>
      <c r="I73" s="415"/>
      <c r="J73" s="415"/>
      <c r="K73" s="415"/>
      <c r="L73" s="415"/>
      <c r="M73" s="415"/>
      <c r="N73" s="415"/>
      <c r="O73" s="104"/>
      <c r="P73" s="419"/>
    </row>
    <row r="74" spans="1:115" ht="4.5" customHeight="1">
      <c r="B74" s="418"/>
      <c r="C74" s="415"/>
      <c r="D74" s="415"/>
      <c r="E74" s="415"/>
      <c r="F74" s="415"/>
      <c r="G74" s="415"/>
      <c r="H74" s="415"/>
      <c r="I74" s="415"/>
      <c r="J74" s="415"/>
      <c r="K74" s="415"/>
      <c r="L74" s="415"/>
      <c r="M74" s="415"/>
      <c r="N74" s="415"/>
      <c r="O74" s="415"/>
      <c r="P74" s="419"/>
    </row>
    <row r="75" spans="1:115" ht="15.75">
      <c r="B75" s="152"/>
      <c r="C75" s="412"/>
      <c r="D75" s="412"/>
      <c r="E75" s="412"/>
      <c r="F75" s="779"/>
      <c r="G75" s="779"/>
      <c r="H75" s="779"/>
      <c r="I75" s="779"/>
      <c r="J75" s="779"/>
      <c r="K75" s="779"/>
      <c r="L75" s="779"/>
      <c r="M75" s="779"/>
      <c r="N75" s="779"/>
      <c r="O75" s="779"/>
      <c r="P75" s="419"/>
    </row>
    <row r="76" spans="1:115" ht="15.75">
      <c r="B76" s="152"/>
      <c r="C76" s="751"/>
      <c r="D76" s="135"/>
      <c r="E76" s="135"/>
      <c r="F76" s="98"/>
      <c r="G76" s="115"/>
      <c r="H76" s="115"/>
      <c r="I76" s="115"/>
      <c r="J76" s="115"/>
      <c r="K76" s="115"/>
      <c r="L76" s="222"/>
      <c r="M76" s="222"/>
      <c r="N76" s="222"/>
      <c r="O76" s="222"/>
      <c r="P76" s="419"/>
    </row>
    <row r="77" spans="1:115" ht="15.75">
      <c r="B77" s="152"/>
      <c r="C77" s="751"/>
      <c r="D77" s="135"/>
      <c r="E77" s="135"/>
      <c r="F77" s="98"/>
      <c r="G77" s="2329"/>
      <c r="H77" s="695"/>
      <c r="I77" s="695"/>
      <c r="J77" s="695"/>
      <c r="K77" s="695"/>
      <c r="L77" s="695"/>
      <c r="M77" s="695"/>
      <c r="N77" s="695"/>
      <c r="O77" s="695"/>
      <c r="P77" s="419"/>
    </row>
    <row r="78" spans="1:115" ht="5.25" customHeight="1">
      <c r="B78" s="418"/>
      <c r="C78" s="415"/>
      <c r="D78" s="415"/>
      <c r="E78" s="415"/>
      <c r="F78" s="415"/>
      <c r="G78" s="415"/>
      <c r="H78" s="415"/>
      <c r="I78" s="415"/>
      <c r="J78" s="415"/>
      <c r="K78" s="415"/>
      <c r="L78" s="415"/>
      <c r="M78" s="415"/>
      <c r="N78" s="415"/>
      <c r="O78" s="415"/>
      <c r="P78" s="419"/>
    </row>
    <row r="79" spans="1:115">
      <c r="B79" s="418"/>
      <c r="C79" s="415"/>
      <c r="D79" s="415"/>
      <c r="E79" s="415"/>
      <c r="F79" s="415"/>
      <c r="G79" s="415"/>
      <c r="H79" s="415"/>
      <c r="I79" s="415"/>
      <c r="J79" s="415"/>
      <c r="K79" s="415"/>
      <c r="L79" s="415"/>
      <c r="M79" s="415"/>
      <c r="N79" s="415"/>
      <c r="O79" s="415"/>
      <c r="P79" s="419"/>
    </row>
    <row r="80" spans="1:115">
      <c r="B80" s="418"/>
      <c r="C80" s="416"/>
      <c r="D80" s="415"/>
      <c r="E80" s="415"/>
      <c r="F80" s="415"/>
      <c r="G80" s="415"/>
      <c r="H80" s="415"/>
      <c r="I80" s="415"/>
      <c r="J80" s="415"/>
      <c r="K80" s="415"/>
      <c r="L80" s="415"/>
      <c r="M80" s="415"/>
      <c r="N80" s="415"/>
      <c r="O80" s="415"/>
      <c r="P80" s="419"/>
    </row>
    <row r="81" spans="2:16" ht="4.5" customHeight="1">
      <c r="B81" s="418"/>
      <c r="C81" s="415"/>
      <c r="D81" s="415"/>
      <c r="E81" s="415"/>
      <c r="F81" s="415"/>
      <c r="G81" s="415"/>
      <c r="H81" s="415"/>
      <c r="I81" s="415"/>
      <c r="J81" s="415"/>
      <c r="K81" s="415"/>
      <c r="L81" s="415"/>
      <c r="M81" s="415"/>
      <c r="N81" s="415"/>
      <c r="O81" s="415"/>
      <c r="P81" s="419"/>
    </row>
    <row r="82" spans="2:16">
      <c r="B82" s="418"/>
      <c r="C82" s="412"/>
      <c r="D82" s="412"/>
      <c r="E82" s="412"/>
      <c r="F82" s="779"/>
      <c r="G82" s="779"/>
      <c r="H82" s="779"/>
      <c r="I82" s="779"/>
      <c r="J82" s="779"/>
      <c r="K82" s="779"/>
      <c r="L82" s="779"/>
      <c r="M82" s="779"/>
      <c r="N82" s="779"/>
      <c r="O82" s="779"/>
      <c r="P82" s="419"/>
    </row>
    <row r="83" spans="2:16" ht="15.75">
      <c r="B83" s="152"/>
      <c r="C83" s="751"/>
      <c r="D83" s="135"/>
      <c r="E83" s="135"/>
      <c r="F83" s="463"/>
      <c r="G83" s="463"/>
      <c r="H83" s="463"/>
      <c r="I83" s="463"/>
      <c r="J83" s="463"/>
      <c r="K83" s="463"/>
      <c r="L83" s="463"/>
      <c r="M83" s="463"/>
      <c r="N83" s="463"/>
      <c r="O83" s="463"/>
      <c r="P83" s="419"/>
    </row>
    <row r="84" spans="2:16" ht="4.5" customHeight="1">
      <c r="B84" s="418"/>
      <c r="C84" s="415"/>
      <c r="D84" s="415"/>
      <c r="E84" s="415"/>
      <c r="F84" s="415"/>
      <c r="G84" s="415"/>
      <c r="H84" s="415"/>
      <c r="I84" s="415"/>
      <c r="J84" s="415"/>
      <c r="K84" s="415"/>
      <c r="L84" s="415"/>
      <c r="M84" s="415"/>
      <c r="N84" s="415"/>
      <c r="O84" s="415"/>
      <c r="P84" s="419"/>
    </row>
    <row r="85" spans="2:16" ht="12.75" customHeight="1">
      <c r="B85" s="418"/>
      <c r="C85" s="415"/>
      <c r="D85" s="415"/>
      <c r="E85" s="415"/>
      <c r="F85" s="415"/>
      <c r="G85" s="415"/>
      <c r="H85" s="415"/>
      <c r="I85" s="415"/>
      <c r="J85" s="415"/>
      <c r="K85" s="415"/>
      <c r="L85" s="415"/>
      <c r="M85" s="415"/>
      <c r="N85" s="415"/>
      <c r="O85" s="415"/>
      <c r="P85" s="419"/>
    </row>
    <row r="86" spans="2:16" ht="15.75">
      <c r="B86" s="152"/>
      <c r="C86" s="416"/>
      <c r="D86" s="415"/>
      <c r="E86" s="415"/>
      <c r="F86" s="415"/>
      <c r="G86" s="104"/>
      <c r="H86" s="415"/>
      <c r="I86" s="415"/>
      <c r="J86" s="415"/>
      <c r="K86" s="415"/>
      <c r="L86" s="415"/>
      <c r="M86" s="415"/>
      <c r="N86" s="415"/>
      <c r="O86" s="415"/>
      <c r="P86" s="419"/>
    </row>
    <row r="87" spans="2:16" ht="3.75" customHeight="1">
      <c r="B87" s="152"/>
      <c r="C87" s="415"/>
      <c r="D87" s="415"/>
      <c r="E87" s="415"/>
      <c r="F87" s="415"/>
      <c r="G87" s="415"/>
      <c r="H87" s="415"/>
      <c r="I87" s="415"/>
      <c r="J87" s="415"/>
      <c r="K87" s="415"/>
      <c r="L87" s="415"/>
      <c r="M87" s="415"/>
      <c r="N87" s="415"/>
      <c r="O87" s="415"/>
      <c r="P87" s="419"/>
    </row>
    <row r="88" spans="2:16" ht="15.75">
      <c r="B88" s="152"/>
      <c r="C88" s="412"/>
      <c r="D88" s="417"/>
      <c r="E88" s="412"/>
      <c r="F88" s="361"/>
      <c r="G88" s="617"/>
      <c r="H88" s="617"/>
      <c r="I88" s="415"/>
      <c r="J88" s="227"/>
      <c r="K88" s="227"/>
      <c r="L88" s="227"/>
      <c r="M88" s="227"/>
      <c r="N88" s="227"/>
      <c r="O88" s="227"/>
      <c r="P88" s="419"/>
    </row>
    <row r="89" spans="2:16" ht="15.75">
      <c r="B89" s="152"/>
      <c r="C89" s="413"/>
      <c r="D89" s="415"/>
      <c r="E89" s="414"/>
      <c r="F89" s="678"/>
      <c r="G89" s="415"/>
      <c r="H89" s="264"/>
      <c r="I89" s="415"/>
      <c r="J89" s="115"/>
      <c r="K89" s="115"/>
      <c r="L89" s="115"/>
      <c r="M89" s="115"/>
      <c r="N89" s="115"/>
      <c r="O89" s="115"/>
      <c r="P89" s="419"/>
    </row>
    <row r="90" spans="2:16" ht="15.75">
      <c r="B90" s="152"/>
      <c r="C90" s="413"/>
      <c r="D90" s="414"/>
      <c r="E90" s="414"/>
      <c r="F90" s="678"/>
      <c r="G90" s="264"/>
      <c r="H90" s="264"/>
      <c r="I90" s="415"/>
      <c r="J90" s="115"/>
      <c r="K90" s="115"/>
      <c r="L90" s="115"/>
      <c r="M90" s="115"/>
      <c r="N90" s="115"/>
      <c r="O90" s="115"/>
      <c r="P90" s="419"/>
    </row>
    <row r="91" spans="2:16" ht="15.75">
      <c r="B91" s="152"/>
      <c r="C91" s="413"/>
      <c r="D91" s="414"/>
      <c r="E91" s="414"/>
      <c r="F91" s="678"/>
      <c r="G91" s="264"/>
      <c r="H91" s="264"/>
      <c r="I91" s="415"/>
      <c r="J91" s="115"/>
      <c r="K91" s="115"/>
      <c r="L91" s="115"/>
      <c r="M91" s="115"/>
      <c r="N91" s="115"/>
      <c r="O91" s="115"/>
      <c r="P91" s="419"/>
    </row>
    <row r="92" spans="2:16" ht="15.75">
      <c r="B92" s="152"/>
      <c r="C92" s="413"/>
      <c r="D92" s="414"/>
      <c r="E92" s="414"/>
      <c r="F92" s="2368"/>
      <c r="G92" s="264"/>
      <c r="H92" s="264"/>
      <c r="I92" s="415"/>
      <c r="J92" s="115"/>
      <c r="K92" s="115"/>
      <c r="L92" s="115"/>
      <c r="M92" s="115"/>
      <c r="N92" s="115"/>
      <c r="O92" s="115"/>
      <c r="P92" s="419"/>
    </row>
    <row r="93" spans="2:16" ht="15.75">
      <c r="B93" s="152"/>
      <c r="C93" s="413"/>
      <c r="D93" s="414"/>
      <c r="E93" s="414"/>
      <c r="F93" s="677"/>
      <c r="G93" s="264"/>
      <c r="H93" s="264"/>
      <c r="I93" s="415"/>
      <c r="J93" s="115"/>
      <c r="K93" s="115"/>
      <c r="L93" s="115"/>
      <c r="M93" s="115"/>
      <c r="N93" s="115"/>
      <c r="O93" s="115"/>
      <c r="P93" s="419"/>
    </row>
    <row r="94" spans="2:16" ht="15.75">
      <c r="B94" s="152"/>
      <c r="C94" s="106"/>
      <c r="D94" s="414"/>
      <c r="E94" s="414"/>
      <c r="F94" s="677"/>
      <c r="G94" s="264"/>
      <c r="H94" s="264"/>
      <c r="I94" s="415"/>
      <c r="J94" s="115"/>
      <c r="K94" s="115"/>
      <c r="L94" s="115"/>
      <c r="M94" s="115"/>
      <c r="N94" s="115"/>
      <c r="O94" s="2320"/>
      <c r="P94" s="419"/>
    </row>
    <row r="95" spans="2:16" ht="3.75" customHeight="1">
      <c r="B95" s="152"/>
      <c r="C95" s="106"/>
      <c r="D95" s="414"/>
      <c r="E95" s="414"/>
      <c r="F95" s="677"/>
      <c r="G95" s="264"/>
      <c r="H95" s="264"/>
      <c r="I95" s="415"/>
      <c r="J95" s="115"/>
      <c r="K95" s="115"/>
      <c r="L95" s="115"/>
      <c r="M95" s="115"/>
      <c r="N95" s="115"/>
      <c r="O95" s="2320"/>
      <c r="P95" s="415"/>
    </row>
    <row r="96" spans="2:16" ht="15.75">
      <c r="B96" s="152"/>
      <c r="C96" s="412"/>
      <c r="D96" s="412"/>
      <c r="E96" s="412"/>
      <c r="F96" s="779"/>
      <c r="G96" s="779"/>
      <c r="H96" s="779"/>
      <c r="I96" s="779"/>
      <c r="J96" s="779"/>
      <c r="K96" s="779"/>
      <c r="L96" s="779"/>
      <c r="M96" s="779"/>
      <c r="N96" s="779"/>
      <c r="O96" s="779"/>
      <c r="P96" s="115"/>
    </row>
    <row r="97" spans="2:23" ht="15.75">
      <c r="B97" s="152"/>
      <c r="C97" s="135"/>
      <c r="D97" s="135"/>
      <c r="E97" s="135"/>
      <c r="F97" s="2321"/>
      <c r="G97" s="2321"/>
      <c r="H97" s="2321"/>
      <c r="I97" s="2321"/>
      <c r="J97" s="2321"/>
      <c r="K97" s="2321"/>
      <c r="L97" s="2321"/>
      <c r="M97" s="2321"/>
      <c r="N97" s="2321"/>
      <c r="O97" s="2321"/>
      <c r="P97" s="115"/>
    </row>
    <row r="98" spans="2:23" ht="15.75">
      <c r="B98" s="152"/>
      <c r="C98" s="493"/>
      <c r="D98" s="453"/>
      <c r="E98" s="493"/>
      <c r="F98" s="2322"/>
      <c r="G98" s="2322"/>
      <c r="H98" s="2323"/>
      <c r="I98" s="2323"/>
      <c r="J98" s="2323"/>
      <c r="K98" s="2322"/>
      <c r="L98" s="2322"/>
      <c r="M98" s="2322"/>
      <c r="N98" s="2322"/>
      <c r="O98" s="2322"/>
      <c r="P98" s="115"/>
    </row>
    <row r="99" spans="2:23" ht="15.75">
      <c r="B99" s="152"/>
      <c r="C99" s="493"/>
      <c r="D99" s="453"/>
      <c r="E99" s="493"/>
      <c r="F99" s="2322"/>
      <c r="G99" s="2322"/>
      <c r="H99" s="2323"/>
      <c r="I99" s="2323"/>
      <c r="J99" s="2323"/>
      <c r="K99" s="2322"/>
      <c r="L99" s="2322"/>
      <c r="M99" s="2322"/>
      <c r="N99" s="2322"/>
      <c r="O99" s="2322"/>
      <c r="P99" s="115"/>
    </row>
    <row r="100" spans="2:23" ht="15.75">
      <c r="B100" s="152"/>
      <c r="C100" s="493"/>
      <c r="D100" s="453"/>
      <c r="E100" s="493"/>
      <c r="F100" s="2322"/>
      <c r="G100" s="2322"/>
      <c r="H100" s="2323"/>
      <c r="I100" s="2323"/>
      <c r="J100" s="2323"/>
      <c r="K100" s="2322"/>
      <c r="L100" s="2322"/>
      <c r="M100" s="2322"/>
      <c r="N100" s="2322"/>
      <c r="O100" s="2322"/>
      <c r="P100" s="115"/>
    </row>
    <row r="101" spans="2:23" ht="15.75">
      <c r="B101" s="152"/>
      <c r="C101" s="413"/>
      <c r="D101" s="414"/>
      <c r="E101" s="414"/>
      <c r="F101" s="677"/>
      <c r="G101" s="264"/>
      <c r="H101" s="264"/>
      <c r="I101" s="415"/>
      <c r="J101" s="115"/>
      <c r="K101" s="115"/>
      <c r="L101" s="115"/>
      <c r="M101" s="115"/>
      <c r="N101" s="115"/>
      <c r="O101" s="115"/>
      <c r="P101" s="419"/>
    </row>
    <row r="102" spans="2:23" ht="15.75">
      <c r="B102" s="152"/>
      <c r="C102" s="106"/>
      <c r="D102" s="414"/>
      <c r="E102" s="414"/>
      <c r="F102" s="677"/>
      <c r="G102" s="264"/>
      <c r="H102" s="264"/>
      <c r="I102" s="415"/>
      <c r="J102" s="115"/>
      <c r="K102" s="115"/>
      <c r="L102" s="115"/>
      <c r="M102" s="115"/>
      <c r="N102" s="115"/>
      <c r="O102" s="2320"/>
      <c r="P102" s="419"/>
    </row>
    <row r="103" spans="2:23" ht="3.75" customHeight="1">
      <c r="B103" s="152"/>
      <c r="C103" s="106"/>
      <c r="D103" s="414"/>
      <c r="E103" s="414"/>
      <c r="F103" s="677"/>
      <c r="G103" s="264"/>
      <c r="H103" s="264"/>
      <c r="I103" s="415"/>
      <c r="J103" s="115"/>
      <c r="K103" s="115"/>
      <c r="L103" s="115"/>
      <c r="M103" s="115"/>
      <c r="N103" s="115"/>
      <c r="O103" s="2320"/>
      <c r="P103" s="415"/>
    </row>
    <row r="104" spans="2:23" ht="15.75">
      <c r="B104" s="152"/>
      <c r="C104" s="412"/>
      <c r="D104" s="412"/>
      <c r="E104" s="412"/>
      <c r="F104" s="779"/>
      <c r="G104" s="779"/>
      <c r="H104" s="779"/>
      <c r="I104" s="779"/>
      <c r="J104" s="779"/>
      <c r="K104" s="779"/>
      <c r="L104" s="779"/>
      <c r="M104" s="779"/>
      <c r="N104" s="779"/>
      <c r="O104" s="779"/>
      <c r="P104" s="115"/>
    </row>
    <row r="105" spans="2:23" ht="15.75">
      <c r="B105" s="152"/>
      <c r="C105" s="135"/>
      <c r="D105" s="135"/>
      <c r="E105" s="135"/>
      <c r="F105" s="137"/>
      <c r="G105" s="2321"/>
      <c r="H105" s="2321"/>
      <c r="I105" s="2321"/>
      <c r="J105" s="2321"/>
      <c r="K105" s="2321"/>
      <c r="L105" s="2321"/>
      <c r="M105" s="2321"/>
      <c r="N105" s="2321"/>
      <c r="O105" s="2321"/>
      <c r="P105" s="115"/>
    </row>
    <row r="106" spans="2:23">
      <c r="B106" s="208"/>
    </row>
    <row r="107" spans="2:23" ht="18.75" customHeight="1">
      <c r="B107" s="1848" t="s">
        <v>711</v>
      </c>
      <c r="C107" s="1849"/>
      <c r="D107" s="1849"/>
      <c r="E107" s="1849"/>
      <c r="F107" s="1849"/>
      <c r="G107" s="1849"/>
      <c r="H107" s="1849"/>
      <c r="I107" s="1849"/>
      <c r="J107" s="1849"/>
      <c r="K107" s="1849"/>
      <c r="L107" s="1849"/>
      <c r="M107" s="1849"/>
      <c r="N107" s="1849"/>
      <c r="O107" s="1849"/>
      <c r="P107" s="1850"/>
      <c r="Q107" s="529"/>
      <c r="R107" s="529"/>
      <c r="S107" s="529"/>
      <c r="T107" s="529"/>
      <c r="U107" s="529"/>
      <c r="V107" s="529"/>
      <c r="W107" s="529"/>
    </row>
    <row r="108" spans="2:23" ht="16.5" customHeight="1">
      <c r="B108" s="2325"/>
      <c r="C108" s="248"/>
      <c r="D108" s="69"/>
      <c r="E108" s="107"/>
      <c r="F108" s="651"/>
      <c r="G108" s="651"/>
      <c r="H108" s="651"/>
      <c r="I108" s="651"/>
      <c r="J108" s="651"/>
      <c r="K108" s="651"/>
      <c r="L108" s="651"/>
      <c r="M108" s="651"/>
      <c r="N108" s="651"/>
      <c r="O108" s="651"/>
      <c r="P108" s="2324"/>
      <c r="Q108" s="529"/>
      <c r="R108" s="529"/>
      <c r="S108" s="529"/>
      <c r="T108" s="529"/>
      <c r="U108" s="529"/>
      <c r="V108" s="529"/>
      <c r="W108" s="529"/>
    </row>
    <row r="109" spans="2:23" ht="10.5" customHeight="1">
      <c r="B109" s="2325"/>
      <c r="C109" s="248"/>
      <c r="D109" s="69"/>
      <c r="E109" s="107"/>
      <c r="F109" s="651"/>
      <c r="G109" s="651"/>
      <c r="H109" s="651"/>
      <c r="I109" s="651"/>
      <c r="J109" s="651"/>
      <c r="K109" s="651"/>
      <c r="L109" s="651"/>
      <c r="M109" s="651"/>
      <c r="N109" s="651"/>
      <c r="O109" s="651"/>
      <c r="P109" s="2324"/>
      <c r="Q109" s="529"/>
      <c r="R109" s="529"/>
      <c r="S109" s="529"/>
      <c r="T109" s="529"/>
      <c r="U109" s="529"/>
      <c r="V109" s="529"/>
      <c r="W109" s="529"/>
    </row>
    <row r="110" spans="2:23" ht="12" customHeight="1">
      <c r="B110" s="2325"/>
      <c r="C110" s="416" t="s">
        <v>789</v>
      </c>
      <c r="D110" s="415"/>
      <c r="E110" s="535">
        <f>152*Unit.ha/Unit.GW</f>
        <v>152</v>
      </c>
      <c r="F110" s="415" t="str">
        <f>Preferences.AreaUnits&amp;"/"&amp;Preferences.PowerUnits</f>
        <v>ha/GW</v>
      </c>
      <c r="G110" s="415"/>
      <c r="H110" s="415"/>
      <c r="I110" s="415"/>
      <c r="J110" s="415"/>
      <c r="K110" s="415"/>
      <c r="L110" s="415"/>
      <c r="M110" s="415"/>
      <c r="N110" s="415"/>
      <c r="O110" s="415"/>
      <c r="P110" s="2324"/>
      <c r="Q110" s="529"/>
      <c r="R110" s="529"/>
      <c r="S110" s="529"/>
      <c r="T110" s="529"/>
      <c r="U110" s="529"/>
      <c r="V110" s="529"/>
      <c r="W110" s="529"/>
    </row>
    <row r="111" spans="2:23" ht="12" customHeight="1">
      <c r="B111" s="2325"/>
      <c r="C111" s="416" t="s">
        <v>785</v>
      </c>
      <c r="D111" s="415"/>
      <c r="E111" s="535">
        <f>277*Unit.ha/Unit.GW</f>
        <v>277</v>
      </c>
      <c r="F111" s="415" t="str">
        <f>Preferences.AreaUnits&amp;"/"&amp;Preferences.PowerUnits</f>
        <v>ha/GW</v>
      </c>
      <c r="G111" s="317"/>
      <c r="H111" s="264"/>
      <c r="I111" s="264"/>
      <c r="J111" s="264"/>
      <c r="K111" s="264"/>
      <c r="L111" s="264"/>
      <c r="M111" s="264"/>
      <c r="N111" s="264"/>
      <c r="O111" s="415"/>
      <c r="P111" s="2326"/>
      <c r="Q111" s="529"/>
      <c r="R111" s="529"/>
      <c r="S111" s="529"/>
      <c r="T111" s="529"/>
      <c r="U111" s="529"/>
      <c r="V111" s="529"/>
      <c r="W111" s="529"/>
    </row>
    <row r="112" spans="2:23" ht="12" customHeight="1">
      <c r="B112" s="2325"/>
      <c r="C112" s="2205"/>
      <c r="D112" s="69"/>
      <c r="E112" s="321"/>
      <c r="F112" s="317"/>
      <c r="G112" s="317"/>
      <c r="H112" s="264"/>
      <c r="I112" s="264"/>
      <c r="J112" s="264"/>
      <c r="K112" s="264"/>
      <c r="L112" s="264"/>
      <c r="M112" s="264"/>
      <c r="N112" s="264"/>
      <c r="O112" s="361"/>
      <c r="P112" s="2326"/>
      <c r="Q112" s="529"/>
      <c r="R112" s="529"/>
      <c r="S112" s="529"/>
      <c r="T112" s="529"/>
      <c r="U112" s="529"/>
      <c r="V112" s="529"/>
      <c r="W112" s="529"/>
    </row>
    <row r="113" spans="1:115" ht="12" customHeight="1">
      <c r="B113" s="2325"/>
      <c r="C113" s="106"/>
      <c r="D113" s="69"/>
      <c r="E113" s="321"/>
      <c r="F113" s="227"/>
      <c r="G113" s="1861"/>
      <c r="H113" s="1861"/>
      <c r="I113" s="1861"/>
      <c r="J113" s="1861"/>
      <c r="K113" s="1861"/>
      <c r="L113" s="1861"/>
      <c r="M113" s="1861"/>
      <c r="N113" s="1861"/>
      <c r="O113" s="1861"/>
      <c r="P113" s="2326"/>
      <c r="Q113" s="529"/>
      <c r="R113" s="529"/>
      <c r="S113" s="529"/>
      <c r="T113" s="529"/>
      <c r="U113" s="529"/>
      <c r="V113" s="529"/>
      <c r="W113" s="529"/>
    </row>
    <row r="114" spans="1:115">
      <c r="B114" s="2325"/>
      <c r="C114" s="248"/>
      <c r="D114" s="69"/>
      <c r="E114" s="107"/>
      <c r="F114" s="651"/>
      <c r="G114" s="651"/>
      <c r="H114" s="651"/>
      <c r="I114" s="651"/>
      <c r="J114" s="651"/>
      <c r="K114" s="651"/>
      <c r="L114" s="651"/>
      <c r="M114" s="651"/>
      <c r="N114" s="651"/>
      <c r="O114" s="651"/>
      <c r="P114" s="2326"/>
      <c r="Q114" s="529"/>
      <c r="R114" s="529"/>
      <c r="S114" s="529"/>
      <c r="T114" s="529"/>
      <c r="U114" s="529"/>
      <c r="V114" s="529"/>
      <c r="W114" s="529"/>
    </row>
    <row r="115" spans="1:115" ht="15" customHeight="1">
      <c r="B115" s="2325"/>
      <c r="C115" s="248"/>
      <c r="D115" s="69"/>
      <c r="E115" s="107"/>
      <c r="F115" s="651"/>
      <c r="G115" s="651"/>
      <c r="H115" s="651"/>
      <c r="I115" s="651"/>
      <c r="J115" s="651"/>
      <c r="K115" s="651"/>
      <c r="L115" s="651"/>
      <c r="M115" s="651"/>
      <c r="N115" s="651"/>
      <c r="O115" s="651"/>
      <c r="P115" s="2326"/>
      <c r="Q115" s="529"/>
      <c r="R115" s="529"/>
      <c r="S115" s="529"/>
      <c r="T115" s="529"/>
      <c r="U115" s="529"/>
      <c r="V115" s="529"/>
      <c r="W115" s="529"/>
    </row>
    <row r="116" spans="1:115" ht="15.75">
      <c r="B116" s="2327"/>
      <c r="C116" s="248"/>
      <c r="D116" s="69"/>
      <c r="E116" s="107"/>
      <c r="F116" s="651"/>
      <c r="G116" s="651"/>
      <c r="H116" s="651"/>
      <c r="I116" s="651"/>
      <c r="J116" s="651"/>
      <c r="K116" s="651"/>
      <c r="L116" s="651"/>
      <c r="M116" s="651"/>
      <c r="N116" s="651"/>
      <c r="O116" s="651"/>
      <c r="P116" s="415"/>
      <c r="Q116" s="529"/>
      <c r="R116" s="529"/>
      <c r="S116" s="529"/>
      <c r="T116" s="529"/>
      <c r="U116" s="529"/>
      <c r="V116" s="529"/>
      <c r="W116" s="529"/>
    </row>
    <row r="117" spans="1:115" s="51" customFormat="1" ht="15.75">
      <c r="A117" s="605"/>
      <c r="B117" s="2328"/>
      <c r="C117" s="414"/>
      <c r="D117" s="414"/>
      <c r="E117" s="414"/>
      <c r="F117" s="414"/>
      <c r="G117" s="414"/>
      <c r="H117" s="414"/>
      <c r="I117" s="414"/>
      <c r="J117" s="414"/>
      <c r="K117" s="414"/>
      <c r="L117" s="414"/>
      <c r="M117" s="414"/>
      <c r="N117" s="414"/>
      <c r="O117" s="414"/>
      <c r="P117" s="414"/>
      <c r="Q117" s="529"/>
      <c r="R117" s="32"/>
      <c r="S117" s="32"/>
      <c r="T117" s="529"/>
      <c r="U117" s="529"/>
      <c r="V117" s="529"/>
      <c r="W117" s="529"/>
      <c r="X117" s="605"/>
      <c r="Y117" s="605"/>
      <c r="Z117" s="605"/>
      <c r="AA117" s="605"/>
      <c r="AB117" s="605"/>
      <c r="AC117" s="605"/>
      <c r="AD117" s="605"/>
      <c r="AE117" s="605"/>
      <c r="AF117" s="605"/>
      <c r="AG117" s="605"/>
      <c r="AH117" s="605"/>
      <c r="AI117" s="605"/>
      <c r="AJ117" s="605"/>
      <c r="AK117" s="605"/>
      <c r="AL117" s="605"/>
      <c r="AM117" s="605"/>
      <c r="AN117" s="605"/>
      <c r="AO117" s="605"/>
      <c r="AP117" s="605"/>
      <c r="AQ117" s="605"/>
      <c r="AR117" s="605"/>
      <c r="AS117" s="605"/>
      <c r="AT117" s="605"/>
      <c r="AU117" s="605"/>
      <c r="AV117" s="605"/>
      <c r="AW117" s="605"/>
      <c r="AX117" s="605"/>
      <c r="AY117" s="605"/>
      <c r="AZ117" s="605"/>
      <c r="BA117" s="605"/>
      <c r="BB117" s="605"/>
      <c r="BC117" s="605"/>
      <c r="BD117" s="605"/>
      <c r="BE117" s="605"/>
      <c r="BF117" s="605"/>
      <c r="BG117" s="605"/>
      <c r="BH117" s="605"/>
      <c r="BI117" s="605"/>
      <c r="BJ117" s="605"/>
      <c r="BK117" s="605"/>
      <c r="BL117" s="605"/>
      <c r="BM117" s="605"/>
      <c r="BN117" s="605"/>
      <c r="BO117" s="605"/>
      <c r="BP117" s="605"/>
      <c r="BQ117" s="605"/>
      <c r="BR117" s="605"/>
      <c r="BS117" s="605"/>
      <c r="BT117" s="605"/>
      <c r="BU117" s="605"/>
      <c r="BV117" s="605"/>
      <c r="BW117" s="605"/>
      <c r="BX117" s="605"/>
      <c r="BY117" s="605"/>
      <c r="BZ117" s="605"/>
      <c r="CA117" s="605"/>
      <c r="CB117" s="605"/>
      <c r="CC117" s="605"/>
      <c r="CD117" s="605"/>
      <c r="CE117" s="605"/>
      <c r="CF117" s="605"/>
      <c r="CG117" s="605"/>
      <c r="CH117" s="605"/>
      <c r="CI117" s="605"/>
      <c r="CJ117" s="605"/>
      <c r="CK117" s="605"/>
      <c r="CL117" s="605"/>
      <c r="CM117" s="605"/>
      <c r="CN117" s="605"/>
      <c r="CO117" s="605"/>
      <c r="CP117" s="605"/>
      <c r="CQ117" s="605"/>
      <c r="CR117" s="605"/>
      <c r="CS117" s="605"/>
      <c r="CT117" s="605"/>
      <c r="CU117" s="605"/>
      <c r="CV117" s="605"/>
    </row>
    <row r="118" spans="1:115">
      <c r="B118" s="2325"/>
      <c r="C118" s="414"/>
      <c r="D118" s="414"/>
      <c r="E118" s="414"/>
      <c r="F118" s="414"/>
      <c r="G118" s="414"/>
      <c r="H118" s="414"/>
      <c r="I118" s="414"/>
      <c r="J118" s="414"/>
      <c r="K118" s="414"/>
      <c r="L118" s="414"/>
      <c r="M118" s="414"/>
      <c r="N118" s="414"/>
      <c r="O118" s="361"/>
      <c r="P118" s="415"/>
      <c r="Q118" s="529"/>
      <c r="R118" s="529"/>
      <c r="S118" s="529"/>
      <c r="T118" s="529"/>
      <c r="U118" s="529"/>
      <c r="V118" s="529"/>
      <c r="W118" s="529"/>
    </row>
    <row r="119" spans="1:115">
      <c r="B119" s="2325"/>
      <c r="C119" s="106"/>
      <c r="D119" s="69"/>
      <c r="E119" s="321"/>
      <c r="F119" s="227"/>
      <c r="G119" s="1861"/>
      <c r="H119" s="1861"/>
      <c r="I119" s="1861"/>
      <c r="J119" s="1861"/>
      <c r="K119" s="1861"/>
      <c r="L119" s="1861"/>
      <c r="M119" s="1861"/>
      <c r="N119" s="1861"/>
      <c r="O119" s="1861"/>
      <c r="P119" s="415"/>
      <c r="Q119" s="529"/>
      <c r="R119" s="529"/>
      <c r="S119" s="529"/>
      <c r="T119" s="529"/>
      <c r="U119" s="529"/>
      <c r="V119" s="529"/>
      <c r="W119" s="529"/>
    </row>
    <row r="120" spans="1:115">
      <c r="B120" s="2325"/>
      <c r="C120" s="248"/>
      <c r="D120" s="69"/>
      <c r="E120" s="107"/>
      <c r="F120" s="651"/>
      <c r="G120" s="651"/>
      <c r="H120" s="651"/>
      <c r="I120" s="651"/>
      <c r="J120" s="651"/>
      <c r="K120" s="651"/>
      <c r="L120" s="651"/>
      <c r="M120" s="651"/>
      <c r="N120" s="651"/>
      <c r="O120" s="651"/>
      <c r="P120" s="415"/>
      <c r="Q120" s="529"/>
      <c r="R120" s="529"/>
      <c r="S120" s="529"/>
      <c r="T120" s="529"/>
      <c r="U120" s="529"/>
      <c r="V120" s="529"/>
      <c r="W120" s="529"/>
    </row>
    <row r="121" spans="1:115">
      <c r="B121" s="208"/>
    </row>
    <row r="123" spans="1:115" ht="19.5" customHeight="1">
      <c r="A123" s="420"/>
      <c r="B123" s="421" t="s">
        <v>270</v>
      </c>
      <c r="C123" s="1603"/>
      <c r="D123" s="1603"/>
      <c r="E123" s="1603"/>
      <c r="F123" s="1603"/>
      <c r="G123" s="1603"/>
      <c r="H123" s="1603"/>
      <c r="I123" s="1603"/>
      <c r="J123" s="1603"/>
      <c r="K123" s="1603"/>
      <c r="L123" s="1603"/>
      <c r="M123" s="1603"/>
      <c r="N123" s="1603"/>
      <c r="O123" s="1603"/>
      <c r="P123" s="1604"/>
    </row>
    <row r="124" spans="1:115" ht="6.75" customHeight="1">
      <c r="B124" s="418"/>
      <c r="C124" s="415"/>
      <c r="D124" s="415"/>
      <c r="E124" s="415"/>
      <c r="F124" s="415"/>
      <c r="G124" s="415"/>
      <c r="H124" s="415"/>
      <c r="I124" s="415"/>
      <c r="J124" s="415"/>
      <c r="K124" s="415"/>
      <c r="L124" s="415"/>
      <c r="M124" s="415"/>
      <c r="N124" s="415"/>
      <c r="O124" s="415"/>
      <c r="P124" s="419"/>
    </row>
    <row r="125" spans="1:115">
      <c r="G125" s="2330"/>
    </row>
    <row r="126" spans="1:115" s="51" customFormat="1" ht="15.75">
      <c r="A126" s="605"/>
      <c r="B126" s="89" t="s">
        <v>241</v>
      </c>
      <c r="C126" s="605"/>
      <c r="D126" s="605"/>
      <c r="E126" s="605"/>
      <c r="F126" s="605"/>
      <c r="G126" s="605"/>
      <c r="H126" s="605"/>
      <c r="I126" s="605"/>
      <c r="J126" s="605"/>
      <c r="K126" s="605"/>
      <c r="L126" s="605"/>
      <c r="M126" s="605"/>
      <c r="N126" s="605"/>
      <c r="O126" s="605"/>
      <c r="P126" s="605"/>
      <c r="Q126" s="605"/>
      <c r="R126" s="605"/>
      <c r="S126" s="605"/>
      <c r="T126" s="605"/>
      <c r="U126" s="605"/>
      <c r="V126" s="605"/>
      <c r="W126" s="605"/>
      <c r="X126" s="605"/>
      <c r="Y126" s="605"/>
      <c r="Z126" s="605"/>
      <c r="AA126" s="605"/>
      <c r="AB126" s="605"/>
      <c r="AC126" s="605"/>
      <c r="AD126" s="605"/>
      <c r="AE126" s="605"/>
      <c r="AF126" s="605"/>
      <c r="AG126" s="605"/>
      <c r="AH126" s="605"/>
      <c r="AI126" s="605"/>
      <c r="AJ126" s="605"/>
      <c r="AK126" s="605"/>
      <c r="AL126" s="605"/>
      <c r="AM126" s="605"/>
      <c r="AN126" s="605"/>
      <c r="AO126" s="605"/>
      <c r="AP126" s="605"/>
      <c r="AQ126" s="605"/>
      <c r="AR126" s="605"/>
      <c r="AS126" s="605"/>
      <c r="AT126" s="605"/>
      <c r="AU126" s="605"/>
      <c r="AV126" s="605"/>
      <c r="AW126" s="605"/>
      <c r="AX126" s="605"/>
      <c r="AY126" s="605"/>
      <c r="AZ126" s="605"/>
      <c r="BA126" s="605"/>
      <c r="BB126" s="605"/>
      <c r="BC126" s="605"/>
      <c r="BD126" s="605"/>
      <c r="BE126" s="605"/>
      <c r="BF126" s="605"/>
      <c r="BG126" s="605"/>
      <c r="BH126" s="605"/>
      <c r="BI126" s="605"/>
      <c r="BJ126" s="605"/>
      <c r="BK126" s="605"/>
      <c r="BL126" s="605"/>
      <c r="BM126" s="605"/>
      <c r="BN126" s="605"/>
      <c r="BO126" s="605"/>
      <c r="BP126" s="605"/>
      <c r="BQ126" s="605"/>
      <c r="BR126" s="605"/>
      <c r="BS126" s="605"/>
      <c r="BT126" s="605"/>
      <c r="BU126" s="605"/>
      <c r="BV126" s="605"/>
      <c r="BW126" s="605"/>
      <c r="BX126" s="605"/>
      <c r="BY126" s="605"/>
      <c r="BZ126" s="605"/>
      <c r="CA126" s="605"/>
      <c r="CB126" s="605"/>
      <c r="CC126" s="605"/>
      <c r="CD126" s="605"/>
      <c r="CE126" s="605"/>
      <c r="CF126" s="605"/>
      <c r="CG126" s="605"/>
      <c r="CH126" s="605"/>
      <c r="CI126" s="605"/>
      <c r="CJ126" s="605"/>
      <c r="CK126" s="605"/>
      <c r="CL126" s="605"/>
      <c r="CM126" s="605"/>
      <c r="CN126" s="605"/>
      <c r="CO126" s="605"/>
      <c r="CP126" s="605"/>
      <c r="CQ126" s="605"/>
      <c r="CR126" s="605"/>
      <c r="CS126" s="605"/>
      <c r="CT126" s="605"/>
      <c r="CU126" s="605"/>
      <c r="CV126" s="605"/>
      <c r="CW126" s="605"/>
      <c r="CX126" s="605"/>
      <c r="CY126" s="605"/>
      <c r="CZ126" s="605"/>
      <c r="DA126" s="605"/>
      <c r="DB126" s="605"/>
      <c r="DC126" s="605"/>
      <c r="DD126" s="605"/>
      <c r="DE126" s="605"/>
      <c r="DF126" s="605"/>
      <c r="DG126" s="605"/>
      <c r="DH126" s="605"/>
      <c r="DI126" s="605"/>
      <c r="DJ126" s="605"/>
      <c r="DK126" s="605"/>
    </row>
    <row r="127" spans="1:115" s="51" customFormat="1">
      <c r="A127" s="605"/>
      <c r="B127" s="605"/>
      <c r="C127" s="605"/>
      <c r="D127" s="605"/>
      <c r="E127" s="605"/>
      <c r="F127" s="605"/>
      <c r="G127" s="605"/>
      <c r="H127" s="605"/>
      <c r="I127" s="605"/>
      <c r="J127" s="605"/>
      <c r="K127" s="605"/>
      <c r="L127" s="605"/>
      <c r="M127" s="605"/>
      <c r="N127" s="605"/>
      <c r="O127" s="605"/>
      <c r="P127" s="605"/>
      <c r="Q127" s="605"/>
      <c r="R127" s="605"/>
      <c r="S127" s="605"/>
      <c r="T127" s="605"/>
      <c r="U127" s="605"/>
      <c r="V127" s="605"/>
      <c r="W127" s="605"/>
      <c r="X127" s="605"/>
      <c r="Y127" s="605"/>
      <c r="Z127" s="605"/>
      <c r="AA127" s="605"/>
      <c r="AB127" s="605"/>
      <c r="AC127" s="605"/>
      <c r="AD127" s="605"/>
      <c r="AE127" s="605"/>
      <c r="AF127" s="605"/>
      <c r="AG127" s="605"/>
      <c r="AH127" s="605"/>
      <c r="AI127" s="605"/>
      <c r="AJ127" s="605"/>
      <c r="AK127" s="605"/>
      <c r="AL127" s="605"/>
      <c r="AM127" s="605"/>
      <c r="AN127" s="605"/>
      <c r="AO127" s="605"/>
      <c r="AP127" s="605"/>
      <c r="AQ127" s="605"/>
      <c r="AR127" s="605"/>
      <c r="AS127" s="605"/>
      <c r="AT127" s="605"/>
      <c r="AU127" s="605"/>
      <c r="AV127" s="605"/>
      <c r="AW127" s="605"/>
      <c r="AX127" s="605"/>
      <c r="AY127" s="605"/>
      <c r="AZ127" s="605"/>
      <c r="BA127" s="605"/>
      <c r="BB127" s="605"/>
      <c r="BC127" s="605"/>
      <c r="BD127" s="605"/>
      <c r="BE127" s="605"/>
      <c r="BF127" s="605"/>
      <c r="BG127" s="605"/>
      <c r="BH127" s="605"/>
      <c r="BI127" s="605"/>
      <c r="BJ127" s="605"/>
      <c r="BK127" s="605"/>
      <c r="BL127" s="605"/>
      <c r="BM127" s="605"/>
      <c r="BN127" s="605"/>
      <c r="BO127" s="605"/>
      <c r="BP127" s="605"/>
      <c r="BQ127" s="605"/>
      <c r="BR127" s="605"/>
      <c r="BS127" s="605"/>
      <c r="BT127" s="605"/>
      <c r="BU127" s="605"/>
      <c r="BV127" s="605"/>
      <c r="BW127" s="605"/>
      <c r="BX127" s="605"/>
      <c r="BY127" s="605"/>
      <c r="BZ127" s="605"/>
      <c r="CA127" s="605"/>
      <c r="CB127" s="605"/>
      <c r="CC127" s="605"/>
      <c r="CD127" s="605"/>
      <c r="CE127" s="605"/>
      <c r="CF127" s="605"/>
      <c r="CG127" s="605"/>
      <c r="CH127" s="605"/>
      <c r="CI127" s="605"/>
      <c r="CJ127" s="605"/>
      <c r="CK127" s="605"/>
      <c r="CL127" s="605"/>
      <c r="CM127" s="605"/>
      <c r="CN127" s="605"/>
      <c r="CO127" s="605"/>
      <c r="CP127" s="605"/>
      <c r="CQ127" s="605"/>
      <c r="CR127" s="605"/>
      <c r="CS127" s="605"/>
      <c r="CT127" s="605"/>
      <c r="CU127" s="605"/>
      <c r="CV127" s="605"/>
      <c r="CW127" s="605"/>
      <c r="CX127" s="605"/>
      <c r="CY127" s="605"/>
      <c r="CZ127" s="605"/>
      <c r="DA127" s="605"/>
      <c r="DB127" s="605"/>
      <c r="DC127" s="605"/>
      <c r="DD127" s="605"/>
      <c r="DE127" s="605"/>
      <c r="DF127" s="605"/>
      <c r="DG127" s="605"/>
      <c r="DH127" s="605"/>
      <c r="DI127" s="605"/>
      <c r="DJ127" s="605"/>
      <c r="DK127" s="605"/>
    </row>
    <row r="128" spans="1:115" s="51" customFormat="1">
      <c r="A128" s="605"/>
      <c r="B128" s="423"/>
      <c r="C128" s="605"/>
      <c r="D128" s="605"/>
      <c r="E128" s="605"/>
      <c r="F128" s="605"/>
      <c r="G128" s="605"/>
      <c r="H128" s="605"/>
      <c r="I128" s="605"/>
      <c r="J128" s="605"/>
      <c r="K128" s="605"/>
      <c r="L128" s="605"/>
      <c r="M128" s="605"/>
      <c r="N128" s="605"/>
      <c r="O128" s="605"/>
      <c r="P128" s="605"/>
      <c r="Q128" s="605"/>
      <c r="R128" s="3372"/>
      <c r="S128" s="3372"/>
      <c r="T128" s="605"/>
      <c r="U128" s="605"/>
      <c r="V128" s="605"/>
      <c r="W128" s="605"/>
      <c r="X128" s="605"/>
      <c r="Y128" s="605"/>
      <c r="Z128" s="605"/>
      <c r="AA128" s="605"/>
      <c r="AB128" s="605"/>
      <c r="AC128" s="605"/>
      <c r="AD128" s="605"/>
      <c r="AE128" s="605"/>
      <c r="AF128" s="605"/>
      <c r="AG128" s="605"/>
      <c r="AH128" s="605"/>
      <c r="AI128" s="605"/>
      <c r="AJ128" s="605"/>
      <c r="AK128" s="605"/>
      <c r="AL128" s="605"/>
      <c r="AM128" s="605"/>
      <c r="AN128" s="605"/>
      <c r="AO128" s="605"/>
      <c r="AP128" s="605"/>
      <c r="AQ128" s="605"/>
      <c r="AR128" s="605"/>
      <c r="AS128" s="605"/>
      <c r="AT128" s="605"/>
      <c r="AU128" s="605"/>
      <c r="AV128" s="605"/>
      <c r="AW128" s="605"/>
      <c r="AX128" s="605"/>
      <c r="AY128" s="605"/>
      <c r="AZ128" s="605"/>
      <c r="BA128" s="605"/>
      <c r="BB128" s="605"/>
      <c r="BC128" s="605"/>
      <c r="BD128" s="605"/>
      <c r="BE128" s="605"/>
      <c r="BF128" s="605"/>
      <c r="BG128" s="605"/>
      <c r="BH128" s="605"/>
      <c r="BI128" s="605"/>
      <c r="BJ128" s="605"/>
      <c r="BK128" s="605"/>
      <c r="BL128" s="605"/>
      <c r="BM128" s="605"/>
      <c r="BN128" s="605"/>
      <c r="BO128" s="605"/>
      <c r="BP128" s="605"/>
      <c r="BQ128" s="605"/>
      <c r="BR128" s="605"/>
      <c r="BS128" s="605"/>
      <c r="BT128" s="605"/>
      <c r="BU128" s="605"/>
      <c r="BV128" s="605"/>
      <c r="BW128" s="605"/>
      <c r="BX128" s="605"/>
      <c r="BY128" s="605"/>
      <c r="BZ128" s="605"/>
      <c r="CA128" s="605"/>
      <c r="CB128" s="605"/>
      <c r="CC128" s="605"/>
      <c r="CD128" s="605"/>
      <c r="CE128" s="605"/>
      <c r="CF128" s="605"/>
      <c r="CG128" s="605"/>
      <c r="CH128" s="605"/>
      <c r="CI128" s="605"/>
      <c r="CJ128" s="605"/>
      <c r="CK128" s="605"/>
      <c r="CL128" s="605"/>
      <c r="CM128" s="605"/>
      <c r="CN128" s="605"/>
      <c r="CO128" s="605"/>
      <c r="CP128" s="605"/>
      <c r="CQ128" s="605"/>
      <c r="CR128" s="605"/>
      <c r="CS128" s="605"/>
      <c r="CT128" s="605"/>
      <c r="CU128" s="605"/>
      <c r="CV128" s="605"/>
      <c r="CW128" s="605"/>
      <c r="CX128" s="605"/>
      <c r="CY128" s="605"/>
      <c r="CZ128" s="605"/>
      <c r="DA128" s="605"/>
      <c r="DB128" s="605"/>
      <c r="DC128" s="605"/>
      <c r="DD128" s="605"/>
      <c r="DE128" s="605"/>
      <c r="DF128" s="605"/>
      <c r="DG128" s="605"/>
      <c r="DH128" s="605"/>
      <c r="DI128" s="605"/>
      <c r="DJ128" s="605"/>
      <c r="DK128" s="605"/>
    </row>
    <row r="129" spans="1:115">
      <c r="B129" s="423"/>
    </row>
    <row r="130" spans="1:115">
      <c r="B130" s="859"/>
      <c r="C130" s="51"/>
      <c r="D130" s="51"/>
      <c r="E130" s="51"/>
      <c r="F130" s="51"/>
      <c r="G130" s="51"/>
      <c r="H130" s="51"/>
      <c r="I130" s="51"/>
      <c r="J130" s="51"/>
      <c r="K130" s="51"/>
      <c r="L130" s="51"/>
      <c r="M130" s="51"/>
      <c r="N130" s="51"/>
      <c r="O130" s="51"/>
      <c r="P130" s="51"/>
    </row>
    <row r="131" spans="1:115" s="51" customFormat="1">
      <c r="A131" s="605"/>
      <c r="B131" s="859" t="s">
        <v>1813</v>
      </c>
      <c r="F131" s="2367"/>
      <c r="G131" s="2367"/>
      <c r="H131" s="2367"/>
      <c r="I131" s="2367"/>
      <c r="J131" s="2367"/>
      <c r="K131" s="2367"/>
      <c r="L131" s="2367"/>
      <c r="M131" s="2367"/>
      <c r="N131" s="2367"/>
      <c r="O131" s="2367"/>
      <c r="Q131" s="605"/>
      <c r="R131" s="605"/>
      <c r="S131" s="605"/>
      <c r="T131" s="605"/>
      <c r="U131" s="605"/>
      <c r="V131" s="605"/>
      <c r="W131" s="605"/>
      <c r="X131" s="605"/>
      <c r="Y131" s="605"/>
      <c r="Z131" s="605"/>
      <c r="AA131" s="605"/>
      <c r="AB131" s="605"/>
      <c r="AC131" s="605"/>
      <c r="AD131" s="605"/>
      <c r="AE131" s="605"/>
      <c r="AF131" s="605"/>
      <c r="AG131" s="605"/>
      <c r="AH131" s="605"/>
      <c r="AI131" s="605"/>
      <c r="AJ131" s="605"/>
      <c r="AK131" s="605"/>
      <c r="AL131" s="605"/>
      <c r="AM131" s="605"/>
      <c r="AN131" s="605"/>
      <c r="AO131" s="605"/>
      <c r="AP131" s="605"/>
      <c r="AQ131" s="605"/>
      <c r="AR131" s="605"/>
      <c r="AS131" s="605"/>
      <c r="AT131" s="605"/>
      <c r="AU131" s="605"/>
      <c r="AV131" s="605"/>
      <c r="AW131" s="605"/>
      <c r="AX131" s="605"/>
      <c r="AY131" s="605"/>
      <c r="AZ131" s="605"/>
      <c r="BA131" s="605"/>
      <c r="BB131" s="605"/>
      <c r="BC131" s="605"/>
      <c r="BD131" s="605"/>
      <c r="BE131" s="605"/>
      <c r="BF131" s="605"/>
      <c r="BG131" s="605"/>
      <c r="BH131" s="605"/>
      <c r="BI131" s="605"/>
      <c r="BJ131" s="605"/>
      <c r="BK131" s="605"/>
      <c r="BL131" s="605"/>
      <c r="BM131" s="605"/>
      <c r="BN131" s="605"/>
      <c r="BO131" s="605"/>
      <c r="BP131" s="605"/>
      <c r="BQ131" s="605"/>
      <c r="BR131" s="605"/>
      <c r="BS131" s="605"/>
      <c r="BT131" s="605"/>
      <c r="BU131" s="605"/>
      <c r="BV131" s="605"/>
      <c r="BW131" s="605"/>
      <c r="BX131" s="605"/>
      <c r="BY131" s="605"/>
      <c r="BZ131" s="605"/>
      <c r="CA131" s="605"/>
      <c r="CB131" s="605"/>
      <c r="CC131" s="605"/>
      <c r="CD131" s="605"/>
      <c r="CE131" s="605"/>
      <c r="CF131" s="605"/>
      <c r="CG131" s="605"/>
      <c r="CH131" s="605"/>
      <c r="CI131" s="605"/>
      <c r="CJ131" s="605"/>
      <c r="CK131" s="605"/>
      <c r="CL131" s="605"/>
      <c r="CM131" s="605"/>
      <c r="CN131" s="605"/>
      <c r="CO131" s="605"/>
      <c r="CP131" s="605"/>
      <c r="CQ131" s="605"/>
      <c r="CR131" s="605"/>
      <c r="CS131" s="605"/>
      <c r="CT131" s="605"/>
      <c r="CU131" s="605"/>
      <c r="CV131" s="605"/>
      <c r="CW131" s="605"/>
      <c r="CX131" s="605"/>
      <c r="CY131" s="605"/>
      <c r="CZ131" s="605"/>
      <c r="DA131" s="605"/>
      <c r="DB131" s="605"/>
      <c r="DC131" s="605"/>
      <c r="DD131" s="605"/>
      <c r="DE131" s="605"/>
      <c r="DF131" s="605"/>
      <c r="DG131" s="605"/>
      <c r="DH131" s="605"/>
      <c r="DI131" s="605"/>
      <c r="DJ131" s="605"/>
      <c r="DK131" s="605"/>
    </row>
    <row r="132" spans="1:115" s="51" customFormat="1">
      <c r="A132" s="605"/>
      <c r="B132" s="859"/>
      <c r="C132" s="2402" t="s">
        <v>1812</v>
      </c>
      <c r="F132" s="119">
        <v>2007</v>
      </c>
      <c r="G132" s="120">
        <f t="shared" ref="G132:O132" si="3">F132+5</f>
        <v>2012</v>
      </c>
      <c r="H132" s="120">
        <f t="shared" si="3"/>
        <v>2017</v>
      </c>
      <c r="I132" s="120">
        <f t="shared" si="3"/>
        <v>2022</v>
      </c>
      <c r="J132" s="120">
        <f t="shared" si="3"/>
        <v>2027</v>
      </c>
      <c r="K132" s="120">
        <f t="shared" si="3"/>
        <v>2032</v>
      </c>
      <c r="L132" s="120">
        <f t="shared" si="3"/>
        <v>2037</v>
      </c>
      <c r="M132" s="120">
        <f t="shared" si="3"/>
        <v>2042</v>
      </c>
      <c r="N132" s="120">
        <f t="shared" si="3"/>
        <v>2047</v>
      </c>
      <c r="O132" s="120">
        <f t="shared" si="3"/>
        <v>2052</v>
      </c>
      <c r="Q132" s="605"/>
      <c r="R132" s="605"/>
      <c r="S132" s="605"/>
      <c r="T132" s="605"/>
      <c r="U132" s="605"/>
      <c r="V132" s="605"/>
      <c r="W132" s="605"/>
      <c r="X132" s="605"/>
      <c r="Y132" s="605"/>
      <c r="Z132" s="605"/>
      <c r="AA132" s="605"/>
      <c r="AB132" s="605"/>
      <c r="AC132" s="605"/>
      <c r="AD132" s="605"/>
      <c r="AE132" s="605"/>
      <c r="AF132" s="605"/>
      <c r="AG132" s="605"/>
      <c r="AH132" s="605"/>
      <c r="AI132" s="605"/>
      <c r="AJ132" s="605"/>
      <c r="AK132" s="605"/>
      <c r="AL132" s="605"/>
      <c r="AM132" s="605"/>
      <c r="AN132" s="605"/>
      <c r="AO132" s="605"/>
      <c r="AP132" s="605"/>
      <c r="AQ132" s="605"/>
      <c r="AR132" s="605"/>
      <c r="AS132" s="605"/>
      <c r="AT132" s="605"/>
      <c r="AU132" s="605"/>
      <c r="AV132" s="605"/>
      <c r="AW132" s="605"/>
      <c r="AX132" s="605"/>
      <c r="AY132" s="605"/>
      <c r="AZ132" s="605"/>
      <c r="BA132" s="605"/>
      <c r="BB132" s="605"/>
      <c r="BC132" s="605"/>
      <c r="BD132" s="605"/>
      <c r="BE132" s="605"/>
      <c r="BF132" s="605"/>
      <c r="BG132" s="605"/>
      <c r="BH132" s="605"/>
      <c r="BI132" s="605"/>
      <c r="BJ132" s="605"/>
      <c r="BK132" s="605"/>
      <c r="BL132" s="605"/>
      <c r="BM132" s="605"/>
      <c r="BN132" s="605"/>
      <c r="BO132" s="605"/>
      <c r="BP132" s="605"/>
      <c r="BQ132" s="605"/>
      <c r="BR132" s="605"/>
      <c r="BS132" s="605"/>
      <c r="BT132" s="605"/>
      <c r="BU132" s="605"/>
      <c r="BV132" s="605"/>
      <c r="BW132" s="605"/>
      <c r="BX132" s="605"/>
      <c r="BY132" s="605"/>
      <c r="BZ132" s="605"/>
      <c r="CA132" s="605"/>
      <c r="CB132" s="605"/>
      <c r="CC132" s="605"/>
      <c r="CD132" s="605"/>
      <c r="CE132" s="605"/>
      <c r="CF132" s="605"/>
      <c r="CG132" s="605"/>
      <c r="CH132" s="605"/>
      <c r="CI132" s="605"/>
      <c r="CJ132" s="605"/>
      <c r="CK132" s="605"/>
      <c r="CL132" s="605"/>
      <c r="CM132" s="605"/>
      <c r="CN132" s="605"/>
      <c r="CO132" s="605"/>
      <c r="CP132" s="605"/>
      <c r="CQ132" s="605"/>
      <c r="CR132" s="605"/>
      <c r="CS132" s="605"/>
      <c r="CT132" s="605"/>
      <c r="CU132" s="605"/>
      <c r="CV132" s="605"/>
      <c r="CW132" s="605"/>
      <c r="CX132" s="605"/>
      <c r="CY132" s="605"/>
      <c r="CZ132" s="605"/>
      <c r="DA132" s="605"/>
      <c r="DB132" s="605"/>
      <c r="DC132" s="605"/>
      <c r="DD132" s="605"/>
      <c r="DE132" s="605"/>
      <c r="DF132" s="605"/>
      <c r="DG132" s="605"/>
      <c r="DH132" s="605"/>
      <c r="DI132" s="605"/>
      <c r="DJ132" s="605"/>
      <c r="DK132" s="605"/>
    </row>
    <row r="133" spans="1:115" s="113" customFormat="1">
      <c r="A133" s="605"/>
      <c r="E133" s="113" t="str">
        <f>preferences.energyunits</f>
        <v>TWh</v>
      </c>
      <c r="F133" s="2334">
        <f t="shared" ref="F133:O133" ca="1" si="4">IF((F15+F16)&lt;0,-(F15+F16),0)</f>
        <v>57.253185663040085</v>
      </c>
      <c r="G133" s="2334">
        <f t="shared" ca="1" si="4"/>
        <v>2.5585518968521228</v>
      </c>
      <c r="H133" s="2334">
        <f t="shared" ca="1" si="4"/>
        <v>26.676280792411944</v>
      </c>
      <c r="I133" s="2334">
        <f t="shared" ca="1" si="4"/>
        <v>633.96028414856255</v>
      </c>
      <c r="J133" s="2334">
        <f t="shared" ca="1" si="4"/>
        <v>1436.0672738769088</v>
      </c>
      <c r="K133" s="2334">
        <f t="shared" ca="1" si="4"/>
        <v>2499.5140421615743</v>
      </c>
      <c r="L133" s="2334">
        <f t="shared" ca="1" si="4"/>
        <v>3442.540621324436</v>
      </c>
      <c r="M133" s="2334">
        <f t="shared" ca="1" si="4"/>
        <v>4538.886109711163</v>
      </c>
      <c r="N133" s="2334">
        <f t="shared" ca="1" si="4"/>
        <v>5541.1197894407087</v>
      </c>
      <c r="O133" s="2334">
        <f t="shared" ca="1" si="4"/>
        <v>6841.2588476361761</v>
      </c>
      <c r="Q133" s="605"/>
      <c r="R133" s="605"/>
      <c r="S133" s="605"/>
      <c r="T133" s="605"/>
      <c r="U133" s="605"/>
      <c r="V133" s="605"/>
      <c r="W133" s="605"/>
      <c r="X133" s="605"/>
      <c r="Y133" s="605"/>
      <c r="Z133" s="605"/>
      <c r="AA133" s="605"/>
      <c r="AB133" s="605"/>
      <c r="AC133" s="605"/>
      <c r="AD133" s="605"/>
      <c r="AE133" s="605"/>
      <c r="AF133" s="605"/>
      <c r="AG133" s="605"/>
      <c r="AH133" s="605"/>
      <c r="AI133" s="605"/>
      <c r="AJ133" s="605"/>
      <c r="AK133" s="605"/>
      <c r="AL133" s="605"/>
      <c r="AM133" s="605"/>
      <c r="AN133" s="605"/>
      <c r="AO133" s="605"/>
      <c r="AP133" s="605"/>
      <c r="AQ133" s="605"/>
      <c r="AR133" s="605"/>
      <c r="AS133" s="605"/>
      <c r="AT133" s="605"/>
      <c r="AU133" s="605"/>
      <c r="AV133" s="605"/>
      <c r="AW133" s="605"/>
      <c r="AX133" s="605"/>
      <c r="AY133" s="605"/>
      <c r="AZ133" s="605"/>
      <c r="BA133" s="605"/>
      <c r="BB133" s="605"/>
      <c r="BC133" s="605"/>
      <c r="BD133" s="605"/>
      <c r="BE133" s="605"/>
      <c r="BF133" s="605"/>
      <c r="BG133" s="605"/>
      <c r="BH133" s="605"/>
      <c r="BI133" s="605"/>
      <c r="BJ133" s="605"/>
      <c r="BK133" s="605"/>
      <c r="BL133" s="605"/>
      <c r="BM133" s="605"/>
      <c r="BN133" s="605"/>
      <c r="BO133" s="605"/>
      <c r="BP133" s="605"/>
      <c r="BQ133" s="605"/>
      <c r="BR133" s="605"/>
      <c r="BS133" s="605"/>
      <c r="BT133" s="605"/>
      <c r="BU133" s="605"/>
      <c r="BV133" s="605"/>
      <c r="BW133" s="605"/>
      <c r="BX133" s="605"/>
      <c r="BY133" s="605"/>
      <c r="BZ133" s="605"/>
      <c r="CA133" s="605"/>
      <c r="CB133" s="605"/>
      <c r="CC133" s="605"/>
      <c r="CD133" s="605"/>
      <c r="CE133" s="605"/>
      <c r="CF133" s="605"/>
      <c r="CG133" s="605"/>
      <c r="CH133" s="605"/>
      <c r="CI133" s="605"/>
      <c r="CJ133" s="605"/>
      <c r="CK133" s="605"/>
      <c r="CL133" s="605"/>
      <c r="CM133" s="605"/>
      <c r="CN133" s="605"/>
      <c r="CO133" s="605"/>
      <c r="CP133" s="605"/>
      <c r="CQ133" s="605"/>
      <c r="CR133" s="605"/>
      <c r="CS133" s="605"/>
      <c r="CT133" s="605"/>
      <c r="CU133" s="605"/>
      <c r="CV133" s="605"/>
      <c r="CW133" s="605"/>
      <c r="CX133" s="605"/>
      <c r="CY133" s="605"/>
      <c r="CZ133" s="605"/>
      <c r="DA133" s="605"/>
      <c r="DB133" s="605"/>
      <c r="DC133" s="605"/>
      <c r="DD133" s="605"/>
      <c r="DE133" s="605"/>
      <c r="DF133" s="605"/>
      <c r="DG133" s="605"/>
      <c r="DH133" s="605"/>
      <c r="DI133" s="605"/>
      <c r="DJ133" s="605"/>
      <c r="DK133" s="605"/>
    </row>
    <row r="134" spans="1:115" s="51" customFormat="1">
      <c r="A134" s="605"/>
      <c r="C134" s="859" t="s">
        <v>1820</v>
      </c>
      <c r="D134" s="128" t="str">
        <f>INDEX(Vectors[Description], MATCH(C134, Vectors[Code], 0))</f>
        <v>Savings Potential of Energy</v>
      </c>
      <c r="E134" s="113" t="str">
        <f>preferences.energyunits</f>
        <v>TWh</v>
      </c>
      <c r="F134" s="2335">
        <v>0</v>
      </c>
      <c r="G134" s="2335">
        <v>0</v>
      </c>
      <c r="H134" s="2335">
        <v>0</v>
      </c>
      <c r="I134" s="2335">
        <v>0</v>
      </c>
      <c r="J134" s="2335">
        <v>0</v>
      </c>
      <c r="K134" s="2335">
        <v>0</v>
      </c>
      <c r="L134" s="2335">
        <v>0</v>
      </c>
      <c r="M134" s="2335">
        <v>0</v>
      </c>
      <c r="N134" s="2335">
        <v>0</v>
      </c>
      <c r="O134" s="2335">
        <v>0</v>
      </c>
      <c r="P134" s="2335"/>
      <c r="Q134" s="605"/>
      <c r="R134" s="605"/>
      <c r="S134" s="605"/>
      <c r="T134" s="605"/>
      <c r="U134" s="605"/>
      <c r="V134" s="605"/>
      <c r="W134" s="605"/>
      <c r="X134" s="605"/>
      <c r="Y134" s="605"/>
      <c r="Z134" s="605"/>
      <c r="AA134" s="605"/>
      <c r="AB134" s="605"/>
      <c r="AC134" s="605"/>
      <c r="AD134" s="605"/>
      <c r="AE134" s="605"/>
      <c r="AF134" s="605"/>
      <c r="AG134" s="605"/>
      <c r="AH134" s="605"/>
      <c r="AI134" s="605"/>
      <c r="AJ134" s="605"/>
      <c r="AK134" s="605"/>
      <c r="AL134" s="605"/>
      <c r="AM134" s="605"/>
      <c r="AN134" s="605"/>
      <c r="AO134" s="605"/>
      <c r="AP134" s="605"/>
      <c r="AQ134" s="605"/>
      <c r="AR134" s="605"/>
      <c r="AS134" s="605"/>
      <c r="AT134" s="605"/>
      <c r="AU134" s="605"/>
      <c r="AV134" s="605"/>
      <c r="AW134" s="605"/>
      <c r="AX134" s="605"/>
      <c r="AY134" s="605"/>
      <c r="AZ134" s="605"/>
      <c r="BA134" s="605"/>
      <c r="BB134" s="605"/>
      <c r="BC134" s="605"/>
      <c r="BD134" s="605"/>
      <c r="BE134" s="605"/>
      <c r="BF134" s="605"/>
      <c r="BG134" s="605"/>
      <c r="BH134" s="605"/>
      <c r="BI134" s="605"/>
      <c r="BJ134" s="605"/>
      <c r="BK134" s="605"/>
      <c r="BL134" s="605"/>
      <c r="BM134" s="605"/>
      <c r="BN134" s="605"/>
      <c r="BO134" s="605"/>
      <c r="BP134" s="605"/>
      <c r="BQ134" s="605"/>
      <c r="BR134" s="605"/>
      <c r="BS134" s="605"/>
      <c r="BT134" s="605"/>
      <c r="BU134" s="605"/>
      <c r="BV134" s="605"/>
      <c r="BW134" s="605"/>
      <c r="BX134" s="605"/>
      <c r="BY134" s="605"/>
      <c r="BZ134" s="605"/>
      <c r="CA134" s="605"/>
      <c r="CB134" s="605"/>
      <c r="CC134" s="605"/>
      <c r="CD134" s="605"/>
      <c r="CE134" s="605"/>
      <c r="CF134" s="605"/>
      <c r="CG134" s="605"/>
      <c r="CH134" s="605"/>
      <c r="CI134" s="605"/>
      <c r="CJ134" s="605"/>
      <c r="CK134" s="605"/>
      <c r="CL134" s="605"/>
      <c r="CM134" s="605"/>
      <c r="CN134" s="605"/>
      <c r="CO134" s="605"/>
      <c r="CP134" s="605"/>
      <c r="CQ134" s="605"/>
      <c r="CR134" s="605"/>
      <c r="CS134" s="605"/>
      <c r="CT134" s="605"/>
      <c r="CU134" s="605"/>
      <c r="CV134" s="605"/>
      <c r="CW134" s="605"/>
      <c r="CX134" s="605"/>
      <c r="CY134" s="605"/>
      <c r="CZ134" s="605"/>
      <c r="DA134" s="605"/>
      <c r="DB134" s="605"/>
      <c r="DC134" s="605"/>
      <c r="DD134" s="605"/>
      <c r="DE134" s="605"/>
      <c r="DF134" s="605"/>
      <c r="DG134" s="605"/>
      <c r="DH134" s="605"/>
      <c r="DI134" s="605"/>
      <c r="DJ134" s="605"/>
      <c r="DK134" s="605"/>
    </row>
    <row r="135" spans="1:115" s="51" customFormat="1">
      <c r="A135" s="605"/>
      <c r="B135" s="859"/>
      <c r="C135" s="859" t="s">
        <v>1822</v>
      </c>
      <c r="D135" s="859"/>
      <c r="E135" s="113" t="str">
        <f>preferences.energyunits</f>
        <v>TWh</v>
      </c>
      <c r="F135" s="2336">
        <f ca="1">F133</f>
        <v>57.253185663040085</v>
      </c>
      <c r="G135" s="2336">
        <f t="shared" ref="G135:O135" ca="1" si="5">G133</f>
        <v>2.5585518968521228</v>
      </c>
      <c r="H135" s="2336">
        <f t="shared" ca="1" si="5"/>
        <v>26.676280792411944</v>
      </c>
      <c r="I135" s="2336">
        <f t="shared" ca="1" si="5"/>
        <v>633.96028414856255</v>
      </c>
      <c r="J135" s="2336">
        <f t="shared" ca="1" si="5"/>
        <v>1436.0672738769088</v>
      </c>
      <c r="K135" s="2336">
        <f t="shared" ca="1" si="5"/>
        <v>2499.5140421615743</v>
      </c>
      <c r="L135" s="2336">
        <f t="shared" ca="1" si="5"/>
        <v>3442.540621324436</v>
      </c>
      <c r="M135" s="2336">
        <f t="shared" ca="1" si="5"/>
        <v>4538.886109711163</v>
      </c>
      <c r="N135" s="2336">
        <f t="shared" ca="1" si="5"/>
        <v>5541.1197894407087</v>
      </c>
      <c r="O135" s="2336">
        <f t="shared" ca="1" si="5"/>
        <v>6841.2588476361761</v>
      </c>
      <c r="P135" s="859"/>
      <c r="Q135" s="605"/>
      <c r="R135" s="605"/>
      <c r="S135" s="605"/>
      <c r="T135" s="605"/>
      <c r="U135" s="605"/>
      <c r="V135" s="605"/>
      <c r="W135" s="605"/>
      <c r="X135" s="605"/>
      <c r="Y135" s="605"/>
      <c r="Z135" s="605"/>
      <c r="AA135" s="605"/>
      <c r="AB135" s="605"/>
      <c r="AC135" s="605"/>
      <c r="AD135" s="605"/>
      <c r="AE135" s="605"/>
      <c r="AF135" s="605"/>
      <c r="AG135" s="605"/>
      <c r="AH135" s="605"/>
      <c r="AI135" s="605"/>
      <c r="AJ135" s="605"/>
      <c r="AK135" s="605"/>
      <c r="AL135" s="605"/>
      <c r="AM135" s="605"/>
      <c r="AN135" s="605"/>
      <c r="AO135" s="605"/>
      <c r="AP135" s="605"/>
      <c r="AQ135" s="605"/>
      <c r="AR135" s="605"/>
      <c r="AS135" s="605"/>
      <c r="AT135" s="605"/>
      <c r="AU135" s="605"/>
      <c r="AV135" s="605"/>
      <c r="AW135" s="605"/>
      <c r="AX135" s="605"/>
      <c r="AY135" s="605"/>
      <c r="AZ135" s="605"/>
      <c r="BA135" s="605"/>
      <c r="BB135" s="605"/>
      <c r="BC135" s="605"/>
      <c r="BD135" s="605"/>
      <c r="BE135" s="605"/>
      <c r="BF135" s="605"/>
      <c r="BG135" s="605"/>
      <c r="BH135" s="605"/>
      <c r="BI135" s="605"/>
      <c r="BJ135" s="605"/>
      <c r="BK135" s="605"/>
      <c r="BL135" s="605"/>
      <c r="BM135" s="605"/>
      <c r="BN135" s="605"/>
      <c r="BO135" s="605"/>
      <c r="BP135" s="605"/>
      <c r="BQ135" s="605"/>
      <c r="BR135" s="605"/>
      <c r="BS135" s="605"/>
      <c r="BT135" s="605"/>
      <c r="BU135" s="605"/>
      <c r="BV135" s="605"/>
      <c r="BW135" s="605"/>
      <c r="BX135" s="605"/>
      <c r="BY135" s="605"/>
      <c r="BZ135" s="605"/>
      <c r="CA135" s="605"/>
      <c r="CB135" s="605"/>
      <c r="CC135" s="605"/>
      <c r="CD135" s="605"/>
      <c r="CE135" s="605"/>
      <c r="CF135" s="605"/>
      <c r="CG135" s="605"/>
      <c r="CH135" s="605"/>
      <c r="CI135" s="605"/>
      <c r="CJ135" s="605"/>
      <c r="CK135" s="605"/>
      <c r="CL135" s="605"/>
      <c r="CM135" s="605"/>
      <c r="CN135" s="605"/>
      <c r="CO135" s="605"/>
      <c r="CP135" s="605"/>
      <c r="CQ135" s="605"/>
      <c r="CR135" s="605"/>
      <c r="CS135" s="605"/>
      <c r="CT135" s="605"/>
      <c r="CU135" s="605"/>
      <c r="CV135" s="605"/>
      <c r="CW135" s="605"/>
      <c r="CX135" s="605"/>
      <c r="CY135" s="605"/>
      <c r="CZ135" s="605"/>
      <c r="DA135" s="605"/>
      <c r="DB135" s="605"/>
      <c r="DC135" s="605"/>
      <c r="DD135" s="605"/>
      <c r="DE135" s="605"/>
      <c r="DF135" s="605"/>
      <c r="DG135" s="605"/>
      <c r="DH135" s="605"/>
      <c r="DI135" s="605"/>
      <c r="DJ135" s="605"/>
      <c r="DK135" s="605"/>
    </row>
    <row r="136" spans="1:115" s="51" customFormat="1">
      <c r="A136" s="605"/>
      <c r="B136" s="2332" t="s">
        <v>1777</v>
      </c>
      <c r="C136" s="51" t="s">
        <v>1810</v>
      </c>
      <c r="E136" s="113" t="str">
        <f>preferences.energyunits</f>
        <v>TWh</v>
      </c>
      <c r="F136" s="97">
        <f ca="1">F$52*F135</f>
        <v>2.8626592831520044</v>
      </c>
      <c r="G136" s="97">
        <f ca="1">G$52*G135</f>
        <v>0.12792759484260616</v>
      </c>
      <c r="H136" s="97">
        <f t="shared" ref="H136:O136" ca="1" si="6">H$52*H135</f>
        <v>1.3338140396205973</v>
      </c>
      <c r="I136" s="97">
        <f t="shared" ca="1" si="6"/>
        <v>31.69801420742813</v>
      </c>
      <c r="J136" s="97">
        <f t="shared" ca="1" si="6"/>
        <v>71.803363693845441</v>
      </c>
      <c r="K136" s="97">
        <f t="shared" ca="1" si="6"/>
        <v>124.97570210807872</v>
      </c>
      <c r="L136" s="97">
        <f t="shared" ca="1" si="6"/>
        <v>172.1270310662218</v>
      </c>
      <c r="M136" s="97">
        <f t="shared" ca="1" si="6"/>
        <v>226.94430548555817</v>
      </c>
      <c r="N136" s="97">
        <f t="shared" ca="1" si="6"/>
        <v>277.05598947203544</v>
      </c>
      <c r="O136" s="97">
        <f t="shared" ca="1" si="6"/>
        <v>342.06294238180885</v>
      </c>
      <c r="Q136" s="605"/>
      <c r="R136" s="605"/>
      <c r="S136" s="605"/>
      <c r="T136" s="605"/>
      <c r="U136" s="605"/>
      <c r="V136" s="605"/>
      <c r="W136" s="605"/>
      <c r="X136" s="605"/>
      <c r="Y136" s="605"/>
      <c r="Z136" s="605"/>
      <c r="AA136" s="605"/>
      <c r="AB136" s="605"/>
      <c r="AC136" s="605"/>
      <c r="AD136" s="605"/>
      <c r="AE136" s="605"/>
      <c r="AF136" s="605"/>
      <c r="AG136" s="605"/>
      <c r="AH136" s="605"/>
      <c r="AI136" s="605"/>
      <c r="AJ136" s="605"/>
      <c r="AK136" s="605"/>
      <c r="AL136" s="605"/>
      <c r="AM136" s="605"/>
      <c r="AN136" s="605"/>
      <c r="AO136" s="605"/>
      <c r="AP136" s="605"/>
      <c r="AQ136" s="605"/>
      <c r="AR136" s="605"/>
      <c r="AS136" s="605"/>
      <c r="AT136" s="605"/>
      <c r="AU136" s="605"/>
      <c r="AV136" s="605"/>
      <c r="AW136" s="605"/>
      <c r="AX136" s="605"/>
      <c r="AY136" s="605"/>
      <c r="AZ136" s="605"/>
      <c r="BA136" s="605"/>
      <c r="BB136" s="605"/>
      <c r="BC136" s="605"/>
      <c r="BD136" s="605"/>
      <c r="BE136" s="605"/>
      <c r="BF136" s="605"/>
      <c r="BG136" s="605"/>
      <c r="BH136" s="605"/>
      <c r="BI136" s="605"/>
      <c r="BJ136" s="605"/>
      <c r="BK136" s="605"/>
      <c r="BL136" s="605"/>
      <c r="BM136" s="605"/>
      <c r="BN136" s="605"/>
      <c r="BO136" s="605"/>
      <c r="BP136" s="605"/>
      <c r="BQ136" s="605"/>
      <c r="BR136" s="605"/>
      <c r="BS136" s="605"/>
      <c r="BT136" s="605"/>
      <c r="BU136" s="605"/>
      <c r="BV136" s="605"/>
      <c r="BW136" s="605"/>
      <c r="BX136" s="605"/>
      <c r="BY136" s="605"/>
      <c r="BZ136" s="605"/>
      <c r="CA136" s="605"/>
      <c r="CB136" s="605"/>
      <c r="CC136" s="605"/>
      <c r="CD136" s="605"/>
      <c r="CE136" s="605"/>
      <c r="CF136" s="605"/>
      <c r="CG136" s="605"/>
      <c r="CH136" s="605"/>
      <c r="CI136" s="605"/>
      <c r="CJ136" s="605"/>
      <c r="CK136" s="605"/>
      <c r="CL136" s="605"/>
      <c r="CM136" s="605"/>
      <c r="CN136" s="605"/>
      <c r="CO136" s="605"/>
      <c r="CP136" s="605"/>
      <c r="CQ136" s="605"/>
      <c r="CR136" s="605"/>
      <c r="CS136" s="605"/>
      <c r="CT136" s="605"/>
      <c r="CU136" s="605"/>
      <c r="CV136" s="605"/>
      <c r="CW136" s="605"/>
      <c r="CX136" s="605"/>
      <c r="CY136" s="605"/>
      <c r="CZ136" s="605"/>
      <c r="DA136" s="605"/>
      <c r="DB136" s="605"/>
      <c r="DC136" s="605"/>
      <c r="DD136" s="605"/>
      <c r="DE136" s="605"/>
      <c r="DF136" s="605"/>
      <c r="DG136" s="605"/>
      <c r="DH136" s="605"/>
      <c r="DI136" s="605"/>
      <c r="DJ136" s="605"/>
      <c r="DK136" s="605"/>
    </row>
    <row r="137" spans="1:115" s="51" customFormat="1">
      <c r="A137" s="605"/>
      <c r="B137" s="2332" t="s">
        <v>276</v>
      </c>
      <c r="C137" s="859" t="s">
        <v>1164</v>
      </c>
      <c r="E137" s="113" t="str">
        <f>preferences.energyunits</f>
        <v>TWh</v>
      </c>
      <c r="F137" s="1178">
        <f ca="1">F135+F136</f>
        <v>60.115844946192091</v>
      </c>
      <c r="G137" s="1178">
        <f t="shared" ref="G137:O137" ca="1" si="7">G135+G136</f>
        <v>2.6864794916947288</v>
      </c>
      <c r="H137" s="1178">
        <f t="shared" ca="1" si="7"/>
        <v>28.010094832032543</v>
      </c>
      <c r="I137" s="1178">
        <f t="shared" ca="1" si="7"/>
        <v>665.65829835599072</v>
      </c>
      <c r="J137" s="1178">
        <f t="shared" ca="1" si="7"/>
        <v>1507.8706375707543</v>
      </c>
      <c r="K137" s="1178">
        <f t="shared" ca="1" si="7"/>
        <v>2624.4897442696529</v>
      </c>
      <c r="L137" s="1178">
        <f t="shared" ca="1" si="7"/>
        <v>3614.6676523906576</v>
      </c>
      <c r="M137" s="1178">
        <f t="shared" ca="1" si="7"/>
        <v>4765.8304151967213</v>
      </c>
      <c r="N137" s="1178">
        <f t="shared" ca="1" si="7"/>
        <v>5818.1757789127441</v>
      </c>
      <c r="O137" s="1178">
        <f t="shared" ca="1" si="7"/>
        <v>7183.3217900179852</v>
      </c>
      <c r="Q137" s="605"/>
      <c r="R137" s="605"/>
      <c r="S137" s="605"/>
      <c r="T137" s="605"/>
      <c r="U137" s="605"/>
      <c r="V137" s="605"/>
      <c r="W137" s="605"/>
      <c r="X137" s="605"/>
      <c r="Y137" s="605"/>
      <c r="Z137" s="605"/>
      <c r="AA137" s="605"/>
      <c r="AB137" s="605"/>
      <c r="AC137" s="605"/>
      <c r="AD137" s="605"/>
      <c r="AE137" s="605"/>
      <c r="AF137" s="605"/>
      <c r="AG137" s="605"/>
      <c r="AH137" s="605"/>
      <c r="AI137" s="605"/>
      <c r="AJ137" s="605"/>
      <c r="AK137" s="605"/>
      <c r="AL137" s="605"/>
      <c r="AM137" s="605"/>
      <c r="AN137" s="605"/>
      <c r="AO137" s="605"/>
      <c r="AP137" s="605"/>
      <c r="AQ137" s="605"/>
      <c r="AR137" s="605"/>
      <c r="AS137" s="605"/>
      <c r="AT137" s="605"/>
      <c r="AU137" s="605"/>
      <c r="AV137" s="605"/>
      <c r="AW137" s="605"/>
      <c r="AX137" s="605"/>
      <c r="AY137" s="605"/>
      <c r="AZ137" s="605"/>
      <c r="BA137" s="605"/>
      <c r="BB137" s="605"/>
      <c r="BC137" s="605"/>
      <c r="BD137" s="605"/>
      <c r="BE137" s="605"/>
      <c r="BF137" s="605"/>
      <c r="BG137" s="605"/>
      <c r="BH137" s="605"/>
      <c r="BI137" s="605"/>
      <c r="BJ137" s="605"/>
      <c r="BK137" s="605"/>
      <c r="BL137" s="605"/>
      <c r="BM137" s="605"/>
      <c r="BN137" s="605"/>
      <c r="BO137" s="605"/>
      <c r="BP137" s="605"/>
      <c r="BQ137" s="605"/>
      <c r="BR137" s="605"/>
      <c r="BS137" s="605"/>
      <c r="BT137" s="605"/>
      <c r="BU137" s="605"/>
      <c r="BV137" s="605"/>
      <c r="BW137" s="605"/>
      <c r="BX137" s="605"/>
      <c r="BY137" s="605"/>
      <c r="BZ137" s="605"/>
      <c r="CA137" s="605"/>
      <c r="CB137" s="605"/>
      <c r="CC137" s="605"/>
      <c r="CD137" s="605"/>
      <c r="CE137" s="605"/>
      <c r="CF137" s="605"/>
      <c r="CG137" s="605"/>
      <c r="CH137" s="605"/>
      <c r="CI137" s="605"/>
      <c r="CJ137" s="605"/>
      <c r="CK137" s="605"/>
      <c r="CL137" s="605"/>
      <c r="CM137" s="605"/>
      <c r="CN137" s="605"/>
      <c r="CO137" s="605"/>
      <c r="CP137" s="605"/>
      <c r="CQ137" s="605"/>
      <c r="CR137" s="605"/>
      <c r="CS137" s="605"/>
      <c r="CT137" s="605"/>
      <c r="CU137" s="605"/>
      <c r="CV137" s="605"/>
      <c r="CW137" s="605"/>
      <c r="CX137" s="605"/>
      <c r="CY137" s="605"/>
      <c r="CZ137" s="605"/>
      <c r="DA137" s="605"/>
      <c r="DB137" s="605"/>
      <c r="DC137" s="605"/>
      <c r="DD137" s="605"/>
      <c r="DE137" s="605"/>
      <c r="DF137" s="605"/>
      <c r="DG137" s="605"/>
      <c r="DH137" s="605"/>
      <c r="DI137" s="605"/>
      <c r="DJ137" s="605"/>
      <c r="DK137" s="605"/>
    </row>
    <row r="138" spans="1:115" s="51" customFormat="1">
      <c r="A138" s="605"/>
      <c r="B138" s="294" t="s">
        <v>1811</v>
      </c>
      <c r="C138" s="51" t="s">
        <v>1823</v>
      </c>
      <c r="E138" s="51" t="s">
        <v>277</v>
      </c>
      <c r="F138" s="2369">
        <f t="shared" ref="F138:O138" si="8">F57</f>
        <v>0.38600000000000001</v>
      </c>
      <c r="G138" s="2369">
        <f t="shared" si="8"/>
        <v>0.38600000000000001</v>
      </c>
      <c r="H138" s="2369">
        <f t="shared" si="8"/>
        <v>0.38600000000000001</v>
      </c>
      <c r="I138" s="2369">
        <f t="shared" si="8"/>
        <v>0.38600000000000001</v>
      </c>
      <c r="J138" s="2369">
        <f t="shared" si="8"/>
        <v>0.38600000000000001</v>
      </c>
      <c r="K138" s="2369">
        <f t="shared" si="8"/>
        <v>0.38600000000000001</v>
      </c>
      <c r="L138" s="2369">
        <f t="shared" si="8"/>
        <v>0.38600000000000001</v>
      </c>
      <c r="M138" s="2369">
        <f t="shared" si="8"/>
        <v>0.38600000000000001</v>
      </c>
      <c r="N138" s="2369">
        <f t="shared" si="8"/>
        <v>0.38600000000000001</v>
      </c>
      <c r="O138" s="2369">
        <f t="shared" si="8"/>
        <v>0.38600000000000001</v>
      </c>
      <c r="Q138" s="605"/>
      <c r="R138" s="605"/>
      <c r="S138" s="605"/>
      <c r="T138" s="605"/>
      <c r="U138" s="605"/>
      <c r="V138" s="605"/>
      <c r="W138" s="605"/>
      <c r="X138" s="605"/>
      <c r="Y138" s="605"/>
      <c r="Z138" s="605"/>
      <c r="AA138" s="605"/>
      <c r="AB138" s="605"/>
      <c r="AC138" s="605"/>
      <c r="AD138" s="605"/>
      <c r="AE138" s="605"/>
      <c r="AF138" s="605"/>
      <c r="AG138" s="605"/>
      <c r="AH138" s="605"/>
      <c r="AI138" s="605"/>
      <c r="AJ138" s="605"/>
      <c r="AK138" s="605"/>
      <c r="AL138" s="605"/>
      <c r="AM138" s="605"/>
      <c r="AN138" s="605"/>
      <c r="AO138" s="605"/>
      <c r="AP138" s="605"/>
      <c r="AQ138" s="605"/>
      <c r="AR138" s="605"/>
      <c r="AS138" s="605"/>
      <c r="AT138" s="605"/>
      <c r="AU138" s="605"/>
      <c r="AV138" s="605"/>
      <c r="AW138" s="605"/>
      <c r="AX138" s="605"/>
      <c r="AY138" s="605"/>
      <c r="AZ138" s="605"/>
      <c r="BA138" s="605"/>
      <c r="BB138" s="605"/>
      <c r="BC138" s="605"/>
      <c r="BD138" s="605"/>
      <c r="BE138" s="605"/>
      <c r="BF138" s="605"/>
      <c r="BG138" s="605"/>
      <c r="BH138" s="605"/>
      <c r="BI138" s="605"/>
      <c r="BJ138" s="605"/>
      <c r="BK138" s="605"/>
      <c r="BL138" s="605"/>
      <c r="BM138" s="605"/>
      <c r="BN138" s="605"/>
      <c r="BO138" s="605"/>
      <c r="BP138" s="605"/>
      <c r="BQ138" s="605"/>
      <c r="BR138" s="605"/>
      <c r="BS138" s="605"/>
      <c r="BT138" s="605"/>
      <c r="BU138" s="605"/>
      <c r="BV138" s="605"/>
      <c r="BW138" s="605"/>
      <c r="BX138" s="605"/>
      <c r="BY138" s="605"/>
      <c r="BZ138" s="605"/>
      <c r="CA138" s="605"/>
      <c r="CB138" s="605"/>
      <c r="CC138" s="605"/>
      <c r="CD138" s="605"/>
      <c r="CE138" s="605"/>
      <c r="CF138" s="605"/>
      <c r="CG138" s="605"/>
      <c r="CH138" s="605"/>
      <c r="CI138" s="605"/>
      <c r="CJ138" s="605"/>
      <c r="CK138" s="605"/>
      <c r="CL138" s="605"/>
      <c r="CM138" s="605"/>
      <c r="CN138" s="605"/>
      <c r="CO138" s="605"/>
      <c r="CP138" s="605"/>
      <c r="CQ138" s="605"/>
      <c r="CR138" s="605"/>
      <c r="CS138" s="605"/>
      <c r="CT138" s="605"/>
      <c r="CU138" s="605"/>
      <c r="CV138" s="605"/>
      <c r="CW138" s="605"/>
      <c r="CX138" s="605"/>
      <c r="CY138" s="605"/>
      <c r="CZ138" s="605"/>
      <c r="DA138" s="605"/>
      <c r="DB138" s="605"/>
      <c r="DC138" s="605"/>
      <c r="DD138" s="605"/>
      <c r="DE138" s="605"/>
      <c r="DF138" s="605"/>
      <c r="DG138" s="605"/>
      <c r="DH138" s="605"/>
      <c r="DI138" s="605"/>
      <c r="DJ138" s="605"/>
      <c r="DK138" s="605"/>
    </row>
    <row r="139" spans="1:115" s="51" customFormat="1">
      <c r="A139" s="605"/>
      <c r="B139" s="2332" t="s">
        <v>276</v>
      </c>
      <c r="C139" s="859" t="s">
        <v>1814</v>
      </c>
      <c r="E139" s="113" t="str">
        <f>preferences.energyunits</f>
        <v>TWh</v>
      </c>
      <c r="F139" s="1192">
        <f ca="1">F137/F138</f>
        <v>155.74053094868418</v>
      </c>
      <c r="G139" s="1192">
        <f t="shared" ref="G139:O139" ca="1" si="9">G137/G138</f>
        <v>6.9597914292609548</v>
      </c>
      <c r="H139" s="1192">
        <f t="shared" ca="1" si="9"/>
        <v>72.565012518219021</v>
      </c>
      <c r="I139" s="1192">
        <f t="shared" ca="1" si="9"/>
        <v>1724.5033636165563</v>
      </c>
      <c r="J139" s="1192">
        <f t="shared" ca="1" si="9"/>
        <v>3906.4006154682752</v>
      </c>
      <c r="K139" s="1192">
        <f t="shared" ca="1" si="9"/>
        <v>6799.1962286778571</v>
      </c>
      <c r="L139" s="1192">
        <f t="shared" ca="1" si="9"/>
        <v>9364.4239699239824</v>
      </c>
      <c r="M139" s="1192">
        <f t="shared" ca="1" si="9"/>
        <v>12346.710920198761</v>
      </c>
      <c r="N139" s="1192">
        <f t="shared" ca="1" si="9"/>
        <v>15072.994245887938</v>
      </c>
      <c r="O139" s="1192">
        <f t="shared" ca="1" si="9"/>
        <v>18609.641943051774</v>
      </c>
      <c r="P139" s="25"/>
      <c r="Q139" s="605"/>
      <c r="R139" s="605"/>
      <c r="S139" s="605"/>
      <c r="T139" s="605"/>
      <c r="U139" s="605"/>
      <c r="V139" s="605"/>
      <c r="W139" s="605"/>
      <c r="X139" s="605"/>
      <c r="Y139" s="605"/>
      <c r="Z139" s="605"/>
      <c r="AA139" s="605"/>
      <c r="AB139" s="605"/>
      <c r="AC139" s="605"/>
      <c r="AD139" s="605"/>
      <c r="AE139" s="605"/>
      <c r="AF139" s="605"/>
      <c r="AG139" s="605"/>
      <c r="AH139" s="605"/>
      <c r="AI139" s="605"/>
      <c r="AJ139" s="605"/>
      <c r="AK139" s="605"/>
      <c r="AL139" s="605"/>
      <c r="AM139" s="605"/>
      <c r="AN139" s="605"/>
      <c r="AO139" s="605"/>
      <c r="AP139" s="605"/>
      <c r="AQ139" s="605"/>
      <c r="AR139" s="605"/>
      <c r="AS139" s="605"/>
      <c r="AT139" s="605"/>
      <c r="AU139" s="605"/>
      <c r="AV139" s="605"/>
      <c r="AW139" s="605"/>
      <c r="AX139" s="605"/>
      <c r="AY139" s="605"/>
      <c r="AZ139" s="605"/>
      <c r="BA139" s="605"/>
      <c r="BB139" s="605"/>
      <c r="BC139" s="605"/>
      <c r="BD139" s="605"/>
      <c r="BE139" s="605"/>
      <c r="BF139" s="605"/>
      <c r="BG139" s="605"/>
      <c r="BH139" s="605"/>
      <c r="BI139" s="605"/>
      <c r="BJ139" s="605"/>
      <c r="BK139" s="605"/>
      <c r="BL139" s="605"/>
      <c r="BM139" s="605"/>
      <c r="BN139" s="605"/>
      <c r="BO139" s="605"/>
      <c r="BP139" s="605"/>
      <c r="BQ139" s="605"/>
      <c r="BR139" s="605"/>
      <c r="BS139" s="605"/>
      <c r="BT139" s="605"/>
      <c r="BU139" s="605"/>
      <c r="BV139" s="605"/>
      <c r="BW139" s="605"/>
      <c r="BX139" s="605"/>
      <c r="BY139" s="605"/>
      <c r="BZ139" s="605"/>
      <c r="CA139" s="605"/>
      <c r="CB139" s="605"/>
      <c r="CC139" s="605"/>
      <c r="CD139" s="605"/>
      <c r="CE139" s="605"/>
      <c r="CF139" s="605"/>
      <c r="CG139" s="605"/>
      <c r="CH139" s="605"/>
      <c r="CI139" s="605"/>
      <c r="CJ139" s="605"/>
      <c r="CK139" s="605"/>
      <c r="CL139" s="605"/>
      <c r="CM139" s="605"/>
      <c r="CN139" s="605"/>
      <c r="CO139" s="605"/>
      <c r="CP139" s="605"/>
      <c r="CQ139" s="605"/>
      <c r="CR139" s="605"/>
      <c r="CS139" s="605"/>
      <c r="CT139" s="605"/>
      <c r="CU139" s="605"/>
      <c r="CV139" s="605"/>
      <c r="CW139" s="605"/>
      <c r="CX139" s="605"/>
      <c r="CY139" s="605"/>
      <c r="CZ139" s="605"/>
      <c r="DA139" s="605"/>
      <c r="DB139" s="605"/>
      <c r="DC139" s="605"/>
      <c r="DD139" s="605"/>
      <c r="DE139" s="605"/>
      <c r="DF139" s="605"/>
      <c r="DG139" s="605"/>
      <c r="DH139" s="605"/>
      <c r="DI139" s="605"/>
      <c r="DJ139" s="605"/>
      <c r="DK139" s="605"/>
    </row>
    <row r="140" spans="1:115" s="51" customFormat="1">
      <c r="A140" s="605"/>
      <c r="C140" s="2333"/>
      <c r="F140" s="1192"/>
      <c r="G140" s="1192"/>
      <c r="H140" s="1192"/>
      <c r="I140" s="1192"/>
      <c r="J140" s="1192"/>
      <c r="K140" s="1192"/>
      <c r="L140" s="1192"/>
      <c r="M140" s="1192"/>
      <c r="N140" s="1192"/>
      <c r="O140" s="1192"/>
      <c r="Q140" s="605"/>
      <c r="R140" s="605"/>
      <c r="S140" s="605"/>
      <c r="T140" s="605"/>
      <c r="U140" s="605"/>
      <c r="V140" s="605"/>
      <c r="W140" s="605"/>
      <c r="X140" s="605"/>
      <c r="Y140" s="605"/>
      <c r="Z140" s="605"/>
      <c r="AA140" s="605"/>
      <c r="AB140" s="605"/>
      <c r="AC140" s="605"/>
      <c r="AD140" s="605"/>
      <c r="AE140" s="605"/>
      <c r="AF140" s="605"/>
      <c r="AG140" s="605"/>
      <c r="AH140" s="605"/>
      <c r="AI140" s="605"/>
      <c r="AJ140" s="605"/>
      <c r="AK140" s="605"/>
      <c r="AL140" s="605"/>
      <c r="AM140" s="605"/>
      <c r="AN140" s="605"/>
      <c r="AO140" s="605"/>
      <c r="AP140" s="605"/>
      <c r="AQ140" s="605"/>
      <c r="AR140" s="605"/>
      <c r="AS140" s="605"/>
      <c r="AT140" s="605"/>
      <c r="AU140" s="605"/>
      <c r="AV140" s="605"/>
      <c r="AW140" s="605"/>
      <c r="AX140" s="605"/>
      <c r="AY140" s="605"/>
      <c r="AZ140" s="605"/>
      <c r="BA140" s="605"/>
      <c r="BB140" s="605"/>
      <c r="BC140" s="605"/>
      <c r="BD140" s="605"/>
      <c r="BE140" s="605"/>
      <c r="BF140" s="605"/>
      <c r="BG140" s="605"/>
      <c r="BH140" s="605"/>
      <c r="BI140" s="605"/>
      <c r="BJ140" s="605"/>
      <c r="BK140" s="605"/>
      <c r="BL140" s="605"/>
      <c r="BM140" s="605"/>
      <c r="BN140" s="605"/>
      <c r="BO140" s="605"/>
      <c r="BP140" s="605"/>
      <c r="BQ140" s="605"/>
      <c r="BR140" s="605"/>
      <c r="BS140" s="605"/>
      <c r="BT140" s="605"/>
      <c r="BU140" s="605"/>
      <c r="BV140" s="605"/>
      <c r="BW140" s="605"/>
      <c r="BX140" s="605"/>
      <c r="BY140" s="605"/>
      <c r="BZ140" s="605"/>
      <c r="CA140" s="605"/>
      <c r="CB140" s="605"/>
      <c r="CC140" s="605"/>
      <c r="CD140" s="605"/>
      <c r="CE140" s="605"/>
      <c r="CF140" s="605"/>
      <c r="CG140" s="605"/>
      <c r="CH140" s="605"/>
      <c r="CI140" s="605"/>
      <c r="CJ140" s="605"/>
      <c r="CK140" s="605"/>
      <c r="CL140" s="605"/>
      <c r="CM140" s="605"/>
      <c r="CN140" s="605"/>
      <c r="CO140" s="605"/>
      <c r="CP140" s="605"/>
      <c r="CQ140" s="605"/>
      <c r="CR140" s="605"/>
      <c r="CS140" s="605"/>
      <c r="CT140" s="605"/>
      <c r="CU140" s="605"/>
      <c r="CV140" s="605"/>
      <c r="CW140" s="605"/>
      <c r="CX140" s="605"/>
      <c r="CY140" s="605"/>
      <c r="CZ140" s="605"/>
      <c r="DA140" s="605"/>
      <c r="DB140" s="605"/>
      <c r="DC140" s="605"/>
      <c r="DD140" s="605"/>
      <c r="DE140" s="605"/>
      <c r="DF140" s="605"/>
      <c r="DG140" s="605"/>
      <c r="DH140" s="605"/>
      <c r="DI140" s="605"/>
      <c r="DJ140" s="605"/>
      <c r="DK140" s="605"/>
    </row>
    <row r="141" spans="1:115" s="51" customFormat="1">
      <c r="A141" s="605"/>
      <c r="B141" s="859" t="s">
        <v>281</v>
      </c>
      <c r="Q141" s="605"/>
      <c r="R141" s="605"/>
      <c r="S141" s="605"/>
      <c r="T141" s="605"/>
      <c r="U141" s="605"/>
      <c r="V141" s="605"/>
      <c r="W141" s="605"/>
      <c r="X141" s="605"/>
      <c r="Y141" s="605"/>
      <c r="Z141" s="605"/>
      <c r="AA141" s="605"/>
      <c r="AB141" s="605"/>
      <c r="AC141" s="605"/>
      <c r="AD141" s="605"/>
      <c r="AE141" s="605"/>
      <c r="AF141" s="605"/>
      <c r="AG141" s="605"/>
      <c r="AH141" s="605"/>
      <c r="AI141" s="605"/>
      <c r="AJ141" s="605"/>
      <c r="AK141" s="605"/>
      <c r="AL141" s="605"/>
      <c r="AM141" s="605"/>
      <c r="AN141" s="605"/>
      <c r="AO141" s="605"/>
      <c r="AP141" s="605"/>
      <c r="AQ141" s="605"/>
      <c r="AR141" s="605"/>
      <c r="AS141" s="605"/>
      <c r="AT141" s="605"/>
      <c r="AU141" s="605"/>
      <c r="AV141" s="605"/>
      <c r="AW141" s="605"/>
      <c r="AX141" s="605"/>
      <c r="AY141" s="605"/>
      <c r="AZ141" s="605"/>
      <c r="BA141" s="605"/>
      <c r="BB141" s="605"/>
      <c r="BC141" s="605"/>
      <c r="BD141" s="605"/>
      <c r="BE141" s="605"/>
      <c r="BF141" s="605"/>
      <c r="BG141" s="605"/>
      <c r="BH141" s="605"/>
      <c r="BI141" s="605"/>
      <c r="BJ141" s="605"/>
      <c r="BK141" s="605"/>
      <c r="BL141" s="605"/>
      <c r="BM141" s="605"/>
      <c r="BN141" s="605"/>
      <c r="BO141" s="605"/>
      <c r="BP141" s="605"/>
      <c r="BQ141" s="605"/>
      <c r="BR141" s="605"/>
      <c r="BS141" s="605"/>
      <c r="BT141" s="605"/>
      <c r="BU141" s="605"/>
      <c r="BV141" s="605"/>
      <c r="BW141" s="605"/>
      <c r="BX141" s="605"/>
      <c r="BY141" s="605"/>
      <c r="BZ141" s="605"/>
      <c r="CA141" s="605"/>
      <c r="CB141" s="605"/>
      <c r="CC141" s="605"/>
      <c r="CD141" s="605"/>
      <c r="CE141" s="605"/>
      <c r="CF141" s="605"/>
      <c r="CG141" s="605"/>
      <c r="CH141" s="605"/>
      <c r="CI141" s="605"/>
      <c r="CJ141" s="605"/>
      <c r="CK141" s="605"/>
      <c r="CL141" s="605"/>
      <c r="CM141" s="605"/>
      <c r="CN141" s="605"/>
      <c r="CO141" s="605"/>
      <c r="CP141" s="605"/>
      <c r="CQ141" s="605"/>
      <c r="CR141" s="605"/>
      <c r="CS141" s="605"/>
      <c r="CT141" s="605"/>
      <c r="CU141" s="605"/>
      <c r="CV141" s="605"/>
      <c r="CW141" s="605"/>
      <c r="CX141" s="605"/>
      <c r="CY141" s="605"/>
      <c r="CZ141" s="605"/>
      <c r="DA141" s="605"/>
      <c r="DB141" s="605"/>
      <c r="DC141" s="605"/>
      <c r="DD141" s="605"/>
      <c r="DE141" s="605"/>
      <c r="DF141" s="605"/>
      <c r="DG141" s="605"/>
      <c r="DH141" s="605"/>
      <c r="DI141" s="605"/>
      <c r="DJ141" s="605"/>
      <c r="DK141" s="605"/>
    </row>
    <row r="142" spans="1:115" s="51" customFormat="1">
      <c r="A142" s="605"/>
      <c r="C142" s="51" t="s">
        <v>350</v>
      </c>
      <c r="E142" s="51" t="s">
        <v>367</v>
      </c>
      <c r="F142" s="97">
        <f ca="1">F$139*INDEX(EF[CO2], MATCH("V.03", EF[Vector], 0))</f>
        <v>54.05703590347877</v>
      </c>
      <c r="G142" s="97">
        <f ca="1">G$139*INDEX(EF[CO2], MATCH("V.03", EF[Vector], 0))</f>
        <v>2.4157211541563832</v>
      </c>
      <c r="H142" s="97">
        <f ca="1">H$139*INDEX(EF[CO2], MATCH("V.03", EF[Vector], 0))</f>
        <v>25.187081764388282</v>
      </c>
      <c r="I142" s="97">
        <f ca="1">I$139*INDEX(EF[CO2], MATCH("V.03", EF[Vector], 0))</f>
        <v>598.56955459723054</v>
      </c>
      <c r="J142" s="97">
        <f ca="1">J$139*INDEX(EF[CO2], MATCH("V.03", EF[Vector], 0))</f>
        <v>1355.8990523367304</v>
      </c>
      <c r="K142" s="97">
        <f ca="1">K$139*INDEX(EF[CO2], MATCH("V.03", EF[Vector], 0))</f>
        <v>2359.979078083024</v>
      </c>
      <c r="L142" s="97">
        <f ca="1">L$139*INDEX(EF[CO2], MATCH("V.03", EF[Vector], 0))</f>
        <v>3250.3613521413567</v>
      </c>
      <c r="M142" s="97">
        <f ca="1">M$139*INDEX(EF[CO2], MATCH("V.03", EF[Vector], 0))</f>
        <v>4285.5035323012471</v>
      </c>
      <c r="N142" s="97">
        <f ca="1">N$139*INDEX(EF[CO2], MATCH("V.03", EF[Vector], 0))</f>
        <v>5231.78768018562</v>
      </c>
      <c r="O142" s="97">
        <f ca="1">O$139*INDEX(EF[CO2], MATCH("V.03", EF[Vector], 0))</f>
        <v>6459.3466873302286</v>
      </c>
      <c r="Q142" s="605"/>
      <c r="R142" s="605"/>
      <c r="S142" s="605"/>
      <c r="T142" s="605"/>
      <c r="U142" s="605"/>
      <c r="V142" s="605"/>
      <c r="W142" s="605"/>
      <c r="X142" s="605"/>
      <c r="Y142" s="605"/>
      <c r="Z142" s="605"/>
      <c r="AA142" s="605"/>
      <c r="AB142" s="605"/>
      <c r="AC142" s="605"/>
      <c r="AD142" s="605"/>
      <c r="AE142" s="605"/>
      <c r="AF142" s="605"/>
      <c r="AG142" s="605"/>
      <c r="AH142" s="605"/>
      <c r="AI142" s="605"/>
      <c r="AJ142" s="605"/>
      <c r="AK142" s="605"/>
      <c r="AL142" s="605"/>
      <c r="AM142" s="605"/>
      <c r="AN142" s="605"/>
      <c r="AO142" s="605"/>
      <c r="AP142" s="605"/>
      <c r="AQ142" s="605"/>
      <c r="AR142" s="605"/>
      <c r="AS142" s="605"/>
      <c r="AT142" s="605"/>
      <c r="AU142" s="605"/>
      <c r="AV142" s="605"/>
      <c r="AW142" s="605"/>
      <c r="AX142" s="605"/>
      <c r="AY142" s="605"/>
      <c r="AZ142" s="605"/>
      <c r="BA142" s="605"/>
      <c r="BB142" s="605"/>
      <c r="BC142" s="605"/>
      <c r="BD142" s="605"/>
      <c r="BE142" s="605"/>
      <c r="BF142" s="605"/>
      <c r="BG142" s="605"/>
      <c r="BH142" s="605"/>
      <c r="BI142" s="605"/>
      <c r="BJ142" s="605"/>
      <c r="BK142" s="605"/>
      <c r="BL142" s="605"/>
      <c r="BM142" s="605"/>
      <c r="BN142" s="605"/>
      <c r="BO142" s="605"/>
      <c r="BP142" s="605"/>
      <c r="BQ142" s="605"/>
      <c r="BR142" s="605"/>
      <c r="BS142" s="605"/>
      <c r="BT142" s="605"/>
      <c r="BU142" s="605"/>
      <c r="BV142" s="605"/>
      <c r="BW142" s="605"/>
      <c r="BX142" s="605"/>
      <c r="BY142" s="605"/>
      <c r="BZ142" s="605"/>
      <c r="CA142" s="605"/>
      <c r="CB142" s="605"/>
      <c r="CC142" s="605"/>
      <c r="CD142" s="605"/>
      <c r="CE142" s="605"/>
      <c r="CF142" s="605"/>
      <c r="CG142" s="605"/>
      <c r="CH142" s="605"/>
      <c r="CI142" s="605"/>
      <c r="CJ142" s="605"/>
      <c r="CK142" s="605"/>
      <c r="CL142" s="605"/>
      <c r="CM142" s="605"/>
      <c r="CN142" s="605"/>
      <c r="CO142" s="605"/>
      <c r="CP142" s="605"/>
      <c r="CQ142" s="605"/>
      <c r="CR142" s="605"/>
      <c r="CS142" s="605"/>
      <c r="CT142" s="605"/>
      <c r="CU142" s="605"/>
      <c r="CV142" s="605"/>
      <c r="CW142" s="605"/>
      <c r="CX142" s="605"/>
      <c r="CY142" s="605"/>
      <c r="CZ142" s="605"/>
      <c r="DA142" s="605"/>
      <c r="DB142" s="605"/>
      <c r="DC142" s="605"/>
      <c r="DD142" s="605"/>
      <c r="DE142" s="605"/>
      <c r="DF142" s="605"/>
      <c r="DG142" s="605"/>
      <c r="DH142" s="605"/>
      <c r="DI142" s="605"/>
      <c r="DJ142" s="605"/>
      <c r="DK142" s="605"/>
    </row>
    <row r="143" spans="1:115" s="113" customFormat="1">
      <c r="A143" s="605"/>
      <c r="B143" s="51"/>
      <c r="C143" s="51" t="s">
        <v>351</v>
      </c>
      <c r="D143" s="51"/>
      <c r="E143" s="51" t="s">
        <v>367</v>
      </c>
      <c r="F143" s="97">
        <f ca="1">F$139*INDEX(EF[CH4], MATCH("V.03", EF[Vector], 0))</f>
        <v>0</v>
      </c>
      <c r="G143" s="97">
        <f ca="1">G$139*INDEX(EF[CH4], MATCH("V.03", EF[Vector], 0))</f>
        <v>0</v>
      </c>
      <c r="H143" s="97">
        <f ca="1">H$139*INDEX(EF[CH4], MATCH("V.03", EF[Vector], 0))</f>
        <v>0</v>
      </c>
      <c r="I143" s="97">
        <f ca="1">I$139*INDEX(EF[CH4], MATCH("V.03", EF[Vector], 0))</f>
        <v>0</v>
      </c>
      <c r="J143" s="97">
        <f ca="1">J$139*INDEX(EF[CH4], MATCH("V.03", EF[Vector], 0))</f>
        <v>0</v>
      </c>
      <c r="K143" s="97">
        <f ca="1">K$139*INDEX(EF[CH4], MATCH("V.03", EF[Vector], 0))</f>
        <v>0</v>
      </c>
      <c r="L143" s="97">
        <f ca="1">L$139*INDEX(EF[CH4], MATCH("V.03", EF[Vector], 0))</f>
        <v>0</v>
      </c>
      <c r="M143" s="97">
        <f ca="1">M$139*INDEX(EF[CH4], MATCH("V.03", EF[Vector], 0))</f>
        <v>0</v>
      </c>
      <c r="N143" s="97">
        <f ca="1">N$139*INDEX(EF[CH4], MATCH("V.03", EF[Vector], 0))</f>
        <v>0</v>
      </c>
      <c r="O143" s="97">
        <f ca="1">O$139*INDEX(EF[CH4], MATCH("V.03", EF[Vector], 0))</f>
        <v>0</v>
      </c>
      <c r="P143" s="51"/>
      <c r="Q143" s="605"/>
      <c r="R143" s="605"/>
      <c r="S143" s="605"/>
      <c r="T143" s="605"/>
      <c r="U143" s="605"/>
      <c r="V143" s="605"/>
      <c r="W143" s="605"/>
      <c r="X143" s="605"/>
      <c r="Y143" s="605"/>
      <c r="Z143" s="605"/>
      <c r="AA143" s="605"/>
      <c r="AB143" s="605"/>
      <c r="AC143" s="605"/>
      <c r="AD143" s="605"/>
      <c r="AE143" s="605"/>
      <c r="AF143" s="605"/>
      <c r="AG143" s="605"/>
      <c r="AH143" s="605"/>
      <c r="AI143" s="605"/>
      <c r="AJ143" s="605"/>
      <c r="AK143" s="605"/>
      <c r="AL143" s="605"/>
      <c r="AM143" s="605"/>
      <c r="AN143" s="605"/>
      <c r="AO143" s="605"/>
      <c r="AP143" s="605"/>
      <c r="AQ143" s="605"/>
      <c r="AR143" s="605"/>
      <c r="AS143" s="605"/>
      <c r="AT143" s="605"/>
      <c r="AU143" s="605"/>
      <c r="AV143" s="605"/>
      <c r="AW143" s="605"/>
      <c r="AX143" s="605"/>
      <c r="AY143" s="605"/>
      <c r="AZ143" s="605"/>
      <c r="BA143" s="605"/>
      <c r="BB143" s="605"/>
      <c r="BC143" s="605"/>
      <c r="BD143" s="605"/>
      <c r="BE143" s="605"/>
      <c r="BF143" s="605"/>
      <c r="BG143" s="605"/>
      <c r="BH143" s="605"/>
      <c r="BI143" s="605"/>
      <c r="BJ143" s="605"/>
      <c r="BK143" s="605"/>
      <c r="BL143" s="605"/>
      <c r="BM143" s="605"/>
      <c r="BN143" s="605"/>
      <c r="BO143" s="605"/>
      <c r="BP143" s="605"/>
      <c r="BQ143" s="605"/>
      <c r="BR143" s="605"/>
      <c r="BS143" s="605"/>
      <c r="BT143" s="605"/>
      <c r="BU143" s="605"/>
      <c r="BV143" s="605"/>
      <c r="BW143" s="605"/>
      <c r="BX143" s="605"/>
      <c r="BY143" s="605"/>
      <c r="BZ143" s="605"/>
      <c r="CA143" s="605"/>
      <c r="CB143" s="605"/>
      <c r="CC143" s="605"/>
      <c r="CD143" s="605"/>
      <c r="CE143" s="605"/>
      <c r="CF143" s="605"/>
      <c r="CG143" s="605"/>
      <c r="CH143" s="605"/>
      <c r="CI143" s="605"/>
      <c r="CJ143" s="605"/>
      <c r="CK143" s="605"/>
      <c r="CL143" s="605"/>
      <c r="CM143" s="605"/>
      <c r="CN143" s="605"/>
      <c r="CO143" s="605"/>
      <c r="CP143" s="605"/>
      <c r="CQ143" s="605"/>
      <c r="CR143" s="605"/>
      <c r="CS143" s="605"/>
      <c r="CT143" s="605"/>
      <c r="CU143" s="605"/>
      <c r="CV143" s="605"/>
      <c r="CW143" s="605"/>
      <c r="CX143" s="605"/>
      <c r="CY143" s="605"/>
      <c r="CZ143" s="605"/>
      <c r="DA143" s="605"/>
      <c r="DB143" s="605"/>
      <c r="DC143" s="605"/>
      <c r="DD143" s="605"/>
      <c r="DE143" s="605"/>
      <c r="DF143" s="605"/>
      <c r="DG143" s="605"/>
      <c r="DH143" s="605"/>
      <c r="DI143" s="605"/>
      <c r="DJ143" s="605"/>
      <c r="DK143" s="605"/>
    </row>
    <row r="144" spans="1:115" s="51" customFormat="1">
      <c r="A144" s="605"/>
      <c r="C144" s="51" t="s">
        <v>352</v>
      </c>
      <c r="E144" s="51" t="s">
        <v>367</v>
      </c>
      <c r="F144" s="97">
        <f ca="1">F$139*INDEX(EF[N2O], MATCH("V.03", EF[Vector], 0))</f>
        <v>0</v>
      </c>
      <c r="G144" s="97">
        <f ca="1">G$139*INDEX(EF[N2O], MATCH("V.03", EF[Vector], 0))</f>
        <v>0</v>
      </c>
      <c r="H144" s="97">
        <f ca="1">H$139*INDEX(EF[N2O], MATCH("V.03", EF[Vector], 0))</f>
        <v>0</v>
      </c>
      <c r="I144" s="97">
        <f ca="1">I$139*INDEX(EF[N2O], MATCH("V.03", EF[Vector], 0))</f>
        <v>0</v>
      </c>
      <c r="J144" s="97">
        <f ca="1">J$139*INDEX(EF[N2O], MATCH("V.03", EF[Vector], 0))</f>
        <v>0</v>
      </c>
      <c r="K144" s="97">
        <f ca="1">K$139*INDEX(EF[N2O], MATCH("V.03", EF[Vector], 0))</f>
        <v>0</v>
      </c>
      <c r="L144" s="97">
        <f ca="1">L$139*INDEX(EF[N2O], MATCH("V.03", EF[Vector], 0))</f>
        <v>0</v>
      </c>
      <c r="M144" s="97">
        <f ca="1">M$139*INDEX(EF[N2O], MATCH("V.03", EF[Vector], 0))</f>
        <v>0</v>
      </c>
      <c r="N144" s="97">
        <f ca="1">N$139*INDEX(EF[N2O], MATCH("V.03", EF[Vector], 0))</f>
        <v>0</v>
      </c>
      <c r="O144" s="97">
        <f ca="1">O$139*INDEX(EF[N2O], MATCH("V.03", EF[Vector], 0))</f>
        <v>0</v>
      </c>
      <c r="P144" s="97"/>
      <c r="Q144" s="605"/>
      <c r="R144" s="605"/>
      <c r="S144" s="605"/>
      <c r="T144" s="605"/>
      <c r="U144" s="605"/>
      <c r="V144" s="605"/>
      <c r="W144" s="605"/>
      <c r="X144" s="605"/>
      <c r="Y144" s="605"/>
      <c r="Z144" s="605"/>
      <c r="AA144" s="605"/>
      <c r="AB144" s="605"/>
      <c r="AC144" s="605"/>
      <c r="AD144" s="605"/>
      <c r="AE144" s="605"/>
      <c r="AF144" s="605"/>
      <c r="AG144" s="605"/>
      <c r="AH144" s="605"/>
      <c r="AI144" s="605"/>
      <c r="AJ144" s="605"/>
      <c r="AK144" s="605"/>
      <c r="AL144" s="605"/>
      <c r="AM144" s="605"/>
      <c r="AN144" s="605"/>
      <c r="AO144" s="605"/>
      <c r="AP144" s="605"/>
      <c r="AQ144" s="605"/>
      <c r="AR144" s="605"/>
      <c r="AS144" s="605"/>
      <c r="AT144" s="605"/>
      <c r="AU144" s="605"/>
      <c r="AV144" s="605"/>
      <c r="AW144" s="605"/>
      <c r="AX144" s="605"/>
      <c r="AY144" s="605"/>
      <c r="AZ144" s="605"/>
      <c r="BA144" s="605"/>
      <c r="BB144" s="605"/>
      <c r="BC144" s="605"/>
      <c r="BD144" s="605"/>
      <c r="BE144" s="605"/>
      <c r="BF144" s="605"/>
      <c r="BG144" s="605"/>
      <c r="BH144" s="605"/>
      <c r="BI144" s="605"/>
      <c r="BJ144" s="605"/>
      <c r="BK144" s="605"/>
      <c r="BL144" s="605"/>
      <c r="BM144" s="605"/>
      <c r="BN144" s="605"/>
      <c r="BO144" s="605"/>
      <c r="BP144" s="605"/>
      <c r="BQ144" s="605"/>
      <c r="BR144" s="605"/>
      <c r="BS144" s="605"/>
      <c r="BT144" s="605"/>
      <c r="BU144" s="605"/>
      <c r="BV144" s="605"/>
      <c r="BW144" s="605"/>
      <c r="BX144" s="605"/>
      <c r="BY144" s="605"/>
      <c r="BZ144" s="605"/>
      <c r="CA144" s="605"/>
      <c r="CB144" s="605"/>
      <c r="CC144" s="605"/>
      <c r="CD144" s="605"/>
      <c r="CE144" s="605"/>
      <c r="CF144" s="605"/>
      <c r="CG144" s="605"/>
      <c r="CH144" s="605"/>
      <c r="CI144" s="605"/>
      <c r="CJ144" s="605"/>
      <c r="CK144" s="605"/>
      <c r="CL144" s="605"/>
      <c r="CM144" s="605"/>
      <c r="CN144" s="605"/>
      <c r="CO144" s="605"/>
      <c r="CP144" s="605"/>
      <c r="CQ144" s="605"/>
      <c r="CR144" s="605"/>
      <c r="CS144" s="605"/>
      <c r="CT144" s="605"/>
      <c r="CU144" s="605"/>
      <c r="CV144" s="605"/>
      <c r="CW144" s="605"/>
      <c r="CX144" s="605"/>
      <c r="CY144" s="605"/>
      <c r="CZ144" s="605"/>
      <c r="DA144" s="605"/>
      <c r="DB144" s="605"/>
      <c r="DC144" s="605"/>
      <c r="DD144" s="605"/>
      <c r="DE144" s="605"/>
      <c r="DF144" s="605"/>
      <c r="DG144" s="605"/>
      <c r="DH144" s="605"/>
      <c r="DI144" s="605"/>
      <c r="DJ144" s="605"/>
      <c r="DK144" s="605"/>
    </row>
    <row r="145" spans="1:115" s="859" customFormat="1">
      <c r="A145" s="605"/>
      <c r="B145" s="51"/>
      <c r="C145" s="51"/>
      <c r="D145" s="51"/>
      <c r="E145" s="51"/>
      <c r="F145" s="97"/>
      <c r="G145" s="97"/>
      <c r="H145" s="97"/>
      <c r="I145" s="97"/>
      <c r="J145" s="97"/>
      <c r="K145" s="97"/>
      <c r="L145" s="97"/>
      <c r="M145" s="97"/>
      <c r="N145" s="97"/>
      <c r="O145" s="97"/>
      <c r="P145" s="51"/>
      <c r="Q145" s="605"/>
      <c r="R145" s="605"/>
      <c r="S145" s="605"/>
      <c r="T145" s="605"/>
      <c r="U145" s="605"/>
      <c r="V145" s="605"/>
      <c r="W145" s="605"/>
      <c r="X145" s="605"/>
      <c r="Y145" s="605"/>
      <c r="Z145" s="605"/>
      <c r="AA145" s="605"/>
      <c r="AB145" s="605"/>
      <c r="AC145" s="605"/>
      <c r="AD145" s="605"/>
      <c r="AE145" s="605"/>
      <c r="AF145" s="605"/>
      <c r="AG145" s="605"/>
      <c r="AH145" s="605"/>
      <c r="AI145" s="605"/>
      <c r="AJ145" s="605"/>
      <c r="AK145" s="605"/>
      <c r="AL145" s="605"/>
      <c r="AM145" s="605"/>
      <c r="AN145" s="605"/>
      <c r="AO145" s="605"/>
      <c r="AP145" s="605"/>
      <c r="AQ145" s="605"/>
      <c r="AR145" s="605"/>
      <c r="AS145" s="605"/>
      <c r="AT145" s="605"/>
      <c r="AU145" s="605"/>
      <c r="AV145" s="605"/>
      <c r="AW145" s="605"/>
      <c r="AX145" s="605"/>
      <c r="AY145" s="605"/>
      <c r="AZ145" s="605"/>
      <c r="BA145" s="605"/>
      <c r="BB145" s="605"/>
      <c r="BC145" s="605"/>
      <c r="BD145" s="605"/>
      <c r="BE145" s="605"/>
      <c r="BF145" s="605"/>
      <c r="BG145" s="605"/>
      <c r="BH145" s="605"/>
      <c r="BI145" s="605"/>
      <c r="BJ145" s="605"/>
      <c r="BK145" s="605"/>
      <c r="BL145" s="605"/>
      <c r="BM145" s="605"/>
      <c r="BN145" s="605"/>
      <c r="BO145" s="605"/>
      <c r="BP145" s="605"/>
      <c r="BQ145" s="605"/>
      <c r="BR145" s="605"/>
      <c r="BS145" s="605"/>
      <c r="BT145" s="605"/>
      <c r="BU145" s="605"/>
      <c r="BV145" s="605"/>
      <c r="BW145" s="605"/>
      <c r="BX145" s="605"/>
      <c r="BY145" s="605"/>
      <c r="BZ145" s="605"/>
      <c r="CA145" s="605"/>
      <c r="CB145" s="605"/>
      <c r="CC145" s="605"/>
      <c r="CD145" s="605"/>
      <c r="CE145" s="605"/>
      <c r="CF145" s="605"/>
      <c r="CG145" s="605"/>
      <c r="CH145" s="605"/>
      <c r="CI145" s="605"/>
      <c r="CJ145" s="605"/>
      <c r="CK145" s="605"/>
      <c r="CL145" s="605"/>
      <c r="CM145" s="605"/>
      <c r="CN145" s="605"/>
      <c r="CO145" s="605"/>
      <c r="CP145" s="605"/>
      <c r="CQ145" s="605"/>
      <c r="CR145" s="605"/>
      <c r="CS145" s="605"/>
      <c r="CT145" s="605"/>
      <c r="CU145" s="605"/>
      <c r="CV145" s="605"/>
      <c r="CW145" s="605"/>
      <c r="CX145" s="605"/>
      <c r="CY145" s="605"/>
      <c r="CZ145" s="605"/>
      <c r="DA145" s="605"/>
      <c r="DB145" s="605"/>
      <c r="DC145" s="605"/>
      <c r="DD145" s="605"/>
      <c r="DE145" s="605"/>
      <c r="DF145" s="605"/>
      <c r="DG145" s="605"/>
      <c r="DH145" s="605"/>
      <c r="DI145" s="605"/>
      <c r="DJ145" s="605"/>
      <c r="DK145" s="605"/>
    </row>
    <row r="146" spans="1:115" s="51" customFormat="1">
      <c r="A146" s="605"/>
      <c r="B146" s="605"/>
      <c r="C146" s="605"/>
      <c r="D146" s="605"/>
      <c r="E146" s="605"/>
      <c r="F146" s="605"/>
      <c r="G146" s="605"/>
      <c r="H146" s="605"/>
      <c r="I146" s="605"/>
      <c r="J146" s="605"/>
      <c r="K146" s="605"/>
      <c r="L146" s="605"/>
      <c r="M146" s="605"/>
      <c r="N146" s="605"/>
      <c r="O146" s="605"/>
      <c r="P146" s="605"/>
      <c r="Q146" s="605"/>
      <c r="R146" s="605"/>
      <c r="S146" s="605"/>
      <c r="T146" s="605"/>
      <c r="U146" s="605"/>
      <c r="V146" s="605"/>
      <c r="W146" s="605"/>
      <c r="X146" s="605"/>
      <c r="Y146" s="605"/>
      <c r="Z146" s="605"/>
      <c r="AA146" s="605"/>
      <c r="AB146" s="605"/>
      <c r="AC146" s="605"/>
      <c r="AD146" s="605"/>
      <c r="AE146" s="605"/>
      <c r="AF146" s="605"/>
      <c r="AG146" s="605"/>
      <c r="AH146" s="605"/>
      <c r="AI146" s="605"/>
      <c r="AJ146" s="605"/>
      <c r="AK146" s="605"/>
      <c r="AL146" s="605"/>
      <c r="AM146" s="605"/>
      <c r="AN146" s="605"/>
      <c r="AO146" s="605"/>
      <c r="AP146" s="605"/>
      <c r="AQ146" s="605"/>
      <c r="AR146" s="605"/>
      <c r="AS146" s="605"/>
      <c r="AT146" s="605"/>
      <c r="AU146" s="605"/>
      <c r="AV146" s="605"/>
      <c r="AW146" s="605"/>
      <c r="AX146" s="605"/>
      <c r="AY146" s="605"/>
      <c r="AZ146" s="605"/>
      <c r="BA146" s="605"/>
      <c r="BB146" s="605"/>
      <c r="BC146" s="605"/>
      <c r="BD146" s="605"/>
      <c r="BE146" s="605"/>
      <c r="BF146" s="605"/>
      <c r="BG146" s="605"/>
      <c r="BH146" s="605"/>
      <c r="BI146" s="605"/>
      <c r="BJ146" s="605"/>
      <c r="BK146" s="605"/>
      <c r="BL146" s="605"/>
      <c r="BM146" s="605"/>
      <c r="BN146" s="605"/>
      <c r="BO146" s="605"/>
      <c r="BP146" s="605"/>
      <c r="BQ146" s="605"/>
      <c r="BR146" s="605"/>
      <c r="BS146" s="605"/>
      <c r="BT146" s="605"/>
      <c r="BU146" s="605"/>
      <c r="BV146" s="605"/>
      <c r="BW146" s="605"/>
      <c r="BX146" s="605"/>
      <c r="BY146" s="605"/>
      <c r="BZ146" s="605"/>
      <c r="CA146" s="605"/>
      <c r="CB146" s="605"/>
      <c r="CC146" s="605"/>
      <c r="CD146" s="605"/>
      <c r="CE146" s="605"/>
      <c r="CF146" s="605"/>
      <c r="CG146" s="605"/>
      <c r="CH146" s="605"/>
      <c r="CI146" s="605"/>
      <c r="CJ146" s="605"/>
      <c r="CK146" s="605"/>
      <c r="CL146" s="605"/>
      <c r="CM146" s="605"/>
      <c r="CN146" s="605"/>
      <c r="CO146" s="605"/>
      <c r="CP146" s="605"/>
      <c r="CQ146" s="605"/>
      <c r="CR146" s="605"/>
      <c r="CS146" s="605"/>
      <c r="CT146" s="605"/>
      <c r="CU146" s="605"/>
      <c r="CV146" s="605"/>
      <c r="CW146" s="605"/>
      <c r="CX146" s="605"/>
      <c r="CY146" s="605"/>
      <c r="CZ146" s="605"/>
      <c r="DA146" s="605"/>
      <c r="DB146" s="605"/>
      <c r="DC146" s="605"/>
      <c r="DD146" s="605"/>
      <c r="DE146" s="605"/>
      <c r="DF146" s="605"/>
      <c r="DG146" s="605"/>
      <c r="DH146" s="605"/>
      <c r="DI146" s="605"/>
      <c r="DJ146" s="605"/>
      <c r="DK146" s="605"/>
    </row>
    <row r="147" spans="1:115" s="51" customFormat="1">
      <c r="A147" s="605"/>
      <c r="F147" s="97"/>
      <c r="G147" s="97"/>
      <c r="H147" s="97"/>
      <c r="I147" s="97"/>
      <c r="J147" s="97"/>
      <c r="K147" s="97"/>
      <c r="L147" s="97"/>
      <c r="M147" s="97"/>
      <c r="N147" s="97"/>
      <c r="O147" s="97"/>
      <c r="Q147" s="605"/>
      <c r="R147" s="605"/>
      <c r="S147" s="605"/>
      <c r="T147" s="605"/>
      <c r="U147" s="605"/>
      <c r="V147" s="605"/>
      <c r="W147" s="605"/>
      <c r="X147" s="605"/>
      <c r="Y147" s="605"/>
      <c r="Z147" s="605"/>
      <c r="AA147" s="605"/>
      <c r="AB147" s="605"/>
      <c r="AC147" s="605"/>
      <c r="AD147" s="605"/>
      <c r="AE147" s="605"/>
      <c r="AF147" s="605"/>
      <c r="AG147" s="605"/>
      <c r="AH147" s="605"/>
      <c r="AI147" s="605"/>
      <c r="AJ147" s="605"/>
      <c r="AK147" s="605"/>
      <c r="AL147" s="605"/>
      <c r="AM147" s="605"/>
      <c r="AN147" s="605"/>
      <c r="AO147" s="605"/>
      <c r="AP147" s="605"/>
      <c r="AQ147" s="605"/>
      <c r="AR147" s="605"/>
      <c r="AS147" s="605"/>
      <c r="AT147" s="605"/>
      <c r="AU147" s="605"/>
      <c r="AV147" s="605"/>
      <c r="AW147" s="605"/>
      <c r="AX147" s="605"/>
      <c r="AY147" s="605"/>
      <c r="AZ147" s="605"/>
      <c r="BA147" s="605"/>
      <c r="BB147" s="605"/>
      <c r="BC147" s="605"/>
      <c r="BD147" s="605"/>
      <c r="BE147" s="605"/>
      <c r="BF147" s="605"/>
      <c r="BG147" s="605"/>
      <c r="BH147" s="605"/>
      <c r="BI147" s="605"/>
      <c r="BJ147" s="605"/>
      <c r="BK147" s="605"/>
      <c r="BL147" s="605"/>
      <c r="BM147" s="605"/>
      <c r="BN147" s="605"/>
      <c r="BO147" s="605"/>
      <c r="BP147" s="605"/>
      <c r="BQ147" s="605"/>
      <c r="BR147" s="605"/>
      <c r="BS147" s="605"/>
      <c r="BT147" s="605"/>
      <c r="BU147" s="605"/>
      <c r="BV147" s="605"/>
      <c r="BW147" s="605"/>
      <c r="BX147" s="605"/>
      <c r="BY147" s="605"/>
      <c r="BZ147" s="605"/>
      <c r="CA147" s="605"/>
      <c r="CB147" s="605"/>
      <c r="CC147" s="605"/>
      <c r="CD147" s="605"/>
      <c r="CE147" s="605"/>
      <c r="CF147" s="605"/>
      <c r="CG147" s="605"/>
      <c r="CH147" s="605"/>
      <c r="CI147" s="605"/>
      <c r="CJ147" s="605"/>
      <c r="CK147" s="605"/>
      <c r="CL147" s="605"/>
      <c r="CM147" s="605"/>
      <c r="CN147" s="605"/>
      <c r="CO147" s="605"/>
      <c r="CP147" s="605"/>
      <c r="CQ147" s="605"/>
      <c r="CR147" s="605"/>
      <c r="CS147" s="605"/>
      <c r="CT147" s="605"/>
      <c r="CU147" s="605"/>
      <c r="CV147" s="605"/>
      <c r="CW147" s="605"/>
      <c r="CX147" s="605"/>
      <c r="CY147" s="605"/>
      <c r="CZ147" s="605"/>
      <c r="DA147" s="605"/>
      <c r="DB147" s="605"/>
      <c r="DC147" s="605"/>
      <c r="DD147" s="605"/>
      <c r="DE147" s="605"/>
      <c r="DF147" s="605"/>
      <c r="DG147" s="605"/>
      <c r="DH147" s="605"/>
      <c r="DI147" s="605"/>
      <c r="DJ147" s="605"/>
      <c r="DK147" s="605"/>
    </row>
    <row r="148" spans="1:115" s="51" customFormat="1">
      <c r="A148" s="605"/>
      <c r="B148" s="859" t="s">
        <v>504</v>
      </c>
      <c r="C148" s="2333"/>
      <c r="F148" s="2370">
        <v>2007</v>
      </c>
      <c r="G148" s="2370">
        <f>F148+5</f>
        <v>2012</v>
      </c>
      <c r="H148" s="2370">
        <f t="shared" ref="H148:O148" si="10">G148+5</f>
        <v>2017</v>
      </c>
      <c r="I148" s="2370">
        <f t="shared" si="10"/>
        <v>2022</v>
      </c>
      <c r="J148" s="2370">
        <f t="shared" si="10"/>
        <v>2027</v>
      </c>
      <c r="K148" s="2370">
        <f t="shared" si="10"/>
        <v>2032</v>
      </c>
      <c r="L148" s="2370">
        <f t="shared" si="10"/>
        <v>2037</v>
      </c>
      <c r="M148" s="2370">
        <f t="shared" si="10"/>
        <v>2042</v>
      </c>
      <c r="N148" s="2370">
        <f t="shared" si="10"/>
        <v>2047</v>
      </c>
      <c r="O148" s="2370">
        <f t="shared" si="10"/>
        <v>2052</v>
      </c>
      <c r="Q148" s="605"/>
      <c r="R148" s="605"/>
      <c r="S148" s="605"/>
      <c r="T148" s="605"/>
      <c r="U148" s="605"/>
      <c r="V148" s="605"/>
      <c r="W148" s="605"/>
      <c r="X148" s="605"/>
      <c r="Y148" s="605"/>
      <c r="Z148" s="605"/>
      <c r="AA148" s="605"/>
      <c r="AB148" s="605"/>
      <c r="AC148" s="605"/>
      <c r="AD148" s="605"/>
      <c r="AE148" s="605"/>
      <c r="AF148" s="605"/>
      <c r="AG148" s="605"/>
      <c r="AH148" s="605"/>
      <c r="AI148" s="605"/>
      <c r="AJ148" s="605"/>
      <c r="AK148" s="605"/>
      <c r="AL148" s="605"/>
      <c r="AM148" s="605"/>
      <c r="AN148" s="605"/>
      <c r="AO148" s="605"/>
      <c r="AP148" s="605"/>
      <c r="AQ148" s="605"/>
      <c r="AR148" s="605"/>
      <c r="AS148" s="605"/>
      <c r="AT148" s="605"/>
      <c r="AU148" s="605"/>
      <c r="AV148" s="605"/>
      <c r="AW148" s="605"/>
      <c r="AX148" s="605"/>
      <c r="AY148" s="605"/>
      <c r="AZ148" s="605"/>
      <c r="BA148" s="605"/>
      <c r="BB148" s="605"/>
      <c r="BC148" s="605"/>
      <c r="BD148" s="605"/>
      <c r="BE148" s="605"/>
      <c r="BF148" s="605"/>
      <c r="BG148" s="605"/>
      <c r="BH148" s="605"/>
      <c r="BI148" s="605"/>
      <c r="BJ148" s="605"/>
      <c r="BK148" s="605"/>
      <c r="BL148" s="605"/>
      <c r="BM148" s="605"/>
      <c r="BN148" s="605"/>
      <c r="BO148" s="605"/>
      <c r="BP148" s="605"/>
      <c r="BQ148" s="605"/>
      <c r="BR148" s="605"/>
      <c r="BS148" s="605"/>
      <c r="BT148" s="605"/>
      <c r="BU148" s="605"/>
      <c r="BV148" s="605"/>
      <c r="BW148" s="605"/>
      <c r="BX148" s="605"/>
      <c r="BY148" s="605"/>
      <c r="BZ148" s="605"/>
      <c r="CA148" s="605"/>
      <c r="CB148" s="605"/>
      <c r="CC148" s="605"/>
      <c r="CD148" s="605"/>
      <c r="CE148" s="605"/>
      <c r="CF148" s="605"/>
      <c r="CG148" s="605"/>
      <c r="CH148" s="605"/>
      <c r="CI148" s="605"/>
      <c r="CJ148" s="605"/>
      <c r="CK148" s="605"/>
      <c r="CL148" s="605"/>
      <c r="CM148" s="605"/>
      <c r="CN148" s="605"/>
      <c r="CO148" s="605"/>
      <c r="CP148" s="605"/>
      <c r="CQ148" s="605"/>
      <c r="CR148" s="605"/>
      <c r="CS148" s="605"/>
      <c r="CT148" s="605"/>
      <c r="CU148" s="605"/>
      <c r="CV148" s="605"/>
      <c r="CW148" s="605"/>
      <c r="CX148" s="605"/>
      <c r="CY148" s="605"/>
      <c r="CZ148" s="605"/>
      <c r="DA148" s="605"/>
      <c r="DB148" s="605"/>
      <c r="DC148" s="605"/>
      <c r="DD148" s="605"/>
      <c r="DE148" s="605"/>
      <c r="DF148" s="605"/>
      <c r="DG148" s="605"/>
      <c r="DH148" s="605"/>
      <c r="DI148" s="605"/>
      <c r="DJ148" s="605"/>
      <c r="DK148" s="605"/>
    </row>
    <row r="149" spans="1:115" s="51" customFormat="1">
      <c r="A149" s="605"/>
      <c r="C149" s="2333"/>
      <c r="F149" s="1192"/>
      <c r="G149" s="1192"/>
      <c r="H149" s="1192"/>
      <c r="I149" s="1192"/>
      <c r="J149" s="1192"/>
      <c r="K149" s="1192"/>
      <c r="L149" s="1192"/>
      <c r="M149" s="1192"/>
      <c r="N149" s="1192"/>
      <c r="O149" s="1192"/>
      <c r="Q149" s="242"/>
      <c r="R149" s="242"/>
      <c r="S149" s="242"/>
      <c r="T149" s="242"/>
      <c r="U149" s="242"/>
      <c r="V149" s="605"/>
      <c r="W149" s="605"/>
      <c r="X149" s="605"/>
      <c r="Y149" s="605"/>
      <c r="Z149" s="605"/>
      <c r="AA149" s="605"/>
      <c r="AB149" s="605"/>
      <c r="AC149" s="605"/>
      <c r="AD149" s="605"/>
      <c r="AE149" s="605"/>
      <c r="AF149" s="605"/>
      <c r="AG149" s="605"/>
      <c r="AH149" s="605"/>
      <c r="AI149" s="605"/>
      <c r="AJ149" s="605"/>
      <c r="AK149" s="605"/>
      <c r="AL149" s="605"/>
      <c r="AM149" s="605"/>
      <c r="AN149" s="605"/>
      <c r="AO149" s="605"/>
      <c r="AP149" s="605"/>
      <c r="AQ149" s="605"/>
      <c r="AR149" s="605"/>
      <c r="AS149" s="605"/>
      <c r="AT149" s="605"/>
      <c r="AU149" s="605"/>
      <c r="AV149" s="605"/>
      <c r="AW149" s="605"/>
      <c r="AX149" s="605"/>
      <c r="AY149" s="605"/>
      <c r="AZ149" s="605"/>
      <c r="BA149" s="605"/>
      <c r="BB149" s="605"/>
      <c r="BC149" s="605"/>
      <c r="BD149" s="605"/>
      <c r="BE149" s="605"/>
      <c r="BF149" s="605"/>
      <c r="BG149" s="605"/>
      <c r="BH149" s="605"/>
      <c r="BI149" s="605"/>
      <c r="BJ149" s="605"/>
      <c r="BK149" s="605"/>
      <c r="BL149" s="605"/>
      <c r="BM149" s="605"/>
      <c r="BN149" s="605"/>
      <c r="BO149" s="605"/>
      <c r="BP149" s="605"/>
      <c r="BQ149" s="605"/>
      <c r="BR149" s="605"/>
      <c r="BS149" s="605"/>
      <c r="BT149" s="605"/>
      <c r="BU149" s="605"/>
      <c r="BV149" s="605"/>
      <c r="BW149" s="605"/>
      <c r="BX149" s="605"/>
      <c r="BY149" s="605"/>
      <c r="BZ149" s="605"/>
      <c r="CA149" s="605"/>
      <c r="CB149" s="605"/>
      <c r="CC149" s="605"/>
      <c r="CD149" s="605"/>
      <c r="CE149" s="605"/>
      <c r="CF149" s="605"/>
      <c r="CG149" s="605"/>
      <c r="CH149" s="605"/>
      <c r="CI149" s="605"/>
      <c r="CJ149" s="605"/>
      <c r="CK149" s="605"/>
      <c r="CL149" s="605"/>
      <c r="CM149" s="605"/>
      <c r="CN149" s="605"/>
      <c r="CO149" s="605"/>
      <c r="CP149" s="605"/>
      <c r="CQ149" s="605"/>
      <c r="CR149" s="605"/>
      <c r="CS149" s="605"/>
      <c r="CT149" s="605"/>
      <c r="CU149" s="605"/>
      <c r="CV149" s="605"/>
      <c r="CW149" s="605"/>
      <c r="CX149" s="605"/>
      <c r="CY149" s="605"/>
      <c r="CZ149" s="605"/>
      <c r="DA149" s="605"/>
      <c r="DB149" s="605"/>
      <c r="DC149" s="605"/>
      <c r="DD149" s="605"/>
      <c r="DE149" s="605"/>
      <c r="DF149" s="605"/>
      <c r="DG149" s="605"/>
      <c r="DH149" s="605"/>
      <c r="DI149" s="605"/>
      <c r="DJ149" s="605"/>
      <c r="DK149" s="605"/>
    </row>
    <row r="150" spans="1:115" s="51" customFormat="1">
      <c r="A150" s="605"/>
      <c r="C150" s="2845" t="s">
        <v>788</v>
      </c>
      <c r="E150" s="51" t="s">
        <v>277</v>
      </c>
      <c r="F150" s="2337">
        <f t="shared" ref="F150:O150" si="11">F62</f>
        <v>0.59599999999999997</v>
      </c>
      <c r="G150" s="2337">
        <f t="shared" si="11"/>
        <v>0.6</v>
      </c>
      <c r="H150" s="2337">
        <f t="shared" si="11"/>
        <v>0.7</v>
      </c>
      <c r="I150" s="2337">
        <f t="shared" si="11"/>
        <v>0.8</v>
      </c>
      <c r="J150" s="2337">
        <f t="shared" si="11"/>
        <v>0.8</v>
      </c>
      <c r="K150" s="2337">
        <f t="shared" si="11"/>
        <v>0.8</v>
      </c>
      <c r="L150" s="2337">
        <f t="shared" si="11"/>
        <v>0.8</v>
      </c>
      <c r="M150" s="2337">
        <f t="shared" si="11"/>
        <v>0.8</v>
      </c>
      <c r="N150" s="2337">
        <f t="shared" si="11"/>
        <v>0.8</v>
      </c>
      <c r="O150" s="2337">
        <f t="shared" si="11"/>
        <v>0.8</v>
      </c>
      <c r="Q150" s="242"/>
      <c r="R150" s="242"/>
      <c r="S150" s="242"/>
      <c r="T150" s="242"/>
      <c r="U150" s="242"/>
      <c r="V150" s="605"/>
      <c r="W150" s="605"/>
      <c r="X150" s="605"/>
      <c r="Y150" s="605"/>
      <c r="Z150" s="605"/>
      <c r="AA150" s="605"/>
      <c r="AB150" s="605"/>
      <c r="AC150" s="605"/>
      <c r="AD150" s="605"/>
      <c r="AE150" s="605"/>
      <c r="AF150" s="605"/>
      <c r="AG150" s="605"/>
      <c r="AH150" s="605"/>
      <c r="AI150" s="605"/>
      <c r="AJ150" s="605"/>
      <c r="AK150" s="605"/>
      <c r="AL150" s="605"/>
      <c r="AM150" s="605"/>
      <c r="AN150" s="605"/>
      <c r="AO150" s="605"/>
      <c r="AP150" s="605"/>
      <c r="AQ150" s="605"/>
      <c r="AR150" s="605"/>
      <c r="AS150" s="605"/>
      <c r="AT150" s="605"/>
      <c r="AU150" s="605"/>
      <c r="AV150" s="605"/>
      <c r="AW150" s="605"/>
      <c r="AX150" s="605"/>
      <c r="AY150" s="605"/>
      <c r="AZ150" s="605"/>
      <c r="BA150" s="605"/>
      <c r="BB150" s="605"/>
      <c r="BC150" s="605"/>
      <c r="BD150" s="605"/>
      <c r="BE150" s="605"/>
      <c r="BF150" s="605"/>
      <c r="BG150" s="605"/>
      <c r="BH150" s="605"/>
      <c r="BI150" s="605"/>
      <c r="BJ150" s="605"/>
      <c r="BK150" s="605"/>
      <c r="BL150" s="605"/>
      <c r="BM150" s="605"/>
      <c r="BN150" s="605"/>
      <c r="BO150" s="605"/>
      <c r="BP150" s="605"/>
      <c r="BQ150" s="605"/>
      <c r="BR150" s="605"/>
      <c r="BS150" s="605"/>
      <c r="BT150" s="605"/>
      <c r="BU150" s="605"/>
      <c r="BV150" s="605"/>
      <c r="BW150" s="605"/>
      <c r="BX150" s="605"/>
      <c r="BY150" s="605"/>
      <c r="BZ150" s="605"/>
      <c r="CA150" s="605"/>
      <c r="CB150" s="605"/>
      <c r="CC150" s="605"/>
      <c r="CD150" s="605"/>
      <c r="CE150" s="605"/>
      <c r="CF150" s="605"/>
      <c r="CG150" s="605"/>
      <c r="CH150" s="605"/>
      <c r="CI150" s="605"/>
      <c r="CJ150" s="605"/>
      <c r="CK150" s="605"/>
      <c r="CL150" s="605"/>
      <c r="CM150" s="605"/>
      <c r="CN150" s="605"/>
      <c r="CO150" s="605"/>
      <c r="CP150" s="605"/>
      <c r="CQ150" s="605"/>
      <c r="CR150" s="605"/>
      <c r="CS150" s="605"/>
      <c r="CT150" s="605"/>
      <c r="CU150" s="605"/>
      <c r="CV150" s="605"/>
      <c r="CW150" s="605"/>
      <c r="CX150" s="605"/>
      <c r="CY150" s="605"/>
      <c r="CZ150" s="605"/>
      <c r="DA150" s="605"/>
      <c r="DB150" s="605"/>
      <c r="DC150" s="605"/>
      <c r="DD150" s="605"/>
      <c r="DE150" s="605"/>
      <c r="DF150" s="605"/>
      <c r="DG150" s="605"/>
      <c r="DH150" s="605"/>
      <c r="DI150" s="605"/>
      <c r="DJ150" s="605"/>
      <c r="DK150" s="605"/>
    </row>
    <row r="151" spans="1:115" s="51" customFormat="1">
      <c r="A151" s="605"/>
      <c r="C151" s="17" t="s">
        <v>1824</v>
      </c>
      <c r="D151" s="17"/>
      <c r="E151" s="17" t="str">
        <f>Preferences.PowerUnits</f>
        <v>GW</v>
      </c>
      <c r="F151" s="2337">
        <f t="shared" ref="F151:O151" ca="1" si="12">F137*Preferences.Unit.Energy/(Unit.year*Preferences.Unit.Power*F150)</f>
        <v>11.506446686594195</v>
      </c>
      <c r="G151" s="2337">
        <f t="shared" ca="1" si="12"/>
        <v>0.51077638826046257</v>
      </c>
      <c r="H151" s="2337">
        <f t="shared" ca="1" si="12"/>
        <v>4.5647297728288754</v>
      </c>
      <c r="I151" s="2337">
        <f t="shared" ca="1" si="12"/>
        <v>94.920473755987715</v>
      </c>
      <c r="J151" s="2337">
        <f t="shared" ca="1" si="12"/>
        <v>215.01691728992043</v>
      </c>
      <c r="K151" s="2337">
        <f t="shared" ca="1" si="12"/>
        <v>374.24277667545812</v>
      </c>
      <c r="L151" s="2337">
        <f t="shared" ca="1" si="12"/>
        <v>515.43857694368262</v>
      </c>
      <c r="M151" s="2337">
        <f t="shared" ca="1" si="12"/>
        <v>679.59023716585682</v>
      </c>
      <c r="N151" s="2337">
        <f t="shared" ca="1" si="12"/>
        <v>829.6508924983948</v>
      </c>
      <c r="O151" s="2337">
        <f t="shared" ca="1" si="12"/>
        <v>1024.3157925533287</v>
      </c>
      <c r="Q151" s="242"/>
      <c r="R151" s="242"/>
      <c r="S151" s="242"/>
      <c r="T151" s="242"/>
      <c r="U151" s="242"/>
      <c r="V151" s="605"/>
      <c r="W151" s="605"/>
      <c r="X151" s="605"/>
      <c r="Y151" s="605"/>
      <c r="Z151" s="605"/>
      <c r="AA151" s="605"/>
      <c r="AB151" s="605"/>
      <c r="AC151" s="605"/>
      <c r="AD151" s="605"/>
      <c r="AE151" s="605"/>
      <c r="AF151" s="605"/>
      <c r="AG151" s="605"/>
      <c r="AH151" s="605"/>
      <c r="AI151" s="605"/>
      <c r="AJ151" s="605"/>
      <c r="AK151" s="605"/>
      <c r="AL151" s="605"/>
      <c r="AM151" s="605"/>
      <c r="AN151" s="605"/>
      <c r="AO151" s="605"/>
      <c r="AP151" s="605"/>
      <c r="AQ151" s="605"/>
      <c r="AR151" s="605"/>
      <c r="AS151" s="605"/>
      <c r="AT151" s="605"/>
      <c r="AU151" s="605"/>
      <c r="AV151" s="605"/>
      <c r="AW151" s="605"/>
      <c r="AX151" s="605"/>
      <c r="AY151" s="605"/>
      <c r="AZ151" s="605"/>
      <c r="BA151" s="605"/>
      <c r="BB151" s="605"/>
      <c r="BC151" s="605"/>
      <c r="BD151" s="605"/>
      <c r="BE151" s="605"/>
      <c r="BF151" s="605"/>
      <c r="BG151" s="605"/>
      <c r="BH151" s="605"/>
      <c r="BI151" s="605"/>
      <c r="BJ151" s="605"/>
      <c r="BK151" s="605"/>
      <c r="BL151" s="605"/>
      <c r="BM151" s="605"/>
      <c r="BN151" s="605"/>
      <c r="BO151" s="605"/>
      <c r="BP151" s="605"/>
      <c r="BQ151" s="605"/>
      <c r="BR151" s="605"/>
      <c r="BS151" s="605"/>
      <c r="BT151" s="605"/>
      <c r="BU151" s="605"/>
      <c r="BV151" s="605"/>
      <c r="BW151" s="605"/>
      <c r="BX151" s="605"/>
      <c r="BY151" s="605"/>
      <c r="BZ151" s="605"/>
      <c r="CA151" s="605"/>
      <c r="CB151" s="605"/>
      <c r="CC151" s="605"/>
      <c r="CD151" s="605"/>
      <c r="CE151" s="605"/>
      <c r="CF151" s="605"/>
      <c r="CG151" s="605"/>
      <c r="CH151" s="605"/>
      <c r="CI151" s="605"/>
      <c r="CJ151" s="605"/>
      <c r="CK151" s="605"/>
      <c r="CL151" s="605"/>
      <c r="CM151" s="605"/>
      <c r="CN151" s="605"/>
      <c r="CO151" s="605"/>
      <c r="CP151" s="605"/>
      <c r="CQ151" s="605"/>
      <c r="CR151" s="605"/>
      <c r="CS151" s="605"/>
      <c r="CT151" s="605"/>
      <c r="CU151" s="605"/>
      <c r="CV151" s="605"/>
      <c r="CW151" s="605"/>
      <c r="CX151" s="605"/>
      <c r="CY151" s="605"/>
      <c r="CZ151" s="605"/>
      <c r="DA151" s="605"/>
      <c r="DB151" s="605"/>
      <c r="DC151" s="605"/>
      <c r="DD151" s="605"/>
      <c r="DE151" s="605"/>
      <c r="DF151" s="605"/>
      <c r="DG151" s="605"/>
      <c r="DH151" s="605"/>
      <c r="DI151" s="605"/>
      <c r="DJ151" s="605"/>
      <c r="DK151" s="605"/>
    </row>
    <row r="152" spans="1:115">
      <c r="B152" s="51"/>
      <c r="C152" s="17" t="s">
        <v>1827</v>
      </c>
      <c r="D152" s="17"/>
      <c r="E152" s="17" t="str">
        <f>Preferences.PowerUnits</f>
        <v>GW</v>
      </c>
      <c r="F152" s="2337"/>
      <c r="G152" s="2337">
        <f t="shared" ref="G152:N152" ca="1" si="13">$F151/$E65</f>
        <v>0.2876611671648549</v>
      </c>
      <c r="H152" s="2337">
        <f t="shared" ca="1" si="13"/>
        <v>0.2876611671648549</v>
      </c>
      <c r="I152" s="2337">
        <f t="shared" ca="1" si="13"/>
        <v>0.2876611671648549</v>
      </c>
      <c r="J152" s="2337">
        <f t="shared" ca="1" si="13"/>
        <v>0.2876611671648549</v>
      </c>
      <c r="K152" s="2337">
        <f t="shared" ca="1" si="13"/>
        <v>0.2876611671648549</v>
      </c>
      <c r="L152" s="2337">
        <f t="shared" ca="1" si="13"/>
        <v>0.2876611671648549</v>
      </c>
      <c r="M152" s="2337">
        <f t="shared" ca="1" si="13"/>
        <v>0.2876611671648549</v>
      </c>
      <c r="N152" s="2337">
        <f t="shared" ca="1" si="13"/>
        <v>0.2876611671648549</v>
      </c>
      <c r="O152" s="2337">
        <f ca="1">G153</f>
        <v>0.2876611671648549</v>
      </c>
      <c r="P152" s="51"/>
      <c r="Q152" s="242"/>
      <c r="R152" s="242"/>
      <c r="S152" s="242"/>
      <c r="T152" s="242"/>
      <c r="U152" s="242"/>
    </row>
    <row r="153" spans="1:115">
      <c r="B153" s="51"/>
      <c r="C153" s="17" t="s">
        <v>1825</v>
      </c>
      <c r="D153" s="17"/>
      <c r="E153" s="17" t="str">
        <f>Preferences.PowerUnits</f>
        <v>GW</v>
      </c>
      <c r="F153" s="2337">
        <v>0</v>
      </c>
      <c r="G153" s="2337">
        <f ca="1">MAX((G151-F151)/5,0)+G152</f>
        <v>0.2876611671648549</v>
      </c>
      <c r="H153" s="2337">
        <f ca="1">MAX((H151-G151)/5,0)+H152</f>
        <v>1.0984518440785376</v>
      </c>
      <c r="I153" s="2337">
        <f t="shared" ref="I153:N153" ca="1" si="14">MAX((I151-H151)/5,0)+I152</f>
        <v>18.358809963796624</v>
      </c>
      <c r="J153" s="2337">
        <f t="shared" ca="1" si="14"/>
        <v>24.3069498739514</v>
      </c>
      <c r="K153" s="2337">
        <f t="shared" ca="1" si="14"/>
        <v>32.132833044272395</v>
      </c>
      <c r="L153" s="2337">
        <f t="shared" ca="1" si="14"/>
        <v>28.526821220809758</v>
      </c>
      <c r="M153" s="2337">
        <f t="shared" ca="1" si="14"/>
        <v>33.117993211599696</v>
      </c>
      <c r="N153" s="2337">
        <f t="shared" ca="1" si="14"/>
        <v>30.299792233672452</v>
      </c>
      <c r="O153" s="2337">
        <f ca="1">MAX((O151-N151)/5,0)+O152</f>
        <v>39.220641178151638</v>
      </c>
      <c r="P153" s="51"/>
      <c r="Q153" s="242"/>
      <c r="R153" s="242"/>
      <c r="S153" s="242"/>
      <c r="T153" s="242"/>
      <c r="U153" s="242"/>
    </row>
    <row r="154" spans="1:115">
      <c r="B154" s="51"/>
      <c r="C154" s="113"/>
      <c r="D154" s="113"/>
      <c r="E154" s="113"/>
      <c r="F154" s="2338"/>
      <c r="G154" s="2338"/>
      <c r="H154" s="2338"/>
      <c r="I154" s="2338"/>
      <c r="J154" s="2338"/>
      <c r="K154" s="2338"/>
      <c r="L154" s="2338"/>
      <c r="M154" s="2338"/>
      <c r="N154" s="2338"/>
      <c r="O154" s="2338"/>
      <c r="P154" s="51"/>
      <c r="Q154" s="242"/>
      <c r="R154" s="242"/>
      <c r="S154" s="242"/>
      <c r="T154" s="242"/>
      <c r="U154" s="242"/>
    </row>
    <row r="155" spans="1:115">
      <c r="B155" s="423" t="s">
        <v>1725</v>
      </c>
      <c r="C155" s="423"/>
      <c r="F155" s="2370">
        <v>2007</v>
      </c>
      <c r="G155" s="2370">
        <f>F155+5</f>
        <v>2012</v>
      </c>
      <c r="H155" s="2370">
        <f t="shared" ref="H155:O155" si="15">G155+5</f>
        <v>2017</v>
      </c>
      <c r="I155" s="2370">
        <f t="shared" si="15"/>
        <v>2022</v>
      </c>
      <c r="J155" s="2370">
        <f t="shared" si="15"/>
        <v>2027</v>
      </c>
      <c r="K155" s="2370">
        <f t="shared" si="15"/>
        <v>2032</v>
      </c>
      <c r="L155" s="2370">
        <f t="shared" si="15"/>
        <v>2037</v>
      </c>
      <c r="M155" s="2370">
        <f t="shared" si="15"/>
        <v>2042</v>
      </c>
      <c r="N155" s="2370">
        <f t="shared" si="15"/>
        <v>2047</v>
      </c>
      <c r="O155" s="2370">
        <f t="shared" si="15"/>
        <v>2052</v>
      </c>
      <c r="Q155" s="242"/>
      <c r="R155" s="242"/>
      <c r="S155" s="242"/>
      <c r="T155" s="242"/>
      <c r="U155" s="242"/>
    </row>
    <row r="156" spans="1:115">
      <c r="C156" s="605" t="s">
        <v>1826</v>
      </c>
      <c r="E156" s="605" t="str">
        <f>Preferences.AreaUnits</f>
        <v>ha</v>
      </c>
      <c r="F156" s="90">
        <f ca="1">F151*$E$110</f>
        <v>1748.9798963623177</v>
      </c>
      <c r="G156" s="90">
        <f t="shared" ref="G156:O156" ca="1" si="16">G151*$E$110</f>
        <v>77.638011015590308</v>
      </c>
      <c r="H156" s="90">
        <f t="shared" ca="1" si="16"/>
        <v>693.83892546998902</v>
      </c>
      <c r="I156" s="90">
        <f t="shared" ca="1" si="16"/>
        <v>14427.912010910133</v>
      </c>
      <c r="J156" s="90">
        <f t="shared" ca="1" si="16"/>
        <v>32682.571428067906</v>
      </c>
      <c r="K156" s="90">
        <f t="shared" ca="1" si="16"/>
        <v>56884.902054669634</v>
      </c>
      <c r="L156" s="90">
        <f t="shared" ca="1" si="16"/>
        <v>78346.663695439755</v>
      </c>
      <c r="M156" s="90">
        <f t="shared" ca="1" si="16"/>
        <v>103297.71604921024</v>
      </c>
      <c r="N156" s="90">
        <f t="shared" ca="1" si="16"/>
        <v>126106.93565975601</v>
      </c>
      <c r="O156" s="90">
        <f t="shared" ca="1" si="16"/>
        <v>155696.00046810595</v>
      </c>
      <c r="Q156" s="242"/>
      <c r="R156" s="242"/>
      <c r="S156" s="242"/>
      <c r="T156" s="242"/>
      <c r="U156" s="242"/>
    </row>
    <row r="157" spans="1:115" s="51" customFormat="1" ht="13.5" customHeight="1">
      <c r="A157" s="605"/>
      <c r="B157" s="605"/>
      <c r="C157" s="605"/>
      <c r="D157" s="605"/>
      <c r="E157" s="605"/>
      <c r="F157" s="605"/>
      <c r="G157" s="365"/>
      <c r="H157" s="365"/>
      <c r="I157" s="365"/>
      <c r="J157" s="365"/>
      <c r="K157" s="365"/>
      <c r="L157" s="365"/>
      <c r="M157" s="365"/>
      <c r="N157" s="365"/>
      <c r="O157" s="365"/>
      <c r="P157" s="605"/>
      <c r="Q157" s="242"/>
      <c r="R157" s="242"/>
      <c r="S157" s="242"/>
      <c r="T157" s="242"/>
      <c r="U157" s="242"/>
      <c r="V157" s="605"/>
      <c r="W157" s="605"/>
      <c r="X157" s="605"/>
      <c r="Y157" s="605"/>
      <c r="Z157" s="605"/>
      <c r="AA157" s="605"/>
      <c r="AB157" s="605"/>
      <c r="AC157" s="605"/>
      <c r="AD157" s="605"/>
      <c r="AE157" s="605"/>
      <c r="AF157" s="605"/>
      <c r="AG157" s="605"/>
      <c r="AH157" s="605"/>
      <c r="AI157" s="605"/>
      <c r="AJ157" s="605"/>
      <c r="AK157" s="605"/>
      <c r="AL157" s="605"/>
      <c r="AM157" s="605"/>
      <c r="AN157" s="605"/>
      <c r="AO157" s="605"/>
      <c r="AP157" s="605"/>
      <c r="AQ157" s="605"/>
      <c r="AR157" s="605"/>
      <c r="AS157" s="605"/>
      <c r="AT157" s="605"/>
      <c r="AU157" s="605"/>
      <c r="AV157" s="605"/>
      <c r="AW157" s="605"/>
      <c r="AX157" s="605"/>
      <c r="AY157" s="605"/>
      <c r="AZ157" s="605"/>
      <c r="BA157" s="605"/>
      <c r="BB157" s="605"/>
      <c r="BC157" s="605"/>
      <c r="BD157" s="605"/>
      <c r="BE157" s="605"/>
      <c r="BF157" s="605"/>
      <c r="BG157" s="605"/>
      <c r="BH157" s="605"/>
      <c r="BI157" s="605"/>
      <c r="BJ157" s="605"/>
      <c r="BK157" s="605"/>
      <c r="BL157" s="605"/>
      <c r="BM157" s="605"/>
      <c r="BN157" s="605"/>
      <c r="BO157" s="605"/>
      <c r="BP157" s="605"/>
      <c r="BQ157" s="605"/>
      <c r="BR157" s="605"/>
      <c r="BS157" s="605"/>
      <c r="BT157" s="605"/>
      <c r="BU157" s="605"/>
      <c r="BV157" s="605"/>
      <c r="BW157" s="605"/>
      <c r="BX157" s="605"/>
      <c r="BY157" s="605"/>
      <c r="BZ157" s="605"/>
      <c r="CA157" s="605"/>
      <c r="CB157" s="605"/>
      <c r="CC157" s="605"/>
      <c r="CD157" s="605"/>
      <c r="CE157" s="605"/>
      <c r="CF157" s="605"/>
      <c r="CG157" s="605"/>
      <c r="CH157" s="605"/>
      <c r="CI157" s="605"/>
      <c r="CJ157" s="605"/>
      <c r="CK157" s="605"/>
      <c r="CL157" s="605"/>
      <c r="CM157" s="605"/>
      <c r="CN157" s="605"/>
      <c r="CO157" s="605"/>
      <c r="CP157" s="605"/>
      <c r="CQ157" s="605"/>
      <c r="CR157" s="605"/>
      <c r="CS157" s="605"/>
      <c r="CT157" s="605"/>
      <c r="CU157" s="605"/>
      <c r="CV157" s="605"/>
      <c r="CW157" s="605"/>
      <c r="CX157" s="605"/>
      <c r="CY157" s="605"/>
      <c r="CZ157" s="605"/>
      <c r="DA157" s="605"/>
      <c r="DB157" s="605"/>
      <c r="DC157" s="605"/>
      <c r="DD157" s="605"/>
      <c r="DE157" s="605"/>
      <c r="DF157" s="605"/>
      <c r="DG157" s="605"/>
      <c r="DH157" s="605"/>
      <c r="DI157" s="605"/>
      <c r="DJ157" s="605"/>
      <c r="DK157" s="605"/>
    </row>
    <row r="158" spans="1:115">
      <c r="C158" s="51"/>
      <c r="F158" s="311"/>
      <c r="G158" s="311"/>
      <c r="H158" s="311"/>
      <c r="I158" s="311"/>
      <c r="J158" s="311"/>
      <c r="K158" s="311"/>
      <c r="L158" s="311"/>
      <c r="M158" s="311"/>
      <c r="N158" s="311"/>
      <c r="O158" s="311"/>
      <c r="P158" s="51"/>
    </row>
    <row r="159" spans="1:115" s="51" customFormat="1">
      <c r="A159" s="605"/>
      <c r="B159" s="605"/>
      <c r="C159" s="605"/>
      <c r="D159" s="605"/>
      <c r="E159" s="605"/>
      <c r="F159" s="365"/>
      <c r="G159" s="365"/>
      <c r="H159" s="365"/>
      <c r="I159" s="365"/>
      <c r="J159" s="365"/>
      <c r="K159" s="365"/>
      <c r="L159" s="365"/>
      <c r="M159" s="365"/>
      <c r="N159" s="365"/>
      <c r="O159" s="365"/>
      <c r="P159" s="605"/>
      <c r="Q159" s="35"/>
      <c r="R159" s="35"/>
      <c r="S159" s="35"/>
      <c r="T159" s="35"/>
      <c r="U159" s="605"/>
      <c r="V159" s="605"/>
      <c r="W159" s="605"/>
      <c r="X159" s="605"/>
      <c r="Y159" s="605"/>
      <c r="Z159" s="605"/>
      <c r="AA159" s="605"/>
      <c r="AB159" s="605"/>
      <c r="AC159" s="605"/>
      <c r="AD159" s="605"/>
      <c r="AE159" s="605"/>
      <c r="AF159" s="605"/>
      <c r="AG159" s="605"/>
      <c r="AH159" s="605"/>
      <c r="AI159" s="605"/>
      <c r="AJ159" s="605"/>
      <c r="AK159" s="605"/>
      <c r="AL159" s="605"/>
      <c r="AM159" s="605"/>
      <c r="AN159" s="605"/>
      <c r="AO159" s="605"/>
      <c r="AP159" s="605"/>
      <c r="AQ159" s="605"/>
      <c r="AR159" s="605"/>
      <c r="AS159" s="605"/>
      <c r="AT159" s="605"/>
      <c r="AU159" s="605"/>
      <c r="AV159" s="605"/>
      <c r="AW159" s="605"/>
      <c r="AX159" s="605"/>
      <c r="AY159" s="605"/>
      <c r="AZ159" s="605"/>
      <c r="BA159" s="605"/>
      <c r="BB159" s="605"/>
      <c r="BC159" s="605"/>
      <c r="BD159" s="605"/>
      <c r="BE159" s="605"/>
      <c r="BF159" s="605"/>
      <c r="BG159" s="605"/>
      <c r="BH159" s="605"/>
      <c r="BI159" s="605"/>
      <c r="BJ159" s="605"/>
      <c r="BK159" s="605"/>
      <c r="BL159" s="605"/>
      <c r="BM159" s="605"/>
      <c r="BN159" s="605"/>
      <c r="BO159" s="605"/>
      <c r="BP159" s="605"/>
      <c r="BQ159" s="605"/>
      <c r="BR159" s="605"/>
      <c r="BS159" s="605"/>
      <c r="BT159" s="605"/>
      <c r="BU159" s="605"/>
      <c r="BV159" s="605"/>
      <c r="BW159" s="605"/>
      <c r="BX159" s="605"/>
      <c r="BY159" s="605"/>
      <c r="BZ159" s="605"/>
      <c r="CA159" s="605"/>
      <c r="CB159" s="605"/>
      <c r="CC159" s="605"/>
      <c r="CD159" s="605"/>
      <c r="CE159" s="605"/>
      <c r="CF159" s="605"/>
      <c r="CG159" s="605"/>
      <c r="CH159" s="605"/>
      <c r="CI159" s="605"/>
      <c r="CJ159" s="605"/>
      <c r="CK159" s="605"/>
      <c r="CL159" s="605"/>
      <c r="CM159" s="605"/>
      <c r="CN159" s="605"/>
      <c r="CO159" s="605"/>
      <c r="CP159" s="605"/>
      <c r="CQ159" s="605"/>
      <c r="CR159" s="605"/>
      <c r="CS159" s="605"/>
      <c r="CT159" s="605"/>
      <c r="CU159" s="605"/>
      <c r="CV159" s="605"/>
      <c r="CW159" s="605"/>
      <c r="CX159" s="605"/>
      <c r="CY159" s="605"/>
      <c r="CZ159" s="605"/>
      <c r="DA159" s="605"/>
      <c r="DB159" s="605"/>
      <c r="DC159" s="605"/>
      <c r="DD159" s="605"/>
      <c r="DE159" s="605"/>
      <c r="DF159" s="605"/>
      <c r="DG159" s="605"/>
      <c r="DH159" s="605"/>
      <c r="DI159" s="605"/>
      <c r="DJ159" s="605"/>
      <c r="DK159" s="605"/>
    </row>
    <row r="160" spans="1:115" s="51" customFormat="1">
      <c r="A160" s="605"/>
      <c r="B160" s="605"/>
      <c r="C160" s="605"/>
      <c r="D160" s="605"/>
      <c r="E160" s="605"/>
      <c r="F160" s="365"/>
      <c r="G160" s="365"/>
      <c r="H160" s="365"/>
      <c r="I160" s="365"/>
      <c r="J160" s="365"/>
      <c r="K160" s="365"/>
      <c r="L160" s="365"/>
      <c r="M160" s="365"/>
      <c r="N160" s="365"/>
      <c r="O160" s="365"/>
      <c r="P160" s="605"/>
      <c r="Q160" s="35"/>
      <c r="R160" s="35"/>
      <c r="S160" s="35"/>
      <c r="T160" s="35"/>
      <c r="U160" s="605"/>
      <c r="V160" s="605"/>
      <c r="W160" s="605"/>
      <c r="X160" s="605"/>
      <c r="Y160" s="605"/>
      <c r="Z160" s="605"/>
      <c r="AA160" s="605"/>
      <c r="AB160" s="605"/>
      <c r="AC160" s="605"/>
      <c r="AD160" s="605"/>
      <c r="AE160" s="605"/>
      <c r="AF160" s="605"/>
      <c r="AG160" s="605"/>
      <c r="AH160" s="605"/>
      <c r="AI160" s="605"/>
      <c r="AJ160" s="605"/>
      <c r="AK160" s="605"/>
      <c r="AL160" s="605"/>
      <c r="AM160" s="605"/>
      <c r="AN160" s="605"/>
      <c r="AO160" s="605"/>
      <c r="AP160" s="605"/>
      <c r="AQ160" s="605"/>
      <c r="AR160" s="605"/>
      <c r="AS160" s="605"/>
      <c r="AT160" s="605"/>
      <c r="AU160" s="605"/>
      <c r="AV160" s="605"/>
      <c r="AW160" s="605"/>
      <c r="AX160" s="605"/>
      <c r="AY160" s="605"/>
      <c r="AZ160" s="605"/>
      <c r="BA160" s="605"/>
      <c r="BB160" s="605"/>
      <c r="BC160" s="605"/>
      <c r="BD160" s="605"/>
      <c r="BE160" s="605"/>
      <c r="BF160" s="605"/>
      <c r="BG160" s="605"/>
      <c r="BH160" s="605"/>
      <c r="BI160" s="605"/>
      <c r="BJ160" s="605"/>
      <c r="BK160" s="605"/>
      <c r="BL160" s="605"/>
      <c r="BM160" s="605"/>
      <c r="BN160" s="605"/>
      <c r="BO160" s="605"/>
      <c r="BP160" s="605"/>
      <c r="BQ160" s="605"/>
      <c r="BR160" s="605"/>
      <c r="BS160" s="605"/>
      <c r="BT160" s="605"/>
      <c r="BU160" s="605"/>
      <c r="BV160" s="605"/>
      <c r="BW160" s="605"/>
      <c r="BX160" s="605"/>
      <c r="BY160" s="605"/>
      <c r="BZ160" s="605"/>
      <c r="CA160" s="605"/>
      <c r="CB160" s="605"/>
      <c r="CC160" s="605"/>
      <c r="CD160" s="605"/>
      <c r="CE160" s="605"/>
      <c r="CF160" s="605"/>
      <c r="CG160" s="605"/>
      <c r="CH160" s="605"/>
      <c r="CI160" s="605"/>
      <c r="CJ160" s="605"/>
      <c r="CK160" s="605"/>
      <c r="CL160" s="605"/>
      <c r="CM160" s="605"/>
      <c r="CN160" s="605"/>
      <c r="CO160" s="605"/>
      <c r="CP160" s="605"/>
      <c r="CQ160" s="605"/>
      <c r="CR160" s="605"/>
      <c r="CS160" s="605"/>
      <c r="CT160" s="605"/>
      <c r="CU160" s="605"/>
      <c r="CV160" s="605"/>
      <c r="CW160" s="605"/>
      <c r="CX160" s="605"/>
      <c r="CY160" s="605"/>
      <c r="CZ160" s="605"/>
      <c r="DA160" s="605"/>
      <c r="DB160" s="605"/>
      <c r="DC160" s="605"/>
      <c r="DD160" s="605"/>
      <c r="DE160" s="605"/>
      <c r="DF160" s="605"/>
      <c r="DG160" s="605"/>
      <c r="DH160" s="605"/>
      <c r="DI160" s="605"/>
      <c r="DJ160" s="605"/>
      <c r="DK160" s="605"/>
    </row>
    <row r="161" spans="1:115" s="51" customFormat="1">
      <c r="A161" s="605"/>
      <c r="B161" s="605"/>
      <c r="C161" s="605"/>
      <c r="D161" s="605"/>
      <c r="E161" s="605"/>
      <c r="F161" s="365"/>
      <c r="G161" s="365"/>
      <c r="H161" s="365"/>
      <c r="I161" s="365"/>
      <c r="J161" s="365"/>
      <c r="K161" s="365"/>
      <c r="L161" s="365"/>
      <c r="M161" s="365"/>
      <c r="N161" s="365"/>
      <c r="O161" s="365"/>
      <c r="P161" s="605"/>
      <c r="Q161" s="35"/>
      <c r="R161" s="35"/>
      <c r="S161" s="35"/>
      <c r="T161" s="35"/>
      <c r="U161" s="605"/>
      <c r="V161" s="605"/>
      <c r="W161" s="605"/>
      <c r="X161" s="605"/>
      <c r="Y161" s="605"/>
      <c r="Z161" s="605"/>
      <c r="AA161" s="605"/>
      <c r="AB161" s="605"/>
      <c r="AC161" s="605"/>
      <c r="AD161" s="605"/>
      <c r="AE161" s="605"/>
      <c r="AF161" s="605"/>
      <c r="AG161" s="605"/>
      <c r="AH161" s="605"/>
      <c r="AI161" s="605"/>
      <c r="AJ161" s="605"/>
      <c r="AK161" s="605"/>
      <c r="AL161" s="605"/>
      <c r="AM161" s="605"/>
      <c r="AN161" s="605"/>
      <c r="AO161" s="605"/>
      <c r="AP161" s="605"/>
      <c r="AQ161" s="605"/>
      <c r="AR161" s="605"/>
      <c r="AS161" s="605"/>
      <c r="AT161" s="605"/>
      <c r="AU161" s="605"/>
      <c r="AV161" s="605"/>
      <c r="AW161" s="605"/>
      <c r="AX161" s="605"/>
      <c r="AY161" s="605"/>
      <c r="AZ161" s="605"/>
      <c r="BA161" s="605"/>
      <c r="BB161" s="605"/>
      <c r="BC161" s="605"/>
      <c r="BD161" s="605"/>
      <c r="BE161" s="605"/>
      <c r="BF161" s="605"/>
      <c r="BG161" s="605"/>
      <c r="BH161" s="605"/>
      <c r="BI161" s="605"/>
      <c r="BJ161" s="605"/>
      <c r="BK161" s="605"/>
      <c r="BL161" s="605"/>
      <c r="BM161" s="605"/>
      <c r="BN161" s="605"/>
      <c r="BO161" s="605"/>
      <c r="BP161" s="605"/>
      <c r="BQ161" s="605"/>
      <c r="BR161" s="605"/>
      <c r="BS161" s="605"/>
      <c r="BT161" s="605"/>
      <c r="BU161" s="605"/>
      <c r="BV161" s="605"/>
      <c r="BW161" s="605"/>
      <c r="BX161" s="605"/>
      <c r="BY161" s="605"/>
      <c r="BZ161" s="605"/>
      <c r="CA161" s="605"/>
      <c r="CB161" s="605"/>
      <c r="CC161" s="605"/>
      <c r="CD161" s="605"/>
      <c r="CE161" s="605"/>
      <c r="CF161" s="605"/>
      <c r="CG161" s="605"/>
      <c r="CH161" s="605"/>
      <c r="CI161" s="605"/>
      <c r="CJ161" s="605"/>
      <c r="CK161" s="605"/>
      <c r="CL161" s="605"/>
      <c r="CM161" s="605"/>
      <c r="CN161" s="605"/>
      <c r="CO161" s="605"/>
      <c r="CP161" s="605"/>
      <c r="CQ161" s="605"/>
      <c r="CR161" s="605"/>
      <c r="CS161" s="605"/>
      <c r="CT161" s="605"/>
      <c r="CU161" s="605"/>
      <c r="CV161" s="605"/>
      <c r="CW161" s="605"/>
      <c r="CX161" s="605"/>
      <c r="CY161" s="605"/>
      <c r="CZ161" s="605"/>
      <c r="DA161" s="605"/>
      <c r="DB161" s="605"/>
      <c r="DC161" s="605"/>
      <c r="DD161" s="605"/>
      <c r="DE161" s="605"/>
      <c r="DF161" s="605"/>
      <c r="DG161" s="605"/>
      <c r="DH161" s="605"/>
      <c r="DI161" s="605"/>
      <c r="DJ161" s="605"/>
      <c r="DK161" s="605"/>
    </row>
    <row r="162" spans="1:115" s="51" customFormat="1">
      <c r="A162" s="605"/>
      <c r="Q162" s="35"/>
      <c r="R162" s="35"/>
      <c r="S162" s="35"/>
      <c r="T162" s="35"/>
      <c r="U162" s="605"/>
      <c r="V162" s="605"/>
      <c r="W162" s="605"/>
      <c r="X162" s="605"/>
      <c r="Y162" s="605"/>
      <c r="Z162" s="605"/>
      <c r="AA162" s="605"/>
      <c r="AB162" s="605"/>
      <c r="AC162" s="605"/>
      <c r="AD162" s="605"/>
      <c r="AE162" s="605"/>
      <c r="AF162" s="605"/>
      <c r="AG162" s="605"/>
      <c r="AH162" s="605"/>
      <c r="AI162" s="605"/>
      <c r="AJ162" s="605"/>
      <c r="AK162" s="605"/>
      <c r="AL162" s="605"/>
      <c r="AM162" s="605"/>
      <c r="AN162" s="605"/>
      <c r="AO162" s="605"/>
      <c r="AP162" s="605"/>
      <c r="AQ162" s="605"/>
      <c r="AR162" s="605"/>
      <c r="AS162" s="605"/>
      <c r="AT162" s="605"/>
      <c r="AU162" s="605"/>
      <c r="AV162" s="605"/>
      <c r="AW162" s="605"/>
      <c r="AX162" s="605"/>
      <c r="AY162" s="605"/>
      <c r="AZ162" s="605"/>
      <c r="BA162" s="605"/>
      <c r="BB162" s="605"/>
      <c r="BC162" s="605"/>
      <c r="BD162" s="605"/>
      <c r="BE162" s="605"/>
      <c r="BF162" s="605"/>
      <c r="BG162" s="605"/>
      <c r="BH162" s="605"/>
      <c r="BI162" s="605"/>
      <c r="BJ162" s="605"/>
      <c r="BK162" s="605"/>
      <c r="BL162" s="605"/>
      <c r="BM162" s="605"/>
      <c r="BN162" s="605"/>
      <c r="BO162" s="605"/>
      <c r="BP162" s="605"/>
      <c r="BQ162" s="605"/>
      <c r="BR162" s="605"/>
      <c r="BS162" s="605"/>
      <c r="BT162" s="605"/>
      <c r="BU162" s="605"/>
      <c r="BV162" s="605"/>
      <c r="BW162" s="605"/>
      <c r="BX162" s="605"/>
      <c r="BY162" s="605"/>
      <c r="BZ162" s="605"/>
      <c r="CA162" s="605"/>
      <c r="CB162" s="605"/>
      <c r="CC162" s="605"/>
      <c r="CD162" s="605"/>
      <c r="CE162" s="605"/>
      <c r="CF162" s="605"/>
      <c r="CG162" s="605"/>
      <c r="CH162" s="605"/>
      <c r="CI162" s="605"/>
      <c r="CJ162" s="605"/>
      <c r="CK162" s="605"/>
      <c r="CL162" s="605"/>
      <c r="CM162" s="605"/>
      <c r="CN162" s="605"/>
      <c r="CO162" s="605"/>
      <c r="CP162" s="605"/>
      <c r="CQ162" s="605"/>
      <c r="CR162" s="605"/>
      <c r="CS162" s="605"/>
      <c r="CT162" s="605"/>
      <c r="CU162" s="605"/>
      <c r="CV162" s="605"/>
      <c r="CW162" s="605"/>
      <c r="CX162" s="605"/>
      <c r="CY162" s="605"/>
      <c r="CZ162" s="605"/>
      <c r="DA162" s="605"/>
      <c r="DB162" s="605"/>
      <c r="DC162" s="605"/>
      <c r="DD162" s="605"/>
      <c r="DE162" s="605"/>
      <c r="DF162" s="605"/>
      <c r="DG162" s="605"/>
      <c r="DH162" s="605"/>
      <c r="DI162" s="605"/>
      <c r="DJ162" s="605"/>
      <c r="DK162" s="605"/>
    </row>
    <row r="163" spans="1:115" s="51" customFormat="1" ht="4.5" customHeight="1">
      <c r="A163" s="605"/>
      <c r="B163" s="605"/>
      <c r="C163" s="605"/>
      <c r="D163" s="605"/>
      <c r="E163" s="605"/>
      <c r="F163" s="605"/>
      <c r="G163" s="605"/>
      <c r="H163" s="605"/>
      <c r="I163" s="605"/>
      <c r="J163" s="605"/>
      <c r="K163" s="605"/>
      <c r="L163" s="605"/>
      <c r="M163" s="605"/>
      <c r="N163" s="605"/>
      <c r="O163" s="605"/>
      <c r="P163" s="605"/>
      <c r="Q163" s="35"/>
      <c r="R163" s="35"/>
      <c r="S163" s="35"/>
      <c r="T163" s="35"/>
      <c r="U163" s="605"/>
      <c r="V163" s="605"/>
      <c r="W163" s="605"/>
      <c r="X163" s="605"/>
      <c r="Y163" s="605"/>
      <c r="Z163" s="605"/>
      <c r="AA163" s="605"/>
      <c r="AB163" s="605"/>
      <c r="AC163" s="605"/>
      <c r="AD163" s="605"/>
      <c r="AE163" s="605"/>
      <c r="AF163" s="605"/>
      <c r="AG163" s="605"/>
      <c r="AH163" s="605"/>
      <c r="AI163" s="605"/>
      <c r="AJ163" s="605"/>
      <c r="AK163" s="605"/>
      <c r="AL163" s="605"/>
      <c r="AM163" s="605"/>
      <c r="AN163" s="605"/>
      <c r="AO163" s="605"/>
      <c r="AP163" s="605"/>
      <c r="AQ163" s="605"/>
      <c r="AR163" s="605"/>
      <c r="AS163" s="605"/>
      <c r="AT163" s="605"/>
      <c r="AU163" s="605"/>
      <c r="AV163" s="605"/>
      <c r="AW163" s="605"/>
      <c r="AX163" s="605"/>
      <c r="AY163" s="605"/>
      <c r="AZ163" s="605"/>
      <c r="BA163" s="605"/>
      <c r="BB163" s="605"/>
      <c r="BC163" s="605"/>
      <c r="BD163" s="605"/>
      <c r="BE163" s="605"/>
      <c r="BF163" s="605"/>
      <c r="BG163" s="605"/>
      <c r="BH163" s="605"/>
      <c r="BI163" s="605"/>
      <c r="BJ163" s="605"/>
      <c r="BK163" s="605"/>
      <c r="BL163" s="605"/>
      <c r="BM163" s="605"/>
      <c r="BN163" s="605"/>
      <c r="BO163" s="605"/>
      <c r="BP163" s="605"/>
      <c r="BQ163" s="605"/>
      <c r="BR163" s="605"/>
      <c r="BS163" s="605"/>
      <c r="BT163" s="605"/>
      <c r="BU163" s="605"/>
      <c r="BV163" s="605"/>
      <c r="BW163" s="605"/>
      <c r="BX163" s="605"/>
      <c r="BY163" s="605"/>
      <c r="BZ163" s="605"/>
      <c r="CA163" s="605"/>
      <c r="CB163" s="605"/>
      <c r="CC163" s="605"/>
      <c r="CD163" s="605"/>
      <c r="CE163" s="605"/>
      <c r="CF163" s="605"/>
      <c r="CG163" s="605"/>
      <c r="CH163" s="605"/>
      <c r="CI163" s="605"/>
      <c r="CJ163" s="605"/>
      <c r="CK163" s="605"/>
      <c r="CL163" s="605"/>
      <c r="CM163" s="605"/>
      <c r="CN163" s="605"/>
      <c r="CO163" s="605"/>
      <c r="CP163" s="605"/>
      <c r="CQ163" s="605"/>
      <c r="CR163" s="605"/>
      <c r="CS163" s="605"/>
      <c r="CT163" s="605"/>
      <c r="CU163" s="605"/>
      <c r="CV163" s="605"/>
      <c r="CW163" s="605"/>
      <c r="CX163" s="605"/>
      <c r="CY163" s="605"/>
      <c r="CZ163" s="605"/>
      <c r="DA163" s="605"/>
      <c r="DB163" s="605"/>
      <c r="DC163" s="605"/>
      <c r="DD163" s="605"/>
      <c r="DE163" s="605"/>
      <c r="DF163" s="605"/>
      <c r="DG163" s="605"/>
      <c r="DH163" s="605"/>
      <c r="DI163" s="605"/>
      <c r="DJ163" s="605"/>
      <c r="DK163" s="605"/>
    </row>
    <row r="164" spans="1:115" s="51" customFormat="1" ht="15.75">
      <c r="A164" s="605"/>
      <c r="B164" s="206" t="s">
        <v>202</v>
      </c>
      <c r="C164" s="175"/>
      <c r="D164" s="175"/>
      <c r="E164" s="175"/>
      <c r="F164" s="175"/>
      <c r="G164" s="175"/>
      <c r="H164" s="175"/>
      <c r="I164" s="175"/>
      <c r="J164" s="175"/>
      <c r="K164" s="175"/>
      <c r="L164" s="175"/>
      <c r="M164" s="175"/>
      <c r="N164" s="175"/>
      <c r="O164" s="175"/>
      <c r="P164" s="175"/>
      <c r="Q164" s="35"/>
      <c r="R164" s="35"/>
      <c r="S164" s="35"/>
      <c r="T164" s="35"/>
      <c r="U164" s="605"/>
      <c r="V164" s="605"/>
      <c r="W164" s="605"/>
      <c r="X164" s="605"/>
      <c r="Y164" s="605"/>
      <c r="Z164" s="605"/>
      <c r="AA164" s="605"/>
      <c r="AB164" s="605"/>
      <c r="AC164" s="605"/>
      <c r="AD164" s="605"/>
      <c r="AE164" s="605"/>
      <c r="AF164" s="605"/>
      <c r="AG164" s="605"/>
      <c r="AH164" s="605"/>
      <c r="AI164" s="605"/>
      <c r="AJ164" s="605"/>
      <c r="AK164" s="605"/>
      <c r="AL164" s="605"/>
      <c r="AM164" s="605"/>
      <c r="AN164" s="605"/>
      <c r="AO164" s="605"/>
      <c r="AP164" s="605"/>
      <c r="AQ164" s="605"/>
      <c r="AR164" s="605"/>
      <c r="AS164" s="605"/>
      <c r="AT164" s="605"/>
      <c r="AU164" s="605"/>
      <c r="AV164" s="605"/>
      <c r="AW164" s="605"/>
      <c r="AX164" s="605"/>
      <c r="AY164" s="605"/>
      <c r="AZ164" s="605"/>
      <c r="BA164" s="605"/>
      <c r="BB164" s="605"/>
      <c r="BC164" s="605"/>
      <c r="BD164" s="605"/>
      <c r="BE164" s="605"/>
      <c r="BF164" s="605"/>
      <c r="BG164" s="605"/>
      <c r="BH164" s="605"/>
      <c r="BI164" s="605"/>
      <c r="BJ164" s="605"/>
      <c r="BK164" s="605"/>
      <c r="BL164" s="605"/>
      <c r="BM164" s="605"/>
      <c r="BN164" s="605"/>
      <c r="BO164" s="605"/>
      <c r="BP164" s="605"/>
      <c r="BQ164" s="605"/>
      <c r="BR164" s="605"/>
      <c r="BS164" s="605"/>
      <c r="BT164" s="605"/>
      <c r="BU164" s="605"/>
      <c r="BV164" s="605"/>
      <c r="BW164" s="605"/>
      <c r="BX164" s="605"/>
      <c r="BY164" s="605"/>
      <c r="BZ164" s="605"/>
      <c r="CA164" s="605"/>
      <c r="CB164" s="605"/>
      <c r="CC164" s="605"/>
      <c r="CD164" s="605"/>
      <c r="CE164" s="605"/>
      <c r="CF164" s="605"/>
      <c r="CG164" s="605"/>
      <c r="CH164" s="605"/>
      <c r="CI164" s="605"/>
      <c r="CJ164" s="605"/>
      <c r="CK164" s="605"/>
      <c r="CL164" s="605"/>
      <c r="CM164" s="605"/>
      <c r="CN164" s="605"/>
      <c r="CO164" s="605"/>
      <c r="CP164" s="605"/>
      <c r="CQ164" s="605"/>
      <c r="CR164" s="605"/>
      <c r="CS164" s="605"/>
      <c r="CT164" s="605"/>
      <c r="CU164" s="605"/>
      <c r="CV164" s="605"/>
      <c r="CW164" s="605"/>
      <c r="CX164" s="605"/>
      <c r="CY164" s="605"/>
      <c r="CZ164" s="605"/>
      <c r="DA164" s="605"/>
      <c r="DB164" s="605"/>
      <c r="DC164" s="605"/>
      <c r="DD164" s="605"/>
      <c r="DE164" s="605"/>
      <c r="DF164" s="605"/>
      <c r="DG164" s="605"/>
      <c r="DH164" s="605"/>
      <c r="DI164" s="605"/>
      <c r="DJ164" s="605"/>
      <c r="DK164" s="605"/>
    </row>
    <row r="165" spans="1:115" s="51" customFormat="1">
      <c r="A165" s="605"/>
      <c r="B165" s="164"/>
      <c r="C165" s="166"/>
      <c r="D165" s="166"/>
      <c r="E165" s="166"/>
      <c r="F165" s="166"/>
      <c r="G165" s="166"/>
      <c r="H165" s="166"/>
      <c r="I165" s="166"/>
      <c r="J165" s="166"/>
      <c r="K165" s="166"/>
      <c r="L165" s="166"/>
      <c r="M165" s="166"/>
      <c r="N165" s="166"/>
      <c r="O165" s="166"/>
      <c r="P165" s="168"/>
      <c r="Q165" s="2339"/>
      <c r="R165" s="605"/>
      <c r="S165" s="605"/>
      <c r="T165" s="605"/>
      <c r="U165" s="605"/>
      <c r="V165" s="605"/>
      <c r="W165" s="605"/>
      <c r="X165" s="605"/>
      <c r="Y165" s="605"/>
      <c r="Z165" s="605"/>
      <c r="AA165" s="605"/>
      <c r="AB165" s="605"/>
      <c r="AC165" s="605"/>
      <c r="AD165" s="605"/>
      <c r="AE165" s="605"/>
      <c r="AF165" s="605"/>
      <c r="AG165" s="605"/>
      <c r="AH165" s="605"/>
      <c r="AI165" s="605"/>
      <c r="AJ165" s="605"/>
      <c r="AK165" s="605"/>
      <c r="AL165" s="605"/>
      <c r="AM165" s="605"/>
      <c r="AN165" s="605"/>
      <c r="AO165" s="605"/>
      <c r="AP165" s="605"/>
      <c r="AQ165" s="605"/>
      <c r="AR165" s="605"/>
      <c r="AS165" s="605"/>
      <c r="AT165" s="605"/>
      <c r="AU165" s="605"/>
      <c r="AV165" s="605"/>
      <c r="AW165" s="605"/>
      <c r="AX165" s="605"/>
      <c r="AY165" s="605"/>
      <c r="AZ165" s="605"/>
      <c r="BA165" s="605"/>
      <c r="BB165" s="605"/>
      <c r="BC165" s="605"/>
      <c r="BD165" s="605"/>
      <c r="BE165" s="605"/>
      <c r="BF165" s="605"/>
      <c r="BG165" s="605"/>
      <c r="BH165" s="605"/>
      <c r="BI165" s="605"/>
      <c r="BJ165" s="605"/>
      <c r="BK165" s="605"/>
      <c r="BL165" s="605"/>
      <c r="BM165" s="605"/>
      <c r="BN165" s="605"/>
      <c r="BO165" s="605"/>
      <c r="BP165" s="605"/>
      <c r="BQ165" s="605"/>
      <c r="BR165" s="605"/>
      <c r="BS165" s="605"/>
      <c r="BT165" s="605"/>
      <c r="BU165" s="605"/>
      <c r="BV165" s="605"/>
      <c r="BW165" s="605"/>
      <c r="BX165" s="605"/>
      <c r="BY165" s="605"/>
      <c r="BZ165" s="605"/>
      <c r="CA165" s="605"/>
      <c r="CB165" s="605"/>
      <c r="CC165" s="605"/>
      <c r="CD165" s="605"/>
      <c r="CE165" s="605"/>
      <c r="CF165" s="605"/>
      <c r="CG165" s="605"/>
      <c r="CH165" s="605"/>
      <c r="CI165" s="605"/>
      <c r="CJ165" s="605"/>
      <c r="CK165" s="605"/>
      <c r="CL165" s="605"/>
      <c r="CM165" s="605"/>
      <c r="CN165" s="605"/>
      <c r="CO165" s="605"/>
      <c r="CP165" s="605"/>
      <c r="CQ165" s="605"/>
      <c r="CR165" s="605"/>
      <c r="CS165" s="605"/>
      <c r="CT165" s="605"/>
      <c r="CU165" s="605"/>
      <c r="CV165" s="605"/>
      <c r="CW165" s="605"/>
      <c r="CX165" s="605"/>
      <c r="CY165" s="605"/>
      <c r="CZ165" s="605"/>
      <c r="DA165" s="605"/>
      <c r="DB165" s="605"/>
      <c r="DC165" s="605"/>
      <c r="DD165" s="605"/>
      <c r="DE165" s="605"/>
      <c r="DF165" s="605"/>
      <c r="DG165" s="605"/>
      <c r="DH165" s="605"/>
      <c r="DI165" s="605"/>
      <c r="DJ165" s="605"/>
      <c r="DK165" s="605"/>
    </row>
    <row r="166" spans="1:115" s="51" customFormat="1">
      <c r="A166" s="605"/>
      <c r="B166" s="164"/>
      <c r="C166" s="178" t="s">
        <v>239</v>
      </c>
      <c r="D166" s="166"/>
      <c r="E166" s="166"/>
      <c r="F166" s="166"/>
      <c r="G166" s="167"/>
      <c r="H166" s="166"/>
      <c r="I166" s="166"/>
      <c r="J166" s="166"/>
      <c r="K166" s="166"/>
      <c r="L166" s="166"/>
      <c r="M166" s="166"/>
      <c r="N166" s="166"/>
      <c r="O166" s="167" t="str">
        <f>preferences.energyunits</f>
        <v>TWh</v>
      </c>
      <c r="P166" s="168"/>
      <c r="Q166" s="605"/>
      <c r="R166" s="605"/>
      <c r="S166" s="605"/>
      <c r="T166" s="605"/>
      <c r="U166" s="605"/>
      <c r="V166" s="605"/>
      <c r="W166" s="605"/>
      <c r="X166" s="605"/>
      <c r="Y166" s="605"/>
      <c r="Z166" s="605"/>
      <c r="AA166" s="605"/>
      <c r="AB166" s="605"/>
      <c r="AC166" s="605"/>
      <c r="AD166" s="605"/>
      <c r="AE166" s="605"/>
      <c r="AF166" s="605"/>
      <c r="AG166" s="605"/>
      <c r="AH166" s="605"/>
      <c r="AI166" s="605"/>
      <c r="AJ166" s="605"/>
      <c r="AK166" s="605"/>
      <c r="AL166" s="605"/>
      <c r="AM166" s="605"/>
      <c r="AN166" s="605"/>
      <c r="AO166" s="605"/>
      <c r="AP166" s="605"/>
      <c r="AQ166" s="605"/>
      <c r="AR166" s="605"/>
      <c r="AS166" s="605"/>
      <c r="AT166" s="605"/>
      <c r="AU166" s="605"/>
      <c r="AV166" s="605"/>
      <c r="AW166" s="605"/>
      <c r="AX166" s="605"/>
      <c r="AY166" s="605"/>
      <c r="AZ166" s="605"/>
      <c r="BA166" s="605"/>
      <c r="BB166" s="605"/>
      <c r="BC166" s="605"/>
      <c r="BD166" s="605"/>
      <c r="BE166" s="605"/>
      <c r="BF166" s="605"/>
      <c r="BG166" s="605"/>
      <c r="BH166" s="605"/>
      <c r="BI166" s="605"/>
      <c r="BJ166" s="605"/>
      <c r="BK166" s="605"/>
      <c r="BL166" s="605"/>
      <c r="BM166" s="605"/>
      <c r="BN166" s="605"/>
      <c r="BO166" s="605"/>
      <c r="BP166" s="605"/>
      <c r="BQ166" s="605"/>
      <c r="BR166" s="605"/>
      <c r="BS166" s="605"/>
      <c r="BT166" s="605"/>
      <c r="BU166" s="605"/>
      <c r="BV166" s="605"/>
      <c r="BW166" s="605"/>
      <c r="BX166" s="605"/>
      <c r="BY166" s="605"/>
      <c r="BZ166" s="605"/>
      <c r="CA166" s="605"/>
      <c r="CB166" s="605"/>
      <c r="CC166" s="605"/>
      <c r="CD166" s="605"/>
      <c r="CE166" s="605"/>
      <c r="CF166" s="605"/>
      <c r="CG166" s="605"/>
      <c r="CH166" s="605"/>
      <c r="CI166" s="605"/>
      <c r="CJ166" s="605"/>
      <c r="CK166" s="605"/>
      <c r="CL166" s="605"/>
      <c r="CM166" s="605"/>
      <c r="CN166" s="605"/>
      <c r="CO166" s="605"/>
      <c r="CP166" s="605"/>
      <c r="CQ166" s="605"/>
      <c r="CR166" s="605"/>
      <c r="CS166" s="605"/>
      <c r="CT166" s="605"/>
      <c r="CU166" s="605"/>
      <c r="CV166" s="605"/>
      <c r="CW166" s="605"/>
      <c r="CX166" s="605"/>
      <c r="CY166" s="605"/>
      <c r="CZ166" s="605"/>
      <c r="DA166" s="605"/>
      <c r="DB166" s="605"/>
      <c r="DC166" s="605"/>
      <c r="DD166" s="605"/>
      <c r="DE166" s="605"/>
      <c r="DF166" s="605"/>
      <c r="DG166" s="605"/>
      <c r="DH166" s="605"/>
      <c r="DI166" s="605"/>
      <c r="DJ166" s="605"/>
      <c r="DK166" s="605"/>
    </row>
    <row r="167" spans="1:115" s="51" customFormat="1">
      <c r="A167" s="605"/>
      <c r="B167" s="164"/>
      <c r="C167" s="166"/>
      <c r="D167" s="166"/>
      <c r="E167" s="166"/>
      <c r="F167" s="166"/>
      <c r="G167" s="166"/>
      <c r="H167" s="166"/>
      <c r="I167" s="166"/>
      <c r="J167" s="166"/>
      <c r="K167" s="166"/>
      <c r="L167" s="166"/>
      <c r="M167" s="166"/>
      <c r="N167" s="166"/>
      <c r="O167" s="166"/>
      <c r="P167" s="168"/>
      <c r="Q167" s="605"/>
      <c r="R167" s="605"/>
      <c r="S167" s="605"/>
      <c r="T167" s="605"/>
      <c r="U167" s="605"/>
      <c r="V167" s="605"/>
      <c r="W167" s="605"/>
      <c r="X167" s="605"/>
      <c r="Y167" s="605"/>
      <c r="Z167" s="605"/>
      <c r="AA167" s="605"/>
      <c r="AB167" s="605"/>
      <c r="AC167" s="605"/>
      <c r="AD167" s="605"/>
      <c r="AE167" s="605"/>
      <c r="AF167" s="605"/>
      <c r="AG167" s="605"/>
      <c r="AH167" s="605"/>
      <c r="AI167" s="605"/>
      <c r="AJ167" s="605"/>
      <c r="AK167" s="605"/>
      <c r="AL167" s="605"/>
      <c r="AM167" s="605"/>
      <c r="AN167" s="605"/>
      <c r="AO167" s="605"/>
      <c r="AP167" s="605"/>
      <c r="AQ167" s="605"/>
      <c r="AR167" s="605"/>
      <c r="AS167" s="605"/>
      <c r="AT167" s="605"/>
      <c r="AU167" s="605"/>
      <c r="AV167" s="605"/>
      <c r="AW167" s="605"/>
      <c r="AX167" s="605"/>
      <c r="AY167" s="605"/>
      <c r="AZ167" s="605"/>
      <c r="BA167" s="605"/>
      <c r="BB167" s="605"/>
      <c r="BC167" s="605"/>
      <c r="BD167" s="605"/>
      <c r="BE167" s="605"/>
      <c r="BF167" s="605"/>
      <c r="BG167" s="605"/>
      <c r="BH167" s="605"/>
      <c r="BI167" s="605"/>
      <c r="BJ167" s="605"/>
      <c r="BK167" s="605"/>
      <c r="BL167" s="605"/>
      <c r="BM167" s="605"/>
      <c r="BN167" s="605"/>
      <c r="BO167" s="605"/>
      <c r="BP167" s="605"/>
      <c r="BQ167" s="605"/>
      <c r="BR167" s="605"/>
      <c r="BS167" s="605"/>
      <c r="BT167" s="605"/>
      <c r="BU167" s="605"/>
      <c r="BV167" s="605"/>
      <c r="BW167" s="605"/>
      <c r="BX167" s="605"/>
      <c r="BY167" s="605"/>
      <c r="BZ167" s="605"/>
      <c r="CA167" s="605"/>
      <c r="CB167" s="605"/>
      <c r="CC167" s="605"/>
      <c r="CD167" s="605"/>
      <c r="CE167" s="605"/>
      <c r="CF167" s="605"/>
      <c r="CG167" s="605"/>
      <c r="CH167" s="605"/>
      <c r="CI167" s="605"/>
      <c r="CJ167" s="605"/>
      <c r="CK167" s="605"/>
      <c r="CL167" s="605"/>
      <c r="CM167" s="605"/>
      <c r="CN167" s="605"/>
      <c r="CO167" s="605"/>
      <c r="CP167" s="605"/>
      <c r="CQ167" s="605"/>
      <c r="CR167" s="605"/>
      <c r="CS167" s="605"/>
      <c r="CT167" s="605"/>
      <c r="CU167" s="605"/>
      <c r="CV167" s="605"/>
      <c r="CW167" s="605"/>
      <c r="CX167" s="605"/>
      <c r="CY167" s="605"/>
      <c r="CZ167" s="605"/>
      <c r="DA167" s="605"/>
      <c r="DB167" s="605"/>
      <c r="DC167" s="605"/>
      <c r="DD167" s="605"/>
      <c r="DE167" s="605"/>
      <c r="DF167" s="605"/>
      <c r="DG167" s="605"/>
      <c r="DH167" s="605"/>
      <c r="DI167" s="605"/>
      <c r="DJ167" s="605"/>
      <c r="DK167" s="605"/>
    </row>
    <row r="168" spans="1:115" s="51" customFormat="1" ht="15.75">
      <c r="A168" s="605"/>
      <c r="B168" s="169"/>
      <c r="C168" s="180" t="s">
        <v>64</v>
      </c>
      <c r="D168" s="180" t="s">
        <v>137</v>
      </c>
      <c r="E168" s="180" t="s">
        <v>156</v>
      </c>
      <c r="F168" s="2370" t="s">
        <v>203</v>
      </c>
      <c r="G168" s="2370" t="s">
        <v>712</v>
      </c>
      <c r="H168" s="2370" t="s">
        <v>713</v>
      </c>
      <c r="I168" s="2370" t="s">
        <v>714</v>
      </c>
      <c r="J168" s="2370" t="s">
        <v>715</v>
      </c>
      <c r="K168" s="2370" t="s">
        <v>716</v>
      </c>
      <c r="L168" s="2370" t="s">
        <v>717</v>
      </c>
      <c r="M168" s="2370" t="s">
        <v>718</v>
      </c>
      <c r="N168" s="2370" t="s">
        <v>719</v>
      </c>
      <c r="O168" s="2370" t="s">
        <v>720</v>
      </c>
      <c r="P168" s="659" t="s">
        <v>1828</v>
      </c>
      <c r="Q168" s="605"/>
      <c r="R168" s="605"/>
      <c r="S168" s="605"/>
      <c r="T168" s="605"/>
      <c r="U168" s="605"/>
      <c r="V168" s="605"/>
      <c r="W168" s="605"/>
      <c r="X168" s="605"/>
      <c r="Y168" s="605"/>
      <c r="Z168" s="605"/>
      <c r="AA168" s="605"/>
      <c r="AB168" s="605"/>
      <c r="AC168" s="605"/>
      <c r="AD168" s="605"/>
      <c r="AE168" s="605"/>
      <c r="AF168" s="605"/>
      <c r="AG168" s="605"/>
      <c r="AH168" s="605"/>
      <c r="AI168" s="605"/>
      <c r="AJ168" s="605"/>
      <c r="AK168" s="605"/>
      <c r="AL168" s="605"/>
      <c r="AM168" s="605"/>
      <c r="AN168" s="605"/>
      <c r="AO168" s="605"/>
      <c r="AP168" s="605"/>
      <c r="AQ168" s="605"/>
      <c r="AR168" s="605"/>
      <c r="AS168" s="605"/>
      <c r="AT168" s="605"/>
      <c r="AU168" s="605"/>
      <c r="AV168" s="605"/>
      <c r="AW168" s="605"/>
      <c r="AX168" s="605"/>
      <c r="AY168" s="605"/>
      <c r="AZ168" s="605"/>
      <c r="BA168" s="605"/>
      <c r="BB168" s="605"/>
      <c r="BC168" s="605"/>
      <c r="BD168" s="605"/>
      <c r="BE168" s="605"/>
      <c r="BF168" s="605"/>
      <c r="BG168" s="605"/>
      <c r="BH168" s="605"/>
      <c r="BI168" s="605"/>
      <c r="BJ168" s="605"/>
      <c r="BK168" s="605"/>
      <c r="BL168" s="605"/>
      <c r="BM168" s="605"/>
      <c r="BN168" s="605"/>
      <c r="BO168" s="605"/>
      <c r="BP168" s="605"/>
      <c r="BQ168" s="605"/>
      <c r="BR168" s="605"/>
      <c r="BS168" s="605"/>
      <c r="BT168" s="605"/>
      <c r="BU168" s="605"/>
      <c r="BV168" s="605"/>
      <c r="BW168" s="605"/>
      <c r="BX168" s="605"/>
      <c r="BY168" s="605"/>
      <c r="BZ168" s="605"/>
      <c r="CA168" s="605"/>
      <c r="CB168" s="605"/>
      <c r="CC168" s="605"/>
      <c r="CD168" s="605"/>
      <c r="CE168" s="605"/>
      <c r="CF168" s="605"/>
      <c r="CG168" s="605"/>
      <c r="CH168" s="605"/>
      <c r="CI168" s="605"/>
      <c r="CJ168" s="605"/>
      <c r="CK168" s="605"/>
      <c r="CL168" s="605"/>
      <c r="CM168" s="605"/>
      <c r="CN168" s="605"/>
      <c r="CO168" s="605"/>
      <c r="CP168" s="605"/>
      <c r="CQ168" s="605"/>
      <c r="CR168" s="605"/>
      <c r="CS168" s="605"/>
      <c r="CT168" s="605"/>
      <c r="CU168" s="605"/>
      <c r="CV168" s="605"/>
      <c r="CW168" s="605"/>
      <c r="CX168" s="605"/>
      <c r="CY168" s="605"/>
      <c r="CZ168" s="605"/>
      <c r="DA168" s="605"/>
      <c r="DB168" s="605"/>
      <c r="DC168" s="605"/>
      <c r="DD168" s="605"/>
      <c r="DE168" s="605"/>
      <c r="DF168" s="605"/>
      <c r="DG168" s="605"/>
      <c r="DH168" s="605"/>
      <c r="DI168" s="605"/>
      <c r="DJ168" s="605"/>
      <c r="DK168" s="605"/>
    </row>
    <row r="169" spans="1:115" s="51" customFormat="1" ht="14.25">
      <c r="A169" s="605"/>
      <c r="B169" s="2340"/>
      <c r="C169" s="128" t="s">
        <v>35</v>
      </c>
      <c r="D169" s="128" t="str">
        <f>INDEX(Vectors[Description], MATCH([Vector], Vectors[Code], 0))</f>
        <v>Electricity (supplied to grid)</v>
      </c>
      <c r="E169" s="128"/>
      <c r="F169" s="129">
        <f t="shared" ref="F169:O169" ca="1" si="17">F135</f>
        <v>57.253185663040085</v>
      </c>
      <c r="G169" s="129">
        <f t="shared" ca="1" si="17"/>
        <v>2.5585518968521228</v>
      </c>
      <c r="H169" s="129">
        <f t="shared" ca="1" si="17"/>
        <v>26.676280792411944</v>
      </c>
      <c r="I169" s="129">
        <f t="shared" ca="1" si="17"/>
        <v>633.96028414856255</v>
      </c>
      <c r="J169" s="129">
        <f t="shared" ca="1" si="17"/>
        <v>1436.0672738769088</v>
      </c>
      <c r="K169" s="129">
        <f t="shared" ca="1" si="17"/>
        <v>2499.5140421615743</v>
      </c>
      <c r="L169" s="129">
        <f t="shared" ca="1" si="17"/>
        <v>3442.540621324436</v>
      </c>
      <c r="M169" s="129">
        <f t="shared" ca="1" si="17"/>
        <v>4538.886109711163</v>
      </c>
      <c r="N169" s="129">
        <f t="shared" ca="1" si="17"/>
        <v>5541.1197894407087</v>
      </c>
      <c r="O169" s="129">
        <f t="shared" ca="1" si="17"/>
        <v>6841.2588476361761</v>
      </c>
      <c r="P169" s="606"/>
      <c r="Q169" s="605"/>
      <c r="R169" s="605"/>
      <c r="S169" s="605"/>
      <c r="T169" s="605"/>
      <c r="U169" s="605"/>
      <c r="V169" s="605"/>
      <c r="W169" s="605"/>
      <c r="X169" s="605"/>
      <c r="Y169" s="605"/>
      <c r="Z169" s="605"/>
      <c r="AA169" s="605"/>
      <c r="AB169" s="605"/>
      <c r="AC169" s="605"/>
      <c r="AD169" s="605"/>
      <c r="AE169" s="605"/>
      <c r="AF169" s="605"/>
      <c r="AG169" s="605"/>
      <c r="AH169" s="605"/>
      <c r="AI169" s="605"/>
      <c r="AJ169" s="605"/>
      <c r="AK169" s="605"/>
      <c r="AL169" s="605"/>
      <c r="AM169" s="605"/>
      <c r="AN169" s="605"/>
      <c r="AO169" s="605"/>
      <c r="AP169" s="605"/>
      <c r="AQ169" s="605"/>
      <c r="AR169" s="605"/>
      <c r="AS169" s="605"/>
      <c r="AT169" s="605"/>
      <c r="AU169" s="605"/>
      <c r="AV169" s="605"/>
      <c r="AW169" s="605"/>
      <c r="AX169" s="605"/>
      <c r="AY169" s="605"/>
      <c r="AZ169" s="605"/>
      <c r="BA169" s="605"/>
      <c r="BB169" s="605"/>
      <c r="BC169" s="605"/>
      <c r="BD169" s="605"/>
      <c r="BE169" s="605"/>
      <c r="BF169" s="605"/>
      <c r="BG169" s="605"/>
      <c r="BH169" s="605"/>
      <c r="BI169" s="605"/>
      <c r="BJ169" s="605"/>
      <c r="BK169" s="605"/>
      <c r="BL169" s="605"/>
      <c r="BM169" s="605"/>
      <c r="BN169" s="605"/>
      <c r="BO169" s="605"/>
      <c r="BP169" s="605"/>
      <c r="BQ169" s="605"/>
      <c r="BR169" s="605"/>
      <c r="BS169" s="605"/>
      <c r="BT169" s="605"/>
      <c r="BU169" s="605"/>
      <c r="BV169" s="605"/>
      <c r="BW169" s="605"/>
      <c r="BX169" s="605"/>
      <c r="BY169" s="605"/>
      <c r="BZ169" s="605"/>
      <c r="CA169" s="605"/>
      <c r="CB169" s="605"/>
      <c r="CC169" s="605"/>
      <c r="CD169" s="605"/>
      <c r="CE169" s="605"/>
      <c r="CF169" s="605"/>
      <c r="CG169" s="605"/>
      <c r="CH169" s="605"/>
      <c r="CI169" s="605"/>
      <c r="CJ169" s="605"/>
      <c r="CK169" s="605"/>
      <c r="CL169" s="605"/>
      <c r="CM169" s="605"/>
      <c r="CN169" s="605"/>
      <c r="CO169" s="605"/>
      <c r="CP169" s="605"/>
      <c r="CQ169" s="605"/>
      <c r="CR169" s="605"/>
      <c r="CS169" s="605"/>
      <c r="CT169" s="605"/>
      <c r="CU169" s="605"/>
      <c r="CV169" s="605"/>
      <c r="CW169" s="605"/>
      <c r="CX169" s="605"/>
      <c r="CY169" s="605"/>
      <c r="CZ169" s="605"/>
      <c r="DA169" s="605"/>
      <c r="DB169" s="605"/>
      <c r="DC169" s="605"/>
      <c r="DD169" s="605"/>
      <c r="DE169" s="605"/>
      <c r="DF169" s="605"/>
      <c r="DG169" s="605"/>
      <c r="DH169" s="605"/>
      <c r="DI169" s="605"/>
      <c r="DJ169" s="605"/>
      <c r="DK169" s="605"/>
    </row>
    <row r="170" spans="1:115" s="51" customFormat="1" ht="14.25">
      <c r="A170" s="605"/>
      <c r="B170" s="2340"/>
      <c r="C170" s="128" t="s">
        <v>36</v>
      </c>
      <c r="D170" s="128" t="str">
        <f>INDEX(Vectors[Description], MATCH([Vector], Vectors[Code], 0))</f>
        <v>Solid hydrocarbons</v>
      </c>
      <c r="E170" s="128"/>
      <c r="F170" s="129">
        <f t="shared" ref="F170:O170" ca="1" si="18">-F139</f>
        <v>-155.74053094868418</v>
      </c>
      <c r="G170" s="129">
        <f t="shared" ca="1" si="18"/>
        <v>-6.9597914292609548</v>
      </c>
      <c r="H170" s="129">
        <f t="shared" ca="1" si="18"/>
        <v>-72.565012518219021</v>
      </c>
      <c r="I170" s="129">
        <f t="shared" ca="1" si="18"/>
        <v>-1724.5033636165563</v>
      </c>
      <c r="J170" s="129">
        <f t="shared" ca="1" si="18"/>
        <v>-3906.4006154682752</v>
      </c>
      <c r="K170" s="129">
        <f t="shared" ca="1" si="18"/>
        <v>-6799.1962286778571</v>
      </c>
      <c r="L170" s="129">
        <f t="shared" ca="1" si="18"/>
        <v>-9364.4239699239824</v>
      </c>
      <c r="M170" s="129">
        <f t="shared" ca="1" si="18"/>
        <v>-12346.710920198761</v>
      </c>
      <c r="N170" s="129">
        <f t="shared" ca="1" si="18"/>
        <v>-15072.994245887938</v>
      </c>
      <c r="O170" s="129">
        <f t="shared" ca="1" si="18"/>
        <v>-18609.641943051774</v>
      </c>
      <c r="P170" s="2371"/>
      <c r="Q170" s="605"/>
      <c r="R170" s="605"/>
      <c r="S170" s="605"/>
      <c r="T170" s="605"/>
      <c r="U170" s="605"/>
      <c r="V170" s="605"/>
      <c r="W170" s="605"/>
      <c r="X170" s="605"/>
      <c r="Y170" s="605"/>
      <c r="Z170" s="605"/>
      <c r="AA170" s="605"/>
      <c r="AB170" s="605"/>
      <c r="AC170" s="605"/>
      <c r="AD170" s="605"/>
      <c r="AE170" s="605"/>
      <c r="AF170" s="605"/>
      <c r="AG170" s="605"/>
      <c r="AH170" s="605"/>
      <c r="AI170" s="605"/>
      <c r="AJ170" s="605"/>
      <c r="AK170" s="605"/>
      <c r="AL170" s="605"/>
      <c r="AM170" s="605"/>
      <c r="AN170" s="605"/>
      <c r="AO170" s="605"/>
      <c r="AP170" s="605"/>
      <c r="AQ170" s="605"/>
      <c r="AR170" s="605"/>
      <c r="AS170" s="605"/>
      <c r="AT170" s="605"/>
      <c r="AU170" s="605"/>
      <c r="AV170" s="605"/>
      <c r="AW170" s="605"/>
      <c r="AX170" s="605"/>
      <c r="AY170" s="605"/>
      <c r="AZ170" s="605"/>
      <c r="BA170" s="605"/>
      <c r="BB170" s="605"/>
      <c r="BC170" s="605"/>
      <c r="BD170" s="605"/>
      <c r="BE170" s="605"/>
      <c r="BF170" s="605"/>
      <c r="BG170" s="605"/>
      <c r="BH170" s="605"/>
      <c r="BI170" s="605"/>
      <c r="BJ170" s="605"/>
      <c r="BK170" s="605"/>
      <c r="BL170" s="605"/>
      <c r="BM170" s="605"/>
      <c r="BN170" s="605"/>
      <c r="BO170" s="605"/>
      <c r="BP170" s="605"/>
      <c r="BQ170" s="605"/>
      <c r="BR170" s="605"/>
      <c r="BS170" s="605"/>
      <c r="BT170" s="605"/>
      <c r="BU170" s="605"/>
      <c r="BV170" s="605"/>
      <c r="BW170" s="605"/>
      <c r="BX170" s="605"/>
      <c r="BY170" s="605"/>
      <c r="BZ170" s="605"/>
      <c r="CA170" s="605"/>
      <c r="CB170" s="605"/>
      <c r="CC170" s="605"/>
      <c r="CD170" s="605"/>
      <c r="CE170" s="605"/>
      <c r="CF170" s="605"/>
      <c r="CG170" s="605"/>
      <c r="CH170" s="605"/>
      <c r="CI170" s="605"/>
      <c r="CJ170" s="605"/>
      <c r="CK170" s="605"/>
      <c r="CL170" s="605"/>
      <c r="CM170" s="605"/>
      <c r="CN170" s="605"/>
      <c r="CO170" s="605"/>
      <c r="CP170" s="605"/>
      <c r="CQ170" s="605"/>
      <c r="CR170" s="605"/>
      <c r="CS170" s="605"/>
      <c r="CT170" s="605"/>
      <c r="CU170" s="605"/>
      <c r="CV170" s="605"/>
      <c r="CW170" s="605"/>
      <c r="CX170" s="605"/>
      <c r="CY170" s="605"/>
      <c r="CZ170" s="605"/>
      <c r="DA170" s="605"/>
      <c r="DB170" s="605"/>
      <c r="DC170" s="605"/>
      <c r="DD170" s="605"/>
      <c r="DE170" s="605"/>
      <c r="DF170" s="605"/>
      <c r="DG170" s="605"/>
      <c r="DH170" s="605"/>
      <c r="DI170" s="605"/>
      <c r="DJ170" s="605"/>
      <c r="DK170" s="605"/>
    </row>
    <row r="171" spans="1:115" s="51" customFormat="1" ht="14.25">
      <c r="A171" s="605"/>
      <c r="B171" s="2340"/>
      <c r="C171" s="128" t="s">
        <v>25</v>
      </c>
      <c r="D171" s="128" t="str">
        <f>INDEX(Vectors[Description], MATCH([Vector], Vectors[Code], 0))</f>
        <v>Conversion losses</v>
      </c>
      <c r="E171" s="128"/>
      <c r="F171" s="129">
        <f t="shared" ref="F171:O171" ca="1" si="19">-(F170+F172+F169)</f>
        <v>95.624686002492098</v>
      </c>
      <c r="G171" s="129">
        <f t="shared" ca="1" si="19"/>
        <v>4.2733119375662261</v>
      </c>
      <c r="H171" s="129">
        <f t="shared" ca="1" si="19"/>
        <v>44.554917686186485</v>
      </c>
      <c r="I171" s="129">
        <f t="shared" ca="1" si="19"/>
        <v>1058.8450652605657</v>
      </c>
      <c r="J171" s="129">
        <f t="shared" ca="1" si="19"/>
        <v>2398.5299778975213</v>
      </c>
      <c r="K171" s="129">
        <f t="shared" ca="1" si="19"/>
        <v>4174.7064844082042</v>
      </c>
      <c r="L171" s="129">
        <f t="shared" ca="1" si="19"/>
        <v>5749.7563175333244</v>
      </c>
      <c r="M171" s="129">
        <f t="shared" ca="1" si="19"/>
        <v>7580.8805050020392</v>
      </c>
      <c r="N171" s="129">
        <f t="shared" ca="1" si="19"/>
        <v>9254.8184669751936</v>
      </c>
      <c r="O171" s="129">
        <f t="shared" ca="1" si="19"/>
        <v>11426.320153033788</v>
      </c>
      <c r="P171" s="129"/>
      <c r="Q171" s="605"/>
      <c r="R171" s="605"/>
      <c r="S171" s="605"/>
      <c r="T171" s="605"/>
      <c r="U171" s="605"/>
      <c r="V171" s="605"/>
      <c r="W171" s="605"/>
      <c r="X171" s="605"/>
      <c r="Y171" s="605"/>
      <c r="Z171" s="605"/>
      <c r="AA171" s="605"/>
      <c r="AB171" s="605"/>
      <c r="AC171" s="605"/>
      <c r="AD171" s="605"/>
      <c r="AE171" s="605"/>
      <c r="AF171" s="605"/>
      <c r="AG171" s="605"/>
      <c r="AH171" s="605"/>
      <c r="AI171" s="605"/>
      <c r="AJ171" s="605"/>
      <c r="AK171" s="605"/>
      <c r="AL171" s="605"/>
      <c r="AM171" s="605"/>
      <c r="AN171" s="605"/>
      <c r="AO171" s="605"/>
      <c r="AP171" s="605"/>
      <c r="AQ171" s="605"/>
      <c r="AR171" s="605"/>
      <c r="AS171" s="605"/>
      <c r="AT171" s="605"/>
      <c r="AU171" s="605"/>
      <c r="AV171" s="605"/>
      <c r="AW171" s="605"/>
      <c r="AX171" s="605"/>
      <c r="AY171" s="605"/>
      <c r="AZ171" s="605"/>
      <c r="BA171" s="605"/>
      <c r="BB171" s="605"/>
      <c r="BC171" s="605"/>
      <c r="BD171" s="605"/>
      <c r="BE171" s="605"/>
      <c r="BF171" s="605"/>
      <c r="BG171" s="605"/>
      <c r="BH171" s="605"/>
      <c r="BI171" s="605"/>
      <c r="BJ171" s="605"/>
      <c r="BK171" s="605"/>
      <c r="BL171" s="605"/>
      <c r="BM171" s="605"/>
      <c r="BN171" s="605"/>
      <c r="BO171" s="605"/>
      <c r="BP171" s="605"/>
      <c r="BQ171" s="605"/>
      <c r="BR171" s="605"/>
      <c r="BS171" s="605"/>
      <c r="BT171" s="605"/>
      <c r="BU171" s="605"/>
      <c r="BV171" s="605"/>
      <c r="BW171" s="605"/>
      <c r="BX171" s="605"/>
      <c r="BY171" s="605"/>
      <c r="BZ171" s="605"/>
      <c r="CA171" s="605"/>
      <c r="CB171" s="605"/>
      <c r="CC171" s="605"/>
      <c r="CD171" s="605"/>
      <c r="CE171" s="605"/>
      <c r="CF171" s="605"/>
      <c r="CG171" s="605"/>
      <c r="CH171" s="605"/>
      <c r="CI171" s="605"/>
      <c r="CJ171" s="605"/>
      <c r="CK171" s="605"/>
      <c r="CL171" s="605"/>
      <c r="CM171" s="605"/>
      <c r="CN171" s="605"/>
      <c r="CO171" s="605"/>
      <c r="CP171" s="605"/>
      <c r="CQ171" s="605"/>
      <c r="CR171" s="605"/>
      <c r="CS171" s="605"/>
      <c r="CT171" s="605"/>
      <c r="CU171" s="605"/>
      <c r="CV171" s="605"/>
      <c r="CW171" s="605"/>
      <c r="CX171" s="605"/>
      <c r="CY171" s="605"/>
      <c r="CZ171" s="605"/>
      <c r="DA171" s="605"/>
      <c r="DB171" s="605"/>
      <c r="DC171" s="605"/>
      <c r="DD171" s="605"/>
      <c r="DE171" s="605"/>
      <c r="DF171" s="605"/>
      <c r="DG171" s="605"/>
      <c r="DH171" s="605"/>
      <c r="DI171" s="605"/>
      <c r="DJ171" s="605"/>
      <c r="DK171" s="605"/>
    </row>
    <row r="172" spans="1:115" s="51" customFormat="1" ht="14.25">
      <c r="A172" s="605"/>
      <c r="B172" s="2340"/>
      <c r="C172" s="128" t="s">
        <v>26</v>
      </c>
      <c r="D172" s="128" t="str">
        <f>INDEX(Vectors[Description], MATCH([Vector], Vectors[Code], 0))</f>
        <v>Distribution losses and own use</v>
      </c>
      <c r="E172" s="128"/>
      <c r="F172" s="129">
        <f t="shared" ref="F172:O172" ca="1" si="20">F136</f>
        <v>2.8626592831520044</v>
      </c>
      <c r="G172" s="129">
        <f t="shared" ca="1" si="20"/>
        <v>0.12792759484260616</v>
      </c>
      <c r="H172" s="129">
        <f t="shared" ca="1" si="20"/>
        <v>1.3338140396205973</v>
      </c>
      <c r="I172" s="129">
        <f t="shared" ca="1" si="20"/>
        <v>31.69801420742813</v>
      </c>
      <c r="J172" s="129">
        <f t="shared" ca="1" si="20"/>
        <v>71.803363693845441</v>
      </c>
      <c r="K172" s="129">
        <f t="shared" ca="1" si="20"/>
        <v>124.97570210807872</v>
      </c>
      <c r="L172" s="129">
        <f t="shared" ca="1" si="20"/>
        <v>172.1270310662218</v>
      </c>
      <c r="M172" s="129">
        <f t="shared" ca="1" si="20"/>
        <v>226.94430548555817</v>
      </c>
      <c r="N172" s="129">
        <f t="shared" ca="1" si="20"/>
        <v>277.05598947203544</v>
      </c>
      <c r="O172" s="129">
        <f t="shared" ca="1" si="20"/>
        <v>342.06294238180885</v>
      </c>
      <c r="P172" s="2371"/>
      <c r="Q172" s="605"/>
      <c r="R172" s="605"/>
      <c r="S172" s="605"/>
      <c r="T172" s="605"/>
      <c r="U172" s="605"/>
      <c r="V172" s="605"/>
      <c r="W172" s="605"/>
      <c r="X172" s="605"/>
      <c r="Y172" s="605"/>
      <c r="Z172" s="605"/>
      <c r="AA172" s="605"/>
      <c r="AB172" s="605"/>
      <c r="AC172" s="605"/>
      <c r="AD172" s="605"/>
      <c r="AE172" s="605"/>
      <c r="AF172" s="605"/>
      <c r="AG172" s="605"/>
      <c r="AH172" s="605"/>
      <c r="AI172" s="605"/>
      <c r="AJ172" s="605"/>
      <c r="AK172" s="605"/>
      <c r="AL172" s="605"/>
      <c r="AM172" s="605"/>
      <c r="AN172" s="605"/>
      <c r="AO172" s="605"/>
      <c r="AP172" s="605"/>
      <c r="AQ172" s="605"/>
      <c r="AR172" s="605"/>
      <c r="AS172" s="605"/>
      <c r="AT172" s="605"/>
      <c r="AU172" s="605"/>
      <c r="AV172" s="605"/>
      <c r="AW172" s="605"/>
      <c r="AX172" s="605"/>
      <c r="AY172" s="605"/>
      <c r="AZ172" s="605"/>
      <c r="BA172" s="605"/>
      <c r="BB172" s="605"/>
      <c r="BC172" s="605"/>
      <c r="BD172" s="605"/>
      <c r="BE172" s="605"/>
      <c r="BF172" s="605"/>
      <c r="BG172" s="605"/>
      <c r="BH172" s="605"/>
      <c r="BI172" s="605"/>
      <c r="BJ172" s="605"/>
      <c r="BK172" s="605"/>
      <c r="BL172" s="605"/>
      <c r="BM172" s="605"/>
      <c r="BN172" s="605"/>
      <c r="BO172" s="605"/>
      <c r="BP172" s="605"/>
      <c r="BQ172" s="605"/>
      <c r="BR172" s="605"/>
      <c r="BS172" s="605"/>
      <c r="BT172" s="605"/>
      <c r="BU172" s="605"/>
      <c r="BV172" s="605"/>
      <c r="BW172" s="605"/>
      <c r="BX172" s="605"/>
      <c r="BY172" s="605"/>
      <c r="BZ172" s="605"/>
      <c r="CA172" s="605"/>
      <c r="CB172" s="605"/>
      <c r="CC172" s="605"/>
      <c r="CD172" s="605"/>
      <c r="CE172" s="605"/>
      <c r="CF172" s="605"/>
      <c r="CG172" s="605"/>
      <c r="CH172" s="605"/>
      <c r="CI172" s="605"/>
      <c r="CJ172" s="605"/>
      <c r="CK172" s="605"/>
      <c r="CL172" s="605"/>
      <c r="CM172" s="605"/>
      <c r="CN172" s="605"/>
      <c r="CO172" s="605"/>
      <c r="CP172" s="605"/>
      <c r="CQ172" s="605"/>
      <c r="CR172" s="605"/>
      <c r="CS172" s="605"/>
      <c r="CT172" s="605"/>
      <c r="CU172" s="605"/>
      <c r="CV172" s="605"/>
      <c r="CW172" s="605"/>
      <c r="CX172" s="605"/>
      <c r="CY172" s="605"/>
      <c r="CZ172" s="605"/>
      <c r="DA172" s="605"/>
      <c r="DB172" s="605"/>
      <c r="DC172" s="605"/>
      <c r="DD172" s="605"/>
      <c r="DE172" s="605"/>
      <c r="DF172" s="605"/>
      <c r="DG172" s="605"/>
      <c r="DH172" s="605"/>
      <c r="DI172" s="605"/>
      <c r="DJ172" s="605"/>
      <c r="DK172" s="605"/>
    </row>
    <row r="173" spans="1:115" ht="14.25">
      <c r="B173" s="2340"/>
      <c r="C173" s="128" t="s">
        <v>1820</v>
      </c>
      <c r="D173" s="128" t="str">
        <f>INDEX(Vectors[Description], MATCH([Vector], Vectors[Code], 0))</f>
        <v>Savings Potential of Energy</v>
      </c>
      <c r="E173" s="128"/>
      <c r="F173" s="129">
        <f t="shared" ref="F173:O173" si="21">F134</f>
        <v>0</v>
      </c>
      <c r="G173" s="129">
        <f t="shared" si="21"/>
        <v>0</v>
      </c>
      <c r="H173" s="129">
        <f t="shared" si="21"/>
        <v>0</v>
      </c>
      <c r="I173" s="129">
        <f t="shared" si="21"/>
        <v>0</v>
      </c>
      <c r="J173" s="129">
        <f t="shared" si="21"/>
        <v>0</v>
      </c>
      <c r="K173" s="129">
        <f t="shared" si="21"/>
        <v>0</v>
      </c>
      <c r="L173" s="129">
        <f t="shared" si="21"/>
        <v>0</v>
      </c>
      <c r="M173" s="129">
        <f t="shared" si="21"/>
        <v>0</v>
      </c>
      <c r="N173" s="129">
        <f t="shared" si="21"/>
        <v>0</v>
      </c>
      <c r="O173" s="129">
        <f t="shared" si="21"/>
        <v>0</v>
      </c>
      <c r="P173" s="2371"/>
    </row>
    <row r="174" spans="1:115" ht="14.25">
      <c r="B174" s="2340"/>
      <c r="C174" s="128" t="s">
        <v>35</v>
      </c>
      <c r="D174" s="128" t="str">
        <f>INDEX(Vectors[Description], MATCH([Vector], Vectors[Code], 0))</f>
        <v>Electricity (supplied to grid)</v>
      </c>
      <c r="E174" s="128"/>
      <c r="F174" s="129">
        <f t="shared" ref="F174:O174" si="22">-F134</f>
        <v>0</v>
      </c>
      <c r="G174" s="129">
        <f t="shared" si="22"/>
        <v>0</v>
      </c>
      <c r="H174" s="129">
        <f t="shared" si="22"/>
        <v>0</v>
      </c>
      <c r="I174" s="129">
        <f t="shared" si="22"/>
        <v>0</v>
      </c>
      <c r="J174" s="129">
        <f t="shared" si="22"/>
        <v>0</v>
      </c>
      <c r="K174" s="129">
        <f t="shared" si="22"/>
        <v>0</v>
      </c>
      <c r="L174" s="129">
        <f t="shared" si="22"/>
        <v>0</v>
      </c>
      <c r="M174" s="129">
        <f t="shared" si="22"/>
        <v>0</v>
      </c>
      <c r="N174" s="129">
        <f t="shared" si="22"/>
        <v>0</v>
      </c>
      <c r="O174" s="129">
        <f t="shared" si="22"/>
        <v>0</v>
      </c>
      <c r="P174" s="2372"/>
    </row>
    <row r="175" spans="1:115" ht="15.75" customHeight="1">
      <c r="B175" s="2340"/>
      <c r="C175" s="60" t="s">
        <v>103</v>
      </c>
      <c r="D175" s="60"/>
      <c r="E175" s="60"/>
      <c r="F175" s="2312">
        <f ca="1">SUBTOTAL(109,[2007])</f>
        <v>5.773159728050814E-15</v>
      </c>
      <c r="G175" s="2312">
        <f ca="1">SUBTOTAL(109,[2012])</f>
        <v>1.9428902930940239E-16</v>
      </c>
      <c r="H175" s="2312">
        <f ca="1">SUBTOTAL(109,[2017])</f>
        <v>5.773159728050814E-15</v>
      </c>
      <c r="I175" s="2312">
        <f ca="1">SUBTOTAL(109,[2022])</f>
        <v>7.1054273576010019E-14</v>
      </c>
      <c r="J175" s="2312">
        <f ca="1">SUBTOTAL(109,[2027])</f>
        <v>1.2789769243681803E-13</v>
      </c>
      <c r="K175" s="2312">
        <f ca="1">SUBTOTAL(109,[2032])</f>
        <v>9.9475983006414026E-14</v>
      </c>
      <c r="L175" s="2312">
        <f ca="1">SUBTOTAL(109,[2037])</f>
        <v>-3.1263880373444408E-13</v>
      </c>
      <c r="M175" s="2312">
        <f ca="1">SUBTOTAL(109,[2042])</f>
        <v>-1.1368683772161603E-13</v>
      </c>
      <c r="N175" s="2312">
        <f ca="1">SUBTOTAL(109,[2047])</f>
        <v>0</v>
      </c>
      <c r="O175" s="2312">
        <f ca="1">SUBTOTAL(109,[2052])</f>
        <v>-1.1368683772161603E-12</v>
      </c>
      <c r="P175" s="2392"/>
    </row>
    <row r="176" spans="1:115" ht="14.25">
      <c r="B176" s="2341"/>
      <c r="C176" s="172"/>
      <c r="D176" s="172"/>
      <c r="E176" s="172"/>
      <c r="F176" s="172"/>
      <c r="G176" s="172"/>
      <c r="H176" s="172"/>
      <c r="I176" s="172"/>
      <c r="J176" s="172"/>
      <c r="K176" s="172"/>
      <c r="L176" s="172"/>
      <c r="M176" s="172"/>
      <c r="N176" s="172"/>
      <c r="O176" s="172"/>
      <c r="P176" s="2342">
        <v>0</v>
      </c>
    </row>
    <row r="177" spans="2:16" ht="4.5" customHeight="1"/>
    <row r="178" spans="2:16" ht="15" customHeight="1">
      <c r="B178" s="216" t="s">
        <v>281</v>
      </c>
      <c r="C178" s="183"/>
      <c r="D178" s="184"/>
      <c r="E178" s="184"/>
      <c r="F178" s="184"/>
      <c r="G178" s="184"/>
      <c r="H178" s="184"/>
      <c r="I178" s="184"/>
      <c r="J178" s="184"/>
      <c r="K178" s="184"/>
      <c r="L178" s="184"/>
      <c r="M178" s="184"/>
      <c r="N178" s="184"/>
      <c r="O178" s="184"/>
      <c r="P178" s="185"/>
    </row>
    <row r="179" spans="2:16" ht="15" customHeight="1">
      <c r="B179" s="190"/>
      <c r="C179" s="191"/>
      <c r="D179" s="191"/>
      <c r="E179" s="191"/>
      <c r="F179" s="191"/>
      <c r="G179" s="191"/>
      <c r="H179" s="191"/>
      <c r="I179" s="191"/>
      <c r="J179" s="191"/>
      <c r="K179" s="191"/>
      <c r="L179" s="191"/>
      <c r="M179" s="191"/>
      <c r="N179" s="191"/>
      <c r="O179" s="191"/>
      <c r="P179" s="192"/>
    </row>
    <row r="180" spans="2:16" ht="15" customHeight="1">
      <c r="B180" s="193"/>
      <c r="C180" s="186" t="s">
        <v>1815</v>
      </c>
      <c r="D180" s="187"/>
      <c r="E180" s="188"/>
      <c r="F180" s="187"/>
      <c r="G180" s="188"/>
      <c r="H180" s="187"/>
      <c r="I180" s="187"/>
      <c r="J180" s="187"/>
      <c r="K180" s="187"/>
      <c r="L180" s="187"/>
      <c r="M180" s="187"/>
      <c r="N180" s="187"/>
      <c r="O180" s="1625" t="s">
        <v>1816</v>
      </c>
      <c r="P180" s="194"/>
    </row>
    <row r="181" spans="2:16" ht="15" customHeight="1">
      <c r="B181" s="193"/>
      <c r="C181" s="187"/>
      <c r="D181" s="187"/>
      <c r="E181" s="187"/>
      <c r="F181" s="187"/>
      <c r="G181" s="187"/>
      <c r="H181" s="187"/>
      <c r="I181" s="187"/>
      <c r="J181" s="187"/>
      <c r="K181" s="187"/>
      <c r="L181" s="187"/>
      <c r="M181" s="187"/>
      <c r="N181" s="187"/>
      <c r="O181" s="187"/>
      <c r="P181" s="194"/>
    </row>
    <row r="182" spans="2:16" ht="15" customHeight="1">
      <c r="B182" s="195"/>
      <c r="C182" s="221" t="s">
        <v>365</v>
      </c>
      <c r="D182" s="221" t="s">
        <v>337</v>
      </c>
      <c r="E182" s="221" t="s">
        <v>156</v>
      </c>
      <c r="F182" s="2370" t="s">
        <v>203</v>
      </c>
      <c r="G182" s="2370" t="s">
        <v>712</v>
      </c>
      <c r="H182" s="2370" t="s">
        <v>713</v>
      </c>
      <c r="I182" s="2370" t="s">
        <v>714</v>
      </c>
      <c r="J182" s="2370" t="s">
        <v>715</v>
      </c>
      <c r="K182" s="2370" t="s">
        <v>716</v>
      </c>
      <c r="L182" s="2370" t="s">
        <v>717</v>
      </c>
      <c r="M182" s="2370" t="s">
        <v>718</v>
      </c>
      <c r="N182" s="2370" t="s">
        <v>719</v>
      </c>
      <c r="O182" s="2370" t="s">
        <v>720</v>
      </c>
    </row>
    <row r="183" spans="2:16" ht="15" customHeight="1">
      <c r="B183" s="195"/>
      <c r="C183" s="189" t="s">
        <v>350</v>
      </c>
      <c r="D183" s="196" t="s">
        <v>359</v>
      </c>
      <c r="E183" s="189"/>
      <c r="F183" s="1413">
        <f t="shared" ref="F183:O183" ca="1" si="23">F142</f>
        <v>54.05703590347877</v>
      </c>
      <c r="G183" s="1413">
        <f t="shared" ca="1" si="23"/>
        <v>2.4157211541563832</v>
      </c>
      <c r="H183" s="1413">
        <f t="shared" ca="1" si="23"/>
        <v>25.187081764388282</v>
      </c>
      <c r="I183" s="1413">
        <f t="shared" ca="1" si="23"/>
        <v>598.56955459723054</v>
      </c>
      <c r="J183" s="1413">
        <f t="shared" ca="1" si="23"/>
        <v>1355.8990523367304</v>
      </c>
      <c r="K183" s="1413">
        <f t="shared" ca="1" si="23"/>
        <v>2359.979078083024</v>
      </c>
      <c r="L183" s="1413">
        <f t="shared" ca="1" si="23"/>
        <v>3250.3613521413567</v>
      </c>
      <c r="M183" s="1413">
        <f t="shared" ca="1" si="23"/>
        <v>4285.5035323012471</v>
      </c>
      <c r="N183" s="1413">
        <f t="shared" ca="1" si="23"/>
        <v>5231.78768018562</v>
      </c>
      <c r="O183" s="1413">
        <f t="shared" ca="1" si="23"/>
        <v>6459.3466873302286</v>
      </c>
      <c r="P183" s="194"/>
    </row>
    <row r="184" spans="2:16" ht="15" customHeight="1">
      <c r="B184" s="195"/>
      <c r="C184" s="189" t="s">
        <v>351</v>
      </c>
      <c r="D184" s="196" t="s">
        <v>359</v>
      </c>
      <c r="E184" s="189"/>
      <c r="F184" s="1413">
        <f t="shared" ref="F184:O184" ca="1" si="24">F143</f>
        <v>0</v>
      </c>
      <c r="G184" s="1413">
        <f t="shared" ca="1" si="24"/>
        <v>0</v>
      </c>
      <c r="H184" s="1413">
        <f t="shared" ca="1" si="24"/>
        <v>0</v>
      </c>
      <c r="I184" s="1413">
        <f t="shared" ca="1" si="24"/>
        <v>0</v>
      </c>
      <c r="J184" s="1413">
        <f t="shared" ca="1" si="24"/>
        <v>0</v>
      </c>
      <c r="K184" s="1413">
        <f t="shared" ca="1" si="24"/>
        <v>0</v>
      </c>
      <c r="L184" s="1413">
        <f t="shared" ca="1" si="24"/>
        <v>0</v>
      </c>
      <c r="M184" s="1413">
        <f t="shared" ca="1" si="24"/>
        <v>0</v>
      </c>
      <c r="N184" s="1413">
        <f t="shared" ca="1" si="24"/>
        <v>0</v>
      </c>
      <c r="O184" s="1413">
        <f t="shared" ca="1" si="24"/>
        <v>0</v>
      </c>
      <c r="P184" s="194"/>
    </row>
    <row r="185" spans="2:16" ht="15.75">
      <c r="B185" s="195"/>
      <c r="C185" s="189" t="s">
        <v>352</v>
      </c>
      <c r="D185" s="196" t="s">
        <v>359</v>
      </c>
      <c r="E185" s="189"/>
      <c r="F185" s="1413">
        <f t="shared" ref="F185:O185" ca="1" si="25">F144</f>
        <v>0</v>
      </c>
      <c r="G185" s="1413">
        <f t="shared" ca="1" si="25"/>
        <v>0</v>
      </c>
      <c r="H185" s="1413">
        <f t="shared" ca="1" si="25"/>
        <v>0</v>
      </c>
      <c r="I185" s="1413">
        <f t="shared" ca="1" si="25"/>
        <v>0</v>
      </c>
      <c r="J185" s="1413">
        <f t="shared" ca="1" si="25"/>
        <v>0</v>
      </c>
      <c r="K185" s="1413">
        <f t="shared" ca="1" si="25"/>
        <v>0</v>
      </c>
      <c r="L185" s="1413">
        <f t="shared" ca="1" si="25"/>
        <v>0</v>
      </c>
      <c r="M185" s="1413">
        <f t="shared" ca="1" si="25"/>
        <v>0</v>
      </c>
      <c r="N185" s="1413">
        <f t="shared" ca="1" si="25"/>
        <v>0</v>
      </c>
      <c r="O185" s="1413">
        <f t="shared" ca="1" si="25"/>
        <v>0</v>
      </c>
      <c r="P185" s="194"/>
    </row>
    <row r="186" spans="2:16" ht="15.75">
      <c r="B186" s="195"/>
      <c r="C186" s="189" t="s">
        <v>103</v>
      </c>
      <c r="D186" s="189"/>
      <c r="E186" s="189"/>
      <c r="F186" s="223">
        <f ca="1">SUBTOTAL(109,[2007])</f>
        <v>54.05703590347877</v>
      </c>
      <c r="G186" s="223">
        <f ca="1">SUBTOTAL(109,[2012])</f>
        <v>2.4157211541563832</v>
      </c>
      <c r="H186" s="223">
        <f ca="1">SUBTOTAL(109,[2017])</f>
        <v>25.187081764388282</v>
      </c>
      <c r="I186" s="223">
        <f ca="1">SUBTOTAL(109,[2022])</f>
        <v>598.56955459723054</v>
      </c>
      <c r="J186" s="223">
        <f ca="1">SUBTOTAL(109,[2027])</f>
        <v>1355.8990523367304</v>
      </c>
      <c r="K186" s="223">
        <f ca="1">SUBTOTAL(109,[2032])</f>
        <v>2359.979078083024</v>
      </c>
      <c r="L186" s="223">
        <f ca="1">SUBTOTAL(109,[2037])</f>
        <v>3250.3613521413567</v>
      </c>
      <c r="M186" s="223">
        <f ca="1">SUBTOTAL(109,[2042])</f>
        <v>4285.5035323012471</v>
      </c>
      <c r="N186" s="223">
        <f ca="1">SUBTOTAL(109,[2047])</f>
        <v>5231.78768018562</v>
      </c>
      <c r="O186" s="223">
        <f ca="1">SUBTOTAL(109,[2052])</f>
        <v>6459.3466873302286</v>
      </c>
      <c r="P186" s="194"/>
    </row>
    <row r="187" spans="2:16">
      <c r="B187" s="1678"/>
      <c r="C187" s="1678"/>
      <c r="D187" s="1678"/>
      <c r="E187" s="1678"/>
      <c r="F187" s="1678"/>
      <c r="G187" s="1678"/>
      <c r="H187" s="1678"/>
      <c r="I187" s="1678"/>
      <c r="J187" s="1678"/>
      <c r="K187" s="1678"/>
      <c r="L187" s="1678"/>
      <c r="M187" s="1678"/>
      <c r="N187" s="1678"/>
      <c r="O187" s="1678"/>
      <c r="P187" s="1678"/>
    </row>
    <row r="188" spans="2:16">
      <c r="B188" s="1678"/>
      <c r="C188" s="1627"/>
      <c r="D188" s="189"/>
      <c r="E188" s="189"/>
      <c r="F188" s="2343"/>
      <c r="G188" s="2343"/>
      <c r="H188" s="2343"/>
      <c r="I188" s="2343"/>
      <c r="J188" s="2343"/>
      <c r="K188" s="2343"/>
      <c r="L188" s="2343"/>
      <c r="M188" s="2343"/>
      <c r="N188" s="2343"/>
      <c r="O188" s="1628"/>
      <c r="P188" s="1678"/>
    </row>
    <row r="189" spans="2:16" ht="5.25" customHeight="1">
      <c r="B189" s="1678"/>
      <c r="C189" s="1678"/>
      <c r="D189" s="1678"/>
      <c r="E189" s="1678"/>
      <c r="F189" s="1678"/>
      <c r="G189" s="1678"/>
      <c r="H189" s="1678"/>
      <c r="I189" s="1678"/>
      <c r="J189" s="1678"/>
      <c r="K189" s="1678"/>
      <c r="L189" s="1678"/>
      <c r="M189" s="1678"/>
      <c r="N189" s="1678"/>
      <c r="O189" s="1678"/>
      <c r="P189" s="1678"/>
    </row>
    <row r="190" spans="2:16">
      <c r="B190" s="1678"/>
      <c r="C190" s="2344"/>
      <c r="D190" s="2345"/>
      <c r="E190" s="2345"/>
      <c r="F190" s="2345"/>
      <c r="G190" s="2345"/>
      <c r="H190" s="2345"/>
      <c r="I190" s="2345"/>
      <c r="J190" s="2345"/>
      <c r="K190" s="2345"/>
      <c r="L190" s="2345"/>
      <c r="M190" s="2345"/>
      <c r="N190" s="2345"/>
      <c r="O190" s="2346"/>
      <c r="P190" s="1678"/>
    </row>
    <row r="191" spans="2:16" ht="12" customHeight="1">
      <c r="B191" s="1678"/>
      <c r="C191" s="2347"/>
      <c r="D191" s="2348"/>
      <c r="E191" s="2349"/>
      <c r="F191" s="2350"/>
      <c r="G191" s="2350"/>
      <c r="H191" s="2350"/>
      <c r="I191" s="2350"/>
      <c r="J191" s="2350"/>
      <c r="K191" s="2350"/>
      <c r="L191" s="2350"/>
      <c r="M191" s="2350"/>
      <c r="N191" s="2350"/>
      <c r="O191" s="2351"/>
      <c r="P191" s="1678"/>
    </row>
    <row r="192" spans="2:16">
      <c r="B192" s="1678"/>
      <c r="C192" s="2352"/>
      <c r="D192" s="2353"/>
      <c r="E192" s="2354"/>
      <c r="F192" s="2355"/>
      <c r="G192" s="2355"/>
      <c r="H192" s="2355"/>
      <c r="I192" s="2355"/>
      <c r="J192" s="2355"/>
      <c r="K192" s="2355"/>
      <c r="L192" s="2355"/>
      <c r="M192" s="2355"/>
      <c r="N192" s="2355"/>
      <c r="O192" s="2356"/>
      <c r="P192" s="1678"/>
    </row>
    <row r="193" spans="2:16">
      <c r="B193" s="1678"/>
      <c r="C193" s="2352"/>
      <c r="D193" s="2353"/>
      <c r="E193" s="2354"/>
      <c r="F193" s="2355"/>
      <c r="G193" s="2355"/>
      <c r="H193" s="2355"/>
      <c r="I193" s="2355"/>
      <c r="J193" s="2355"/>
      <c r="K193" s="2355"/>
      <c r="L193" s="2355"/>
      <c r="M193" s="2355"/>
      <c r="N193" s="2355"/>
      <c r="O193" s="2356"/>
      <c r="P193" s="1678"/>
    </row>
    <row r="194" spans="2:16">
      <c r="B194" s="1678"/>
      <c r="C194" s="2357"/>
      <c r="D194" s="2358"/>
      <c r="E194" s="2359"/>
      <c r="F194" s="2360"/>
      <c r="G194" s="2360"/>
      <c r="H194" s="2360"/>
      <c r="I194" s="2360"/>
      <c r="J194" s="2360"/>
      <c r="K194" s="2360"/>
      <c r="L194" s="2360"/>
      <c r="M194" s="2360"/>
      <c r="N194" s="2360"/>
      <c r="O194" s="2361"/>
      <c r="P194" s="1678"/>
    </row>
    <row r="195" spans="2:16" ht="15.75">
      <c r="B195" s="1637"/>
      <c r="C195" s="1407"/>
      <c r="D195" s="1407"/>
      <c r="E195" s="1407"/>
      <c r="F195" s="1407"/>
      <c r="G195" s="1407"/>
      <c r="H195" s="1407"/>
      <c r="I195" s="1407"/>
      <c r="J195" s="1407"/>
      <c r="K195" s="1407"/>
      <c r="L195" s="1407"/>
      <c r="M195" s="1407"/>
      <c r="N195" s="1407"/>
      <c r="O195" s="1407"/>
      <c r="P195" s="1408"/>
    </row>
    <row r="197" spans="2:16" ht="15.75">
      <c r="B197" s="424" t="s">
        <v>501</v>
      </c>
      <c r="C197" s="346"/>
      <c r="D197" s="425"/>
      <c r="E197" s="425"/>
      <c r="F197" s="425"/>
      <c r="G197" s="425"/>
      <c r="H197" s="425"/>
      <c r="I197" s="425"/>
      <c r="J197" s="425"/>
      <c r="K197" s="425"/>
      <c r="L197" s="425"/>
      <c r="M197" s="425"/>
      <c r="N197" s="425"/>
      <c r="O197" s="425"/>
      <c r="P197" s="426"/>
    </row>
    <row r="198" spans="2:16">
      <c r="B198" s="347"/>
      <c r="C198" s="348"/>
      <c r="D198" s="348"/>
      <c r="E198" s="348"/>
      <c r="F198" s="348"/>
      <c r="G198" s="348"/>
      <c r="H198" s="348"/>
      <c r="I198" s="348"/>
      <c r="J198" s="348"/>
      <c r="K198" s="348"/>
      <c r="L198" s="348"/>
      <c r="M198" s="348"/>
      <c r="N198" s="348"/>
      <c r="O198" s="348"/>
      <c r="P198" s="349"/>
    </row>
    <row r="199" spans="2:16" ht="16.5" customHeight="1">
      <c r="B199" s="427"/>
      <c r="C199" s="350" t="s">
        <v>1829</v>
      </c>
      <c r="D199" s="428"/>
      <c r="E199" s="351"/>
      <c r="F199" s="428"/>
      <c r="G199" s="351"/>
      <c r="H199" s="428"/>
      <c r="I199" s="428"/>
      <c r="J199" s="428"/>
      <c r="K199" s="428"/>
      <c r="L199" s="428"/>
      <c r="M199" s="428"/>
      <c r="N199" s="428"/>
      <c r="O199" s="351"/>
      <c r="P199" s="429"/>
    </row>
    <row r="200" spans="2:16">
      <c r="B200" s="427"/>
      <c r="C200" s="428"/>
      <c r="D200" s="428"/>
      <c r="E200" s="428"/>
      <c r="F200" s="428"/>
      <c r="G200" s="428"/>
      <c r="H200" s="428"/>
      <c r="I200" s="428"/>
      <c r="J200" s="428"/>
      <c r="K200" s="428"/>
      <c r="L200" s="428"/>
      <c r="M200" s="428"/>
      <c r="N200" s="428"/>
      <c r="O200" s="428"/>
      <c r="P200" s="429"/>
    </row>
    <row r="201" spans="2:16" ht="15.75">
      <c r="B201" s="430"/>
      <c r="C201" s="431" t="s">
        <v>64</v>
      </c>
      <c r="D201" s="431" t="s">
        <v>502</v>
      </c>
      <c r="E201" s="431" t="s">
        <v>156</v>
      </c>
      <c r="F201" s="2370" t="s">
        <v>203</v>
      </c>
      <c r="G201" s="2370" t="s">
        <v>712</v>
      </c>
      <c r="H201" s="2370" t="s">
        <v>713</v>
      </c>
      <c r="I201" s="2370" t="s">
        <v>714</v>
      </c>
      <c r="J201" s="2370" t="s">
        <v>715</v>
      </c>
      <c r="K201" s="2370" t="s">
        <v>716</v>
      </c>
      <c r="L201" s="2370" t="s">
        <v>717</v>
      </c>
      <c r="M201" s="2370" t="s">
        <v>718</v>
      </c>
      <c r="N201" s="2370" t="s">
        <v>719</v>
      </c>
      <c r="O201" s="2370" t="s">
        <v>720</v>
      </c>
    </row>
    <row r="202" spans="2:16" ht="15.75">
      <c r="B202" s="430"/>
      <c r="C202" s="432" t="s">
        <v>508</v>
      </c>
      <c r="D202" s="433" t="str">
        <f>INDEX(Vectors[Description], MATCH([Vector], Vectors[Code], 0))</f>
        <v xml:space="preserve">Installed Capacity </v>
      </c>
      <c r="E202" s="433" t="str">
        <f>Preferences.PowerUnits</f>
        <v>GW</v>
      </c>
      <c r="F202" s="354">
        <f t="shared" ref="F202:O202" ca="1" si="26">F151</f>
        <v>11.506446686594195</v>
      </c>
      <c r="G202" s="354">
        <f t="shared" ca="1" si="26"/>
        <v>0.51077638826046257</v>
      </c>
      <c r="H202" s="354">
        <f t="shared" ca="1" si="26"/>
        <v>4.5647297728288754</v>
      </c>
      <c r="I202" s="354">
        <f t="shared" ca="1" si="26"/>
        <v>94.920473755987715</v>
      </c>
      <c r="J202" s="354">
        <f t="shared" ca="1" si="26"/>
        <v>215.01691728992043</v>
      </c>
      <c r="K202" s="354">
        <f t="shared" ca="1" si="26"/>
        <v>374.24277667545812</v>
      </c>
      <c r="L202" s="354">
        <f t="shared" ca="1" si="26"/>
        <v>515.43857694368262</v>
      </c>
      <c r="M202" s="354">
        <f t="shared" ca="1" si="26"/>
        <v>679.59023716585682</v>
      </c>
      <c r="N202" s="354">
        <f t="shared" ca="1" si="26"/>
        <v>829.6508924983948</v>
      </c>
      <c r="O202" s="354">
        <f t="shared" ca="1" si="26"/>
        <v>1024.3157925533287</v>
      </c>
      <c r="P202" s="429"/>
    </row>
    <row r="203" spans="2:16" ht="15.75">
      <c r="B203" s="430"/>
      <c r="C203" s="432" t="s">
        <v>503</v>
      </c>
      <c r="D203" s="433" t="str">
        <f>INDEX(Vectors[Description], MATCH([Vector], Vectors[Code], 0))</f>
        <v>India Land area</v>
      </c>
      <c r="E203" s="432" t="str">
        <f>Preferences.AreaUnits</f>
        <v>ha</v>
      </c>
      <c r="F203" s="2844">
        <f t="shared" ref="F203:O203" ca="1" si="27">F156</f>
        <v>1748.9798963623177</v>
      </c>
      <c r="G203" s="2844">
        <f t="shared" ca="1" si="27"/>
        <v>77.638011015590308</v>
      </c>
      <c r="H203" s="2844">
        <f t="shared" ca="1" si="27"/>
        <v>693.83892546998902</v>
      </c>
      <c r="I203" s="2844">
        <f t="shared" ca="1" si="27"/>
        <v>14427.912010910133</v>
      </c>
      <c r="J203" s="2844">
        <f t="shared" ca="1" si="27"/>
        <v>32682.571428067906</v>
      </c>
      <c r="K203" s="2844">
        <f t="shared" ca="1" si="27"/>
        <v>56884.902054669634</v>
      </c>
      <c r="L203" s="2844">
        <f t="shared" ca="1" si="27"/>
        <v>78346.663695439755</v>
      </c>
      <c r="M203" s="2844">
        <f t="shared" ca="1" si="27"/>
        <v>103297.71604921024</v>
      </c>
      <c r="N203" s="2844">
        <f t="shared" ca="1" si="27"/>
        <v>126106.93565975601</v>
      </c>
      <c r="O203" s="2844">
        <f t="shared" ca="1" si="27"/>
        <v>155696.00046810595</v>
      </c>
      <c r="P203" s="429"/>
    </row>
    <row r="204" spans="2:16" ht="15.75">
      <c r="B204" s="430"/>
      <c r="C204" s="432"/>
      <c r="D204" s="433"/>
      <c r="E204" s="432"/>
      <c r="F204" s="343"/>
      <c r="G204" s="343"/>
      <c r="H204" s="343"/>
      <c r="I204" s="343"/>
      <c r="J204" s="343"/>
      <c r="K204" s="343"/>
      <c r="L204" s="343"/>
      <c r="M204" s="343"/>
      <c r="N204" s="343"/>
      <c r="O204" s="343"/>
      <c r="P204" s="429"/>
    </row>
    <row r="205" spans="2:16" ht="15.75">
      <c r="B205" s="430"/>
      <c r="C205" s="428"/>
      <c r="D205" s="428"/>
      <c r="E205" s="428"/>
      <c r="F205" s="428"/>
      <c r="G205" s="428"/>
      <c r="H205" s="428"/>
      <c r="I205" s="428"/>
      <c r="J205" s="428"/>
      <c r="K205" s="428"/>
      <c r="L205" s="428"/>
      <c r="M205" s="428"/>
      <c r="N205" s="428"/>
      <c r="O205" s="428"/>
      <c r="P205" s="429"/>
    </row>
    <row r="207" spans="2:16" ht="5.25" customHeight="1">
      <c r="B207" s="437"/>
      <c r="C207" s="434"/>
      <c r="D207" s="434"/>
      <c r="E207" s="434"/>
      <c r="F207" s="434"/>
      <c r="G207" s="434"/>
      <c r="H207" s="434"/>
      <c r="I207" s="434"/>
      <c r="J207" s="434"/>
      <c r="K207" s="434"/>
      <c r="L207" s="434"/>
      <c r="M207" s="434"/>
      <c r="N207" s="434"/>
      <c r="O207" s="434"/>
      <c r="P207" s="438"/>
    </row>
    <row r="209" spans="6:15" ht="4.5" customHeight="1"/>
    <row r="219" spans="6:15">
      <c r="F219" s="260"/>
      <c r="G219" s="260"/>
      <c r="H219" s="260"/>
      <c r="I219" s="260"/>
      <c r="J219" s="260"/>
      <c r="K219" s="260"/>
      <c r="L219" s="260"/>
      <c r="M219" s="260"/>
      <c r="N219" s="260"/>
      <c r="O219" s="260"/>
    </row>
    <row r="220" spans="6:15">
      <c r="F220" s="260"/>
      <c r="G220" s="260"/>
      <c r="H220" s="260"/>
      <c r="I220" s="260"/>
      <c r="J220" s="260"/>
      <c r="K220" s="260"/>
      <c r="L220" s="260"/>
      <c r="M220" s="260"/>
      <c r="N220" s="260"/>
      <c r="O220" s="260"/>
    </row>
    <row r="221" spans="6:15">
      <c r="F221" s="260"/>
      <c r="G221" s="260"/>
      <c r="H221" s="260"/>
      <c r="I221" s="260"/>
      <c r="J221" s="260"/>
      <c r="K221" s="260"/>
      <c r="L221" s="260"/>
      <c r="M221" s="260"/>
      <c r="N221" s="260"/>
      <c r="O221" s="260"/>
    </row>
    <row r="222" spans="6:15">
      <c r="F222" s="260"/>
      <c r="G222" s="260"/>
      <c r="H222" s="260"/>
      <c r="I222" s="260"/>
      <c r="J222" s="260"/>
      <c r="K222" s="260"/>
      <c r="L222" s="260"/>
      <c r="M222" s="260"/>
      <c r="N222" s="260"/>
      <c r="O222" s="260"/>
    </row>
  </sheetData>
  <mergeCells count="1">
    <mergeCell ref="R128:S128"/>
  </mergeCells>
  <pageMargins left="0.70866141732283472" right="0.70866141732283472" top="0.74803149606299213" bottom="0.74803149606299213" header="0.31496062992125984" footer="0.31496062992125984"/>
  <pageSetup paperSize="9" orientation="portrait"/>
  <legacyDrawing r:id="rId1"/>
  <tableParts count="4">
    <tablePart r:id="rId2"/>
    <tablePart r:id="rId3"/>
    <tablePart r:id="rId4"/>
    <tablePart r:id="rId5"/>
  </tablePart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sheetPr>
    <tabColor theme="9"/>
    <outlinePr summaryBelow="0"/>
    <pageSetUpPr autoPageBreaks="0"/>
  </sheetPr>
  <dimension ref="A1:DJ131"/>
  <sheetViews>
    <sheetView showGridLines="0" topLeftCell="E76" zoomScale="85" zoomScaleNormal="85" zoomScalePageLayoutView="85" workbookViewId="0">
      <selection activeCell="G94" sqref="G94"/>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10.7109375" style="605" customWidth="1"/>
    <col min="17" max="17" width="10.85546875" style="605" customWidth="1"/>
    <col min="18" max="16384" width="8.85546875" style="605"/>
  </cols>
  <sheetData>
    <row r="1" spans="1:16" ht="21">
      <c r="A1" s="77" t="s">
        <v>61</v>
      </c>
      <c r="B1" s="77" t="str">
        <f>INDEX(Workstreams[Workstream], MATCH($A1, Workstreams[Code], 0))</f>
        <v>Nuclear power generation</v>
      </c>
      <c r="C1" s="77"/>
    </row>
    <row r="2" spans="1:16" s="51" customFormat="1" ht="19.5" customHeight="1">
      <c r="A2" s="6" t="s">
        <v>61</v>
      </c>
      <c r="B2" s="6" t="str">
        <f>INDEX(Modules[Module], MATCH($A2, Modules[Code], 0))</f>
        <v>Nuclear power</v>
      </c>
      <c r="C2" s="6"/>
      <c r="E2" s="404"/>
    </row>
    <row r="4" spans="1:16" ht="22.5">
      <c r="A4" s="420"/>
      <c r="B4" s="206" t="s">
        <v>416</v>
      </c>
      <c r="C4" s="174"/>
      <c r="D4" s="175"/>
      <c r="E4" s="176"/>
      <c r="F4" s="175"/>
      <c r="G4" s="175"/>
      <c r="H4" s="175"/>
      <c r="I4" s="175"/>
      <c r="J4" s="175"/>
      <c r="K4" s="175"/>
      <c r="L4" s="175"/>
      <c r="M4" s="175"/>
      <c r="N4" s="175"/>
      <c r="O4" s="175"/>
      <c r="P4" s="177"/>
    </row>
    <row r="5" spans="1:16">
      <c r="B5" s="164"/>
      <c r="C5" s="165"/>
      <c r="D5" s="166"/>
      <c r="E5" s="167"/>
      <c r="F5" s="166"/>
      <c r="G5" s="166"/>
      <c r="H5" s="166"/>
      <c r="I5" s="166"/>
      <c r="J5" s="166"/>
      <c r="K5" s="166"/>
      <c r="L5" s="166"/>
      <c r="M5" s="166"/>
      <c r="N5" s="166"/>
      <c r="O5" s="166"/>
      <c r="P5" s="168"/>
    </row>
    <row r="6" spans="1:16" ht="15.75">
      <c r="B6" s="169"/>
      <c r="C6" s="166"/>
      <c r="D6" s="1700" t="s">
        <v>274</v>
      </c>
      <c r="E6" s="1700" t="s">
        <v>411</v>
      </c>
      <c r="F6" s="166"/>
      <c r="G6" s="166"/>
      <c r="H6" s="166"/>
      <c r="I6" s="166"/>
      <c r="J6" s="166"/>
      <c r="K6" s="166"/>
      <c r="L6" s="166"/>
      <c r="M6" s="166"/>
      <c r="N6" s="166"/>
      <c r="O6" s="166"/>
      <c r="P6" s="168"/>
    </row>
    <row r="7" spans="1:16" ht="15.75">
      <c r="B7" s="169"/>
      <c r="C7" s="166"/>
      <c r="D7" s="60" t="s">
        <v>1418</v>
      </c>
      <c r="E7" s="60">
        <f>II.scenario</f>
        <v>1</v>
      </c>
      <c r="F7" s="166"/>
      <c r="G7" s="166"/>
      <c r="H7" s="166"/>
      <c r="I7" s="166"/>
      <c r="J7" s="166"/>
      <c r="K7" s="166"/>
      <c r="L7" s="166"/>
      <c r="M7" s="166"/>
      <c r="N7" s="166"/>
      <c r="O7" s="166"/>
      <c r="P7" s="168"/>
    </row>
    <row r="8" spans="1:16" ht="15.75">
      <c r="B8" s="169"/>
      <c r="C8" s="166"/>
      <c r="D8" s="226"/>
      <c r="E8" s="226"/>
      <c r="F8" s="166"/>
      <c r="G8" s="166"/>
      <c r="H8" s="166"/>
      <c r="I8" s="166"/>
      <c r="J8" s="166"/>
      <c r="K8" s="166"/>
      <c r="L8" s="166"/>
      <c r="M8" s="166"/>
      <c r="N8" s="166"/>
      <c r="O8" s="166"/>
      <c r="P8" s="168"/>
    </row>
    <row r="9" spans="1:16" ht="15.75">
      <c r="B9" s="170"/>
      <c r="C9" s="171"/>
      <c r="D9" s="171"/>
      <c r="E9" s="171"/>
      <c r="F9" s="172"/>
      <c r="G9" s="172"/>
      <c r="H9" s="172"/>
      <c r="I9" s="172"/>
      <c r="J9" s="172"/>
      <c r="K9" s="172"/>
      <c r="L9" s="172"/>
      <c r="M9" s="172"/>
      <c r="N9" s="172"/>
      <c r="O9" s="172"/>
      <c r="P9" s="173"/>
    </row>
    <row r="11" spans="1:16">
      <c r="B11" s="208"/>
    </row>
    <row r="12" spans="1:16" s="2725" customFormat="1" ht="22.5">
      <c r="A12" s="420"/>
      <c r="B12" s="421" t="s">
        <v>413</v>
      </c>
      <c r="C12" s="159"/>
      <c r="D12" s="159"/>
      <c r="E12" s="159"/>
      <c r="F12" s="159"/>
      <c r="G12" s="159"/>
      <c r="H12" s="159"/>
      <c r="I12" s="159"/>
      <c r="J12" s="159"/>
      <c r="K12" s="159"/>
      <c r="L12" s="159"/>
      <c r="M12" s="159"/>
      <c r="N12" s="159"/>
      <c r="O12" s="159"/>
      <c r="P12" s="160"/>
    </row>
    <row r="13" spans="1:16" s="2725" customFormat="1">
      <c r="B13" s="210"/>
      <c r="C13" s="198"/>
      <c r="D13" s="198"/>
      <c r="E13" s="198"/>
      <c r="F13" s="198"/>
      <c r="G13" s="198"/>
      <c r="H13" s="198"/>
      <c r="I13" s="198"/>
      <c r="J13" s="198"/>
      <c r="K13" s="198"/>
      <c r="L13" s="198"/>
      <c r="M13" s="198"/>
      <c r="N13" s="198"/>
      <c r="O13" s="198"/>
      <c r="P13" s="199"/>
    </row>
    <row r="14" spans="1:16" s="2725" customFormat="1" ht="15.75">
      <c r="B14" s="152"/>
      <c r="C14" s="126"/>
      <c r="D14" s="414"/>
      <c r="E14" s="414"/>
      <c r="F14" s="222"/>
      <c r="G14" s="222"/>
      <c r="H14" s="222"/>
      <c r="I14" s="222"/>
      <c r="J14" s="222"/>
      <c r="K14" s="222"/>
      <c r="L14" s="222"/>
      <c r="M14" s="222"/>
      <c r="N14" s="222"/>
      <c r="O14" s="137"/>
      <c r="P14" s="419"/>
    </row>
    <row r="15" spans="1:16" s="2725" customFormat="1" ht="15.75">
      <c r="B15" s="152"/>
      <c r="C15" s="126"/>
      <c r="D15" s="414"/>
      <c r="E15" s="414"/>
      <c r="F15" s="222"/>
      <c r="G15" s="222"/>
      <c r="H15" s="222"/>
      <c r="I15" s="222"/>
      <c r="J15" s="222"/>
      <c r="K15" s="222"/>
      <c r="L15" s="222"/>
      <c r="M15" s="222"/>
      <c r="N15" s="222"/>
      <c r="O15" s="137"/>
      <c r="P15" s="419"/>
    </row>
    <row r="16" spans="1:16" s="2725" customFormat="1" ht="15.75">
      <c r="B16" s="152"/>
      <c r="C16" s="416" t="s">
        <v>2133</v>
      </c>
      <c r="D16" s="415"/>
      <c r="E16" s="104"/>
      <c r="F16" s="415"/>
      <c r="G16" s="415"/>
      <c r="H16" s="415"/>
      <c r="I16" s="415"/>
      <c r="J16" s="415"/>
      <c r="K16" s="415"/>
      <c r="L16" s="415"/>
      <c r="M16" s="415"/>
      <c r="N16" s="415"/>
      <c r="O16" s="104" t="str">
        <f>Preferences.PowerUnits</f>
        <v>GW</v>
      </c>
      <c r="P16" s="419"/>
    </row>
    <row r="17" spans="2:16" s="2725" customFormat="1" ht="15.75">
      <c r="B17" s="152"/>
      <c r="C17" s="415"/>
      <c r="D17" s="415"/>
      <c r="E17" s="415"/>
      <c r="F17" s="415"/>
      <c r="G17" s="415"/>
      <c r="H17" s="415"/>
      <c r="I17" s="415"/>
      <c r="J17" s="415"/>
      <c r="K17" s="415"/>
      <c r="L17" s="415"/>
      <c r="M17" s="415"/>
      <c r="N17" s="415"/>
      <c r="O17" s="415"/>
      <c r="P17" s="419"/>
    </row>
    <row r="18" spans="2:16" s="2725" customFormat="1" ht="15.75">
      <c r="B18" s="152"/>
      <c r="C18" s="61" t="s">
        <v>411</v>
      </c>
      <c r="D18" s="61" t="s">
        <v>65</v>
      </c>
      <c r="E18" s="61" t="s">
        <v>156</v>
      </c>
      <c r="F18" s="238">
        <v>2007</v>
      </c>
      <c r="G18" s="119">
        <v>2012</v>
      </c>
      <c r="H18" s="119">
        <v>2017</v>
      </c>
      <c r="I18" s="119">
        <v>2022</v>
      </c>
      <c r="J18" s="119">
        <v>2027</v>
      </c>
      <c r="K18" s="119">
        <v>2032</v>
      </c>
      <c r="L18" s="119">
        <v>2037</v>
      </c>
      <c r="M18" s="119">
        <v>2042</v>
      </c>
      <c r="N18" s="119">
        <v>2047</v>
      </c>
      <c r="O18" s="119">
        <v>2052</v>
      </c>
      <c r="P18" s="419"/>
    </row>
    <row r="19" spans="2:16" s="2725" customFormat="1" ht="15.75">
      <c r="B19" s="152"/>
      <c r="C19" s="413">
        <v>1</v>
      </c>
      <c r="D19" s="414"/>
      <c r="E19" s="96"/>
      <c r="F19" s="657">
        <f>4040*(Unit.MW)</f>
        <v>4.04</v>
      </c>
      <c r="G19" s="98">
        <f>4680*(Unit.MW)</f>
        <v>4.68</v>
      </c>
      <c r="H19" s="98">
        <f>7480*(Unit.MW)</f>
        <v>7.48</v>
      </c>
      <c r="I19" s="98">
        <f>7160*(Unit.MW)</f>
        <v>7.16</v>
      </c>
      <c r="J19" s="98">
        <f>7160*(Unit.MW)</f>
        <v>7.16</v>
      </c>
      <c r="K19" s="98">
        <f>6960*(Unit.MW)</f>
        <v>6.96</v>
      </c>
      <c r="L19" s="98">
        <f>6520*(Unit.MW)</f>
        <v>6.5200000000000005</v>
      </c>
      <c r="M19" s="98">
        <f>6300*(Unit.MW)</f>
        <v>6.3</v>
      </c>
      <c r="N19" s="98">
        <f>5860*(Unit.MW)</f>
        <v>5.86</v>
      </c>
      <c r="O19" s="98">
        <f>5860*(Unit.MW)</f>
        <v>5.86</v>
      </c>
      <c r="P19" s="419"/>
    </row>
    <row r="20" spans="2:16" s="2725" customFormat="1" ht="15.75">
      <c r="B20" s="152"/>
      <c r="C20" s="413">
        <v>2</v>
      </c>
      <c r="D20" s="414"/>
      <c r="E20" s="414"/>
      <c r="F20" s="657">
        <f>4040*(Unit.MW)</f>
        <v>4.04</v>
      </c>
      <c r="G20" s="98">
        <f>4680*(Unit.MW)</f>
        <v>4.68</v>
      </c>
      <c r="H20" s="98">
        <f>7480*(Unit.MW)</f>
        <v>7.48</v>
      </c>
      <c r="I20" s="98">
        <f>9260*(Unit.MW)</f>
        <v>9.26</v>
      </c>
      <c r="J20" s="98">
        <f>10660*(Unit.MW)</f>
        <v>10.66</v>
      </c>
      <c r="K20" s="98">
        <f>12560*(Unit.MW)</f>
        <v>12.56</v>
      </c>
      <c r="L20" s="98">
        <f>12820*(Unit.MW)</f>
        <v>12.82</v>
      </c>
      <c r="M20" s="98">
        <f>14700*(Unit.MW)</f>
        <v>14.700000000000001</v>
      </c>
      <c r="N20" s="98">
        <f>14260*(Unit.MW)</f>
        <v>14.26</v>
      </c>
      <c r="O20" s="98">
        <f>14260*(Unit.MW)</f>
        <v>14.26</v>
      </c>
      <c r="P20" s="419"/>
    </row>
    <row r="21" spans="2:16" s="2725" customFormat="1" ht="15.75">
      <c r="B21" s="152"/>
      <c r="C21" s="413">
        <v>3</v>
      </c>
      <c r="D21" s="414"/>
      <c r="E21" s="414"/>
      <c r="F21" s="657">
        <f>4040*(Unit.MW)</f>
        <v>4.04</v>
      </c>
      <c r="G21" s="98">
        <f>4680*(Unit.MW)</f>
        <v>4.68</v>
      </c>
      <c r="H21" s="98">
        <f>7480*(Unit.MW)</f>
        <v>7.48</v>
      </c>
      <c r="I21" s="98">
        <f>9960*(Unit.MW)</f>
        <v>9.9600000000000009</v>
      </c>
      <c r="J21" s="98">
        <f>12060*(Unit.MW)</f>
        <v>12.06</v>
      </c>
      <c r="K21" s="98">
        <f>15360*(Unit.MW)</f>
        <v>15.36</v>
      </c>
      <c r="L21" s="98">
        <f>17020*(Unit.MW)</f>
        <v>17.02</v>
      </c>
      <c r="M21" s="98">
        <f>18200*(Unit.MW)</f>
        <v>18.2</v>
      </c>
      <c r="N21" s="98">
        <f>21260*(Unit.MW)</f>
        <v>21.26</v>
      </c>
      <c r="O21" s="98">
        <f>24060*(Unit.MW)</f>
        <v>24.060000000000002</v>
      </c>
      <c r="P21" s="419"/>
    </row>
    <row r="22" spans="2:16" s="2725" customFormat="1" ht="15.75">
      <c r="B22" s="152"/>
      <c r="C22" s="411">
        <v>4</v>
      </c>
      <c r="D22" s="65"/>
      <c r="E22" s="65"/>
      <c r="F22" s="657">
        <f>4040*(Unit.MW)</f>
        <v>4.04</v>
      </c>
      <c r="G22" s="98">
        <f>4680*(Unit.MW)</f>
        <v>4.68</v>
      </c>
      <c r="H22" s="98">
        <f>7480*(Unit.MW)</f>
        <v>7.48</v>
      </c>
      <c r="I22" s="98">
        <f>9960*(Unit.MW)</f>
        <v>9.9600000000000009</v>
      </c>
      <c r="J22" s="98">
        <f>12060*(Unit.MW)</f>
        <v>12.06</v>
      </c>
      <c r="K22" s="98">
        <f>15360*(Unit.MW)</f>
        <v>15.36</v>
      </c>
      <c r="L22" s="98">
        <f>17020*(Unit.MW)</f>
        <v>17.02</v>
      </c>
      <c r="M22" s="98">
        <f>18200*(Unit.MW)</f>
        <v>18.2</v>
      </c>
      <c r="N22" s="98">
        <f>21260*(Unit.MW)</f>
        <v>21.26</v>
      </c>
      <c r="O22" s="98">
        <f>24060*(Unit.MW)</f>
        <v>24.060000000000002</v>
      </c>
      <c r="P22" s="419"/>
    </row>
    <row r="23" spans="2:16" s="2725" customFormat="1" ht="15.75">
      <c r="B23" s="152"/>
      <c r="C23" s="542" t="s">
        <v>406</v>
      </c>
      <c r="D23" s="407"/>
      <c r="E23" s="407"/>
      <c r="F23" s="610">
        <f>(INDEX(F$19:F$22,ROUNDDOWN($E$7,0))*(1-MOD($E$7,1)))+(INDEX(F$19:F$22,ROUNDUP($E$7,0))*MOD($E$7,1))</f>
        <v>4.04</v>
      </c>
      <c r="G23" s="610">
        <f t="shared" ref="G23:O23" si="0">(INDEX(G$19:G$22,ROUNDDOWN($E$7,0))*(1-MOD($E$7,1)))+(INDEX(G$19:G$22,ROUNDUP($E$7,0))*MOD($E$7,1))</f>
        <v>4.68</v>
      </c>
      <c r="H23" s="610">
        <f t="shared" si="0"/>
        <v>7.48</v>
      </c>
      <c r="I23" s="610">
        <f t="shared" si="0"/>
        <v>7.16</v>
      </c>
      <c r="J23" s="610">
        <f t="shared" si="0"/>
        <v>7.16</v>
      </c>
      <c r="K23" s="610">
        <f t="shared" si="0"/>
        <v>6.96</v>
      </c>
      <c r="L23" s="610">
        <f t="shared" si="0"/>
        <v>6.5200000000000005</v>
      </c>
      <c r="M23" s="610">
        <f t="shared" si="0"/>
        <v>6.3</v>
      </c>
      <c r="N23" s="610">
        <f t="shared" si="0"/>
        <v>5.86</v>
      </c>
      <c r="O23" s="610">
        <f t="shared" si="0"/>
        <v>5.86</v>
      </c>
      <c r="P23" s="419"/>
    </row>
    <row r="24" spans="2:16" s="2725" customFormat="1" ht="15.75">
      <c r="B24" s="152"/>
      <c r="C24" s="126"/>
      <c r="D24" s="414"/>
      <c r="E24" s="414"/>
      <c r="F24" s="222"/>
      <c r="G24" s="222"/>
      <c r="H24" s="222"/>
      <c r="I24" s="222"/>
      <c r="J24" s="222"/>
      <c r="K24" s="222"/>
      <c r="L24" s="222"/>
      <c r="M24" s="222"/>
      <c r="N24" s="222"/>
      <c r="O24" s="137"/>
      <c r="P24" s="419"/>
    </row>
    <row r="25" spans="2:16" s="2725" customFormat="1" ht="15.75">
      <c r="B25" s="152"/>
      <c r="C25" s="416" t="s">
        <v>2134</v>
      </c>
      <c r="D25" s="415"/>
      <c r="E25" s="104"/>
      <c r="F25" s="415"/>
      <c r="G25" s="415"/>
      <c r="H25" s="415"/>
      <c r="I25" s="415"/>
      <c r="J25" s="415"/>
      <c r="K25" s="415"/>
      <c r="L25" s="415"/>
      <c r="M25" s="415"/>
      <c r="N25" s="415"/>
      <c r="O25" s="104" t="str">
        <f>Preferences.PowerUnits</f>
        <v>GW</v>
      </c>
      <c r="P25" s="419"/>
    </row>
    <row r="26" spans="2:16" s="2725" customFormat="1" ht="15.75">
      <c r="B26" s="152"/>
      <c r="C26" s="415"/>
      <c r="D26" s="415"/>
      <c r="E26" s="415"/>
      <c r="F26" s="415"/>
      <c r="G26" s="415"/>
      <c r="H26" s="415"/>
      <c r="I26" s="415"/>
      <c r="J26" s="415"/>
      <c r="K26" s="415"/>
      <c r="L26" s="415"/>
      <c r="M26" s="415"/>
      <c r="N26" s="415"/>
      <c r="O26" s="415"/>
      <c r="P26" s="419"/>
    </row>
    <row r="27" spans="2:16" s="2725" customFormat="1" ht="15.75">
      <c r="B27" s="152"/>
      <c r="C27" s="61" t="s">
        <v>411</v>
      </c>
      <c r="D27" s="61" t="s">
        <v>65</v>
      </c>
      <c r="E27" s="61" t="s">
        <v>156</v>
      </c>
      <c r="F27" s="238">
        <v>2007</v>
      </c>
      <c r="G27" s="119">
        <v>2012</v>
      </c>
      <c r="H27" s="119">
        <v>2017</v>
      </c>
      <c r="I27" s="119">
        <v>2022</v>
      </c>
      <c r="J27" s="119">
        <v>2027</v>
      </c>
      <c r="K27" s="119">
        <v>2032</v>
      </c>
      <c r="L27" s="119">
        <v>2037</v>
      </c>
      <c r="M27" s="119">
        <v>2042</v>
      </c>
      <c r="N27" s="119">
        <v>2047</v>
      </c>
      <c r="O27" s="119">
        <v>2052</v>
      </c>
      <c r="P27" s="419"/>
    </row>
    <row r="28" spans="2:16" s="2725" customFormat="1" ht="15.75">
      <c r="B28" s="152"/>
      <c r="C28" s="413">
        <v>1</v>
      </c>
      <c r="D28" s="414"/>
      <c r="E28" s="96"/>
      <c r="F28" s="657">
        <f t="shared" ref="F28:G31" si="1">0*(Unit.MW)</f>
        <v>0</v>
      </c>
      <c r="G28" s="98">
        <f t="shared" si="1"/>
        <v>0</v>
      </c>
      <c r="H28" s="98">
        <f t="shared" ref="H28:O28" si="2">2000*(Unit.MW)</f>
        <v>2</v>
      </c>
      <c r="I28" s="98">
        <f t="shared" si="2"/>
        <v>2</v>
      </c>
      <c r="J28" s="98">
        <f t="shared" si="2"/>
        <v>2</v>
      </c>
      <c r="K28" s="98">
        <f t="shared" si="2"/>
        <v>2</v>
      </c>
      <c r="L28" s="98">
        <f t="shared" si="2"/>
        <v>2</v>
      </c>
      <c r="M28" s="98">
        <f t="shared" si="2"/>
        <v>2</v>
      </c>
      <c r="N28" s="98">
        <f t="shared" si="2"/>
        <v>2</v>
      </c>
      <c r="O28" s="98">
        <f t="shared" si="2"/>
        <v>2</v>
      </c>
      <c r="P28" s="419"/>
    </row>
    <row r="29" spans="2:16" s="2725" customFormat="1" ht="15.75">
      <c r="B29" s="152"/>
      <c r="C29" s="413">
        <v>2</v>
      </c>
      <c r="D29" s="414"/>
      <c r="E29" s="414"/>
      <c r="F29" s="656">
        <f t="shared" si="1"/>
        <v>0</v>
      </c>
      <c r="G29" s="98">
        <f t="shared" si="1"/>
        <v>0</v>
      </c>
      <c r="H29" s="98">
        <f t="shared" ref="H29:I31" si="3">2000*(Unit.MW)</f>
        <v>2</v>
      </c>
      <c r="I29" s="98">
        <f t="shared" si="3"/>
        <v>2</v>
      </c>
      <c r="J29" s="98">
        <f>3000*(Unit.MW)</f>
        <v>3</v>
      </c>
      <c r="K29" s="98">
        <f>3000*(Unit.MW)</f>
        <v>3</v>
      </c>
      <c r="L29" s="98">
        <f>6600*(Unit.MW)</f>
        <v>6.6000000000000005</v>
      </c>
      <c r="M29" s="98">
        <f>8250*(Unit.MW)</f>
        <v>8.25</v>
      </c>
      <c r="N29" s="98">
        <f>9350*(Unit.MW)</f>
        <v>9.35</v>
      </c>
      <c r="O29" s="98">
        <f>12500*(Unit.MW)</f>
        <v>12.5</v>
      </c>
      <c r="P29" s="419"/>
    </row>
    <row r="30" spans="2:16" s="2725" customFormat="1" ht="15.75">
      <c r="B30" s="152"/>
      <c r="C30" s="413">
        <v>3</v>
      </c>
      <c r="D30" s="414"/>
      <c r="E30" s="414"/>
      <c r="F30" s="656">
        <f t="shared" si="1"/>
        <v>0</v>
      </c>
      <c r="G30" s="98">
        <f t="shared" si="1"/>
        <v>0</v>
      </c>
      <c r="H30" s="98">
        <f t="shared" si="3"/>
        <v>2</v>
      </c>
      <c r="I30" s="98">
        <f t="shared" si="3"/>
        <v>2</v>
      </c>
      <c r="J30" s="98">
        <f>3000*(Unit.MW)</f>
        <v>3</v>
      </c>
      <c r="K30" s="98">
        <f>4500*(Unit.MW)</f>
        <v>4.5</v>
      </c>
      <c r="L30" s="98">
        <f>8250*(Unit.MW)</f>
        <v>8.25</v>
      </c>
      <c r="M30" s="98">
        <f>13500*(Unit.MW)</f>
        <v>13.5</v>
      </c>
      <c r="N30" s="98">
        <f>17750*(Unit.MW)</f>
        <v>17.75</v>
      </c>
      <c r="O30" s="98">
        <f>23000*(Unit.MW)</f>
        <v>23</v>
      </c>
      <c r="P30" s="419"/>
    </row>
    <row r="31" spans="2:16" s="2725" customFormat="1" ht="15.75">
      <c r="B31" s="152"/>
      <c r="C31" s="411">
        <v>4</v>
      </c>
      <c r="D31" s="65"/>
      <c r="E31" s="65"/>
      <c r="F31" s="655">
        <f t="shared" si="1"/>
        <v>0</v>
      </c>
      <c r="G31" s="98">
        <f t="shared" si="1"/>
        <v>0</v>
      </c>
      <c r="H31" s="98">
        <f t="shared" si="3"/>
        <v>2</v>
      </c>
      <c r="I31" s="98">
        <f t="shared" si="3"/>
        <v>2</v>
      </c>
      <c r="J31" s="98">
        <f>4650*(Unit.MW)</f>
        <v>4.6500000000000004</v>
      </c>
      <c r="K31" s="98">
        <f>8900*(Unit.MW)</f>
        <v>8.9</v>
      </c>
      <c r="L31" s="98">
        <f>14150*(Unit.MW)</f>
        <v>14.15</v>
      </c>
      <c r="M31" s="98">
        <f>19400*(Unit.MW)</f>
        <v>19.400000000000002</v>
      </c>
      <c r="N31" s="98">
        <f>23650*(Unit.MW)</f>
        <v>23.650000000000002</v>
      </c>
      <c r="O31" s="98">
        <f>31500*(Unit.MW)</f>
        <v>31.5</v>
      </c>
      <c r="P31" s="419"/>
    </row>
    <row r="32" spans="2:16" s="2725" customFormat="1" ht="15.75">
      <c r="B32" s="152"/>
      <c r="C32" s="542" t="s">
        <v>406</v>
      </c>
      <c r="D32" s="407"/>
      <c r="E32" s="407"/>
      <c r="F32" s="610">
        <f>(INDEX(F$28:F$31,ROUNDDOWN($E$7,0))*(1-MOD($E$7,1)))+(INDEX(F$28:F$31,ROUNDUP($E$7,0))*MOD($E$7,1))</f>
        <v>0</v>
      </c>
      <c r="G32" s="610">
        <f t="shared" ref="G32:O32" si="4">(INDEX(G$28:G$31,ROUNDDOWN($E$7,0))*(1-MOD($E$7,1)))+(INDEX(G$28:G$31,ROUNDUP($E$7,0))*MOD($E$7,1))</f>
        <v>0</v>
      </c>
      <c r="H32" s="610">
        <f t="shared" si="4"/>
        <v>2</v>
      </c>
      <c r="I32" s="610">
        <f t="shared" si="4"/>
        <v>2</v>
      </c>
      <c r="J32" s="610">
        <f t="shared" si="4"/>
        <v>2</v>
      </c>
      <c r="K32" s="610">
        <f t="shared" si="4"/>
        <v>2</v>
      </c>
      <c r="L32" s="610">
        <f t="shared" si="4"/>
        <v>2</v>
      </c>
      <c r="M32" s="610">
        <f t="shared" si="4"/>
        <v>2</v>
      </c>
      <c r="N32" s="610">
        <f t="shared" si="4"/>
        <v>2</v>
      </c>
      <c r="O32" s="610">
        <f t="shared" si="4"/>
        <v>2</v>
      </c>
      <c r="P32" s="419"/>
    </row>
    <row r="33" spans="2:16" s="2725" customFormat="1" ht="15.75">
      <c r="B33" s="152"/>
      <c r="C33" s="126"/>
      <c r="D33" s="414"/>
      <c r="E33" s="414"/>
      <c r="F33" s="222"/>
      <c r="G33" s="222"/>
      <c r="H33" s="222"/>
      <c r="I33" s="222"/>
      <c r="J33" s="222"/>
      <c r="K33" s="222"/>
      <c r="L33" s="222"/>
      <c r="M33" s="222"/>
      <c r="N33" s="222"/>
      <c r="O33" s="222"/>
      <c r="P33" s="419"/>
    </row>
    <row r="34" spans="2:16" s="2725" customFormat="1" ht="15.75">
      <c r="B34" s="152"/>
      <c r="C34" s="416" t="s">
        <v>2135</v>
      </c>
      <c r="D34" s="415"/>
      <c r="E34" s="104"/>
      <c r="F34" s="415"/>
      <c r="G34" s="415"/>
      <c r="H34" s="415"/>
      <c r="I34" s="415"/>
      <c r="J34" s="415"/>
      <c r="K34" s="415"/>
      <c r="L34" s="415"/>
      <c r="M34" s="415"/>
      <c r="N34" s="415"/>
      <c r="O34" s="104" t="str">
        <f>Preferences.PowerUnits</f>
        <v>GW</v>
      </c>
      <c r="P34" s="419"/>
    </row>
    <row r="35" spans="2:16" s="2725" customFormat="1" ht="15.75">
      <c r="B35" s="152"/>
      <c r="C35" s="415"/>
      <c r="D35" s="415"/>
      <c r="E35" s="415"/>
      <c r="F35" s="415"/>
      <c r="G35" s="415"/>
      <c r="H35" s="415"/>
      <c r="I35" s="415"/>
      <c r="J35" s="415"/>
      <c r="K35" s="415"/>
      <c r="L35" s="415"/>
      <c r="M35" s="415"/>
      <c r="N35" s="415"/>
      <c r="O35" s="415"/>
      <c r="P35" s="419"/>
    </row>
    <row r="36" spans="2:16" s="2725" customFormat="1" ht="15.75">
      <c r="B36" s="152"/>
      <c r="C36" s="61" t="s">
        <v>411</v>
      </c>
      <c r="D36" s="61" t="s">
        <v>65</v>
      </c>
      <c r="E36" s="61" t="s">
        <v>156</v>
      </c>
      <c r="F36" s="238">
        <v>2007</v>
      </c>
      <c r="G36" s="119">
        <v>2012</v>
      </c>
      <c r="H36" s="119">
        <v>2017</v>
      </c>
      <c r="I36" s="119">
        <v>2022</v>
      </c>
      <c r="J36" s="119">
        <v>2027</v>
      </c>
      <c r="K36" s="119">
        <v>2032</v>
      </c>
      <c r="L36" s="119">
        <v>2037</v>
      </c>
      <c r="M36" s="119">
        <v>2042</v>
      </c>
      <c r="N36" s="119">
        <v>2047</v>
      </c>
      <c r="O36" s="119">
        <v>2052</v>
      </c>
      <c r="P36" s="419"/>
    </row>
    <row r="37" spans="2:16" s="2725" customFormat="1" ht="15.75">
      <c r="B37" s="152"/>
      <c r="C37" s="413">
        <v>1</v>
      </c>
      <c r="D37" s="414"/>
      <c r="E37" s="96"/>
      <c r="F37" s="657">
        <f t="shared" ref="F37:G40" si="5">0*(Unit.MW)</f>
        <v>0</v>
      </c>
      <c r="G37" s="98">
        <f t="shared" si="5"/>
        <v>0</v>
      </c>
      <c r="H37" s="98">
        <f t="shared" ref="H37:O37" si="6">500*(Unit.MW)</f>
        <v>0.5</v>
      </c>
      <c r="I37" s="98">
        <f t="shared" si="6"/>
        <v>0.5</v>
      </c>
      <c r="J37" s="98">
        <f t="shared" si="6"/>
        <v>0.5</v>
      </c>
      <c r="K37" s="98">
        <f t="shared" si="6"/>
        <v>0.5</v>
      </c>
      <c r="L37" s="98">
        <f t="shared" si="6"/>
        <v>0.5</v>
      </c>
      <c r="M37" s="98">
        <f t="shared" si="6"/>
        <v>0.5</v>
      </c>
      <c r="N37" s="98">
        <f t="shared" si="6"/>
        <v>0.5</v>
      </c>
      <c r="O37" s="98">
        <f t="shared" si="6"/>
        <v>0.5</v>
      </c>
      <c r="P37" s="419"/>
    </row>
    <row r="38" spans="2:16" s="2725" customFormat="1" ht="15.75">
      <c r="B38" s="152"/>
      <c r="C38" s="413">
        <v>2</v>
      </c>
      <c r="D38" s="414"/>
      <c r="E38" s="414"/>
      <c r="F38" s="656">
        <f t="shared" si="5"/>
        <v>0</v>
      </c>
      <c r="G38" s="98">
        <f t="shared" si="5"/>
        <v>0</v>
      </c>
      <c r="H38" s="98">
        <f t="shared" ref="H38:J40" si="7">500*(Unit.MW)</f>
        <v>0.5</v>
      </c>
      <c r="I38" s="98">
        <f t="shared" si="7"/>
        <v>0.5</v>
      </c>
      <c r="J38" s="98">
        <f t="shared" si="7"/>
        <v>0.5</v>
      </c>
      <c r="K38" s="98">
        <f>1000*(Unit.MW)</f>
        <v>1</v>
      </c>
      <c r="L38" s="98">
        <f>1500*(Unit.MW)</f>
        <v>1.5</v>
      </c>
      <c r="M38" s="98">
        <f>1500*(Unit.MW)</f>
        <v>1.5</v>
      </c>
      <c r="N38" s="98">
        <f>1500*(Unit.MW)</f>
        <v>1.5</v>
      </c>
      <c r="O38" s="98">
        <f>1500*(Unit.MW)</f>
        <v>1.5</v>
      </c>
      <c r="P38" s="419"/>
    </row>
    <row r="39" spans="2:16" s="2725" customFormat="1" ht="15.75">
      <c r="B39" s="152"/>
      <c r="C39" s="413">
        <v>3</v>
      </c>
      <c r="D39" s="414"/>
      <c r="E39" s="414"/>
      <c r="F39" s="656">
        <f t="shared" si="5"/>
        <v>0</v>
      </c>
      <c r="G39" s="98">
        <f t="shared" si="5"/>
        <v>0</v>
      </c>
      <c r="H39" s="98">
        <f t="shared" si="7"/>
        <v>0.5</v>
      </c>
      <c r="I39" s="98">
        <f t="shared" si="7"/>
        <v>0.5</v>
      </c>
      <c r="J39" s="98">
        <f t="shared" si="7"/>
        <v>0.5</v>
      </c>
      <c r="K39" s="98">
        <f>1000*(Unit.MW)</f>
        <v>1</v>
      </c>
      <c r="L39" s="98">
        <f>1500*(Unit.MW)</f>
        <v>1.5</v>
      </c>
      <c r="M39" s="98">
        <f>2500*(Unit.MW)</f>
        <v>2.5</v>
      </c>
      <c r="N39" s="98">
        <f>3000*(Unit.MW)</f>
        <v>3</v>
      </c>
      <c r="O39" s="98">
        <f>3500*(Unit.MW)</f>
        <v>3.5</v>
      </c>
      <c r="P39" s="419"/>
    </row>
    <row r="40" spans="2:16" s="2725" customFormat="1" ht="15.75">
      <c r="B40" s="152"/>
      <c r="C40" s="411">
        <v>4</v>
      </c>
      <c r="D40" s="65"/>
      <c r="E40" s="65"/>
      <c r="F40" s="655">
        <f t="shared" si="5"/>
        <v>0</v>
      </c>
      <c r="G40" s="98">
        <f t="shared" si="5"/>
        <v>0</v>
      </c>
      <c r="H40" s="98">
        <f t="shared" si="7"/>
        <v>0.5</v>
      </c>
      <c r="I40" s="98">
        <f t="shared" si="7"/>
        <v>0.5</v>
      </c>
      <c r="J40" s="98">
        <f t="shared" si="7"/>
        <v>0.5</v>
      </c>
      <c r="K40" s="98">
        <f>1500*(Unit.MW)</f>
        <v>1.5</v>
      </c>
      <c r="L40" s="98">
        <f>2500*(Unit.MW)</f>
        <v>2.5</v>
      </c>
      <c r="M40" s="98">
        <f>3500*(Unit.MW)</f>
        <v>3.5</v>
      </c>
      <c r="N40" s="98">
        <f>4500*(Unit.MW)</f>
        <v>4.5</v>
      </c>
      <c r="O40" s="98">
        <f>5500*(Unit.MW)</f>
        <v>5.5</v>
      </c>
      <c r="P40" s="419"/>
    </row>
    <row r="41" spans="2:16" s="2725" customFormat="1" ht="15.75">
      <c r="B41" s="152"/>
      <c r="C41" s="542" t="s">
        <v>406</v>
      </c>
      <c r="D41" s="407"/>
      <c r="E41" s="407"/>
      <c r="F41" s="610">
        <f>(INDEX(F$37:F$40,ROUNDDOWN($E$7,0))*(1-MOD($E$7,1)))+(INDEX(F$37:F$40,ROUNDUP($E$7,0))*MOD($E$7,1))</f>
        <v>0</v>
      </c>
      <c r="G41" s="610">
        <f t="shared" ref="G41:O41" si="8">(INDEX(G$37:G$40,ROUNDDOWN($E$7,0))*(1-MOD($E$7,1)))+(INDEX(G$37:G$40,ROUNDUP($E$7,0))*MOD($E$7,1))</f>
        <v>0</v>
      </c>
      <c r="H41" s="610">
        <f t="shared" si="8"/>
        <v>0.5</v>
      </c>
      <c r="I41" s="610">
        <f t="shared" si="8"/>
        <v>0.5</v>
      </c>
      <c r="J41" s="610">
        <f t="shared" si="8"/>
        <v>0.5</v>
      </c>
      <c r="K41" s="610">
        <f t="shared" si="8"/>
        <v>0.5</v>
      </c>
      <c r="L41" s="610">
        <f t="shared" si="8"/>
        <v>0.5</v>
      </c>
      <c r="M41" s="610">
        <f t="shared" si="8"/>
        <v>0.5</v>
      </c>
      <c r="N41" s="610">
        <f t="shared" si="8"/>
        <v>0.5</v>
      </c>
      <c r="O41" s="610">
        <f t="shared" si="8"/>
        <v>0.5</v>
      </c>
      <c r="P41" s="419"/>
    </row>
    <row r="42" spans="2:16" s="2725" customFormat="1" ht="15.75">
      <c r="B42" s="152"/>
      <c r="C42" s="126"/>
      <c r="D42" s="414"/>
      <c r="E42" s="414"/>
      <c r="F42" s="222"/>
      <c r="G42" s="222"/>
      <c r="H42" s="222"/>
      <c r="I42" s="222"/>
      <c r="J42" s="222"/>
      <c r="K42" s="222"/>
      <c r="L42" s="222"/>
      <c r="M42" s="222"/>
      <c r="N42" s="222"/>
      <c r="O42" s="222"/>
      <c r="P42" s="419"/>
    </row>
    <row r="43" spans="2:16" s="2725" customFormat="1" ht="15.75">
      <c r="B43" s="152"/>
      <c r="C43" s="416" t="s">
        <v>2136</v>
      </c>
      <c r="D43" s="415"/>
      <c r="E43" s="104"/>
      <c r="F43" s="415"/>
      <c r="G43" s="415"/>
      <c r="H43" s="415"/>
      <c r="I43" s="415"/>
      <c r="J43" s="415"/>
      <c r="K43" s="415"/>
      <c r="L43" s="415"/>
      <c r="M43" s="415"/>
      <c r="N43" s="415"/>
      <c r="O43" s="104" t="str">
        <f>Preferences.PowerUnits</f>
        <v>GW</v>
      </c>
      <c r="P43" s="419"/>
    </row>
    <row r="44" spans="2:16" s="2725" customFormat="1" ht="15.75">
      <c r="B44" s="152"/>
      <c r="C44" s="415"/>
      <c r="D44" s="415"/>
      <c r="E44" s="415"/>
      <c r="F44" s="415"/>
      <c r="G44" s="415"/>
      <c r="H44" s="415"/>
      <c r="I44" s="415"/>
      <c r="J44" s="415"/>
      <c r="K44" s="415"/>
      <c r="L44" s="415"/>
      <c r="M44" s="415"/>
      <c r="N44" s="415"/>
      <c r="O44" s="415"/>
      <c r="P44" s="419"/>
    </row>
    <row r="45" spans="2:16" s="2725" customFormat="1" ht="15.75">
      <c r="B45" s="152"/>
      <c r="C45" s="61" t="s">
        <v>411</v>
      </c>
      <c r="D45" s="61" t="s">
        <v>65</v>
      </c>
      <c r="E45" s="61" t="s">
        <v>156</v>
      </c>
      <c r="F45" s="238">
        <v>2007</v>
      </c>
      <c r="G45" s="119">
        <v>2012</v>
      </c>
      <c r="H45" s="119">
        <v>2017</v>
      </c>
      <c r="I45" s="119">
        <v>2022</v>
      </c>
      <c r="J45" s="119">
        <v>2027</v>
      </c>
      <c r="K45" s="119">
        <v>2032</v>
      </c>
      <c r="L45" s="119">
        <v>2037</v>
      </c>
      <c r="M45" s="119">
        <v>2042</v>
      </c>
      <c r="N45" s="119">
        <v>2047</v>
      </c>
      <c r="O45" s="119">
        <v>2052</v>
      </c>
      <c r="P45" s="419"/>
    </row>
    <row r="46" spans="2:16" s="2725" customFormat="1" ht="15.75">
      <c r="B46" s="152"/>
      <c r="C46" s="413">
        <v>1</v>
      </c>
      <c r="D46" s="414"/>
      <c r="E46" s="96"/>
      <c r="F46" s="657">
        <f>F19+F28+F37</f>
        <v>4.04</v>
      </c>
      <c r="G46" s="657">
        <f t="shared" ref="G46:O46" si="9">G19+G28+G37</f>
        <v>4.68</v>
      </c>
      <c r="H46" s="657">
        <f t="shared" si="9"/>
        <v>9.98</v>
      </c>
      <c r="I46" s="657">
        <f t="shared" si="9"/>
        <v>9.66</v>
      </c>
      <c r="J46" s="657">
        <f t="shared" si="9"/>
        <v>9.66</v>
      </c>
      <c r="K46" s="657">
        <f t="shared" si="9"/>
        <v>9.4600000000000009</v>
      </c>
      <c r="L46" s="657">
        <f t="shared" si="9"/>
        <v>9.02</v>
      </c>
      <c r="M46" s="657">
        <f t="shared" si="9"/>
        <v>8.8000000000000007</v>
      </c>
      <c r="N46" s="657">
        <f t="shared" si="9"/>
        <v>8.36</v>
      </c>
      <c r="O46" s="657">
        <f t="shared" si="9"/>
        <v>8.36</v>
      </c>
      <c r="P46" s="419"/>
    </row>
    <row r="47" spans="2:16" s="2725" customFormat="1" ht="15.75">
      <c r="B47" s="152"/>
      <c r="C47" s="413">
        <v>2</v>
      </c>
      <c r="D47" s="414"/>
      <c r="E47" s="414"/>
      <c r="F47" s="657">
        <f t="shared" ref="F47:O49" si="10">F20+F29+F38</f>
        <v>4.04</v>
      </c>
      <c r="G47" s="657">
        <f t="shared" si="10"/>
        <v>4.68</v>
      </c>
      <c r="H47" s="657">
        <f t="shared" si="10"/>
        <v>9.98</v>
      </c>
      <c r="I47" s="657">
        <f t="shared" si="10"/>
        <v>11.76</v>
      </c>
      <c r="J47" s="657">
        <f t="shared" si="10"/>
        <v>14.16</v>
      </c>
      <c r="K47" s="657">
        <f t="shared" si="10"/>
        <v>16.560000000000002</v>
      </c>
      <c r="L47" s="657">
        <f t="shared" si="10"/>
        <v>20.92</v>
      </c>
      <c r="M47" s="657">
        <f t="shared" si="10"/>
        <v>24.450000000000003</v>
      </c>
      <c r="N47" s="657">
        <f t="shared" si="10"/>
        <v>25.11</v>
      </c>
      <c r="O47" s="657">
        <f t="shared" si="10"/>
        <v>28.259999999999998</v>
      </c>
      <c r="P47" s="419"/>
    </row>
    <row r="48" spans="2:16" s="2725" customFormat="1" ht="15.75">
      <c r="B48" s="152"/>
      <c r="C48" s="413">
        <v>3</v>
      </c>
      <c r="D48" s="414"/>
      <c r="E48" s="414"/>
      <c r="F48" s="657">
        <f t="shared" si="10"/>
        <v>4.04</v>
      </c>
      <c r="G48" s="657">
        <f t="shared" si="10"/>
        <v>4.68</v>
      </c>
      <c r="H48" s="657">
        <f t="shared" si="10"/>
        <v>9.98</v>
      </c>
      <c r="I48" s="657">
        <f t="shared" si="10"/>
        <v>12.46</v>
      </c>
      <c r="J48" s="657">
        <f t="shared" si="10"/>
        <v>15.56</v>
      </c>
      <c r="K48" s="657">
        <f t="shared" si="10"/>
        <v>20.86</v>
      </c>
      <c r="L48" s="657">
        <f t="shared" si="10"/>
        <v>26.77</v>
      </c>
      <c r="M48" s="657">
        <f t="shared" si="10"/>
        <v>34.200000000000003</v>
      </c>
      <c r="N48" s="657">
        <f t="shared" si="10"/>
        <v>42.010000000000005</v>
      </c>
      <c r="O48" s="657">
        <f t="shared" si="10"/>
        <v>50.56</v>
      </c>
      <c r="P48" s="419"/>
    </row>
    <row r="49" spans="1:16" s="2725" customFormat="1" ht="15.75">
      <c r="B49" s="152"/>
      <c r="C49" s="411">
        <v>4</v>
      </c>
      <c r="D49" s="65"/>
      <c r="E49" s="65"/>
      <c r="F49" s="657">
        <f t="shared" si="10"/>
        <v>4.04</v>
      </c>
      <c r="G49" s="657">
        <f t="shared" si="10"/>
        <v>4.68</v>
      </c>
      <c r="H49" s="657">
        <f t="shared" si="10"/>
        <v>9.98</v>
      </c>
      <c r="I49" s="657">
        <f t="shared" si="10"/>
        <v>12.46</v>
      </c>
      <c r="J49" s="657">
        <f t="shared" si="10"/>
        <v>17.21</v>
      </c>
      <c r="K49" s="657">
        <f t="shared" si="10"/>
        <v>25.759999999999998</v>
      </c>
      <c r="L49" s="657">
        <f t="shared" si="10"/>
        <v>33.67</v>
      </c>
      <c r="M49" s="657">
        <f t="shared" si="10"/>
        <v>41.1</v>
      </c>
      <c r="N49" s="657">
        <f t="shared" si="10"/>
        <v>49.410000000000004</v>
      </c>
      <c r="O49" s="657">
        <f t="shared" si="10"/>
        <v>61.06</v>
      </c>
      <c r="P49" s="419"/>
    </row>
    <row r="50" spans="1:16" s="2725" customFormat="1" ht="15.75">
      <c r="B50" s="152"/>
      <c r="C50" s="542" t="s">
        <v>406</v>
      </c>
      <c r="D50" s="407"/>
      <c r="E50" s="407"/>
      <c r="F50" s="610">
        <f>(INDEX(F$46:F$49,ROUNDDOWN($E$7,0))*(1-MOD($E$7,1)))+(INDEX(F$46:F$49,ROUNDUP($E$7,0))*MOD($E$7,1))</f>
        <v>4.04</v>
      </c>
      <c r="G50" s="610">
        <f t="shared" ref="G50:O50" si="11">(INDEX(G$46:G$49,ROUNDDOWN($E$7,0))*(1-MOD($E$7,1)))+(INDEX(G$46:G$49,ROUNDUP($E$7,0))*MOD($E$7,1))</f>
        <v>4.68</v>
      </c>
      <c r="H50" s="610">
        <f t="shared" si="11"/>
        <v>9.98</v>
      </c>
      <c r="I50" s="610">
        <f t="shared" si="11"/>
        <v>9.66</v>
      </c>
      <c r="J50" s="610">
        <f t="shared" si="11"/>
        <v>9.66</v>
      </c>
      <c r="K50" s="610">
        <f t="shared" si="11"/>
        <v>9.4600000000000009</v>
      </c>
      <c r="L50" s="610">
        <f t="shared" si="11"/>
        <v>9.02</v>
      </c>
      <c r="M50" s="610">
        <f t="shared" si="11"/>
        <v>8.8000000000000007</v>
      </c>
      <c r="N50" s="610">
        <f t="shared" si="11"/>
        <v>8.36</v>
      </c>
      <c r="O50" s="610">
        <f t="shared" si="11"/>
        <v>8.36</v>
      </c>
      <c r="P50" s="419"/>
    </row>
    <row r="51" spans="1:16" s="2725" customFormat="1">
      <c r="B51" s="214"/>
      <c r="C51" s="413"/>
      <c r="D51" s="414"/>
      <c r="E51" s="414"/>
      <c r="F51" s="98"/>
      <c r="G51" s="137"/>
      <c r="H51" s="137"/>
      <c r="I51" s="137"/>
      <c r="J51" s="137"/>
      <c r="K51" s="137"/>
      <c r="L51" s="137"/>
      <c r="M51" s="137"/>
      <c r="N51" s="137"/>
      <c r="O51" s="137"/>
      <c r="P51" s="419"/>
    </row>
    <row r="52" spans="1:16" s="2725" customFormat="1">
      <c r="B52" s="208"/>
    </row>
    <row r="53" spans="1:16" s="51" customFormat="1" ht="22.5">
      <c r="A53" s="162"/>
      <c r="B53" s="421" t="s">
        <v>265</v>
      </c>
      <c r="C53" s="159"/>
      <c r="D53" s="159"/>
      <c r="E53" s="159"/>
      <c r="F53" s="159"/>
      <c r="G53" s="159"/>
      <c r="H53" s="159"/>
      <c r="I53" s="159"/>
      <c r="J53" s="159"/>
      <c r="K53" s="159"/>
      <c r="L53" s="159"/>
      <c r="M53" s="159"/>
      <c r="N53" s="159"/>
      <c r="O53" s="159"/>
      <c r="P53" s="160"/>
    </row>
    <row r="54" spans="1:16" s="2725" customFormat="1">
      <c r="B54" s="211"/>
      <c r="C54" s="415"/>
      <c r="D54" s="415"/>
      <c r="E54" s="415"/>
      <c r="F54" s="415"/>
      <c r="G54" s="415"/>
      <c r="H54" s="415"/>
      <c r="I54" s="415"/>
      <c r="J54" s="415"/>
      <c r="K54" s="415"/>
      <c r="L54" s="415"/>
      <c r="M54" s="415"/>
      <c r="N54" s="415"/>
      <c r="O54" s="415"/>
      <c r="P54" s="419"/>
    </row>
    <row r="55" spans="1:16" s="2725" customFormat="1">
      <c r="B55" s="211"/>
      <c r="C55" s="415"/>
      <c r="D55" s="415"/>
      <c r="E55" s="415"/>
      <c r="F55" s="415"/>
      <c r="G55" s="415"/>
      <c r="H55" s="415"/>
      <c r="I55" s="415"/>
      <c r="J55" s="415"/>
      <c r="K55" s="415"/>
      <c r="L55" s="415"/>
      <c r="M55" s="415"/>
      <c r="N55" s="415"/>
      <c r="O55" s="415"/>
      <c r="P55" s="419"/>
    </row>
    <row r="56" spans="1:16" s="2725" customFormat="1">
      <c r="B56" s="215"/>
      <c r="C56" s="416" t="s">
        <v>238</v>
      </c>
      <c r="D56" s="415"/>
      <c r="E56" s="415"/>
      <c r="F56" s="136"/>
      <c r="G56" s="104"/>
      <c r="H56" s="415"/>
      <c r="I56" s="415"/>
      <c r="J56" s="415"/>
      <c r="K56" s="415"/>
      <c r="L56" s="415"/>
      <c r="M56" s="415"/>
      <c r="N56" s="415"/>
      <c r="O56" s="415"/>
      <c r="P56" s="419"/>
    </row>
    <row r="57" spans="1:16" s="2725" customFormat="1">
      <c r="B57" s="211"/>
      <c r="C57" s="415"/>
      <c r="D57" s="415"/>
      <c r="E57" s="415"/>
      <c r="F57" s="136"/>
      <c r="G57" s="415"/>
      <c r="H57" s="415"/>
      <c r="I57" s="415"/>
      <c r="J57" s="415"/>
      <c r="K57" s="415"/>
      <c r="L57" s="415"/>
      <c r="M57" s="415"/>
      <c r="N57" s="415"/>
      <c r="O57" s="415"/>
      <c r="P57" s="419"/>
    </row>
    <row r="58" spans="1:16" s="2725" customFormat="1" ht="15.75">
      <c r="B58" s="212"/>
      <c r="C58" s="61" t="s">
        <v>227</v>
      </c>
      <c r="D58" s="61" t="s">
        <v>240</v>
      </c>
      <c r="E58" s="61" t="s">
        <v>156</v>
      </c>
      <c r="F58" s="238">
        <v>2007</v>
      </c>
      <c r="G58" s="119">
        <v>2012</v>
      </c>
      <c r="H58" s="119">
        <v>2017</v>
      </c>
      <c r="I58" s="119">
        <v>2022</v>
      </c>
      <c r="J58" s="119">
        <v>2027</v>
      </c>
      <c r="K58" s="119">
        <v>2032</v>
      </c>
      <c r="L58" s="119">
        <v>2037</v>
      </c>
      <c r="M58" s="119">
        <v>2042</v>
      </c>
      <c r="N58" s="119">
        <v>2047</v>
      </c>
      <c r="O58" s="119">
        <v>2052</v>
      </c>
      <c r="P58" s="419"/>
    </row>
    <row r="59" spans="1:16" s="51" customFormat="1" ht="15.75">
      <c r="B59" s="213"/>
      <c r="C59" s="78" t="s">
        <v>7</v>
      </c>
      <c r="D59" s="79" t="str">
        <f>INDEX(Vectors[Description], MATCH($C59, Vectors[Code], 0))</f>
        <v>Nuclear fission</v>
      </c>
      <c r="E59" s="79"/>
      <c r="F59" s="236">
        <v>0.35</v>
      </c>
      <c r="G59" s="236">
        <v>0.35</v>
      </c>
      <c r="H59" s="236">
        <v>0.35</v>
      </c>
      <c r="I59" s="236">
        <v>0.35</v>
      </c>
      <c r="J59" s="236">
        <v>0.35</v>
      </c>
      <c r="K59" s="236">
        <v>0.35</v>
      </c>
      <c r="L59" s="236">
        <v>0.35</v>
      </c>
      <c r="M59" s="236">
        <v>0.35</v>
      </c>
      <c r="N59" s="236">
        <v>0.35</v>
      </c>
      <c r="O59" s="236">
        <v>0.35</v>
      </c>
      <c r="P59" s="154"/>
    </row>
    <row r="60" spans="1:16" s="2725" customFormat="1">
      <c r="B60" s="211"/>
      <c r="C60" s="415"/>
      <c r="D60" s="415"/>
      <c r="E60" s="415"/>
      <c r="F60" s="415"/>
      <c r="G60" s="415"/>
      <c r="H60" s="415"/>
      <c r="I60" s="415"/>
      <c r="J60" s="415"/>
      <c r="K60" s="415"/>
      <c r="L60" s="415"/>
      <c r="M60" s="415"/>
      <c r="N60" s="415"/>
      <c r="O60" s="415"/>
      <c r="P60" s="419"/>
    </row>
    <row r="61" spans="1:16" s="2725" customFormat="1">
      <c r="B61" s="211"/>
      <c r="C61" s="416" t="s">
        <v>262</v>
      </c>
      <c r="D61" s="415"/>
      <c r="E61" s="415"/>
      <c r="F61" s="415"/>
      <c r="G61" s="104"/>
      <c r="H61" s="415"/>
      <c r="I61" s="415"/>
      <c r="J61" s="415"/>
      <c r="K61" s="415"/>
      <c r="L61" s="415"/>
      <c r="M61" s="415"/>
      <c r="N61" s="415"/>
      <c r="O61" s="415"/>
      <c r="P61" s="419"/>
    </row>
    <row r="62" spans="1:16" s="2725" customFormat="1" ht="6" customHeight="1">
      <c r="B62" s="211"/>
      <c r="C62" s="415"/>
      <c r="D62" s="415"/>
      <c r="E62" s="415"/>
      <c r="F62" s="415"/>
      <c r="G62" s="415"/>
      <c r="H62" s="415"/>
      <c r="I62" s="415"/>
      <c r="J62" s="415"/>
      <c r="K62" s="415"/>
      <c r="L62" s="415"/>
      <c r="M62" s="415"/>
      <c r="N62" s="415"/>
      <c r="O62" s="415"/>
      <c r="P62" s="419"/>
    </row>
    <row r="63" spans="1:16" s="2725" customFormat="1" ht="15.75">
      <c r="B63" s="212"/>
      <c r="C63" s="61" t="s">
        <v>227</v>
      </c>
      <c r="D63" s="61" t="s">
        <v>240</v>
      </c>
      <c r="E63" s="61" t="s">
        <v>156</v>
      </c>
      <c r="F63" s="238">
        <v>2007</v>
      </c>
      <c r="G63" s="119">
        <v>2012</v>
      </c>
      <c r="H63" s="119">
        <v>2017</v>
      </c>
      <c r="I63" s="119">
        <v>2022</v>
      </c>
      <c r="J63" s="119">
        <v>2027</v>
      </c>
      <c r="K63" s="119">
        <v>2032</v>
      </c>
      <c r="L63" s="119">
        <v>2037</v>
      </c>
      <c r="M63" s="119">
        <v>2042</v>
      </c>
      <c r="N63" s="119">
        <v>2047</v>
      </c>
      <c r="O63" s="119">
        <v>2052</v>
      </c>
      <c r="P63" s="419"/>
    </row>
    <row r="64" spans="1:16" s="2725" customFormat="1" ht="15.75">
      <c r="B64" s="212"/>
      <c r="C64" s="411" t="s">
        <v>7</v>
      </c>
      <c r="D64" s="79" t="str">
        <f>INDEX(Vectors[Description], MATCH($C64, Vectors[Code], 0))</f>
        <v>Nuclear fission</v>
      </c>
      <c r="E64" s="65"/>
      <c r="F64" s="236">
        <v>0.8</v>
      </c>
      <c r="G64" s="236">
        <v>0.8</v>
      </c>
      <c r="H64" s="236">
        <v>0.8</v>
      </c>
      <c r="I64" s="70">
        <v>0.8</v>
      </c>
      <c r="J64" s="70">
        <v>0.8</v>
      </c>
      <c r="K64" s="70">
        <v>0.8</v>
      </c>
      <c r="L64" s="70">
        <v>0.8</v>
      </c>
      <c r="M64" s="70">
        <v>0.8</v>
      </c>
      <c r="N64" s="70">
        <v>0.8</v>
      </c>
      <c r="O64" s="70">
        <v>0.8</v>
      </c>
      <c r="P64" s="419"/>
    </row>
    <row r="65" spans="1:114" s="2725" customFormat="1">
      <c r="B65" s="211"/>
      <c r="C65" s="415"/>
      <c r="D65" s="415"/>
      <c r="E65" s="415"/>
      <c r="F65" s="415"/>
      <c r="G65" s="415"/>
      <c r="H65" s="415"/>
      <c r="I65" s="415"/>
      <c r="J65" s="415"/>
      <c r="K65" s="415"/>
      <c r="L65" s="415"/>
      <c r="M65" s="415"/>
      <c r="N65" s="415"/>
      <c r="O65" s="415"/>
      <c r="P65" s="419"/>
    </row>
    <row r="66" spans="1:114" s="402" customFormat="1">
      <c r="B66" s="211"/>
      <c r="C66" s="416" t="s">
        <v>2121</v>
      </c>
      <c r="D66" s="415"/>
      <c r="E66" s="104"/>
      <c r="F66" s="104" t="str">
        <f>Preferences.PowerUnits</f>
        <v>GW</v>
      </c>
      <c r="G66" s="415"/>
      <c r="H66" s="415"/>
      <c r="I66" s="415"/>
      <c r="J66" s="415"/>
      <c r="K66" s="415"/>
      <c r="L66" s="415"/>
      <c r="M66" s="415"/>
      <c r="N66" s="415"/>
      <c r="O66" s="104"/>
      <c r="P66" s="419"/>
    </row>
    <row r="67" spans="1:114" s="402" customFormat="1" ht="5.25" customHeight="1">
      <c r="B67" s="211"/>
      <c r="C67" s="415"/>
      <c r="D67" s="415"/>
      <c r="E67" s="415"/>
      <c r="F67" s="415"/>
      <c r="G67" s="415"/>
      <c r="H67" s="415"/>
      <c r="I67" s="415"/>
      <c r="J67" s="415"/>
      <c r="K67" s="415"/>
      <c r="L67" s="415"/>
      <c r="M67" s="415"/>
      <c r="N67" s="415"/>
      <c r="O67" s="415"/>
      <c r="P67" s="419"/>
    </row>
    <row r="68" spans="1:114" s="402" customFormat="1" ht="15.75">
      <c r="B68" s="212"/>
      <c r="C68" s="61" t="s">
        <v>227</v>
      </c>
      <c r="D68" s="61" t="s">
        <v>240</v>
      </c>
      <c r="E68" s="61" t="s">
        <v>156</v>
      </c>
      <c r="F68" s="66">
        <v>2007</v>
      </c>
      <c r="G68" s="66">
        <v>2012</v>
      </c>
      <c r="H68" s="227"/>
      <c r="I68" s="227"/>
      <c r="J68" s="227"/>
      <c r="K68" s="227"/>
      <c r="L68" s="227"/>
      <c r="M68" s="227"/>
      <c r="N68" s="227"/>
      <c r="O68" s="227"/>
      <c r="P68" s="419"/>
    </row>
    <row r="69" spans="1:114" s="402" customFormat="1" ht="15.75">
      <c r="B69" s="212"/>
      <c r="C69" s="78" t="s">
        <v>7</v>
      </c>
      <c r="D69" s="65" t="s">
        <v>2122</v>
      </c>
      <c r="E69" s="79"/>
      <c r="F69" s="1697">
        <f>4040*(Unit.MW)</f>
        <v>4.04</v>
      </c>
      <c r="G69" s="1697">
        <f>4680*(Unit.MW)</f>
        <v>4.68</v>
      </c>
      <c r="H69" s="222"/>
      <c r="I69" s="222"/>
      <c r="J69" s="222"/>
      <c r="K69" s="222"/>
      <c r="L69" s="222"/>
      <c r="M69" s="222"/>
      <c r="N69" s="222"/>
      <c r="O69" s="222"/>
      <c r="P69" s="419"/>
    </row>
    <row r="70" spans="1:114" s="2725" customFormat="1">
      <c r="B70" s="211"/>
      <c r="C70" s="415"/>
      <c r="D70" s="415"/>
      <c r="E70" s="415"/>
      <c r="F70" s="415"/>
      <c r="G70" s="415"/>
      <c r="H70" s="415"/>
      <c r="I70" s="415"/>
      <c r="J70" s="415"/>
      <c r="K70" s="415"/>
      <c r="L70" s="415"/>
      <c r="M70" s="415"/>
      <c r="N70" s="415"/>
      <c r="O70" s="415"/>
      <c r="P70" s="419"/>
    </row>
    <row r="71" spans="1:114" s="2725" customFormat="1">
      <c r="B71" s="211"/>
      <c r="C71" s="415"/>
      <c r="D71" s="415"/>
      <c r="E71" s="415"/>
      <c r="F71" s="415"/>
      <c r="G71" s="415"/>
      <c r="H71" s="415"/>
      <c r="I71" s="415"/>
      <c r="J71" s="415"/>
      <c r="K71" s="415"/>
      <c r="L71" s="415"/>
      <c r="M71" s="415"/>
      <c r="N71" s="415"/>
      <c r="O71" s="415"/>
      <c r="P71" s="419"/>
    </row>
    <row r="72" spans="1:114" s="2725" customFormat="1">
      <c r="B72" s="211"/>
      <c r="C72" s="415"/>
      <c r="D72" s="415"/>
      <c r="E72" s="415"/>
      <c r="F72" s="415"/>
      <c r="G72" s="415"/>
      <c r="H72" s="415"/>
      <c r="I72" s="415"/>
      <c r="J72" s="415"/>
      <c r="K72" s="415"/>
      <c r="L72" s="415"/>
      <c r="M72" s="415"/>
      <c r="N72" s="415"/>
      <c r="O72" s="415"/>
      <c r="P72" s="419"/>
    </row>
    <row r="73" spans="1:114" s="2725" customFormat="1">
      <c r="A73" s="539"/>
      <c r="B73" s="539"/>
      <c r="C73" s="539"/>
      <c r="D73" s="539"/>
      <c r="E73" s="539"/>
      <c r="F73" s="539"/>
      <c r="G73" s="539"/>
      <c r="H73" s="539"/>
      <c r="I73" s="539"/>
      <c r="J73" s="539"/>
      <c r="K73" s="539"/>
      <c r="L73" s="539"/>
      <c r="M73" s="539"/>
      <c r="N73" s="539"/>
      <c r="O73" s="539"/>
      <c r="P73" s="539"/>
      <c r="Q73" s="539"/>
      <c r="R73" s="539"/>
    </row>
    <row r="74" spans="1:114" s="630" customFormat="1" ht="15.75">
      <c r="A74" s="623"/>
      <c r="B74" s="421" t="s">
        <v>711</v>
      </c>
      <c r="C74" s="159"/>
      <c r="D74" s="159"/>
      <c r="E74" s="159"/>
      <c r="F74" s="159"/>
      <c r="G74" s="159"/>
      <c r="H74" s="159"/>
      <c r="I74" s="159"/>
      <c r="J74" s="159"/>
      <c r="K74" s="159"/>
      <c r="L74" s="159"/>
      <c r="M74" s="159"/>
      <c r="N74" s="159"/>
      <c r="O74" s="159"/>
      <c r="P74" s="160"/>
      <c r="Q74" s="627"/>
      <c r="R74" s="628"/>
      <c r="S74" s="1694"/>
      <c r="T74" s="1695"/>
      <c r="U74" s="1695"/>
      <c r="V74" s="1695"/>
      <c r="W74" s="1695"/>
      <c r="X74" s="1694"/>
      <c r="Y74" s="1695"/>
      <c r="Z74" s="1695"/>
      <c r="AA74" s="1696"/>
      <c r="AB74" s="629"/>
      <c r="AC74" s="628"/>
      <c r="AD74" s="628"/>
      <c r="AG74" s="623"/>
      <c r="AH74" s="623"/>
      <c r="AI74" s="623"/>
      <c r="AJ74" s="623"/>
      <c r="AK74" s="623"/>
      <c r="AL74" s="623"/>
      <c r="AM74" s="623"/>
      <c r="AN74" s="623"/>
      <c r="AO74" s="623"/>
      <c r="AP74" s="623"/>
      <c r="AQ74" s="623"/>
      <c r="AR74" s="623"/>
      <c r="AS74" s="623"/>
      <c r="AT74" s="623"/>
      <c r="AU74" s="623"/>
      <c r="AV74" s="623"/>
      <c r="AW74" s="623"/>
      <c r="AX74" s="623"/>
      <c r="AY74" s="623"/>
      <c r="AZ74" s="623"/>
      <c r="BA74" s="623"/>
      <c r="BB74" s="623"/>
      <c r="BC74" s="623"/>
      <c r="BD74" s="623"/>
      <c r="BE74" s="623"/>
      <c r="BF74" s="623"/>
      <c r="BG74" s="623"/>
      <c r="BH74" s="623"/>
      <c r="BI74" s="623"/>
      <c r="BJ74" s="623"/>
      <c r="BK74" s="623"/>
      <c r="BL74" s="623"/>
      <c r="BM74" s="623"/>
      <c r="BN74" s="623"/>
      <c r="BO74" s="623"/>
      <c r="BP74" s="623"/>
      <c r="BQ74" s="623"/>
      <c r="BR74" s="623"/>
      <c r="BS74" s="623"/>
      <c r="BT74" s="623"/>
      <c r="BU74" s="623"/>
      <c r="BV74" s="623"/>
      <c r="BW74" s="623"/>
      <c r="BX74" s="623"/>
      <c r="BY74" s="623"/>
      <c r="BZ74" s="623"/>
      <c r="CA74" s="623"/>
      <c r="CB74" s="623"/>
      <c r="CC74" s="623"/>
      <c r="CD74" s="623"/>
      <c r="CE74" s="623"/>
      <c r="CF74" s="623"/>
      <c r="CG74" s="623"/>
      <c r="CH74" s="623"/>
      <c r="CI74" s="623"/>
      <c r="CJ74" s="623"/>
      <c r="CK74" s="623"/>
      <c r="CL74" s="623"/>
      <c r="CM74" s="623"/>
      <c r="CN74" s="623"/>
      <c r="CO74" s="623"/>
      <c r="CP74" s="623"/>
      <c r="CQ74" s="623"/>
      <c r="CR74" s="623"/>
      <c r="CS74" s="623"/>
      <c r="CT74" s="623"/>
      <c r="CU74" s="623"/>
      <c r="CV74" s="623"/>
      <c r="CW74" s="623"/>
      <c r="CX74" s="623"/>
      <c r="CY74" s="623"/>
      <c r="CZ74" s="623"/>
      <c r="DA74" s="623"/>
      <c r="DB74" s="623"/>
      <c r="DC74" s="623"/>
      <c r="DD74" s="623"/>
      <c r="DE74" s="623"/>
      <c r="DF74" s="623"/>
      <c r="DG74" s="623"/>
      <c r="DH74" s="623"/>
      <c r="DI74" s="623"/>
      <c r="DJ74" s="623"/>
    </row>
    <row r="75" spans="1:114" s="630" customFormat="1">
      <c r="A75" s="623"/>
      <c r="B75" s="418"/>
      <c r="C75" s="415"/>
      <c r="D75" s="415"/>
      <c r="E75" s="415"/>
      <c r="F75" s="415"/>
      <c r="G75" s="415"/>
      <c r="H75" s="415"/>
      <c r="I75" s="415"/>
      <c r="J75" s="415"/>
      <c r="K75" s="415"/>
      <c r="L75" s="415"/>
      <c r="M75" s="415"/>
      <c r="N75" s="415"/>
      <c r="O75" s="415"/>
      <c r="P75" s="419"/>
      <c r="Q75" s="627"/>
      <c r="R75" s="628"/>
      <c r="S75" s="1694"/>
      <c r="T75" s="1695"/>
      <c r="U75" s="1695"/>
      <c r="V75" s="1695"/>
      <c r="W75" s="1695"/>
      <c r="X75" s="1694"/>
      <c r="Y75" s="1695"/>
      <c r="Z75" s="1695"/>
      <c r="AA75" s="1696"/>
      <c r="AB75" s="629"/>
      <c r="AC75" s="628"/>
      <c r="AD75" s="628"/>
      <c r="AG75" s="623"/>
      <c r="AH75" s="623"/>
      <c r="AI75" s="623"/>
      <c r="AJ75" s="623"/>
      <c r="AK75" s="623"/>
      <c r="AL75" s="623"/>
      <c r="AM75" s="623"/>
      <c r="AN75" s="623"/>
      <c r="AO75" s="623"/>
      <c r="AP75" s="623"/>
      <c r="AQ75" s="623"/>
      <c r="AR75" s="623"/>
      <c r="AS75" s="623"/>
      <c r="AT75" s="623"/>
      <c r="AU75" s="623"/>
      <c r="AV75" s="623"/>
      <c r="AW75" s="623"/>
      <c r="AX75" s="623"/>
      <c r="AY75" s="623"/>
      <c r="AZ75" s="623"/>
      <c r="BA75" s="623"/>
      <c r="BB75" s="623"/>
      <c r="BC75" s="623"/>
      <c r="BD75" s="623"/>
      <c r="BE75" s="623"/>
      <c r="BF75" s="623"/>
      <c r="BG75" s="623"/>
      <c r="BH75" s="623"/>
      <c r="BI75" s="623"/>
      <c r="BJ75" s="623"/>
      <c r="BK75" s="623"/>
      <c r="BL75" s="623"/>
      <c r="BM75" s="623"/>
      <c r="BN75" s="623"/>
      <c r="BO75" s="623"/>
      <c r="BP75" s="623"/>
      <c r="BQ75" s="623"/>
      <c r="BR75" s="623"/>
      <c r="BS75" s="623"/>
      <c r="BT75" s="623"/>
      <c r="BU75" s="623"/>
      <c r="BV75" s="623"/>
      <c r="BW75" s="623"/>
      <c r="BX75" s="623"/>
      <c r="BY75" s="623"/>
      <c r="BZ75" s="623"/>
      <c r="CA75" s="623"/>
      <c r="CB75" s="623"/>
      <c r="CC75" s="623"/>
      <c r="CD75" s="623"/>
      <c r="CE75" s="623"/>
      <c r="CF75" s="623"/>
      <c r="CG75" s="623"/>
      <c r="CH75" s="623"/>
      <c r="CI75" s="623"/>
      <c r="CJ75" s="623"/>
      <c r="CK75" s="623"/>
      <c r="CL75" s="623"/>
      <c r="CM75" s="623"/>
      <c r="CN75" s="623"/>
      <c r="CO75" s="623"/>
      <c r="CP75" s="623"/>
      <c r="CQ75" s="623"/>
      <c r="CR75" s="623"/>
      <c r="CS75" s="623"/>
      <c r="CT75" s="623"/>
      <c r="CU75" s="623"/>
      <c r="CV75" s="623"/>
      <c r="CW75" s="623"/>
      <c r="CX75" s="623"/>
      <c r="CY75" s="623"/>
      <c r="CZ75" s="623"/>
      <c r="DA75" s="623"/>
      <c r="DB75" s="623"/>
      <c r="DC75" s="623"/>
      <c r="DD75" s="623"/>
      <c r="DE75" s="623"/>
      <c r="DF75" s="623"/>
      <c r="DG75" s="623"/>
      <c r="DH75" s="623"/>
      <c r="DI75" s="623"/>
      <c r="DJ75" s="623"/>
    </row>
    <row r="76" spans="1:114" s="630" customFormat="1">
      <c r="A76" s="623"/>
      <c r="B76" s="418"/>
      <c r="C76" s="416" t="str">
        <f>"Land requirememt per "&amp;Preferences.PowerUnits&amp;" of Nuclear Power"</f>
        <v>Land requirememt per GW of Nuclear Power</v>
      </c>
      <c r="D76" s="69"/>
      <c r="E76" s="415"/>
      <c r="F76" s="415"/>
      <c r="G76" s="104"/>
      <c r="H76" s="415"/>
      <c r="I76" s="415"/>
      <c r="J76" s="415"/>
      <c r="K76" s="415"/>
      <c r="L76" s="415"/>
      <c r="M76" s="415"/>
      <c r="N76" s="415"/>
      <c r="O76" s="415"/>
      <c r="P76" s="419"/>
      <c r="Q76" s="627"/>
      <c r="R76" s="628"/>
      <c r="S76" s="1694"/>
      <c r="T76" s="1695"/>
      <c r="U76" s="1695"/>
      <c r="V76" s="1695"/>
      <c r="W76" s="1695"/>
      <c r="X76" s="1694"/>
      <c r="Y76" s="1695"/>
      <c r="Z76" s="1695"/>
      <c r="AA76" s="1696"/>
      <c r="AB76" s="629"/>
      <c r="AC76" s="628"/>
      <c r="AD76" s="628"/>
      <c r="AG76" s="623"/>
      <c r="AH76" s="623"/>
      <c r="AI76" s="623"/>
      <c r="AJ76" s="623"/>
      <c r="AK76" s="623"/>
      <c r="AL76" s="623"/>
      <c r="AM76" s="623"/>
      <c r="AN76" s="623"/>
      <c r="AO76" s="623"/>
      <c r="AP76" s="623"/>
      <c r="AQ76" s="623"/>
      <c r="AR76" s="623"/>
      <c r="AS76" s="623"/>
      <c r="AT76" s="623"/>
      <c r="AU76" s="623"/>
      <c r="AV76" s="623"/>
      <c r="AW76" s="623"/>
      <c r="AX76" s="623"/>
      <c r="AY76" s="623"/>
      <c r="AZ76" s="623"/>
      <c r="BA76" s="623"/>
      <c r="BB76" s="623"/>
      <c r="BC76" s="623"/>
      <c r="BD76" s="623"/>
      <c r="BE76" s="623"/>
      <c r="BF76" s="623"/>
      <c r="BG76" s="623"/>
      <c r="BH76" s="623"/>
      <c r="BI76" s="623"/>
      <c r="BJ76" s="623"/>
      <c r="BK76" s="623"/>
      <c r="BL76" s="623"/>
      <c r="BM76" s="623"/>
      <c r="BN76" s="623"/>
      <c r="BO76" s="623"/>
      <c r="BP76" s="623"/>
      <c r="BQ76" s="623"/>
      <c r="BR76" s="623"/>
      <c r="BS76" s="623"/>
      <c r="BT76" s="623"/>
      <c r="BU76" s="623"/>
      <c r="BV76" s="623"/>
      <c r="BW76" s="623"/>
      <c r="BX76" s="623"/>
      <c r="BY76" s="623"/>
      <c r="BZ76" s="623"/>
      <c r="CA76" s="623"/>
      <c r="CB76" s="623"/>
      <c r="CC76" s="623"/>
      <c r="CD76" s="623"/>
      <c r="CE76" s="623"/>
      <c r="CF76" s="623"/>
      <c r="CG76" s="623"/>
      <c r="CH76" s="623"/>
      <c r="CI76" s="623"/>
      <c r="CJ76" s="623"/>
      <c r="CK76" s="623"/>
      <c r="CL76" s="623"/>
      <c r="CM76" s="623"/>
      <c r="CN76" s="623"/>
      <c r="CO76" s="623"/>
      <c r="CP76" s="623"/>
      <c r="CQ76" s="623"/>
      <c r="CR76" s="623"/>
      <c r="CS76" s="623"/>
      <c r="CT76" s="623"/>
      <c r="CU76" s="623"/>
      <c r="CV76" s="623"/>
      <c r="CW76" s="623"/>
      <c r="CX76" s="623"/>
      <c r="CY76" s="623"/>
      <c r="CZ76" s="623"/>
      <c r="DA76" s="623"/>
      <c r="DB76" s="623"/>
      <c r="DC76" s="623"/>
      <c r="DD76" s="623"/>
      <c r="DE76" s="623"/>
      <c r="DF76" s="623"/>
      <c r="DG76" s="623"/>
      <c r="DH76" s="623"/>
      <c r="DI76" s="623"/>
      <c r="DJ76" s="623"/>
    </row>
    <row r="77" spans="1:114" s="630" customFormat="1">
      <c r="A77" s="623"/>
      <c r="B77" s="418"/>
      <c r="C77" s="415"/>
      <c r="D77" s="415"/>
      <c r="E77" s="415"/>
      <c r="F77" s="415"/>
      <c r="G77" s="415"/>
      <c r="H77" s="415"/>
      <c r="I77" s="415"/>
      <c r="J77" s="415"/>
      <c r="K77" s="415"/>
      <c r="L77" s="415"/>
      <c r="M77" s="415"/>
      <c r="N77" s="415"/>
      <c r="O77" s="361" t="str">
        <f>Preferences.AreaUnits&amp;"/ "&amp; Preferences.PowerUnits</f>
        <v>ha/ GW</v>
      </c>
      <c r="P77" s="419"/>
      <c r="Q77" s="627"/>
      <c r="R77" s="628"/>
      <c r="S77" s="1694"/>
      <c r="T77" s="1695"/>
      <c r="U77" s="1695"/>
      <c r="V77" s="1695"/>
      <c r="W77" s="1695"/>
      <c r="X77" s="1694"/>
      <c r="Y77" s="1695"/>
      <c r="Z77" s="1695"/>
      <c r="AA77" s="1696"/>
      <c r="AB77" s="629"/>
      <c r="AC77" s="628"/>
      <c r="AD77" s="628"/>
      <c r="AG77" s="623"/>
      <c r="AH77" s="623"/>
      <c r="AI77" s="623"/>
      <c r="AJ77" s="623"/>
      <c r="AK77" s="623"/>
      <c r="AL77" s="623"/>
      <c r="AM77" s="623"/>
      <c r="AN77" s="623"/>
      <c r="AO77" s="623"/>
      <c r="AP77" s="623"/>
      <c r="AQ77" s="623"/>
      <c r="AR77" s="623"/>
      <c r="AS77" s="623"/>
      <c r="AT77" s="623"/>
      <c r="AU77" s="623"/>
      <c r="AV77" s="623"/>
      <c r="AW77" s="623"/>
      <c r="AX77" s="623"/>
      <c r="AY77" s="623"/>
      <c r="AZ77" s="623"/>
      <c r="BA77" s="623"/>
      <c r="BB77" s="623"/>
      <c r="BC77" s="623"/>
      <c r="BD77" s="623"/>
      <c r="BE77" s="623"/>
      <c r="BF77" s="623"/>
      <c r="BG77" s="623"/>
      <c r="BH77" s="623"/>
      <c r="BI77" s="623"/>
      <c r="BJ77" s="623"/>
      <c r="BK77" s="623"/>
      <c r="BL77" s="623"/>
      <c r="BM77" s="623"/>
      <c r="BN77" s="623"/>
      <c r="BO77" s="623"/>
      <c r="BP77" s="623"/>
      <c r="BQ77" s="623"/>
      <c r="BR77" s="623"/>
      <c r="BS77" s="623"/>
      <c r="BT77" s="623"/>
      <c r="BU77" s="623"/>
      <c r="BV77" s="623"/>
      <c r="BW77" s="623"/>
      <c r="BX77" s="623"/>
      <c r="BY77" s="623"/>
      <c r="BZ77" s="623"/>
      <c r="CA77" s="623"/>
      <c r="CB77" s="623"/>
      <c r="CC77" s="623"/>
      <c r="CD77" s="623"/>
      <c r="CE77" s="623"/>
      <c r="CF77" s="623"/>
      <c r="CG77" s="623"/>
      <c r="CH77" s="623"/>
      <c r="CI77" s="623"/>
      <c r="CJ77" s="623"/>
      <c r="CK77" s="623"/>
      <c r="CL77" s="623"/>
      <c r="CM77" s="623"/>
      <c r="CN77" s="623"/>
      <c r="CO77" s="623"/>
      <c r="CP77" s="623"/>
      <c r="CQ77" s="623"/>
      <c r="CR77" s="623"/>
      <c r="CS77" s="623"/>
      <c r="CT77" s="623"/>
      <c r="CU77" s="623"/>
      <c r="CV77" s="623"/>
      <c r="CW77" s="623"/>
      <c r="CX77" s="623"/>
      <c r="CY77" s="623"/>
      <c r="CZ77" s="623"/>
      <c r="DA77" s="623"/>
      <c r="DB77" s="623"/>
      <c r="DC77" s="623"/>
      <c r="DD77" s="623"/>
      <c r="DE77" s="623"/>
      <c r="DF77" s="623"/>
      <c r="DG77" s="623"/>
      <c r="DH77" s="623"/>
      <c r="DI77" s="623"/>
      <c r="DJ77" s="623"/>
    </row>
    <row r="78" spans="1:114" s="630" customFormat="1" ht="15.75">
      <c r="A78" s="623"/>
      <c r="B78" s="152"/>
      <c r="C78" s="61"/>
      <c r="D78" s="61"/>
      <c r="E78" s="61"/>
      <c r="F78" s="119">
        <v>2007</v>
      </c>
      <c r="G78" s="120">
        <f t="shared" ref="G78:O78" si="12">F78+5</f>
        <v>2012</v>
      </c>
      <c r="H78" s="120">
        <f t="shared" si="12"/>
        <v>2017</v>
      </c>
      <c r="I78" s="120">
        <f t="shared" si="12"/>
        <v>2022</v>
      </c>
      <c r="J78" s="120">
        <f t="shared" si="12"/>
        <v>2027</v>
      </c>
      <c r="K78" s="120">
        <f t="shared" si="12"/>
        <v>2032</v>
      </c>
      <c r="L78" s="120">
        <f t="shared" si="12"/>
        <v>2037</v>
      </c>
      <c r="M78" s="120">
        <f t="shared" si="12"/>
        <v>2042</v>
      </c>
      <c r="N78" s="120">
        <f t="shared" si="12"/>
        <v>2047</v>
      </c>
      <c r="O78" s="120">
        <f t="shared" si="12"/>
        <v>2052</v>
      </c>
      <c r="P78" s="419"/>
      <c r="Q78" s="627"/>
      <c r="R78" s="628"/>
      <c r="S78" s="1694"/>
      <c r="T78" s="1695"/>
      <c r="U78" s="1695"/>
      <c r="V78" s="1695"/>
      <c r="W78" s="1695"/>
      <c r="X78" s="1694"/>
      <c r="Y78" s="1695"/>
      <c r="Z78" s="1695"/>
      <c r="AA78" s="1696"/>
      <c r="AB78" s="629"/>
      <c r="AC78" s="628"/>
      <c r="AD78" s="628"/>
      <c r="AG78" s="623"/>
      <c r="AH78" s="623"/>
      <c r="AI78" s="623"/>
      <c r="AJ78" s="623"/>
      <c r="AK78" s="623"/>
      <c r="AL78" s="623"/>
      <c r="AM78" s="623"/>
      <c r="AN78" s="623"/>
      <c r="AO78" s="623"/>
      <c r="AP78" s="623"/>
      <c r="AQ78" s="623"/>
      <c r="AR78" s="623"/>
      <c r="AS78" s="623"/>
      <c r="AT78" s="623"/>
      <c r="AU78" s="623"/>
      <c r="AV78" s="623"/>
      <c r="AW78" s="623"/>
      <c r="AX78" s="623"/>
      <c r="AY78" s="623"/>
      <c r="AZ78" s="623"/>
      <c r="BA78" s="623"/>
      <c r="BB78" s="623"/>
      <c r="BC78" s="623"/>
      <c r="BD78" s="623"/>
      <c r="BE78" s="623"/>
      <c r="BF78" s="623"/>
      <c r="BG78" s="623"/>
      <c r="BH78" s="623"/>
      <c r="BI78" s="623"/>
      <c r="BJ78" s="623"/>
      <c r="BK78" s="623"/>
      <c r="BL78" s="623"/>
      <c r="BM78" s="623"/>
      <c r="BN78" s="623"/>
      <c r="BO78" s="623"/>
      <c r="BP78" s="623"/>
      <c r="BQ78" s="623"/>
      <c r="BR78" s="623"/>
      <c r="BS78" s="623"/>
      <c r="BT78" s="623"/>
      <c r="BU78" s="623"/>
      <c r="BV78" s="623"/>
      <c r="BW78" s="623"/>
      <c r="BX78" s="623"/>
      <c r="BY78" s="623"/>
      <c r="BZ78" s="623"/>
      <c r="CA78" s="623"/>
      <c r="CB78" s="623"/>
      <c r="CC78" s="623"/>
      <c r="CD78" s="623"/>
      <c r="CE78" s="623"/>
      <c r="CF78" s="623"/>
      <c r="CG78" s="623"/>
      <c r="CH78" s="623"/>
      <c r="CI78" s="623"/>
      <c r="CJ78" s="623"/>
      <c r="CK78" s="623"/>
      <c r="CL78" s="623"/>
      <c r="CM78" s="623"/>
      <c r="CN78" s="623"/>
      <c r="CO78" s="623"/>
      <c r="CP78" s="623"/>
      <c r="CQ78" s="623"/>
      <c r="CR78" s="623"/>
      <c r="CS78" s="623"/>
      <c r="CT78" s="623"/>
      <c r="CU78" s="623"/>
      <c r="CV78" s="623"/>
      <c r="CW78" s="623"/>
      <c r="CX78" s="623"/>
      <c r="CY78" s="623"/>
      <c r="CZ78" s="623"/>
      <c r="DA78" s="623"/>
      <c r="DB78" s="623"/>
      <c r="DC78" s="623"/>
      <c r="DD78" s="623"/>
      <c r="DE78" s="623"/>
      <c r="DF78" s="623"/>
      <c r="DG78" s="623"/>
      <c r="DH78" s="623"/>
      <c r="DI78" s="623"/>
      <c r="DJ78" s="623"/>
    </row>
    <row r="79" spans="1:114" s="630" customFormat="1" ht="15.75">
      <c r="A79" s="623"/>
      <c r="B79" s="152"/>
      <c r="C79" s="78" t="str">
        <f>"Land Use ("&amp;Preferences.AreaUnits&amp;" / "&amp;Preferences.PowerUnits&amp;" )"</f>
        <v>Land Use (ha / GW )</v>
      </c>
      <c r="D79" s="79"/>
      <c r="E79" s="79"/>
      <c r="F79" s="1854">
        <f t="shared" ref="F79:O79" si="13">(2.6)*((Unit.ha/Unit.MW))</f>
        <v>2600</v>
      </c>
      <c r="G79" s="1854">
        <f t="shared" si="13"/>
        <v>2600</v>
      </c>
      <c r="H79" s="1854">
        <f t="shared" si="13"/>
        <v>2600</v>
      </c>
      <c r="I79" s="1854">
        <f t="shared" si="13"/>
        <v>2600</v>
      </c>
      <c r="J79" s="1854">
        <f t="shared" si="13"/>
        <v>2600</v>
      </c>
      <c r="K79" s="1854">
        <f t="shared" si="13"/>
        <v>2600</v>
      </c>
      <c r="L79" s="1854">
        <f t="shared" si="13"/>
        <v>2600</v>
      </c>
      <c r="M79" s="1854">
        <f t="shared" si="13"/>
        <v>2600</v>
      </c>
      <c r="N79" s="1854">
        <f t="shared" si="13"/>
        <v>2600</v>
      </c>
      <c r="O79" s="1854">
        <f t="shared" si="13"/>
        <v>2600</v>
      </c>
      <c r="P79" s="1854"/>
      <c r="Q79" s="627"/>
      <c r="R79" s="628"/>
      <c r="S79" s="1694"/>
      <c r="T79" s="1695"/>
      <c r="U79" s="1695"/>
      <c r="V79" s="1695"/>
      <c r="W79" s="1695"/>
      <c r="X79" s="1694"/>
      <c r="Y79" s="1695"/>
      <c r="Z79" s="1695"/>
      <c r="AA79" s="1696"/>
      <c r="AB79" s="629"/>
      <c r="AC79" s="628"/>
      <c r="AD79" s="628"/>
      <c r="AG79" s="623"/>
      <c r="AH79" s="623"/>
      <c r="AI79" s="623"/>
      <c r="AJ79" s="623"/>
      <c r="AK79" s="623"/>
      <c r="AL79" s="623"/>
      <c r="AM79" s="623"/>
      <c r="AN79" s="623"/>
      <c r="AO79" s="623"/>
      <c r="AP79" s="623"/>
      <c r="AQ79" s="623"/>
      <c r="AR79" s="623"/>
      <c r="AS79" s="623"/>
      <c r="AT79" s="623"/>
      <c r="AU79" s="623"/>
      <c r="AV79" s="623"/>
      <c r="AW79" s="623"/>
      <c r="AX79" s="623"/>
      <c r="AY79" s="623"/>
      <c r="AZ79" s="623"/>
      <c r="BA79" s="623"/>
      <c r="BB79" s="623"/>
      <c r="BC79" s="623"/>
      <c r="BD79" s="623"/>
      <c r="BE79" s="623"/>
      <c r="BF79" s="623"/>
      <c r="BG79" s="623"/>
      <c r="BH79" s="623"/>
      <c r="BI79" s="623"/>
      <c r="BJ79" s="623"/>
      <c r="BK79" s="623"/>
      <c r="BL79" s="623"/>
      <c r="BM79" s="623"/>
      <c r="BN79" s="623"/>
      <c r="BO79" s="623"/>
      <c r="BP79" s="623"/>
      <c r="BQ79" s="623"/>
      <c r="BR79" s="623"/>
      <c r="BS79" s="623"/>
      <c r="BT79" s="623"/>
      <c r="BU79" s="623"/>
      <c r="BV79" s="623"/>
      <c r="BW79" s="623"/>
      <c r="BX79" s="623"/>
      <c r="BY79" s="623"/>
      <c r="BZ79" s="623"/>
      <c r="CA79" s="623"/>
      <c r="CB79" s="623"/>
      <c r="CC79" s="623"/>
      <c r="CD79" s="623"/>
      <c r="CE79" s="623"/>
      <c r="CF79" s="623"/>
      <c r="CG79" s="623"/>
      <c r="CH79" s="623"/>
      <c r="CI79" s="623"/>
      <c r="CJ79" s="623"/>
      <c r="CK79" s="623"/>
      <c r="CL79" s="623"/>
      <c r="CM79" s="623"/>
      <c r="CN79" s="623"/>
      <c r="CO79" s="623"/>
      <c r="CP79" s="623"/>
      <c r="CQ79" s="623"/>
      <c r="CR79" s="623"/>
      <c r="CS79" s="623"/>
      <c r="CT79" s="623"/>
      <c r="CU79" s="623"/>
      <c r="CV79" s="623"/>
      <c r="CW79" s="623"/>
      <c r="CX79" s="623"/>
      <c r="CY79" s="623"/>
      <c r="CZ79" s="623"/>
      <c r="DA79" s="623"/>
      <c r="DB79" s="623"/>
      <c r="DC79" s="623"/>
      <c r="DD79" s="623"/>
      <c r="DE79" s="623"/>
      <c r="DF79" s="623"/>
      <c r="DG79" s="623"/>
      <c r="DH79" s="623"/>
      <c r="DI79" s="623"/>
      <c r="DJ79" s="623"/>
    </row>
    <row r="80" spans="1:114" s="630" customFormat="1">
      <c r="A80" s="623"/>
      <c r="B80" s="402"/>
      <c r="C80" s="402"/>
      <c r="D80" s="415"/>
      <c r="E80" s="264"/>
      <c r="F80" s="415"/>
      <c r="G80" s="415"/>
      <c r="H80" s="415"/>
      <c r="I80" s="415"/>
      <c r="J80" s="444"/>
      <c r="K80" s="444"/>
      <c r="L80" s="402"/>
      <c r="M80" s="402"/>
      <c r="N80" s="402"/>
      <c r="O80" s="402"/>
      <c r="P80" s="402"/>
      <c r="Q80" s="627"/>
      <c r="R80" s="628"/>
      <c r="S80" s="1694"/>
      <c r="T80" s="1695"/>
      <c r="U80" s="1695"/>
      <c r="V80" s="1695"/>
      <c r="W80" s="1695"/>
      <c r="X80" s="1694"/>
      <c r="Y80" s="1695"/>
      <c r="Z80" s="1695"/>
      <c r="AA80" s="1696"/>
      <c r="AB80" s="629"/>
      <c r="AC80" s="628"/>
      <c r="AD80" s="628"/>
      <c r="AG80" s="623"/>
      <c r="AH80" s="623"/>
      <c r="AI80" s="623"/>
      <c r="AJ80" s="623"/>
      <c r="AK80" s="623"/>
      <c r="AL80" s="623"/>
      <c r="AM80" s="623"/>
      <c r="AN80" s="623"/>
      <c r="AO80" s="623"/>
      <c r="AP80" s="623"/>
      <c r="AQ80" s="623"/>
      <c r="AR80" s="623"/>
      <c r="AS80" s="623"/>
      <c r="AT80" s="623"/>
      <c r="AU80" s="623"/>
      <c r="AV80" s="623"/>
      <c r="AW80" s="623"/>
      <c r="AX80" s="623"/>
      <c r="AY80" s="623"/>
      <c r="AZ80" s="623"/>
      <c r="BA80" s="623"/>
      <c r="BB80" s="623"/>
      <c r="BC80" s="623"/>
      <c r="BD80" s="623"/>
      <c r="BE80" s="623"/>
      <c r="BF80" s="623"/>
      <c r="BG80" s="623"/>
      <c r="BH80" s="623"/>
      <c r="BI80" s="623"/>
      <c r="BJ80" s="623"/>
      <c r="BK80" s="623"/>
      <c r="BL80" s="623"/>
      <c r="BM80" s="623"/>
      <c r="BN80" s="623"/>
      <c r="BO80" s="623"/>
      <c r="BP80" s="623"/>
      <c r="BQ80" s="623"/>
      <c r="BR80" s="623"/>
      <c r="BS80" s="623"/>
      <c r="BT80" s="623"/>
      <c r="BU80" s="623"/>
      <c r="BV80" s="623"/>
      <c r="BW80" s="623"/>
      <c r="BX80" s="623"/>
      <c r="BY80" s="623"/>
      <c r="BZ80" s="623"/>
      <c r="CA80" s="623"/>
      <c r="CB80" s="623"/>
      <c r="CC80" s="623"/>
      <c r="CD80" s="623"/>
      <c r="CE80" s="623"/>
      <c r="CF80" s="623"/>
      <c r="CG80" s="623"/>
      <c r="CH80" s="623"/>
      <c r="CI80" s="623"/>
      <c r="CJ80" s="623"/>
      <c r="CK80" s="623"/>
      <c r="CL80" s="623"/>
      <c r="CM80" s="623"/>
      <c r="CN80" s="623"/>
      <c r="CO80" s="623"/>
      <c r="CP80" s="623"/>
      <c r="CQ80" s="623"/>
      <c r="CR80" s="623"/>
      <c r="CS80" s="623"/>
      <c r="CT80" s="623"/>
      <c r="CU80" s="623"/>
      <c r="CV80" s="623"/>
      <c r="CW80" s="623"/>
      <c r="CX80" s="623"/>
      <c r="CY80" s="623"/>
      <c r="CZ80" s="623"/>
      <c r="DA80" s="623"/>
      <c r="DB80" s="623"/>
      <c r="DC80" s="623"/>
      <c r="DD80" s="623"/>
      <c r="DE80" s="623"/>
      <c r="DF80" s="623"/>
      <c r="DG80" s="623"/>
      <c r="DH80" s="623"/>
      <c r="DI80" s="623"/>
      <c r="DJ80" s="623"/>
    </row>
    <row r="81" spans="1:114" s="630" customFormat="1">
      <c r="A81" s="623"/>
      <c r="B81" s="402"/>
      <c r="C81" s="402"/>
      <c r="D81" s="415"/>
      <c r="E81" s="264"/>
      <c r="F81" s="415"/>
      <c r="G81" s="415"/>
      <c r="H81" s="415"/>
      <c r="I81" s="415"/>
      <c r="J81" s="444"/>
      <c r="K81" s="444"/>
      <c r="L81" s="402"/>
      <c r="M81" s="402"/>
      <c r="N81" s="402"/>
      <c r="O81" s="402"/>
      <c r="P81" s="402"/>
      <c r="Q81" s="627"/>
      <c r="R81" s="628"/>
      <c r="S81" s="1694"/>
      <c r="T81" s="1695"/>
      <c r="U81" s="1695"/>
      <c r="V81" s="1695"/>
      <c r="W81" s="1695"/>
      <c r="X81" s="1694"/>
      <c r="Y81" s="1695"/>
      <c r="Z81" s="1695"/>
      <c r="AA81" s="1696"/>
      <c r="AB81" s="629"/>
      <c r="AC81" s="628"/>
      <c r="AD81" s="628"/>
      <c r="AG81" s="623"/>
      <c r="AH81" s="623"/>
      <c r="AI81" s="623"/>
      <c r="AJ81" s="623"/>
      <c r="AK81" s="623"/>
      <c r="AL81" s="623"/>
      <c r="AM81" s="623"/>
      <c r="AN81" s="623"/>
      <c r="AO81" s="623"/>
      <c r="AP81" s="623"/>
      <c r="AQ81" s="623"/>
      <c r="AR81" s="623"/>
      <c r="AS81" s="623"/>
      <c r="AT81" s="623"/>
      <c r="AU81" s="623"/>
      <c r="AV81" s="623"/>
      <c r="AW81" s="623"/>
      <c r="AX81" s="623"/>
      <c r="AY81" s="623"/>
      <c r="AZ81" s="623"/>
      <c r="BA81" s="623"/>
      <c r="BB81" s="623"/>
      <c r="BC81" s="623"/>
      <c r="BD81" s="623"/>
      <c r="BE81" s="623"/>
      <c r="BF81" s="623"/>
      <c r="BG81" s="623"/>
      <c r="BH81" s="623"/>
      <c r="BI81" s="623"/>
      <c r="BJ81" s="623"/>
      <c r="BK81" s="623"/>
      <c r="BL81" s="623"/>
      <c r="BM81" s="623"/>
      <c r="BN81" s="623"/>
      <c r="BO81" s="623"/>
      <c r="BP81" s="623"/>
      <c r="BQ81" s="623"/>
      <c r="BR81" s="623"/>
      <c r="BS81" s="623"/>
      <c r="BT81" s="623"/>
      <c r="BU81" s="623"/>
      <c r="BV81" s="623"/>
      <c r="BW81" s="623"/>
      <c r="BX81" s="623"/>
      <c r="BY81" s="623"/>
      <c r="BZ81" s="623"/>
      <c r="CA81" s="623"/>
      <c r="CB81" s="623"/>
      <c r="CC81" s="623"/>
      <c r="CD81" s="623"/>
      <c r="CE81" s="623"/>
      <c r="CF81" s="623"/>
      <c r="CG81" s="623"/>
      <c r="CH81" s="623"/>
      <c r="CI81" s="623"/>
      <c r="CJ81" s="623"/>
      <c r="CK81" s="623"/>
      <c r="CL81" s="623"/>
      <c r="CM81" s="623"/>
      <c r="CN81" s="623"/>
      <c r="CO81" s="623"/>
      <c r="CP81" s="623"/>
      <c r="CQ81" s="623"/>
      <c r="CR81" s="623"/>
      <c r="CS81" s="623"/>
      <c r="CT81" s="623"/>
      <c r="CU81" s="623"/>
      <c r="CV81" s="623"/>
      <c r="CW81" s="623"/>
      <c r="CX81" s="623"/>
      <c r="CY81" s="623"/>
      <c r="CZ81" s="623"/>
      <c r="DA81" s="623"/>
      <c r="DB81" s="623"/>
      <c r="DC81" s="623"/>
      <c r="DD81" s="623"/>
      <c r="DE81" s="623"/>
      <c r="DF81" s="623"/>
      <c r="DG81" s="623"/>
      <c r="DH81" s="623"/>
      <c r="DI81" s="623"/>
      <c r="DJ81" s="623"/>
    </row>
    <row r="82" spans="1:114" s="2725" customFormat="1">
      <c r="B82" s="208"/>
    </row>
    <row r="83" spans="1:114" s="2725" customFormat="1" ht="15.75">
      <c r="B83" s="421" t="s">
        <v>270</v>
      </c>
      <c r="C83" s="159"/>
      <c r="D83" s="159"/>
      <c r="E83" s="159"/>
      <c r="F83" s="159"/>
      <c r="G83" s="159"/>
      <c r="H83" s="159"/>
      <c r="I83" s="159"/>
      <c r="J83" s="159"/>
      <c r="K83" s="159"/>
      <c r="L83" s="159"/>
      <c r="M83" s="159"/>
      <c r="N83" s="159"/>
      <c r="O83" s="159"/>
      <c r="P83" s="160"/>
    </row>
    <row r="84" spans="1:114" s="2725" customFormat="1">
      <c r="B84" s="210"/>
      <c r="C84" s="198"/>
      <c r="D84" s="198"/>
      <c r="E84" s="198"/>
      <c r="F84" s="198"/>
      <c r="G84" s="198"/>
      <c r="H84" s="198"/>
      <c r="I84" s="198"/>
      <c r="J84" s="198"/>
      <c r="K84" s="198"/>
      <c r="L84" s="198"/>
      <c r="M84" s="198"/>
      <c r="N84" s="198"/>
      <c r="O84" s="198"/>
      <c r="P84" s="199"/>
    </row>
    <row r="85" spans="1:114" s="2725" customFormat="1">
      <c r="B85" s="211"/>
      <c r="C85" s="416" t="s">
        <v>228</v>
      </c>
      <c r="D85" s="415"/>
      <c r="E85" s="104"/>
      <c r="F85" s="415"/>
      <c r="G85" s="415"/>
      <c r="H85" s="415"/>
      <c r="I85" s="415"/>
      <c r="J85" s="415"/>
      <c r="K85" s="415"/>
      <c r="L85" s="415"/>
      <c r="M85" s="415"/>
      <c r="N85" s="415"/>
      <c r="O85" s="104" t="str">
        <f>Preferences.PowerUnits</f>
        <v>GW</v>
      </c>
      <c r="P85" s="419"/>
    </row>
    <row r="86" spans="1:114" s="2725" customFormat="1" ht="4.5" customHeight="1">
      <c r="A86" s="420"/>
      <c r="B86" s="211"/>
      <c r="C86" s="415"/>
      <c r="D86" s="415"/>
      <c r="E86" s="415"/>
      <c r="F86" s="415"/>
      <c r="G86" s="415"/>
      <c r="H86" s="415"/>
      <c r="I86" s="415"/>
      <c r="J86" s="415"/>
      <c r="K86" s="415"/>
      <c r="L86" s="415"/>
      <c r="M86" s="415"/>
      <c r="N86" s="415"/>
      <c r="O86" s="415"/>
      <c r="P86" s="419"/>
    </row>
    <row r="87" spans="1:114" s="2725" customFormat="1" ht="15.75">
      <c r="B87" s="212"/>
      <c r="C87" s="61" t="s">
        <v>227</v>
      </c>
      <c r="D87" s="61" t="s">
        <v>240</v>
      </c>
      <c r="E87" s="1701"/>
      <c r="F87" s="238">
        <v>2007</v>
      </c>
      <c r="G87" s="119">
        <v>2012</v>
      </c>
      <c r="H87" s="119">
        <v>2017</v>
      </c>
      <c r="I87" s="119">
        <v>2022</v>
      </c>
      <c r="J87" s="119">
        <v>2027</v>
      </c>
      <c r="K87" s="119">
        <v>2032</v>
      </c>
      <c r="L87" s="119">
        <v>2037</v>
      </c>
      <c r="M87" s="119">
        <v>2042</v>
      </c>
      <c r="N87" s="119">
        <v>2047</v>
      </c>
      <c r="O87" s="119">
        <v>2052</v>
      </c>
      <c r="P87" s="419"/>
    </row>
    <row r="88" spans="1:114" s="2725" customFormat="1" ht="15.75">
      <c r="B88" s="213"/>
      <c r="C88" s="78" t="s">
        <v>7</v>
      </c>
      <c r="D88" s="79" t="str">
        <f>INDEX(Vectors[Description], MATCH($C88, Vectors[Code], 0))</f>
        <v>Nuclear fission</v>
      </c>
      <c r="E88" s="79"/>
      <c r="F88" s="237">
        <f t="shared" ref="F88:O88" si="14">F50</f>
        <v>4.04</v>
      </c>
      <c r="G88" s="114">
        <f t="shared" si="14"/>
        <v>4.68</v>
      </c>
      <c r="H88" s="114">
        <f t="shared" si="14"/>
        <v>9.98</v>
      </c>
      <c r="I88" s="114">
        <f t="shared" si="14"/>
        <v>9.66</v>
      </c>
      <c r="J88" s="114">
        <f t="shared" si="14"/>
        <v>9.66</v>
      </c>
      <c r="K88" s="114">
        <f t="shared" si="14"/>
        <v>9.4600000000000009</v>
      </c>
      <c r="L88" s="114">
        <f t="shared" si="14"/>
        <v>9.02</v>
      </c>
      <c r="M88" s="114">
        <f t="shared" si="14"/>
        <v>8.8000000000000007</v>
      </c>
      <c r="N88" s="114">
        <f t="shared" si="14"/>
        <v>8.36</v>
      </c>
      <c r="O88" s="114">
        <f t="shared" si="14"/>
        <v>8.36</v>
      </c>
      <c r="P88" s="154"/>
    </row>
    <row r="89" spans="1:114" s="2725" customFormat="1">
      <c r="B89" s="214"/>
      <c r="C89" s="415"/>
      <c r="D89" s="105"/>
      <c r="E89" s="415"/>
      <c r="F89" s="415"/>
      <c r="G89" s="415"/>
      <c r="H89" s="415"/>
      <c r="I89" s="415"/>
      <c r="J89" s="415"/>
      <c r="K89" s="415"/>
      <c r="L89" s="415"/>
      <c r="M89" s="415"/>
      <c r="N89" s="415"/>
      <c r="O89" s="415"/>
      <c r="P89" s="419"/>
    </row>
    <row r="90" spans="1:114" s="2725" customFormat="1">
      <c r="B90" s="208"/>
    </row>
    <row r="91" spans="1:114" s="2725" customFormat="1">
      <c r="C91" s="2725" t="s">
        <v>0</v>
      </c>
      <c r="D91" s="88"/>
      <c r="F91" s="2822">
        <v>2007</v>
      </c>
      <c r="G91" s="2823">
        <v>2012</v>
      </c>
      <c r="H91" s="2823">
        <v>2017</v>
      </c>
      <c r="I91" s="2823">
        <v>2022</v>
      </c>
      <c r="J91" s="2823">
        <v>2027</v>
      </c>
      <c r="K91" s="2823">
        <v>2032</v>
      </c>
      <c r="L91" s="2823">
        <v>2037</v>
      </c>
      <c r="M91" s="2823">
        <v>2042</v>
      </c>
      <c r="N91" s="2823">
        <v>2047</v>
      </c>
      <c r="O91" s="2823">
        <v>2052</v>
      </c>
      <c r="P91" s="242"/>
      <c r="Q91" s="242"/>
      <c r="R91" s="242"/>
    </row>
    <row r="92" spans="1:114" s="2725" customFormat="1">
      <c r="C92" s="423" t="s">
        <v>793</v>
      </c>
      <c r="E92" s="2725" t="str">
        <f>Preferences.PowerUnits</f>
        <v>GW</v>
      </c>
      <c r="F92" s="22">
        <f t="shared" ref="F92:O92" si="15">F$88</f>
        <v>4.04</v>
      </c>
      <c r="G92" s="22">
        <f t="shared" si="15"/>
        <v>4.68</v>
      </c>
      <c r="H92" s="22">
        <f t="shared" si="15"/>
        <v>9.98</v>
      </c>
      <c r="I92" s="22">
        <f t="shared" si="15"/>
        <v>9.66</v>
      </c>
      <c r="J92" s="22">
        <f t="shared" si="15"/>
        <v>9.66</v>
      </c>
      <c r="K92" s="22">
        <f t="shared" si="15"/>
        <v>9.4600000000000009</v>
      </c>
      <c r="L92" s="22">
        <f t="shared" si="15"/>
        <v>9.02</v>
      </c>
      <c r="M92" s="22">
        <f t="shared" si="15"/>
        <v>8.8000000000000007</v>
      </c>
      <c r="N92" s="22">
        <f t="shared" si="15"/>
        <v>8.36</v>
      </c>
      <c r="O92" s="22">
        <f t="shared" si="15"/>
        <v>8.36</v>
      </c>
    </row>
    <row r="93" spans="1:114" s="2725" customFormat="1">
      <c r="C93" s="2725" t="s">
        <v>810</v>
      </c>
      <c r="F93" s="15">
        <f t="shared" ref="F93:O93" si="16">F$64</f>
        <v>0.8</v>
      </c>
      <c r="G93" s="15">
        <f t="shared" si="16"/>
        <v>0.8</v>
      </c>
      <c r="H93" s="15">
        <f t="shared" si="16"/>
        <v>0.8</v>
      </c>
      <c r="I93" s="15">
        <f t="shared" si="16"/>
        <v>0.8</v>
      </c>
      <c r="J93" s="15">
        <f t="shared" si="16"/>
        <v>0.8</v>
      </c>
      <c r="K93" s="15">
        <f t="shared" si="16"/>
        <v>0.8</v>
      </c>
      <c r="L93" s="15">
        <f t="shared" si="16"/>
        <v>0.8</v>
      </c>
      <c r="M93" s="15">
        <f t="shared" si="16"/>
        <v>0.8</v>
      </c>
      <c r="N93" s="15">
        <f t="shared" si="16"/>
        <v>0.8</v>
      </c>
      <c r="O93" s="15">
        <f t="shared" si="16"/>
        <v>0.8</v>
      </c>
    </row>
    <row r="94" spans="1:114" s="2725" customFormat="1">
      <c r="C94" s="88" t="s">
        <v>257</v>
      </c>
      <c r="F94" s="73">
        <f t="shared" ref="F94:O94" si="17">F92*F93</f>
        <v>3.2320000000000002</v>
      </c>
      <c r="G94" s="73">
        <f t="shared" si="17"/>
        <v>3.7439999999999998</v>
      </c>
      <c r="H94" s="73">
        <f t="shared" si="17"/>
        <v>7.9840000000000009</v>
      </c>
      <c r="I94" s="73">
        <f t="shared" si="17"/>
        <v>7.7280000000000006</v>
      </c>
      <c r="J94" s="73">
        <f t="shared" si="17"/>
        <v>7.7280000000000006</v>
      </c>
      <c r="K94" s="73">
        <f t="shared" si="17"/>
        <v>7.5680000000000014</v>
      </c>
      <c r="L94" s="73">
        <f t="shared" si="17"/>
        <v>7.2160000000000002</v>
      </c>
      <c r="M94" s="73">
        <f t="shared" si="17"/>
        <v>7.0400000000000009</v>
      </c>
      <c r="N94" s="73">
        <f t="shared" si="17"/>
        <v>6.6879999999999997</v>
      </c>
      <c r="O94" s="73">
        <f t="shared" si="17"/>
        <v>6.6879999999999997</v>
      </c>
      <c r="P94" s="310"/>
    </row>
    <row r="95" spans="1:114" s="2725" customFormat="1">
      <c r="C95" s="423" t="s">
        <v>266</v>
      </c>
      <c r="E95" s="2725" t="str">
        <f>preferences.energyunits</f>
        <v>TWh</v>
      </c>
      <c r="F95" s="73">
        <f t="shared" ref="F95:O95" si="18">F$94*Preferences.Unit.Power*Unit.year/Preferences.Unit.Energy</f>
        <v>28.331712000000003</v>
      </c>
      <c r="G95" s="73">
        <f t="shared" si="18"/>
        <v>32.819904000000001</v>
      </c>
      <c r="H95" s="73">
        <f t="shared" si="18"/>
        <v>69.987744000000006</v>
      </c>
      <c r="I95" s="73">
        <f t="shared" si="18"/>
        <v>67.743648000000007</v>
      </c>
      <c r="J95" s="73">
        <f t="shared" si="18"/>
        <v>67.743648000000007</v>
      </c>
      <c r="K95" s="73">
        <f t="shared" si="18"/>
        <v>66.341088000000013</v>
      </c>
      <c r="L95" s="73">
        <f t="shared" si="18"/>
        <v>63.255456000000002</v>
      </c>
      <c r="M95" s="73">
        <f t="shared" si="18"/>
        <v>61.712640000000007</v>
      </c>
      <c r="N95" s="73">
        <f t="shared" si="18"/>
        <v>58.627007999999996</v>
      </c>
      <c r="O95" s="73">
        <f t="shared" si="18"/>
        <v>58.627007999999996</v>
      </c>
    </row>
    <row r="96" spans="1:114" s="2725" customFormat="1">
      <c r="C96" s="88"/>
      <c r="F96" s="73"/>
    </row>
    <row r="97" spans="1:32" s="2725" customFormat="1">
      <c r="F97" s="22"/>
      <c r="P97" s="141"/>
    </row>
    <row r="98" spans="1:32" s="2725" customFormat="1">
      <c r="A98" s="37"/>
      <c r="C98" s="423" t="s">
        <v>434</v>
      </c>
      <c r="F98" s="73">
        <f t="shared" ref="F98:O98" si="19">F95</f>
        <v>28.331712000000003</v>
      </c>
      <c r="G98" s="73">
        <f t="shared" si="19"/>
        <v>32.819904000000001</v>
      </c>
      <c r="H98" s="73">
        <f t="shared" si="19"/>
        <v>69.987744000000006</v>
      </c>
      <c r="I98" s="73">
        <f t="shared" si="19"/>
        <v>67.743648000000007</v>
      </c>
      <c r="J98" s="73">
        <f t="shared" si="19"/>
        <v>67.743648000000007</v>
      </c>
      <c r="K98" s="73">
        <f t="shared" si="19"/>
        <v>66.341088000000013</v>
      </c>
      <c r="L98" s="73">
        <f t="shared" si="19"/>
        <v>63.255456000000002</v>
      </c>
      <c r="M98" s="73">
        <f t="shared" si="19"/>
        <v>61.712640000000007</v>
      </c>
      <c r="N98" s="73">
        <f t="shared" si="19"/>
        <v>58.627007999999996</v>
      </c>
      <c r="O98" s="73">
        <f t="shared" si="19"/>
        <v>58.627007999999996</v>
      </c>
      <c r="P98" s="37" t="s">
        <v>690</v>
      </c>
    </row>
    <row r="99" spans="1:32" s="2725" customFormat="1" ht="14.25" customHeight="1">
      <c r="A99" s="37"/>
      <c r="C99" s="87" t="s">
        <v>259</v>
      </c>
      <c r="F99" s="22">
        <v>0</v>
      </c>
      <c r="G99" s="22">
        <v>0</v>
      </c>
      <c r="H99" s="22">
        <v>0</v>
      </c>
      <c r="I99" s="22">
        <v>0</v>
      </c>
      <c r="J99" s="22">
        <v>0</v>
      </c>
      <c r="K99" s="22">
        <v>0</v>
      </c>
      <c r="L99" s="22">
        <v>0</v>
      </c>
      <c r="M99" s="22">
        <v>0</v>
      </c>
      <c r="N99" s="22">
        <v>0</v>
      </c>
      <c r="O99" s="22">
        <v>0</v>
      </c>
    </row>
    <row r="100" spans="1:32" s="2725" customFormat="1">
      <c r="C100" s="88" t="s">
        <v>258</v>
      </c>
      <c r="F100" s="73">
        <f t="shared" ref="F100:O100" si="20">F98+F99</f>
        <v>28.331712000000003</v>
      </c>
      <c r="G100" s="73">
        <f t="shared" si="20"/>
        <v>32.819904000000001</v>
      </c>
      <c r="H100" s="73">
        <f t="shared" si="20"/>
        <v>69.987744000000006</v>
      </c>
      <c r="I100" s="73">
        <f t="shared" si="20"/>
        <v>67.743648000000007</v>
      </c>
      <c r="J100" s="73">
        <f t="shared" si="20"/>
        <v>67.743648000000007</v>
      </c>
      <c r="K100" s="73">
        <f t="shared" si="20"/>
        <v>66.341088000000013</v>
      </c>
      <c r="L100" s="73">
        <f t="shared" si="20"/>
        <v>63.255456000000002</v>
      </c>
      <c r="M100" s="73">
        <f t="shared" si="20"/>
        <v>61.712640000000007</v>
      </c>
      <c r="N100" s="73">
        <f t="shared" si="20"/>
        <v>58.627007999999996</v>
      </c>
      <c r="O100" s="73">
        <f t="shared" si="20"/>
        <v>58.627007999999996</v>
      </c>
      <c r="P100" s="310"/>
    </row>
    <row r="101" spans="1:32" s="2725" customFormat="1">
      <c r="C101" s="2725" t="s">
        <v>260</v>
      </c>
      <c r="F101" s="15">
        <f t="shared" ref="F101:O101" si="21">F$59</f>
        <v>0.35</v>
      </c>
      <c r="G101" s="15">
        <f t="shared" si="21"/>
        <v>0.35</v>
      </c>
      <c r="H101" s="15">
        <f t="shared" si="21"/>
        <v>0.35</v>
      </c>
      <c r="I101" s="15">
        <f t="shared" si="21"/>
        <v>0.35</v>
      </c>
      <c r="J101" s="15">
        <f t="shared" si="21"/>
        <v>0.35</v>
      </c>
      <c r="K101" s="15">
        <f t="shared" si="21"/>
        <v>0.35</v>
      </c>
      <c r="L101" s="15">
        <f t="shared" si="21"/>
        <v>0.35</v>
      </c>
      <c r="M101" s="15">
        <f t="shared" si="21"/>
        <v>0.35</v>
      </c>
      <c r="N101" s="15">
        <f t="shared" si="21"/>
        <v>0.35</v>
      </c>
      <c r="O101" s="15">
        <f t="shared" si="21"/>
        <v>0.35</v>
      </c>
    </row>
    <row r="102" spans="1:32" s="2725" customFormat="1">
      <c r="C102" s="88" t="s">
        <v>261</v>
      </c>
      <c r="F102" s="73">
        <f t="shared" ref="F102:O102" si="22">F100/F101</f>
        <v>80.94774857142859</v>
      </c>
      <c r="G102" s="73">
        <f t="shared" si="22"/>
        <v>93.771154285714289</v>
      </c>
      <c r="H102" s="73">
        <f t="shared" si="22"/>
        <v>199.9649828571429</v>
      </c>
      <c r="I102" s="73">
        <f t="shared" si="22"/>
        <v>193.55328000000003</v>
      </c>
      <c r="J102" s="73">
        <f t="shared" si="22"/>
        <v>193.55328000000003</v>
      </c>
      <c r="K102" s="73">
        <f t="shared" si="22"/>
        <v>189.54596571428576</v>
      </c>
      <c r="L102" s="73">
        <f t="shared" si="22"/>
        <v>180.72987428571432</v>
      </c>
      <c r="M102" s="73">
        <f t="shared" si="22"/>
        <v>176.3218285714286</v>
      </c>
      <c r="N102" s="73">
        <f t="shared" si="22"/>
        <v>167.50573714285716</v>
      </c>
      <c r="O102" s="73">
        <f t="shared" si="22"/>
        <v>167.50573714285716</v>
      </c>
      <c r="P102" s="310"/>
    </row>
    <row r="103" spans="1:32" s="2750" customFormat="1">
      <c r="C103" s="88"/>
      <c r="F103" s="73"/>
      <c r="G103" s="73"/>
      <c r="H103" s="73"/>
      <c r="I103" s="73"/>
      <c r="J103" s="73"/>
      <c r="K103" s="73"/>
      <c r="L103" s="73"/>
      <c r="M103" s="73"/>
      <c r="N103" s="73"/>
      <c r="O103" s="73"/>
      <c r="P103" s="310"/>
    </row>
    <row r="104" spans="1:32" s="2750" customFormat="1" ht="18" customHeight="1">
      <c r="B104" s="423" t="s">
        <v>721</v>
      </c>
      <c r="E104" s="780" t="str">
        <f>Preferences.AreaUnits</f>
        <v>ha</v>
      </c>
      <c r="F104" s="643">
        <f>F79*F92</f>
        <v>10504</v>
      </c>
      <c r="G104" s="643">
        <f t="shared" ref="G104:O104" si="23">G79*G92</f>
        <v>12168</v>
      </c>
      <c r="H104" s="643">
        <f t="shared" si="23"/>
        <v>25948</v>
      </c>
      <c r="I104" s="643">
        <f t="shared" si="23"/>
        <v>25116</v>
      </c>
      <c r="J104" s="643">
        <f t="shared" si="23"/>
        <v>25116</v>
      </c>
      <c r="K104" s="643">
        <f t="shared" si="23"/>
        <v>24596.000000000004</v>
      </c>
      <c r="L104" s="643">
        <f t="shared" si="23"/>
        <v>23452</v>
      </c>
      <c r="M104" s="643">
        <f t="shared" si="23"/>
        <v>22880.000000000004</v>
      </c>
      <c r="N104" s="643">
        <f t="shared" si="23"/>
        <v>21736</v>
      </c>
      <c r="O104" s="643">
        <f t="shared" si="23"/>
        <v>21736</v>
      </c>
      <c r="P104" s="643"/>
      <c r="R104" s="35"/>
      <c r="S104" s="35"/>
      <c r="T104" s="35"/>
      <c r="U104" s="292"/>
      <c r="V104" s="35"/>
      <c r="W104" s="35"/>
      <c r="X104" s="35"/>
      <c r="Y104" s="35"/>
      <c r="Z104" s="644"/>
      <c r="AA104" s="644"/>
      <c r="AB104" s="35"/>
      <c r="AC104" s="35"/>
      <c r="AD104" s="35"/>
      <c r="AE104" s="35"/>
      <c r="AF104" s="35"/>
    </row>
    <row r="105" spans="1:32" s="2725" customFormat="1">
      <c r="C105" s="88"/>
      <c r="F105" s="73"/>
      <c r="G105" s="73"/>
      <c r="H105" s="73"/>
      <c r="I105" s="73"/>
      <c r="J105" s="73"/>
      <c r="K105" s="73"/>
      <c r="L105" s="73"/>
      <c r="M105" s="73"/>
      <c r="N105" s="73"/>
      <c r="O105" s="73"/>
    </row>
    <row r="106" spans="1:32" s="2725" customFormat="1">
      <c r="F106" s="365"/>
      <c r="G106" s="365"/>
      <c r="H106" s="365"/>
      <c r="I106" s="365"/>
      <c r="J106" s="365"/>
      <c r="K106" s="365"/>
      <c r="L106" s="365"/>
      <c r="M106" s="365"/>
      <c r="N106" s="365"/>
      <c r="O106" s="365"/>
      <c r="P106" s="359"/>
    </row>
    <row r="107" spans="1:32" s="2725" customFormat="1">
      <c r="F107" s="365"/>
      <c r="G107" s="365"/>
      <c r="H107" s="365"/>
      <c r="I107" s="365"/>
      <c r="J107" s="365"/>
      <c r="K107" s="365"/>
      <c r="L107" s="365"/>
      <c r="M107" s="365"/>
      <c r="N107" s="365"/>
      <c r="O107" s="365"/>
    </row>
    <row r="108" spans="1:32" s="2725" customFormat="1" ht="15.75">
      <c r="B108" s="206" t="s">
        <v>202</v>
      </c>
      <c r="C108" s="175"/>
      <c r="D108" s="175"/>
      <c r="E108" s="175"/>
      <c r="F108" s="175"/>
      <c r="G108" s="175"/>
      <c r="H108" s="175"/>
      <c r="I108" s="175"/>
      <c r="J108" s="175"/>
      <c r="K108" s="175"/>
      <c r="L108" s="175"/>
      <c r="M108" s="175"/>
      <c r="N108" s="175"/>
      <c r="O108" s="175"/>
      <c r="P108" s="177"/>
    </row>
    <row r="109" spans="1:32" s="2725" customFormat="1">
      <c r="B109" s="164"/>
      <c r="C109" s="166"/>
      <c r="D109" s="166"/>
      <c r="E109" s="166"/>
      <c r="F109" s="166"/>
      <c r="G109" s="166"/>
      <c r="H109" s="166"/>
      <c r="I109" s="166"/>
      <c r="J109" s="166"/>
      <c r="K109" s="166"/>
      <c r="L109" s="166"/>
      <c r="M109" s="166"/>
      <c r="N109" s="166"/>
      <c r="O109" s="166"/>
      <c r="P109" s="168"/>
    </row>
    <row r="110" spans="1:32" s="2725" customFormat="1">
      <c r="B110" s="164"/>
      <c r="C110" s="178" t="s">
        <v>239</v>
      </c>
      <c r="D110" s="166"/>
      <c r="E110" s="167"/>
      <c r="F110" s="166"/>
      <c r="G110" s="167"/>
      <c r="H110" s="166"/>
      <c r="I110" s="166"/>
      <c r="J110" s="166"/>
      <c r="K110" s="166"/>
      <c r="L110" s="166"/>
      <c r="M110" s="166"/>
      <c r="N110" s="166"/>
      <c r="O110" s="167" t="str">
        <f>preferences.energyunits</f>
        <v>TWh</v>
      </c>
      <c r="P110" s="168"/>
    </row>
    <row r="111" spans="1:32" s="2725" customFormat="1" ht="22.5">
      <c r="A111" s="420"/>
      <c r="B111" s="164"/>
      <c r="C111" s="166"/>
      <c r="D111" s="166"/>
      <c r="E111" s="166"/>
      <c r="F111" s="166"/>
      <c r="G111" s="166"/>
      <c r="H111" s="166"/>
      <c r="I111" s="166"/>
      <c r="J111" s="166"/>
      <c r="K111" s="166"/>
      <c r="L111" s="166"/>
      <c r="M111" s="166"/>
      <c r="N111" s="166"/>
      <c r="O111" s="166"/>
      <c r="P111" s="168"/>
    </row>
    <row r="112" spans="1:32" s="2725" customFormat="1" ht="15.75">
      <c r="B112" s="169"/>
      <c r="C112" s="180" t="s">
        <v>64</v>
      </c>
      <c r="D112" s="180" t="s">
        <v>137</v>
      </c>
      <c r="E112" s="180" t="s">
        <v>156</v>
      </c>
      <c r="F112" s="1702" t="s">
        <v>203</v>
      </c>
      <c r="G112" s="1703" t="s">
        <v>712</v>
      </c>
      <c r="H112" s="1703" t="s">
        <v>713</v>
      </c>
      <c r="I112" s="1703" t="s">
        <v>714</v>
      </c>
      <c r="J112" s="1703" t="s">
        <v>715</v>
      </c>
      <c r="K112" s="1703" t="s">
        <v>716</v>
      </c>
      <c r="L112" s="1703" t="s">
        <v>717</v>
      </c>
      <c r="M112" s="1703" t="s">
        <v>718</v>
      </c>
      <c r="N112" s="1703" t="s">
        <v>719</v>
      </c>
      <c r="O112" s="1703" t="s">
        <v>720</v>
      </c>
      <c r="P112" s="168"/>
    </row>
    <row r="113" spans="1:16" s="2725" customFormat="1" ht="15.75">
      <c r="B113" s="169"/>
      <c r="C113" s="60" t="s">
        <v>34</v>
      </c>
      <c r="D113" s="60" t="str">
        <f>INDEX(Vectors[Description], MATCH([Vector],Vectors[Code], 0))</f>
        <v>Electricity (delivered to end user)</v>
      </c>
      <c r="E113" s="60"/>
      <c r="F113" s="129">
        <v>0</v>
      </c>
      <c r="G113" s="129">
        <v>0</v>
      </c>
      <c r="H113" s="129">
        <v>0</v>
      </c>
      <c r="I113" s="129">
        <v>0</v>
      </c>
      <c r="J113" s="129">
        <v>0</v>
      </c>
      <c r="K113" s="129">
        <v>0</v>
      </c>
      <c r="L113" s="129">
        <v>0</v>
      </c>
      <c r="M113" s="129">
        <v>0</v>
      </c>
      <c r="N113" s="129">
        <v>0</v>
      </c>
      <c r="O113" s="129">
        <v>0</v>
      </c>
      <c r="P113" s="168"/>
    </row>
    <row r="114" spans="1:16" s="2725" customFormat="1" ht="15.75">
      <c r="B114" s="169"/>
      <c r="C114" s="60" t="s">
        <v>35</v>
      </c>
      <c r="D114" s="60" t="str">
        <f>INDEX(Vectors[Description], MATCH([Vector],Vectors[Code], 0))</f>
        <v>Electricity (supplied to grid)</v>
      </c>
      <c r="E114" s="60"/>
      <c r="F114" s="129">
        <f t="shared" ref="F114:O114" si="24">F$98</f>
        <v>28.331712000000003</v>
      </c>
      <c r="G114" s="129">
        <f t="shared" si="24"/>
        <v>32.819904000000001</v>
      </c>
      <c r="H114" s="129">
        <f t="shared" si="24"/>
        <v>69.987744000000006</v>
      </c>
      <c r="I114" s="129">
        <f t="shared" si="24"/>
        <v>67.743648000000007</v>
      </c>
      <c r="J114" s="129">
        <f t="shared" si="24"/>
        <v>67.743648000000007</v>
      </c>
      <c r="K114" s="129">
        <f t="shared" si="24"/>
        <v>66.341088000000013</v>
      </c>
      <c r="L114" s="129">
        <f t="shared" si="24"/>
        <v>63.255456000000002</v>
      </c>
      <c r="M114" s="129">
        <f t="shared" si="24"/>
        <v>61.712640000000007</v>
      </c>
      <c r="N114" s="129">
        <f t="shared" si="24"/>
        <v>58.627007999999996</v>
      </c>
      <c r="O114" s="129">
        <f t="shared" si="24"/>
        <v>58.627007999999996</v>
      </c>
      <c r="P114" s="168"/>
    </row>
    <row r="115" spans="1:16" s="2725" customFormat="1" ht="15.75">
      <c r="A115" s="3"/>
      <c r="B115" s="169"/>
      <c r="C115" s="60" t="s">
        <v>7</v>
      </c>
      <c r="D115" s="60" t="str">
        <f>INDEX(Vectors[Description], MATCH([Vector],Vectors[Code], 0))</f>
        <v>Nuclear fission</v>
      </c>
      <c r="E115" s="60"/>
      <c r="F115" s="129">
        <f t="shared" ref="F115:O115" si="25">-F$102</f>
        <v>-80.94774857142859</v>
      </c>
      <c r="G115" s="129">
        <f t="shared" si="25"/>
        <v>-93.771154285714289</v>
      </c>
      <c r="H115" s="129">
        <f t="shared" si="25"/>
        <v>-199.9649828571429</v>
      </c>
      <c r="I115" s="129">
        <f t="shared" si="25"/>
        <v>-193.55328000000003</v>
      </c>
      <c r="J115" s="129">
        <f t="shared" si="25"/>
        <v>-193.55328000000003</v>
      </c>
      <c r="K115" s="129">
        <f t="shared" si="25"/>
        <v>-189.54596571428576</v>
      </c>
      <c r="L115" s="129">
        <f t="shared" si="25"/>
        <v>-180.72987428571432</v>
      </c>
      <c r="M115" s="129">
        <f t="shared" si="25"/>
        <v>-176.3218285714286</v>
      </c>
      <c r="N115" s="129">
        <f t="shared" si="25"/>
        <v>-167.50573714285716</v>
      </c>
      <c r="O115" s="129">
        <f t="shared" si="25"/>
        <v>-167.50573714285716</v>
      </c>
      <c r="P115" s="168"/>
    </row>
    <row r="116" spans="1:16" s="2725" customFormat="1" ht="15.75">
      <c r="A116" s="3"/>
      <c r="B116" s="169"/>
      <c r="C116" s="60" t="s">
        <v>25</v>
      </c>
      <c r="D116" s="60" t="str">
        <f>INDEX(Vectors[Description], MATCH([Vector],Vectors[Code], 0))</f>
        <v>Conversion losses</v>
      </c>
      <c r="E116" s="60"/>
      <c r="F116" s="129">
        <f t="shared" ref="F116:O116" si="26">(F$102-F$100)</f>
        <v>52.616036571428587</v>
      </c>
      <c r="G116" s="129">
        <f t="shared" si="26"/>
        <v>60.951250285714288</v>
      </c>
      <c r="H116" s="129">
        <f t="shared" si="26"/>
        <v>129.97723885714288</v>
      </c>
      <c r="I116" s="129">
        <f t="shared" si="26"/>
        <v>125.80963200000002</v>
      </c>
      <c r="J116" s="129">
        <f t="shared" si="26"/>
        <v>125.80963200000002</v>
      </c>
      <c r="K116" s="129">
        <f t="shared" si="26"/>
        <v>123.20487771428574</v>
      </c>
      <c r="L116" s="129">
        <f t="shared" si="26"/>
        <v>117.47441828571431</v>
      </c>
      <c r="M116" s="129">
        <f t="shared" si="26"/>
        <v>114.60918857142859</v>
      </c>
      <c r="N116" s="129">
        <f t="shared" si="26"/>
        <v>108.87872914285717</v>
      </c>
      <c r="O116" s="129">
        <f t="shared" si="26"/>
        <v>108.87872914285717</v>
      </c>
      <c r="P116" s="168"/>
    </row>
    <row r="117" spans="1:16" s="2725" customFormat="1" ht="15.75">
      <c r="A117" s="3"/>
      <c r="B117" s="169"/>
      <c r="C117" s="60" t="s">
        <v>26</v>
      </c>
      <c r="D117" s="60" t="str">
        <f>INDEX(Vectors[Description], MATCH([Vector],Vectors[Code], 0))</f>
        <v>Distribution losses and own use</v>
      </c>
      <c r="E117" s="60"/>
      <c r="F117" s="129">
        <f t="shared" ref="F117:O117" si="27">F$99</f>
        <v>0</v>
      </c>
      <c r="G117" s="129">
        <f t="shared" si="27"/>
        <v>0</v>
      </c>
      <c r="H117" s="129">
        <f t="shared" si="27"/>
        <v>0</v>
      </c>
      <c r="I117" s="129">
        <f t="shared" si="27"/>
        <v>0</v>
      </c>
      <c r="J117" s="129">
        <f t="shared" si="27"/>
        <v>0</v>
      </c>
      <c r="K117" s="129">
        <f t="shared" si="27"/>
        <v>0</v>
      </c>
      <c r="L117" s="129">
        <f t="shared" si="27"/>
        <v>0</v>
      </c>
      <c r="M117" s="129">
        <f t="shared" si="27"/>
        <v>0</v>
      </c>
      <c r="N117" s="129">
        <f t="shared" si="27"/>
        <v>0</v>
      </c>
      <c r="O117" s="129">
        <f t="shared" si="27"/>
        <v>0</v>
      </c>
      <c r="P117" s="168"/>
    </row>
    <row r="118" spans="1:16" s="2725" customFormat="1" ht="15.75">
      <c r="A118" s="3"/>
      <c r="B118" s="169"/>
      <c r="C118" s="60" t="s">
        <v>103</v>
      </c>
      <c r="D118" s="60"/>
      <c r="E118" s="60"/>
      <c r="F118" s="231">
        <f>SUBTOTAL(109,[2007])</f>
        <v>0</v>
      </c>
      <c r="G118" s="231">
        <f>SUBTOTAL(109,[2012])</f>
        <v>0</v>
      </c>
      <c r="H118" s="231">
        <f>SUBTOTAL(109,[2017])</f>
        <v>0</v>
      </c>
      <c r="I118" s="231">
        <f>SUBTOTAL(109,[2022])</f>
        <v>0</v>
      </c>
      <c r="J118" s="231">
        <f>SUBTOTAL(109,[2027])</f>
        <v>0</v>
      </c>
      <c r="K118" s="231">
        <f>SUBTOTAL(109,[2032])</f>
        <v>0</v>
      </c>
      <c r="L118" s="231">
        <f>SUBTOTAL(109,[2037])</f>
        <v>0</v>
      </c>
      <c r="M118" s="231">
        <f>SUBTOTAL(109,[2042])</f>
        <v>0</v>
      </c>
      <c r="N118" s="231">
        <f>SUBTOTAL(109,[2047])</f>
        <v>0</v>
      </c>
      <c r="O118" s="231">
        <f>SUBTOTAL(109,[2052])</f>
        <v>0</v>
      </c>
      <c r="P118" s="168"/>
    </row>
    <row r="119" spans="1:16" s="2725" customFormat="1" ht="15.75">
      <c r="A119" s="3"/>
      <c r="B119" s="170"/>
      <c r="C119" s="171"/>
      <c r="D119" s="171"/>
      <c r="E119" s="171"/>
      <c r="F119" s="171"/>
      <c r="G119" s="171"/>
      <c r="H119" s="171"/>
      <c r="I119" s="171"/>
      <c r="J119" s="171"/>
      <c r="K119" s="171"/>
      <c r="L119" s="171"/>
      <c r="M119" s="171"/>
      <c r="N119" s="171"/>
      <c r="O119" s="171"/>
      <c r="P119" s="173"/>
    </row>
    <row r="120" spans="1:16" s="2725" customFormat="1" ht="15.75">
      <c r="A120" s="3"/>
    </row>
    <row r="121" spans="1:16" s="2725" customFormat="1" ht="15.75">
      <c r="A121" s="3"/>
      <c r="B121" s="424" t="s">
        <v>501</v>
      </c>
      <c r="C121" s="346"/>
      <c r="D121" s="425"/>
      <c r="E121" s="425"/>
      <c r="F121" s="425"/>
      <c r="G121" s="425"/>
      <c r="H121" s="425"/>
      <c r="I121" s="425"/>
      <c r="J121" s="425"/>
      <c r="K121" s="425"/>
      <c r="L121" s="425"/>
      <c r="M121" s="425"/>
      <c r="N121" s="425"/>
      <c r="O121" s="425"/>
      <c r="P121" s="426"/>
    </row>
    <row r="122" spans="1:16" s="2725" customFormat="1" ht="7.5" customHeight="1">
      <c r="A122" s="3"/>
      <c r="B122" s="347"/>
      <c r="C122" s="348"/>
      <c r="D122" s="348"/>
      <c r="E122" s="348"/>
      <c r="F122" s="348"/>
      <c r="G122" s="348"/>
      <c r="H122" s="348"/>
      <c r="I122" s="348"/>
      <c r="J122" s="348"/>
      <c r="K122" s="348"/>
      <c r="L122" s="348"/>
      <c r="M122" s="348"/>
      <c r="N122" s="348"/>
      <c r="O122" s="348"/>
      <c r="P122" s="349"/>
    </row>
    <row r="123" spans="1:16" s="2725" customFormat="1" collapsed="1">
      <c r="B123" s="427"/>
      <c r="C123" s="350" t="s">
        <v>506</v>
      </c>
      <c r="D123" s="428"/>
      <c r="E123" s="351"/>
      <c r="F123" s="428"/>
      <c r="G123" s="351"/>
      <c r="H123" s="428"/>
      <c r="I123" s="428"/>
      <c r="J123" s="428"/>
      <c r="K123" s="428"/>
      <c r="L123" s="428"/>
      <c r="M123" s="428"/>
      <c r="N123" s="428"/>
      <c r="O123" s="351"/>
      <c r="P123" s="429"/>
    </row>
    <row r="124" spans="1:16" s="2725" customFormat="1" ht="4.5" customHeight="1">
      <c r="B124" s="427"/>
      <c r="C124" s="428"/>
      <c r="D124" s="428"/>
      <c r="E124" s="428"/>
      <c r="F124" s="428"/>
      <c r="G124" s="428"/>
      <c r="H124" s="428"/>
      <c r="I124" s="428"/>
      <c r="J124" s="428"/>
      <c r="K124" s="428"/>
      <c r="L124" s="428"/>
      <c r="M124" s="428"/>
      <c r="N124" s="428"/>
      <c r="O124" s="428"/>
      <c r="P124" s="429"/>
    </row>
    <row r="125" spans="1:16" s="2725" customFormat="1" ht="15.75">
      <c r="B125" s="430"/>
      <c r="C125" s="431" t="s">
        <v>64</v>
      </c>
      <c r="D125" s="431" t="s">
        <v>502</v>
      </c>
      <c r="E125" s="431" t="s">
        <v>156</v>
      </c>
      <c r="F125" s="1704" t="s">
        <v>203</v>
      </c>
      <c r="G125" s="1705" t="s">
        <v>712</v>
      </c>
      <c r="H125" s="1705" t="s">
        <v>713</v>
      </c>
      <c r="I125" s="1705" t="s">
        <v>714</v>
      </c>
      <c r="J125" s="1705" t="s">
        <v>715</v>
      </c>
      <c r="K125" s="1705" t="s">
        <v>716</v>
      </c>
      <c r="L125" s="1705" t="s">
        <v>717</v>
      </c>
      <c r="M125" s="1705" t="s">
        <v>718</v>
      </c>
      <c r="N125" s="1705" t="s">
        <v>719</v>
      </c>
      <c r="O125" s="1705" t="s">
        <v>720</v>
      </c>
      <c r="P125" s="429"/>
    </row>
    <row r="126" spans="1:16" s="2725" customFormat="1" ht="15.75" customHeight="1">
      <c r="B126" s="430"/>
      <c r="C126" s="432" t="s">
        <v>508</v>
      </c>
      <c r="D126" s="433" t="str">
        <f>INDEX(Vectors[Description], MATCH([Vector], Vectors[Code], 0))</f>
        <v xml:space="preserve">Installed Capacity </v>
      </c>
      <c r="E126" s="433" t="str">
        <f>Preferences.PowerUnits</f>
        <v>GW</v>
      </c>
      <c r="F126" s="354">
        <f t="shared" ref="F126:O126" si="28">F88</f>
        <v>4.04</v>
      </c>
      <c r="G126" s="354">
        <f t="shared" si="28"/>
        <v>4.68</v>
      </c>
      <c r="H126" s="354">
        <f t="shared" si="28"/>
        <v>9.98</v>
      </c>
      <c r="I126" s="354">
        <f t="shared" si="28"/>
        <v>9.66</v>
      </c>
      <c r="J126" s="354">
        <f t="shared" si="28"/>
        <v>9.66</v>
      </c>
      <c r="K126" s="354">
        <f t="shared" si="28"/>
        <v>9.4600000000000009</v>
      </c>
      <c r="L126" s="354">
        <f t="shared" si="28"/>
        <v>9.02</v>
      </c>
      <c r="M126" s="354">
        <f t="shared" si="28"/>
        <v>8.8000000000000007</v>
      </c>
      <c r="N126" s="354">
        <f t="shared" si="28"/>
        <v>8.36</v>
      </c>
      <c r="O126" s="354">
        <f t="shared" si="28"/>
        <v>8.36</v>
      </c>
      <c r="P126" s="429"/>
    </row>
    <row r="127" spans="1:16" s="2725" customFormat="1" ht="15.75">
      <c r="B127" s="430"/>
      <c r="C127" s="432" t="s">
        <v>607</v>
      </c>
      <c r="D127" s="433" t="str">
        <f>INDEX(Vectors[Description], MATCH([Vector], Vectors[Code], 0))</f>
        <v>Load factor</v>
      </c>
      <c r="E127" s="432" t="s">
        <v>277</v>
      </c>
      <c r="F127" s="443">
        <f t="shared" ref="F127:O127" si="29">F64</f>
        <v>0.8</v>
      </c>
      <c r="G127" s="443">
        <f t="shared" si="29"/>
        <v>0.8</v>
      </c>
      <c r="H127" s="443">
        <f t="shared" si="29"/>
        <v>0.8</v>
      </c>
      <c r="I127" s="443">
        <f t="shared" si="29"/>
        <v>0.8</v>
      </c>
      <c r="J127" s="443">
        <f t="shared" si="29"/>
        <v>0.8</v>
      </c>
      <c r="K127" s="443">
        <f t="shared" si="29"/>
        <v>0.8</v>
      </c>
      <c r="L127" s="443">
        <f t="shared" si="29"/>
        <v>0.8</v>
      </c>
      <c r="M127" s="443">
        <f t="shared" si="29"/>
        <v>0.8</v>
      </c>
      <c r="N127" s="443">
        <f t="shared" si="29"/>
        <v>0.8</v>
      </c>
      <c r="O127" s="443">
        <f t="shared" si="29"/>
        <v>0.8</v>
      </c>
      <c r="P127" s="429"/>
    </row>
    <row r="128" spans="1:16" s="2725" customFormat="1" ht="15.75">
      <c r="B128" s="430"/>
      <c r="C128" s="432" t="s">
        <v>503</v>
      </c>
      <c r="D128" s="433" t="str">
        <f>INDEX(Vectors[Description], MATCH([Vector], Vectors[Code], 0))</f>
        <v>India Land area</v>
      </c>
      <c r="E128" s="432"/>
      <c r="F128" s="343">
        <f>F104</f>
        <v>10504</v>
      </c>
      <c r="G128" s="343">
        <f t="shared" ref="G128:O128" si="30">G104</f>
        <v>12168</v>
      </c>
      <c r="H128" s="343">
        <f t="shared" si="30"/>
        <v>25948</v>
      </c>
      <c r="I128" s="343">
        <f t="shared" si="30"/>
        <v>25116</v>
      </c>
      <c r="J128" s="343">
        <f t="shared" si="30"/>
        <v>25116</v>
      </c>
      <c r="K128" s="343">
        <f t="shared" si="30"/>
        <v>24596.000000000004</v>
      </c>
      <c r="L128" s="343">
        <f t="shared" si="30"/>
        <v>23452</v>
      </c>
      <c r="M128" s="343">
        <f t="shared" si="30"/>
        <v>22880.000000000004</v>
      </c>
      <c r="N128" s="343">
        <f t="shared" si="30"/>
        <v>21736</v>
      </c>
      <c r="O128" s="343">
        <f t="shared" si="30"/>
        <v>21736</v>
      </c>
      <c r="P128" s="429"/>
    </row>
    <row r="129" spans="2:16" s="2725" customFormat="1" ht="15.75">
      <c r="B129" s="355"/>
      <c r="C129" s="434"/>
      <c r="D129" s="434"/>
      <c r="E129" s="434"/>
      <c r="F129" s="434"/>
      <c r="G129" s="434"/>
      <c r="H129" s="434"/>
      <c r="I129" s="434"/>
      <c r="J129" s="434"/>
      <c r="K129" s="434"/>
      <c r="L129" s="434"/>
      <c r="M129" s="434"/>
      <c r="N129" s="434"/>
      <c r="O129" s="434"/>
      <c r="P129" s="352"/>
    </row>
    <row r="130" spans="2:16" s="2725" customFormat="1"/>
    <row r="131" spans="2:16">
      <c r="C131" s="423"/>
    </row>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sheetPr>
    <tabColor theme="9"/>
  </sheetPr>
  <dimension ref="A1:DJ139"/>
  <sheetViews>
    <sheetView showGridLines="0" topLeftCell="A80" workbookViewId="0">
      <selection activeCell="G98" sqref="G98"/>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16384" width="8.85546875" style="605"/>
  </cols>
  <sheetData>
    <row r="1" spans="1:18" ht="21">
      <c r="A1" s="77" t="s">
        <v>62</v>
      </c>
      <c r="B1" s="77" t="str">
        <f>INDEX(Workstreams[Workstream], MATCH($A1, Workstreams[Code], 0))</f>
        <v>Hydro Electric Power Generation</v>
      </c>
      <c r="C1" s="77"/>
    </row>
    <row r="2" spans="1:18" s="51" customFormat="1" ht="15.75">
      <c r="A2" s="6" t="s">
        <v>62</v>
      </c>
      <c r="B2" s="6" t="str">
        <f>INDEX(Modules[Module], MATCH($A2, Modules[Code], 0))</f>
        <v>Hydro Power Generation</v>
      </c>
      <c r="C2" s="6"/>
      <c r="E2" s="404"/>
    </row>
    <row r="4" spans="1:18" ht="22.5">
      <c r="A4" s="420"/>
      <c r="B4" s="206" t="s">
        <v>412</v>
      </c>
      <c r="C4" s="175"/>
      <c r="D4" s="175"/>
      <c r="E4" s="175"/>
      <c r="F4" s="175"/>
      <c r="G4" s="175"/>
      <c r="H4" s="175"/>
      <c r="I4" s="175"/>
      <c r="J4" s="175"/>
      <c r="K4" s="175"/>
      <c r="L4" s="175"/>
      <c r="M4" s="175"/>
      <c r="N4" s="175"/>
      <c r="O4" s="175"/>
      <c r="P4" s="177"/>
    </row>
    <row r="5" spans="1:18">
      <c r="B5" s="164"/>
      <c r="C5" s="166"/>
      <c r="D5" s="166"/>
      <c r="E5" s="166"/>
      <c r="F5" s="166"/>
      <c r="G5" s="166"/>
      <c r="H5" s="166"/>
      <c r="I5" s="166"/>
      <c r="J5" s="166"/>
      <c r="K5" s="166"/>
      <c r="L5" s="166"/>
      <c r="M5" s="166"/>
      <c r="N5" s="166"/>
      <c r="O5" s="166"/>
      <c r="P5" s="168"/>
    </row>
    <row r="6" spans="1:18">
      <c r="B6" s="164"/>
      <c r="C6" s="165"/>
      <c r="D6" s="166"/>
      <c r="E6" s="167"/>
      <c r="F6" s="166"/>
      <c r="G6" s="166"/>
      <c r="H6" s="166"/>
      <c r="I6" s="166"/>
      <c r="J6" s="166"/>
      <c r="K6" s="166"/>
      <c r="L6" s="166"/>
      <c r="M6" s="166"/>
      <c r="N6" s="166"/>
      <c r="O6" s="166"/>
      <c r="P6" s="168"/>
    </row>
    <row r="7" spans="1:18" ht="15.75">
      <c r="B7" s="169"/>
      <c r="C7" s="166"/>
      <c r="D7" s="118" t="s">
        <v>274</v>
      </c>
      <c r="E7" s="118" t="s">
        <v>411</v>
      </c>
      <c r="F7" s="166"/>
      <c r="G7" s="166"/>
      <c r="H7" s="166"/>
      <c r="I7" s="166"/>
      <c r="J7" s="166"/>
      <c r="K7" s="166"/>
      <c r="L7" s="166"/>
      <c r="M7" s="166"/>
      <c r="N7" s="166"/>
      <c r="O7" s="166"/>
      <c r="P7" s="168"/>
    </row>
    <row r="8" spans="1:18" ht="15.75">
      <c r="B8" s="169"/>
      <c r="C8" s="166"/>
      <c r="D8" s="127" t="s">
        <v>414</v>
      </c>
      <c r="E8" s="127">
        <f>III.scenario</f>
        <v>1</v>
      </c>
      <c r="F8" s="166"/>
      <c r="G8" s="166"/>
      <c r="H8" s="166"/>
      <c r="I8" s="166"/>
      <c r="J8" s="166"/>
      <c r="K8" s="166"/>
      <c r="L8" s="166"/>
      <c r="M8" s="166"/>
      <c r="N8" s="166"/>
      <c r="O8" s="166"/>
      <c r="P8" s="168"/>
    </row>
    <row r="9" spans="1:18">
      <c r="B9" s="182"/>
      <c r="C9" s="172"/>
      <c r="D9" s="172"/>
      <c r="E9" s="172"/>
      <c r="F9" s="172"/>
      <c r="G9" s="172"/>
      <c r="H9" s="172"/>
      <c r="I9" s="172"/>
      <c r="J9" s="172"/>
      <c r="K9" s="172"/>
      <c r="L9" s="172"/>
      <c r="M9" s="172"/>
      <c r="N9" s="172"/>
      <c r="O9" s="172"/>
      <c r="P9" s="173"/>
    </row>
    <row r="11" spans="1:18" ht="22.5">
      <c r="A11" s="420"/>
      <c r="B11" s="421" t="s">
        <v>413</v>
      </c>
      <c r="C11" s="159"/>
      <c r="D11" s="159"/>
      <c r="E11" s="159"/>
      <c r="F11" s="159"/>
      <c r="G11" s="159"/>
      <c r="H11" s="159"/>
      <c r="I11" s="159"/>
      <c r="J11" s="159"/>
      <c r="K11" s="159"/>
      <c r="L11" s="159"/>
      <c r="M11" s="159"/>
      <c r="N11" s="159"/>
      <c r="O11" s="159"/>
      <c r="P11" s="160"/>
    </row>
    <row r="12" spans="1:18">
      <c r="B12" s="418"/>
      <c r="C12" s="415"/>
      <c r="D12" s="415"/>
      <c r="E12" s="415"/>
      <c r="F12" s="415"/>
      <c r="G12" s="415"/>
      <c r="H12" s="415"/>
      <c r="I12" s="415"/>
      <c r="J12" s="415"/>
      <c r="K12" s="415"/>
      <c r="L12" s="415"/>
      <c r="M12" s="415"/>
      <c r="N12" s="415"/>
      <c r="O12" s="415"/>
      <c r="P12" s="419"/>
    </row>
    <row r="13" spans="1:18">
      <c r="B13" s="418"/>
      <c r="C13" s="416" t="s">
        <v>1682</v>
      </c>
      <c r="D13" s="415"/>
      <c r="E13" s="104"/>
      <c r="F13" s="415"/>
      <c r="G13" s="415"/>
      <c r="H13" s="415"/>
      <c r="I13" s="415"/>
      <c r="J13" s="415"/>
      <c r="K13" s="415"/>
      <c r="L13" s="415"/>
      <c r="M13" s="415"/>
      <c r="N13" s="415"/>
      <c r="O13" s="104" t="str">
        <f>Preferences.PowerUnits</f>
        <v>GW</v>
      </c>
      <c r="P13" s="419"/>
    </row>
    <row r="14" spans="1:18">
      <c r="B14" s="418"/>
      <c r="C14" s="415"/>
      <c r="D14" s="415"/>
      <c r="E14" s="415"/>
      <c r="F14" s="415"/>
      <c r="G14" s="415"/>
      <c r="H14" s="415"/>
      <c r="I14" s="415"/>
      <c r="J14" s="415"/>
      <c r="K14" s="415"/>
      <c r="L14" s="415"/>
      <c r="M14" s="415"/>
      <c r="N14" s="415"/>
      <c r="O14" s="415"/>
      <c r="P14" s="419"/>
    </row>
    <row r="15" spans="1:18" ht="15.75">
      <c r="B15" s="152"/>
      <c r="C15" s="61" t="s">
        <v>411</v>
      </c>
      <c r="D15" s="61" t="s">
        <v>65</v>
      </c>
      <c r="E15" s="61" t="s">
        <v>156</v>
      </c>
      <c r="F15" s="119">
        <v>2007</v>
      </c>
      <c r="G15" s="120">
        <v>2012</v>
      </c>
      <c r="H15" s="119">
        <v>2017</v>
      </c>
      <c r="I15" s="119">
        <v>2022</v>
      </c>
      <c r="J15" s="119">
        <v>2027</v>
      </c>
      <c r="K15" s="119">
        <v>2032</v>
      </c>
      <c r="L15" s="119">
        <v>2037</v>
      </c>
      <c r="M15" s="119">
        <v>2042</v>
      </c>
      <c r="N15" s="119">
        <v>2047</v>
      </c>
      <c r="O15" s="119">
        <v>2052</v>
      </c>
      <c r="P15" s="419"/>
    </row>
    <row r="16" spans="1:18" ht="25.5">
      <c r="B16" s="153"/>
      <c r="C16" s="413">
        <v>1</v>
      </c>
      <c r="D16" s="414" t="s">
        <v>1672</v>
      </c>
      <c r="E16" s="2003" t="s">
        <v>1673</v>
      </c>
      <c r="F16" s="415">
        <f>34.65*(Unit.GW)</f>
        <v>34.65</v>
      </c>
      <c r="G16" s="415">
        <f>41*(Unit.GW)</f>
        <v>41</v>
      </c>
      <c r="H16" s="415">
        <f t="shared" ref="H16:N16" si="0">49*(Unit.GW)</f>
        <v>49</v>
      </c>
      <c r="I16" s="415">
        <f t="shared" si="0"/>
        <v>49</v>
      </c>
      <c r="J16" s="415">
        <f t="shared" si="0"/>
        <v>49</v>
      </c>
      <c r="K16" s="415">
        <f t="shared" si="0"/>
        <v>49</v>
      </c>
      <c r="L16" s="415">
        <f t="shared" si="0"/>
        <v>49</v>
      </c>
      <c r="M16" s="415">
        <f t="shared" si="0"/>
        <v>49</v>
      </c>
      <c r="N16" s="415">
        <f t="shared" si="0"/>
        <v>49</v>
      </c>
      <c r="O16" s="415">
        <f>49*(Unit.GW)</f>
        <v>49</v>
      </c>
      <c r="P16" s="154"/>
      <c r="R16" s="310"/>
    </row>
    <row r="17" spans="2:18" ht="38.25">
      <c r="B17" s="152"/>
      <c r="C17" s="413">
        <v>2</v>
      </c>
      <c r="D17" s="1975" t="s">
        <v>1674</v>
      </c>
      <c r="E17" s="414" t="s">
        <v>1675</v>
      </c>
      <c r="F17" s="415">
        <f>34.65*(Unit.GW)</f>
        <v>34.65</v>
      </c>
      <c r="G17" s="415">
        <f>41*(Unit.GW)</f>
        <v>41</v>
      </c>
      <c r="H17" s="415">
        <f>49*(Unit.GW)</f>
        <v>49</v>
      </c>
      <c r="I17" s="415">
        <f>61*(Unit.GW)</f>
        <v>61</v>
      </c>
      <c r="J17" s="415">
        <f>63*(Unit.GW)</f>
        <v>63</v>
      </c>
      <c r="K17" s="415">
        <f>66*(Unit.GW)</f>
        <v>66</v>
      </c>
      <c r="L17" s="415">
        <f>69*(Unit.GW)</f>
        <v>69</v>
      </c>
      <c r="M17" s="415">
        <f>72*(Unit.GW)</f>
        <v>72</v>
      </c>
      <c r="N17" s="415">
        <f>75*(Unit.GW)</f>
        <v>75</v>
      </c>
      <c r="O17" s="415">
        <f>78*(Unit.GW)</f>
        <v>78</v>
      </c>
      <c r="P17" s="419"/>
      <c r="R17" s="310"/>
    </row>
    <row r="18" spans="2:18" ht="63.75">
      <c r="B18" s="152"/>
      <c r="C18" s="413">
        <v>3</v>
      </c>
      <c r="D18" s="1975" t="s">
        <v>1676</v>
      </c>
      <c r="E18" s="1975" t="s">
        <v>1677</v>
      </c>
      <c r="F18" s="415">
        <f>34.65*(Unit.GW)</f>
        <v>34.65</v>
      </c>
      <c r="G18" s="415">
        <f>41*(Unit.GW)</f>
        <v>41</v>
      </c>
      <c r="H18" s="415">
        <f>49*(Unit.GW)</f>
        <v>49</v>
      </c>
      <c r="I18" s="415">
        <f>61*(Unit.GW)</f>
        <v>61</v>
      </c>
      <c r="J18" s="415">
        <f>68*(Unit.GW)</f>
        <v>68</v>
      </c>
      <c r="K18" s="415">
        <f>77*(Unit.GW)</f>
        <v>77</v>
      </c>
      <c r="L18" s="415">
        <f>87*(Unit.GW)</f>
        <v>87</v>
      </c>
      <c r="M18" s="415">
        <f>96*(Unit.GW)</f>
        <v>96</v>
      </c>
      <c r="N18" s="415">
        <f>105*(Unit.GW)</f>
        <v>105</v>
      </c>
      <c r="O18" s="415">
        <f>114*(Unit.GW)</f>
        <v>114</v>
      </c>
      <c r="P18" s="419"/>
      <c r="R18" s="310"/>
    </row>
    <row r="19" spans="2:18" ht="51">
      <c r="B19" s="152"/>
      <c r="C19" s="411">
        <v>4</v>
      </c>
      <c r="D19" s="2004" t="s">
        <v>1678</v>
      </c>
      <c r="E19" s="2004" t="s">
        <v>1679</v>
      </c>
      <c r="F19" s="415">
        <f>34.65*(Unit.GW)</f>
        <v>34.65</v>
      </c>
      <c r="G19" s="415">
        <f>41*(Unit.GW)</f>
        <v>41</v>
      </c>
      <c r="H19" s="415">
        <f>49*(Unit.GW)</f>
        <v>49</v>
      </c>
      <c r="I19" s="415">
        <f>61*(Unit.GW)</f>
        <v>61</v>
      </c>
      <c r="J19" s="415">
        <f>74*(Unit.GW)</f>
        <v>74</v>
      </c>
      <c r="K19" s="415">
        <f>93*(Unit.GW)</f>
        <v>93</v>
      </c>
      <c r="L19" s="415">
        <f>112*(Unit.GW)</f>
        <v>112</v>
      </c>
      <c r="M19" s="415">
        <f>131*(Unit.GW)</f>
        <v>131</v>
      </c>
      <c r="N19" s="415">
        <f>150*(Unit.GW)</f>
        <v>150</v>
      </c>
      <c r="O19" s="415">
        <f>169*(Unit.GW)</f>
        <v>169</v>
      </c>
      <c r="P19" s="419"/>
      <c r="R19" s="310"/>
    </row>
    <row r="20" spans="2:18" ht="15.75">
      <c r="B20" s="152"/>
      <c r="C20" s="406" t="s">
        <v>406</v>
      </c>
      <c r="D20" s="407"/>
      <c r="E20" s="407"/>
      <c r="F20" s="408">
        <f t="shared" ref="F20:O20" si="1">(INDEX(F$16:F$19,ROUNDDOWN($E$8,0))*(1-MOD($E$8,1)))+(INDEX(F$16:F$19,ROUNDUP($E$8,0))*MOD($E$8,1))</f>
        <v>34.65</v>
      </c>
      <c r="G20" s="610">
        <f t="shared" si="1"/>
        <v>41</v>
      </c>
      <c r="H20" s="408">
        <f t="shared" si="1"/>
        <v>49</v>
      </c>
      <c r="I20" s="408">
        <f t="shared" si="1"/>
        <v>49</v>
      </c>
      <c r="J20" s="408">
        <f t="shared" si="1"/>
        <v>49</v>
      </c>
      <c r="K20" s="408">
        <f t="shared" si="1"/>
        <v>49</v>
      </c>
      <c r="L20" s="408">
        <f t="shared" si="1"/>
        <v>49</v>
      </c>
      <c r="M20" s="408">
        <f t="shared" si="1"/>
        <v>49</v>
      </c>
      <c r="N20" s="408">
        <f t="shared" si="1"/>
        <v>49</v>
      </c>
      <c r="O20" s="2173">
        <f t="shared" si="1"/>
        <v>49</v>
      </c>
      <c r="P20" s="419"/>
    </row>
    <row r="21" spans="2:18">
      <c r="B21" s="155"/>
      <c r="C21" s="415"/>
      <c r="D21" s="105"/>
      <c r="E21" s="415"/>
      <c r="F21" s="415"/>
      <c r="G21" s="611"/>
      <c r="H21" s="611"/>
      <c r="I21" s="611"/>
      <c r="J21" s="611"/>
      <c r="K21" s="611"/>
      <c r="L21" s="611"/>
      <c r="M21" s="611"/>
      <c r="N21" s="611"/>
      <c r="O21" s="611"/>
      <c r="P21" s="419"/>
    </row>
    <row r="22" spans="2:18">
      <c r="B22" s="239"/>
      <c r="C22" s="415"/>
      <c r="D22" s="105"/>
      <c r="E22" s="415"/>
      <c r="F22" s="415"/>
      <c r="G22" s="415"/>
      <c r="H22" s="415"/>
      <c r="I22" s="415"/>
      <c r="J22" s="415"/>
      <c r="K22" s="415"/>
      <c r="L22" s="415"/>
      <c r="M22" s="415"/>
      <c r="N22" s="415"/>
      <c r="O22" s="415"/>
      <c r="P22" s="419"/>
    </row>
    <row r="23" spans="2:18">
      <c r="B23" s="239"/>
      <c r="C23" s="104"/>
      <c r="D23" s="105"/>
      <c r="E23" s="415"/>
      <c r="F23" s="415"/>
      <c r="G23" s="415"/>
      <c r="H23" s="415"/>
      <c r="I23" s="415"/>
      <c r="J23" s="415"/>
      <c r="K23" s="415"/>
      <c r="L23" s="415"/>
      <c r="M23" s="415"/>
      <c r="N23" s="415"/>
      <c r="O23" s="415"/>
      <c r="P23" s="419"/>
    </row>
    <row r="24" spans="2:18">
      <c r="B24" s="239"/>
      <c r="C24" s="416" t="s">
        <v>1680</v>
      </c>
      <c r="D24" s="415"/>
      <c r="E24" s="104"/>
      <c r="F24" s="415"/>
      <c r="G24" s="415"/>
      <c r="H24" s="415"/>
      <c r="I24" s="415"/>
      <c r="J24" s="415"/>
      <c r="K24" s="415"/>
      <c r="L24" s="415"/>
      <c r="M24" s="415"/>
      <c r="N24" s="415"/>
      <c r="O24" s="104" t="str">
        <f>Preferences.PowerUnits</f>
        <v>GW</v>
      </c>
      <c r="P24" s="419"/>
    </row>
    <row r="25" spans="2:18">
      <c r="B25" s="239"/>
      <c r="C25" s="415"/>
      <c r="D25" s="415"/>
      <c r="E25" s="415"/>
      <c r="F25" s="415"/>
      <c r="G25" s="415"/>
      <c r="H25" s="415"/>
      <c r="I25" s="415"/>
      <c r="J25" s="415"/>
      <c r="K25" s="415"/>
      <c r="L25" s="415"/>
      <c r="M25" s="415"/>
      <c r="N25" s="415"/>
      <c r="O25" s="415"/>
      <c r="P25" s="419"/>
    </row>
    <row r="26" spans="2:18">
      <c r="B26" s="239"/>
      <c r="C26" s="61" t="s">
        <v>411</v>
      </c>
      <c r="D26" s="61" t="s">
        <v>65</v>
      </c>
      <c r="E26" s="61" t="s">
        <v>156</v>
      </c>
      <c r="F26" s="119">
        <v>2007</v>
      </c>
      <c r="G26" s="120">
        <f t="shared" ref="G26:O26" si="2">F26+5</f>
        <v>2012</v>
      </c>
      <c r="H26" s="120">
        <f t="shared" si="2"/>
        <v>2017</v>
      </c>
      <c r="I26" s="120">
        <f t="shared" si="2"/>
        <v>2022</v>
      </c>
      <c r="J26" s="120">
        <f t="shared" si="2"/>
        <v>2027</v>
      </c>
      <c r="K26" s="120">
        <f t="shared" si="2"/>
        <v>2032</v>
      </c>
      <c r="L26" s="120">
        <f t="shared" si="2"/>
        <v>2037</v>
      </c>
      <c r="M26" s="120">
        <f t="shared" si="2"/>
        <v>2042</v>
      </c>
      <c r="N26" s="120">
        <f t="shared" si="2"/>
        <v>2047</v>
      </c>
      <c r="O26" s="120">
        <f t="shared" si="2"/>
        <v>2052</v>
      </c>
      <c r="P26" s="419"/>
    </row>
    <row r="27" spans="2:18">
      <c r="B27" s="239"/>
      <c r="C27" s="413">
        <v>1</v>
      </c>
      <c r="D27" s="414"/>
      <c r="E27" s="96"/>
      <c r="F27" s="415">
        <f t="shared" ref="F27:O30" si="3">0*(Unit.GW)</f>
        <v>0</v>
      </c>
      <c r="G27" s="415">
        <f t="shared" si="3"/>
        <v>0</v>
      </c>
      <c r="H27" s="415">
        <f t="shared" si="3"/>
        <v>0</v>
      </c>
      <c r="I27" s="415">
        <f t="shared" si="3"/>
        <v>0</v>
      </c>
      <c r="J27" s="415">
        <f t="shared" si="3"/>
        <v>0</v>
      </c>
      <c r="K27" s="415">
        <f t="shared" si="3"/>
        <v>0</v>
      </c>
      <c r="L27" s="415">
        <f t="shared" si="3"/>
        <v>0</v>
      </c>
      <c r="M27" s="415">
        <f t="shared" si="3"/>
        <v>0</v>
      </c>
      <c r="N27" s="415">
        <f t="shared" si="3"/>
        <v>0</v>
      </c>
      <c r="O27" s="415">
        <f t="shared" si="3"/>
        <v>0</v>
      </c>
      <c r="P27" s="419"/>
    </row>
    <row r="28" spans="2:18">
      <c r="B28" s="239"/>
      <c r="C28" s="413">
        <v>2</v>
      </c>
      <c r="D28" s="414"/>
      <c r="E28" s="414"/>
      <c r="F28" s="415">
        <f t="shared" si="3"/>
        <v>0</v>
      </c>
      <c r="G28" s="415">
        <f t="shared" si="3"/>
        <v>0</v>
      </c>
      <c r="H28" s="415">
        <f t="shared" si="3"/>
        <v>0</v>
      </c>
      <c r="I28" s="415">
        <f t="shared" si="3"/>
        <v>0</v>
      </c>
      <c r="J28" s="415">
        <f t="shared" si="3"/>
        <v>0</v>
      </c>
      <c r="K28" s="415">
        <f t="shared" si="3"/>
        <v>0</v>
      </c>
      <c r="L28" s="415">
        <f t="shared" si="3"/>
        <v>0</v>
      </c>
      <c r="M28" s="415">
        <f t="shared" si="3"/>
        <v>0</v>
      </c>
      <c r="N28" s="415">
        <f t="shared" si="3"/>
        <v>0</v>
      </c>
      <c r="O28" s="415">
        <f t="shared" si="3"/>
        <v>0</v>
      </c>
      <c r="P28" s="419"/>
    </row>
    <row r="29" spans="2:18">
      <c r="B29" s="239"/>
      <c r="C29" s="413">
        <v>3</v>
      </c>
      <c r="D29" s="414"/>
      <c r="E29" s="414"/>
      <c r="F29" s="415">
        <f t="shared" si="3"/>
        <v>0</v>
      </c>
      <c r="G29" s="415">
        <f t="shared" si="3"/>
        <v>0</v>
      </c>
      <c r="H29" s="415">
        <f t="shared" si="3"/>
        <v>0</v>
      </c>
      <c r="I29" s="415">
        <f t="shared" si="3"/>
        <v>0</v>
      </c>
      <c r="J29" s="415">
        <f t="shared" si="3"/>
        <v>0</v>
      </c>
      <c r="K29" s="415">
        <f t="shared" si="3"/>
        <v>0</v>
      </c>
      <c r="L29" s="415">
        <f t="shared" si="3"/>
        <v>0</v>
      </c>
      <c r="M29" s="415">
        <f t="shared" si="3"/>
        <v>0</v>
      </c>
      <c r="N29" s="415">
        <f t="shared" si="3"/>
        <v>0</v>
      </c>
      <c r="O29" s="415">
        <f t="shared" si="3"/>
        <v>0</v>
      </c>
      <c r="P29" s="419"/>
    </row>
    <row r="30" spans="2:18">
      <c r="B30" s="239"/>
      <c r="C30" s="411">
        <v>4</v>
      </c>
      <c r="D30" s="65"/>
      <c r="E30" s="65"/>
      <c r="F30" s="415">
        <f t="shared" si="3"/>
        <v>0</v>
      </c>
      <c r="G30" s="415">
        <f t="shared" si="3"/>
        <v>0</v>
      </c>
      <c r="H30" s="415">
        <f t="shared" si="3"/>
        <v>0</v>
      </c>
      <c r="I30" s="415">
        <f t="shared" si="3"/>
        <v>0</v>
      </c>
      <c r="J30" s="415">
        <f t="shared" si="3"/>
        <v>0</v>
      </c>
      <c r="K30" s="415">
        <f t="shared" si="3"/>
        <v>0</v>
      </c>
      <c r="L30" s="415">
        <f t="shared" si="3"/>
        <v>0</v>
      </c>
      <c r="M30" s="415">
        <f t="shared" si="3"/>
        <v>0</v>
      </c>
      <c r="N30" s="415">
        <f t="shared" si="3"/>
        <v>0</v>
      </c>
      <c r="O30" s="415">
        <f t="shared" si="3"/>
        <v>0</v>
      </c>
      <c r="P30" s="419"/>
    </row>
    <row r="31" spans="2:18">
      <c r="B31" s="239"/>
      <c r="C31" s="406" t="s">
        <v>406</v>
      </c>
      <c r="D31" s="407"/>
      <c r="E31" s="407"/>
      <c r="F31" s="408">
        <f t="shared" ref="F31:O31" si="4">(INDEX(F$27:F$30,ROUNDDOWN($E$8,0))*(1-MOD($E$8,1)))+(INDEX(F$27:F$30,ROUNDUP($E$8,0))*MOD($E$8,1))</f>
        <v>0</v>
      </c>
      <c r="G31" s="408">
        <f t="shared" si="4"/>
        <v>0</v>
      </c>
      <c r="H31" s="408">
        <f t="shared" si="4"/>
        <v>0</v>
      </c>
      <c r="I31" s="408">
        <f t="shared" si="4"/>
        <v>0</v>
      </c>
      <c r="J31" s="408">
        <f t="shared" si="4"/>
        <v>0</v>
      </c>
      <c r="K31" s="408">
        <f t="shared" si="4"/>
        <v>0</v>
      </c>
      <c r="L31" s="408">
        <f t="shared" si="4"/>
        <v>0</v>
      </c>
      <c r="M31" s="408">
        <f t="shared" si="4"/>
        <v>0</v>
      </c>
      <c r="N31" s="408">
        <f t="shared" si="4"/>
        <v>0</v>
      </c>
      <c r="O31" s="408">
        <f t="shared" si="4"/>
        <v>0</v>
      </c>
      <c r="P31" s="408"/>
    </row>
    <row r="32" spans="2:18">
      <c r="B32" s="239"/>
      <c r="C32" s="104"/>
      <c r="D32" s="105"/>
      <c r="E32" s="415"/>
      <c r="F32" s="415"/>
      <c r="G32" s="415"/>
      <c r="H32" s="415"/>
      <c r="I32" s="415"/>
      <c r="J32" s="415"/>
      <c r="K32" s="415"/>
      <c r="L32" s="415"/>
      <c r="M32" s="415"/>
      <c r="N32" s="415"/>
      <c r="O32" s="415"/>
      <c r="P32" s="419"/>
    </row>
    <row r="33" spans="2:16">
      <c r="B33" s="239"/>
      <c r="C33" s="104"/>
      <c r="D33" s="105"/>
      <c r="E33" s="415"/>
      <c r="F33" s="415"/>
      <c r="G33" s="415"/>
      <c r="H33" s="415"/>
      <c r="I33" s="415"/>
      <c r="J33" s="415"/>
      <c r="K33" s="415"/>
      <c r="L33" s="415"/>
      <c r="M33" s="415"/>
      <c r="N33" s="415"/>
      <c r="O33" s="415"/>
      <c r="P33" s="419"/>
    </row>
    <row r="34" spans="2:16">
      <c r="B34" s="239"/>
      <c r="C34" s="402"/>
      <c r="D34" s="402"/>
      <c r="E34" s="402"/>
      <c r="F34" s="402"/>
      <c r="G34" s="402"/>
      <c r="H34" s="402"/>
      <c r="I34" s="402"/>
      <c r="J34" s="402"/>
      <c r="K34" s="402"/>
      <c r="L34" s="402"/>
      <c r="M34" s="402"/>
      <c r="N34" s="402"/>
      <c r="O34" s="402"/>
      <c r="P34" s="402"/>
    </row>
    <row r="35" spans="2:16">
      <c r="B35" s="239"/>
      <c r="C35" s="402"/>
      <c r="D35" s="402"/>
      <c r="E35" s="402"/>
      <c r="F35" s="402"/>
      <c r="G35" s="402"/>
      <c r="H35" s="402"/>
      <c r="I35" s="402"/>
      <c r="J35" s="402"/>
      <c r="K35" s="402"/>
      <c r="L35" s="402"/>
      <c r="M35" s="402"/>
      <c r="N35" s="402"/>
      <c r="O35" s="402"/>
      <c r="P35" s="402"/>
    </row>
    <row r="36" spans="2:16">
      <c r="B36" s="239"/>
      <c r="C36" s="416" t="s">
        <v>2193</v>
      </c>
      <c r="D36" s="415"/>
      <c r="E36" s="104"/>
      <c r="F36" s="415"/>
      <c r="G36" s="415"/>
      <c r="H36" s="415"/>
      <c r="I36" s="415"/>
      <c r="J36" s="415"/>
      <c r="K36" s="415"/>
      <c r="L36" s="415"/>
      <c r="M36" s="415"/>
      <c r="N36" s="415"/>
      <c r="O36" s="104" t="str">
        <f>Preferences.PowerUnits</f>
        <v>GW</v>
      </c>
      <c r="P36" s="419"/>
    </row>
    <row r="37" spans="2:16">
      <c r="B37" s="239"/>
      <c r="C37" s="415"/>
      <c r="D37" s="415"/>
      <c r="E37" s="415"/>
      <c r="F37" s="415"/>
      <c r="G37" s="415"/>
      <c r="H37" s="415"/>
      <c r="I37" s="415"/>
      <c r="J37" s="415"/>
      <c r="K37" s="415"/>
      <c r="L37" s="415"/>
      <c r="M37" s="415"/>
      <c r="N37" s="415"/>
      <c r="O37" s="415"/>
      <c r="P37" s="419"/>
    </row>
    <row r="38" spans="2:16">
      <c r="B38" s="239"/>
      <c r="C38" s="61" t="s">
        <v>411</v>
      </c>
      <c r="D38" s="61" t="s">
        <v>65</v>
      </c>
      <c r="E38" s="61" t="s">
        <v>156</v>
      </c>
      <c r="F38" s="119">
        <v>2007</v>
      </c>
      <c r="G38" s="120">
        <f t="shared" ref="G38:O38" si="5">F38+5</f>
        <v>2012</v>
      </c>
      <c r="H38" s="120">
        <f t="shared" si="5"/>
        <v>2017</v>
      </c>
      <c r="I38" s="120">
        <f t="shared" si="5"/>
        <v>2022</v>
      </c>
      <c r="J38" s="120">
        <f t="shared" si="5"/>
        <v>2027</v>
      </c>
      <c r="K38" s="120">
        <f t="shared" si="5"/>
        <v>2032</v>
      </c>
      <c r="L38" s="120">
        <f t="shared" si="5"/>
        <v>2037</v>
      </c>
      <c r="M38" s="120">
        <f t="shared" si="5"/>
        <v>2042</v>
      </c>
      <c r="N38" s="120">
        <f t="shared" si="5"/>
        <v>2047</v>
      </c>
      <c r="O38" s="120">
        <f t="shared" si="5"/>
        <v>2052</v>
      </c>
      <c r="P38" s="419"/>
    </row>
    <row r="39" spans="2:16" ht="25.5">
      <c r="B39" s="239"/>
      <c r="C39" s="413">
        <v>1</v>
      </c>
      <c r="D39" s="414" t="s">
        <v>1672</v>
      </c>
      <c r="E39" s="2003" t="s">
        <v>1673</v>
      </c>
      <c r="F39" s="415">
        <f>F16-F27</f>
        <v>34.65</v>
      </c>
      <c r="G39" s="415">
        <f t="shared" ref="G39:O39" si="6">G16-G27</f>
        <v>41</v>
      </c>
      <c r="H39" s="415">
        <f t="shared" si="6"/>
        <v>49</v>
      </c>
      <c r="I39" s="415">
        <f t="shared" si="6"/>
        <v>49</v>
      </c>
      <c r="J39" s="415">
        <f t="shared" si="6"/>
        <v>49</v>
      </c>
      <c r="K39" s="415">
        <f t="shared" si="6"/>
        <v>49</v>
      </c>
      <c r="L39" s="415">
        <f t="shared" si="6"/>
        <v>49</v>
      </c>
      <c r="M39" s="415">
        <f t="shared" si="6"/>
        <v>49</v>
      </c>
      <c r="N39" s="415">
        <f t="shared" si="6"/>
        <v>49</v>
      </c>
      <c r="O39" s="415">
        <f t="shared" si="6"/>
        <v>49</v>
      </c>
      <c r="P39" s="419"/>
    </row>
    <row r="40" spans="2:16" ht="38.25">
      <c r="B40" s="239"/>
      <c r="C40" s="413">
        <v>2</v>
      </c>
      <c r="D40" s="1975" t="s">
        <v>1674</v>
      </c>
      <c r="E40" s="414" t="s">
        <v>1675</v>
      </c>
      <c r="F40" s="415">
        <f t="shared" ref="F40:O42" si="7">F17-F28</f>
        <v>34.65</v>
      </c>
      <c r="G40" s="415">
        <f t="shared" si="7"/>
        <v>41</v>
      </c>
      <c r="H40" s="415">
        <f t="shared" si="7"/>
        <v>49</v>
      </c>
      <c r="I40" s="415">
        <f t="shared" si="7"/>
        <v>61</v>
      </c>
      <c r="J40" s="415">
        <f t="shared" si="7"/>
        <v>63</v>
      </c>
      <c r="K40" s="415">
        <f t="shared" si="7"/>
        <v>66</v>
      </c>
      <c r="L40" s="415">
        <f t="shared" si="7"/>
        <v>69</v>
      </c>
      <c r="M40" s="415">
        <f t="shared" si="7"/>
        <v>72</v>
      </c>
      <c r="N40" s="415">
        <f t="shared" si="7"/>
        <v>75</v>
      </c>
      <c r="O40" s="415">
        <f t="shared" si="7"/>
        <v>78</v>
      </c>
      <c r="P40" s="419"/>
    </row>
    <row r="41" spans="2:16" ht="63.75">
      <c r="B41" s="239"/>
      <c r="C41" s="413">
        <v>3</v>
      </c>
      <c r="D41" s="1975" t="s">
        <v>1676</v>
      </c>
      <c r="E41" s="1975" t="s">
        <v>1677</v>
      </c>
      <c r="F41" s="415">
        <f t="shared" si="7"/>
        <v>34.65</v>
      </c>
      <c r="G41" s="415">
        <f t="shared" si="7"/>
        <v>41</v>
      </c>
      <c r="H41" s="415">
        <f t="shared" si="7"/>
        <v>49</v>
      </c>
      <c r="I41" s="415">
        <f t="shared" si="7"/>
        <v>61</v>
      </c>
      <c r="J41" s="415">
        <f t="shared" si="7"/>
        <v>68</v>
      </c>
      <c r="K41" s="415">
        <f t="shared" si="7"/>
        <v>77</v>
      </c>
      <c r="L41" s="415">
        <f t="shared" si="7"/>
        <v>87</v>
      </c>
      <c r="M41" s="415">
        <f t="shared" si="7"/>
        <v>96</v>
      </c>
      <c r="N41" s="415">
        <f t="shared" si="7"/>
        <v>105</v>
      </c>
      <c r="O41" s="415">
        <f t="shared" si="7"/>
        <v>114</v>
      </c>
      <c r="P41" s="415"/>
    </row>
    <row r="42" spans="2:16" ht="51">
      <c r="B42" s="239"/>
      <c r="C42" s="411">
        <v>4</v>
      </c>
      <c r="D42" s="2004" t="s">
        <v>1678</v>
      </c>
      <c r="E42" s="2004" t="s">
        <v>1679</v>
      </c>
      <c r="F42" s="415">
        <f t="shared" si="7"/>
        <v>34.65</v>
      </c>
      <c r="G42" s="415">
        <f t="shared" si="7"/>
        <v>41</v>
      </c>
      <c r="H42" s="415">
        <f t="shared" si="7"/>
        <v>49</v>
      </c>
      <c r="I42" s="415">
        <f t="shared" si="7"/>
        <v>61</v>
      </c>
      <c r="J42" s="415">
        <f t="shared" si="7"/>
        <v>74</v>
      </c>
      <c r="K42" s="415">
        <f t="shared" si="7"/>
        <v>93</v>
      </c>
      <c r="L42" s="415">
        <f t="shared" si="7"/>
        <v>112</v>
      </c>
      <c r="M42" s="415">
        <f t="shared" si="7"/>
        <v>131</v>
      </c>
      <c r="N42" s="415">
        <f t="shared" si="7"/>
        <v>150</v>
      </c>
      <c r="O42" s="415">
        <f t="shared" si="7"/>
        <v>169</v>
      </c>
      <c r="P42" s="419"/>
    </row>
    <row r="43" spans="2:16">
      <c r="B43" s="239"/>
      <c r="C43" s="406" t="s">
        <v>406</v>
      </c>
      <c r="D43" s="407"/>
      <c r="E43" s="407"/>
      <c r="F43" s="408">
        <f t="shared" ref="F43:O43" si="8">(INDEX(F$39:F$42,ROUNDDOWN($E$8,0))*(1-MOD($E$8,1)))+(INDEX(F$16:F$19,ROUNDUP($E$8,0))*MOD($E$8,1))</f>
        <v>34.65</v>
      </c>
      <c r="G43" s="408">
        <f t="shared" si="8"/>
        <v>41</v>
      </c>
      <c r="H43" s="408">
        <f t="shared" si="8"/>
        <v>49</v>
      </c>
      <c r="I43" s="408">
        <f t="shared" si="8"/>
        <v>49</v>
      </c>
      <c r="J43" s="408">
        <f t="shared" si="8"/>
        <v>49</v>
      </c>
      <c r="K43" s="408">
        <f t="shared" si="8"/>
        <v>49</v>
      </c>
      <c r="L43" s="408">
        <f t="shared" si="8"/>
        <v>49</v>
      </c>
      <c r="M43" s="408">
        <f t="shared" si="8"/>
        <v>49</v>
      </c>
      <c r="N43" s="408">
        <f t="shared" si="8"/>
        <v>49</v>
      </c>
      <c r="O43" s="408">
        <f t="shared" si="8"/>
        <v>49</v>
      </c>
      <c r="P43" s="408"/>
    </row>
    <row r="44" spans="2:16">
      <c r="B44" s="402"/>
      <c r="C44" s="402"/>
      <c r="D44" s="402"/>
      <c r="E44" s="402"/>
      <c r="F44" s="402"/>
      <c r="G44" s="402"/>
      <c r="H44" s="402"/>
      <c r="I44" s="402"/>
      <c r="J44" s="402"/>
      <c r="K44" s="402"/>
      <c r="L44" s="402"/>
      <c r="M44" s="402"/>
      <c r="N44" s="402"/>
      <c r="O44" s="402"/>
      <c r="P44" s="402"/>
    </row>
    <row r="45" spans="2:16">
      <c r="B45" s="402"/>
      <c r="C45" s="402"/>
      <c r="D45" s="402"/>
      <c r="E45" s="402"/>
      <c r="F45" s="402"/>
      <c r="G45" s="402"/>
      <c r="H45" s="402"/>
      <c r="I45" s="402"/>
      <c r="J45" s="402"/>
      <c r="K45" s="402"/>
      <c r="L45" s="402"/>
      <c r="M45" s="402"/>
      <c r="N45" s="402"/>
      <c r="O45" s="402"/>
      <c r="P45" s="402"/>
    </row>
    <row r="46" spans="2:16">
      <c r="B46" s="402"/>
      <c r="C46" s="402"/>
      <c r="D46" s="402"/>
      <c r="E46" s="402"/>
      <c r="F46" s="402"/>
      <c r="G46" s="402"/>
      <c r="H46" s="402"/>
      <c r="I46" s="402"/>
      <c r="J46" s="402"/>
      <c r="K46" s="402"/>
      <c r="L46" s="402"/>
      <c r="M46" s="402"/>
      <c r="N46" s="402"/>
      <c r="O46" s="402"/>
      <c r="P46" s="402"/>
    </row>
    <row r="47" spans="2:16">
      <c r="B47" s="402"/>
      <c r="C47" s="402"/>
      <c r="D47" s="402"/>
      <c r="E47" s="402"/>
      <c r="F47" s="402"/>
      <c r="G47" s="402"/>
      <c r="H47" s="402"/>
      <c r="I47" s="402"/>
      <c r="J47" s="402"/>
      <c r="K47" s="402"/>
      <c r="L47" s="402"/>
      <c r="M47" s="402"/>
      <c r="N47" s="402"/>
      <c r="O47" s="402"/>
      <c r="P47" s="402"/>
    </row>
    <row r="49" spans="2:16" ht="15.75">
      <c r="B49" s="421" t="s">
        <v>265</v>
      </c>
      <c r="C49" s="159"/>
      <c r="D49" s="159"/>
      <c r="E49" s="159"/>
      <c r="F49" s="159"/>
      <c r="G49" s="159"/>
      <c r="H49" s="159"/>
      <c r="I49" s="159"/>
      <c r="J49" s="159"/>
      <c r="K49" s="159"/>
      <c r="L49" s="159"/>
      <c r="M49" s="159"/>
      <c r="N49" s="159"/>
      <c r="O49" s="159"/>
      <c r="P49" s="160"/>
    </row>
    <row r="50" spans="2:16">
      <c r="B50" s="418"/>
      <c r="C50" s="415"/>
      <c r="D50" s="415"/>
      <c r="E50" s="415"/>
      <c r="F50" s="415"/>
      <c r="G50" s="415"/>
      <c r="H50" s="415"/>
      <c r="I50" s="415"/>
      <c r="J50" s="415"/>
      <c r="K50" s="415"/>
      <c r="L50" s="415"/>
      <c r="M50" s="415"/>
      <c r="N50" s="415"/>
      <c r="O50" s="415"/>
      <c r="P50" s="419"/>
    </row>
    <row r="51" spans="2:16">
      <c r="B51" s="418"/>
      <c r="C51" s="416" t="s">
        <v>790</v>
      </c>
      <c r="D51" s="415"/>
      <c r="E51" s="415"/>
      <c r="F51" s="415"/>
      <c r="G51" s="104"/>
      <c r="H51" s="415"/>
      <c r="I51" s="415"/>
      <c r="J51" s="415"/>
      <c r="K51" s="415"/>
      <c r="L51" s="415"/>
      <c r="M51" s="415"/>
      <c r="N51" s="415"/>
      <c r="O51" s="415"/>
      <c r="P51" s="419"/>
    </row>
    <row r="52" spans="2:16">
      <c r="B52" s="418"/>
      <c r="C52" s="415"/>
      <c r="D52" s="415"/>
      <c r="E52" s="415"/>
      <c r="F52" s="415"/>
      <c r="G52" s="415"/>
      <c r="H52" s="415"/>
      <c r="I52" s="415"/>
      <c r="J52" s="415"/>
      <c r="K52" s="415"/>
      <c r="L52" s="415"/>
      <c r="M52" s="415"/>
      <c r="N52" s="415"/>
      <c r="O52" s="415"/>
      <c r="P52" s="419"/>
    </row>
    <row r="53" spans="2:16" ht="15.75">
      <c r="B53" s="152"/>
      <c r="C53" s="61" t="s">
        <v>227</v>
      </c>
      <c r="D53" s="61" t="s">
        <v>240</v>
      </c>
      <c r="E53" s="61" t="s">
        <v>156</v>
      </c>
      <c r="F53" s="119">
        <v>2007</v>
      </c>
      <c r="G53" s="120">
        <f t="shared" ref="G53:O53" si="9">F53+5</f>
        <v>2012</v>
      </c>
      <c r="H53" s="120">
        <f t="shared" si="9"/>
        <v>2017</v>
      </c>
      <c r="I53" s="120">
        <f t="shared" si="9"/>
        <v>2022</v>
      </c>
      <c r="J53" s="120">
        <f t="shared" si="9"/>
        <v>2027</v>
      </c>
      <c r="K53" s="120">
        <f t="shared" si="9"/>
        <v>2032</v>
      </c>
      <c r="L53" s="120">
        <f t="shared" si="9"/>
        <v>2037</v>
      </c>
      <c r="M53" s="120">
        <f t="shared" si="9"/>
        <v>2042</v>
      </c>
      <c r="N53" s="120">
        <f t="shared" si="9"/>
        <v>2047</v>
      </c>
      <c r="O53" s="120">
        <f t="shared" si="9"/>
        <v>2052</v>
      </c>
      <c r="P53" s="419"/>
    </row>
    <row r="54" spans="2:16" ht="15.75">
      <c r="B54" s="152"/>
      <c r="C54" s="78" t="s">
        <v>12</v>
      </c>
      <c r="D54" s="79" t="s">
        <v>1681</v>
      </c>
      <c r="E54" s="79"/>
      <c r="F54" s="2005">
        <v>0.4</v>
      </c>
      <c r="G54" s="2005">
        <v>0.4</v>
      </c>
      <c r="H54" s="2005">
        <v>0.4</v>
      </c>
      <c r="I54" s="2005">
        <v>0.4</v>
      </c>
      <c r="J54" s="2005">
        <v>0.4</v>
      </c>
      <c r="K54" s="2005">
        <v>0.4</v>
      </c>
      <c r="L54" s="2005">
        <v>0.4</v>
      </c>
      <c r="M54" s="2005">
        <v>0.4</v>
      </c>
      <c r="N54" s="2005">
        <v>0.4</v>
      </c>
      <c r="O54" s="2005">
        <v>0.4</v>
      </c>
      <c r="P54" s="419"/>
    </row>
    <row r="55" spans="2:16" ht="15.75">
      <c r="B55" s="152"/>
      <c r="C55" s="413"/>
      <c r="D55" s="414"/>
      <c r="E55" s="414"/>
      <c r="F55" s="612"/>
      <c r="G55" s="613"/>
      <c r="H55" s="613"/>
      <c r="I55" s="613"/>
      <c r="J55" s="613"/>
      <c r="K55" s="613"/>
      <c r="L55" s="613"/>
      <c r="M55" s="613"/>
      <c r="N55" s="613"/>
      <c r="O55" s="613"/>
      <c r="P55" s="419"/>
    </row>
    <row r="56" spans="2:16" ht="15.75">
      <c r="B56" s="152"/>
      <c r="C56" s="416"/>
      <c r="D56" s="415"/>
      <c r="E56" s="415"/>
      <c r="F56" s="415"/>
      <c r="G56" s="104"/>
      <c r="H56" s="415"/>
      <c r="I56" s="415"/>
      <c r="J56" s="613"/>
      <c r="K56" s="613"/>
      <c r="L56" s="613"/>
      <c r="M56" s="613"/>
      <c r="N56" s="613"/>
      <c r="O56" s="613"/>
      <c r="P56" s="419"/>
    </row>
    <row r="57" spans="2:16" ht="15.75">
      <c r="B57" s="152"/>
      <c r="C57" s="415"/>
      <c r="D57" s="415"/>
      <c r="E57" s="415"/>
      <c r="F57" s="415"/>
      <c r="G57" s="415"/>
      <c r="H57" s="415"/>
      <c r="I57" s="415"/>
      <c r="J57" s="613"/>
      <c r="K57" s="613"/>
      <c r="L57" s="613"/>
      <c r="M57" s="613"/>
      <c r="N57" s="613"/>
      <c r="O57" s="613"/>
      <c r="P57" s="419"/>
    </row>
    <row r="58" spans="2:16" ht="15.75">
      <c r="B58" s="152"/>
      <c r="C58" s="412"/>
      <c r="D58" s="69" t="s">
        <v>2137</v>
      </c>
      <c r="E58" s="69"/>
      <c r="F58" s="614">
        <f>1*Unit.MW</f>
        <v>1E-3</v>
      </c>
      <c r="G58" s="615" t="str">
        <f>Preferences.PowerUnits</f>
        <v>GW</v>
      </c>
      <c r="H58" s="616"/>
      <c r="I58" s="415"/>
      <c r="J58" s="613"/>
      <c r="K58" s="613"/>
      <c r="L58" s="613"/>
      <c r="M58" s="613"/>
      <c r="N58" s="613"/>
      <c r="O58" s="613"/>
      <c r="P58" s="419"/>
    </row>
    <row r="59" spans="2:16">
      <c r="B59" s="415"/>
      <c r="C59" s="415"/>
      <c r="D59" s="415"/>
      <c r="E59" s="415"/>
      <c r="F59" s="415"/>
      <c r="G59" s="415"/>
      <c r="H59" s="415"/>
      <c r="I59" s="415"/>
      <c r="J59" s="415"/>
      <c r="K59" s="415"/>
      <c r="L59" s="415"/>
      <c r="M59" s="415"/>
      <c r="N59" s="415"/>
      <c r="O59" s="415"/>
      <c r="P59" s="419"/>
    </row>
    <row r="60" spans="2:16">
      <c r="B60" s="415"/>
      <c r="C60" s="618"/>
      <c r="D60" s="105"/>
      <c r="E60" s="415"/>
      <c r="F60" s="415"/>
      <c r="G60" s="415"/>
      <c r="H60" s="415"/>
      <c r="I60" s="415"/>
      <c r="J60" s="415"/>
      <c r="K60" s="415"/>
      <c r="L60" s="415"/>
      <c r="M60" s="415"/>
      <c r="N60" s="415"/>
      <c r="O60" s="415"/>
      <c r="P60" s="419"/>
    </row>
    <row r="61" spans="2:16">
      <c r="B61" s="415"/>
      <c r="C61" s="618"/>
      <c r="D61" s="105"/>
      <c r="E61" s="415"/>
      <c r="F61" s="415"/>
      <c r="G61" s="415"/>
      <c r="H61" s="415"/>
      <c r="I61" s="415"/>
      <c r="J61" s="415"/>
      <c r="K61" s="415"/>
      <c r="L61" s="415"/>
      <c r="M61" s="415"/>
      <c r="N61" s="415"/>
      <c r="O61" s="415"/>
      <c r="P61" s="419"/>
    </row>
    <row r="62" spans="2:16" ht="12.75" customHeight="1">
      <c r="B62" s="415"/>
      <c r="C62" s="618"/>
      <c r="D62" s="105"/>
      <c r="E62" s="415"/>
      <c r="F62" s="415"/>
      <c r="G62" s="415"/>
      <c r="H62" s="415"/>
      <c r="I62" s="415"/>
      <c r="J62" s="415"/>
      <c r="K62" s="415"/>
      <c r="L62" s="415"/>
      <c r="M62" s="415"/>
      <c r="N62" s="415"/>
      <c r="O62" s="415"/>
      <c r="P62" s="419"/>
    </row>
    <row r="63" spans="2:16">
      <c r="B63" s="415"/>
      <c r="C63" s="415"/>
      <c r="D63" s="415"/>
      <c r="E63" s="415"/>
      <c r="F63" s="415"/>
      <c r="G63" s="415"/>
      <c r="H63" s="415"/>
      <c r="I63" s="415"/>
      <c r="J63" s="415"/>
      <c r="K63" s="415"/>
      <c r="L63" s="415"/>
      <c r="M63" s="415"/>
      <c r="N63" s="415"/>
      <c r="O63" s="157"/>
      <c r="P63" s="157"/>
    </row>
    <row r="65" spans="1:114" s="630" customFormat="1" ht="12" customHeight="1">
      <c r="A65" s="623"/>
      <c r="B65" s="623"/>
      <c r="C65" s="623"/>
      <c r="D65" s="624"/>
      <c r="E65" s="625"/>
      <c r="F65" s="624"/>
      <c r="G65" s="624"/>
      <c r="H65" s="624"/>
      <c r="I65" s="624"/>
      <c r="J65" s="626"/>
      <c r="K65" s="626"/>
      <c r="L65" s="623"/>
      <c r="M65" s="623"/>
      <c r="N65" s="623"/>
      <c r="O65" s="623"/>
      <c r="P65" s="623"/>
      <c r="Q65" s="627"/>
      <c r="R65" s="628"/>
      <c r="S65" s="1694"/>
      <c r="T65" s="1695"/>
      <c r="U65" s="1695"/>
      <c r="V65" s="1695"/>
      <c r="W65" s="1695"/>
      <c r="X65" s="1694"/>
      <c r="Y65" s="1695"/>
      <c r="Z65" s="1695"/>
      <c r="AA65" s="1696"/>
      <c r="AB65" s="629"/>
      <c r="AC65" s="628"/>
      <c r="AD65" s="628"/>
      <c r="AG65" s="623"/>
      <c r="AH65" s="623"/>
      <c r="AI65" s="623"/>
      <c r="AJ65" s="623"/>
      <c r="AK65" s="623"/>
      <c r="AL65" s="623"/>
      <c r="AM65" s="623"/>
      <c r="AN65" s="623"/>
      <c r="AO65" s="623"/>
      <c r="AP65" s="623"/>
      <c r="AQ65" s="623"/>
      <c r="AR65" s="623"/>
      <c r="AS65" s="623"/>
      <c r="AT65" s="623"/>
      <c r="AU65" s="623"/>
      <c r="AV65" s="623"/>
      <c r="AW65" s="623"/>
      <c r="AX65" s="623"/>
      <c r="AY65" s="623"/>
      <c r="AZ65" s="623"/>
      <c r="BA65" s="623"/>
      <c r="BB65" s="623"/>
      <c r="BC65" s="623"/>
      <c r="BD65" s="623"/>
      <c r="BE65" s="623"/>
      <c r="BF65" s="623"/>
      <c r="BG65" s="623"/>
      <c r="BH65" s="623"/>
      <c r="BI65" s="623"/>
      <c r="BJ65" s="623"/>
      <c r="BK65" s="623"/>
      <c r="BL65" s="623"/>
      <c r="BM65" s="623"/>
      <c r="BN65" s="623"/>
      <c r="BO65" s="623"/>
      <c r="BP65" s="623"/>
      <c r="BQ65" s="623"/>
      <c r="BR65" s="623"/>
      <c r="BS65" s="623"/>
      <c r="BT65" s="623"/>
      <c r="BU65" s="623"/>
      <c r="BV65" s="623"/>
      <c r="BW65" s="623"/>
      <c r="BX65" s="623"/>
      <c r="BY65" s="623"/>
      <c r="BZ65" s="623"/>
      <c r="CA65" s="623"/>
      <c r="CB65" s="623"/>
      <c r="CC65" s="623"/>
      <c r="CD65" s="623"/>
      <c r="CE65" s="623"/>
      <c r="CF65" s="623"/>
      <c r="CG65" s="623"/>
      <c r="CH65" s="623"/>
      <c r="CI65" s="623"/>
      <c r="CJ65" s="623"/>
      <c r="CK65" s="623"/>
      <c r="CL65" s="623"/>
      <c r="CM65" s="623"/>
      <c r="CN65" s="623"/>
      <c r="CO65" s="623"/>
      <c r="CP65" s="623"/>
      <c r="CQ65" s="623"/>
      <c r="CR65" s="623"/>
      <c r="CS65" s="623"/>
      <c r="CT65" s="623"/>
      <c r="CU65" s="623"/>
      <c r="CV65" s="623"/>
      <c r="CW65" s="623"/>
      <c r="CX65" s="623"/>
      <c r="CY65" s="623"/>
      <c r="CZ65" s="623"/>
      <c r="DA65" s="623"/>
      <c r="DB65" s="623"/>
      <c r="DC65" s="623"/>
      <c r="DD65" s="623"/>
      <c r="DE65" s="623"/>
      <c r="DF65" s="623"/>
      <c r="DG65" s="623"/>
      <c r="DH65" s="623"/>
      <c r="DI65" s="623"/>
      <c r="DJ65" s="623"/>
    </row>
    <row r="66" spans="1:114" s="630" customFormat="1" ht="15.75">
      <c r="A66" s="623"/>
      <c r="B66" s="421" t="s">
        <v>711</v>
      </c>
      <c r="C66" s="159"/>
      <c r="D66" s="159"/>
      <c r="E66" s="159"/>
      <c r="F66" s="159"/>
      <c r="G66" s="159"/>
      <c r="H66" s="159"/>
      <c r="I66" s="159"/>
      <c r="J66" s="159"/>
      <c r="K66" s="159"/>
      <c r="L66" s="159"/>
      <c r="M66" s="159"/>
      <c r="N66" s="159"/>
      <c r="O66" s="159"/>
      <c r="P66" s="160"/>
      <c r="Q66" s="627"/>
      <c r="R66" s="628"/>
      <c r="S66" s="1694"/>
      <c r="T66" s="1695"/>
      <c r="U66" s="1695"/>
      <c r="V66" s="1695"/>
      <c r="W66" s="1695"/>
      <c r="X66" s="1694"/>
      <c r="Y66" s="1695"/>
      <c r="Z66" s="1695"/>
      <c r="AA66" s="1696"/>
      <c r="AB66" s="629"/>
      <c r="AC66" s="628"/>
      <c r="AD66" s="628"/>
      <c r="AG66" s="623"/>
      <c r="AH66" s="623"/>
      <c r="AI66" s="623"/>
      <c r="AJ66" s="623"/>
      <c r="AK66" s="623"/>
      <c r="AL66" s="623"/>
      <c r="AM66" s="623"/>
      <c r="AN66" s="623"/>
      <c r="AO66" s="623"/>
      <c r="AP66" s="623"/>
      <c r="AQ66" s="623"/>
      <c r="AR66" s="623"/>
      <c r="AS66" s="623"/>
      <c r="AT66" s="623"/>
      <c r="AU66" s="623"/>
      <c r="AV66" s="623"/>
      <c r="AW66" s="623"/>
      <c r="AX66" s="623"/>
      <c r="AY66" s="623"/>
      <c r="AZ66" s="623"/>
      <c r="BA66" s="623"/>
      <c r="BB66" s="623"/>
      <c r="BC66" s="623"/>
      <c r="BD66" s="623"/>
      <c r="BE66" s="623"/>
      <c r="BF66" s="623"/>
      <c r="BG66" s="623"/>
      <c r="BH66" s="623"/>
      <c r="BI66" s="623"/>
      <c r="BJ66" s="623"/>
      <c r="BK66" s="623"/>
      <c r="BL66" s="623"/>
      <c r="BM66" s="623"/>
      <c r="BN66" s="623"/>
      <c r="BO66" s="623"/>
      <c r="BP66" s="623"/>
      <c r="BQ66" s="623"/>
      <c r="BR66" s="623"/>
      <c r="BS66" s="623"/>
      <c r="BT66" s="623"/>
      <c r="BU66" s="623"/>
      <c r="BV66" s="623"/>
      <c r="BW66" s="623"/>
      <c r="BX66" s="623"/>
      <c r="BY66" s="623"/>
      <c r="BZ66" s="623"/>
      <c r="CA66" s="623"/>
      <c r="CB66" s="623"/>
      <c r="CC66" s="623"/>
      <c r="CD66" s="623"/>
      <c r="CE66" s="623"/>
      <c r="CF66" s="623"/>
      <c r="CG66" s="623"/>
      <c r="CH66" s="623"/>
      <c r="CI66" s="623"/>
      <c r="CJ66" s="623"/>
      <c r="CK66" s="623"/>
      <c r="CL66" s="623"/>
      <c r="CM66" s="623"/>
      <c r="CN66" s="623"/>
      <c r="CO66" s="623"/>
      <c r="CP66" s="623"/>
      <c r="CQ66" s="623"/>
      <c r="CR66" s="623"/>
      <c r="CS66" s="623"/>
      <c r="CT66" s="623"/>
      <c r="CU66" s="623"/>
      <c r="CV66" s="623"/>
      <c r="CW66" s="623"/>
      <c r="CX66" s="623"/>
      <c r="CY66" s="623"/>
      <c r="CZ66" s="623"/>
      <c r="DA66" s="623"/>
      <c r="DB66" s="623"/>
      <c r="DC66" s="623"/>
      <c r="DD66" s="623"/>
      <c r="DE66" s="623"/>
      <c r="DF66" s="623"/>
      <c r="DG66" s="623"/>
      <c r="DH66" s="623"/>
      <c r="DI66" s="623"/>
      <c r="DJ66" s="623"/>
    </row>
    <row r="67" spans="1:114" s="630" customFormat="1">
      <c r="A67" s="623"/>
      <c r="B67" s="418"/>
      <c r="C67" s="415"/>
      <c r="D67" s="415"/>
      <c r="E67" s="415"/>
      <c r="F67" s="415"/>
      <c r="G67" s="415"/>
      <c r="H67" s="415"/>
      <c r="I67" s="415"/>
      <c r="J67" s="415"/>
      <c r="K67" s="415"/>
      <c r="L67" s="415"/>
      <c r="M67" s="415"/>
      <c r="N67" s="415"/>
      <c r="O67" s="415"/>
      <c r="P67" s="419"/>
      <c r="Q67" s="627"/>
      <c r="R67" s="628"/>
      <c r="S67" s="1694"/>
      <c r="T67" s="1695"/>
      <c r="U67" s="1695"/>
      <c r="V67" s="1695"/>
      <c r="W67" s="1695"/>
      <c r="X67" s="1694"/>
      <c r="Y67" s="1695"/>
      <c r="Z67" s="1695"/>
      <c r="AA67" s="1696"/>
      <c r="AB67" s="629"/>
      <c r="AC67" s="628"/>
      <c r="AD67" s="628"/>
      <c r="AG67" s="623"/>
      <c r="AH67" s="623"/>
      <c r="AI67" s="623"/>
      <c r="AJ67" s="623"/>
      <c r="AK67" s="623"/>
      <c r="AL67" s="623"/>
      <c r="AM67" s="623"/>
      <c r="AN67" s="623"/>
      <c r="AO67" s="623"/>
      <c r="AP67" s="623"/>
      <c r="AQ67" s="623"/>
      <c r="AR67" s="623"/>
      <c r="AS67" s="623"/>
      <c r="AT67" s="623"/>
      <c r="AU67" s="623"/>
      <c r="AV67" s="623"/>
      <c r="AW67" s="623"/>
      <c r="AX67" s="623"/>
      <c r="AY67" s="623"/>
      <c r="AZ67" s="623"/>
      <c r="BA67" s="623"/>
      <c r="BB67" s="623"/>
      <c r="BC67" s="623"/>
      <c r="BD67" s="623"/>
      <c r="BE67" s="623"/>
      <c r="BF67" s="623"/>
      <c r="BG67" s="623"/>
      <c r="BH67" s="623"/>
      <c r="BI67" s="623"/>
      <c r="BJ67" s="623"/>
      <c r="BK67" s="623"/>
      <c r="BL67" s="623"/>
      <c r="BM67" s="623"/>
      <c r="BN67" s="623"/>
      <c r="BO67" s="623"/>
      <c r="BP67" s="623"/>
      <c r="BQ67" s="623"/>
      <c r="BR67" s="623"/>
      <c r="BS67" s="623"/>
      <c r="BT67" s="623"/>
      <c r="BU67" s="623"/>
      <c r="BV67" s="623"/>
      <c r="BW67" s="623"/>
      <c r="BX67" s="623"/>
      <c r="BY67" s="623"/>
      <c r="BZ67" s="623"/>
      <c r="CA67" s="623"/>
      <c r="CB67" s="623"/>
      <c r="CC67" s="623"/>
      <c r="CD67" s="623"/>
      <c r="CE67" s="623"/>
      <c r="CF67" s="623"/>
      <c r="CG67" s="623"/>
      <c r="CH67" s="623"/>
      <c r="CI67" s="623"/>
      <c r="CJ67" s="623"/>
      <c r="CK67" s="623"/>
      <c r="CL67" s="623"/>
      <c r="CM67" s="623"/>
      <c r="CN67" s="623"/>
      <c r="CO67" s="623"/>
      <c r="CP67" s="623"/>
      <c r="CQ67" s="623"/>
      <c r="CR67" s="623"/>
      <c r="CS67" s="623"/>
      <c r="CT67" s="623"/>
      <c r="CU67" s="623"/>
      <c r="CV67" s="623"/>
      <c r="CW67" s="623"/>
      <c r="CX67" s="623"/>
      <c r="CY67" s="623"/>
      <c r="CZ67" s="623"/>
      <c r="DA67" s="623"/>
      <c r="DB67" s="623"/>
      <c r="DC67" s="623"/>
      <c r="DD67" s="623"/>
      <c r="DE67" s="623"/>
      <c r="DF67" s="623"/>
      <c r="DG67" s="623"/>
      <c r="DH67" s="623"/>
      <c r="DI67" s="623"/>
      <c r="DJ67" s="623"/>
    </row>
    <row r="68" spans="1:114" s="630" customFormat="1">
      <c r="A68" s="623"/>
      <c r="B68" s="418"/>
      <c r="C68" s="416" t="str">
        <f>"Land requirememts per "&amp;Preferences.PowerUnits</f>
        <v>Land requirememts per GW</v>
      </c>
      <c r="D68" s="69"/>
      <c r="E68" s="415"/>
      <c r="F68" s="415"/>
      <c r="G68" s="104"/>
      <c r="H68" s="415"/>
      <c r="I68" s="415"/>
      <c r="J68" s="415"/>
      <c r="K68" s="415"/>
      <c r="L68" s="415"/>
      <c r="M68" s="415"/>
      <c r="N68" s="415"/>
      <c r="O68" s="415"/>
      <c r="P68" s="419"/>
      <c r="Q68" s="627"/>
      <c r="R68" s="628"/>
      <c r="S68" s="1694"/>
      <c r="T68" s="1695"/>
      <c r="U68" s="1695"/>
      <c r="V68" s="1695"/>
      <c r="W68" s="1695"/>
      <c r="X68" s="1694"/>
      <c r="Y68" s="1695"/>
      <c r="Z68" s="1695"/>
      <c r="AA68" s="1696"/>
      <c r="AB68" s="629"/>
      <c r="AC68" s="628"/>
      <c r="AD68" s="628"/>
      <c r="AG68" s="623"/>
      <c r="AH68" s="623"/>
      <c r="AI68" s="623"/>
      <c r="AJ68" s="623"/>
      <c r="AK68" s="623"/>
      <c r="AL68" s="623"/>
      <c r="AM68" s="623"/>
      <c r="AN68" s="623"/>
      <c r="AO68" s="623"/>
      <c r="AP68" s="623"/>
      <c r="AQ68" s="623"/>
      <c r="AR68" s="623"/>
      <c r="AS68" s="623"/>
      <c r="AT68" s="623"/>
      <c r="AU68" s="623"/>
      <c r="AV68" s="623"/>
      <c r="AW68" s="623"/>
      <c r="AX68" s="623"/>
      <c r="AY68" s="623"/>
      <c r="AZ68" s="623"/>
      <c r="BA68" s="623"/>
      <c r="BB68" s="623"/>
      <c r="BC68" s="623"/>
      <c r="BD68" s="623"/>
      <c r="BE68" s="623"/>
      <c r="BF68" s="623"/>
      <c r="BG68" s="623"/>
      <c r="BH68" s="623"/>
      <c r="BI68" s="623"/>
      <c r="BJ68" s="623"/>
      <c r="BK68" s="623"/>
      <c r="BL68" s="623"/>
      <c r="BM68" s="623"/>
      <c r="BN68" s="623"/>
      <c r="BO68" s="623"/>
      <c r="BP68" s="623"/>
      <c r="BQ68" s="623"/>
      <c r="BR68" s="623"/>
      <c r="BS68" s="623"/>
      <c r="BT68" s="623"/>
      <c r="BU68" s="623"/>
      <c r="BV68" s="623"/>
      <c r="BW68" s="623"/>
      <c r="BX68" s="623"/>
      <c r="BY68" s="623"/>
      <c r="BZ68" s="623"/>
      <c r="CA68" s="623"/>
      <c r="CB68" s="623"/>
      <c r="CC68" s="623"/>
      <c r="CD68" s="623"/>
      <c r="CE68" s="623"/>
      <c r="CF68" s="623"/>
      <c r="CG68" s="623"/>
      <c r="CH68" s="623"/>
      <c r="CI68" s="623"/>
      <c r="CJ68" s="623"/>
      <c r="CK68" s="623"/>
      <c r="CL68" s="623"/>
      <c r="CM68" s="623"/>
      <c r="CN68" s="623"/>
      <c r="CO68" s="623"/>
      <c r="CP68" s="623"/>
      <c r="CQ68" s="623"/>
      <c r="CR68" s="623"/>
      <c r="CS68" s="623"/>
      <c r="CT68" s="623"/>
      <c r="CU68" s="623"/>
      <c r="CV68" s="623"/>
      <c r="CW68" s="623"/>
      <c r="CX68" s="623"/>
      <c r="CY68" s="623"/>
      <c r="CZ68" s="623"/>
      <c r="DA68" s="623"/>
      <c r="DB68" s="623"/>
      <c r="DC68" s="623"/>
      <c r="DD68" s="623"/>
      <c r="DE68" s="623"/>
      <c r="DF68" s="623"/>
      <c r="DG68" s="623"/>
      <c r="DH68" s="623"/>
      <c r="DI68" s="623"/>
      <c r="DJ68" s="623"/>
    </row>
    <row r="69" spans="1:114" s="630" customFormat="1">
      <c r="A69" s="623"/>
      <c r="B69" s="418"/>
      <c r="C69" s="415"/>
      <c r="D69" s="415"/>
      <c r="E69" s="415"/>
      <c r="F69" s="415"/>
      <c r="G69" s="415"/>
      <c r="H69" s="415"/>
      <c r="I69" s="415"/>
      <c r="J69" s="415"/>
      <c r="K69" s="415"/>
      <c r="L69" s="415"/>
      <c r="M69" s="415"/>
      <c r="N69" s="415"/>
      <c r="O69" s="361" t="str">
        <f>Preferences.AreaUnits&amp;"/"&amp;Preferences.PowerUnits</f>
        <v>ha/GW</v>
      </c>
      <c r="P69" s="419"/>
      <c r="Q69" s="627"/>
      <c r="R69" s="628"/>
      <c r="S69" s="1694"/>
      <c r="T69" s="1695"/>
      <c r="U69" s="1695"/>
      <c r="V69" s="1695"/>
      <c r="W69" s="1695"/>
      <c r="X69" s="1694"/>
      <c r="Y69" s="1695"/>
      <c r="Z69" s="1695"/>
      <c r="AA69" s="1696"/>
      <c r="AB69" s="629"/>
      <c r="AC69" s="628"/>
      <c r="AD69" s="628"/>
      <c r="AG69" s="623"/>
      <c r="AH69" s="623"/>
      <c r="AI69" s="623"/>
      <c r="AJ69" s="623"/>
      <c r="AK69" s="623"/>
      <c r="AL69" s="623"/>
      <c r="AM69" s="623"/>
      <c r="AN69" s="623"/>
      <c r="AO69" s="623"/>
      <c r="AP69" s="623"/>
      <c r="AQ69" s="623"/>
      <c r="AR69" s="623"/>
      <c r="AS69" s="623"/>
      <c r="AT69" s="623"/>
      <c r="AU69" s="623"/>
      <c r="AV69" s="623"/>
      <c r="AW69" s="623"/>
      <c r="AX69" s="623"/>
      <c r="AY69" s="623"/>
      <c r="AZ69" s="623"/>
      <c r="BA69" s="623"/>
      <c r="BB69" s="623"/>
      <c r="BC69" s="623"/>
      <c r="BD69" s="623"/>
      <c r="BE69" s="623"/>
      <c r="BF69" s="623"/>
      <c r="BG69" s="623"/>
      <c r="BH69" s="623"/>
      <c r="BI69" s="623"/>
      <c r="BJ69" s="623"/>
      <c r="BK69" s="623"/>
      <c r="BL69" s="623"/>
      <c r="BM69" s="623"/>
      <c r="BN69" s="623"/>
      <c r="BO69" s="623"/>
      <c r="BP69" s="623"/>
      <c r="BQ69" s="623"/>
      <c r="BR69" s="623"/>
      <c r="BS69" s="623"/>
      <c r="BT69" s="623"/>
      <c r="BU69" s="623"/>
      <c r="BV69" s="623"/>
      <c r="BW69" s="623"/>
      <c r="BX69" s="623"/>
      <c r="BY69" s="623"/>
      <c r="BZ69" s="623"/>
      <c r="CA69" s="623"/>
      <c r="CB69" s="623"/>
      <c r="CC69" s="623"/>
      <c r="CD69" s="623"/>
      <c r="CE69" s="623"/>
      <c r="CF69" s="623"/>
      <c r="CG69" s="623"/>
      <c r="CH69" s="623"/>
      <c r="CI69" s="623"/>
      <c r="CJ69" s="623"/>
      <c r="CK69" s="623"/>
      <c r="CL69" s="623"/>
      <c r="CM69" s="623"/>
      <c r="CN69" s="623"/>
      <c r="CO69" s="623"/>
      <c r="CP69" s="623"/>
      <c r="CQ69" s="623"/>
      <c r="CR69" s="623"/>
      <c r="CS69" s="623"/>
      <c r="CT69" s="623"/>
      <c r="CU69" s="623"/>
      <c r="CV69" s="623"/>
      <c r="CW69" s="623"/>
      <c r="CX69" s="623"/>
      <c r="CY69" s="623"/>
      <c r="CZ69" s="623"/>
      <c r="DA69" s="623"/>
      <c r="DB69" s="623"/>
      <c r="DC69" s="623"/>
      <c r="DD69" s="623"/>
      <c r="DE69" s="623"/>
      <c r="DF69" s="623"/>
      <c r="DG69" s="623"/>
      <c r="DH69" s="623"/>
      <c r="DI69" s="623"/>
      <c r="DJ69" s="623"/>
    </row>
    <row r="70" spans="1:114" s="630" customFormat="1" ht="15.75">
      <c r="A70" s="623"/>
      <c r="B70" s="152"/>
      <c r="C70" s="61"/>
      <c r="D70" s="61"/>
      <c r="E70" s="61"/>
      <c r="F70" s="119">
        <v>2007</v>
      </c>
      <c r="G70" s="120">
        <f t="shared" ref="G70:O70" si="10">F70+5</f>
        <v>2012</v>
      </c>
      <c r="H70" s="120">
        <f t="shared" si="10"/>
        <v>2017</v>
      </c>
      <c r="I70" s="120">
        <f t="shared" si="10"/>
        <v>2022</v>
      </c>
      <c r="J70" s="120">
        <f t="shared" si="10"/>
        <v>2027</v>
      </c>
      <c r="K70" s="120">
        <f t="shared" si="10"/>
        <v>2032</v>
      </c>
      <c r="L70" s="120">
        <f t="shared" si="10"/>
        <v>2037</v>
      </c>
      <c r="M70" s="120">
        <f t="shared" si="10"/>
        <v>2042</v>
      </c>
      <c r="N70" s="120">
        <f t="shared" si="10"/>
        <v>2047</v>
      </c>
      <c r="O70" s="120">
        <f t="shared" si="10"/>
        <v>2052</v>
      </c>
      <c r="P70" s="419"/>
      <c r="Q70" s="627"/>
      <c r="R70" s="628"/>
      <c r="S70" s="1694"/>
      <c r="T70" s="1695"/>
      <c r="U70" s="1695"/>
      <c r="V70" s="1695"/>
      <c r="W70" s="1695"/>
      <c r="X70" s="1694"/>
      <c r="Y70" s="1695"/>
      <c r="Z70" s="1695"/>
      <c r="AA70" s="1696"/>
      <c r="AB70" s="629"/>
      <c r="AC70" s="628"/>
      <c r="AD70" s="628"/>
      <c r="AG70" s="623"/>
      <c r="AH70" s="623"/>
      <c r="AI70" s="623"/>
      <c r="AJ70" s="623"/>
      <c r="AK70" s="623"/>
      <c r="AL70" s="623"/>
      <c r="AM70" s="623"/>
      <c r="AN70" s="623"/>
      <c r="AO70" s="623"/>
      <c r="AP70" s="623"/>
      <c r="AQ70" s="623"/>
      <c r="AR70" s="623"/>
      <c r="AS70" s="623"/>
      <c r="AT70" s="623"/>
      <c r="AU70" s="623"/>
      <c r="AV70" s="623"/>
      <c r="AW70" s="623"/>
      <c r="AX70" s="623"/>
      <c r="AY70" s="623"/>
      <c r="AZ70" s="623"/>
      <c r="BA70" s="623"/>
      <c r="BB70" s="623"/>
      <c r="BC70" s="623"/>
      <c r="BD70" s="623"/>
      <c r="BE70" s="623"/>
      <c r="BF70" s="623"/>
      <c r="BG70" s="623"/>
      <c r="BH70" s="623"/>
      <c r="BI70" s="623"/>
      <c r="BJ70" s="623"/>
      <c r="BK70" s="623"/>
      <c r="BL70" s="623"/>
      <c r="BM70" s="623"/>
      <c r="BN70" s="623"/>
      <c r="BO70" s="623"/>
      <c r="BP70" s="623"/>
      <c r="BQ70" s="623"/>
      <c r="BR70" s="623"/>
      <c r="BS70" s="623"/>
      <c r="BT70" s="623"/>
      <c r="BU70" s="623"/>
      <c r="BV70" s="623"/>
      <c r="BW70" s="623"/>
      <c r="BX70" s="623"/>
      <c r="BY70" s="623"/>
      <c r="BZ70" s="623"/>
      <c r="CA70" s="623"/>
      <c r="CB70" s="623"/>
      <c r="CC70" s="623"/>
      <c r="CD70" s="623"/>
      <c r="CE70" s="623"/>
      <c r="CF70" s="623"/>
      <c r="CG70" s="623"/>
      <c r="CH70" s="623"/>
      <c r="CI70" s="623"/>
      <c r="CJ70" s="623"/>
      <c r="CK70" s="623"/>
      <c r="CL70" s="623"/>
      <c r="CM70" s="623"/>
      <c r="CN70" s="623"/>
      <c r="CO70" s="623"/>
      <c r="CP70" s="623"/>
      <c r="CQ70" s="623"/>
      <c r="CR70" s="623"/>
      <c r="CS70" s="623"/>
      <c r="CT70" s="623"/>
      <c r="CU70" s="623"/>
      <c r="CV70" s="623"/>
      <c r="CW70" s="623"/>
      <c r="CX70" s="623"/>
      <c r="CY70" s="623"/>
      <c r="CZ70" s="623"/>
      <c r="DA70" s="623"/>
      <c r="DB70" s="623"/>
      <c r="DC70" s="623"/>
      <c r="DD70" s="623"/>
      <c r="DE70" s="623"/>
      <c r="DF70" s="623"/>
      <c r="DG70" s="623"/>
      <c r="DH70" s="623"/>
      <c r="DI70" s="623"/>
      <c r="DJ70" s="623"/>
    </row>
    <row r="71" spans="1:114" s="630" customFormat="1" ht="15.75">
      <c r="A71" s="623"/>
      <c r="B71" s="152"/>
      <c r="C71" s="78" t="str">
        <f>"Land Use ( "&amp;Preferences.AreaUnits&amp;" / "&amp;Preferences.PowerUnits&amp;" )"</f>
        <v>Land Use ( ha / GW )</v>
      </c>
      <c r="D71" s="79" t="s">
        <v>94</v>
      </c>
      <c r="E71" s="79"/>
      <c r="F71" s="1854">
        <f t="shared" ref="F71:O71" si="11">0.78*(Unit.ha/Unit.MW)</f>
        <v>780</v>
      </c>
      <c r="G71" s="1854">
        <f t="shared" si="11"/>
        <v>780</v>
      </c>
      <c r="H71" s="1854">
        <f t="shared" si="11"/>
        <v>780</v>
      </c>
      <c r="I71" s="1854">
        <f t="shared" si="11"/>
        <v>780</v>
      </c>
      <c r="J71" s="1854">
        <f t="shared" si="11"/>
        <v>780</v>
      </c>
      <c r="K71" s="1854">
        <f t="shared" si="11"/>
        <v>780</v>
      </c>
      <c r="L71" s="1854">
        <f t="shared" si="11"/>
        <v>780</v>
      </c>
      <c r="M71" s="1854">
        <f t="shared" si="11"/>
        <v>780</v>
      </c>
      <c r="N71" s="1854">
        <f t="shared" si="11"/>
        <v>780</v>
      </c>
      <c r="O71" s="1854">
        <f t="shared" si="11"/>
        <v>780</v>
      </c>
      <c r="P71" s="1854"/>
      <c r="Q71" s="627"/>
      <c r="R71" s="628"/>
      <c r="S71" s="1694"/>
      <c r="T71" s="1695"/>
      <c r="U71" s="1695"/>
      <c r="V71" s="1695"/>
      <c r="W71" s="1695"/>
      <c r="X71" s="1694"/>
      <c r="Y71" s="1695"/>
      <c r="Z71" s="1695"/>
      <c r="AA71" s="1696"/>
      <c r="AB71" s="629"/>
      <c r="AC71" s="628"/>
      <c r="AD71" s="628"/>
      <c r="AG71" s="623"/>
      <c r="AH71" s="623"/>
      <c r="AI71" s="623"/>
      <c r="AJ71" s="623"/>
      <c r="AK71" s="623"/>
      <c r="AL71" s="623"/>
      <c r="AM71" s="623"/>
      <c r="AN71" s="623"/>
      <c r="AO71" s="623"/>
      <c r="AP71" s="623"/>
      <c r="AQ71" s="623"/>
      <c r="AR71" s="623"/>
      <c r="AS71" s="623"/>
      <c r="AT71" s="623"/>
      <c r="AU71" s="623"/>
      <c r="AV71" s="623"/>
      <c r="AW71" s="623"/>
      <c r="AX71" s="623"/>
      <c r="AY71" s="623"/>
      <c r="AZ71" s="623"/>
      <c r="BA71" s="623"/>
      <c r="BB71" s="623"/>
      <c r="BC71" s="623"/>
      <c r="BD71" s="623"/>
      <c r="BE71" s="623"/>
      <c r="BF71" s="623"/>
      <c r="BG71" s="623"/>
      <c r="BH71" s="623"/>
      <c r="BI71" s="623"/>
      <c r="BJ71" s="623"/>
      <c r="BK71" s="623"/>
      <c r="BL71" s="623"/>
      <c r="BM71" s="623"/>
      <c r="BN71" s="623"/>
      <c r="BO71" s="623"/>
      <c r="BP71" s="623"/>
      <c r="BQ71" s="623"/>
      <c r="BR71" s="623"/>
      <c r="BS71" s="623"/>
      <c r="BT71" s="623"/>
      <c r="BU71" s="623"/>
      <c r="BV71" s="623"/>
      <c r="BW71" s="623"/>
      <c r="BX71" s="623"/>
      <c r="BY71" s="623"/>
      <c r="BZ71" s="623"/>
      <c r="CA71" s="623"/>
      <c r="CB71" s="623"/>
      <c r="CC71" s="623"/>
      <c r="CD71" s="623"/>
      <c r="CE71" s="623"/>
      <c r="CF71" s="623"/>
      <c r="CG71" s="623"/>
      <c r="CH71" s="623"/>
      <c r="CI71" s="623"/>
      <c r="CJ71" s="623"/>
      <c r="CK71" s="623"/>
      <c r="CL71" s="623"/>
      <c r="CM71" s="623"/>
      <c r="CN71" s="623"/>
      <c r="CO71" s="623"/>
      <c r="CP71" s="623"/>
      <c r="CQ71" s="623"/>
      <c r="CR71" s="623"/>
      <c r="CS71" s="623"/>
      <c r="CT71" s="623"/>
      <c r="CU71" s="623"/>
      <c r="CV71" s="623"/>
      <c r="CW71" s="623"/>
      <c r="CX71" s="623"/>
      <c r="CY71" s="623"/>
      <c r="CZ71" s="623"/>
      <c r="DA71" s="623"/>
      <c r="DB71" s="623"/>
      <c r="DC71" s="623"/>
      <c r="DD71" s="623"/>
      <c r="DE71" s="623"/>
      <c r="DF71" s="623"/>
      <c r="DG71" s="623"/>
      <c r="DH71" s="623"/>
      <c r="DI71" s="623"/>
      <c r="DJ71" s="623"/>
    </row>
    <row r="72" spans="1:114" s="630" customFormat="1">
      <c r="A72" s="623"/>
      <c r="B72" s="402"/>
      <c r="C72" s="402"/>
      <c r="D72" s="415"/>
      <c r="E72" s="264"/>
      <c r="F72" s="415"/>
      <c r="G72" s="415"/>
      <c r="H72" s="415"/>
      <c r="I72" s="415"/>
      <c r="J72" s="444"/>
      <c r="K72" s="444"/>
      <c r="L72" s="402"/>
      <c r="M72" s="402"/>
      <c r="N72" s="402"/>
      <c r="O72" s="402"/>
      <c r="P72" s="402"/>
      <c r="Q72" s="627"/>
      <c r="R72" s="628"/>
      <c r="S72" s="1694"/>
      <c r="T72" s="1695"/>
      <c r="U72" s="1695"/>
      <c r="V72" s="1695"/>
      <c r="W72" s="1695"/>
      <c r="X72" s="1694"/>
      <c r="Y72" s="1695"/>
      <c r="Z72" s="1695"/>
      <c r="AA72" s="1696"/>
      <c r="AB72" s="629"/>
      <c r="AC72" s="628"/>
      <c r="AD72" s="628"/>
      <c r="AG72" s="623"/>
      <c r="AH72" s="623"/>
      <c r="AI72" s="623"/>
      <c r="AJ72" s="623"/>
      <c r="AK72" s="623"/>
      <c r="AL72" s="623"/>
      <c r="AM72" s="623"/>
      <c r="AN72" s="623"/>
      <c r="AO72" s="623"/>
      <c r="AP72" s="623"/>
      <c r="AQ72" s="623"/>
      <c r="AR72" s="623"/>
      <c r="AS72" s="623"/>
      <c r="AT72" s="623"/>
      <c r="AU72" s="623"/>
      <c r="AV72" s="623"/>
      <c r="AW72" s="623"/>
      <c r="AX72" s="623"/>
      <c r="AY72" s="623"/>
      <c r="AZ72" s="623"/>
      <c r="BA72" s="623"/>
      <c r="BB72" s="623"/>
      <c r="BC72" s="623"/>
      <c r="BD72" s="623"/>
      <c r="BE72" s="623"/>
      <c r="BF72" s="623"/>
      <c r="BG72" s="623"/>
      <c r="BH72" s="623"/>
      <c r="BI72" s="623"/>
      <c r="BJ72" s="623"/>
      <c r="BK72" s="623"/>
      <c r="BL72" s="623"/>
      <c r="BM72" s="623"/>
      <c r="BN72" s="623"/>
      <c r="BO72" s="623"/>
      <c r="BP72" s="623"/>
      <c r="BQ72" s="623"/>
      <c r="BR72" s="623"/>
      <c r="BS72" s="623"/>
      <c r="BT72" s="623"/>
      <c r="BU72" s="623"/>
      <c r="BV72" s="623"/>
      <c r="BW72" s="623"/>
      <c r="BX72" s="623"/>
      <c r="BY72" s="623"/>
      <c r="BZ72" s="623"/>
      <c r="CA72" s="623"/>
      <c r="CB72" s="623"/>
      <c r="CC72" s="623"/>
      <c r="CD72" s="623"/>
      <c r="CE72" s="623"/>
      <c r="CF72" s="623"/>
      <c r="CG72" s="623"/>
      <c r="CH72" s="623"/>
      <c r="CI72" s="623"/>
      <c r="CJ72" s="623"/>
      <c r="CK72" s="623"/>
      <c r="CL72" s="623"/>
      <c r="CM72" s="623"/>
      <c r="CN72" s="623"/>
      <c r="CO72" s="623"/>
      <c r="CP72" s="623"/>
      <c r="CQ72" s="623"/>
      <c r="CR72" s="623"/>
      <c r="CS72" s="623"/>
      <c r="CT72" s="623"/>
      <c r="CU72" s="623"/>
      <c r="CV72" s="623"/>
      <c r="CW72" s="623"/>
      <c r="CX72" s="623"/>
      <c r="CY72" s="623"/>
      <c r="CZ72" s="623"/>
      <c r="DA72" s="623"/>
      <c r="DB72" s="623"/>
      <c r="DC72" s="623"/>
      <c r="DD72" s="623"/>
      <c r="DE72" s="623"/>
      <c r="DF72" s="623"/>
      <c r="DG72" s="623"/>
      <c r="DH72" s="623"/>
      <c r="DI72" s="623"/>
      <c r="DJ72" s="623"/>
    </row>
    <row r="73" spans="1:114" s="630" customFormat="1">
      <c r="A73" s="623"/>
      <c r="B73" s="402"/>
      <c r="C73" s="402" t="s">
        <v>2138</v>
      </c>
      <c r="D73" s="415"/>
      <c r="E73" s="264"/>
      <c r="F73" s="415"/>
      <c r="G73" s="415"/>
      <c r="H73" s="415"/>
      <c r="I73" s="415"/>
      <c r="J73" s="444"/>
      <c r="K73" s="444"/>
      <c r="L73" s="402"/>
      <c r="M73" s="402"/>
      <c r="N73" s="402"/>
      <c r="O73" s="402"/>
      <c r="P73" s="402"/>
      <c r="Q73" s="627"/>
      <c r="R73" s="628"/>
      <c r="S73" s="1694"/>
      <c r="T73" s="1695"/>
      <c r="U73" s="1695"/>
      <c r="V73" s="1695"/>
      <c r="W73" s="1695"/>
      <c r="X73" s="1694"/>
      <c r="Y73" s="1695"/>
      <c r="Z73" s="1695"/>
      <c r="AA73" s="1696"/>
      <c r="AB73" s="629"/>
      <c r="AC73" s="628"/>
      <c r="AD73" s="628"/>
      <c r="AG73" s="623"/>
      <c r="AH73" s="623"/>
      <c r="AI73" s="623"/>
      <c r="AJ73" s="623"/>
      <c r="AK73" s="623"/>
      <c r="AL73" s="623"/>
      <c r="AM73" s="623"/>
      <c r="AN73" s="623"/>
      <c r="AO73" s="623"/>
      <c r="AP73" s="623"/>
      <c r="AQ73" s="623"/>
      <c r="AR73" s="623"/>
      <c r="AS73" s="623"/>
      <c r="AT73" s="623"/>
      <c r="AU73" s="623"/>
      <c r="AV73" s="623"/>
      <c r="AW73" s="623"/>
      <c r="AX73" s="623"/>
      <c r="AY73" s="623"/>
      <c r="AZ73" s="623"/>
      <c r="BA73" s="623"/>
      <c r="BB73" s="623"/>
      <c r="BC73" s="623"/>
      <c r="BD73" s="623"/>
      <c r="BE73" s="623"/>
      <c r="BF73" s="623"/>
      <c r="BG73" s="623"/>
      <c r="BH73" s="623"/>
      <c r="BI73" s="623"/>
      <c r="BJ73" s="623"/>
      <c r="BK73" s="623"/>
      <c r="BL73" s="623"/>
      <c r="BM73" s="623"/>
      <c r="BN73" s="623"/>
      <c r="BO73" s="623"/>
      <c r="BP73" s="623"/>
      <c r="BQ73" s="623"/>
      <c r="BR73" s="623"/>
      <c r="BS73" s="623"/>
      <c r="BT73" s="623"/>
      <c r="BU73" s="623"/>
      <c r="BV73" s="623"/>
      <c r="BW73" s="623"/>
      <c r="BX73" s="623"/>
      <c r="BY73" s="623"/>
      <c r="BZ73" s="623"/>
      <c r="CA73" s="623"/>
      <c r="CB73" s="623"/>
      <c r="CC73" s="623"/>
      <c r="CD73" s="623"/>
      <c r="CE73" s="623"/>
      <c r="CF73" s="623"/>
      <c r="CG73" s="623"/>
      <c r="CH73" s="623"/>
      <c r="CI73" s="623"/>
      <c r="CJ73" s="623"/>
      <c r="CK73" s="623"/>
      <c r="CL73" s="623"/>
      <c r="CM73" s="623"/>
      <c r="CN73" s="623"/>
      <c r="CO73" s="623"/>
      <c r="CP73" s="623"/>
      <c r="CQ73" s="623"/>
      <c r="CR73" s="623"/>
      <c r="CS73" s="623"/>
      <c r="CT73" s="623"/>
      <c r="CU73" s="623"/>
      <c r="CV73" s="623"/>
      <c r="CW73" s="623"/>
      <c r="CX73" s="623"/>
      <c r="CY73" s="623"/>
      <c r="CZ73" s="623"/>
      <c r="DA73" s="623"/>
      <c r="DB73" s="623"/>
      <c r="DC73" s="623"/>
      <c r="DD73" s="623"/>
      <c r="DE73" s="623"/>
      <c r="DF73" s="623"/>
      <c r="DG73" s="623"/>
      <c r="DH73" s="623"/>
      <c r="DI73" s="623"/>
      <c r="DJ73" s="623"/>
    </row>
    <row r="74" spans="1:114" s="51" customFormat="1">
      <c r="A74" s="605"/>
      <c r="B74" s="631"/>
      <c r="C74" s="35"/>
      <c r="D74" s="35"/>
      <c r="E74" s="35"/>
      <c r="F74" s="35"/>
      <c r="G74" s="35"/>
      <c r="H74" s="35"/>
      <c r="I74" s="35"/>
      <c r="J74" s="35"/>
      <c r="K74" s="35"/>
      <c r="L74" s="35"/>
      <c r="M74" s="35"/>
      <c r="N74" s="35"/>
      <c r="O74" s="35"/>
      <c r="P74" s="632"/>
      <c r="Q74" s="619"/>
      <c r="R74" s="32"/>
      <c r="S74" s="1425"/>
      <c r="T74" s="633"/>
      <c r="U74" s="633"/>
      <c r="V74" s="633"/>
      <c r="W74" s="633"/>
      <c r="X74" s="1425"/>
      <c r="Y74" s="633"/>
      <c r="Z74" s="633"/>
      <c r="AA74" s="622"/>
      <c r="AB74" s="622"/>
      <c r="AC74" s="32"/>
      <c r="AD74" s="32"/>
      <c r="AG74" s="605"/>
      <c r="AH74" s="605"/>
      <c r="AI74" s="605"/>
      <c r="AJ74" s="605"/>
      <c r="AK74" s="605"/>
      <c r="AL74" s="605"/>
      <c r="AM74" s="605"/>
      <c r="AN74" s="605"/>
      <c r="AO74" s="605"/>
      <c r="AP74" s="605"/>
      <c r="AQ74" s="605"/>
      <c r="AR74" s="605"/>
      <c r="AS74" s="605"/>
      <c r="AT74" s="605"/>
      <c r="AU74" s="605"/>
      <c r="AV74" s="605"/>
      <c r="AW74" s="605"/>
      <c r="AX74" s="605"/>
      <c r="AY74" s="605"/>
      <c r="AZ74" s="605"/>
      <c r="BA74" s="605"/>
      <c r="BB74" s="605"/>
      <c r="BC74" s="605"/>
      <c r="BD74" s="605"/>
      <c r="BE74" s="605"/>
      <c r="BF74" s="605"/>
      <c r="BG74" s="605"/>
      <c r="BH74" s="605"/>
      <c r="BI74" s="605"/>
      <c r="BJ74" s="605"/>
      <c r="BK74" s="605"/>
      <c r="BL74" s="605"/>
      <c r="BM74" s="605"/>
      <c r="BN74" s="605"/>
      <c r="BO74" s="605"/>
      <c r="BP74" s="605"/>
      <c r="BQ74" s="605"/>
      <c r="BR74" s="605"/>
      <c r="BS74" s="605"/>
      <c r="BT74" s="605"/>
      <c r="BU74" s="605"/>
      <c r="BV74" s="605"/>
      <c r="BW74" s="605"/>
      <c r="BX74" s="605"/>
      <c r="BY74" s="605"/>
      <c r="BZ74" s="605"/>
      <c r="CA74" s="605"/>
      <c r="CB74" s="605"/>
      <c r="CC74" s="605"/>
      <c r="CD74" s="605"/>
      <c r="CE74" s="605"/>
      <c r="CF74" s="605"/>
      <c r="CG74" s="605"/>
      <c r="CH74" s="605"/>
      <c r="CI74" s="605"/>
      <c r="CJ74" s="605"/>
      <c r="CK74" s="605"/>
      <c r="CL74" s="605"/>
      <c r="CM74" s="605"/>
      <c r="CN74" s="605"/>
      <c r="CO74" s="605"/>
      <c r="CP74" s="605"/>
      <c r="CQ74" s="605"/>
      <c r="CR74" s="605"/>
      <c r="CS74" s="605"/>
      <c r="CT74" s="605"/>
      <c r="CU74" s="605"/>
      <c r="CV74" s="605"/>
      <c r="CW74" s="605"/>
      <c r="CX74" s="605"/>
      <c r="CY74" s="605"/>
      <c r="CZ74" s="605"/>
      <c r="DA74" s="605"/>
      <c r="DB74" s="605"/>
      <c r="DC74" s="605"/>
      <c r="DD74" s="605"/>
      <c r="DE74" s="605"/>
      <c r="DF74" s="605"/>
      <c r="DG74" s="605"/>
      <c r="DH74" s="605"/>
      <c r="DI74" s="605"/>
      <c r="DJ74" s="605"/>
    </row>
    <row r="75" spans="1:114" s="51" customFormat="1" ht="15.75">
      <c r="A75" s="605"/>
      <c r="B75" s="421" t="s">
        <v>270</v>
      </c>
      <c r="C75" s="159"/>
      <c r="D75" s="159"/>
      <c r="E75" s="159"/>
      <c r="F75" s="159"/>
      <c r="G75" s="159"/>
      <c r="H75" s="159"/>
      <c r="I75" s="159"/>
      <c r="J75" s="159"/>
      <c r="K75" s="159"/>
      <c r="L75" s="159"/>
      <c r="M75" s="159"/>
      <c r="N75" s="159"/>
      <c r="O75" s="159"/>
      <c r="P75" s="160"/>
      <c r="Q75" s="619"/>
      <c r="R75" s="32"/>
      <c r="S75" s="1425"/>
      <c r="T75" s="633"/>
      <c r="U75" s="633"/>
      <c r="V75" s="633"/>
      <c r="W75" s="633"/>
      <c r="X75" s="1425"/>
      <c r="Y75" s="633"/>
      <c r="Z75" s="633"/>
      <c r="AA75" s="622"/>
      <c r="AB75" s="622"/>
      <c r="AC75" s="32"/>
      <c r="AD75" s="32"/>
      <c r="AG75" s="605"/>
      <c r="AH75" s="605"/>
      <c r="AI75" s="605"/>
      <c r="AJ75" s="605"/>
      <c r="AK75" s="605"/>
      <c r="AL75" s="605"/>
      <c r="AM75" s="605"/>
      <c r="AN75" s="605"/>
      <c r="AO75" s="605"/>
      <c r="AP75" s="605"/>
      <c r="AQ75" s="605"/>
      <c r="AR75" s="605"/>
      <c r="AS75" s="605"/>
      <c r="AT75" s="605"/>
      <c r="AU75" s="605"/>
      <c r="AV75" s="605"/>
      <c r="AW75" s="605"/>
      <c r="AX75" s="605"/>
      <c r="AY75" s="605"/>
      <c r="AZ75" s="605"/>
      <c r="BA75" s="605"/>
      <c r="BB75" s="605"/>
      <c r="BC75" s="605"/>
      <c r="BD75" s="605"/>
      <c r="BE75" s="605"/>
      <c r="BF75" s="605"/>
      <c r="BG75" s="605"/>
      <c r="BH75" s="605"/>
      <c r="BI75" s="605"/>
      <c r="BJ75" s="605"/>
      <c r="BK75" s="605"/>
      <c r="BL75" s="605"/>
      <c r="BM75" s="605"/>
      <c r="BN75" s="605"/>
      <c r="BO75" s="605"/>
      <c r="BP75" s="605"/>
      <c r="BQ75" s="605"/>
      <c r="BR75" s="605"/>
      <c r="BS75" s="605"/>
      <c r="BT75" s="605"/>
      <c r="BU75" s="605"/>
      <c r="BV75" s="605"/>
      <c r="BW75" s="605"/>
      <c r="BX75" s="605"/>
      <c r="BY75" s="605"/>
      <c r="BZ75" s="605"/>
      <c r="CA75" s="605"/>
      <c r="CB75" s="605"/>
      <c r="CC75" s="605"/>
      <c r="CD75" s="605"/>
      <c r="CE75" s="605"/>
      <c r="CF75" s="605"/>
      <c r="CG75" s="605"/>
      <c r="CH75" s="605"/>
      <c r="CI75" s="605"/>
      <c r="CJ75" s="605"/>
      <c r="CK75" s="605"/>
      <c r="CL75" s="605"/>
      <c r="CM75" s="605"/>
      <c r="CN75" s="605"/>
      <c r="CO75" s="605"/>
      <c r="CP75" s="605"/>
      <c r="CQ75" s="605"/>
      <c r="CR75" s="605"/>
      <c r="CS75" s="605"/>
      <c r="CT75" s="605"/>
      <c r="CU75" s="605"/>
      <c r="CV75" s="605"/>
      <c r="CW75" s="605"/>
      <c r="CX75" s="605"/>
      <c r="CY75" s="605"/>
      <c r="CZ75" s="605"/>
      <c r="DA75" s="605"/>
      <c r="DB75" s="605"/>
      <c r="DC75" s="605"/>
      <c r="DD75" s="605"/>
      <c r="DE75" s="605"/>
      <c r="DF75" s="605"/>
      <c r="DG75" s="605"/>
      <c r="DH75" s="605"/>
      <c r="DI75" s="605"/>
      <c r="DJ75" s="605"/>
    </row>
    <row r="76" spans="1:114">
      <c r="B76" s="418"/>
      <c r="C76" s="415"/>
      <c r="D76" s="415"/>
      <c r="E76" s="415"/>
      <c r="F76" s="415"/>
      <c r="G76" s="415"/>
      <c r="H76" s="415"/>
      <c r="I76" s="415"/>
      <c r="J76" s="415"/>
      <c r="K76" s="415"/>
      <c r="L76" s="415"/>
      <c r="M76" s="415"/>
      <c r="N76" s="415"/>
      <c r="O76" s="415"/>
      <c r="P76" s="419"/>
      <c r="Q76" s="619"/>
      <c r="R76" s="529"/>
      <c r="S76" s="1435"/>
      <c r="T76" s="1698"/>
      <c r="U76" s="1698"/>
      <c r="V76" s="1698"/>
      <c r="W76" s="1698"/>
      <c r="X76" s="1425"/>
      <c r="Y76" s="1698"/>
      <c r="Z76" s="1698"/>
      <c r="AA76" s="634"/>
      <c r="AB76" s="634"/>
      <c r="AC76" s="529"/>
      <c r="AD76" s="529"/>
    </row>
    <row r="77" spans="1:114">
      <c r="B77" s="418"/>
      <c r="C77" s="416" t="s">
        <v>793</v>
      </c>
      <c r="D77" s="415"/>
      <c r="E77" s="104"/>
      <c r="F77" s="415"/>
      <c r="G77" s="415"/>
      <c r="H77" s="415"/>
      <c r="I77" s="415"/>
      <c r="J77" s="415"/>
      <c r="K77" s="415"/>
      <c r="L77" s="415"/>
      <c r="M77" s="415"/>
      <c r="N77" s="415"/>
      <c r="O77" s="104" t="str">
        <f>Preferences.PowerUnits</f>
        <v>GW</v>
      </c>
      <c r="P77" s="419"/>
      <c r="Q77" s="619"/>
      <c r="R77" s="529"/>
      <c r="S77" s="634"/>
      <c r="T77" s="634"/>
      <c r="U77" s="634"/>
      <c r="V77" s="634"/>
      <c r="W77" s="634"/>
      <c r="X77" s="634"/>
      <c r="Y77" s="634"/>
      <c r="Z77" s="634"/>
      <c r="AA77" s="634"/>
      <c r="AB77" s="634"/>
      <c r="AC77" s="529"/>
      <c r="AD77" s="529"/>
    </row>
    <row r="78" spans="1:114">
      <c r="B78" s="418"/>
      <c r="C78" s="415"/>
      <c r="D78" s="415"/>
      <c r="E78" s="415"/>
      <c r="F78" s="415"/>
      <c r="G78" s="415"/>
      <c r="H78" s="415"/>
      <c r="I78" s="415"/>
      <c r="J78" s="415"/>
      <c r="K78" s="415"/>
      <c r="L78" s="415"/>
      <c r="M78" s="415"/>
      <c r="N78" s="415"/>
      <c r="O78" s="415"/>
      <c r="P78" s="419"/>
      <c r="Q78" s="619"/>
      <c r="R78" s="529"/>
      <c r="S78" s="543"/>
      <c r="T78" s="529"/>
      <c r="U78" s="440"/>
      <c r="V78" s="529"/>
      <c r="W78" s="529"/>
      <c r="X78" s="440"/>
      <c r="Y78" s="529"/>
      <c r="Z78" s="529"/>
      <c r="AA78" s="529"/>
      <c r="AB78" s="529"/>
      <c r="AC78" s="529"/>
      <c r="AD78" s="529"/>
    </row>
    <row r="79" spans="1:114" ht="15.75">
      <c r="B79" s="152"/>
      <c r="C79" s="61" t="s">
        <v>227</v>
      </c>
      <c r="D79" s="61" t="s">
        <v>65</v>
      </c>
      <c r="E79" s="61" t="s">
        <v>156</v>
      </c>
      <c r="F79" s="119">
        <v>2007</v>
      </c>
      <c r="G79" s="120">
        <f t="shared" ref="G79:O79" si="12">F79+5</f>
        <v>2012</v>
      </c>
      <c r="H79" s="120">
        <f t="shared" si="12"/>
        <v>2017</v>
      </c>
      <c r="I79" s="120">
        <f t="shared" si="12"/>
        <v>2022</v>
      </c>
      <c r="J79" s="120">
        <f t="shared" si="12"/>
        <v>2027</v>
      </c>
      <c r="K79" s="120">
        <f t="shared" si="12"/>
        <v>2032</v>
      </c>
      <c r="L79" s="120">
        <f t="shared" si="12"/>
        <v>2037</v>
      </c>
      <c r="M79" s="120">
        <f t="shared" si="12"/>
        <v>2042</v>
      </c>
      <c r="N79" s="120">
        <f t="shared" si="12"/>
        <v>2047</v>
      </c>
      <c r="O79" s="120">
        <f t="shared" si="12"/>
        <v>2052</v>
      </c>
      <c r="P79" s="419"/>
      <c r="Q79" s="619"/>
      <c r="R79" s="529"/>
      <c r="S79" s="529"/>
      <c r="T79" s="529"/>
      <c r="U79" s="529"/>
      <c r="V79" s="529"/>
      <c r="W79" s="529"/>
      <c r="X79" s="529"/>
      <c r="Y79" s="529"/>
      <c r="Z79" s="529"/>
      <c r="AA79" s="529"/>
      <c r="AB79" s="529"/>
      <c r="AC79" s="529"/>
      <c r="AD79" s="529"/>
    </row>
    <row r="80" spans="1:114" s="19" customFormat="1" ht="15.75">
      <c r="B80" s="153"/>
      <c r="C80" s="78" t="s">
        <v>12</v>
      </c>
      <c r="D80" s="79" t="str">
        <f>INDEX(Vectors[Description], MATCH($C80, Vectors[Code], 0))</f>
        <v>Hydro</v>
      </c>
      <c r="E80" s="79"/>
      <c r="F80" s="635">
        <f t="shared" ref="F80:O80" si="13">F43</f>
        <v>34.65</v>
      </c>
      <c r="G80" s="635">
        <f t="shared" si="13"/>
        <v>41</v>
      </c>
      <c r="H80" s="635">
        <f t="shared" si="13"/>
        <v>49</v>
      </c>
      <c r="I80" s="635">
        <f t="shared" si="13"/>
        <v>49</v>
      </c>
      <c r="J80" s="635">
        <f t="shared" si="13"/>
        <v>49</v>
      </c>
      <c r="K80" s="635">
        <f t="shared" si="13"/>
        <v>49</v>
      </c>
      <c r="L80" s="635">
        <f t="shared" si="13"/>
        <v>49</v>
      </c>
      <c r="M80" s="635">
        <f t="shared" si="13"/>
        <v>49</v>
      </c>
      <c r="N80" s="635">
        <f t="shared" si="13"/>
        <v>49</v>
      </c>
      <c r="O80" s="635">
        <f t="shared" si="13"/>
        <v>49</v>
      </c>
      <c r="P80" s="414"/>
      <c r="Q80" s="619"/>
      <c r="R80" s="634"/>
      <c r="S80" s="634"/>
      <c r="T80" s="634"/>
      <c r="U80" s="634"/>
      <c r="V80" s="634"/>
      <c r="W80" s="634"/>
      <c r="X80" s="634"/>
      <c r="Y80" s="634"/>
      <c r="Z80" s="634"/>
      <c r="AA80" s="634"/>
      <c r="AB80" s="634"/>
      <c r="AC80" s="634"/>
      <c r="AD80" s="634"/>
    </row>
    <row r="81" spans="2:32" s="19" customFormat="1">
      <c r="B81" s="636"/>
      <c r="C81" s="637"/>
      <c r="D81" s="638"/>
      <c r="E81" s="638"/>
      <c r="F81" s="639"/>
      <c r="G81" s="640"/>
      <c r="H81" s="640"/>
      <c r="I81" s="640"/>
      <c r="J81" s="640"/>
      <c r="K81" s="640"/>
      <c r="L81" s="640"/>
      <c r="M81" s="640"/>
      <c r="N81" s="640"/>
      <c r="O81" s="640"/>
      <c r="P81" s="157"/>
      <c r="Q81" s="619"/>
      <c r="R81" s="634"/>
      <c r="S81" s="634"/>
      <c r="T81" s="634"/>
      <c r="U81" s="634"/>
      <c r="V81" s="634"/>
      <c r="W81" s="634"/>
      <c r="X81" s="634"/>
      <c r="Y81" s="634"/>
      <c r="Z81" s="634"/>
      <c r="AA81" s="634"/>
      <c r="AB81" s="634"/>
      <c r="AC81" s="634"/>
      <c r="AD81" s="634"/>
    </row>
    <row r="82" spans="2:32">
      <c r="Q82" s="619"/>
      <c r="R82" s="529"/>
      <c r="S82" s="529"/>
      <c r="T82" s="529"/>
      <c r="U82" s="529"/>
      <c r="V82" s="529"/>
      <c r="W82" s="529"/>
      <c r="X82" s="529"/>
      <c r="Y82" s="529"/>
      <c r="Z82" s="529"/>
      <c r="AA82" s="529"/>
      <c r="AB82" s="529"/>
      <c r="AC82" s="529"/>
      <c r="AD82" s="529"/>
    </row>
    <row r="83" spans="2:32">
      <c r="B83" s="605" t="s">
        <v>794</v>
      </c>
      <c r="C83" s="88"/>
      <c r="F83" s="641">
        <v>2007</v>
      </c>
      <c r="G83" s="642">
        <f t="shared" ref="G83:O83" si="14">F83+5</f>
        <v>2012</v>
      </c>
      <c r="H83" s="642">
        <f t="shared" si="14"/>
        <v>2017</v>
      </c>
      <c r="I83" s="642">
        <f t="shared" si="14"/>
        <v>2022</v>
      </c>
      <c r="J83" s="642">
        <f t="shared" si="14"/>
        <v>2027</v>
      </c>
      <c r="K83" s="642">
        <f t="shared" si="14"/>
        <v>2032</v>
      </c>
      <c r="L83" s="642">
        <f t="shared" si="14"/>
        <v>2037</v>
      </c>
      <c r="M83" s="642">
        <f t="shared" si="14"/>
        <v>2042</v>
      </c>
      <c r="N83" s="642">
        <f t="shared" si="14"/>
        <v>2047</v>
      </c>
      <c r="O83" s="642">
        <f t="shared" si="14"/>
        <v>2052</v>
      </c>
    </row>
    <row r="84" spans="2:32">
      <c r="C84" s="423" t="s">
        <v>795</v>
      </c>
      <c r="E84" s="605" t="str">
        <f>Preferences.PowerUnits</f>
        <v>GW</v>
      </c>
      <c r="F84" s="2824">
        <f>F80</f>
        <v>34.65</v>
      </c>
      <c r="G84" s="2824">
        <f t="shared" ref="G84:O84" si="15">G80</f>
        <v>41</v>
      </c>
      <c r="H84" s="2824">
        <f t="shared" si="15"/>
        <v>49</v>
      </c>
      <c r="I84" s="2824">
        <f t="shared" si="15"/>
        <v>49</v>
      </c>
      <c r="J84" s="2824">
        <f t="shared" si="15"/>
        <v>49</v>
      </c>
      <c r="K84" s="2824">
        <f t="shared" si="15"/>
        <v>49</v>
      </c>
      <c r="L84" s="2824">
        <f t="shared" si="15"/>
        <v>49</v>
      </c>
      <c r="M84" s="2824">
        <f t="shared" si="15"/>
        <v>49</v>
      </c>
      <c r="N84" s="2824">
        <f t="shared" si="15"/>
        <v>49</v>
      </c>
      <c r="O84" s="2824">
        <f t="shared" si="15"/>
        <v>49</v>
      </c>
    </row>
    <row r="85" spans="2:32" s="51" customFormat="1">
      <c r="B85" s="87" t="s">
        <v>796</v>
      </c>
      <c r="C85" s="605" t="s">
        <v>797</v>
      </c>
      <c r="D85" s="605"/>
      <c r="E85" s="605"/>
      <c r="F85" s="15">
        <f t="shared" ref="F85:O85" si="16">F$54</f>
        <v>0.4</v>
      </c>
      <c r="G85" s="15">
        <f t="shared" si="16"/>
        <v>0.4</v>
      </c>
      <c r="H85" s="15">
        <f t="shared" si="16"/>
        <v>0.4</v>
      </c>
      <c r="I85" s="15">
        <f t="shared" si="16"/>
        <v>0.4</v>
      </c>
      <c r="J85" s="15">
        <f t="shared" si="16"/>
        <v>0.4</v>
      </c>
      <c r="K85" s="15">
        <f t="shared" si="16"/>
        <v>0.4</v>
      </c>
      <c r="L85" s="15">
        <f t="shared" si="16"/>
        <v>0.4</v>
      </c>
      <c r="M85" s="15">
        <f t="shared" si="16"/>
        <v>0.4</v>
      </c>
      <c r="N85" s="15">
        <f t="shared" si="16"/>
        <v>0.4</v>
      </c>
      <c r="O85" s="15">
        <f t="shared" si="16"/>
        <v>0.4</v>
      </c>
      <c r="P85" s="605"/>
    </row>
    <row r="86" spans="2:32">
      <c r="B86" s="88" t="s">
        <v>276</v>
      </c>
      <c r="C86" s="423" t="s">
        <v>798</v>
      </c>
      <c r="F86" s="73">
        <f t="shared" ref="F86:O86" si="17">F84*F85</f>
        <v>13.86</v>
      </c>
      <c r="G86" s="73">
        <f t="shared" si="17"/>
        <v>16.400000000000002</v>
      </c>
      <c r="H86" s="73">
        <f t="shared" si="17"/>
        <v>19.600000000000001</v>
      </c>
      <c r="I86" s="73">
        <f t="shared" si="17"/>
        <v>19.600000000000001</v>
      </c>
      <c r="J86" s="73">
        <f t="shared" si="17"/>
        <v>19.600000000000001</v>
      </c>
      <c r="K86" s="73">
        <f t="shared" si="17"/>
        <v>19.600000000000001</v>
      </c>
      <c r="L86" s="73">
        <f t="shared" si="17"/>
        <v>19.600000000000001</v>
      </c>
      <c r="M86" s="73">
        <f t="shared" si="17"/>
        <v>19.600000000000001</v>
      </c>
      <c r="N86" s="73">
        <f t="shared" si="17"/>
        <v>19.600000000000001</v>
      </c>
      <c r="O86" s="73">
        <f t="shared" si="17"/>
        <v>19.600000000000001</v>
      </c>
    </row>
    <row r="87" spans="2:32">
      <c r="B87" s="88"/>
      <c r="C87" s="423"/>
      <c r="F87" s="73"/>
      <c r="G87" s="73"/>
      <c r="H87" s="73"/>
      <c r="I87" s="73"/>
      <c r="J87" s="73"/>
      <c r="K87" s="73"/>
      <c r="L87" s="73"/>
      <c r="M87" s="73"/>
      <c r="N87" s="73"/>
      <c r="O87" s="73"/>
    </row>
    <row r="88" spans="2:32">
      <c r="C88" s="423" t="s">
        <v>799</v>
      </c>
      <c r="E88" s="605" t="str">
        <f>preferences.energyunits</f>
        <v>TWh</v>
      </c>
      <c r="F88" s="73">
        <f t="shared" ref="F88:O88" si="18">F$86*Preferences.Unit.Power*Unit.year/Preferences.Unit.Energy</f>
        <v>121.49675999999999</v>
      </c>
      <c r="G88" s="73">
        <f t="shared" si="18"/>
        <v>143.76240000000001</v>
      </c>
      <c r="H88" s="73">
        <f t="shared" si="18"/>
        <v>171.81360000000004</v>
      </c>
      <c r="I88" s="73">
        <f t="shared" si="18"/>
        <v>171.81360000000004</v>
      </c>
      <c r="J88" s="73">
        <f t="shared" si="18"/>
        <v>171.81360000000004</v>
      </c>
      <c r="K88" s="73">
        <f t="shared" si="18"/>
        <v>171.81360000000004</v>
      </c>
      <c r="L88" s="73">
        <f t="shared" si="18"/>
        <v>171.81360000000004</v>
      </c>
      <c r="M88" s="73">
        <f t="shared" si="18"/>
        <v>171.81360000000004</v>
      </c>
      <c r="N88" s="73">
        <f t="shared" si="18"/>
        <v>171.81360000000004</v>
      </c>
      <c r="O88" s="73">
        <f t="shared" si="18"/>
        <v>171.81360000000004</v>
      </c>
    </row>
    <row r="89" spans="2:32">
      <c r="C89" s="423"/>
      <c r="F89" s="73"/>
      <c r="G89" s="73"/>
      <c r="H89" s="73"/>
      <c r="I89" s="73"/>
      <c r="J89" s="73"/>
      <c r="K89" s="73"/>
      <c r="L89" s="73"/>
      <c r="M89" s="73"/>
      <c r="N89" s="73"/>
      <c r="O89" s="73"/>
      <c r="Q89" s="35"/>
      <c r="R89" s="35"/>
      <c r="S89" s="35"/>
      <c r="T89" s="35"/>
      <c r="U89" s="35"/>
      <c r="V89" s="35"/>
      <c r="W89" s="35"/>
      <c r="X89" s="35"/>
      <c r="Y89" s="35"/>
      <c r="Z89" s="35"/>
      <c r="AA89" s="35"/>
      <c r="AB89" s="35"/>
      <c r="AC89" s="35"/>
      <c r="AD89" s="35"/>
      <c r="AE89" s="35"/>
    </row>
    <row r="90" spans="2:32">
      <c r="B90" s="423" t="s">
        <v>721</v>
      </c>
      <c r="E90" s="780" t="str">
        <f>Preferences.AreaUnits</f>
        <v>ha</v>
      </c>
      <c r="F90" s="643">
        <f>F84*F71</f>
        <v>27027</v>
      </c>
      <c r="G90" s="643">
        <f t="shared" ref="G90:O90" si="19">G84*G71</f>
        <v>31980</v>
      </c>
      <c r="H90" s="643">
        <f t="shared" si="19"/>
        <v>38220</v>
      </c>
      <c r="I90" s="643">
        <f t="shared" si="19"/>
        <v>38220</v>
      </c>
      <c r="J90" s="643">
        <f t="shared" si="19"/>
        <v>38220</v>
      </c>
      <c r="K90" s="643">
        <f t="shared" si="19"/>
        <v>38220</v>
      </c>
      <c r="L90" s="643">
        <f t="shared" si="19"/>
        <v>38220</v>
      </c>
      <c r="M90" s="643">
        <f t="shared" si="19"/>
        <v>38220</v>
      </c>
      <c r="N90" s="643">
        <f t="shared" si="19"/>
        <v>38220</v>
      </c>
      <c r="O90" s="643">
        <f t="shared" si="19"/>
        <v>38220</v>
      </c>
      <c r="P90" s="643"/>
      <c r="R90" s="35"/>
      <c r="S90" s="35"/>
      <c r="T90" s="35"/>
      <c r="U90" s="292"/>
      <c r="V90" s="35"/>
      <c r="W90" s="35"/>
      <c r="X90" s="35"/>
      <c r="Y90" s="35"/>
      <c r="Z90" s="644"/>
      <c r="AA90" s="644"/>
      <c r="AB90" s="35"/>
      <c r="AC90" s="35"/>
      <c r="AD90" s="35"/>
      <c r="AE90" s="35"/>
      <c r="AF90" s="35"/>
    </row>
    <row r="91" spans="2:32">
      <c r="P91" s="365"/>
      <c r="Q91" s="35"/>
      <c r="R91" s="645"/>
      <c r="S91" s="35"/>
      <c r="T91" s="35"/>
      <c r="U91" s="35"/>
      <c r="V91" s="35"/>
      <c r="W91" s="35"/>
      <c r="X91" s="35"/>
      <c r="Y91" s="35"/>
      <c r="Z91" s="35"/>
      <c r="AA91" s="35"/>
      <c r="AB91" s="35"/>
      <c r="AC91" s="35"/>
      <c r="AD91" s="35"/>
      <c r="AE91" s="35"/>
    </row>
    <row r="94" spans="2:32" ht="15.75">
      <c r="B94" s="206" t="s">
        <v>202</v>
      </c>
      <c r="C94" s="175"/>
      <c r="D94" s="175"/>
      <c r="E94" s="175"/>
      <c r="F94" s="175"/>
      <c r="G94" s="175"/>
      <c r="H94" s="175"/>
      <c r="I94" s="175"/>
      <c r="J94" s="175"/>
      <c r="K94" s="175"/>
      <c r="L94" s="175"/>
      <c r="M94" s="175"/>
      <c r="N94" s="175"/>
      <c r="O94" s="175"/>
      <c r="P94" s="177"/>
    </row>
    <row r="95" spans="2:32">
      <c r="B95" s="164"/>
      <c r="C95" s="166"/>
      <c r="D95" s="166"/>
      <c r="E95" s="166"/>
      <c r="F95" s="166"/>
      <c r="G95" s="166"/>
      <c r="H95" s="166"/>
      <c r="I95" s="166"/>
      <c r="J95" s="166"/>
      <c r="K95" s="166"/>
      <c r="L95" s="166"/>
      <c r="M95" s="166"/>
      <c r="N95" s="166"/>
      <c r="O95" s="166"/>
      <c r="P95" s="168"/>
    </row>
    <row r="96" spans="2:32">
      <c r="B96" s="164"/>
      <c r="C96" s="178" t="s">
        <v>239</v>
      </c>
      <c r="D96" s="166"/>
      <c r="E96" s="167"/>
      <c r="F96" s="166"/>
      <c r="G96" s="167"/>
      <c r="H96" s="166"/>
      <c r="I96" s="166"/>
      <c r="J96" s="166"/>
      <c r="K96" s="166"/>
      <c r="L96" s="166"/>
      <c r="M96" s="166"/>
      <c r="N96" s="166"/>
      <c r="O96" s="167" t="str">
        <f>preferences.energyunits</f>
        <v>TWh</v>
      </c>
      <c r="P96" s="168"/>
    </row>
    <row r="97" spans="2:16">
      <c r="B97" s="164"/>
      <c r="C97" s="166"/>
      <c r="D97" s="166"/>
      <c r="E97" s="166"/>
      <c r="F97" s="166"/>
      <c r="G97" s="166"/>
      <c r="H97" s="166"/>
      <c r="I97" s="166"/>
      <c r="J97" s="166"/>
      <c r="K97" s="166"/>
      <c r="L97" s="166"/>
      <c r="M97" s="166"/>
      <c r="N97" s="166"/>
      <c r="O97" s="166"/>
      <c r="P97" s="168"/>
    </row>
    <row r="98" spans="2:16" ht="15.75">
      <c r="B98" s="169"/>
      <c r="C98" s="180" t="s">
        <v>64</v>
      </c>
      <c r="D98" s="180" t="s">
        <v>137</v>
      </c>
      <c r="E98" s="180" t="s">
        <v>156</v>
      </c>
      <c r="F98" s="647" t="s">
        <v>203</v>
      </c>
      <c r="G98" s="647" t="s">
        <v>712</v>
      </c>
      <c r="H98" s="647" t="s">
        <v>713</v>
      </c>
      <c r="I98" s="647" t="s">
        <v>714</v>
      </c>
      <c r="J98" s="647" t="s">
        <v>715</v>
      </c>
      <c r="K98" s="647" t="s">
        <v>716</v>
      </c>
      <c r="L98" s="647" t="s">
        <v>717</v>
      </c>
      <c r="M98" s="647" t="s">
        <v>718</v>
      </c>
      <c r="N98" s="647" t="s">
        <v>719</v>
      </c>
      <c r="O98" s="647" t="s">
        <v>720</v>
      </c>
      <c r="P98" s="168"/>
    </row>
    <row r="99" spans="2:16" ht="15.75">
      <c r="B99" s="169"/>
      <c r="C99" s="60" t="s">
        <v>35</v>
      </c>
      <c r="D99" s="60" t="str">
        <f>INDEX(Vectors[Description], MATCH([Vector], Vectors[Code], 0))</f>
        <v>Electricity (supplied to grid)</v>
      </c>
      <c r="E99" s="60"/>
      <c r="F99" s="129">
        <f t="shared" ref="F99:O99" si="20">F$88</f>
        <v>121.49675999999999</v>
      </c>
      <c r="G99" s="129">
        <f t="shared" si="20"/>
        <v>143.76240000000001</v>
      </c>
      <c r="H99" s="129">
        <f t="shared" si="20"/>
        <v>171.81360000000004</v>
      </c>
      <c r="I99" s="129">
        <f t="shared" si="20"/>
        <v>171.81360000000004</v>
      </c>
      <c r="J99" s="129">
        <f t="shared" si="20"/>
        <v>171.81360000000004</v>
      </c>
      <c r="K99" s="129">
        <f t="shared" si="20"/>
        <v>171.81360000000004</v>
      </c>
      <c r="L99" s="129">
        <f t="shared" si="20"/>
        <v>171.81360000000004</v>
      </c>
      <c r="M99" s="129">
        <f t="shared" si="20"/>
        <v>171.81360000000004</v>
      </c>
      <c r="N99" s="129">
        <f t="shared" si="20"/>
        <v>171.81360000000004</v>
      </c>
      <c r="O99" s="129">
        <f t="shared" si="20"/>
        <v>171.81360000000004</v>
      </c>
      <c r="P99" s="168"/>
    </row>
    <row r="100" spans="2:16" ht="15.75">
      <c r="B100" s="169"/>
      <c r="C100" s="60" t="s">
        <v>12</v>
      </c>
      <c r="D100" s="60" t="str">
        <f>INDEX(Vectors[Description], MATCH([Vector], Vectors[Code], 0))</f>
        <v>Hydro</v>
      </c>
      <c r="E100" s="60"/>
      <c r="F100" s="129">
        <f t="shared" ref="F100:O100" si="21">-F88</f>
        <v>-121.49675999999999</v>
      </c>
      <c r="G100" s="129">
        <f t="shared" si="21"/>
        <v>-143.76240000000001</v>
      </c>
      <c r="H100" s="129">
        <f t="shared" si="21"/>
        <v>-171.81360000000004</v>
      </c>
      <c r="I100" s="129">
        <f t="shared" si="21"/>
        <v>-171.81360000000004</v>
      </c>
      <c r="J100" s="129">
        <f t="shared" si="21"/>
        <v>-171.81360000000004</v>
      </c>
      <c r="K100" s="129">
        <f t="shared" si="21"/>
        <v>-171.81360000000004</v>
      </c>
      <c r="L100" s="129">
        <f t="shared" si="21"/>
        <v>-171.81360000000004</v>
      </c>
      <c r="M100" s="129">
        <f t="shared" si="21"/>
        <v>-171.81360000000004</v>
      </c>
      <c r="N100" s="129">
        <f t="shared" si="21"/>
        <v>-171.81360000000004</v>
      </c>
      <c r="O100" s="129">
        <f t="shared" si="21"/>
        <v>-171.81360000000004</v>
      </c>
      <c r="P100" s="168"/>
    </row>
    <row r="101" spans="2:16" ht="15.75">
      <c r="B101" s="169"/>
      <c r="C101" s="60" t="s">
        <v>103</v>
      </c>
      <c r="D101" s="60"/>
      <c r="E101" s="60"/>
      <c r="F101" s="648">
        <f>SUBTOTAL(109,[2007])</f>
        <v>0</v>
      </c>
      <c r="G101" s="60">
        <f>SUBTOTAL(109,[2012])</f>
        <v>0</v>
      </c>
      <c r="H101" s="60">
        <f>SUBTOTAL(109,[2017])</f>
        <v>0</v>
      </c>
      <c r="I101" s="60">
        <f>SUBTOTAL(109,[2022])</f>
        <v>0</v>
      </c>
      <c r="J101" s="60">
        <f>SUBTOTAL(109,[2027])</f>
        <v>0</v>
      </c>
      <c r="K101" s="60">
        <f>SUBTOTAL(109,[2032])</f>
        <v>0</v>
      </c>
      <c r="L101" s="60">
        <f>SUBTOTAL(109,[2037])</f>
        <v>0</v>
      </c>
      <c r="M101" s="60">
        <f>SUBTOTAL(109,[2042])</f>
        <v>0</v>
      </c>
      <c r="N101" s="60">
        <f>SUBTOTAL(109,[2047])</f>
        <v>0</v>
      </c>
      <c r="O101" s="60">
        <f>SUBTOTAL(109,[2052])</f>
        <v>0</v>
      </c>
      <c r="P101" s="168"/>
    </row>
    <row r="102" spans="2:16" ht="15.75">
      <c r="B102" s="170"/>
      <c r="C102" s="171"/>
      <c r="D102" s="171"/>
      <c r="E102" s="171"/>
      <c r="F102" s="171"/>
      <c r="G102" s="171"/>
      <c r="H102" s="171"/>
      <c r="I102" s="171"/>
      <c r="J102" s="171"/>
      <c r="K102" s="171"/>
      <c r="L102" s="171"/>
      <c r="M102" s="171"/>
      <c r="N102" s="171"/>
      <c r="O102" s="171"/>
      <c r="P102" s="173"/>
    </row>
    <row r="104" spans="2:16" ht="15.75">
      <c r="B104" s="424" t="s">
        <v>501</v>
      </c>
      <c r="C104" s="346"/>
      <c r="D104" s="425"/>
      <c r="E104" s="425"/>
      <c r="F104" s="425"/>
      <c r="G104" s="425"/>
      <c r="H104" s="425"/>
      <c r="I104" s="425"/>
      <c r="J104" s="425"/>
      <c r="K104" s="425"/>
      <c r="L104" s="425"/>
      <c r="M104" s="425"/>
      <c r="N104" s="425"/>
      <c r="O104" s="425"/>
      <c r="P104" s="426"/>
    </row>
    <row r="105" spans="2:16">
      <c r="B105" s="347"/>
      <c r="C105" s="348"/>
      <c r="D105" s="348"/>
      <c r="E105" s="348"/>
      <c r="F105" s="348"/>
      <c r="G105" s="348"/>
      <c r="H105" s="348"/>
      <c r="I105" s="348"/>
      <c r="J105" s="348"/>
      <c r="K105" s="348"/>
      <c r="L105" s="348"/>
      <c r="M105" s="348"/>
      <c r="N105" s="348"/>
      <c r="O105" s="348"/>
      <c r="P105" s="349"/>
    </row>
    <row r="106" spans="2:16">
      <c r="B106" s="427"/>
      <c r="C106" s="350" t="s">
        <v>506</v>
      </c>
      <c r="D106" s="428"/>
      <c r="E106" s="351"/>
      <c r="F106" s="428"/>
      <c r="G106" s="351"/>
      <c r="H106" s="428"/>
      <c r="I106" s="428"/>
      <c r="J106" s="428"/>
      <c r="K106" s="428"/>
      <c r="L106" s="428"/>
      <c r="M106" s="428"/>
      <c r="N106" s="428"/>
      <c r="O106" s="351"/>
      <c r="P106" s="429"/>
    </row>
    <row r="107" spans="2:16">
      <c r="B107" s="427"/>
      <c r="C107" s="428"/>
      <c r="D107" s="428"/>
      <c r="E107" s="428"/>
      <c r="F107" s="428"/>
      <c r="G107" s="428"/>
      <c r="H107" s="428"/>
      <c r="I107" s="428"/>
      <c r="J107" s="428"/>
      <c r="K107" s="428"/>
      <c r="L107" s="428"/>
      <c r="M107" s="428"/>
      <c r="N107" s="428"/>
      <c r="O107" s="428"/>
      <c r="P107" s="429"/>
    </row>
    <row r="108" spans="2:16" ht="15.75">
      <c r="B108" s="430"/>
      <c r="C108" s="431" t="s">
        <v>64</v>
      </c>
      <c r="D108" s="431" t="s">
        <v>502</v>
      </c>
      <c r="E108" s="431" t="s">
        <v>156</v>
      </c>
      <c r="F108" s="431" t="s">
        <v>203</v>
      </c>
      <c r="G108" s="431" t="s">
        <v>712</v>
      </c>
      <c r="H108" s="431" t="s">
        <v>713</v>
      </c>
      <c r="I108" s="431" t="s">
        <v>714</v>
      </c>
      <c r="J108" s="431" t="s">
        <v>715</v>
      </c>
      <c r="K108" s="431" t="s">
        <v>716</v>
      </c>
      <c r="L108" s="431" t="s">
        <v>717</v>
      </c>
      <c r="M108" s="431" t="s">
        <v>718</v>
      </c>
      <c r="N108" s="431" t="s">
        <v>719</v>
      </c>
      <c r="O108" s="431" t="s">
        <v>720</v>
      </c>
      <c r="P108" s="429"/>
    </row>
    <row r="109" spans="2:16" ht="15.75">
      <c r="B109" s="430"/>
      <c r="C109" s="432" t="s">
        <v>503</v>
      </c>
      <c r="D109" s="433" t="str">
        <f>INDEX(Vectors[Description], MATCH([Vector], Vectors[Code], 0))</f>
        <v>India Land area</v>
      </c>
      <c r="E109" s="433" t="str">
        <f>Preferences.AreaUnits</f>
        <v>ha</v>
      </c>
      <c r="F109" s="354">
        <f t="shared" ref="F109:O109" si="22">F90</f>
        <v>27027</v>
      </c>
      <c r="G109" s="354">
        <f t="shared" si="22"/>
        <v>31980</v>
      </c>
      <c r="H109" s="354">
        <f t="shared" si="22"/>
        <v>38220</v>
      </c>
      <c r="I109" s="354">
        <f t="shared" si="22"/>
        <v>38220</v>
      </c>
      <c r="J109" s="354">
        <f t="shared" si="22"/>
        <v>38220</v>
      </c>
      <c r="K109" s="354">
        <f t="shared" si="22"/>
        <v>38220</v>
      </c>
      <c r="L109" s="354">
        <f t="shared" si="22"/>
        <v>38220</v>
      </c>
      <c r="M109" s="354">
        <f t="shared" si="22"/>
        <v>38220</v>
      </c>
      <c r="N109" s="354">
        <f t="shared" si="22"/>
        <v>38220</v>
      </c>
      <c r="O109" s="354">
        <f t="shared" si="22"/>
        <v>38220</v>
      </c>
      <c r="P109" s="429"/>
    </row>
    <row r="110" spans="2:16" ht="15.75">
      <c r="B110" s="430"/>
      <c r="C110" s="432" t="s">
        <v>508</v>
      </c>
      <c r="D110" s="433" t="str">
        <f>INDEX(Vectors[Description], MATCH([Vector], Vectors[Code], 0))</f>
        <v xml:space="preserve">Installed Capacity </v>
      </c>
      <c r="E110" s="433" t="str">
        <f>Preferences.PowerUnits</f>
        <v>GW</v>
      </c>
      <c r="F110" s="354">
        <f t="shared" ref="F110:O110" si="23">F84</f>
        <v>34.65</v>
      </c>
      <c r="G110" s="354">
        <f t="shared" si="23"/>
        <v>41</v>
      </c>
      <c r="H110" s="354">
        <f t="shared" si="23"/>
        <v>49</v>
      </c>
      <c r="I110" s="354">
        <f t="shared" si="23"/>
        <v>49</v>
      </c>
      <c r="J110" s="354">
        <f t="shared" si="23"/>
        <v>49</v>
      </c>
      <c r="K110" s="354">
        <f t="shared" si="23"/>
        <v>49</v>
      </c>
      <c r="L110" s="354">
        <f t="shared" si="23"/>
        <v>49</v>
      </c>
      <c r="M110" s="354">
        <f t="shared" si="23"/>
        <v>49</v>
      </c>
      <c r="N110" s="354">
        <f t="shared" si="23"/>
        <v>49</v>
      </c>
      <c r="O110" s="354">
        <f t="shared" si="23"/>
        <v>49</v>
      </c>
      <c r="P110" s="429"/>
    </row>
    <row r="111" spans="2:16" ht="15.75">
      <c r="B111" s="355"/>
      <c r="C111" s="434"/>
      <c r="D111" s="434"/>
      <c r="E111" s="434"/>
      <c r="F111" s="434"/>
      <c r="G111" s="434"/>
      <c r="H111" s="434"/>
      <c r="I111" s="434"/>
      <c r="J111" s="434"/>
      <c r="K111" s="434"/>
      <c r="L111" s="434"/>
      <c r="M111" s="434"/>
      <c r="N111" s="434"/>
      <c r="O111" s="434"/>
      <c r="P111" s="352"/>
    </row>
    <row r="115" spans="1:24" ht="22.5">
      <c r="A115" s="420"/>
      <c r="C115" s="423"/>
      <c r="R115" s="529"/>
      <c r="S115" s="529"/>
      <c r="T115" s="529"/>
      <c r="U115" s="529"/>
      <c r="V115" s="529"/>
      <c r="W115" s="529"/>
      <c r="X115" s="529"/>
    </row>
    <row r="116" spans="1:24">
      <c r="B116" s="649"/>
      <c r="R116" s="529"/>
      <c r="S116" s="529"/>
      <c r="T116" s="529"/>
      <c r="U116" s="529"/>
      <c r="V116" s="529"/>
      <c r="W116" s="529"/>
      <c r="X116" s="529"/>
    </row>
    <row r="117" spans="1:24">
      <c r="R117" s="529"/>
      <c r="S117" s="529"/>
      <c r="T117" s="529"/>
      <c r="U117" s="529"/>
      <c r="V117" s="529"/>
      <c r="W117" s="529"/>
      <c r="X117" s="529"/>
    </row>
    <row r="118" spans="1:24">
      <c r="C118" s="423"/>
      <c r="R118" s="529"/>
      <c r="S118" s="529"/>
      <c r="T118" s="529"/>
      <c r="U118" s="529"/>
      <c r="V118" s="529"/>
      <c r="W118" s="529"/>
      <c r="X118" s="529"/>
    </row>
    <row r="119" spans="1:24" ht="15.75">
      <c r="A119" s="3"/>
      <c r="R119" s="529"/>
      <c r="S119" s="529"/>
      <c r="T119" s="529"/>
      <c r="U119" s="529"/>
      <c r="V119" s="529"/>
      <c r="W119" s="529"/>
      <c r="X119" s="529"/>
    </row>
    <row r="120" spans="1:24" ht="15.75">
      <c r="A120" s="3"/>
      <c r="R120" s="529"/>
      <c r="S120" s="529"/>
      <c r="T120" s="529"/>
      <c r="U120" s="529"/>
      <c r="V120" s="529"/>
      <c r="W120" s="529"/>
      <c r="X120" s="529"/>
    </row>
    <row r="121" spans="1:24" ht="15.75">
      <c r="A121" s="3"/>
      <c r="R121" s="529"/>
      <c r="S121" s="529"/>
      <c r="T121" s="529"/>
      <c r="U121" s="529"/>
      <c r="V121" s="529"/>
      <c r="W121" s="529"/>
      <c r="X121" s="529"/>
    </row>
    <row r="122" spans="1:24" ht="15.75">
      <c r="A122" s="3"/>
      <c r="R122" s="529"/>
      <c r="S122" s="529"/>
      <c r="T122" s="529"/>
      <c r="U122" s="529"/>
      <c r="V122" s="529"/>
      <c r="W122" s="529"/>
      <c r="X122" s="529"/>
    </row>
    <row r="123" spans="1:24" ht="15.75">
      <c r="A123" s="3"/>
      <c r="R123" s="529"/>
      <c r="S123" s="529"/>
      <c r="T123" s="529"/>
      <c r="U123" s="529"/>
      <c r="V123" s="529"/>
      <c r="W123" s="529"/>
      <c r="X123" s="529"/>
    </row>
    <row r="124" spans="1:24">
      <c r="R124" s="529"/>
      <c r="S124" s="529"/>
      <c r="T124" s="529"/>
      <c r="U124" s="529"/>
      <c r="V124" s="529"/>
      <c r="W124" s="529"/>
      <c r="X124" s="529"/>
    </row>
    <row r="125" spans="1:24">
      <c r="R125" s="529"/>
      <c r="S125" s="529"/>
      <c r="T125" s="32"/>
      <c r="U125" s="529"/>
      <c r="V125" s="529"/>
      <c r="W125" s="529"/>
      <c r="X125" s="529"/>
    </row>
    <row r="126" spans="1:24">
      <c r="R126" s="529"/>
      <c r="S126" s="529"/>
      <c r="T126" s="32"/>
      <c r="U126" s="529"/>
      <c r="V126" s="529"/>
      <c r="W126" s="529"/>
      <c r="X126" s="529"/>
    </row>
    <row r="127" spans="1:24">
      <c r="R127" s="529"/>
      <c r="S127" s="529"/>
      <c r="T127" s="32"/>
      <c r="U127" s="529"/>
      <c r="V127" s="529"/>
      <c r="W127" s="529"/>
      <c r="X127" s="529"/>
    </row>
    <row r="128" spans="1:24">
      <c r="T128" s="51"/>
    </row>
    <row r="132" spans="1:25">
      <c r="A132" s="649"/>
    </row>
    <row r="139" spans="1:25">
      <c r="Y139" s="485"/>
    </row>
  </sheetData>
  <pageMargins left="0.7" right="0.7" top="0.75" bottom="0.75" header="0.3" footer="0.3"/>
  <tableParts count="2">
    <tablePart r:id="rId1"/>
    <tablePart r:id="rId2"/>
  </tableParts>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sheetPr>
    <tabColor theme="9"/>
    <outlinePr summaryBelow="0"/>
    <pageSetUpPr autoPageBreaks="0"/>
  </sheetPr>
  <dimension ref="A1:AF125"/>
  <sheetViews>
    <sheetView showGridLines="0" topLeftCell="A29" zoomScale="85" zoomScaleNormal="85" zoomScalePageLayoutView="85" workbookViewId="0">
      <selection activeCell="L39" sqref="L39"/>
    </sheetView>
  </sheetViews>
  <sheetFormatPr defaultColWidth="8.85546875" defaultRowHeight="12.75"/>
  <cols>
    <col min="1" max="1" width="7.7109375" style="2331" customWidth="1"/>
    <col min="2" max="2" width="5.85546875" style="2331" customWidth="1"/>
    <col min="3" max="3" width="20.42578125" style="2331" customWidth="1"/>
    <col min="4" max="4" width="30.7109375" style="2331" customWidth="1"/>
    <col min="5" max="5" width="20.7109375" style="2331" customWidth="1"/>
    <col min="6" max="15" width="17.7109375" style="2331" customWidth="1"/>
    <col min="16" max="16" width="2" style="2331" customWidth="1"/>
    <col min="17" max="17" width="10.85546875" style="2331" customWidth="1"/>
    <col min="18" max="18" width="10.85546875" style="2331" bestFit="1" customWidth="1"/>
    <col min="19" max="19" width="8.85546875" style="2331"/>
    <col min="20" max="20" width="10.85546875" style="2331" bestFit="1" customWidth="1"/>
    <col min="21" max="23" width="8.85546875" style="2331"/>
    <col min="24" max="24" width="9.42578125" style="2331" bestFit="1" customWidth="1"/>
    <col min="25" max="16384" width="8.85546875" style="2331"/>
  </cols>
  <sheetData>
    <row r="1" spans="1:16" ht="21">
      <c r="A1" s="77" t="s">
        <v>63</v>
      </c>
      <c r="B1" s="77" t="str">
        <f>INDEX(Workstreams[Workstream], MATCH($A1, Workstreams[Code], 0))</f>
        <v>National  renewable power generation</v>
      </c>
      <c r="C1" s="77"/>
    </row>
    <row r="2" spans="1:16" s="51" customFormat="1" ht="19.5" customHeight="1">
      <c r="A2" s="6" t="s">
        <v>311</v>
      </c>
      <c r="B2" s="6" t="str">
        <f>INDEX(Modules[Module], MATCH($A2, Modules[Code], 0))</f>
        <v>Solar PV</v>
      </c>
      <c r="C2" s="6"/>
      <c r="E2" s="404"/>
    </row>
    <row r="4" spans="1:16" ht="22.5">
      <c r="A4" s="420"/>
      <c r="B4" s="206" t="s">
        <v>412</v>
      </c>
      <c r="C4" s="175"/>
      <c r="D4" s="175"/>
      <c r="E4" s="175"/>
      <c r="F4" s="175"/>
      <c r="G4" s="175"/>
      <c r="H4" s="175"/>
      <c r="I4" s="175"/>
      <c r="J4" s="175"/>
      <c r="K4" s="175"/>
      <c r="L4" s="175"/>
      <c r="M4" s="175"/>
      <c r="N4" s="175"/>
      <c r="O4" s="175"/>
      <c r="P4" s="177"/>
    </row>
    <row r="5" spans="1:16">
      <c r="B5" s="164"/>
      <c r="C5" s="166"/>
      <c r="D5" s="166"/>
      <c r="E5" s="166"/>
      <c r="F5" s="166"/>
      <c r="G5" s="166"/>
      <c r="H5" s="166"/>
      <c r="I5" s="166"/>
      <c r="J5" s="166"/>
      <c r="K5" s="166"/>
      <c r="L5" s="166"/>
      <c r="M5" s="166"/>
      <c r="N5" s="166"/>
      <c r="O5" s="166"/>
      <c r="P5" s="168"/>
    </row>
    <row r="6" spans="1:16" ht="5.25" customHeight="1">
      <c r="B6" s="164"/>
      <c r="C6" s="165"/>
      <c r="D6" s="166"/>
      <c r="E6" s="167"/>
      <c r="F6" s="166"/>
      <c r="G6" s="166"/>
      <c r="H6" s="166"/>
      <c r="I6" s="166"/>
      <c r="J6" s="166"/>
      <c r="K6" s="166"/>
      <c r="L6" s="166"/>
      <c r="M6" s="166"/>
      <c r="N6" s="166"/>
      <c r="O6" s="166"/>
      <c r="P6" s="168"/>
    </row>
    <row r="7" spans="1:16" ht="15.75">
      <c r="B7" s="169"/>
      <c r="C7" s="166"/>
      <c r="D7" s="118" t="s">
        <v>274</v>
      </c>
      <c r="E7" s="118" t="s">
        <v>411</v>
      </c>
      <c r="F7" s="166"/>
      <c r="G7" s="166"/>
      <c r="H7" s="166"/>
      <c r="I7" s="166"/>
      <c r="J7" s="166"/>
      <c r="K7" s="166"/>
      <c r="L7" s="166"/>
      <c r="M7" s="166"/>
      <c r="N7" s="166"/>
      <c r="O7" s="166"/>
      <c r="P7" s="168"/>
    </row>
    <row r="8" spans="1:16" ht="15.75">
      <c r="B8" s="169"/>
      <c r="C8" s="166"/>
      <c r="D8" s="127" t="s">
        <v>414</v>
      </c>
      <c r="E8" s="127">
        <f>IV.a.scenario</f>
        <v>1</v>
      </c>
      <c r="F8" s="166"/>
      <c r="G8" s="166"/>
      <c r="H8" s="166"/>
      <c r="I8" s="166"/>
      <c r="J8" s="166"/>
      <c r="K8" s="166"/>
      <c r="L8" s="166"/>
      <c r="M8" s="166"/>
      <c r="N8" s="166"/>
      <c r="O8" s="166"/>
      <c r="P8" s="168"/>
    </row>
    <row r="9" spans="1:16">
      <c r="B9" s="182"/>
      <c r="C9" s="172"/>
      <c r="D9" s="172"/>
      <c r="E9" s="172"/>
      <c r="F9" s="172"/>
      <c r="G9" s="172"/>
      <c r="H9" s="172"/>
      <c r="I9" s="172"/>
      <c r="J9" s="172"/>
      <c r="K9" s="172"/>
      <c r="L9" s="172"/>
      <c r="M9" s="172"/>
      <c r="N9" s="172"/>
      <c r="O9" s="172"/>
      <c r="P9" s="173"/>
    </row>
    <row r="11" spans="1:16" ht="22.5">
      <c r="A11" s="420"/>
      <c r="B11" s="421" t="s">
        <v>413</v>
      </c>
      <c r="C11" s="159"/>
      <c r="D11" s="159"/>
      <c r="E11" s="159"/>
      <c r="F11" s="159"/>
      <c r="G11" s="159"/>
      <c r="H11" s="159"/>
      <c r="I11" s="159"/>
      <c r="J11" s="159"/>
      <c r="K11" s="159"/>
      <c r="L11" s="159"/>
      <c r="M11" s="159"/>
      <c r="N11" s="159"/>
      <c r="O11" s="159"/>
      <c r="P11" s="160"/>
    </row>
    <row r="12" spans="1:16">
      <c r="B12" s="418"/>
      <c r="C12" s="415"/>
      <c r="D12" s="415"/>
      <c r="E12" s="415"/>
      <c r="F12" s="415"/>
      <c r="G12" s="415"/>
      <c r="H12" s="415"/>
      <c r="I12" s="415"/>
      <c r="J12" s="415"/>
      <c r="K12" s="415"/>
      <c r="L12" s="415"/>
      <c r="M12" s="415"/>
      <c r="N12" s="415"/>
      <c r="O12" s="415"/>
      <c r="P12" s="419"/>
    </row>
    <row r="13" spans="1:16">
      <c r="B13" s="418"/>
      <c r="C13" s="416" t="s">
        <v>1726</v>
      </c>
      <c r="D13" s="415"/>
      <c r="E13" s="104"/>
      <c r="F13" s="415"/>
      <c r="G13" s="415"/>
      <c r="H13" s="415"/>
      <c r="I13" s="415"/>
      <c r="J13" s="415"/>
      <c r="K13" s="415"/>
      <c r="L13" s="415"/>
      <c r="M13" s="415"/>
      <c r="N13" s="415"/>
      <c r="O13" s="104" t="str">
        <f>Preferences.PowerUnits&amp;"/ five year plan"</f>
        <v>GW/ five year plan</v>
      </c>
      <c r="P13" s="419"/>
    </row>
    <row r="14" spans="1:16" ht="5.25" customHeight="1">
      <c r="B14" s="418"/>
      <c r="C14" s="415"/>
      <c r="D14" s="415"/>
      <c r="E14" s="415"/>
      <c r="F14" s="415"/>
      <c r="G14" s="415"/>
      <c r="H14" s="415"/>
      <c r="I14" s="415"/>
      <c r="J14" s="415"/>
      <c r="K14" s="415"/>
      <c r="L14" s="415"/>
      <c r="M14" s="415"/>
      <c r="N14" s="415"/>
      <c r="O14" s="415"/>
      <c r="P14" s="419"/>
    </row>
    <row r="15" spans="1:16" ht="15.75">
      <c r="B15" s="152"/>
      <c r="C15" s="61" t="s">
        <v>411</v>
      </c>
      <c r="D15" s="61" t="s">
        <v>65</v>
      </c>
      <c r="E15" s="61" t="s">
        <v>156</v>
      </c>
      <c r="F15" s="119">
        <v>2007</v>
      </c>
      <c r="G15" s="120">
        <f>F15+5</f>
        <v>2012</v>
      </c>
      <c r="H15" s="120">
        <f t="shared" ref="H15:O15" si="0">G15+5</f>
        <v>2017</v>
      </c>
      <c r="I15" s="120">
        <f t="shared" si="0"/>
        <v>2022</v>
      </c>
      <c r="J15" s="120">
        <f t="shared" si="0"/>
        <v>2027</v>
      </c>
      <c r="K15" s="120">
        <f t="shared" si="0"/>
        <v>2032</v>
      </c>
      <c r="L15" s="120">
        <f t="shared" si="0"/>
        <v>2037</v>
      </c>
      <c r="M15" s="120">
        <f t="shared" si="0"/>
        <v>2042</v>
      </c>
      <c r="N15" s="120">
        <f t="shared" si="0"/>
        <v>2047</v>
      </c>
      <c r="O15" s="120">
        <f t="shared" si="0"/>
        <v>2052</v>
      </c>
      <c r="P15" s="419"/>
    </row>
    <row r="16" spans="1:16" ht="15.75">
      <c r="B16" s="153"/>
      <c r="C16" s="413">
        <v>1</v>
      </c>
      <c r="D16" s="414"/>
      <c r="E16" s="96"/>
      <c r="F16" s="415">
        <f>0*(Unit.MW)</f>
        <v>0</v>
      </c>
      <c r="G16" s="669">
        <f>941*(Unit.MW)</f>
        <v>0.94100000000000006</v>
      </c>
      <c r="H16" s="415">
        <f>4000*(Unit.MW)</f>
        <v>4</v>
      </c>
      <c r="I16" s="415">
        <f>6000*(Unit.MW)</f>
        <v>6</v>
      </c>
      <c r="J16" s="415">
        <f>8000*(Unit.MW)</f>
        <v>8</v>
      </c>
      <c r="K16" s="415">
        <f>8000*(Unit.MW)</f>
        <v>8</v>
      </c>
      <c r="L16" s="415">
        <f>7000*(Unit.MW)</f>
        <v>7</v>
      </c>
      <c r="M16" s="415">
        <f>5000*(Unit.MW)</f>
        <v>5</v>
      </c>
      <c r="N16" s="415">
        <f>3000*(Unit.MW)</f>
        <v>3</v>
      </c>
      <c r="O16" s="415">
        <f>1000*(Unit.MW)</f>
        <v>1</v>
      </c>
      <c r="P16" s="722"/>
    </row>
    <row r="17" spans="2:16" ht="15.75">
      <c r="B17" s="152"/>
      <c r="C17" s="413">
        <v>2</v>
      </c>
      <c r="D17" s="414"/>
      <c r="E17" s="414"/>
      <c r="F17" s="415">
        <f>0*(Unit.MW)</f>
        <v>0</v>
      </c>
      <c r="G17" s="669">
        <f>941*(Unit.MW)</f>
        <v>0.94100000000000006</v>
      </c>
      <c r="H17" s="415">
        <f>7000*(Unit.MW)</f>
        <v>7</v>
      </c>
      <c r="I17" s="415">
        <f>10000*(Unit.MW)</f>
        <v>10</v>
      </c>
      <c r="J17" s="415">
        <f>15000*(Unit.MW)</f>
        <v>15</v>
      </c>
      <c r="K17" s="415">
        <f>20000*(Unit.MW)</f>
        <v>20</v>
      </c>
      <c r="L17" s="415">
        <f>30000*(Unit.MW)</f>
        <v>30</v>
      </c>
      <c r="M17" s="415">
        <f>35000*(Unit.MW)</f>
        <v>35</v>
      </c>
      <c r="N17" s="415">
        <f>40000*(Unit.MW)</f>
        <v>40</v>
      </c>
      <c r="O17" s="415">
        <f>40000*(Unit.MW)</f>
        <v>40</v>
      </c>
      <c r="P17" s="419"/>
    </row>
    <row r="18" spans="2:16" ht="15.75">
      <c r="B18" s="152"/>
      <c r="C18" s="413">
        <v>3</v>
      </c>
      <c r="D18" s="414"/>
      <c r="E18" s="414"/>
      <c r="F18" s="415">
        <f>0*(Unit.MW)</f>
        <v>0</v>
      </c>
      <c r="G18" s="669">
        <f>941*(Unit.MW)</f>
        <v>0.94100000000000006</v>
      </c>
      <c r="H18" s="415">
        <f>7650*(Unit.MW)</f>
        <v>7.65</v>
      </c>
      <c r="I18" s="415">
        <f>13000*(Unit.MW)</f>
        <v>13</v>
      </c>
      <c r="J18" s="415">
        <f>20000*(Unit.MW)</f>
        <v>20</v>
      </c>
      <c r="K18" s="415">
        <f>35000*(Unit.MW)</f>
        <v>35</v>
      </c>
      <c r="L18" s="415">
        <f>45000*(Unit.MW)</f>
        <v>45</v>
      </c>
      <c r="M18" s="415">
        <f>60000*(Unit.MW)</f>
        <v>60</v>
      </c>
      <c r="N18" s="415">
        <f>75000*(Unit.MW)</f>
        <v>75</v>
      </c>
      <c r="O18" s="415">
        <f>100000*(Unit.MW)</f>
        <v>100</v>
      </c>
      <c r="P18" s="419"/>
    </row>
    <row r="19" spans="2:16" ht="15.75">
      <c r="B19" s="152"/>
      <c r="C19" s="411">
        <v>4</v>
      </c>
      <c r="D19" s="65"/>
      <c r="E19" s="65"/>
      <c r="F19" s="415">
        <f>0*(Unit.MW)</f>
        <v>0</v>
      </c>
      <c r="G19" s="669">
        <f>941*(Unit.MW)</f>
        <v>0.94100000000000006</v>
      </c>
      <c r="H19" s="415">
        <f>11000*(Unit.MW)</f>
        <v>11</v>
      </c>
      <c r="I19" s="415">
        <f>15000*(Unit.MW)</f>
        <v>15</v>
      </c>
      <c r="J19" s="415">
        <f>35000*(Unit.MW)</f>
        <v>35</v>
      </c>
      <c r="K19" s="415">
        <f>50000*(Unit.MW)</f>
        <v>50</v>
      </c>
      <c r="L19" s="415">
        <f>70000*(Unit.MW)</f>
        <v>70</v>
      </c>
      <c r="M19" s="415">
        <f>100000*(Unit.MW)</f>
        <v>100</v>
      </c>
      <c r="N19" s="415">
        <f>150000*(Unit.MW)</f>
        <v>150</v>
      </c>
      <c r="O19" s="415">
        <f>200000*(Unit.MW)</f>
        <v>200</v>
      </c>
      <c r="P19" s="419"/>
    </row>
    <row r="20" spans="2:16" ht="15.75">
      <c r="B20" s="152"/>
      <c r="C20" s="406" t="s">
        <v>406</v>
      </c>
      <c r="D20" s="407"/>
      <c r="E20" s="407"/>
      <c r="F20" s="408">
        <f>(INDEX(F$16:F$19,ROUNDDOWN($E$8,0))*(1-MOD($E$8,1)))+(INDEX(F$16:F$19,ROUNDUP($E$8,0))*MOD($E$8,1))</f>
        <v>0</v>
      </c>
      <c r="G20" s="610">
        <f t="shared" ref="G20:O20" si="1">(INDEX(G$16:G$19,ROUNDDOWN($E$8,0))*(1-MOD($E$8,1)))+(INDEX(G$16:G$19,ROUNDUP($E$8,0))*MOD($E$8,1))</f>
        <v>0.94100000000000006</v>
      </c>
      <c r="H20" s="408">
        <f t="shared" si="1"/>
        <v>4</v>
      </c>
      <c r="I20" s="408">
        <f t="shared" si="1"/>
        <v>6</v>
      </c>
      <c r="J20" s="408">
        <f t="shared" si="1"/>
        <v>8</v>
      </c>
      <c r="K20" s="408">
        <f t="shared" si="1"/>
        <v>8</v>
      </c>
      <c r="L20" s="408">
        <f t="shared" si="1"/>
        <v>7</v>
      </c>
      <c r="M20" s="408">
        <f t="shared" si="1"/>
        <v>5</v>
      </c>
      <c r="N20" s="408">
        <f t="shared" si="1"/>
        <v>3</v>
      </c>
      <c r="O20" s="408">
        <f t="shared" si="1"/>
        <v>1</v>
      </c>
      <c r="P20" s="419"/>
    </row>
    <row r="21" spans="2:16">
      <c r="B21" s="155"/>
      <c r="C21" s="415"/>
      <c r="D21" s="105"/>
      <c r="E21" s="415"/>
      <c r="F21" s="415"/>
      <c r="G21" s="611"/>
      <c r="H21" s="611"/>
      <c r="I21" s="611"/>
      <c r="J21" s="611"/>
      <c r="K21" s="611"/>
      <c r="L21" s="611"/>
      <c r="M21" s="611"/>
      <c r="N21" s="611"/>
      <c r="O21" s="611"/>
      <c r="P21" s="419"/>
    </row>
    <row r="22" spans="2:16">
      <c r="B22" s="155"/>
      <c r="C22" s="415" t="s">
        <v>229</v>
      </c>
      <c r="D22" s="105"/>
      <c r="E22" s="415"/>
      <c r="F22" s="415"/>
      <c r="G22" s="415"/>
      <c r="H22" s="415"/>
      <c r="I22" s="415"/>
      <c r="J22" s="415"/>
      <c r="K22" s="415"/>
      <c r="L22" s="415"/>
      <c r="M22" s="415"/>
      <c r="N22" s="415"/>
      <c r="O22" s="415"/>
      <c r="P22" s="419"/>
    </row>
    <row r="23" spans="2:16">
      <c r="B23" s="155"/>
      <c r="C23" s="104" t="s">
        <v>94</v>
      </c>
      <c r="D23" s="105" t="s">
        <v>838</v>
      </c>
      <c r="E23" s="415"/>
      <c r="F23" s="415"/>
      <c r="G23" s="415"/>
      <c r="H23" s="415"/>
      <c r="I23" s="415"/>
      <c r="J23" s="415"/>
      <c r="K23" s="415"/>
      <c r="L23" s="415"/>
      <c r="M23" s="415"/>
      <c r="N23" s="415"/>
      <c r="O23" s="415"/>
      <c r="P23" s="419"/>
    </row>
    <row r="24" spans="2:16">
      <c r="B24" s="155"/>
      <c r="C24" s="104"/>
      <c r="D24" s="105"/>
      <c r="E24" s="415"/>
      <c r="F24" s="415"/>
      <c r="G24" s="415"/>
      <c r="H24" s="415"/>
      <c r="I24" s="415"/>
      <c r="J24" s="415"/>
      <c r="K24" s="415"/>
      <c r="L24" s="415"/>
      <c r="M24" s="415"/>
      <c r="N24" s="415"/>
      <c r="O24" s="415"/>
      <c r="P24" s="419"/>
    </row>
    <row r="25" spans="2:16">
      <c r="B25" s="155"/>
      <c r="C25" s="416" t="s">
        <v>1727</v>
      </c>
      <c r="D25" s="415"/>
      <c r="E25" s="104"/>
      <c r="F25" s="415"/>
      <c r="G25" s="415"/>
      <c r="H25" s="415"/>
      <c r="I25" s="415"/>
      <c r="J25" s="415"/>
      <c r="K25" s="415"/>
      <c r="L25" s="415"/>
      <c r="M25" s="415"/>
      <c r="N25" s="415"/>
      <c r="O25" s="104" t="str">
        <f>Preferences.PowerUnits&amp;"/ five year plan"</f>
        <v>GW/ five year plan</v>
      </c>
      <c r="P25" s="419"/>
    </row>
    <row r="26" spans="2:16">
      <c r="B26" s="155"/>
      <c r="C26" s="415"/>
      <c r="D26" s="415"/>
      <c r="E26" s="415"/>
      <c r="F26" s="415"/>
      <c r="G26" s="415"/>
      <c r="H26" s="415"/>
      <c r="I26" s="415"/>
      <c r="J26" s="415"/>
      <c r="K26" s="415"/>
      <c r="L26" s="415"/>
      <c r="M26" s="415"/>
      <c r="N26" s="415"/>
      <c r="O26" s="415"/>
      <c r="P26" s="419"/>
    </row>
    <row r="27" spans="2:16">
      <c r="B27" s="155"/>
      <c r="C27" s="61" t="s">
        <v>411</v>
      </c>
      <c r="D27" s="61" t="s">
        <v>65</v>
      </c>
      <c r="E27" s="61" t="s">
        <v>156</v>
      </c>
      <c r="F27" s="119">
        <v>2007</v>
      </c>
      <c r="G27" s="120">
        <f>F27+5</f>
        <v>2012</v>
      </c>
      <c r="H27" s="120">
        <f t="shared" ref="H27:O27" si="2">G27+5</f>
        <v>2017</v>
      </c>
      <c r="I27" s="120">
        <f t="shared" si="2"/>
        <v>2022</v>
      </c>
      <c r="J27" s="120">
        <f t="shared" si="2"/>
        <v>2027</v>
      </c>
      <c r="K27" s="120">
        <f t="shared" si="2"/>
        <v>2032</v>
      </c>
      <c r="L27" s="120">
        <f t="shared" si="2"/>
        <v>2037</v>
      </c>
      <c r="M27" s="120">
        <f t="shared" si="2"/>
        <v>2042</v>
      </c>
      <c r="N27" s="120">
        <f t="shared" si="2"/>
        <v>2047</v>
      </c>
      <c r="O27" s="120">
        <f t="shared" si="2"/>
        <v>2052</v>
      </c>
      <c r="P27" s="419"/>
    </row>
    <row r="28" spans="2:16">
      <c r="B28" s="155"/>
      <c r="C28" s="413">
        <v>1</v>
      </c>
      <c r="D28" s="414"/>
      <c r="E28" s="96"/>
      <c r="F28" s="415">
        <f t="shared" ref="F28:K31" si="3">((0*(Unit.MW)))</f>
        <v>0</v>
      </c>
      <c r="G28" s="415">
        <f t="shared" si="3"/>
        <v>0</v>
      </c>
      <c r="H28" s="415">
        <f t="shared" si="3"/>
        <v>0</v>
      </c>
      <c r="I28" s="415">
        <f t="shared" si="3"/>
        <v>0</v>
      </c>
      <c r="J28" s="415">
        <f t="shared" si="3"/>
        <v>0</v>
      </c>
      <c r="K28" s="415">
        <f t="shared" si="3"/>
        <v>0</v>
      </c>
      <c r="L28" s="415">
        <f>0*(Unit.MW)</f>
        <v>0</v>
      </c>
      <c r="M28" s="415">
        <f>-941*(Unit.MW)</f>
        <v>-0.94100000000000006</v>
      </c>
      <c r="N28" s="415">
        <f>-4000*(Unit.MW)</f>
        <v>-4</v>
      </c>
      <c r="O28" s="415">
        <f>-6000*(Unit.MW)</f>
        <v>-6</v>
      </c>
      <c r="P28" s="419"/>
    </row>
    <row r="29" spans="2:16">
      <c r="B29" s="155"/>
      <c r="C29" s="413">
        <v>2</v>
      </c>
      <c r="D29" s="414"/>
      <c r="E29" s="414"/>
      <c r="F29" s="415">
        <f t="shared" si="3"/>
        <v>0</v>
      </c>
      <c r="G29" s="415">
        <f t="shared" si="3"/>
        <v>0</v>
      </c>
      <c r="H29" s="415">
        <f t="shared" si="3"/>
        <v>0</v>
      </c>
      <c r="I29" s="415">
        <f t="shared" si="3"/>
        <v>0</v>
      </c>
      <c r="J29" s="415">
        <f t="shared" si="3"/>
        <v>0</v>
      </c>
      <c r="K29" s="415">
        <f t="shared" si="3"/>
        <v>0</v>
      </c>
      <c r="L29" s="415">
        <f>0*(Unit.MW)</f>
        <v>0</v>
      </c>
      <c r="M29" s="415">
        <f>-941*(Unit.MW)</f>
        <v>-0.94100000000000006</v>
      </c>
      <c r="N29" s="415">
        <f>-7000*(Unit.MW)</f>
        <v>-7</v>
      </c>
      <c r="O29" s="415">
        <f>-10000*(Unit.MW)</f>
        <v>-10</v>
      </c>
      <c r="P29" s="419"/>
    </row>
    <row r="30" spans="2:16">
      <c r="B30" s="155"/>
      <c r="C30" s="413">
        <v>3</v>
      </c>
      <c r="D30" s="414"/>
      <c r="E30" s="414"/>
      <c r="F30" s="415">
        <f t="shared" si="3"/>
        <v>0</v>
      </c>
      <c r="G30" s="415">
        <f t="shared" si="3"/>
        <v>0</v>
      </c>
      <c r="H30" s="415">
        <f t="shared" si="3"/>
        <v>0</v>
      </c>
      <c r="I30" s="415">
        <f t="shared" si="3"/>
        <v>0</v>
      </c>
      <c r="J30" s="415">
        <f t="shared" si="3"/>
        <v>0</v>
      </c>
      <c r="K30" s="415">
        <f t="shared" si="3"/>
        <v>0</v>
      </c>
      <c r="L30" s="415">
        <f>0*(Unit.MW)</f>
        <v>0</v>
      </c>
      <c r="M30" s="415">
        <f>-941*(Unit.MW)</f>
        <v>-0.94100000000000006</v>
      </c>
      <c r="N30" s="415">
        <f>-7650*(Unit.MW)</f>
        <v>-7.65</v>
      </c>
      <c r="O30" s="415">
        <f>-13000*(Unit.MW)</f>
        <v>-13</v>
      </c>
      <c r="P30" s="419"/>
    </row>
    <row r="31" spans="2:16">
      <c r="B31" s="155"/>
      <c r="C31" s="411">
        <v>4</v>
      </c>
      <c r="D31" s="65"/>
      <c r="E31" s="65"/>
      <c r="F31" s="415">
        <f t="shared" si="3"/>
        <v>0</v>
      </c>
      <c r="G31" s="415">
        <f t="shared" si="3"/>
        <v>0</v>
      </c>
      <c r="H31" s="415">
        <f t="shared" si="3"/>
        <v>0</v>
      </c>
      <c r="I31" s="415">
        <f t="shared" si="3"/>
        <v>0</v>
      </c>
      <c r="J31" s="415">
        <f t="shared" si="3"/>
        <v>0</v>
      </c>
      <c r="K31" s="415">
        <f t="shared" si="3"/>
        <v>0</v>
      </c>
      <c r="L31" s="415">
        <f>0*(Unit.MW)</f>
        <v>0</v>
      </c>
      <c r="M31" s="415">
        <f>-941*(Unit.MW)</f>
        <v>-0.94100000000000006</v>
      </c>
      <c r="N31" s="415">
        <f>-11000*(Unit.MW)</f>
        <v>-11</v>
      </c>
      <c r="O31" s="415">
        <f>-15000*(Unit.MW)</f>
        <v>-15</v>
      </c>
      <c r="P31" s="419"/>
    </row>
    <row r="32" spans="2:16">
      <c r="B32" s="155"/>
      <c r="C32" s="406" t="s">
        <v>406</v>
      </c>
      <c r="D32" s="407"/>
      <c r="E32" s="407"/>
      <c r="F32" s="408"/>
      <c r="G32" s="408">
        <f t="shared" ref="G32:O32" si="4">(INDEX(G$28:G$31,ROUNDDOWN($E$8,0))*(1-MOD($E$8,1)))+(INDEX(G$28:G$31,ROUNDUP($E$8,0))*MOD($E$8,1))</f>
        <v>0</v>
      </c>
      <c r="H32" s="408">
        <f t="shared" si="4"/>
        <v>0</v>
      </c>
      <c r="I32" s="408">
        <f t="shared" si="4"/>
        <v>0</v>
      </c>
      <c r="J32" s="408">
        <f t="shared" si="4"/>
        <v>0</v>
      </c>
      <c r="K32" s="408">
        <f t="shared" si="4"/>
        <v>0</v>
      </c>
      <c r="L32" s="408">
        <f t="shared" si="4"/>
        <v>0</v>
      </c>
      <c r="M32" s="408">
        <f t="shared" si="4"/>
        <v>-0.94100000000000006</v>
      </c>
      <c r="N32" s="408">
        <f t="shared" si="4"/>
        <v>-4</v>
      </c>
      <c r="O32" s="408">
        <f t="shared" si="4"/>
        <v>-6</v>
      </c>
      <c r="P32" s="408"/>
    </row>
    <row r="33" spans="2:16">
      <c r="B33" s="155"/>
      <c r="C33" s="104"/>
      <c r="D33" s="105"/>
      <c r="E33" s="415"/>
      <c r="F33" s="415"/>
      <c r="G33" s="415"/>
      <c r="H33" s="415"/>
      <c r="I33" s="415"/>
      <c r="J33" s="415"/>
      <c r="K33" s="415"/>
      <c r="L33" s="415"/>
      <c r="M33" s="415"/>
      <c r="N33" s="415"/>
      <c r="O33" s="415"/>
      <c r="P33" s="419"/>
    </row>
    <row r="34" spans="2:16">
      <c r="B34" s="155"/>
      <c r="C34" s="416" t="s">
        <v>1728</v>
      </c>
      <c r="D34" s="415"/>
      <c r="E34" s="104"/>
      <c r="F34" s="415"/>
      <c r="G34" s="415"/>
      <c r="H34" s="415"/>
      <c r="I34" s="415"/>
      <c r="J34" s="415"/>
      <c r="K34" s="415"/>
      <c r="L34" s="415"/>
      <c r="M34" s="415"/>
      <c r="N34" s="415"/>
      <c r="O34" s="104" t="str">
        <f>Preferences.PowerUnits&amp;"/ five year plan"</f>
        <v>GW/ five year plan</v>
      </c>
      <c r="P34" s="419"/>
    </row>
    <row r="35" spans="2:16">
      <c r="B35" s="155"/>
      <c r="C35" s="415"/>
      <c r="D35" s="415"/>
      <c r="E35" s="415"/>
      <c r="F35" s="415"/>
      <c r="G35" s="415"/>
      <c r="H35" s="415"/>
      <c r="I35" s="415"/>
      <c r="J35" s="415"/>
      <c r="K35" s="415"/>
      <c r="L35" s="415"/>
      <c r="M35" s="415"/>
      <c r="N35" s="415"/>
      <c r="O35" s="415"/>
      <c r="P35" s="419"/>
    </row>
    <row r="36" spans="2:16">
      <c r="B36" s="155"/>
      <c r="C36" s="61" t="s">
        <v>411</v>
      </c>
      <c r="D36" s="61" t="s">
        <v>65</v>
      </c>
      <c r="E36" s="61" t="s">
        <v>156</v>
      </c>
      <c r="F36" s="119">
        <v>2007</v>
      </c>
      <c r="G36" s="120">
        <f>F36+5</f>
        <v>2012</v>
      </c>
      <c r="H36" s="120">
        <f t="shared" ref="H36:O36" si="5">G36+5</f>
        <v>2017</v>
      </c>
      <c r="I36" s="120">
        <f t="shared" si="5"/>
        <v>2022</v>
      </c>
      <c r="J36" s="120">
        <f t="shared" si="5"/>
        <v>2027</v>
      </c>
      <c r="K36" s="120">
        <f t="shared" si="5"/>
        <v>2032</v>
      </c>
      <c r="L36" s="120">
        <f t="shared" si="5"/>
        <v>2037</v>
      </c>
      <c r="M36" s="120">
        <f t="shared" si="5"/>
        <v>2042</v>
      </c>
      <c r="N36" s="120">
        <f t="shared" si="5"/>
        <v>2047</v>
      </c>
      <c r="O36" s="120">
        <f t="shared" si="5"/>
        <v>2052</v>
      </c>
      <c r="P36" s="419"/>
    </row>
    <row r="37" spans="2:16">
      <c r="B37" s="155"/>
      <c r="C37" s="413">
        <v>1</v>
      </c>
      <c r="D37" s="414"/>
      <c r="E37" s="96"/>
      <c r="F37" s="415">
        <f>F28+F16</f>
        <v>0</v>
      </c>
      <c r="G37" s="669">
        <f>G28+G16+F37</f>
        <v>0.94100000000000006</v>
      </c>
      <c r="H37" s="669">
        <f t="shared" ref="H37:O37" si="6">H28+H16+G37</f>
        <v>4.9409999999999998</v>
      </c>
      <c r="I37" s="669">
        <f t="shared" si="6"/>
        <v>10.940999999999999</v>
      </c>
      <c r="J37" s="669">
        <f t="shared" si="6"/>
        <v>18.940999999999999</v>
      </c>
      <c r="K37" s="669">
        <f t="shared" si="6"/>
        <v>26.940999999999999</v>
      </c>
      <c r="L37" s="669">
        <f t="shared" si="6"/>
        <v>33.941000000000003</v>
      </c>
      <c r="M37" s="669">
        <f t="shared" si="6"/>
        <v>38</v>
      </c>
      <c r="N37" s="669">
        <f t="shared" si="6"/>
        <v>37</v>
      </c>
      <c r="O37" s="669">
        <f t="shared" si="6"/>
        <v>32</v>
      </c>
      <c r="P37" s="419"/>
    </row>
    <row r="38" spans="2:16">
      <c r="B38" s="155"/>
      <c r="C38" s="413">
        <v>2</v>
      </c>
      <c r="D38" s="414"/>
      <c r="E38" s="414"/>
      <c r="F38" s="415">
        <f>F29+F17</f>
        <v>0</v>
      </c>
      <c r="G38" s="669">
        <f t="shared" ref="G38:O40" si="7">G29+G17+F38</f>
        <v>0.94100000000000006</v>
      </c>
      <c r="H38" s="669">
        <f t="shared" si="7"/>
        <v>7.9409999999999998</v>
      </c>
      <c r="I38" s="669">
        <f t="shared" si="7"/>
        <v>17.940999999999999</v>
      </c>
      <c r="J38" s="669">
        <f t="shared" si="7"/>
        <v>32.941000000000003</v>
      </c>
      <c r="K38" s="669">
        <f t="shared" si="7"/>
        <v>52.941000000000003</v>
      </c>
      <c r="L38" s="669">
        <f t="shared" si="7"/>
        <v>82.941000000000003</v>
      </c>
      <c r="M38" s="669">
        <f t="shared" si="7"/>
        <v>117</v>
      </c>
      <c r="N38" s="669">
        <f t="shared" si="7"/>
        <v>150</v>
      </c>
      <c r="O38" s="669">
        <f t="shared" si="7"/>
        <v>180</v>
      </c>
      <c r="P38" s="419"/>
    </row>
    <row r="39" spans="2:16">
      <c r="B39" s="155"/>
      <c r="C39" s="413">
        <v>3</v>
      </c>
      <c r="D39" s="414"/>
      <c r="E39" s="414"/>
      <c r="F39" s="415">
        <f>F30+F18</f>
        <v>0</v>
      </c>
      <c r="G39" s="669">
        <f t="shared" si="7"/>
        <v>0.94100000000000006</v>
      </c>
      <c r="H39" s="669">
        <f t="shared" si="7"/>
        <v>8.5910000000000011</v>
      </c>
      <c r="I39" s="669">
        <f t="shared" si="7"/>
        <v>21.591000000000001</v>
      </c>
      <c r="J39" s="669">
        <f t="shared" si="7"/>
        <v>41.591000000000001</v>
      </c>
      <c r="K39" s="669">
        <f t="shared" si="7"/>
        <v>76.591000000000008</v>
      </c>
      <c r="L39" s="669">
        <f t="shared" si="7"/>
        <v>121.59100000000001</v>
      </c>
      <c r="M39" s="669">
        <f t="shared" si="7"/>
        <v>180.65</v>
      </c>
      <c r="N39" s="669">
        <f t="shared" si="7"/>
        <v>248</v>
      </c>
      <c r="O39" s="669">
        <f t="shared" si="7"/>
        <v>335</v>
      </c>
      <c r="P39" s="419"/>
    </row>
    <row r="40" spans="2:16">
      <c r="B40" s="155"/>
      <c r="C40" s="411">
        <v>4</v>
      </c>
      <c r="D40" s="65"/>
      <c r="E40" s="65"/>
      <c r="F40" s="415">
        <f>F31+F19</f>
        <v>0</v>
      </c>
      <c r="G40" s="669">
        <f t="shared" si="7"/>
        <v>0.94100000000000006</v>
      </c>
      <c r="H40" s="669">
        <f t="shared" si="7"/>
        <v>11.941000000000001</v>
      </c>
      <c r="I40" s="669">
        <f t="shared" si="7"/>
        <v>26.941000000000003</v>
      </c>
      <c r="J40" s="669">
        <f t="shared" si="7"/>
        <v>61.941000000000003</v>
      </c>
      <c r="K40" s="669">
        <f t="shared" si="7"/>
        <v>111.941</v>
      </c>
      <c r="L40" s="669">
        <f t="shared" si="7"/>
        <v>181.941</v>
      </c>
      <c r="M40" s="669">
        <f t="shared" si="7"/>
        <v>281</v>
      </c>
      <c r="N40" s="669">
        <f t="shared" si="7"/>
        <v>420</v>
      </c>
      <c r="O40" s="669">
        <f t="shared" si="7"/>
        <v>605</v>
      </c>
      <c r="P40" s="419"/>
    </row>
    <row r="41" spans="2:16">
      <c r="B41" s="155"/>
      <c r="C41" s="406" t="s">
        <v>406</v>
      </c>
      <c r="D41" s="407"/>
      <c r="E41" s="407"/>
      <c r="F41" s="717">
        <f>(INDEX(F$37:F$40,ROUNDDOWN($E$8,0))*(1-MOD($E$8,1)))+(INDEX(F$37:F$40,ROUNDUP($E$8,0))*MOD($E$8,1))</f>
        <v>0</v>
      </c>
      <c r="G41" s="717">
        <f t="shared" ref="G41:O41" si="8">(INDEX(G$37:G$40,ROUNDDOWN($E$8,0))*(1-MOD($E$8,1)))+(INDEX(G$37:G$40,ROUNDUP($E$8,0))*MOD($E$8,1))</f>
        <v>0.94100000000000006</v>
      </c>
      <c r="H41" s="717">
        <f t="shared" si="8"/>
        <v>4.9409999999999998</v>
      </c>
      <c r="I41" s="717">
        <f t="shared" si="8"/>
        <v>10.940999999999999</v>
      </c>
      <c r="J41" s="717">
        <f t="shared" si="8"/>
        <v>18.940999999999999</v>
      </c>
      <c r="K41" s="717">
        <f t="shared" si="8"/>
        <v>26.940999999999999</v>
      </c>
      <c r="L41" s="717">
        <f t="shared" si="8"/>
        <v>33.941000000000003</v>
      </c>
      <c r="M41" s="717">
        <f t="shared" si="8"/>
        <v>38</v>
      </c>
      <c r="N41" s="717">
        <f t="shared" si="8"/>
        <v>37</v>
      </c>
      <c r="O41" s="717">
        <f t="shared" si="8"/>
        <v>32</v>
      </c>
      <c r="P41" s="670"/>
    </row>
    <row r="42" spans="2:16">
      <c r="B42" s="155"/>
      <c r="C42" s="104"/>
      <c r="D42" s="105"/>
      <c r="E42" s="415"/>
      <c r="F42" s="415"/>
      <c r="G42" s="415"/>
      <c r="H42" s="415"/>
      <c r="I42" s="415"/>
      <c r="J42" s="415"/>
      <c r="K42" s="415"/>
      <c r="L42" s="415"/>
      <c r="M42" s="415"/>
      <c r="N42" s="415"/>
      <c r="O42" s="415"/>
      <c r="P42" s="419"/>
    </row>
    <row r="43" spans="2:16">
      <c r="B43" s="155"/>
      <c r="C43" s="416" t="s">
        <v>1872</v>
      </c>
      <c r="D43" s="415"/>
      <c r="E43" s="104"/>
      <c r="F43" s="415"/>
      <c r="G43" s="415"/>
      <c r="H43" s="415"/>
      <c r="I43" s="415"/>
      <c r="J43" s="415">
        <f>Unit.MW</f>
        <v>1E-3</v>
      </c>
      <c r="K43" s="415"/>
      <c r="L43" s="415"/>
      <c r="M43" s="415"/>
      <c r="N43" s="415"/>
      <c r="O43" s="104" t="s">
        <v>277</v>
      </c>
      <c r="P43" s="419"/>
    </row>
    <row r="44" spans="2:16">
      <c r="B44" s="155"/>
      <c r="C44" s="415"/>
      <c r="D44" s="415"/>
      <c r="E44" s="415"/>
      <c r="F44" s="415"/>
      <c r="G44" s="415"/>
      <c r="H44" s="415"/>
      <c r="I44" s="415"/>
      <c r="J44" s="415"/>
      <c r="K44" s="415"/>
      <c r="L44" s="415"/>
      <c r="M44" s="415"/>
      <c r="N44" s="415"/>
      <c r="O44" s="415"/>
      <c r="P44" s="419"/>
    </row>
    <row r="45" spans="2:16">
      <c r="B45" s="155"/>
      <c r="C45" s="61" t="s">
        <v>411</v>
      </c>
      <c r="D45" s="61" t="s">
        <v>65</v>
      </c>
      <c r="E45" s="61" t="s">
        <v>156</v>
      </c>
      <c r="F45" s="119">
        <v>2007</v>
      </c>
      <c r="G45" s="120">
        <f>F45+5</f>
        <v>2012</v>
      </c>
      <c r="H45" s="120">
        <f t="shared" ref="H45:O45" si="9">G45+5</f>
        <v>2017</v>
      </c>
      <c r="I45" s="120">
        <f t="shared" si="9"/>
        <v>2022</v>
      </c>
      <c r="J45" s="120">
        <f t="shared" si="9"/>
        <v>2027</v>
      </c>
      <c r="K45" s="120">
        <f t="shared" si="9"/>
        <v>2032</v>
      </c>
      <c r="L45" s="120">
        <f t="shared" si="9"/>
        <v>2037</v>
      </c>
      <c r="M45" s="120">
        <f t="shared" si="9"/>
        <v>2042</v>
      </c>
      <c r="N45" s="120">
        <f t="shared" si="9"/>
        <v>2047</v>
      </c>
      <c r="O45" s="120">
        <f t="shared" si="9"/>
        <v>2052</v>
      </c>
      <c r="P45" s="419"/>
    </row>
    <row r="46" spans="2:16" s="131" customFormat="1">
      <c r="B46" s="2435"/>
      <c r="C46" s="541">
        <v>1</v>
      </c>
      <c r="D46" s="1409"/>
      <c r="E46" s="2423"/>
      <c r="F46" s="1528">
        <f>F$58</f>
        <v>0.19</v>
      </c>
      <c r="G46" s="1528">
        <f t="shared" ref="G46:L46" si="10">((F37*F46)+((G37-F37)*G$58))/G37</f>
        <v>0.19</v>
      </c>
      <c r="H46" s="1528">
        <f t="shared" si="10"/>
        <v>0.19080955272212105</v>
      </c>
      <c r="I46" s="1528">
        <f t="shared" si="10"/>
        <v>0.19228498309112516</v>
      </c>
      <c r="J46" s="1528">
        <f t="shared" si="10"/>
        <v>0.19448761944987067</v>
      </c>
      <c r="K46" s="1528">
        <f t="shared" si="10"/>
        <v>0.19686685720648828</v>
      </c>
      <c r="L46" s="1528">
        <f t="shared" si="10"/>
        <v>0.19854423853156949</v>
      </c>
      <c r="M46" s="1528">
        <f>((L37*L46)+(M16*M$58)+(M28*G$58))/M37</f>
        <v>0.1999342105263158</v>
      </c>
      <c r="N46" s="1528">
        <f t="shared" ref="N46:O49" si="11">((M37*M46)+(N16*N$58)+(N28*H$58))/N37</f>
        <v>0.20171621621621624</v>
      </c>
      <c r="O46" s="1528">
        <f t="shared" si="11"/>
        <v>0.20359375000000002</v>
      </c>
      <c r="P46" s="1614"/>
    </row>
    <row r="47" spans="2:16" s="131" customFormat="1">
      <c r="B47" s="2435"/>
      <c r="C47" s="541">
        <v>2</v>
      </c>
      <c r="D47" s="1409"/>
      <c r="E47" s="1409"/>
      <c r="F47" s="1528">
        <f>F$58</f>
        <v>0.19</v>
      </c>
      <c r="G47" s="1528">
        <f t="shared" ref="G47:L49" si="12">((F38*F47)+((G38-F38)*G$58))/G38</f>
        <v>0.19</v>
      </c>
      <c r="H47" s="1528">
        <f t="shared" si="12"/>
        <v>0.19088150107039414</v>
      </c>
      <c r="I47" s="1528">
        <f t="shared" si="12"/>
        <v>0.19234100663285214</v>
      </c>
      <c r="J47" s="1528">
        <f t="shared" si="12"/>
        <v>0.19469020369751983</v>
      </c>
      <c r="K47" s="1528">
        <f t="shared" si="12"/>
        <v>0.19764058102415896</v>
      </c>
      <c r="L47" s="1528">
        <f t="shared" si="12"/>
        <v>0.2003025041897252</v>
      </c>
      <c r="M47" s="1528">
        <f>((L38*L47)+(M17*M$58)+(M29*G$58))/M38</f>
        <v>0.20253846153846153</v>
      </c>
      <c r="N47" s="1528">
        <f t="shared" si="11"/>
        <v>0.20506666666666667</v>
      </c>
      <c r="O47" s="1528">
        <f t="shared" si="11"/>
        <v>0.20736111111111113</v>
      </c>
      <c r="P47" s="1614"/>
    </row>
    <row r="48" spans="2:16" s="131" customFormat="1">
      <c r="B48" s="2435"/>
      <c r="C48" s="541">
        <v>3</v>
      </c>
      <c r="D48" s="1409"/>
      <c r="E48" s="1409"/>
      <c r="F48" s="1528">
        <f>F$58</f>
        <v>0.19</v>
      </c>
      <c r="G48" s="1528">
        <f t="shared" si="12"/>
        <v>0.19</v>
      </c>
      <c r="H48" s="1528">
        <f t="shared" si="12"/>
        <v>0.19089046676754742</v>
      </c>
      <c r="I48" s="1528">
        <f t="shared" si="12"/>
        <v>0.19246167384558382</v>
      </c>
      <c r="J48" s="1528">
        <f t="shared" si="12"/>
        <v>0.19488447019787938</v>
      </c>
      <c r="K48" s="1528">
        <f t="shared" si="12"/>
        <v>0.19836455980467682</v>
      </c>
      <c r="L48" s="1528">
        <f t="shared" si="12"/>
        <v>0.20082029097548337</v>
      </c>
      <c r="M48" s="1528">
        <f>((L39*L48)+(M18*M$58)+(M30*G$58))/M39</f>
        <v>0.20309521173539996</v>
      </c>
      <c r="N48" s="1528">
        <f t="shared" si="11"/>
        <v>0.20555645161290323</v>
      </c>
      <c r="O48" s="1528">
        <f t="shared" si="11"/>
        <v>0.20809701492537316</v>
      </c>
      <c r="P48" s="1614"/>
    </row>
    <row r="49" spans="1:16" s="131" customFormat="1">
      <c r="B49" s="2435"/>
      <c r="C49" s="2424">
        <v>4</v>
      </c>
      <c r="D49" s="2425"/>
      <c r="E49" s="2425"/>
      <c r="F49" s="1528">
        <f>F$58</f>
        <v>0.19</v>
      </c>
      <c r="G49" s="1528">
        <f t="shared" si="12"/>
        <v>0.19</v>
      </c>
      <c r="H49" s="1528">
        <f t="shared" si="12"/>
        <v>0.19092119587974207</v>
      </c>
      <c r="I49" s="1528">
        <f t="shared" si="12"/>
        <v>0.19235700233844324</v>
      </c>
      <c r="J49" s="1528">
        <f t="shared" si="12"/>
        <v>0.19526307292423434</v>
      </c>
      <c r="K49" s="1528">
        <f t="shared" si="12"/>
        <v>0.19849554676124029</v>
      </c>
      <c r="L49" s="1528">
        <f t="shared" si="12"/>
        <v>0.20099807080317245</v>
      </c>
      <c r="M49" s="1528">
        <f>((L40*L49)+(M19*M$58)+(M31*G$58))/M40</f>
        <v>0.20334875444839856</v>
      </c>
      <c r="N49" s="1528">
        <f t="shared" si="11"/>
        <v>0.20604761904761904</v>
      </c>
      <c r="O49" s="1528">
        <f t="shared" si="11"/>
        <v>0.20849173553719005</v>
      </c>
      <c r="P49" s="1614"/>
    </row>
    <row r="50" spans="1:16" s="131" customFormat="1">
      <c r="B50" s="2435"/>
      <c r="C50" s="2426" t="s">
        <v>406</v>
      </c>
      <c r="D50" s="2427"/>
      <c r="E50" s="2427"/>
      <c r="F50" s="2428">
        <f>(INDEX(F46:F49,ROUNDDOWN($E$8,0))*(1-MOD($E$8,1)))+(INDEX(F46:F49,ROUNDUP($E$8,0))*MOD($E$8,1))</f>
        <v>0.19</v>
      </c>
      <c r="G50" s="2428">
        <f t="shared" ref="G50:O50" si="13">(INDEX(G46:G49,ROUNDDOWN($E$8,0))*(1-MOD($E$8,1)))+(INDEX(G46:G49,ROUNDUP($E$8,0))*MOD($E$8,1))</f>
        <v>0.19</v>
      </c>
      <c r="H50" s="2428">
        <f t="shared" si="13"/>
        <v>0.19080955272212105</v>
      </c>
      <c r="I50" s="2428">
        <f t="shared" si="13"/>
        <v>0.19228498309112516</v>
      </c>
      <c r="J50" s="2428">
        <f t="shared" si="13"/>
        <v>0.19448761944987067</v>
      </c>
      <c r="K50" s="2428">
        <f t="shared" si="13"/>
        <v>0.19686685720648828</v>
      </c>
      <c r="L50" s="2428">
        <f t="shared" si="13"/>
        <v>0.19854423853156949</v>
      </c>
      <c r="M50" s="2428">
        <f t="shared" si="13"/>
        <v>0.1999342105263158</v>
      </c>
      <c r="N50" s="2428">
        <f t="shared" si="13"/>
        <v>0.20171621621621624</v>
      </c>
      <c r="O50" s="2428">
        <f t="shared" si="13"/>
        <v>0.20359375000000002</v>
      </c>
      <c r="P50" s="1614"/>
    </row>
    <row r="51" spans="1:16">
      <c r="B51" s="636"/>
      <c r="C51" s="157"/>
      <c r="D51" s="671"/>
      <c r="E51" s="157"/>
      <c r="F51" s="157"/>
      <c r="G51" s="157"/>
      <c r="H51" s="157"/>
      <c r="I51" s="157"/>
      <c r="J51" s="157"/>
      <c r="K51" s="157"/>
      <c r="L51" s="157"/>
      <c r="M51" s="157"/>
      <c r="N51" s="157"/>
      <c r="O51" s="157"/>
      <c r="P51" s="158"/>
    </row>
    <row r="53" spans="1:16" s="51" customFormat="1" ht="22.5">
      <c r="A53" s="162"/>
      <c r="B53" s="421" t="s">
        <v>265</v>
      </c>
      <c r="C53" s="159"/>
      <c r="D53" s="159"/>
      <c r="E53" s="159"/>
      <c r="F53" s="159"/>
      <c r="G53" s="159"/>
      <c r="H53" s="159"/>
      <c r="I53" s="159"/>
      <c r="J53" s="159"/>
      <c r="K53" s="159"/>
      <c r="L53" s="159"/>
      <c r="M53" s="159"/>
      <c r="N53" s="159"/>
      <c r="O53" s="159"/>
      <c r="P53" s="160"/>
    </row>
    <row r="54" spans="1:16">
      <c r="B54" s="418"/>
      <c r="C54" s="415"/>
      <c r="D54" s="415"/>
      <c r="E54" s="415"/>
      <c r="F54" s="415"/>
      <c r="G54" s="415"/>
      <c r="H54" s="415"/>
      <c r="I54" s="415"/>
      <c r="J54" s="415"/>
      <c r="K54" s="415"/>
      <c r="L54" s="415"/>
      <c r="M54" s="415"/>
      <c r="N54" s="415"/>
      <c r="O54" s="415"/>
      <c r="P54" s="419"/>
    </row>
    <row r="55" spans="1:16">
      <c r="B55" s="418"/>
      <c r="C55" s="416" t="s">
        <v>1729</v>
      </c>
      <c r="D55" s="415"/>
      <c r="E55" s="415"/>
      <c r="F55" s="415"/>
      <c r="G55" s="104"/>
      <c r="H55" s="415"/>
      <c r="I55" s="415"/>
      <c r="J55" s="415"/>
      <c r="K55" s="415"/>
      <c r="L55" s="415"/>
      <c r="M55" s="415"/>
      <c r="N55" s="415"/>
      <c r="O55" s="415"/>
      <c r="P55" s="419"/>
    </row>
    <row r="56" spans="1:16" ht="6" customHeight="1">
      <c r="B56" s="418"/>
      <c r="C56" s="415"/>
      <c r="D56" s="415"/>
      <c r="E56" s="415"/>
      <c r="F56" s="415"/>
      <c r="G56" s="415"/>
      <c r="H56" s="415"/>
      <c r="I56" s="415"/>
      <c r="J56" s="415"/>
      <c r="K56" s="415"/>
      <c r="L56" s="415"/>
      <c r="M56" s="415"/>
      <c r="N56" s="415"/>
      <c r="O56" s="415"/>
      <c r="P56" s="419"/>
    </row>
    <row r="57" spans="1:16" ht="15.75">
      <c r="B57" s="152"/>
      <c r="C57" s="61" t="s">
        <v>227</v>
      </c>
      <c r="D57" s="61" t="s">
        <v>240</v>
      </c>
      <c r="E57" s="61" t="s">
        <v>156</v>
      </c>
      <c r="F57" s="119">
        <v>2007</v>
      </c>
      <c r="G57" s="120">
        <f>F57+5</f>
        <v>2012</v>
      </c>
      <c r="H57" s="120">
        <f t="shared" ref="H57:O57" si="14">G57+5</f>
        <v>2017</v>
      </c>
      <c r="I57" s="120">
        <f t="shared" si="14"/>
        <v>2022</v>
      </c>
      <c r="J57" s="120">
        <f t="shared" si="14"/>
        <v>2027</v>
      </c>
      <c r="K57" s="120">
        <f t="shared" si="14"/>
        <v>2032</v>
      </c>
      <c r="L57" s="120">
        <f t="shared" si="14"/>
        <v>2037</v>
      </c>
      <c r="M57" s="120">
        <f t="shared" si="14"/>
        <v>2042</v>
      </c>
      <c r="N57" s="120">
        <f t="shared" si="14"/>
        <v>2047</v>
      </c>
      <c r="O57" s="120">
        <f t="shared" si="14"/>
        <v>2052</v>
      </c>
      <c r="P57" s="419"/>
    </row>
    <row r="58" spans="1:16" s="131" customFormat="1" ht="15.75">
      <c r="B58" s="1613"/>
      <c r="C58" s="2431" t="s">
        <v>24</v>
      </c>
      <c r="D58" s="2431" t="str">
        <f>INDEX(Vectors[Description], MATCH($C58, Vectors[Code], 0))</f>
        <v>Solar</v>
      </c>
      <c r="E58" s="2431"/>
      <c r="F58" s="2436">
        <v>0.19</v>
      </c>
      <c r="G58" s="2437">
        <v>0.19</v>
      </c>
      <c r="H58" s="2437">
        <v>0.191</v>
      </c>
      <c r="I58" s="2437">
        <v>0.19350000000000001</v>
      </c>
      <c r="J58" s="2437">
        <v>0.19750000000000001</v>
      </c>
      <c r="K58" s="2437">
        <v>0.20250000000000001</v>
      </c>
      <c r="L58" s="2437">
        <v>0.20499999999999999</v>
      </c>
      <c r="M58" s="2437">
        <v>0.20749999999999999</v>
      </c>
      <c r="N58" s="2437">
        <v>0.21</v>
      </c>
      <c r="O58" s="2438">
        <v>0.21249999999999999</v>
      </c>
      <c r="P58" s="1614"/>
    </row>
    <row r="59" spans="1:16">
      <c r="B59" s="418"/>
      <c r="C59" s="415"/>
      <c r="D59" s="415"/>
      <c r="E59" s="415"/>
      <c r="F59" s="415"/>
      <c r="G59" s="415"/>
      <c r="H59" s="415"/>
      <c r="I59" s="415"/>
      <c r="J59" s="415"/>
      <c r="K59" s="415"/>
      <c r="L59" s="415"/>
      <c r="M59" s="415"/>
      <c r="N59" s="415"/>
      <c r="O59" s="415"/>
      <c r="P59" s="419"/>
    </row>
    <row r="60" spans="1:16">
      <c r="B60" s="418"/>
      <c r="C60" s="416" t="s">
        <v>1730</v>
      </c>
      <c r="D60" s="415"/>
      <c r="E60" s="104"/>
      <c r="F60" s="415"/>
      <c r="G60" s="415"/>
      <c r="H60" s="415"/>
      <c r="I60" s="415"/>
      <c r="J60" s="415"/>
      <c r="K60" s="415"/>
      <c r="L60" s="415"/>
      <c r="M60" s="415"/>
      <c r="N60" s="415"/>
      <c r="O60" s="104" t="s">
        <v>277</v>
      </c>
      <c r="P60" s="419"/>
    </row>
    <row r="61" spans="1:16" ht="5.25" customHeight="1">
      <c r="B61" s="418"/>
      <c r="C61" s="415"/>
      <c r="D61" s="415"/>
      <c r="E61" s="415"/>
      <c r="F61" s="415"/>
      <c r="G61" s="415"/>
      <c r="H61" s="415"/>
      <c r="I61" s="415"/>
      <c r="J61" s="415"/>
      <c r="K61" s="415"/>
      <c r="L61" s="415"/>
      <c r="M61" s="415"/>
      <c r="N61" s="415"/>
      <c r="O61" s="415"/>
      <c r="P61" s="419"/>
    </row>
    <row r="62" spans="1:16" ht="15.75">
      <c r="B62" s="152"/>
      <c r="C62" s="61" t="s">
        <v>227</v>
      </c>
      <c r="D62" s="61" t="s">
        <v>240</v>
      </c>
      <c r="E62" s="61" t="s">
        <v>156</v>
      </c>
      <c r="F62" s="119">
        <v>2007</v>
      </c>
      <c r="G62" s="120">
        <f>F62+5</f>
        <v>2012</v>
      </c>
      <c r="H62" s="120">
        <f t="shared" ref="H62:O62" si="15">G62+5</f>
        <v>2017</v>
      </c>
      <c r="I62" s="120">
        <f t="shared" si="15"/>
        <v>2022</v>
      </c>
      <c r="J62" s="120">
        <f t="shared" si="15"/>
        <v>2027</v>
      </c>
      <c r="K62" s="120">
        <f t="shared" si="15"/>
        <v>2032</v>
      </c>
      <c r="L62" s="120">
        <f t="shared" si="15"/>
        <v>2037</v>
      </c>
      <c r="M62" s="120">
        <f t="shared" si="15"/>
        <v>2042</v>
      </c>
      <c r="N62" s="120">
        <f t="shared" si="15"/>
        <v>2047</v>
      </c>
      <c r="O62" s="120">
        <f t="shared" si="15"/>
        <v>2052</v>
      </c>
      <c r="P62" s="419"/>
    </row>
    <row r="63" spans="1:16" s="51" customFormat="1" ht="15.75">
      <c r="B63" s="153"/>
      <c r="C63" s="78" t="s">
        <v>24</v>
      </c>
      <c r="D63" s="79" t="str">
        <f>INDEX(Vectors[Description], MATCH($C63, Vectors[Code], 0))</f>
        <v>Solar</v>
      </c>
      <c r="E63" s="79"/>
      <c r="F63" s="236"/>
      <c r="G63" s="2158">
        <v>0.16</v>
      </c>
      <c r="H63" s="2158">
        <v>0.17</v>
      </c>
      <c r="I63" s="2158">
        <v>0.18</v>
      </c>
      <c r="J63" s="2158">
        <v>0.19</v>
      </c>
      <c r="K63" s="2158">
        <v>0.2</v>
      </c>
      <c r="L63" s="2158">
        <v>0.21</v>
      </c>
      <c r="M63" s="2158">
        <v>0.22</v>
      </c>
      <c r="N63" s="2158">
        <v>0.23</v>
      </c>
      <c r="O63" s="2159">
        <v>0.24</v>
      </c>
      <c r="P63" s="154"/>
    </row>
    <row r="64" spans="1:16" s="51" customFormat="1" ht="15.75">
      <c r="B64" s="153"/>
      <c r="C64" s="413"/>
      <c r="D64" s="414"/>
      <c r="E64" s="414"/>
      <c r="F64" s="613"/>
      <c r="G64" s="613"/>
      <c r="H64" s="613"/>
      <c r="I64" s="613"/>
      <c r="J64" s="613"/>
      <c r="K64" s="613"/>
      <c r="L64" s="613"/>
      <c r="M64" s="613"/>
      <c r="N64" s="613"/>
      <c r="O64" s="613"/>
      <c r="P64" s="154"/>
    </row>
    <row r="65" spans="2:32" s="51" customFormat="1" ht="15.75">
      <c r="B65" s="153"/>
      <c r="C65" s="413"/>
      <c r="D65" s="414" t="s">
        <v>837</v>
      </c>
      <c r="E65" s="674">
        <f>1*Unit.MW</f>
        <v>1E-3</v>
      </c>
      <c r="F65" s="613" t="str">
        <f>Preferences.PowerUnits</f>
        <v>GW</v>
      </c>
      <c r="G65" s="613"/>
      <c r="H65" s="613"/>
      <c r="I65" s="613"/>
      <c r="J65" s="613"/>
      <c r="K65" s="613"/>
      <c r="L65" s="613"/>
      <c r="M65" s="613"/>
      <c r="N65" s="613"/>
      <c r="O65" s="613"/>
      <c r="P65" s="154"/>
    </row>
    <row r="66" spans="2:32">
      <c r="B66" s="155"/>
      <c r="C66" s="415"/>
      <c r="D66" s="105"/>
      <c r="E66" s="415"/>
      <c r="F66" s="415"/>
      <c r="G66" s="415"/>
      <c r="H66" s="415"/>
      <c r="I66" s="415"/>
      <c r="J66" s="415"/>
      <c r="K66" s="415"/>
      <c r="L66" s="415"/>
      <c r="M66" s="415"/>
      <c r="N66" s="415"/>
      <c r="O66" s="415"/>
      <c r="P66" s="419"/>
    </row>
    <row r="68" spans="2:32" ht="15.75" customHeight="1">
      <c r="B68" s="402"/>
      <c r="C68" s="402"/>
      <c r="D68" s="415"/>
      <c r="E68" s="264"/>
      <c r="F68" s="415"/>
      <c r="G68" s="415"/>
      <c r="H68" s="415"/>
      <c r="I68" s="415"/>
      <c r="J68" s="444"/>
      <c r="K68" s="444"/>
      <c r="L68" s="402"/>
      <c r="M68" s="402"/>
      <c r="N68" s="402"/>
      <c r="O68" s="402"/>
      <c r="P68" s="402"/>
      <c r="R68" s="646"/>
      <c r="S68" s="2160"/>
      <c r="T68" s="2161"/>
      <c r="U68" s="724"/>
      <c r="V68" s="724"/>
      <c r="W68" s="2162"/>
      <c r="X68" s="2161"/>
      <c r="Y68" s="2161"/>
      <c r="Z68" s="2161"/>
      <c r="AA68" s="2161"/>
      <c r="AB68" s="2161"/>
      <c r="AC68" s="2161"/>
      <c r="AD68" s="2161"/>
      <c r="AE68" s="2161"/>
      <c r="AF68" s="1594"/>
    </row>
    <row r="69" spans="2:32" ht="15.75" customHeight="1">
      <c r="B69" s="421" t="s">
        <v>711</v>
      </c>
      <c r="C69" s="159"/>
      <c r="D69" s="159"/>
      <c r="E69" s="159"/>
      <c r="F69" s="159"/>
      <c r="G69" s="159"/>
      <c r="H69" s="159"/>
      <c r="I69" s="159"/>
      <c r="J69" s="159"/>
      <c r="K69" s="159"/>
      <c r="L69" s="159"/>
      <c r="M69" s="159"/>
      <c r="N69" s="159"/>
      <c r="O69" s="159"/>
      <c r="P69" s="160"/>
      <c r="R69" s="646"/>
      <c r="S69" s="2160"/>
      <c r="T69" s="2161"/>
      <c r="U69" s="724"/>
      <c r="V69" s="724"/>
      <c r="W69" s="2162"/>
      <c r="X69" s="2161"/>
      <c r="Y69" s="2161"/>
      <c r="Z69" s="2161"/>
      <c r="AA69" s="2161"/>
      <c r="AB69" s="2161"/>
      <c r="AC69" s="2161"/>
      <c r="AD69" s="2161"/>
      <c r="AE69" s="2161"/>
      <c r="AF69" s="1594"/>
    </row>
    <row r="70" spans="2:32" ht="15.75" customHeight="1">
      <c r="B70" s="418"/>
      <c r="C70" s="415"/>
      <c r="D70" s="415"/>
      <c r="E70" s="415"/>
      <c r="F70" s="415"/>
      <c r="G70" s="415"/>
      <c r="H70" s="415"/>
      <c r="I70" s="415"/>
      <c r="J70" s="415"/>
      <c r="K70" s="415"/>
      <c r="L70" s="415"/>
      <c r="M70" s="415"/>
      <c r="N70" s="415"/>
      <c r="O70" s="415"/>
      <c r="P70" s="419"/>
      <c r="R70" s="646"/>
      <c r="S70" s="2160"/>
      <c r="T70" s="2161"/>
      <c r="U70" s="724"/>
      <c r="V70" s="724"/>
      <c r="W70" s="2162"/>
      <c r="X70" s="2161"/>
      <c r="Y70" s="2161"/>
      <c r="Z70" s="2161"/>
      <c r="AA70" s="2161"/>
      <c r="AB70" s="2161"/>
      <c r="AC70" s="2161"/>
      <c r="AD70" s="2161"/>
      <c r="AE70" s="2161"/>
      <c r="AF70" s="1594"/>
    </row>
    <row r="71" spans="2:32" ht="15.75" customHeight="1">
      <c r="B71" s="418"/>
      <c r="C71" s="416" t="str">
        <f>"Land requirememt of a "&amp;plantsize.iv.a&amp;" "&amp;Preferences.PowerUnits&amp;" PV Crystalline Solar source"</f>
        <v>Land requirememt of a 0.001 GW PV Crystalline Solar source</v>
      </c>
      <c r="D71" s="69"/>
      <c r="E71" s="415"/>
      <c r="F71" s="415"/>
      <c r="G71" s="104"/>
      <c r="H71" s="415"/>
      <c r="I71" s="415"/>
      <c r="J71" s="415"/>
      <c r="K71" s="415"/>
      <c r="L71" s="415"/>
      <c r="M71" s="415"/>
      <c r="N71" s="415"/>
      <c r="O71" s="415"/>
      <c r="P71" s="419"/>
      <c r="R71" s="646"/>
      <c r="S71" s="2160"/>
      <c r="T71" s="2161"/>
      <c r="U71" s="724"/>
      <c r="V71" s="724"/>
      <c r="W71" s="2162"/>
      <c r="X71" s="2161"/>
      <c r="Y71" s="2161"/>
      <c r="Z71" s="2161"/>
      <c r="AA71" s="2161"/>
      <c r="AB71" s="2161"/>
      <c r="AC71" s="2161"/>
      <c r="AD71" s="2161"/>
      <c r="AE71" s="2161"/>
      <c r="AF71" s="1594"/>
    </row>
    <row r="72" spans="2:32" ht="15.75" customHeight="1">
      <c r="B72" s="418"/>
      <c r="C72" s="415"/>
      <c r="D72" s="415"/>
      <c r="E72" s="415"/>
      <c r="F72" s="415"/>
      <c r="G72" s="415"/>
      <c r="H72" s="415"/>
      <c r="I72" s="415"/>
      <c r="J72" s="415"/>
      <c r="K72" s="415"/>
      <c r="L72" s="415"/>
      <c r="M72" s="415"/>
      <c r="N72" s="415"/>
      <c r="O72" s="361" t="str">
        <f>Preferences.AreaUnits&amp;"/solar source"</f>
        <v>ha/solar source</v>
      </c>
      <c r="P72" s="419"/>
      <c r="R72" s="646"/>
      <c r="S72" s="2160"/>
      <c r="T72" s="2161"/>
      <c r="U72" s="724"/>
      <c r="V72" s="724"/>
      <c r="W72" s="2162"/>
      <c r="X72" s="2161"/>
      <c r="Y72" s="2161"/>
      <c r="Z72" s="2161"/>
      <c r="AA72" s="2161"/>
      <c r="AB72" s="2161"/>
      <c r="AC72" s="2161"/>
      <c r="AD72" s="2161"/>
      <c r="AE72" s="2161"/>
      <c r="AF72" s="1594"/>
    </row>
    <row r="73" spans="2:32" ht="15.75" customHeight="1">
      <c r="B73" s="152"/>
      <c r="C73" s="61"/>
      <c r="D73" s="61"/>
      <c r="E73" s="61"/>
      <c r="F73" s="119">
        <v>2007</v>
      </c>
      <c r="G73" s="120">
        <f>F73+5</f>
        <v>2012</v>
      </c>
      <c r="H73" s="120">
        <f t="shared" ref="H73:O73" si="16">G73+5</f>
        <v>2017</v>
      </c>
      <c r="I73" s="120">
        <f t="shared" si="16"/>
        <v>2022</v>
      </c>
      <c r="J73" s="120">
        <f t="shared" si="16"/>
        <v>2027</v>
      </c>
      <c r="K73" s="120">
        <f t="shared" si="16"/>
        <v>2032</v>
      </c>
      <c r="L73" s="120">
        <f t="shared" si="16"/>
        <v>2037</v>
      </c>
      <c r="M73" s="120">
        <f t="shared" si="16"/>
        <v>2042</v>
      </c>
      <c r="N73" s="120">
        <f t="shared" si="16"/>
        <v>2047</v>
      </c>
      <c r="O73" s="120">
        <f t="shared" si="16"/>
        <v>2052</v>
      </c>
      <c r="P73" s="419"/>
      <c r="R73" s="646"/>
      <c r="S73" s="2160"/>
      <c r="T73" s="2161"/>
      <c r="U73" s="724"/>
      <c r="V73" s="724"/>
      <c r="W73" s="2162"/>
      <c r="X73" s="2161"/>
      <c r="Y73" s="2161"/>
      <c r="Z73" s="2161"/>
      <c r="AA73" s="2161"/>
      <c r="AB73" s="2161"/>
      <c r="AC73" s="2161"/>
      <c r="AD73" s="2161"/>
      <c r="AE73" s="2161"/>
      <c r="AF73" s="1594"/>
    </row>
    <row r="74" spans="2:32" ht="15.75" customHeight="1">
      <c r="B74" s="152"/>
      <c r="C74" s="78"/>
      <c r="D74" s="79"/>
      <c r="E74" s="79"/>
      <c r="F74" s="535">
        <f>4.75*(Unit.acre/Unit.MW)</f>
        <v>1922.2568006400002</v>
      </c>
      <c r="G74" s="535">
        <f>4.75*(Unit.acre/Unit.MW)</f>
        <v>1922.2568006400002</v>
      </c>
      <c r="H74" s="535">
        <f>4.47058823529412*(Unit.acre/Unit.MW)</f>
        <v>1809.1828711905896</v>
      </c>
      <c r="I74" s="535">
        <f>4.20761245674741*(Unit.acre/Unit.MW)</f>
        <v>1702.7603493558499</v>
      </c>
      <c r="J74" s="535">
        <f>3.97385620915033*(Unit.acre/Unit.MW)</f>
        <v>1608.1625521694132</v>
      </c>
      <c r="K74" s="535">
        <f>3.76470588235294*(Unit.acre/Unit.MW)</f>
        <v>1523.5224178447056</v>
      </c>
      <c r="L74" s="535">
        <f>3.40616246498599*(Unit.acre/Unit.MW)</f>
        <v>1378.4250447166369</v>
      </c>
      <c r="M74" s="535">
        <f>3.25133689839572*(Unit.acre/Unit.MW)</f>
        <v>1315.7693608658817</v>
      </c>
      <c r="N74" s="535">
        <f>3.10997442455243*(Unit.acre/Unit.MW)</f>
        <v>1258.5619973499747</v>
      </c>
      <c r="O74" s="535">
        <f>2.98039215686275*(Unit.acre/Unit.MW)</f>
        <v>1206.121914127061</v>
      </c>
      <c r="P74" s="415">
        <f>0*(Unit.acre*plantsize.iv.a/Unit.MW)</f>
        <v>0</v>
      </c>
      <c r="R74" s="646"/>
      <c r="S74" s="2160"/>
      <c r="T74" s="2161"/>
      <c r="U74" s="724"/>
      <c r="V74" s="724"/>
      <c r="W74" s="2162"/>
      <c r="X74" s="2161"/>
      <c r="Y74" s="2161"/>
      <c r="Z74" s="2161"/>
      <c r="AA74" s="2161"/>
      <c r="AB74" s="2161"/>
      <c r="AC74" s="2161"/>
      <c r="AD74" s="2161"/>
      <c r="AE74" s="2161"/>
      <c r="AF74" s="1594"/>
    </row>
    <row r="75" spans="2:32" ht="15.75" customHeight="1">
      <c r="B75" s="402"/>
      <c r="C75" s="402"/>
      <c r="D75" s="415"/>
      <c r="E75" s="264"/>
      <c r="F75" s="415"/>
      <c r="G75" s="415"/>
      <c r="H75" s="415"/>
      <c r="I75" s="415"/>
      <c r="J75" s="444"/>
      <c r="K75" s="444"/>
      <c r="L75" s="402"/>
      <c r="M75" s="402"/>
      <c r="N75" s="402"/>
      <c r="O75" s="402"/>
      <c r="P75" s="402"/>
      <c r="R75" s="646"/>
      <c r="S75" s="2160"/>
      <c r="T75" s="2161"/>
      <c r="U75" s="724"/>
      <c r="V75" s="724"/>
      <c r="W75" s="2162"/>
      <c r="X75" s="2161"/>
      <c r="Y75" s="2161"/>
      <c r="Z75" s="2161"/>
      <c r="AA75" s="2161"/>
      <c r="AB75" s="2161"/>
      <c r="AC75" s="2161"/>
      <c r="AD75" s="2161"/>
      <c r="AE75" s="2161"/>
      <c r="AF75" s="1594"/>
    </row>
    <row r="76" spans="2:32" ht="15.75" customHeight="1">
      <c r="B76" s="402"/>
      <c r="C76" s="402"/>
      <c r="D76" s="415"/>
      <c r="E76" s="264"/>
      <c r="F76" s="415"/>
      <c r="G76" s="415"/>
      <c r="H76" s="415"/>
      <c r="I76" s="415"/>
      <c r="J76" s="444"/>
      <c r="K76" s="444"/>
      <c r="L76" s="402"/>
      <c r="M76" s="402"/>
      <c r="N76" s="402"/>
      <c r="O76" s="402"/>
      <c r="P76" s="402"/>
      <c r="R76" s="646"/>
      <c r="S76" s="2160"/>
      <c r="T76" s="2161"/>
      <c r="U76" s="724"/>
      <c r="V76" s="724"/>
      <c r="W76" s="2162"/>
      <c r="X76" s="2161"/>
      <c r="Y76" s="2161"/>
      <c r="Z76" s="2161"/>
      <c r="AA76" s="2161"/>
      <c r="AB76" s="2161"/>
      <c r="AC76" s="2161"/>
      <c r="AD76" s="2161"/>
      <c r="AE76" s="2161"/>
      <c r="AF76" s="1594"/>
    </row>
    <row r="77" spans="2:32" ht="11.25" customHeight="1">
      <c r="B77" s="727"/>
      <c r="C77" s="2160"/>
      <c r="D77" s="2161"/>
      <c r="E77" s="724"/>
      <c r="F77" s="724"/>
      <c r="G77" s="2162"/>
      <c r="H77" s="2161"/>
      <c r="I77" s="2161"/>
      <c r="J77" s="2161"/>
      <c r="K77" s="2161"/>
      <c r="L77" s="2161"/>
      <c r="M77" s="2161"/>
      <c r="N77" s="2163"/>
      <c r="O77" s="2163"/>
      <c r="P77" s="2164"/>
      <c r="R77" s="646"/>
      <c r="S77" s="2160"/>
      <c r="T77" s="2161"/>
      <c r="U77" s="724"/>
      <c r="V77" s="724"/>
      <c r="W77" s="2162"/>
      <c r="X77" s="2161"/>
      <c r="Y77" s="2161"/>
      <c r="Z77" s="2161"/>
      <c r="AA77" s="2161"/>
      <c r="AB77" s="2161"/>
      <c r="AC77" s="2161"/>
      <c r="AD77" s="2161"/>
      <c r="AE77" s="2161"/>
      <c r="AF77" s="1594"/>
    </row>
    <row r="78" spans="2:32" ht="15.75">
      <c r="B78" s="421" t="s">
        <v>270</v>
      </c>
      <c r="C78" s="159"/>
      <c r="D78" s="159"/>
      <c r="E78" s="159"/>
      <c r="F78" s="159"/>
      <c r="G78" s="159"/>
      <c r="H78" s="159"/>
      <c r="I78" s="159"/>
      <c r="J78" s="159"/>
      <c r="K78" s="159"/>
      <c r="L78" s="159"/>
      <c r="M78" s="159"/>
      <c r="N78" s="159"/>
      <c r="O78" s="159"/>
      <c r="P78" s="160"/>
      <c r="R78" s="35"/>
      <c r="S78" s="35"/>
      <c r="T78" s="35"/>
      <c r="U78" s="511"/>
      <c r="V78" s="511"/>
      <c r="W78" s="35"/>
      <c r="X78" s="35"/>
      <c r="Y78" s="35"/>
      <c r="Z78" s="35"/>
      <c r="AA78" s="35"/>
      <c r="AB78" s="35"/>
      <c r="AC78" s="35"/>
      <c r="AD78" s="35"/>
      <c r="AE78" s="35"/>
      <c r="AF78" s="35"/>
    </row>
    <row r="79" spans="2:32">
      <c r="B79" s="418"/>
      <c r="C79" s="415"/>
      <c r="D79" s="415"/>
      <c r="E79" s="415"/>
      <c r="F79" s="415"/>
      <c r="G79" s="415"/>
      <c r="H79" s="415"/>
      <c r="I79" s="415"/>
      <c r="J79" s="415"/>
      <c r="K79" s="415"/>
      <c r="L79" s="415"/>
      <c r="M79" s="415"/>
      <c r="N79" s="415"/>
      <c r="O79" s="415"/>
      <c r="P79" s="419"/>
      <c r="R79" s="646"/>
      <c r="S79" s="710"/>
      <c r="T79" s="710"/>
      <c r="U79" s="711"/>
      <c r="V79" s="712"/>
      <c r="W79" s="712"/>
      <c r="X79" s="713"/>
      <c r="Y79" s="646"/>
      <c r="Z79" s="646"/>
      <c r="AA79" s="646"/>
      <c r="AB79" s="646"/>
      <c r="AC79" s="646"/>
      <c r="AD79" s="646"/>
      <c r="AE79" s="646"/>
      <c r="AF79" s="35"/>
    </row>
    <row r="80" spans="2:32">
      <c r="B80" s="418"/>
      <c r="C80" s="416" t="s">
        <v>793</v>
      </c>
      <c r="D80" s="415"/>
      <c r="E80" s="104"/>
      <c r="F80" s="415"/>
      <c r="G80" s="415"/>
      <c r="H80" s="415"/>
      <c r="I80" s="415"/>
      <c r="J80" s="415"/>
      <c r="K80" s="415"/>
      <c r="L80" s="415"/>
      <c r="M80" s="415"/>
      <c r="N80" s="415"/>
      <c r="O80" s="104" t="str">
        <f>Preferences.PowerUnits</f>
        <v>GW</v>
      </c>
      <c r="P80" s="419"/>
      <c r="R80" s="646"/>
      <c r="S80" s="710"/>
      <c r="T80" s="730"/>
      <c r="U80" s="731"/>
      <c r="V80" s="732"/>
      <c r="W80" s="732"/>
      <c r="X80" s="713"/>
      <c r="Y80" s="646"/>
      <c r="Z80" s="646"/>
      <c r="AA80" s="646"/>
      <c r="AB80" s="646"/>
      <c r="AC80" s="646"/>
      <c r="AD80" s="646"/>
      <c r="AE80" s="646"/>
      <c r="AF80" s="35"/>
    </row>
    <row r="81" spans="1:32">
      <c r="B81" s="418"/>
      <c r="C81" s="415"/>
      <c r="D81" s="415"/>
      <c r="E81" s="415"/>
      <c r="F81" s="415"/>
      <c r="G81" s="415"/>
      <c r="H81" s="415"/>
      <c r="I81" s="415"/>
      <c r="J81" s="415"/>
      <c r="K81" s="415"/>
      <c r="L81" s="415"/>
      <c r="M81" s="415"/>
      <c r="N81" s="415"/>
      <c r="O81" s="415"/>
      <c r="P81" s="419"/>
      <c r="R81" s="646"/>
      <c r="S81" s="733"/>
      <c r="T81" s="730"/>
      <c r="U81" s="731"/>
      <c r="V81" s="732"/>
      <c r="W81" s="732"/>
      <c r="X81" s="734"/>
      <c r="Y81" s="646"/>
      <c r="Z81" s="646"/>
      <c r="AA81" s="646"/>
      <c r="AB81" s="646"/>
      <c r="AC81" s="646"/>
      <c r="AD81" s="646"/>
      <c r="AE81" s="646"/>
      <c r="AF81" s="35"/>
    </row>
    <row r="82" spans="1:32" ht="15.75">
      <c r="B82" s="152"/>
      <c r="C82" s="61" t="s">
        <v>227</v>
      </c>
      <c r="D82" s="61" t="s">
        <v>65</v>
      </c>
      <c r="E82" s="61" t="s">
        <v>156</v>
      </c>
      <c r="F82" s="119">
        <v>2007</v>
      </c>
      <c r="G82" s="120">
        <f>F82+5</f>
        <v>2012</v>
      </c>
      <c r="H82" s="120">
        <f t="shared" ref="H82:O82" si="17">G82+5</f>
        <v>2017</v>
      </c>
      <c r="I82" s="120">
        <f t="shared" si="17"/>
        <v>2022</v>
      </c>
      <c r="J82" s="120">
        <f t="shared" si="17"/>
        <v>2027</v>
      </c>
      <c r="K82" s="120">
        <f t="shared" si="17"/>
        <v>2032</v>
      </c>
      <c r="L82" s="120">
        <f t="shared" si="17"/>
        <v>2037</v>
      </c>
      <c r="M82" s="120">
        <f t="shared" si="17"/>
        <v>2042</v>
      </c>
      <c r="N82" s="120">
        <f t="shared" si="17"/>
        <v>2047</v>
      </c>
      <c r="O82" s="120">
        <f t="shared" si="17"/>
        <v>2052</v>
      </c>
      <c r="P82" s="419"/>
      <c r="R82" s="646"/>
      <c r="S82" s="733"/>
      <c r="T82" s="730"/>
      <c r="U82" s="731"/>
      <c r="V82" s="732"/>
      <c r="W82" s="732"/>
      <c r="X82" s="734"/>
      <c r="Y82" s="646"/>
      <c r="Z82" s="646"/>
      <c r="AA82" s="646"/>
      <c r="AB82" s="646"/>
      <c r="AC82" s="646"/>
      <c r="AD82" s="646"/>
      <c r="AE82" s="646"/>
      <c r="AF82" s="35"/>
    </row>
    <row r="83" spans="1:32" ht="15.75">
      <c r="B83" s="153"/>
      <c r="C83" s="78" t="s">
        <v>24</v>
      </c>
      <c r="D83" s="79" t="str">
        <f>INDEX(Vectors[Description], MATCH($C83, Vectors[Code], 0))</f>
        <v>Solar</v>
      </c>
      <c r="E83" s="79"/>
      <c r="F83" s="635">
        <f t="shared" ref="F83:O83" si="18">F41</f>
        <v>0</v>
      </c>
      <c r="G83" s="635">
        <f t="shared" si="18"/>
        <v>0.94100000000000006</v>
      </c>
      <c r="H83" s="635">
        <f t="shared" si="18"/>
        <v>4.9409999999999998</v>
      </c>
      <c r="I83" s="635">
        <f t="shared" si="18"/>
        <v>10.940999999999999</v>
      </c>
      <c r="J83" s="635">
        <f t="shared" si="18"/>
        <v>18.940999999999999</v>
      </c>
      <c r="K83" s="635">
        <f t="shared" si="18"/>
        <v>26.940999999999999</v>
      </c>
      <c r="L83" s="635">
        <f t="shared" si="18"/>
        <v>33.941000000000003</v>
      </c>
      <c r="M83" s="635">
        <f t="shared" si="18"/>
        <v>38</v>
      </c>
      <c r="N83" s="635">
        <f t="shared" si="18"/>
        <v>37</v>
      </c>
      <c r="O83" s="635">
        <f t="shared" si="18"/>
        <v>32</v>
      </c>
      <c r="P83" s="154"/>
      <c r="R83" s="646"/>
      <c r="S83" s="2160"/>
      <c r="T83" s="730"/>
      <c r="U83" s="731"/>
      <c r="V83" s="732"/>
      <c r="W83" s="732"/>
      <c r="X83" s="734"/>
      <c r="Y83" s="646"/>
      <c r="Z83" s="646"/>
      <c r="AA83" s="646"/>
      <c r="AB83" s="646"/>
      <c r="AC83" s="646"/>
      <c r="AD83" s="646"/>
      <c r="AE83" s="646"/>
      <c r="AF83" s="35"/>
    </row>
    <row r="84" spans="1:32" ht="15.75">
      <c r="B84" s="153"/>
      <c r="C84" s="413"/>
      <c r="D84" s="414"/>
      <c r="E84" s="414"/>
      <c r="F84" s="115"/>
      <c r="G84" s="115"/>
      <c r="H84" s="115"/>
      <c r="I84" s="115"/>
      <c r="J84" s="115"/>
      <c r="K84" s="115"/>
      <c r="L84" s="115"/>
      <c r="M84" s="115"/>
      <c r="N84" s="115"/>
      <c r="O84" s="115"/>
      <c r="P84" s="154"/>
      <c r="R84" s="646"/>
      <c r="S84" s="2160"/>
      <c r="T84" s="730"/>
      <c r="U84" s="731"/>
      <c r="V84" s="732"/>
      <c r="W84" s="732"/>
      <c r="X84" s="734"/>
      <c r="Y84" s="646"/>
      <c r="Z84" s="646"/>
      <c r="AA84" s="646"/>
      <c r="AB84" s="646"/>
      <c r="AC84" s="646"/>
      <c r="AD84" s="646"/>
      <c r="AE84" s="646"/>
      <c r="AF84" s="35"/>
    </row>
    <row r="85" spans="1:32" ht="15.75">
      <c r="B85" s="153"/>
      <c r="C85" s="416" t="s">
        <v>1872</v>
      </c>
      <c r="D85" s="414"/>
      <c r="E85" s="414"/>
      <c r="F85" s="115"/>
      <c r="G85" s="115"/>
      <c r="H85" s="115"/>
      <c r="I85" s="115"/>
      <c r="J85" s="115"/>
      <c r="K85" s="115"/>
      <c r="L85" s="115"/>
      <c r="M85" s="115"/>
      <c r="N85" s="115"/>
      <c r="O85" s="115"/>
      <c r="P85" s="154"/>
      <c r="R85" s="646"/>
      <c r="S85" s="2160"/>
      <c r="T85" s="730"/>
      <c r="U85" s="731"/>
      <c r="V85" s="732"/>
      <c r="W85" s="732"/>
      <c r="X85" s="734"/>
      <c r="Y85" s="646"/>
      <c r="Z85" s="646"/>
      <c r="AA85" s="646"/>
      <c r="AB85" s="646"/>
      <c r="AC85" s="646"/>
      <c r="AD85" s="646"/>
      <c r="AE85" s="646"/>
      <c r="AF85" s="35"/>
    </row>
    <row r="86" spans="1:32" ht="15.75">
      <c r="B86" s="153"/>
      <c r="C86" s="61" t="s">
        <v>227</v>
      </c>
      <c r="D86" s="61" t="s">
        <v>65</v>
      </c>
      <c r="E86" s="61" t="s">
        <v>156</v>
      </c>
      <c r="F86" s="119">
        <v>2007</v>
      </c>
      <c r="G86" s="120">
        <f>F86+5</f>
        <v>2012</v>
      </c>
      <c r="H86" s="120">
        <f t="shared" ref="H86:O86" si="19">G86+5</f>
        <v>2017</v>
      </c>
      <c r="I86" s="120">
        <f t="shared" si="19"/>
        <v>2022</v>
      </c>
      <c r="J86" s="120">
        <f t="shared" si="19"/>
        <v>2027</v>
      </c>
      <c r="K86" s="120">
        <f t="shared" si="19"/>
        <v>2032</v>
      </c>
      <c r="L86" s="120">
        <f t="shared" si="19"/>
        <v>2037</v>
      </c>
      <c r="M86" s="120">
        <f t="shared" si="19"/>
        <v>2042</v>
      </c>
      <c r="N86" s="120">
        <f t="shared" si="19"/>
        <v>2047</v>
      </c>
      <c r="O86" s="120">
        <f t="shared" si="19"/>
        <v>2052</v>
      </c>
      <c r="P86" s="154"/>
      <c r="R86" s="646"/>
      <c r="S86" s="2160"/>
      <c r="T86" s="730"/>
      <c r="U86" s="731"/>
      <c r="V86" s="732"/>
      <c r="W86" s="732"/>
      <c r="X86" s="734"/>
      <c r="Y86" s="646"/>
      <c r="Z86" s="646"/>
      <c r="AA86" s="646"/>
      <c r="AB86" s="646"/>
      <c r="AC86" s="646"/>
      <c r="AD86" s="646"/>
      <c r="AE86" s="646"/>
      <c r="AF86" s="35"/>
    </row>
    <row r="87" spans="1:32" s="131" customFormat="1" ht="15.75">
      <c r="B87" s="2430"/>
      <c r="C87" s="2431" t="s">
        <v>24</v>
      </c>
      <c r="D87" s="2431" t="str">
        <f>INDEX(Vectors[Description], MATCH($C87, Vectors[Code], 0))</f>
        <v>Solar</v>
      </c>
      <c r="E87" s="2431"/>
      <c r="F87" s="2434">
        <f t="shared" ref="F87:O87" si="20">F50</f>
        <v>0.19</v>
      </c>
      <c r="G87" s="2434">
        <f t="shared" si="20"/>
        <v>0.19</v>
      </c>
      <c r="H87" s="2434">
        <f t="shared" si="20"/>
        <v>0.19080955272212105</v>
      </c>
      <c r="I87" s="2434">
        <f t="shared" si="20"/>
        <v>0.19228498309112516</v>
      </c>
      <c r="J87" s="2434">
        <f t="shared" si="20"/>
        <v>0.19448761944987067</v>
      </c>
      <c r="K87" s="2434">
        <f t="shared" si="20"/>
        <v>0.19686685720648828</v>
      </c>
      <c r="L87" s="2434">
        <f t="shared" si="20"/>
        <v>0.19854423853156949</v>
      </c>
      <c r="M87" s="2434">
        <f t="shared" si="20"/>
        <v>0.1999342105263158</v>
      </c>
      <c r="N87" s="2434">
        <f t="shared" si="20"/>
        <v>0.20171621621621624</v>
      </c>
      <c r="O87" s="2434">
        <f t="shared" si="20"/>
        <v>0.20359375000000002</v>
      </c>
      <c r="P87" s="2433"/>
      <c r="R87" s="2439"/>
      <c r="S87" s="2440"/>
      <c r="T87" s="2441"/>
      <c r="U87" s="2442"/>
      <c r="V87" s="2443"/>
      <c r="W87" s="2443"/>
      <c r="X87" s="2444"/>
      <c r="Y87" s="2439"/>
      <c r="Z87" s="2439"/>
      <c r="AA87" s="2439"/>
      <c r="AB87" s="2439"/>
      <c r="AC87" s="2439"/>
      <c r="AD87" s="2439"/>
      <c r="AE87" s="2439"/>
      <c r="AF87" s="1623"/>
    </row>
    <row r="88" spans="1:32" ht="15.75">
      <c r="B88" s="153"/>
      <c r="C88" s="413"/>
      <c r="D88" s="414"/>
      <c r="E88" s="414"/>
      <c r="F88" s="115"/>
      <c r="G88" s="115"/>
      <c r="H88" s="115"/>
      <c r="I88" s="115"/>
      <c r="J88" s="115"/>
      <c r="K88" s="115"/>
      <c r="L88" s="115"/>
      <c r="M88" s="115"/>
      <c r="N88" s="115"/>
      <c r="O88" s="115"/>
      <c r="P88" s="154"/>
      <c r="R88" s="646"/>
      <c r="S88" s="2160"/>
      <c r="T88" s="730"/>
      <c r="U88" s="731"/>
      <c r="V88" s="732"/>
      <c r="W88" s="732"/>
      <c r="X88" s="734"/>
      <c r="Y88" s="646"/>
      <c r="Z88" s="646"/>
      <c r="AA88" s="646"/>
      <c r="AB88" s="646"/>
      <c r="AC88" s="646"/>
      <c r="AD88" s="646"/>
      <c r="AE88" s="646"/>
      <c r="AF88" s="35"/>
    </row>
    <row r="89" spans="1:32" ht="11.25" customHeight="1">
      <c r="A89" s="2331" t="s">
        <v>330</v>
      </c>
      <c r="B89" s="155"/>
      <c r="C89" s="413"/>
      <c r="D89" s="414"/>
      <c r="E89" s="414"/>
      <c r="F89" s="677"/>
      <c r="G89" s="678"/>
      <c r="H89" s="678"/>
      <c r="I89" s="678"/>
      <c r="J89" s="678"/>
      <c r="K89" s="678"/>
      <c r="L89" s="678"/>
      <c r="M89" s="678"/>
      <c r="N89" s="678"/>
      <c r="O89" s="678"/>
      <c r="P89" s="419"/>
      <c r="R89" s="646"/>
      <c r="S89" s="733"/>
      <c r="T89" s="730"/>
      <c r="U89" s="731"/>
      <c r="V89" s="732"/>
      <c r="W89" s="732"/>
      <c r="X89" s="734"/>
      <c r="Y89" s="646"/>
      <c r="Z89" s="646"/>
      <c r="AA89" s="646"/>
      <c r="AB89" s="646"/>
      <c r="AC89" s="646"/>
      <c r="AD89" s="646"/>
      <c r="AE89" s="646"/>
      <c r="AF89" s="35"/>
    </row>
    <row r="90" spans="1:32">
      <c r="A90" s="2331" t="s">
        <v>194</v>
      </c>
      <c r="R90" s="646"/>
      <c r="S90" s="735"/>
      <c r="T90" s="621"/>
      <c r="U90" s="621"/>
      <c r="V90" s="736"/>
      <c r="W90" s="737"/>
      <c r="X90" s="737"/>
      <c r="Y90" s="737"/>
      <c r="Z90" s="737"/>
      <c r="AA90" s="737"/>
      <c r="AB90" s="737"/>
      <c r="AC90" s="737"/>
      <c r="AD90" s="737"/>
      <c r="AE90" s="737"/>
      <c r="AF90" s="35"/>
    </row>
    <row r="91" spans="1:32">
      <c r="B91" s="2331" t="s">
        <v>2074</v>
      </c>
      <c r="F91" s="119">
        <v>2007</v>
      </c>
      <c r="G91" s="120">
        <f>F91+5</f>
        <v>2012</v>
      </c>
      <c r="H91" s="120">
        <f t="shared" ref="H91:O91" si="21">G91+5</f>
        <v>2017</v>
      </c>
      <c r="I91" s="120">
        <f t="shared" si="21"/>
        <v>2022</v>
      </c>
      <c r="J91" s="120">
        <f t="shared" si="21"/>
        <v>2027</v>
      </c>
      <c r="K91" s="120">
        <f t="shared" si="21"/>
        <v>2032</v>
      </c>
      <c r="L91" s="120">
        <f t="shared" si="21"/>
        <v>2037</v>
      </c>
      <c r="M91" s="120">
        <f t="shared" si="21"/>
        <v>2042</v>
      </c>
      <c r="N91" s="120">
        <f t="shared" si="21"/>
        <v>2047</v>
      </c>
      <c r="O91" s="120">
        <f t="shared" si="21"/>
        <v>2052</v>
      </c>
      <c r="R91" s="646"/>
      <c r="S91" s="735"/>
      <c r="T91" s="2165"/>
      <c r="U91" s="621"/>
      <c r="V91" s="739"/>
      <c r="W91" s="739"/>
      <c r="X91" s="740"/>
      <c r="Y91" s="740"/>
      <c r="Z91" s="740"/>
      <c r="AA91" s="740"/>
      <c r="AB91" s="740"/>
      <c r="AC91" s="740"/>
      <c r="AD91" s="740"/>
      <c r="AE91" s="740"/>
      <c r="AF91" s="35"/>
    </row>
    <row r="92" spans="1:32">
      <c r="R92" s="646"/>
      <c r="S92" s="735"/>
      <c r="T92" s="2165"/>
      <c r="U92" s="621"/>
      <c r="V92" s="739"/>
      <c r="W92" s="739"/>
      <c r="X92" s="740"/>
      <c r="Y92" s="740"/>
      <c r="Z92" s="740"/>
      <c r="AA92" s="740"/>
      <c r="AB92" s="740"/>
      <c r="AC92" s="740"/>
      <c r="AD92" s="740"/>
      <c r="AE92" s="740"/>
      <c r="AF92" s="35"/>
    </row>
    <row r="93" spans="1:32">
      <c r="C93" s="423" t="s">
        <v>795</v>
      </c>
      <c r="E93" s="422" t="str">
        <f>Preferences.PowerUnits</f>
        <v>GW</v>
      </c>
      <c r="F93" s="22">
        <f t="shared" ref="F93:O93" si="22">F$83</f>
        <v>0</v>
      </c>
      <c r="G93" s="22">
        <f t="shared" si="22"/>
        <v>0.94100000000000006</v>
      </c>
      <c r="H93" s="22">
        <f t="shared" si="22"/>
        <v>4.9409999999999998</v>
      </c>
      <c r="I93" s="22">
        <f t="shared" si="22"/>
        <v>10.940999999999999</v>
      </c>
      <c r="J93" s="22">
        <f t="shared" si="22"/>
        <v>18.940999999999999</v>
      </c>
      <c r="K93" s="22">
        <f t="shared" si="22"/>
        <v>26.940999999999999</v>
      </c>
      <c r="L93" s="22">
        <f t="shared" si="22"/>
        <v>33.941000000000003</v>
      </c>
      <c r="M93" s="22">
        <f t="shared" si="22"/>
        <v>38</v>
      </c>
      <c r="N93" s="22">
        <f t="shared" si="22"/>
        <v>37</v>
      </c>
      <c r="O93" s="22">
        <f t="shared" si="22"/>
        <v>32</v>
      </c>
      <c r="R93" s="646"/>
      <c r="S93" s="735"/>
      <c r="T93" s="621"/>
      <c r="U93" s="621"/>
      <c r="V93" s="741"/>
      <c r="W93" s="741"/>
      <c r="X93" s="742"/>
      <c r="Y93" s="742"/>
      <c r="Z93" s="742"/>
      <c r="AA93" s="742"/>
      <c r="AB93" s="742"/>
      <c r="AC93" s="742"/>
      <c r="AD93" s="742"/>
      <c r="AE93" s="742"/>
      <c r="AF93" s="35"/>
    </row>
    <row r="94" spans="1:32">
      <c r="B94" s="2331" t="s">
        <v>796</v>
      </c>
      <c r="C94" s="2331" t="s">
        <v>797</v>
      </c>
      <c r="E94" s="422" t="s">
        <v>277</v>
      </c>
      <c r="F94" s="15">
        <f t="shared" ref="F94:O94" si="23">F$58</f>
        <v>0.19</v>
      </c>
      <c r="G94" s="15">
        <f t="shared" si="23"/>
        <v>0.19</v>
      </c>
      <c r="H94" s="15">
        <f t="shared" si="23"/>
        <v>0.191</v>
      </c>
      <c r="I94" s="15">
        <f t="shared" si="23"/>
        <v>0.19350000000000001</v>
      </c>
      <c r="J94" s="15">
        <f t="shared" si="23"/>
        <v>0.19750000000000001</v>
      </c>
      <c r="K94" s="15">
        <f t="shared" si="23"/>
        <v>0.20250000000000001</v>
      </c>
      <c r="L94" s="15">
        <f t="shared" si="23"/>
        <v>0.20499999999999999</v>
      </c>
      <c r="M94" s="15">
        <f t="shared" si="23"/>
        <v>0.20749999999999999</v>
      </c>
      <c r="N94" s="15">
        <f t="shared" si="23"/>
        <v>0.21</v>
      </c>
      <c r="O94" s="15">
        <f t="shared" si="23"/>
        <v>0.21249999999999999</v>
      </c>
      <c r="R94" s="646"/>
      <c r="S94" s="735"/>
      <c r="T94" s="621"/>
      <c r="U94" s="621"/>
      <c r="V94" s="736"/>
      <c r="W94" s="737"/>
      <c r="X94" s="737"/>
      <c r="Y94" s="737"/>
      <c r="Z94" s="737"/>
      <c r="AA94" s="737"/>
      <c r="AB94" s="737"/>
      <c r="AC94" s="737"/>
      <c r="AD94" s="737"/>
      <c r="AE94" s="737"/>
      <c r="AF94" s="35"/>
    </row>
    <row r="95" spans="1:32">
      <c r="B95" s="88" t="s">
        <v>276</v>
      </c>
      <c r="C95" s="423" t="s">
        <v>798</v>
      </c>
      <c r="E95" s="422" t="str">
        <f>Preferences.PowerUnits</f>
        <v>GW</v>
      </c>
      <c r="F95" s="73">
        <f>F93*F94</f>
        <v>0</v>
      </c>
      <c r="G95" s="73">
        <f t="shared" ref="G95:O95" si="24">G93*G94</f>
        <v>0.17879</v>
      </c>
      <c r="H95" s="73">
        <f t="shared" si="24"/>
        <v>0.94373099999999999</v>
      </c>
      <c r="I95" s="73">
        <f t="shared" si="24"/>
        <v>2.1170834999999997</v>
      </c>
      <c r="J95" s="73">
        <f t="shared" si="24"/>
        <v>3.7408475000000001</v>
      </c>
      <c r="K95" s="73">
        <f t="shared" si="24"/>
        <v>5.4555525000000005</v>
      </c>
      <c r="L95" s="73">
        <f t="shared" si="24"/>
        <v>6.9579050000000002</v>
      </c>
      <c r="M95" s="73">
        <f t="shared" si="24"/>
        <v>7.8849999999999998</v>
      </c>
      <c r="N95" s="73">
        <f t="shared" si="24"/>
        <v>7.77</v>
      </c>
      <c r="O95" s="73">
        <f t="shared" si="24"/>
        <v>6.8</v>
      </c>
      <c r="R95" s="646"/>
      <c r="S95" s="735"/>
      <c r="T95" s="2165"/>
      <c r="U95" s="621"/>
      <c r="V95" s="741"/>
      <c r="W95" s="741"/>
      <c r="X95" s="741"/>
      <c r="Y95" s="741"/>
      <c r="Z95" s="741"/>
      <c r="AA95" s="741"/>
      <c r="AB95" s="741"/>
      <c r="AC95" s="741"/>
      <c r="AD95" s="741"/>
      <c r="AE95" s="741"/>
      <c r="AF95" s="35"/>
    </row>
    <row r="96" spans="1:32">
      <c r="C96" s="423" t="s">
        <v>799</v>
      </c>
      <c r="E96" s="422" t="str">
        <f>preferences.energyunits</f>
        <v>TWh</v>
      </c>
      <c r="F96" s="73">
        <f t="shared" ref="F96:O96" si="25">F95*Preferences.Unit.Power*Unit.year/Preferences.Unit.Energy</f>
        <v>0</v>
      </c>
      <c r="G96" s="73">
        <f t="shared" si="25"/>
        <v>1.56727314</v>
      </c>
      <c r="H96" s="73">
        <f t="shared" si="25"/>
        <v>8.2727459460000006</v>
      </c>
      <c r="I96" s="73">
        <f t="shared" si="25"/>
        <v>18.558353960999998</v>
      </c>
      <c r="J96" s="73">
        <f t="shared" si="25"/>
        <v>32.792269185000002</v>
      </c>
      <c r="K96" s="73">
        <f t="shared" si="25"/>
        <v>47.823373215000004</v>
      </c>
      <c r="L96" s="73">
        <f t="shared" si="25"/>
        <v>60.992995229999998</v>
      </c>
      <c r="M96" s="73">
        <f t="shared" si="25"/>
        <v>69.119910000000004</v>
      </c>
      <c r="N96" s="73">
        <f t="shared" si="25"/>
        <v>68.111819999999994</v>
      </c>
      <c r="O96" s="73">
        <f t="shared" si="25"/>
        <v>59.608800000000002</v>
      </c>
      <c r="R96" s="646"/>
      <c r="S96" s="735"/>
      <c r="T96" s="2165"/>
      <c r="U96" s="621"/>
      <c r="V96" s="741"/>
      <c r="W96" s="741"/>
      <c r="X96" s="741"/>
      <c r="Y96" s="741"/>
      <c r="Z96" s="741"/>
      <c r="AA96" s="741"/>
      <c r="AB96" s="741"/>
      <c r="AC96" s="741"/>
      <c r="AD96" s="741"/>
      <c r="AE96" s="741"/>
      <c r="AF96" s="35"/>
    </row>
    <row r="97" spans="1:32" s="2555" customFormat="1">
      <c r="A97" s="2555" t="s">
        <v>408</v>
      </c>
      <c r="B97" s="2555" t="s">
        <v>2075</v>
      </c>
      <c r="C97" s="423"/>
      <c r="E97" s="422" t="str">
        <f>preferences.energyunits</f>
        <v>TWh</v>
      </c>
      <c r="F97" s="2561">
        <f ca="1">-(INDEX(INDIRECT($A$89&amp;".outputs["&amp;F$91&amp;"]"),MATCH($A97,INDIRECT($A$89&amp;".outputs[Vector]"),0))+INDEX(INDIRECT($A$90&amp;".outputs["&amp;F$91&amp;"]"),MATCH($A97,INDIRECT($A$90&amp;".outputs[Vector]"),0)))</f>
        <v>0</v>
      </c>
      <c r="G97" s="2561">
        <f t="shared" ref="G97:O97" ca="1" si="26">-(INDEX(INDIRECT($A$89&amp;".outputs["&amp;G$91&amp;"]"),MATCH($A97,INDIRECT($A$89&amp;".outputs[Vector]"),0))+INDEX(INDIRECT($A$90&amp;".outputs["&amp;G$91&amp;"]"),MATCH($A97,INDIRECT($A$90&amp;".outputs[Vector]"),0)))</f>
        <v>0</v>
      </c>
      <c r="H97" s="2561">
        <f t="shared" ca="1" si="26"/>
        <v>0.20202639475160969</v>
      </c>
      <c r="I97" s="2561">
        <f t="shared" ca="1" si="26"/>
        <v>0.23479755278393905</v>
      </c>
      <c r="J97" s="2561">
        <f t="shared" ca="1" si="26"/>
        <v>0.80246458490064865</v>
      </c>
      <c r="K97" s="2561">
        <f t="shared" ca="1" si="26"/>
        <v>0.85035107226340734</v>
      </c>
      <c r="L97" s="2561">
        <f t="shared" ca="1" si="26"/>
        <v>1.8569422309993817</v>
      </c>
      <c r="M97" s="2561">
        <f t="shared" ca="1" si="26"/>
        <v>1.7981818784172785</v>
      </c>
      <c r="N97" s="2561">
        <f t="shared" ca="1" si="26"/>
        <v>3.3657895406453329</v>
      </c>
      <c r="O97" s="2561">
        <f t="shared" ca="1" si="26"/>
        <v>4.2587975180334565</v>
      </c>
      <c r="R97" s="646"/>
      <c r="S97" s="735"/>
      <c r="T97" s="2165"/>
      <c r="U97" s="621"/>
      <c r="V97" s="741"/>
      <c r="W97" s="741"/>
      <c r="X97" s="741"/>
      <c r="Y97" s="741"/>
      <c r="Z97" s="741"/>
      <c r="AA97" s="741"/>
      <c r="AB97" s="741"/>
      <c r="AC97" s="741"/>
      <c r="AD97" s="741"/>
      <c r="AE97" s="741"/>
      <c r="AF97" s="35"/>
    </row>
    <row r="98" spans="1:32" s="2555" customFormat="1">
      <c r="C98" s="423"/>
      <c r="E98" s="422"/>
      <c r="F98" s="73"/>
      <c r="G98" s="73"/>
      <c r="H98" s="73"/>
      <c r="I98" s="73"/>
      <c r="J98" s="73"/>
      <c r="K98" s="73"/>
      <c r="L98" s="73"/>
      <c r="M98" s="73"/>
      <c r="N98" s="73"/>
      <c r="O98" s="73"/>
      <c r="R98" s="646"/>
      <c r="S98" s="735"/>
      <c r="T98" s="2165"/>
      <c r="U98" s="621"/>
      <c r="V98" s="741"/>
      <c r="W98" s="741"/>
      <c r="X98" s="741"/>
      <c r="Y98" s="741"/>
      <c r="Z98" s="741"/>
      <c r="AA98" s="741"/>
      <c r="AB98" s="741"/>
      <c r="AC98" s="741"/>
      <c r="AD98" s="741"/>
      <c r="AE98" s="741"/>
      <c r="AF98" s="35"/>
    </row>
    <row r="99" spans="1:32">
      <c r="C99" s="423" t="s">
        <v>721</v>
      </c>
      <c r="E99" s="422" t="str">
        <f>Preferences.AreaUnits</f>
        <v>ha</v>
      </c>
      <c r="F99" s="365">
        <f>F93*F74</f>
        <v>0</v>
      </c>
      <c r="G99" s="365">
        <f t="shared" ref="G99:O99" si="27">G93*G74</f>
        <v>1808.8436494022403</v>
      </c>
      <c r="H99" s="365">
        <f t="shared" si="27"/>
        <v>8939.1725665527028</v>
      </c>
      <c r="I99" s="365">
        <f t="shared" si="27"/>
        <v>18629.900982302352</v>
      </c>
      <c r="J99" s="365">
        <f t="shared" si="27"/>
        <v>30460.206900640853</v>
      </c>
      <c r="K99" s="365">
        <f t="shared" si="27"/>
        <v>41045.217459154213</v>
      </c>
      <c r="L99" s="365">
        <f t="shared" si="27"/>
        <v>46785.124442727378</v>
      </c>
      <c r="M99" s="365">
        <f t="shared" si="27"/>
        <v>49999.235712903508</v>
      </c>
      <c r="N99" s="365">
        <f t="shared" si="27"/>
        <v>46566.793901949066</v>
      </c>
      <c r="O99" s="365">
        <f t="shared" si="27"/>
        <v>38595.901252065953</v>
      </c>
      <c r="R99" s="646"/>
      <c r="S99" s="735"/>
      <c r="T99" s="2165"/>
      <c r="U99" s="621"/>
      <c r="V99" s="741"/>
      <c r="W99" s="741"/>
      <c r="X99" s="741"/>
      <c r="Y99" s="741"/>
      <c r="Z99" s="741"/>
      <c r="AA99" s="741"/>
      <c r="AB99" s="741"/>
      <c r="AC99" s="741"/>
      <c r="AD99" s="741"/>
      <c r="AE99" s="741"/>
      <c r="AF99" s="35"/>
    </row>
    <row r="100" spans="1:32">
      <c r="Q100" s="359"/>
    </row>
    <row r="101" spans="1:32" ht="15.75">
      <c r="B101" s="206" t="s">
        <v>202</v>
      </c>
      <c r="C101" s="175"/>
      <c r="D101" s="175"/>
      <c r="E101" s="175"/>
      <c r="F101" s="175"/>
      <c r="G101" s="175"/>
      <c r="H101" s="175"/>
      <c r="I101" s="175"/>
      <c r="J101" s="175"/>
      <c r="K101" s="175"/>
      <c r="L101" s="175"/>
      <c r="M101" s="175"/>
      <c r="N101" s="175"/>
      <c r="O101" s="175"/>
      <c r="P101" s="177"/>
      <c r="Q101" s="359"/>
    </row>
    <row r="102" spans="1:32">
      <c r="B102" s="164"/>
      <c r="C102" s="166"/>
      <c r="D102" s="166"/>
      <c r="E102" s="166"/>
      <c r="F102" s="166"/>
      <c r="G102" s="166"/>
      <c r="H102" s="166"/>
      <c r="I102" s="166"/>
      <c r="J102" s="166"/>
      <c r="K102" s="166"/>
      <c r="L102" s="166"/>
      <c r="M102" s="166"/>
      <c r="N102" s="166"/>
      <c r="O102" s="166"/>
      <c r="P102" s="168"/>
      <c r="Q102" s="359"/>
    </row>
    <row r="103" spans="1:32">
      <c r="B103" s="164"/>
      <c r="C103" s="178" t="s">
        <v>239</v>
      </c>
      <c r="D103" s="166"/>
      <c r="E103" s="167"/>
      <c r="F103" s="166"/>
      <c r="G103" s="167"/>
      <c r="H103" s="166"/>
      <c r="I103" s="166"/>
      <c r="J103" s="166"/>
      <c r="K103" s="166"/>
      <c r="L103" s="166"/>
      <c r="M103" s="166"/>
      <c r="N103" s="166"/>
      <c r="O103" s="167" t="str">
        <f>preferences.energyunits</f>
        <v>TWh</v>
      </c>
      <c r="P103" s="168"/>
      <c r="Q103" s="359"/>
    </row>
    <row r="104" spans="1:32">
      <c r="B104" s="164"/>
      <c r="C104" s="166"/>
      <c r="D104" s="166"/>
      <c r="E104" s="166"/>
      <c r="F104" s="166"/>
      <c r="G104" s="166"/>
      <c r="H104" s="166"/>
      <c r="I104" s="166"/>
      <c r="J104" s="166"/>
      <c r="K104" s="166"/>
      <c r="L104" s="166"/>
      <c r="M104" s="166"/>
      <c r="N104" s="166"/>
      <c r="O104" s="166"/>
      <c r="P104" s="168"/>
      <c r="Q104" s="359"/>
    </row>
    <row r="105" spans="1:32" ht="15.75">
      <c r="B105" s="169"/>
      <c r="C105" s="180" t="s">
        <v>64</v>
      </c>
      <c r="D105" s="180" t="s">
        <v>137</v>
      </c>
      <c r="E105" s="180" t="s">
        <v>156</v>
      </c>
      <c r="F105" s="230" t="s">
        <v>203</v>
      </c>
      <c r="G105" s="566" t="s">
        <v>712</v>
      </c>
      <c r="H105" s="566" t="s">
        <v>713</v>
      </c>
      <c r="I105" s="566" t="s">
        <v>714</v>
      </c>
      <c r="J105" s="566" t="s">
        <v>715</v>
      </c>
      <c r="K105" s="566" t="s">
        <v>716</v>
      </c>
      <c r="L105" s="566" t="s">
        <v>717</v>
      </c>
      <c r="M105" s="566" t="s">
        <v>718</v>
      </c>
      <c r="N105" s="566" t="s">
        <v>719</v>
      </c>
      <c r="O105" s="566" t="s">
        <v>720</v>
      </c>
      <c r="P105" s="168"/>
      <c r="Q105" s="359"/>
      <c r="R105" s="2331" t="s">
        <v>120</v>
      </c>
    </row>
    <row r="106" spans="1:32" ht="15.75">
      <c r="B106" s="169"/>
      <c r="C106" s="60" t="s">
        <v>35</v>
      </c>
      <c r="D106" s="60" t="str">
        <f>INDEX(Vectors[Description], MATCH([Vector], Vectors[Code], 0))</f>
        <v>Electricity (supplied to grid)</v>
      </c>
      <c r="E106" s="60"/>
      <c r="F106" s="129">
        <f t="shared" ref="F106:O106" si="28">F$96</f>
        <v>0</v>
      </c>
      <c r="G106" s="129">
        <f t="shared" si="28"/>
        <v>1.56727314</v>
      </c>
      <c r="H106" s="129">
        <f t="shared" si="28"/>
        <v>8.2727459460000006</v>
      </c>
      <c r="I106" s="129">
        <f t="shared" si="28"/>
        <v>18.558353960999998</v>
      </c>
      <c r="J106" s="129">
        <f t="shared" si="28"/>
        <v>32.792269185000002</v>
      </c>
      <c r="K106" s="129">
        <f t="shared" si="28"/>
        <v>47.823373215000004</v>
      </c>
      <c r="L106" s="129">
        <f t="shared" si="28"/>
        <v>60.992995229999998</v>
      </c>
      <c r="M106" s="129">
        <f t="shared" si="28"/>
        <v>69.119910000000004</v>
      </c>
      <c r="N106" s="129">
        <f t="shared" si="28"/>
        <v>68.111819999999994</v>
      </c>
      <c r="O106" s="129">
        <f t="shared" si="28"/>
        <v>59.608800000000002</v>
      </c>
      <c r="P106" s="168"/>
      <c r="Q106" s="359"/>
    </row>
    <row r="107" spans="1:32" ht="15.75">
      <c r="B107" s="169"/>
      <c r="C107" s="2559" t="s">
        <v>408</v>
      </c>
      <c r="D107" s="60" t="str">
        <f>INDEX(Vectors[Description], MATCH([Vector], Vectors[Code], 0))</f>
        <v>Off Grid Renewables</v>
      </c>
      <c r="E107" s="60"/>
      <c r="F107" s="129">
        <f t="shared" ref="F107:O107" ca="1" si="29">F97</f>
        <v>0</v>
      </c>
      <c r="G107" s="129">
        <f t="shared" ca="1" si="29"/>
        <v>0</v>
      </c>
      <c r="H107" s="129">
        <f t="shared" ca="1" si="29"/>
        <v>0.20202639475160969</v>
      </c>
      <c r="I107" s="129">
        <f t="shared" ca="1" si="29"/>
        <v>0.23479755278393905</v>
      </c>
      <c r="J107" s="129">
        <f t="shared" ca="1" si="29"/>
        <v>0.80246458490064865</v>
      </c>
      <c r="K107" s="129">
        <f t="shared" ca="1" si="29"/>
        <v>0.85035107226340734</v>
      </c>
      <c r="L107" s="129">
        <f t="shared" ca="1" si="29"/>
        <v>1.8569422309993817</v>
      </c>
      <c r="M107" s="129">
        <f t="shared" ca="1" si="29"/>
        <v>1.7981818784172785</v>
      </c>
      <c r="N107" s="129">
        <f t="shared" ca="1" si="29"/>
        <v>3.3657895406453329</v>
      </c>
      <c r="O107" s="129">
        <f t="shared" ca="1" si="29"/>
        <v>4.2587975180334565</v>
      </c>
      <c r="P107" s="168"/>
      <c r="Q107" s="359"/>
    </row>
    <row r="108" spans="1:32" ht="15.75">
      <c r="B108" s="169"/>
      <c r="C108" s="60" t="s">
        <v>24</v>
      </c>
      <c r="D108" s="60" t="str">
        <f>INDEX(Vectors[Description], MATCH([Vector], Vectors[Code], 0))</f>
        <v>Solar</v>
      </c>
      <c r="E108" s="60"/>
      <c r="F108" s="129">
        <f t="shared" ref="F108:O108" ca="1" si="30">-F$96-F97</f>
        <v>0</v>
      </c>
      <c r="G108" s="129">
        <f t="shared" ca="1" si="30"/>
        <v>-1.56727314</v>
      </c>
      <c r="H108" s="129">
        <f t="shared" ca="1" si="30"/>
        <v>-8.4747723407516098</v>
      </c>
      <c r="I108" s="129">
        <f t="shared" ca="1" si="30"/>
        <v>-18.793151513783936</v>
      </c>
      <c r="J108" s="129">
        <f t="shared" ca="1" si="30"/>
        <v>-33.59473376990065</v>
      </c>
      <c r="K108" s="129">
        <f t="shared" ca="1" si="30"/>
        <v>-48.673724287263411</v>
      </c>
      <c r="L108" s="129">
        <f t="shared" ca="1" si="30"/>
        <v>-62.849937460999378</v>
      </c>
      <c r="M108" s="129">
        <f t="shared" ca="1" si="30"/>
        <v>-70.918091878417286</v>
      </c>
      <c r="N108" s="129">
        <f t="shared" ca="1" si="30"/>
        <v>-71.477609540645332</v>
      </c>
      <c r="O108" s="129">
        <f t="shared" ca="1" si="30"/>
        <v>-63.867597518033456</v>
      </c>
      <c r="P108" s="168"/>
      <c r="Q108" s="359"/>
    </row>
    <row r="109" spans="1:32" ht="15.75">
      <c r="B109" s="170"/>
      <c r="C109" s="60" t="s">
        <v>103</v>
      </c>
      <c r="D109" s="60"/>
      <c r="E109" s="60"/>
      <c r="F109" s="648">
        <f ca="1">SUBTOTAL(109,[2007])</f>
        <v>0</v>
      </c>
      <c r="G109" s="60">
        <f ca="1">SUBTOTAL(109,[2012])</f>
        <v>0</v>
      </c>
      <c r="H109" s="60">
        <f ca="1">SUBTOTAL(109,[2017])</f>
        <v>0</v>
      </c>
      <c r="I109" s="60">
        <f ca="1">SUBTOTAL(109,[2022])</f>
        <v>0</v>
      </c>
      <c r="J109" s="60">
        <f ca="1">SUBTOTAL(109,[2027])</f>
        <v>0</v>
      </c>
      <c r="K109" s="60">
        <f ca="1">SUBTOTAL(109,[2032])</f>
        <v>0</v>
      </c>
      <c r="L109" s="60">
        <f ca="1">SUBTOTAL(109,[2037])</f>
        <v>0</v>
      </c>
      <c r="M109" s="60">
        <f ca="1">SUBTOTAL(109,[2042])</f>
        <v>0</v>
      </c>
      <c r="N109" s="60">
        <f ca="1">SUBTOTAL(109,[2047])</f>
        <v>0</v>
      </c>
      <c r="O109" s="60">
        <f ca="1">SUBTOTAL(109,[2052])</f>
        <v>0</v>
      </c>
      <c r="P109" s="173"/>
      <c r="Q109" s="359"/>
    </row>
    <row r="110" spans="1:32" ht="15.75">
      <c r="B110" s="1942"/>
      <c r="C110" s="171"/>
      <c r="D110" s="171"/>
      <c r="E110" s="171"/>
      <c r="F110" s="171"/>
      <c r="G110" s="171"/>
      <c r="H110" s="171"/>
      <c r="I110" s="171"/>
      <c r="J110" s="171"/>
      <c r="K110" s="171"/>
      <c r="L110" s="171"/>
      <c r="M110" s="171"/>
      <c r="N110" s="171"/>
      <c r="O110" s="171"/>
    </row>
    <row r="111" spans="1:32">
      <c r="P111" s="426"/>
    </row>
    <row r="112" spans="1:32" ht="15.75">
      <c r="B112" s="424" t="s">
        <v>501</v>
      </c>
      <c r="C112" s="346"/>
      <c r="D112" s="425"/>
      <c r="E112" s="425"/>
      <c r="F112" s="425"/>
      <c r="G112" s="425"/>
      <c r="H112" s="425"/>
      <c r="I112" s="425"/>
      <c r="J112" s="425"/>
      <c r="K112" s="425"/>
      <c r="L112" s="425"/>
      <c r="M112" s="425"/>
      <c r="N112" s="425"/>
      <c r="O112" s="425"/>
      <c r="P112" s="349"/>
    </row>
    <row r="113" spans="1:16">
      <c r="B113" s="347"/>
      <c r="C113" s="348"/>
      <c r="D113" s="348"/>
      <c r="E113" s="348"/>
      <c r="F113" s="348"/>
      <c r="G113" s="348"/>
      <c r="H113" s="348"/>
      <c r="I113" s="348"/>
      <c r="J113" s="348"/>
      <c r="K113" s="348"/>
      <c r="L113" s="348"/>
      <c r="M113" s="348"/>
      <c r="N113" s="348"/>
      <c r="O113" s="348"/>
      <c r="P113" s="429"/>
    </row>
    <row r="114" spans="1:16" collapsed="1">
      <c r="B114" s="427"/>
      <c r="C114" s="350" t="s">
        <v>506</v>
      </c>
      <c r="D114" s="428"/>
      <c r="E114" s="351"/>
      <c r="F114" s="428"/>
      <c r="G114" s="351"/>
      <c r="H114" s="428"/>
      <c r="I114" s="428"/>
      <c r="J114" s="428"/>
      <c r="K114" s="428"/>
      <c r="L114" s="428"/>
      <c r="M114" s="428"/>
      <c r="N114" s="428"/>
      <c r="O114" s="351"/>
      <c r="P114" s="429"/>
    </row>
    <row r="115" spans="1:16">
      <c r="B115" s="427"/>
      <c r="C115" s="428"/>
      <c r="D115" s="428"/>
      <c r="E115" s="428"/>
      <c r="F115" s="428"/>
      <c r="G115" s="428"/>
      <c r="H115" s="428"/>
      <c r="I115" s="428"/>
      <c r="J115" s="428"/>
      <c r="K115" s="428"/>
      <c r="L115" s="428"/>
      <c r="M115" s="428"/>
      <c r="N115" s="428"/>
      <c r="O115" s="428"/>
      <c r="P115" s="429"/>
    </row>
    <row r="116" spans="1:16" ht="15.75">
      <c r="B116" s="430"/>
      <c r="C116" s="431" t="s">
        <v>64</v>
      </c>
      <c r="D116" s="431" t="s">
        <v>502</v>
      </c>
      <c r="E116" s="431" t="s">
        <v>156</v>
      </c>
      <c r="F116" s="230" t="s">
        <v>203</v>
      </c>
      <c r="G116" s="566" t="s">
        <v>712</v>
      </c>
      <c r="H116" s="566" t="s">
        <v>713</v>
      </c>
      <c r="I116" s="566" t="s">
        <v>714</v>
      </c>
      <c r="J116" s="566" t="s">
        <v>715</v>
      </c>
      <c r="K116" s="566" t="s">
        <v>716</v>
      </c>
      <c r="L116" s="566" t="s">
        <v>717</v>
      </c>
      <c r="M116" s="566" t="s">
        <v>718</v>
      </c>
      <c r="N116" s="566" t="s">
        <v>719</v>
      </c>
      <c r="O116" s="566" t="s">
        <v>720</v>
      </c>
      <c r="P116" s="429"/>
    </row>
    <row r="117" spans="1:16" ht="15.75">
      <c r="B117" s="430"/>
      <c r="C117" s="432" t="s">
        <v>503</v>
      </c>
      <c r="D117" s="432" t="str">
        <f>INDEX(Vectors[Description], MATCH([Vector], Vectors[Code], 0))</f>
        <v>India Land area</v>
      </c>
      <c r="E117" s="433" t="str">
        <f>Preferences.AreaUnits</f>
        <v>ha</v>
      </c>
      <c r="F117" s="354">
        <f>F99</f>
        <v>0</v>
      </c>
      <c r="G117" s="354">
        <f t="shared" ref="G117:O117" si="31">G99</f>
        <v>1808.8436494022403</v>
      </c>
      <c r="H117" s="354">
        <f t="shared" si="31"/>
        <v>8939.1725665527028</v>
      </c>
      <c r="I117" s="354">
        <f t="shared" si="31"/>
        <v>18629.900982302352</v>
      </c>
      <c r="J117" s="354">
        <f t="shared" si="31"/>
        <v>30460.206900640853</v>
      </c>
      <c r="K117" s="354">
        <f t="shared" si="31"/>
        <v>41045.217459154213</v>
      </c>
      <c r="L117" s="354">
        <f t="shared" si="31"/>
        <v>46785.124442727378</v>
      </c>
      <c r="M117" s="354">
        <f t="shared" si="31"/>
        <v>49999.235712903508</v>
      </c>
      <c r="N117" s="354">
        <f t="shared" si="31"/>
        <v>46566.793901949066</v>
      </c>
      <c r="O117" s="354">
        <f t="shared" si="31"/>
        <v>38595.901252065953</v>
      </c>
      <c r="P117" s="429"/>
    </row>
    <row r="118" spans="1:16" ht="12.75" customHeight="1">
      <c r="B118" s="430"/>
      <c r="C118" s="432" t="s">
        <v>508</v>
      </c>
      <c r="D118" s="433" t="str">
        <f>INDEX(Vectors[Description], MATCH([Vector], Vectors[Code], 0))</f>
        <v xml:space="preserve">Installed Capacity </v>
      </c>
      <c r="E118" s="433" t="str">
        <f>Preferences.PowerUnits</f>
        <v>GW</v>
      </c>
      <c r="F118" s="354">
        <f t="shared" ref="F118:O118" si="32">F83</f>
        <v>0</v>
      </c>
      <c r="G118" s="354">
        <f t="shared" si="32"/>
        <v>0.94100000000000006</v>
      </c>
      <c r="H118" s="354">
        <f t="shared" si="32"/>
        <v>4.9409999999999998</v>
      </c>
      <c r="I118" s="354">
        <f t="shared" si="32"/>
        <v>10.940999999999999</v>
      </c>
      <c r="J118" s="354">
        <f t="shared" si="32"/>
        <v>18.940999999999999</v>
      </c>
      <c r="K118" s="354">
        <f t="shared" si="32"/>
        <v>26.940999999999999</v>
      </c>
      <c r="L118" s="354">
        <f t="shared" si="32"/>
        <v>33.941000000000003</v>
      </c>
      <c r="M118" s="354">
        <f t="shared" si="32"/>
        <v>38</v>
      </c>
      <c r="N118" s="354">
        <f t="shared" si="32"/>
        <v>37</v>
      </c>
      <c r="O118" s="354">
        <f t="shared" si="32"/>
        <v>32</v>
      </c>
      <c r="P118" s="352"/>
    </row>
    <row r="119" spans="1:16" ht="15.75">
      <c r="B119" s="355"/>
      <c r="C119" s="434"/>
      <c r="D119" s="434"/>
      <c r="E119" s="434"/>
      <c r="F119" s="434"/>
      <c r="G119" s="434"/>
      <c r="H119" s="434"/>
      <c r="I119" s="434"/>
      <c r="J119" s="434"/>
      <c r="K119" s="434"/>
      <c r="L119" s="434"/>
      <c r="M119" s="434"/>
      <c r="N119" s="434"/>
      <c r="O119" s="434"/>
    </row>
    <row r="120" spans="1:16">
      <c r="P120" s="426"/>
    </row>
    <row r="122" spans="1:16">
      <c r="A122" s="423"/>
    </row>
    <row r="123" spans="1:16" ht="15.75" customHeight="1"/>
    <row r="125" spans="1:16" ht="14.25" customHeight="1"/>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sheetPr>
    <tabColor theme="9"/>
    <outlinePr summaryBelow="0"/>
    <pageSetUpPr autoPageBreaks="0"/>
  </sheetPr>
  <dimension ref="A1:AL128"/>
  <sheetViews>
    <sheetView showGridLines="0" topLeftCell="E27" zoomScale="85" zoomScaleNormal="85" zoomScalePageLayoutView="85" workbookViewId="0">
      <selection activeCell="N36" sqref="N36"/>
    </sheetView>
  </sheetViews>
  <sheetFormatPr defaultColWidth="8.85546875" defaultRowHeight="12.75"/>
  <cols>
    <col min="1" max="1" width="7.7109375" style="2331" customWidth="1"/>
    <col min="2" max="2" width="5.85546875" style="2331" customWidth="1"/>
    <col min="3" max="3" width="20.42578125" style="2331" customWidth="1"/>
    <col min="4" max="4" width="30.7109375" style="2331" customWidth="1"/>
    <col min="5" max="5" width="20.7109375" style="2331" customWidth="1"/>
    <col min="6" max="15" width="17.7109375" style="2331" customWidth="1"/>
    <col min="16" max="16" width="2" style="2331" customWidth="1"/>
    <col min="17" max="17" width="10.85546875" style="2331" customWidth="1"/>
    <col min="18" max="16384" width="8.85546875" style="2331"/>
  </cols>
  <sheetData>
    <row r="1" spans="1:16" ht="21">
      <c r="A1" s="77" t="s">
        <v>63</v>
      </c>
      <c r="B1" s="77" t="str">
        <f>INDEX(Workstreams[Workstream], MATCH($A1, Workstreams[Code], 0))</f>
        <v>National  renewable power generation</v>
      </c>
      <c r="C1" s="77"/>
    </row>
    <row r="2" spans="1:16" s="51" customFormat="1" ht="19.5" customHeight="1">
      <c r="A2" s="6" t="s">
        <v>407</v>
      </c>
      <c r="B2" s="6" t="str">
        <f>INDEX(Modules[Module], MATCH($A2, Modules[Code], 0))</f>
        <v>Solar CSP</v>
      </c>
      <c r="C2" s="6"/>
    </row>
    <row r="4" spans="1:16" ht="22.5" collapsed="1">
      <c r="A4" s="420"/>
      <c r="B4" s="206" t="s">
        <v>412</v>
      </c>
      <c r="C4" s="175"/>
      <c r="D4" s="175"/>
      <c r="E4" s="175"/>
      <c r="F4" s="175"/>
      <c r="G4" s="175"/>
      <c r="H4" s="175"/>
      <c r="I4" s="175"/>
      <c r="J4" s="175"/>
      <c r="K4" s="175"/>
      <c r="L4" s="175"/>
      <c r="M4" s="175"/>
      <c r="N4" s="175"/>
      <c r="O4" s="175"/>
      <c r="P4" s="177"/>
    </row>
    <row r="5" spans="1:16">
      <c r="B5" s="164"/>
      <c r="C5" s="166"/>
      <c r="D5" s="166"/>
      <c r="E5" s="166"/>
      <c r="F5" s="166"/>
      <c r="G5" s="166"/>
      <c r="H5" s="166"/>
      <c r="I5" s="166"/>
      <c r="J5" s="166"/>
      <c r="K5" s="166"/>
      <c r="L5" s="166"/>
      <c r="M5" s="166"/>
      <c r="N5" s="166"/>
      <c r="O5" s="166"/>
      <c r="P5" s="168"/>
    </row>
    <row r="6" spans="1:16" ht="5.25" customHeight="1">
      <c r="B6" s="164"/>
      <c r="C6" s="165"/>
      <c r="D6" s="166"/>
      <c r="E6" s="167"/>
      <c r="F6" s="166"/>
      <c r="G6" s="166"/>
      <c r="H6" s="166"/>
      <c r="I6" s="166"/>
      <c r="J6" s="166"/>
      <c r="K6" s="166"/>
      <c r="L6" s="166"/>
      <c r="M6" s="166"/>
      <c r="N6" s="166"/>
      <c r="O6" s="166"/>
      <c r="P6" s="168"/>
    </row>
    <row r="7" spans="1:16" ht="15.75">
      <c r="B7" s="169"/>
      <c r="C7" s="166"/>
      <c r="D7" s="118" t="s">
        <v>274</v>
      </c>
      <c r="E7" s="118" t="s">
        <v>411</v>
      </c>
      <c r="F7" s="166"/>
      <c r="G7" s="166"/>
      <c r="H7" s="166"/>
      <c r="I7" s="166"/>
      <c r="J7" s="166"/>
      <c r="K7" s="166"/>
      <c r="L7" s="166"/>
      <c r="M7" s="166"/>
      <c r="N7" s="166"/>
      <c r="O7" s="166"/>
      <c r="P7" s="168"/>
    </row>
    <row r="8" spans="1:16" ht="15.75">
      <c r="B8" s="169"/>
      <c r="C8" s="166"/>
      <c r="D8" s="127" t="s">
        <v>414</v>
      </c>
      <c r="E8" s="127">
        <f>IV.b.scenario</f>
        <v>1</v>
      </c>
      <c r="F8" s="166"/>
      <c r="G8" s="166"/>
      <c r="H8" s="166"/>
      <c r="I8" s="166"/>
      <c r="J8" s="166"/>
      <c r="K8" s="166"/>
      <c r="L8" s="166"/>
      <c r="M8" s="166"/>
      <c r="N8" s="166"/>
      <c r="O8" s="166"/>
      <c r="P8" s="168"/>
    </row>
    <row r="9" spans="1:16">
      <c r="B9" s="182"/>
      <c r="C9" s="172"/>
      <c r="D9" s="172"/>
      <c r="E9" s="172"/>
      <c r="F9" s="172"/>
      <c r="G9" s="172"/>
      <c r="H9" s="172"/>
      <c r="I9" s="172"/>
      <c r="J9" s="172"/>
      <c r="K9" s="172"/>
      <c r="L9" s="172"/>
      <c r="M9" s="172"/>
      <c r="N9" s="172"/>
      <c r="O9" s="172"/>
      <c r="P9" s="173"/>
    </row>
    <row r="11" spans="1:16" ht="22.5" collapsed="1">
      <c r="A11" s="420"/>
      <c r="B11" s="421" t="s">
        <v>413</v>
      </c>
      <c r="C11" s="159"/>
      <c r="D11" s="159"/>
      <c r="E11" s="159"/>
      <c r="F11" s="159"/>
      <c r="G11" s="159"/>
      <c r="H11" s="159"/>
      <c r="I11" s="159"/>
      <c r="J11" s="159"/>
      <c r="K11" s="159"/>
      <c r="L11" s="159"/>
      <c r="M11" s="159"/>
      <c r="N11" s="159"/>
      <c r="O11" s="159"/>
      <c r="P11" s="160"/>
    </row>
    <row r="12" spans="1:16">
      <c r="B12" s="418"/>
      <c r="C12" s="415"/>
      <c r="D12" s="415"/>
      <c r="E12" s="415"/>
      <c r="F12" s="415"/>
      <c r="G12" s="415"/>
      <c r="H12" s="415"/>
      <c r="I12" s="415"/>
      <c r="J12" s="415"/>
      <c r="K12" s="415"/>
      <c r="L12" s="415"/>
      <c r="M12" s="415"/>
      <c r="N12" s="415"/>
      <c r="O12" s="415"/>
      <c r="P12" s="419"/>
    </row>
    <row r="13" spans="1:16">
      <c r="B13" s="418"/>
      <c r="C13" s="416" t="s">
        <v>2242</v>
      </c>
      <c r="D13" s="415"/>
      <c r="E13" s="104"/>
      <c r="F13" s="415"/>
      <c r="G13" s="415"/>
      <c r="H13" s="415"/>
      <c r="I13" s="415"/>
      <c r="J13" s="415"/>
      <c r="K13" s="415"/>
      <c r="L13" s="415"/>
      <c r="M13" s="415"/>
      <c r="N13" s="415"/>
      <c r="O13" s="104" t="str">
        <f>Preferences.PowerUnits</f>
        <v>GW</v>
      </c>
      <c r="P13" s="419"/>
    </row>
    <row r="14" spans="1:16" ht="5.25" customHeight="1">
      <c r="B14" s="418"/>
      <c r="C14" s="415"/>
      <c r="D14" s="415"/>
      <c r="E14" s="415"/>
      <c r="F14" s="415"/>
      <c r="G14" s="415"/>
      <c r="H14" s="415"/>
      <c r="I14" s="415"/>
      <c r="J14" s="415"/>
      <c r="K14" s="415"/>
      <c r="L14" s="415"/>
      <c r="M14" s="415"/>
      <c r="N14" s="415"/>
      <c r="O14" s="415"/>
      <c r="P14" s="419"/>
    </row>
    <row r="15" spans="1:16" ht="15.75">
      <c r="B15" s="152"/>
      <c r="C15" s="61" t="s">
        <v>411</v>
      </c>
      <c r="D15" s="61" t="s">
        <v>65</v>
      </c>
      <c r="E15" s="61" t="s">
        <v>156</v>
      </c>
      <c r="F15" s="119">
        <v>2007</v>
      </c>
      <c r="G15" s="120">
        <v>2012</v>
      </c>
      <c r="H15" s="119">
        <v>2017</v>
      </c>
      <c r="I15" s="119">
        <v>2022</v>
      </c>
      <c r="J15" s="119">
        <v>2027</v>
      </c>
      <c r="K15" s="119">
        <v>2032</v>
      </c>
      <c r="L15" s="119">
        <v>2037</v>
      </c>
      <c r="M15" s="119">
        <v>2042</v>
      </c>
      <c r="N15" s="119">
        <v>2047</v>
      </c>
      <c r="O15" s="119">
        <v>2052</v>
      </c>
      <c r="P15" s="419"/>
    </row>
    <row r="16" spans="1:16" ht="15.75">
      <c r="B16" s="153"/>
      <c r="C16" s="413">
        <v>1</v>
      </c>
      <c r="D16" s="414"/>
      <c r="E16" s="96"/>
      <c r="F16" s="716">
        <f t="shared" ref="F16:G19" si="0">0*(Unit.MW)</f>
        <v>0</v>
      </c>
      <c r="G16" s="716">
        <f t="shared" si="0"/>
        <v>0</v>
      </c>
      <c r="H16" s="716">
        <f>1000*(Unit.MW)</f>
        <v>1</v>
      </c>
      <c r="I16" s="716">
        <f>2000*(Unit.MW)</f>
        <v>2</v>
      </c>
      <c r="J16" s="716">
        <f>2000*(Unit.MW)</f>
        <v>2</v>
      </c>
      <c r="K16" s="716">
        <f>2500*(Unit.MW)</f>
        <v>2.5</v>
      </c>
      <c r="L16" s="716">
        <f>2000*(Unit.MW)</f>
        <v>2</v>
      </c>
      <c r="M16" s="716">
        <f>1000*(Unit.MW)</f>
        <v>1</v>
      </c>
      <c r="N16" s="716">
        <f>0*(Unit.MW)</f>
        <v>0</v>
      </c>
      <c r="O16" s="716">
        <f>0*(Unit.MW)</f>
        <v>0</v>
      </c>
      <c r="P16" s="154"/>
    </row>
    <row r="17" spans="2:16" ht="15.75">
      <c r="B17" s="152"/>
      <c r="C17" s="413">
        <v>2</v>
      </c>
      <c r="D17" s="414"/>
      <c r="E17" s="414"/>
      <c r="F17" s="716">
        <f t="shared" si="0"/>
        <v>0</v>
      </c>
      <c r="G17" s="716">
        <f t="shared" si="0"/>
        <v>0</v>
      </c>
      <c r="H17" s="716">
        <f>1500*(Unit.MW)</f>
        <v>1.5</v>
      </c>
      <c r="I17" s="716">
        <f>2500*(Unit.MW)</f>
        <v>2.5</v>
      </c>
      <c r="J17" s="716">
        <f>3500*(Unit.MW)</f>
        <v>3.5</v>
      </c>
      <c r="K17" s="716">
        <f>5000*(Unit.MW)</f>
        <v>5</v>
      </c>
      <c r="L17" s="716">
        <f>8000*(Unit.MW)</f>
        <v>8</v>
      </c>
      <c r="M17" s="716">
        <f>12000*(Unit.MW)</f>
        <v>12</v>
      </c>
      <c r="N17" s="716">
        <f>15000*(Unit.MW)</f>
        <v>15</v>
      </c>
      <c r="O17" s="716">
        <f>20000*(Unit.MW)</f>
        <v>20</v>
      </c>
      <c r="P17" s="419"/>
    </row>
    <row r="18" spans="2:16" ht="15.75">
      <c r="B18" s="152"/>
      <c r="C18" s="413">
        <v>3</v>
      </c>
      <c r="D18" s="414"/>
      <c r="E18" s="414"/>
      <c r="F18" s="716">
        <f t="shared" si="0"/>
        <v>0</v>
      </c>
      <c r="G18" s="716">
        <f t="shared" si="0"/>
        <v>0</v>
      </c>
      <c r="H18" s="716">
        <f>1820*(Unit.MW)</f>
        <v>1.82</v>
      </c>
      <c r="I18" s="716">
        <f>3000*(Unit.MW)</f>
        <v>3</v>
      </c>
      <c r="J18" s="716">
        <f>5000*(Unit.MW)</f>
        <v>5</v>
      </c>
      <c r="K18" s="716">
        <f>8000*(Unit.MW)</f>
        <v>8</v>
      </c>
      <c r="L18" s="716">
        <f>12000*(Unit.MW)</f>
        <v>12</v>
      </c>
      <c r="M18" s="716">
        <f>18000*(Unit.MW)</f>
        <v>18</v>
      </c>
      <c r="N18" s="716">
        <f>30000*(Unit.MW)</f>
        <v>30</v>
      </c>
      <c r="O18" s="716">
        <f>45000*(Unit.MW)</f>
        <v>45</v>
      </c>
      <c r="P18" s="419"/>
    </row>
    <row r="19" spans="2:16" ht="15.75">
      <c r="B19" s="152"/>
      <c r="C19" s="411">
        <v>4</v>
      </c>
      <c r="D19" s="65"/>
      <c r="E19" s="65"/>
      <c r="F19" s="716">
        <f t="shared" si="0"/>
        <v>0</v>
      </c>
      <c r="G19" s="716">
        <f t="shared" si="0"/>
        <v>0</v>
      </c>
      <c r="H19" s="716">
        <f>2700*(Unit.MW)</f>
        <v>2.7</v>
      </c>
      <c r="I19" s="716">
        <f>4000*(Unit.MW)</f>
        <v>4</v>
      </c>
      <c r="J19" s="716">
        <f>8000*(Unit.MW)</f>
        <v>8</v>
      </c>
      <c r="K19" s="716">
        <f>20000*(Unit.MW)</f>
        <v>20</v>
      </c>
      <c r="L19" s="716">
        <f>35000*(Unit.MW)</f>
        <v>35</v>
      </c>
      <c r="M19" s="716">
        <f>50000*(Unit.MW)</f>
        <v>50</v>
      </c>
      <c r="N19" s="716">
        <f>70000*(Unit.MW)</f>
        <v>70</v>
      </c>
      <c r="O19" s="716">
        <f>100000*(Unit.MW)</f>
        <v>100</v>
      </c>
      <c r="P19" s="419"/>
    </row>
    <row r="20" spans="2:16" ht="15.75">
      <c r="B20" s="152"/>
      <c r="C20" s="406" t="s">
        <v>406</v>
      </c>
      <c r="D20" s="407"/>
      <c r="E20" s="407"/>
      <c r="F20" s="408">
        <f t="shared" ref="F20:O20" si="1">(INDEX(F$16:F$19,ROUNDDOWN($E$8,0))*(1-MOD($E$8,1)))+(INDEX(F$16:F$19,ROUNDUP($E$8,0))*MOD($E$8,1))</f>
        <v>0</v>
      </c>
      <c r="G20" s="610">
        <f t="shared" si="1"/>
        <v>0</v>
      </c>
      <c r="H20" s="408">
        <f t="shared" si="1"/>
        <v>1</v>
      </c>
      <c r="I20" s="408">
        <f t="shared" si="1"/>
        <v>2</v>
      </c>
      <c r="J20" s="408">
        <f t="shared" si="1"/>
        <v>2</v>
      </c>
      <c r="K20" s="408">
        <f t="shared" si="1"/>
        <v>2.5</v>
      </c>
      <c r="L20" s="408">
        <f t="shared" si="1"/>
        <v>2</v>
      </c>
      <c r="M20" s="408">
        <f t="shared" si="1"/>
        <v>1</v>
      </c>
      <c r="N20" s="408">
        <f t="shared" si="1"/>
        <v>0</v>
      </c>
      <c r="O20" s="408">
        <f t="shared" si="1"/>
        <v>0</v>
      </c>
      <c r="P20" s="419"/>
    </row>
    <row r="21" spans="2:16" ht="15.75">
      <c r="B21" s="152"/>
      <c r="C21" s="2271"/>
      <c r="D21" s="414"/>
      <c r="E21" s="414"/>
      <c r="F21" s="222"/>
      <c r="G21" s="222"/>
      <c r="H21" s="222"/>
      <c r="I21" s="222"/>
      <c r="J21" s="222"/>
      <c r="K21" s="222"/>
      <c r="L21" s="222"/>
      <c r="M21" s="222"/>
      <c r="N21" s="222"/>
      <c r="O21" s="222"/>
      <c r="P21" s="419"/>
    </row>
    <row r="22" spans="2:16" ht="15.75">
      <c r="B22" s="152"/>
      <c r="C22" s="416" t="s">
        <v>2331</v>
      </c>
      <c r="D22" s="415"/>
      <c r="E22" s="104"/>
      <c r="F22" s="415"/>
      <c r="G22" s="415"/>
      <c r="H22" s="415"/>
      <c r="I22" s="415"/>
      <c r="J22" s="415">
        <f>Unit.MW</f>
        <v>1E-3</v>
      </c>
      <c r="K22" s="415"/>
      <c r="L22" s="415"/>
      <c r="M22" s="415"/>
      <c r="N22" s="415"/>
      <c r="O22" s="104" t="str">
        <f>Preferences.PowerUnits</f>
        <v>GW</v>
      </c>
      <c r="P22" s="419"/>
    </row>
    <row r="23" spans="2:16" ht="15.75">
      <c r="B23" s="152"/>
      <c r="C23" s="415"/>
      <c r="D23" s="415"/>
      <c r="E23" s="415"/>
      <c r="F23" s="415"/>
      <c r="G23" s="415"/>
      <c r="H23" s="415"/>
      <c r="I23" s="415"/>
      <c r="J23" s="415"/>
      <c r="K23" s="415"/>
      <c r="L23" s="415"/>
      <c r="M23" s="415"/>
      <c r="N23" s="415"/>
      <c r="O23" s="415"/>
      <c r="P23" s="419"/>
    </row>
    <row r="24" spans="2:16" ht="15.75">
      <c r="B24" s="152"/>
      <c r="C24" s="61" t="s">
        <v>411</v>
      </c>
      <c r="D24" s="61" t="s">
        <v>65</v>
      </c>
      <c r="E24" s="61" t="s">
        <v>156</v>
      </c>
      <c r="F24" s="119">
        <v>2007</v>
      </c>
      <c r="G24" s="120">
        <f t="shared" ref="G24:O24" si="2">F24+5</f>
        <v>2012</v>
      </c>
      <c r="H24" s="120">
        <f t="shared" si="2"/>
        <v>2017</v>
      </c>
      <c r="I24" s="120">
        <f t="shared" si="2"/>
        <v>2022</v>
      </c>
      <c r="J24" s="120">
        <f t="shared" si="2"/>
        <v>2027</v>
      </c>
      <c r="K24" s="120">
        <f t="shared" si="2"/>
        <v>2032</v>
      </c>
      <c r="L24" s="120">
        <f t="shared" si="2"/>
        <v>2037</v>
      </c>
      <c r="M24" s="120">
        <f t="shared" si="2"/>
        <v>2042</v>
      </c>
      <c r="N24" s="120">
        <f t="shared" si="2"/>
        <v>2047</v>
      </c>
      <c r="O24" s="120">
        <f t="shared" si="2"/>
        <v>2052</v>
      </c>
      <c r="P24" s="419"/>
    </row>
    <row r="25" spans="2:16" ht="15.75">
      <c r="B25" s="152"/>
      <c r="C25" s="413">
        <v>1</v>
      </c>
      <c r="D25" s="414"/>
      <c r="E25" s="96"/>
      <c r="F25" s="415">
        <f t="shared" ref="F25:M28" si="3">0*(Unit.MW)</f>
        <v>0</v>
      </c>
      <c r="G25" s="415">
        <f t="shared" si="3"/>
        <v>0</v>
      </c>
      <c r="H25" s="415">
        <f t="shared" si="3"/>
        <v>0</v>
      </c>
      <c r="I25" s="415">
        <f t="shared" si="3"/>
        <v>0</v>
      </c>
      <c r="J25" s="415">
        <f t="shared" si="3"/>
        <v>0</v>
      </c>
      <c r="K25" s="415">
        <f t="shared" si="3"/>
        <v>0</v>
      </c>
      <c r="L25" s="415">
        <f t="shared" si="3"/>
        <v>0</v>
      </c>
      <c r="M25" s="415">
        <f t="shared" si="3"/>
        <v>0</v>
      </c>
      <c r="N25" s="415">
        <f>-1000*(Unit.MW)</f>
        <v>-1</v>
      </c>
      <c r="O25" s="415">
        <f>-2000*(Unit.MW)</f>
        <v>-2</v>
      </c>
      <c r="P25" s="419"/>
    </row>
    <row r="26" spans="2:16" ht="15.75">
      <c r="B26" s="152"/>
      <c r="C26" s="413">
        <v>2</v>
      </c>
      <c r="D26" s="414"/>
      <c r="E26" s="414"/>
      <c r="F26" s="415">
        <f t="shared" si="3"/>
        <v>0</v>
      </c>
      <c r="G26" s="415">
        <f t="shared" si="3"/>
        <v>0</v>
      </c>
      <c r="H26" s="415">
        <f t="shared" si="3"/>
        <v>0</v>
      </c>
      <c r="I26" s="415">
        <f t="shared" si="3"/>
        <v>0</v>
      </c>
      <c r="J26" s="415">
        <f t="shared" si="3"/>
        <v>0</v>
      </c>
      <c r="K26" s="415">
        <f t="shared" si="3"/>
        <v>0</v>
      </c>
      <c r="L26" s="415">
        <f t="shared" si="3"/>
        <v>0</v>
      </c>
      <c r="M26" s="415">
        <f t="shared" si="3"/>
        <v>0</v>
      </c>
      <c r="N26" s="415">
        <f>-1500*(Unit.MW)</f>
        <v>-1.5</v>
      </c>
      <c r="O26" s="415">
        <f>-2500*(Unit.MW)</f>
        <v>-2.5</v>
      </c>
      <c r="P26" s="419"/>
    </row>
    <row r="27" spans="2:16" ht="15.75">
      <c r="B27" s="152"/>
      <c r="C27" s="413">
        <v>3</v>
      </c>
      <c r="D27" s="414"/>
      <c r="E27" s="414"/>
      <c r="F27" s="415">
        <f t="shared" si="3"/>
        <v>0</v>
      </c>
      <c r="G27" s="415">
        <f t="shared" si="3"/>
        <v>0</v>
      </c>
      <c r="H27" s="415">
        <f t="shared" si="3"/>
        <v>0</v>
      </c>
      <c r="I27" s="415">
        <f t="shared" si="3"/>
        <v>0</v>
      </c>
      <c r="J27" s="415">
        <f t="shared" si="3"/>
        <v>0</v>
      </c>
      <c r="K27" s="415">
        <f t="shared" si="3"/>
        <v>0</v>
      </c>
      <c r="L27" s="415">
        <f t="shared" si="3"/>
        <v>0</v>
      </c>
      <c r="M27" s="415">
        <f t="shared" si="3"/>
        <v>0</v>
      </c>
      <c r="N27" s="415">
        <f>-1820*(Unit.MW)</f>
        <v>-1.82</v>
      </c>
      <c r="O27" s="415">
        <f>-3000*(Unit.MW)</f>
        <v>-3</v>
      </c>
      <c r="P27" s="419"/>
    </row>
    <row r="28" spans="2:16" ht="15.75">
      <c r="B28" s="152"/>
      <c r="C28" s="411">
        <v>4</v>
      </c>
      <c r="D28" s="65"/>
      <c r="E28" s="65"/>
      <c r="F28" s="415">
        <f t="shared" si="3"/>
        <v>0</v>
      </c>
      <c r="G28" s="415">
        <f t="shared" si="3"/>
        <v>0</v>
      </c>
      <c r="H28" s="415">
        <f t="shared" si="3"/>
        <v>0</v>
      </c>
      <c r="I28" s="415">
        <f t="shared" si="3"/>
        <v>0</v>
      </c>
      <c r="J28" s="415">
        <f t="shared" si="3"/>
        <v>0</v>
      </c>
      <c r="K28" s="415">
        <f t="shared" si="3"/>
        <v>0</v>
      </c>
      <c r="L28" s="415">
        <f t="shared" si="3"/>
        <v>0</v>
      </c>
      <c r="M28" s="415">
        <f t="shared" si="3"/>
        <v>0</v>
      </c>
      <c r="N28" s="415">
        <f>-2700*(Unit.MW)</f>
        <v>-2.7</v>
      </c>
      <c r="O28" s="415">
        <f>-4000*(Unit.MW)</f>
        <v>-4</v>
      </c>
      <c r="P28" s="419"/>
    </row>
    <row r="29" spans="2:16" ht="15.75">
      <c r="B29" s="152"/>
      <c r="C29" s="406" t="s">
        <v>406</v>
      </c>
      <c r="D29" s="407"/>
      <c r="E29" s="407"/>
      <c r="F29" s="408"/>
      <c r="G29" s="408">
        <f t="shared" ref="G29:O29" si="4">(INDEX(G$25:G$28,ROUNDDOWN($E$8,0))*(1-MOD($E$8,1)))+(INDEX(G$25:G$28,ROUNDUP($E$8,0))*MOD($E$8,1))</f>
        <v>0</v>
      </c>
      <c r="H29" s="408">
        <f t="shared" si="4"/>
        <v>0</v>
      </c>
      <c r="I29" s="408">
        <f t="shared" si="4"/>
        <v>0</v>
      </c>
      <c r="J29" s="408">
        <f t="shared" si="4"/>
        <v>0</v>
      </c>
      <c r="K29" s="408">
        <f t="shared" si="4"/>
        <v>0</v>
      </c>
      <c r="L29" s="408">
        <f t="shared" si="4"/>
        <v>0</v>
      </c>
      <c r="M29" s="408">
        <f t="shared" si="4"/>
        <v>0</v>
      </c>
      <c r="N29" s="408">
        <f t="shared" si="4"/>
        <v>-1</v>
      </c>
      <c r="O29" s="408">
        <f t="shared" si="4"/>
        <v>-2</v>
      </c>
      <c r="P29" s="419"/>
    </row>
    <row r="30" spans="2:16" ht="15.75">
      <c r="B30" s="152"/>
      <c r="C30" s="104"/>
      <c r="D30" s="105"/>
      <c r="E30" s="415"/>
      <c r="F30" s="415"/>
      <c r="G30" s="415"/>
      <c r="H30" s="415"/>
      <c r="I30" s="415"/>
      <c r="J30" s="415"/>
      <c r="K30" s="415"/>
      <c r="L30" s="415"/>
      <c r="M30" s="415"/>
      <c r="N30" s="415"/>
      <c r="O30" s="415"/>
      <c r="P30" s="419"/>
    </row>
    <row r="31" spans="2:16" ht="15.75">
      <c r="B31" s="152"/>
      <c r="C31" s="416" t="s">
        <v>2243</v>
      </c>
      <c r="D31" s="415"/>
      <c r="E31" s="104"/>
      <c r="F31" s="415"/>
      <c r="G31" s="415"/>
      <c r="H31" s="415"/>
      <c r="I31" s="415"/>
      <c r="J31" s="415">
        <f>Unit.MW</f>
        <v>1E-3</v>
      </c>
      <c r="K31" s="415"/>
      <c r="L31" s="415"/>
      <c r="M31" s="415"/>
      <c r="N31" s="415"/>
      <c r="O31" s="104" t="str">
        <f>Preferences.PowerUnits</f>
        <v>GW</v>
      </c>
      <c r="P31" s="419"/>
    </row>
    <row r="32" spans="2:16" ht="15.75">
      <c r="B32" s="152"/>
      <c r="C32" s="415"/>
      <c r="D32" s="415"/>
      <c r="E32" s="415"/>
      <c r="F32" s="415"/>
      <c r="G32" s="415"/>
      <c r="H32" s="415"/>
      <c r="I32" s="415"/>
      <c r="J32" s="415"/>
      <c r="K32" s="415"/>
      <c r="L32" s="415"/>
      <c r="M32" s="415"/>
      <c r="N32" s="415"/>
      <c r="O32" s="415"/>
      <c r="P32" s="419"/>
    </row>
    <row r="33" spans="2:16" ht="15.75">
      <c r="B33" s="152"/>
      <c r="C33" s="61" t="s">
        <v>411</v>
      </c>
      <c r="D33" s="61" t="s">
        <v>65</v>
      </c>
      <c r="E33" s="61" t="s">
        <v>156</v>
      </c>
      <c r="F33" s="119">
        <v>2007</v>
      </c>
      <c r="G33" s="120">
        <f t="shared" ref="G33:O33" si="5">F33+5</f>
        <v>2012</v>
      </c>
      <c r="H33" s="120">
        <f t="shared" si="5"/>
        <v>2017</v>
      </c>
      <c r="I33" s="120">
        <f t="shared" si="5"/>
        <v>2022</v>
      </c>
      <c r="J33" s="120">
        <f t="shared" si="5"/>
        <v>2027</v>
      </c>
      <c r="K33" s="120">
        <f t="shared" si="5"/>
        <v>2032</v>
      </c>
      <c r="L33" s="120">
        <f t="shared" si="5"/>
        <v>2037</v>
      </c>
      <c r="M33" s="120">
        <f t="shared" si="5"/>
        <v>2042</v>
      </c>
      <c r="N33" s="120">
        <f t="shared" si="5"/>
        <v>2047</v>
      </c>
      <c r="O33" s="120">
        <f t="shared" si="5"/>
        <v>2052</v>
      </c>
      <c r="P33" s="419"/>
    </row>
    <row r="34" spans="2:16" ht="15.75">
      <c r="B34" s="152"/>
      <c r="C34" s="413">
        <v>1</v>
      </c>
      <c r="D34" s="414"/>
      <c r="E34" s="96"/>
      <c r="F34" s="415">
        <f>F16</f>
        <v>0</v>
      </c>
      <c r="G34" s="415">
        <f>G16</f>
        <v>0</v>
      </c>
      <c r="H34" s="415">
        <f>H16+H25+G34</f>
        <v>1</v>
      </c>
      <c r="I34" s="415">
        <f t="shared" ref="I34:O34" si="6">I16+I25+H34</f>
        <v>3</v>
      </c>
      <c r="J34" s="415">
        <f t="shared" si="6"/>
        <v>5</v>
      </c>
      <c r="K34" s="415">
        <f t="shared" si="6"/>
        <v>7.5</v>
      </c>
      <c r="L34" s="415">
        <f t="shared" si="6"/>
        <v>9.5</v>
      </c>
      <c r="M34" s="415">
        <f t="shared" si="6"/>
        <v>10.5</v>
      </c>
      <c r="N34" s="415">
        <f t="shared" si="6"/>
        <v>9.5</v>
      </c>
      <c r="O34" s="415">
        <f t="shared" si="6"/>
        <v>7.5</v>
      </c>
      <c r="P34" s="419"/>
    </row>
    <row r="35" spans="2:16" ht="15.75">
      <c r="B35" s="152"/>
      <c r="C35" s="413">
        <v>2</v>
      </c>
      <c r="D35" s="414"/>
      <c r="E35" s="414"/>
      <c r="F35" s="415">
        <f t="shared" ref="F35:G37" si="7">F17</f>
        <v>0</v>
      </c>
      <c r="G35" s="415">
        <f t="shared" si="7"/>
        <v>0</v>
      </c>
      <c r="H35" s="415">
        <f t="shared" ref="H35:O37" si="8">H17+H26+G35</f>
        <v>1.5</v>
      </c>
      <c r="I35" s="415">
        <f t="shared" si="8"/>
        <v>4</v>
      </c>
      <c r="J35" s="415">
        <f t="shared" si="8"/>
        <v>7.5</v>
      </c>
      <c r="K35" s="415">
        <f t="shared" si="8"/>
        <v>12.5</v>
      </c>
      <c r="L35" s="415">
        <f t="shared" si="8"/>
        <v>20.5</v>
      </c>
      <c r="M35" s="415">
        <f t="shared" si="8"/>
        <v>32.5</v>
      </c>
      <c r="N35" s="415">
        <f t="shared" si="8"/>
        <v>46</v>
      </c>
      <c r="O35" s="415">
        <f t="shared" si="8"/>
        <v>63.5</v>
      </c>
      <c r="P35" s="419"/>
    </row>
    <row r="36" spans="2:16">
      <c r="B36" s="155"/>
      <c r="C36" s="413">
        <v>3</v>
      </c>
      <c r="D36" s="414"/>
      <c r="E36" s="414"/>
      <c r="F36" s="415">
        <f t="shared" si="7"/>
        <v>0</v>
      </c>
      <c r="G36" s="415">
        <f t="shared" si="7"/>
        <v>0</v>
      </c>
      <c r="H36" s="415">
        <f t="shared" si="8"/>
        <v>1.82</v>
      </c>
      <c r="I36" s="415">
        <f t="shared" si="8"/>
        <v>4.82</v>
      </c>
      <c r="J36" s="415">
        <f t="shared" si="8"/>
        <v>9.82</v>
      </c>
      <c r="K36" s="415">
        <f t="shared" si="8"/>
        <v>17.82</v>
      </c>
      <c r="L36" s="415">
        <f t="shared" si="8"/>
        <v>29.82</v>
      </c>
      <c r="M36" s="415">
        <f t="shared" si="8"/>
        <v>47.82</v>
      </c>
      <c r="N36" s="415">
        <f t="shared" si="8"/>
        <v>76</v>
      </c>
      <c r="O36" s="415">
        <f t="shared" si="8"/>
        <v>118</v>
      </c>
      <c r="P36" s="419"/>
    </row>
    <row r="37" spans="2:16">
      <c r="B37" s="239"/>
      <c r="C37" s="411">
        <v>4</v>
      </c>
      <c r="D37" s="65"/>
      <c r="E37" s="65"/>
      <c r="F37" s="415">
        <f t="shared" si="7"/>
        <v>0</v>
      </c>
      <c r="G37" s="415">
        <f t="shared" si="7"/>
        <v>0</v>
      </c>
      <c r="H37" s="415">
        <f t="shared" si="8"/>
        <v>2.7</v>
      </c>
      <c r="I37" s="415">
        <f t="shared" si="8"/>
        <v>6.7</v>
      </c>
      <c r="J37" s="415">
        <f t="shared" si="8"/>
        <v>14.7</v>
      </c>
      <c r="K37" s="415">
        <f t="shared" si="8"/>
        <v>34.700000000000003</v>
      </c>
      <c r="L37" s="415">
        <f t="shared" si="8"/>
        <v>69.7</v>
      </c>
      <c r="M37" s="415">
        <f t="shared" si="8"/>
        <v>119.7</v>
      </c>
      <c r="N37" s="415">
        <f t="shared" si="8"/>
        <v>187</v>
      </c>
      <c r="O37" s="415">
        <f t="shared" si="8"/>
        <v>283</v>
      </c>
      <c r="P37" s="415"/>
    </row>
    <row r="38" spans="2:16">
      <c r="B38" s="239"/>
      <c r="C38" s="406" t="s">
        <v>406</v>
      </c>
      <c r="D38" s="407"/>
      <c r="E38" s="407"/>
      <c r="F38" s="717">
        <f t="shared" ref="F38:O38" si="9">(INDEX(F$34:F$37,ROUNDDOWN($E$8,0))*(1-MOD($E$8,1)))+(INDEX(F$34:F$37,ROUNDUP($E$8,0))*MOD($E$8,1))</f>
        <v>0</v>
      </c>
      <c r="G38" s="717">
        <f t="shared" si="9"/>
        <v>0</v>
      </c>
      <c r="H38" s="717">
        <f t="shared" si="9"/>
        <v>1</v>
      </c>
      <c r="I38" s="717">
        <f t="shared" si="9"/>
        <v>3</v>
      </c>
      <c r="J38" s="717">
        <f t="shared" si="9"/>
        <v>5</v>
      </c>
      <c r="K38" s="717">
        <f t="shared" si="9"/>
        <v>7.5</v>
      </c>
      <c r="L38" s="717">
        <f t="shared" si="9"/>
        <v>9.5</v>
      </c>
      <c r="M38" s="717">
        <f t="shared" si="9"/>
        <v>10.5</v>
      </c>
      <c r="N38" s="717">
        <f t="shared" si="9"/>
        <v>9.5</v>
      </c>
      <c r="O38" s="717">
        <f t="shared" si="9"/>
        <v>7.5</v>
      </c>
      <c r="P38" s="415"/>
    </row>
    <row r="39" spans="2:16">
      <c r="B39" s="239"/>
      <c r="C39" s="2271"/>
      <c r="D39" s="414"/>
      <c r="E39" s="414"/>
      <c r="F39" s="695"/>
      <c r="G39" s="695"/>
      <c r="H39" s="695"/>
      <c r="I39" s="695"/>
      <c r="J39" s="695"/>
      <c r="K39" s="695"/>
      <c r="L39" s="695"/>
      <c r="M39" s="695"/>
      <c r="N39" s="695"/>
      <c r="O39" s="695"/>
      <c r="P39" s="415"/>
    </row>
    <row r="40" spans="2:16">
      <c r="B40" s="239"/>
      <c r="C40" s="416" t="s">
        <v>1872</v>
      </c>
      <c r="D40" s="415"/>
      <c r="E40" s="104"/>
      <c r="F40" s="415"/>
      <c r="G40" s="415"/>
      <c r="H40" s="415"/>
      <c r="I40" s="415"/>
      <c r="J40" s="415">
        <f>Unit.MW</f>
        <v>1E-3</v>
      </c>
      <c r="K40" s="415"/>
      <c r="L40" s="415"/>
      <c r="M40" s="415"/>
      <c r="N40" s="415"/>
      <c r="O40" s="104" t="s">
        <v>277</v>
      </c>
      <c r="P40" s="415"/>
    </row>
    <row r="41" spans="2:16">
      <c r="B41" s="239"/>
      <c r="C41" s="415"/>
      <c r="D41" s="415"/>
      <c r="E41" s="415"/>
      <c r="F41" s="415"/>
      <c r="G41" s="415"/>
      <c r="H41" s="415"/>
      <c r="I41" s="415"/>
      <c r="J41" s="415"/>
      <c r="K41" s="415"/>
      <c r="L41" s="415"/>
      <c r="M41" s="415"/>
      <c r="N41" s="415"/>
      <c r="O41" s="415"/>
      <c r="P41" s="415"/>
    </row>
    <row r="42" spans="2:16">
      <c r="B42" s="239"/>
      <c r="C42" s="61" t="s">
        <v>411</v>
      </c>
      <c r="D42" s="61" t="s">
        <v>65</v>
      </c>
      <c r="E42" s="61" t="s">
        <v>156</v>
      </c>
      <c r="F42" s="119">
        <v>2007</v>
      </c>
      <c r="G42" s="120">
        <f>F42+5</f>
        <v>2012</v>
      </c>
      <c r="H42" s="120">
        <f t="shared" ref="H42:O42" si="10">G42+5</f>
        <v>2017</v>
      </c>
      <c r="I42" s="120">
        <f t="shared" si="10"/>
        <v>2022</v>
      </c>
      <c r="J42" s="120">
        <f t="shared" si="10"/>
        <v>2027</v>
      </c>
      <c r="K42" s="120">
        <f t="shared" si="10"/>
        <v>2032</v>
      </c>
      <c r="L42" s="120">
        <f t="shared" si="10"/>
        <v>2037</v>
      </c>
      <c r="M42" s="120">
        <f t="shared" si="10"/>
        <v>2042</v>
      </c>
      <c r="N42" s="120">
        <f t="shared" si="10"/>
        <v>2047</v>
      </c>
      <c r="O42" s="120">
        <f t="shared" si="10"/>
        <v>2052</v>
      </c>
      <c r="P42" s="415"/>
    </row>
    <row r="43" spans="2:16">
      <c r="B43" s="239"/>
      <c r="C43" s="541">
        <v>1</v>
      </c>
      <c r="D43" s="1409"/>
      <c r="E43" s="2423"/>
      <c r="F43" s="1528">
        <f>F$56</f>
        <v>0.22</v>
      </c>
      <c r="G43" s="1528">
        <f>G$56</f>
        <v>0.22</v>
      </c>
      <c r="H43" s="1528">
        <f t="shared" ref="H43:M43" si="11">((G34*G43)+((H34-G34)*H$56))/H34</f>
        <v>0.28799999999999998</v>
      </c>
      <c r="I43" s="1528">
        <f t="shared" si="11"/>
        <v>0.32600000000000001</v>
      </c>
      <c r="J43" s="1528">
        <f t="shared" si="11"/>
        <v>0.35680000000000001</v>
      </c>
      <c r="K43" s="1528">
        <f t="shared" si="11"/>
        <v>0.39120000000000005</v>
      </c>
      <c r="L43" s="1528">
        <f t="shared" si="11"/>
        <v>0.40568421052631581</v>
      </c>
      <c r="M43" s="1528">
        <f t="shared" si="11"/>
        <v>0.41085714285714287</v>
      </c>
      <c r="N43" s="1528">
        <f>((M34*M43)+(N16*N$56)+(N25*H$56))/N34</f>
        <v>0.42378947368421049</v>
      </c>
      <c r="O43" s="1528">
        <f>((N34*N43)+(O16*O$56)+(O25*I$56))/O34</f>
        <v>0.44479999999999997</v>
      </c>
      <c r="P43" s="415"/>
    </row>
    <row r="44" spans="2:16">
      <c r="B44" s="239"/>
      <c r="C44" s="541">
        <v>2</v>
      </c>
      <c r="D44" s="1409"/>
      <c r="E44" s="1409"/>
      <c r="F44" s="1528">
        <f t="shared" ref="F44:G46" si="12">F$56</f>
        <v>0.22</v>
      </c>
      <c r="G44" s="1528">
        <f t="shared" si="12"/>
        <v>0.22</v>
      </c>
      <c r="H44" s="1528">
        <f t="shared" ref="H44:M46" si="13">((G35*G44)+((H35-G35)*H$56))/H35</f>
        <v>0.28799999999999998</v>
      </c>
      <c r="I44" s="1528">
        <f t="shared" si="13"/>
        <v>0.32362499999999994</v>
      </c>
      <c r="J44" s="1528">
        <f t="shared" si="13"/>
        <v>0.36066666666666669</v>
      </c>
      <c r="K44" s="1528">
        <f t="shared" si="13"/>
        <v>0.40040000000000009</v>
      </c>
      <c r="L44" s="1528">
        <f t="shared" si="13"/>
        <v>0.4236585365853659</v>
      </c>
      <c r="M44" s="1528">
        <f t="shared" si="13"/>
        <v>0.43707692307692314</v>
      </c>
      <c r="N44" s="1528">
        <f t="shared" ref="N44:O46" si="14">((M35*M44)+(N17*N$56)+(N26*H$56))/N35</f>
        <v>0.449413043478261</v>
      </c>
      <c r="O44" s="1528">
        <f t="shared" si="14"/>
        <v>0.45685826771653548</v>
      </c>
      <c r="P44" s="415"/>
    </row>
    <row r="45" spans="2:16">
      <c r="B45" s="239"/>
      <c r="C45" s="541">
        <v>3</v>
      </c>
      <c r="D45" s="1409"/>
      <c r="E45" s="1409"/>
      <c r="F45" s="1528">
        <f t="shared" si="12"/>
        <v>0.22</v>
      </c>
      <c r="G45" s="1528">
        <f t="shared" si="12"/>
        <v>0.22</v>
      </c>
      <c r="H45" s="1528">
        <f t="shared" si="13"/>
        <v>0.28799999999999998</v>
      </c>
      <c r="I45" s="1528">
        <f t="shared" si="13"/>
        <v>0.32347717842323648</v>
      </c>
      <c r="J45" s="1528">
        <f t="shared" si="13"/>
        <v>0.36396741344195516</v>
      </c>
      <c r="K45" s="1528">
        <f t="shared" si="13"/>
        <v>0.40707968574635239</v>
      </c>
      <c r="L45" s="1528">
        <f t="shared" si="13"/>
        <v>0.42837558685446009</v>
      </c>
      <c r="M45" s="1528">
        <f t="shared" si="13"/>
        <v>0.44027938101212888</v>
      </c>
      <c r="N45" s="1528">
        <f t="shared" si="14"/>
        <v>0.45171052631578956</v>
      </c>
      <c r="O45" s="1528">
        <f t="shared" si="14"/>
        <v>0.45758474576271191</v>
      </c>
      <c r="P45" s="415"/>
    </row>
    <row r="46" spans="2:16">
      <c r="B46" s="239"/>
      <c r="C46" s="2424">
        <v>4</v>
      </c>
      <c r="D46" s="2425"/>
      <c r="E46" s="2425"/>
      <c r="F46" s="1528">
        <f t="shared" si="12"/>
        <v>0.22</v>
      </c>
      <c r="G46" s="1528">
        <f t="shared" si="12"/>
        <v>0.22</v>
      </c>
      <c r="H46" s="1528">
        <f t="shared" si="13"/>
        <v>0.28799999999999998</v>
      </c>
      <c r="I46" s="1528">
        <f t="shared" si="13"/>
        <v>0.32202985074626866</v>
      </c>
      <c r="J46" s="1528">
        <f t="shared" si="13"/>
        <v>0.36609523809523808</v>
      </c>
      <c r="K46" s="1528">
        <f t="shared" si="13"/>
        <v>0.42021902017291068</v>
      </c>
      <c r="L46" s="1528">
        <f t="shared" si="13"/>
        <v>0.44019512195121951</v>
      </c>
      <c r="M46" s="1528">
        <f t="shared" si="13"/>
        <v>0.44846783625730996</v>
      </c>
      <c r="N46" s="1528">
        <f t="shared" si="14"/>
        <v>0.45510160427807489</v>
      </c>
      <c r="O46" s="1528">
        <f t="shared" si="14"/>
        <v>0.45838869257950526</v>
      </c>
      <c r="P46" s="415"/>
    </row>
    <row r="47" spans="2:16">
      <c r="B47" s="239"/>
      <c r="C47" s="2426" t="s">
        <v>406</v>
      </c>
      <c r="D47" s="2427"/>
      <c r="E47" s="2427"/>
      <c r="F47" s="2428">
        <f>(INDEX(F43:F46,ROUNDDOWN($E$8,0))*(1-MOD($E$8,1)))+(INDEX(F43:F46,ROUNDUP($E$8,0))*MOD($E$8,1))</f>
        <v>0.22</v>
      </c>
      <c r="G47" s="2428">
        <f t="shared" ref="G47:O47" si="15">(INDEX(G43:G46,ROUNDDOWN($E$8,0))*(1-MOD($E$8,1)))+(INDEX(G43:G46,ROUNDUP($E$8,0))*MOD($E$8,1))</f>
        <v>0.22</v>
      </c>
      <c r="H47" s="2428">
        <f t="shared" si="15"/>
        <v>0.28799999999999998</v>
      </c>
      <c r="I47" s="2428">
        <f t="shared" si="15"/>
        <v>0.32600000000000001</v>
      </c>
      <c r="J47" s="2428">
        <f t="shared" si="15"/>
        <v>0.35680000000000001</v>
      </c>
      <c r="K47" s="2428">
        <f t="shared" si="15"/>
        <v>0.39120000000000005</v>
      </c>
      <c r="L47" s="2428">
        <f t="shared" si="15"/>
        <v>0.40568421052631581</v>
      </c>
      <c r="M47" s="2428">
        <f t="shared" si="15"/>
        <v>0.41085714285714287</v>
      </c>
      <c r="N47" s="2428">
        <f t="shared" si="15"/>
        <v>0.42378947368421049</v>
      </c>
      <c r="O47" s="2428">
        <f t="shared" si="15"/>
        <v>0.44479999999999997</v>
      </c>
      <c r="P47" s="415"/>
    </row>
    <row r="48" spans="2:16">
      <c r="B48" s="239"/>
      <c r="C48" s="104"/>
      <c r="D48" s="105"/>
      <c r="E48" s="415"/>
      <c r="F48" s="415"/>
      <c r="G48" s="415"/>
      <c r="H48" s="415"/>
      <c r="I48" s="415"/>
      <c r="J48" s="415"/>
      <c r="K48" s="415"/>
      <c r="L48" s="415"/>
      <c r="M48" s="415"/>
      <c r="N48" s="415"/>
      <c r="O48" s="415"/>
      <c r="P48" s="415"/>
    </row>
    <row r="49" spans="1:38">
      <c r="B49" s="239"/>
      <c r="C49" s="415"/>
      <c r="D49" s="105"/>
      <c r="E49" s="415"/>
      <c r="F49" s="415"/>
      <c r="G49" s="415"/>
      <c r="H49" s="415"/>
      <c r="I49" s="415"/>
      <c r="J49" s="415"/>
      <c r="K49" s="415"/>
      <c r="L49" s="415"/>
      <c r="M49" s="415"/>
      <c r="N49" s="415"/>
      <c r="O49" s="415"/>
      <c r="P49" s="415"/>
    </row>
    <row r="51" spans="1:38" s="51" customFormat="1" ht="22.5" collapsed="1">
      <c r="A51" s="162"/>
      <c r="B51" s="421" t="s">
        <v>265</v>
      </c>
      <c r="C51" s="159"/>
      <c r="D51" s="159"/>
      <c r="E51" s="159"/>
      <c r="F51" s="159"/>
      <c r="G51" s="159"/>
      <c r="H51" s="159"/>
      <c r="I51" s="159"/>
      <c r="J51" s="159"/>
      <c r="K51" s="159"/>
      <c r="L51" s="159"/>
      <c r="M51" s="159"/>
      <c r="N51" s="159"/>
      <c r="O51" s="159"/>
      <c r="P51" s="160"/>
    </row>
    <row r="52" spans="1:38">
      <c r="B52" s="418"/>
      <c r="C52" s="415"/>
      <c r="D52" s="415"/>
      <c r="E52" s="415"/>
      <c r="F52" s="415"/>
      <c r="G52" s="415"/>
      <c r="H52" s="415"/>
      <c r="I52" s="415"/>
      <c r="J52" s="415"/>
      <c r="K52" s="415"/>
      <c r="L52" s="415"/>
      <c r="M52" s="415"/>
      <c r="N52" s="415"/>
      <c r="O52" s="415"/>
      <c r="P52" s="419"/>
    </row>
    <row r="53" spans="1:38">
      <c r="B53" s="418"/>
      <c r="C53" s="416" t="s">
        <v>1722</v>
      </c>
      <c r="D53" s="415"/>
      <c r="E53" s="104"/>
      <c r="F53" s="415"/>
      <c r="G53" s="415"/>
      <c r="H53" s="415"/>
      <c r="I53" s="415"/>
      <c r="J53" s="415"/>
      <c r="K53" s="415"/>
      <c r="L53" s="415"/>
      <c r="M53" s="415"/>
      <c r="N53" s="415"/>
      <c r="O53" s="104" t="s">
        <v>277</v>
      </c>
      <c r="P53" s="419"/>
    </row>
    <row r="54" spans="1:38" ht="6" customHeight="1">
      <c r="B54" s="418"/>
      <c r="C54" s="415"/>
      <c r="D54" s="415"/>
      <c r="E54" s="415"/>
      <c r="F54" s="415"/>
      <c r="G54" s="415"/>
      <c r="H54" s="415"/>
      <c r="I54" s="415"/>
      <c r="J54" s="415"/>
      <c r="K54" s="415"/>
      <c r="L54" s="415"/>
      <c r="M54" s="415"/>
      <c r="N54" s="415"/>
      <c r="O54" s="415"/>
      <c r="P54" s="419"/>
    </row>
    <row r="55" spans="1:38" ht="15.75">
      <c r="B55" s="152"/>
      <c r="C55" s="61" t="s">
        <v>227</v>
      </c>
      <c r="D55" s="61" t="s">
        <v>240</v>
      </c>
      <c r="E55" s="61" t="s">
        <v>156</v>
      </c>
      <c r="F55" s="119">
        <v>2007</v>
      </c>
      <c r="G55" s="120">
        <v>2012</v>
      </c>
      <c r="H55" s="119">
        <v>2017</v>
      </c>
      <c r="I55" s="119">
        <v>2022</v>
      </c>
      <c r="J55" s="119">
        <v>2027</v>
      </c>
      <c r="K55" s="119">
        <v>2032</v>
      </c>
      <c r="L55" s="119">
        <v>2037</v>
      </c>
      <c r="M55" s="119">
        <v>2042</v>
      </c>
      <c r="N55" s="119">
        <v>2047</v>
      </c>
      <c r="O55" s="119">
        <v>2052</v>
      </c>
      <c r="P55" s="419"/>
    </row>
    <row r="56" spans="1:38" s="2429" customFormat="1" ht="15.75">
      <c r="B56" s="2430"/>
      <c r="C56" s="2431" t="s">
        <v>24</v>
      </c>
      <c r="D56" s="2431" t="str">
        <f>INDEX(Vectors[Description], MATCH($C56, Vectors[Code], 0))</f>
        <v>Solar</v>
      </c>
      <c r="E56" s="2431"/>
      <c r="F56" s="2432">
        <v>0.22</v>
      </c>
      <c r="G56" s="2432">
        <v>0.22</v>
      </c>
      <c r="H56" s="2432">
        <v>0.28799999999999998</v>
      </c>
      <c r="I56" s="2432">
        <v>0.34499999999999997</v>
      </c>
      <c r="J56" s="2432">
        <v>0.40300000000000002</v>
      </c>
      <c r="K56" s="2432">
        <v>0.46</v>
      </c>
      <c r="L56" s="2432">
        <v>0.46</v>
      </c>
      <c r="M56" s="2432">
        <v>0.46</v>
      </c>
      <c r="N56" s="2432">
        <v>0.46</v>
      </c>
      <c r="O56" s="2432">
        <v>0.46</v>
      </c>
      <c r="P56" s="2433"/>
    </row>
    <row r="57" spans="1:38">
      <c r="B57" s="155"/>
      <c r="C57" s="415"/>
      <c r="D57" s="105"/>
      <c r="E57" s="415"/>
      <c r="F57" s="415"/>
      <c r="G57" s="415"/>
      <c r="H57" s="415"/>
      <c r="I57" s="415"/>
      <c r="J57" s="415"/>
      <c r="K57" s="415"/>
      <c r="L57" s="415"/>
      <c r="M57" s="415"/>
      <c r="N57" s="415"/>
      <c r="O57" s="415"/>
      <c r="P57" s="419"/>
    </row>
    <row r="58" spans="1:38">
      <c r="B58" s="239"/>
      <c r="C58" s="416" t="s">
        <v>1723</v>
      </c>
      <c r="D58" s="415"/>
      <c r="E58" s="104"/>
      <c r="F58" s="415"/>
      <c r="G58" s="415"/>
      <c r="H58" s="415"/>
      <c r="I58" s="415"/>
      <c r="J58" s="415"/>
      <c r="K58" s="415"/>
      <c r="L58" s="415"/>
      <c r="M58" s="415"/>
      <c r="N58" s="415"/>
      <c r="O58" s="104" t="s">
        <v>1724</v>
      </c>
      <c r="P58" s="415"/>
    </row>
    <row r="59" spans="1:38" ht="5.25" customHeight="1">
      <c r="B59" s="239"/>
      <c r="C59" s="415"/>
      <c r="D59" s="415"/>
      <c r="E59" s="415"/>
      <c r="F59" s="415"/>
      <c r="G59" s="415"/>
      <c r="H59" s="415"/>
      <c r="I59" s="415"/>
      <c r="J59" s="415"/>
      <c r="K59" s="415"/>
      <c r="L59" s="415"/>
      <c r="M59" s="415"/>
      <c r="N59" s="415"/>
      <c r="O59" s="415"/>
      <c r="P59" s="415"/>
    </row>
    <row r="60" spans="1:38" ht="15.75">
      <c r="B60" s="316"/>
      <c r="C60" s="61" t="s">
        <v>227</v>
      </c>
      <c r="D60" s="61" t="s">
        <v>240</v>
      </c>
      <c r="E60" s="61" t="s">
        <v>156</v>
      </c>
      <c r="F60" s="119">
        <v>2007</v>
      </c>
      <c r="G60" s="120">
        <v>2012</v>
      </c>
      <c r="H60" s="119">
        <v>2017</v>
      </c>
      <c r="I60" s="119">
        <v>2022</v>
      </c>
      <c r="J60" s="119">
        <v>2027</v>
      </c>
      <c r="K60" s="119">
        <v>2032</v>
      </c>
      <c r="L60" s="119">
        <v>2037</v>
      </c>
      <c r="M60" s="119">
        <v>2042</v>
      </c>
      <c r="N60" s="119">
        <v>2047</v>
      </c>
      <c r="O60" s="119">
        <v>2052</v>
      </c>
      <c r="P60" s="415"/>
      <c r="Q60" s="35"/>
      <c r="R60" s="35"/>
      <c r="S60" s="35"/>
      <c r="T60" s="35"/>
      <c r="U60" s="35"/>
      <c r="V60" s="35"/>
      <c r="W60" s="35"/>
      <c r="X60" s="35"/>
      <c r="Y60" s="35"/>
      <c r="Z60" s="35"/>
      <c r="AA60" s="35"/>
      <c r="AB60" s="35"/>
      <c r="AC60" s="35"/>
      <c r="AD60" s="35"/>
      <c r="AE60" s="35"/>
      <c r="AF60" s="35"/>
      <c r="AG60" s="35"/>
      <c r="AH60" s="35"/>
      <c r="AI60" s="35"/>
      <c r="AJ60" s="35"/>
      <c r="AK60" s="35"/>
      <c r="AL60" s="35"/>
    </row>
    <row r="61" spans="1:38" ht="15.75">
      <c r="B61" s="316"/>
      <c r="C61" s="78" t="s">
        <v>34</v>
      </c>
      <c r="D61" s="79" t="str">
        <f>INDEX(Vectors[Description], MATCH($C61, Vectors[Code], 0))</f>
        <v>Electricity (delivered to end user)</v>
      </c>
      <c r="E61" s="79"/>
      <c r="F61" s="236">
        <f>1/14</f>
        <v>7.1428571428571425E-2</v>
      </c>
      <c r="G61" s="2153">
        <f t="shared" ref="G61:N61" si="16">$F61+($O61-$F61)/($O$55-$F$55)*(G$55-$F$55)</f>
        <v>7.1428571428571425E-2</v>
      </c>
      <c r="H61" s="2153">
        <f t="shared" si="16"/>
        <v>7.1428571428571425E-2</v>
      </c>
      <c r="I61" s="2153">
        <f t="shared" si="16"/>
        <v>7.1428571428571425E-2</v>
      </c>
      <c r="J61" s="2153">
        <f t="shared" si="16"/>
        <v>7.1428571428571425E-2</v>
      </c>
      <c r="K61" s="2153">
        <f t="shared" si="16"/>
        <v>7.1428571428571425E-2</v>
      </c>
      <c r="L61" s="2153">
        <f t="shared" si="16"/>
        <v>7.1428571428571425E-2</v>
      </c>
      <c r="M61" s="2153">
        <f t="shared" si="16"/>
        <v>7.1428571428571425E-2</v>
      </c>
      <c r="N61" s="2153">
        <f t="shared" si="16"/>
        <v>7.1428571428571425E-2</v>
      </c>
      <c r="O61" s="2153">
        <v>7.1428571428571425E-2</v>
      </c>
      <c r="P61" s="415"/>
      <c r="Q61" s="35"/>
      <c r="R61" s="35"/>
      <c r="S61" s="35"/>
      <c r="T61" s="35"/>
      <c r="U61" s="35"/>
      <c r="V61" s="35"/>
      <c r="W61" s="35"/>
      <c r="X61" s="35"/>
      <c r="Y61" s="35"/>
      <c r="Z61" s="35"/>
      <c r="AA61" s="35"/>
      <c r="AB61" s="35"/>
      <c r="AC61" s="35"/>
      <c r="AD61" s="35"/>
      <c r="AE61" s="35"/>
      <c r="AF61" s="35"/>
      <c r="AG61" s="35"/>
      <c r="AH61" s="35"/>
      <c r="AI61" s="35"/>
      <c r="AJ61" s="35"/>
      <c r="AK61" s="35"/>
      <c r="AL61" s="35"/>
    </row>
    <row r="62" spans="1:38">
      <c r="B62" s="239"/>
      <c r="C62" s="415"/>
      <c r="D62" s="105"/>
      <c r="E62" s="415"/>
      <c r="F62" s="415"/>
      <c r="G62" s="415"/>
      <c r="H62" s="415"/>
      <c r="I62" s="415"/>
      <c r="J62" s="415"/>
      <c r="K62" s="415"/>
      <c r="L62" s="415"/>
      <c r="M62" s="415"/>
      <c r="N62" s="415"/>
      <c r="O62" s="415"/>
      <c r="P62" s="415"/>
      <c r="Q62" s="35"/>
      <c r="R62" s="35"/>
      <c r="S62" s="35"/>
      <c r="T62" s="35"/>
      <c r="U62" s="35"/>
      <c r="V62" s="35"/>
      <c r="W62" s="35"/>
      <c r="X62" s="35"/>
      <c r="Y62" s="35"/>
      <c r="Z62" s="35"/>
      <c r="AA62" s="35"/>
      <c r="AB62" s="35"/>
      <c r="AC62" s="35"/>
      <c r="AD62" s="35"/>
      <c r="AE62" s="35"/>
      <c r="AF62" s="35"/>
      <c r="AG62" s="35"/>
      <c r="AH62" s="35"/>
      <c r="AI62" s="35"/>
      <c r="AJ62" s="35"/>
      <c r="AK62" s="35"/>
      <c r="AL62" s="35"/>
    </row>
    <row r="63" spans="1:38" s="51" customFormat="1" ht="15.75">
      <c r="B63" s="153"/>
      <c r="C63" s="413"/>
      <c r="D63" s="414" t="s">
        <v>837</v>
      </c>
      <c r="E63" s="414">
        <f>1*Unit.MW</f>
        <v>1E-3</v>
      </c>
      <c r="F63" s="613" t="str">
        <f>Preferences.PowerUnits  &amp;"average"</f>
        <v>GWaverage</v>
      </c>
      <c r="G63" s="613"/>
      <c r="H63" s="613"/>
      <c r="I63" s="613"/>
      <c r="J63" s="613"/>
      <c r="K63" s="613"/>
      <c r="L63" s="613"/>
      <c r="M63" s="613"/>
      <c r="N63" s="613"/>
      <c r="O63" s="613"/>
      <c r="P63" s="414"/>
      <c r="Q63" s="32"/>
      <c r="R63" s="32"/>
      <c r="S63" s="32"/>
      <c r="T63" s="32"/>
      <c r="U63" s="32"/>
      <c r="V63" s="32"/>
      <c r="W63" s="32"/>
      <c r="X63" s="32"/>
      <c r="Y63" s="32"/>
      <c r="Z63" s="32"/>
      <c r="AA63" s="32"/>
      <c r="AB63" s="32"/>
      <c r="AC63" s="32"/>
      <c r="AD63" s="32"/>
      <c r="AE63" s="32"/>
      <c r="AF63" s="32"/>
      <c r="AG63" s="32"/>
      <c r="AH63" s="32"/>
      <c r="AI63" s="32"/>
      <c r="AJ63" s="32"/>
      <c r="AK63" s="32"/>
      <c r="AL63" s="32"/>
    </row>
    <row r="64" spans="1:38">
      <c r="B64" s="239"/>
      <c r="C64" s="415"/>
      <c r="D64" s="105"/>
      <c r="E64" s="415"/>
      <c r="F64" s="415"/>
      <c r="G64" s="415"/>
      <c r="H64" s="415"/>
      <c r="I64" s="415"/>
      <c r="J64" s="415"/>
      <c r="K64" s="415"/>
      <c r="L64" s="415"/>
      <c r="M64" s="415"/>
      <c r="N64" s="415"/>
      <c r="O64" s="415"/>
      <c r="P64" s="415"/>
      <c r="Q64" s="35"/>
      <c r="R64" s="35"/>
      <c r="S64" s="35"/>
      <c r="T64" s="35"/>
      <c r="U64" s="35"/>
      <c r="V64" s="35"/>
      <c r="W64" s="35"/>
      <c r="X64" s="35"/>
      <c r="Y64" s="35"/>
      <c r="Z64" s="35"/>
      <c r="AA64" s="35"/>
      <c r="AB64" s="35"/>
      <c r="AC64" s="35"/>
      <c r="AD64" s="35"/>
      <c r="AE64" s="35"/>
      <c r="AF64" s="35"/>
      <c r="AG64" s="35"/>
      <c r="AH64" s="35"/>
      <c r="AI64" s="35"/>
      <c r="AJ64" s="35"/>
      <c r="AK64" s="35"/>
      <c r="AL64" s="35"/>
    </row>
    <row r="65" spans="2:38" ht="15.75" customHeight="1">
      <c r="B65" s="421" t="s">
        <v>711</v>
      </c>
      <c r="C65" s="159"/>
      <c r="D65" s="159"/>
      <c r="E65" s="159"/>
      <c r="F65" s="159"/>
      <c r="G65" s="159"/>
      <c r="H65" s="159"/>
      <c r="I65" s="159"/>
      <c r="J65" s="159"/>
      <c r="K65" s="159"/>
      <c r="L65" s="159"/>
      <c r="M65" s="159"/>
      <c r="N65" s="159"/>
      <c r="O65" s="159"/>
      <c r="P65" s="160"/>
      <c r="R65" s="646"/>
      <c r="S65" s="1424"/>
      <c r="T65" s="1427"/>
      <c r="U65" s="724"/>
      <c r="V65" s="724"/>
      <c r="W65" s="1428"/>
      <c r="X65" s="1427"/>
      <c r="Y65" s="1427"/>
      <c r="Z65" s="1427"/>
      <c r="AA65" s="1427"/>
      <c r="AB65" s="1427"/>
      <c r="AC65" s="1427"/>
      <c r="AD65" s="1427"/>
      <c r="AE65" s="1427"/>
      <c r="AF65" s="1429"/>
    </row>
    <row r="66" spans="2:38" ht="15.75" customHeight="1">
      <c r="B66" s="418"/>
      <c r="C66" s="415"/>
      <c r="D66" s="415"/>
      <c r="E66" s="415"/>
      <c r="F66" s="415"/>
      <c r="G66" s="415"/>
      <c r="H66" s="415"/>
      <c r="I66" s="415"/>
      <c r="J66" s="415"/>
      <c r="K66" s="415"/>
      <c r="L66" s="415"/>
      <c r="M66" s="415"/>
      <c r="N66" s="415"/>
      <c r="O66" s="415"/>
      <c r="P66" s="419"/>
      <c r="R66" s="646"/>
      <c r="S66" s="1424"/>
      <c r="T66" s="1427"/>
      <c r="U66" s="724"/>
      <c r="V66" s="724"/>
      <c r="W66" s="1428"/>
      <c r="X66" s="1427"/>
      <c r="Y66" s="1427"/>
      <c r="Z66" s="1427"/>
      <c r="AA66" s="1427"/>
      <c r="AB66" s="1427"/>
      <c r="AC66" s="1427"/>
      <c r="AD66" s="1427"/>
      <c r="AE66" s="1427"/>
      <c r="AF66" s="1429"/>
    </row>
    <row r="67" spans="2:38" ht="15.75" customHeight="1">
      <c r="B67" s="418"/>
      <c r="C67" s="416" t="str">
        <f>"Land requirememt of a "&amp;plantsize.iv.b&amp;" "&amp;Preferences.PowerUnits&amp;" Solar CSP source"</f>
        <v>Land requirememt of a 0.001 GW Solar CSP source</v>
      </c>
      <c r="D67" s="69"/>
      <c r="E67" s="415"/>
      <c r="F67" s="415"/>
      <c r="G67" s="104"/>
      <c r="H67" s="415"/>
      <c r="I67" s="415"/>
      <c r="J67" s="415"/>
      <c r="K67" s="415"/>
      <c r="L67" s="415"/>
      <c r="M67" s="415"/>
      <c r="N67" s="415"/>
      <c r="O67" s="415"/>
      <c r="P67" s="419"/>
      <c r="R67" s="646"/>
      <c r="S67" s="1424"/>
      <c r="T67" s="1427"/>
      <c r="U67" s="724"/>
      <c r="V67" s="724"/>
      <c r="W67" s="1428"/>
      <c r="X67" s="1427"/>
      <c r="Y67" s="1427"/>
      <c r="Z67" s="1427"/>
      <c r="AA67" s="1427"/>
      <c r="AB67" s="1427"/>
      <c r="AC67" s="1427"/>
      <c r="AD67" s="1427"/>
      <c r="AE67" s="1427"/>
      <c r="AF67" s="1429"/>
    </row>
    <row r="68" spans="2:38" ht="15.75" customHeight="1">
      <c r="B68" s="418"/>
      <c r="C68" s="415"/>
      <c r="D68" s="415"/>
      <c r="E68" s="415"/>
      <c r="F68" s="415"/>
      <c r="G68" s="415"/>
      <c r="H68" s="415"/>
      <c r="I68" s="415"/>
      <c r="J68" s="415"/>
      <c r="K68" s="415"/>
      <c r="L68" s="415"/>
      <c r="M68" s="415"/>
      <c r="N68" s="415"/>
      <c r="O68" s="361" t="str">
        <f>Preferences.AreaUnits&amp;"/solar source"</f>
        <v>ha/solar source</v>
      </c>
      <c r="P68" s="419"/>
      <c r="R68" s="646"/>
      <c r="S68" s="1424"/>
      <c r="T68" s="1427"/>
      <c r="U68" s="724"/>
      <c r="V68" s="724"/>
      <c r="W68" s="1428"/>
      <c r="X68" s="1427"/>
      <c r="Y68" s="1427"/>
      <c r="Z68" s="1427"/>
      <c r="AA68" s="1427"/>
      <c r="AB68" s="1427"/>
      <c r="AC68" s="1427"/>
      <c r="AD68" s="1427"/>
      <c r="AE68" s="1427"/>
      <c r="AF68" s="1429"/>
    </row>
    <row r="69" spans="2:38" ht="15.75" customHeight="1">
      <c r="B69" s="152"/>
      <c r="C69" s="61"/>
      <c r="D69" s="61"/>
      <c r="E69" s="61"/>
      <c r="F69" s="119">
        <v>2007</v>
      </c>
      <c r="G69" s="120">
        <f>F69+5</f>
        <v>2012</v>
      </c>
      <c r="H69" s="120">
        <f t="shared" ref="H69:O69" si="17">G69+5</f>
        <v>2017</v>
      </c>
      <c r="I69" s="120">
        <f t="shared" si="17"/>
        <v>2022</v>
      </c>
      <c r="J69" s="120">
        <f t="shared" si="17"/>
        <v>2027</v>
      </c>
      <c r="K69" s="120">
        <f t="shared" si="17"/>
        <v>2032</v>
      </c>
      <c r="L69" s="120">
        <f t="shared" si="17"/>
        <v>2037</v>
      </c>
      <c r="M69" s="120">
        <f t="shared" si="17"/>
        <v>2042</v>
      </c>
      <c r="N69" s="120">
        <f t="shared" si="17"/>
        <v>2047</v>
      </c>
      <c r="O69" s="120">
        <f t="shared" si="17"/>
        <v>2052</v>
      </c>
      <c r="P69" s="419"/>
      <c r="R69" s="646"/>
      <c r="S69" s="1424"/>
      <c r="T69" s="1427"/>
      <c r="U69" s="724"/>
      <c r="V69" s="724"/>
      <c r="W69" s="1428"/>
      <c r="X69" s="1427"/>
      <c r="Y69" s="1427"/>
      <c r="Z69" s="1427"/>
      <c r="AA69" s="1427"/>
      <c r="AB69" s="1427"/>
      <c r="AC69" s="1427"/>
      <c r="AD69" s="1427"/>
      <c r="AE69" s="1427"/>
      <c r="AF69" s="1429"/>
    </row>
    <row r="70" spans="2:38" ht="15.75" customHeight="1">
      <c r="B70" s="152"/>
      <c r="C70" s="78"/>
      <c r="D70" s="79"/>
      <c r="E70" s="79"/>
      <c r="F70" s="1430">
        <f>0*(Unit.acre/Unit.MW)</f>
        <v>0</v>
      </c>
      <c r="G70" s="1430">
        <f>6*(Unit.acre/Unit.MW)</f>
        <v>2428.1138534400002</v>
      </c>
      <c r="H70" s="1430">
        <f>6*(Unit.acre/Unit.MW)</f>
        <v>2428.1138534400002</v>
      </c>
      <c r="I70" s="1430">
        <f>5.5*(Unit.acre/Unit.MW)</f>
        <v>2225.7710323200004</v>
      </c>
      <c r="J70" s="1430">
        <f>5.5*(Unit.acre/Unit.MW)</f>
        <v>2225.7710323200004</v>
      </c>
      <c r="K70" s="1430">
        <f>5*(Unit.acre/Unit.MW)</f>
        <v>2023.4282112000003</v>
      </c>
      <c r="L70" s="1430">
        <f>5*(Unit.acre/Unit.MW)</f>
        <v>2023.4282112000003</v>
      </c>
      <c r="M70" s="1430">
        <f>5*(Unit.acre/Unit.MW)</f>
        <v>2023.4282112000003</v>
      </c>
      <c r="N70" s="1430">
        <f>5*(Unit.acre/Unit.MW)</f>
        <v>2023.4282112000003</v>
      </c>
      <c r="O70" s="1430">
        <f>5*(Unit.acre/Unit.MW)</f>
        <v>2023.4282112000003</v>
      </c>
      <c r="P70" s="415"/>
      <c r="R70" s="646"/>
      <c r="S70" s="1424"/>
      <c r="T70" s="1427"/>
      <c r="U70" s="724"/>
      <c r="V70" s="724"/>
      <c r="W70" s="1428"/>
      <c r="X70" s="1427"/>
      <c r="Y70" s="1427"/>
      <c r="Z70" s="1427"/>
      <c r="AA70" s="1427"/>
      <c r="AB70" s="1427"/>
      <c r="AC70" s="1427"/>
      <c r="AD70" s="1427"/>
      <c r="AE70" s="1427"/>
      <c r="AF70" s="1429"/>
    </row>
    <row r="71" spans="2:38" ht="15.75" customHeight="1">
      <c r="B71" s="402"/>
      <c r="C71" s="402"/>
      <c r="D71" s="415"/>
      <c r="E71" s="264"/>
      <c r="F71" s="415"/>
      <c r="G71" s="415"/>
      <c r="H71" s="415"/>
      <c r="I71" s="415"/>
      <c r="J71" s="444"/>
      <c r="K71" s="444"/>
      <c r="L71" s="402"/>
      <c r="M71" s="402"/>
      <c r="N71" s="402"/>
      <c r="O71" s="402"/>
      <c r="P71" s="402"/>
      <c r="R71" s="646"/>
      <c r="S71" s="1424"/>
      <c r="T71" s="1427"/>
      <c r="U71" s="724"/>
      <c r="V71" s="724"/>
      <c r="W71" s="1428"/>
      <c r="X71" s="1427"/>
      <c r="Y71" s="1427"/>
      <c r="Z71" s="1427"/>
      <c r="AA71" s="1427"/>
      <c r="AB71" s="1427"/>
      <c r="AC71" s="1427"/>
      <c r="AD71" s="1427"/>
      <c r="AE71" s="1427"/>
      <c r="AF71" s="1429"/>
    </row>
    <row r="72" spans="2:38">
      <c r="Q72" s="35"/>
      <c r="R72" s="35"/>
      <c r="S72" s="35"/>
      <c r="T72" s="35"/>
      <c r="U72" s="35"/>
      <c r="V72" s="35"/>
      <c r="W72" s="35"/>
      <c r="X72" s="35"/>
      <c r="Y72" s="35"/>
      <c r="Z72" s="35"/>
      <c r="AA72" s="35"/>
      <c r="AB72" s="35"/>
      <c r="AC72" s="35"/>
      <c r="AD72" s="35"/>
      <c r="AE72" s="35"/>
      <c r="AF72" s="35"/>
      <c r="AG72" s="35"/>
      <c r="AH72" s="35"/>
      <c r="AI72" s="35"/>
      <c r="AJ72" s="35"/>
      <c r="AK72" s="35"/>
      <c r="AL72" s="35"/>
    </row>
    <row r="74" spans="2:38" ht="15.75">
      <c r="B74" s="421" t="s">
        <v>270</v>
      </c>
      <c r="C74" s="159"/>
      <c r="D74" s="159"/>
      <c r="E74" s="159"/>
      <c r="F74" s="159"/>
      <c r="G74" s="159"/>
      <c r="H74" s="159"/>
      <c r="I74" s="159"/>
      <c r="J74" s="159"/>
      <c r="K74" s="159"/>
      <c r="L74" s="159"/>
      <c r="M74" s="159"/>
      <c r="N74" s="159"/>
      <c r="O74" s="159"/>
      <c r="P74" s="160"/>
    </row>
    <row r="75" spans="2:38">
      <c r="B75" s="418"/>
      <c r="C75" s="415"/>
      <c r="D75" s="415"/>
      <c r="E75" s="415"/>
      <c r="F75" s="415"/>
      <c r="G75" s="415"/>
      <c r="H75" s="415"/>
      <c r="I75" s="415"/>
      <c r="J75" s="415"/>
      <c r="K75" s="415"/>
      <c r="L75" s="415"/>
      <c r="M75" s="415"/>
      <c r="N75" s="415"/>
      <c r="O75" s="415"/>
      <c r="P75" s="419"/>
    </row>
    <row r="76" spans="2:38">
      <c r="B76" s="418"/>
      <c r="C76" s="416" t="s">
        <v>793</v>
      </c>
      <c r="D76" s="415"/>
      <c r="E76" s="104"/>
      <c r="F76" s="415"/>
      <c r="G76" s="415"/>
      <c r="H76" s="415"/>
      <c r="I76" s="415"/>
      <c r="J76" s="415"/>
      <c r="K76" s="415"/>
      <c r="L76" s="415"/>
      <c r="M76" s="415"/>
      <c r="N76" s="415"/>
      <c r="O76" s="104" t="str">
        <f>Preferences.PowerUnits</f>
        <v>GW</v>
      </c>
      <c r="P76" s="419"/>
    </row>
    <row r="77" spans="2:38">
      <c r="B77" s="418"/>
      <c r="C77" s="415"/>
      <c r="D77" s="415"/>
      <c r="E77" s="415"/>
      <c r="F77" s="415"/>
      <c r="G77" s="415"/>
      <c r="H77" s="415"/>
      <c r="I77" s="415"/>
      <c r="J77" s="415"/>
      <c r="K77" s="415"/>
      <c r="L77" s="415"/>
      <c r="M77" s="415"/>
      <c r="N77" s="415"/>
      <c r="O77" s="415"/>
      <c r="P77" s="419"/>
    </row>
    <row r="78" spans="2:38" ht="15.75">
      <c r="B78" s="152"/>
      <c r="C78" s="61" t="s">
        <v>227</v>
      </c>
      <c r="D78" s="61" t="s">
        <v>65</v>
      </c>
      <c r="E78" s="61" t="s">
        <v>156</v>
      </c>
      <c r="F78" s="119">
        <v>2007</v>
      </c>
      <c r="G78" s="120">
        <f>F78+5</f>
        <v>2012</v>
      </c>
      <c r="H78" s="120">
        <f t="shared" ref="H78:O78" si="18">G78+5</f>
        <v>2017</v>
      </c>
      <c r="I78" s="120">
        <f t="shared" si="18"/>
        <v>2022</v>
      </c>
      <c r="J78" s="120">
        <f t="shared" si="18"/>
        <v>2027</v>
      </c>
      <c r="K78" s="120">
        <f t="shared" si="18"/>
        <v>2032</v>
      </c>
      <c r="L78" s="120">
        <f t="shared" si="18"/>
        <v>2037</v>
      </c>
      <c r="M78" s="120">
        <f t="shared" si="18"/>
        <v>2042</v>
      </c>
      <c r="N78" s="120">
        <f t="shared" si="18"/>
        <v>2047</v>
      </c>
      <c r="O78" s="120">
        <f t="shared" si="18"/>
        <v>2052</v>
      </c>
      <c r="P78" s="419"/>
    </row>
    <row r="79" spans="2:38" ht="15.75">
      <c r="B79" s="153"/>
      <c r="C79" s="78" t="s">
        <v>24</v>
      </c>
      <c r="D79" s="79" t="str">
        <f>INDEX(Vectors[Description], MATCH($C79, Vectors[Code], 0))</f>
        <v>Solar</v>
      </c>
      <c r="E79" s="79"/>
      <c r="F79" s="635">
        <f t="shared" ref="F79:O79" si="19">F38</f>
        <v>0</v>
      </c>
      <c r="G79" s="635">
        <f t="shared" si="19"/>
        <v>0</v>
      </c>
      <c r="H79" s="635">
        <f t="shared" si="19"/>
        <v>1</v>
      </c>
      <c r="I79" s="635">
        <f t="shared" si="19"/>
        <v>3</v>
      </c>
      <c r="J79" s="635">
        <f t="shared" si="19"/>
        <v>5</v>
      </c>
      <c r="K79" s="635">
        <f t="shared" si="19"/>
        <v>7.5</v>
      </c>
      <c r="L79" s="635">
        <f t="shared" si="19"/>
        <v>9.5</v>
      </c>
      <c r="M79" s="635">
        <f t="shared" si="19"/>
        <v>10.5</v>
      </c>
      <c r="N79" s="635">
        <f t="shared" si="19"/>
        <v>9.5</v>
      </c>
      <c r="O79" s="635">
        <f t="shared" si="19"/>
        <v>7.5</v>
      </c>
      <c r="P79" s="154"/>
    </row>
    <row r="80" spans="2:38" ht="15.75">
      <c r="B80" s="153"/>
      <c r="C80" s="413"/>
      <c r="D80" s="414"/>
      <c r="E80" s="414"/>
      <c r="F80" s="115"/>
      <c r="G80" s="115"/>
      <c r="H80" s="115"/>
      <c r="I80" s="115"/>
      <c r="J80" s="115"/>
      <c r="K80" s="115"/>
      <c r="L80" s="115"/>
      <c r="M80" s="115"/>
      <c r="N80" s="115"/>
      <c r="O80" s="115"/>
      <c r="P80" s="154"/>
    </row>
    <row r="81" spans="1:38" ht="15.75">
      <c r="B81" s="153"/>
      <c r="C81" s="416" t="s">
        <v>1872</v>
      </c>
      <c r="D81" s="414"/>
      <c r="E81" s="414"/>
      <c r="F81" s="115"/>
      <c r="G81" s="115"/>
      <c r="H81" s="115"/>
      <c r="I81" s="115"/>
      <c r="J81" s="115"/>
      <c r="K81" s="115"/>
      <c r="L81" s="115"/>
      <c r="M81" s="115"/>
      <c r="N81" s="115"/>
      <c r="O81" s="115"/>
      <c r="P81" s="154"/>
    </row>
    <row r="82" spans="1:38" ht="15.75">
      <c r="B82" s="153"/>
      <c r="C82" s="61" t="s">
        <v>227</v>
      </c>
      <c r="D82" s="61" t="s">
        <v>65</v>
      </c>
      <c r="E82" s="61" t="s">
        <v>156</v>
      </c>
      <c r="F82" s="119">
        <v>2007</v>
      </c>
      <c r="G82" s="120">
        <f>F82+5</f>
        <v>2012</v>
      </c>
      <c r="H82" s="120">
        <f t="shared" ref="H82:O82" si="20">G82+5</f>
        <v>2017</v>
      </c>
      <c r="I82" s="120">
        <f t="shared" si="20"/>
        <v>2022</v>
      </c>
      <c r="J82" s="120">
        <f t="shared" si="20"/>
        <v>2027</v>
      </c>
      <c r="K82" s="120">
        <f t="shared" si="20"/>
        <v>2032</v>
      </c>
      <c r="L82" s="120">
        <f t="shared" si="20"/>
        <v>2037</v>
      </c>
      <c r="M82" s="120">
        <f t="shared" si="20"/>
        <v>2042</v>
      </c>
      <c r="N82" s="120">
        <f t="shared" si="20"/>
        <v>2047</v>
      </c>
      <c r="O82" s="120">
        <f t="shared" si="20"/>
        <v>2052</v>
      </c>
      <c r="P82" s="154"/>
    </row>
    <row r="83" spans="1:38" ht="15.75">
      <c r="B83" s="2430"/>
      <c r="C83" s="2431" t="s">
        <v>24</v>
      </c>
      <c r="D83" s="2431" t="str">
        <f>INDEX(Vectors[Description], MATCH($C83, Vectors[Code], 0))</f>
        <v>Solar</v>
      </c>
      <c r="E83" s="2431"/>
      <c r="F83" s="2434">
        <f t="shared" ref="F83:O83" si="21">F47</f>
        <v>0.22</v>
      </c>
      <c r="G83" s="2434">
        <f t="shared" si="21"/>
        <v>0.22</v>
      </c>
      <c r="H83" s="2434">
        <f t="shared" si="21"/>
        <v>0.28799999999999998</v>
      </c>
      <c r="I83" s="2434">
        <f t="shared" si="21"/>
        <v>0.32600000000000001</v>
      </c>
      <c r="J83" s="2434">
        <f t="shared" si="21"/>
        <v>0.35680000000000001</v>
      </c>
      <c r="K83" s="2434">
        <f t="shared" si="21"/>
        <v>0.39120000000000005</v>
      </c>
      <c r="L83" s="2434">
        <f t="shared" si="21"/>
        <v>0.40568421052631581</v>
      </c>
      <c r="M83" s="2434">
        <f t="shared" si="21"/>
        <v>0.41085714285714287</v>
      </c>
      <c r="N83" s="2434">
        <f t="shared" si="21"/>
        <v>0.42378947368421049</v>
      </c>
      <c r="O83" s="2434">
        <f t="shared" si="21"/>
        <v>0.44479999999999997</v>
      </c>
      <c r="P83" s="2433"/>
    </row>
    <row r="84" spans="1:38" ht="15.75">
      <c r="B84" s="153"/>
      <c r="C84" s="413"/>
      <c r="D84" s="414"/>
      <c r="E84" s="414"/>
      <c r="F84" s="115"/>
      <c r="G84" s="115"/>
      <c r="H84" s="115"/>
      <c r="I84" s="115"/>
      <c r="J84" s="115"/>
      <c r="K84" s="115"/>
      <c r="L84" s="115"/>
      <c r="M84" s="115"/>
      <c r="N84" s="115"/>
      <c r="O84" s="115"/>
      <c r="P84" s="154"/>
    </row>
    <row r="85" spans="1:38">
      <c r="B85" s="155"/>
      <c r="C85" s="413"/>
      <c r="D85" s="414"/>
      <c r="E85" s="414"/>
      <c r="F85" s="677"/>
      <c r="G85" s="678"/>
      <c r="H85" s="678"/>
      <c r="I85" s="678"/>
      <c r="J85" s="678"/>
      <c r="K85" s="678"/>
      <c r="L85" s="678"/>
      <c r="M85" s="678"/>
      <c r="N85" s="678"/>
      <c r="O85" s="678"/>
      <c r="P85" s="419"/>
    </row>
    <row r="86" spans="1:38">
      <c r="Q86" s="35"/>
      <c r="R86" s="35"/>
      <c r="S86" s="529"/>
      <c r="T86" s="529"/>
      <c r="U86" s="529"/>
      <c r="V86" s="529"/>
      <c r="W86" s="529"/>
      <c r="X86" s="35"/>
      <c r="Y86" s="35"/>
      <c r="Z86" s="35"/>
      <c r="AA86" s="35"/>
      <c r="AB86" s="35"/>
      <c r="AC86" s="35"/>
      <c r="AD86" s="35"/>
      <c r="AE86" s="35"/>
      <c r="AF86" s="35"/>
      <c r="AG86" s="35"/>
      <c r="AH86" s="35"/>
      <c r="AI86" s="35"/>
      <c r="AJ86" s="35"/>
      <c r="AK86" s="35"/>
      <c r="AL86" s="35"/>
    </row>
    <row r="87" spans="1:38" ht="15.75">
      <c r="B87" s="2331" t="s">
        <v>2332</v>
      </c>
      <c r="F87" s="119">
        <v>2007</v>
      </c>
      <c r="G87" s="120">
        <v>2012</v>
      </c>
      <c r="H87" s="119">
        <v>2017</v>
      </c>
      <c r="I87" s="119">
        <v>2022</v>
      </c>
      <c r="J87" s="119">
        <v>2027</v>
      </c>
      <c r="K87" s="119">
        <v>2032</v>
      </c>
      <c r="L87" s="119">
        <v>2037</v>
      </c>
      <c r="M87" s="119">
        <v>2042</v>
      </c>
      <c r="N87" s="119">
        <v>2047</v>
      </c>
      <c r="O87" s="119">
        <v>2052</v>
      </c>
      <c r="Q87" s="35"/>
      <c r="R87" s="708"/>
      <c r="S87" s="32"/>
      <c r="T87" s="32"/>
      <c r="U87" s="32"/>
      <c r="V87" s="32"/>
      <c r="W87" s="32"/>
      <c r="X87" s="32"/>
      <c r="Y87" s="32"/>
      <c r="Z87" s="32"/>
      <c r="AA87" s="32"/>
      <c r="AB87" s="32"/>
      <c r="AC87" s="32"/>
      <c r="AD87" s="32"/>
      <c r="AE87" s="32"/>
      <c r="AF87" s="32"/>
      <c r="AG87" s="35"/>
      <c r="AH87" s="35"/>
      <c r="AI87" s="35"/>
      <c r="AJ87" s="35"/>
      <c r="AK87" s="35"/>
      <c r="AL87" s="35"/>
    </row>
    <row r="88" spans="1:38">
      <c r="Q88" s="35"/>
      <c r="R88" s="383"/>
      <c r="S88" s="634"/>
      <c r="T88" s="634"/>
      <c r="U88" s="634"/>
      <c r="V88" s="634"/>
      <c r="W88" s="634"/>
      <c r="X88" s="383"/>
      <c r="Y88" s="383"/>
      <c r="Z88" s="383"/>
      <c r="AA88" s="383"/>
      <c r="AB88" s="383"/>
      <c r="AC88" s="383"/>
      <c r="AD88" s="383"/>
      <c r="AE88" s="383"/>
      <c r="AF88" s="383"/>
      <c r="AG88" s="35"/>
      <c r="AH88" s="35"/>
      <c r="AI88" s="35"/>
      <c r="AJ88" s="35"/>
      <c r="AK88" s="35"/>
      <c r="AL88" s="35"/>
    </row>
    <row r="89" spans="1:38">
      <c r="C89" s="423" t="s">
        <v>795</v>
      </c>
      <c r="E89" s="422" t="str">
        <f>Preferences.PowerUnits</f>
        <v>GW</v>
      </c>
      <c r="F89" s="22">
        <f>F79</f>
        <v>0</v>
      </c>
      <c r="G89" s="22">
        <f t="shared" ref="G89:O89" si="22">G79</f>
        <v>0</v>
      </c>
      <c r="H89" s="22">
        <f t="shared" si="22"/>
        <v>1</v>
      </c>
      <c r="I89" s="22">
        <f t="shared" si="22"/>
        <v>3</v>
      </c>
      <c r="J89" s="22">
        <f t="shared" si="22"/>
        <v>5</v>
      </c>
      <c r="K89" s="22">
        <f t="shared" si="22"/>
        <v>7.5</v>
      </c>
      <c r="L89" s="22">
        <f t="shared" si="22"/>
        <v>9.5</v>
      </c>
      <c r="M89" s="22">
        <f t="shared" si="22"/>
        <v>10.5</v>
      </c>
      <c r="N89" s="22">
        <f t="shared" si="22"/>
        <v>9.5</v>
      </c>
      <c r="O89" s="22">
        <f t="shared" si="22"/>
        <v>7.5</v>
      </c>
      <c r="R89" s="646"/>
      <c r="S89" s="735"/>
      <c r="T89" s="621"/>
      <c r="U89" s="621"/>
      <c r="V89" s="741"/>
      <c r="W89" s="741"/>
      <c r="X89" s="742"/>
      <c r="Y89" s="742"/>
      <c r="Z89" s="742"/>
      <c r="AA89" s="742"/>
      <c r="AB89" s="742"/>
      <c r="AC89" s="742"/>
      <c r="AD89" s="742"/>
      <c r="AE89" s="742"/>
      <c r="AF89" s="35"/>
    </row>
    <row r="90" spans="1:38">
      <c r="B90" s="2331" t="s">
        <v>796</v>
      </c>
      <c r="C90" s="2331" t="s">
        <v>797</v>
      </c>
      <c r="E90" s="422" t="s">
        <v>277</v>
      </c>
      <c r="F90" s="15">
        <f>F83</f>
        <v>0.22</v>
      </c>
      <c r="G90" s="15">
        <f t="shared" ref="G90:O90" si="23">G83</f>
        <v>0.22</v>
      </c>
      <c r="H90" s="15">
        <f t="shared" si="23"/>
        <v>0.28799999999999998</v>
      </c>
      <c r="I90" s="15">
        <f t="shared" si="23"/>
        <v>0.32600000000000001</v>
      </c>
      <c r="J90" s="15">
        <f t="shared" si="23"/>
        <v>0.35680000000000001</v>
      </c>
      <c r="K90" s="15">
        <f t="shared" si="23"/>
        <v>0.39120000000000005</v>
      </c>
      <c r="L90" s="15">
        <f t="shared" si="23"/>
        <v>0.40568421052631581</v>
      </c>
      <c r="M90" s="15">
        <f t="shared" si="23"/>
        <v>0.41085714285714287</v>
      </c>
      <c r="N90" s="15">
        <f t="shared" si="23"/>
        <v>0.42378947368421049</v>
      </c>
      <c r="O90" s="15">
        <f t="shared" si="23"/>
        <v>0.44479999999999997</v>
      </c>
      <c r="P90" s="15">
        <f>P56</f>
        <v>0</v>
      </c>
      <c r="R90" s="646"/>
      <c r="S90" s="735"/>
      <c r="T90" s="621"/>
      <c r="U90" s="621"/>
      <c r="V90" s="736"/>
      <c r="W90" s="737"/>
      <c r="X90" s="737"/>
      <c r="Y90" s="737"/>
      <c r="Z90" s="737"/>
      <c r="AA90" s="737"/>
      <c r="AB90" s="737"/>
      <c r="AC90" s="737"/>
      <c r="AD90" s="737"/>
      <c r="AE90" s="737"/>
      <c r="AF90" s="35"/>
    </row>
    <row r="91" spans="1:38">
      <c r="B91" s="88" t="s">
        <v>276</v>
      </c>
      <c r="C91" s="423" t="s">
        <v>798</v>
      </c>
      <c r="E91" s="422" t="str">
        <f>Preferences.PowerUnits</f>
        <v>GW</v>
      </c>
      <c r="F91" s="73">
        <f t="shared" ref="F91:O91" si="24">F89*F90</f>
        <v>0</v>
      </c>
      <c r="G91" s="73">
        <f t="shared" si="24"/>
        <v>0</v>
      </c>
      <c r="H91" s="73">
        <f t="shared" si="24"/>
        <v>0.28799999999999998</v>
      </c>
      <c r="I91" s="73">
        <f t="shared" si="24"/>
        <v>0.97799999999999998</v>
      </c>
      <c r="J91" s="73">
        <f t="shared" si="24"/>
        <v>1.784</v>
      </c>
      <c r="K91" s="73">
        <f t="shared" si="24"/>
        <v>2.9340000000000002</v>
      </c>
      <c r="L91" s="73">
        <f t="shared" si="24"/>
        <v>3.8540000000000001</v>
      </c>
      <c r="M91" s="73">
        <f t="shared" si="24"/>
        <v>4.3140000000000001</v>
      </c>
      <c r="N91" s="73">
        <f t="shared" si="24"/>
        <v>4.0259999999999998</v>
      </c>
      <c r="O91" s="73">
        <f t="shared" si="24"/>
        <v>3.3359999999999999</v>
      </c>
      <c r="R91" s="646"/>
      <c r="S91" s="735"/>
      <c r="T91" s="1431"/>
      <c r="U91" s="621"/>
      <c r="V91" s="741"/>
      <c r="W91" s="741"/>
      <c r="X91" s="741"/>
      <c r="Y91" s="741"/>
      <c r="Z91" s="741"/>
      <c r="AA91" s="741"/>
      <c r="AB91" s="741"/>
      <c r="AC91" s="741"/>
      <c r="AD91" s="741"/>
      <c r="AE91" s="741"/>
      <c r="AF91" s="35"/>
    </row>
    <row r="92" spans="1:38">
      <c r="C92" s="423" t="s">
        <v>799</v>
      </c>
      <c r="E92" s="422" t="str">
        <f>preferences.energyunits</f>
        <v>TWh</v>
      </c>
      <c r="F92" s="73">
        <f t="shared" ref="F92:O92" si="25">F91*Preferences.Unit.Power*Unit.year/Preferences.Unit.Energy</f>
        <v>0</v>
      </c>
      <c r="G92" s="73">
        <f t="shared" si="25"/>
        <v>0</v>
      </c>
      <c r="H92" s="73">
        <f t="shared" si="25"/>
        <v>2.5246079999999997</v>
      </c>
      <c r="I92" s="73">
        <f t="shared" si="25"/>
        <v>8.5731479999999998</v>
      </c>
      <c r="J92" s="73">
        <f t="shared" si="25"/>
        <v>15.638544</v>
      </c>
      <c r="K92" s="73">
        <f t="shared" si="25"/>
        <v>25.719444000000003</v>
      </c>
      <c r="L92" s="73">
        <f t="shared" si="25"/>
        <v>33.784163999999997</v>
      </c>
      <c r="M92" s="73">
        <f t="shared" si="25"/>
        <v>37.816524000000008</v>
      </c>
      <c r="N92" s="73">
        <f t="shared" si="25"/>
        <v>35.291916000000001</v>
      </c>
      <c r="O92" s="73">
        <f t="shared" si="25"/>
        <v>29.243376000000001</v>
      </c>
      <c r="R92" s="646"/>
      <c r="S92" s="735"/>
      <c r="T92" s="1431"/>
      <c r="U92" s="621"/>
      <c r="V92" s="741"/>
      <c r="W92" s="741"/>
      <c r="X92" s="741"/>
      <c r="Y92" s="741"/>
      <c r="Z92" s="741"/>
      <c r="AA92" s="741"/>
      <c r="AB92" s="741"/>
      <c r="AC92" s="741"/>
      <c r="AD92" s="741"/>
      <c r="AE92" s="741"/>
      <c r="AF92" s="35"/>
    </row>
    <row r="93" spans="1:38">
      <c r="F93" s="365"/>
      <c r="G93" s="365"/>
      <c r="H93" s="311"/>
      <c r="I93" s="311"/>
      <c r="J93" s="311"/>
      <c r="K93" s="311"/>
      <c r="L93" s="311"/>
      <c r="M93" s="311"/>
      <c r="N93" s="311"/>
      <c r="O93" s="311"/>
      <c r="Q93" s="359"/>
      <c r="R93" s="383"/>
      <c r="S93" s="710"/>
      <c r="T93" s="710"/>
      <c r="U93" s="711"/>
      <c r="V93" s="712"/>
      <c r="W93" s="712"/>
      <c r="X93" s="713"/>
      <c r="Y93" s="383"/>
      <c r="Z93" s="383"/>
      <c r="AA93" s="383"/>
      <c r="AB93" s="383"/>
      <c r="AC93" s="383"/>
      <c r="AD93" s="383"/>
      <c r="AE93" s="383"/>
      <c r="AF93" s="383"/>
      <c r="AG93" s="35"/>
    </row>
    <row r="94" spans="1:38">
      <c r="F94" s="365"/>
      <c r="G94" s="365"/>
      <c r="H94" s="365"/>
      <c r="I94" s="365"/>
      <c r="J94" s="365"/>
      <c r="K94" s="365"/>
      <c r="L94" s="365"/>
      <c r="M94" s="365"/>
      <c r="N94" s="365"/>
      <c r="O94" s="365"/>
    </row>
    <row r="95" spans="1:38">
      <c r="F95" s="365"/>
      <c r="G95" s="365"/>
      <c r="H95" s="365"/>
      <c r="I95" s="365"/>
      <c r="J95" s="365"/>
      <c r="K95" s="365"/>
      <c r="L95" s="365"/>
      <c r="M95" s="365"/>
      <c r="N95" s="365"/>
      <c r="O95" s="365"/>
    </row>
    <row r="96" spans="1:38">
      <c r="A96" s="423" t="s">
        <v>1725</v>
      </c>
      <c r="F96" s="365"/>
      <c r="G96" s="365"/>
      <c r="H96" s="365"/>
      <c r="I96" s="365"/>
      <c r="J96" s="365"/>
      <c r="K96" s="365"/>
      <c r="L96" s="365"/>
      <c r="M96" s="365"/>
      <c r="N96" s="365"/>
      <c r="O96" s="365"/>
    </row>
    <row r="97" spans="2:18">
      <c r="F97" s="365"/>
      <c r="G97" s="365"/>
      <c r="H97" s="365"/>
      <c r="I97" s="365"/>
      <c r="J97" s="365"/>
      <c r="K97" s="365"/>
      <c r="L97" s="365"/>
      <c r="M97" s="365"/>
      <c r="N97" s="365"/>
      <c r="O97" s="365"/>
    </row>
    <row r="98" spans="2:18">
      <c r="B98" s="2331" t="s">
        <v>2244</v>
      </c>
      <c r="E98" s="2331" t="str">
        <f>Preferences.AreaUnits</f>
        <v>ha</v>
      </c>
      <c r="F98" s="365">
        <f t="shared" ref="F98:O98" si="26">F89*F70</f>
        <v>0</v>
      </c>
      <c r="G98" s="365">
        <f t="shared" si="26"/>
        <v>0</v>
      </c>
      <c r="H98" s="365">
        <f t="shared" si="26"/>
        <v>2428.1138534400002</v>
      </c>
      <c r="I98" s="365">
        <f t="shared" si="26"/>
        <v>6677.3130969600006</v>
      </c>
      <c r="J98" s="365">
        <f t="shared" si="26"/>
        <v>11128.855161600002</v>
      </c>
      <c r="K98" s="365">
        <f t="shared" si="26"/>
        <v>15175.711584000002</v>
      </c>
      <c r="L98" s="365">
        <f t="shared" si="26"/>
        <v>19222.568006400004</v>
      </c>
      <c r="M98" s="365">
        <f t="shared" si="26"/>
        <v>21245.996217600004</v>
      </c>
      <c r="N98" s="365">
        <f t="shared" si="26"/>
        <v>19222.568006400004</v>
      </c>
      <c r="O98" s="365">
        <f t="shared" si="26"/>
        <v>15175.711584000002</v>
      </c>
    </row>
    <row r="99" spans="2:18">
      <c r="F99" s="365"/>
      <c r="G99" s="365"/>
      <c r="H99" s="365"/>
      <c r="I99" s="365"/>
      <c r="J99" s="365"/>
      <c r="K99" s="365"/>
      <c r="L99" s="365"/>
      <c r="M99" s="365"/>
      <c r="N99" s="365"/>
      <c r="O99" s="365"/>
    </row>
    <row r="100" spans="2:18">
      <c r="F100" s="365"/>
      <c r="G100" s="365"/>
      <c r="H100" s="365"/>
      <c r="I100" s="365"/>
      <c r="J100" s="365"/>
      <c r="K100" s="365"/>
      <c r="L100" s="365"/>
      <c r="M100" s="365"/>
      <c r="N100" s="365"/>
      <c r="O100" s="365"/>
    </row>
    <row r="101" spans="2:18">
      <c r="F101" s="365"/>
      <c r="G101" s="365"/>
      <c r="H101" s="365"/>
      <c r="I101" s="365"/>
      <c r="J101" s="365"/>
      <c r="K101" s="365"/>
      <c r="L101" s="365"/>
      <c r="M101" s="365"/>
      <c r="N101" s="365"/>
      <c r="O101" s="365"/>
    </row>
    <row r="102" spans="2:18">
      <c r="F102" s="365"/>
      <c r="G102" s="365"/>
      <c r="H102" s="365"/>
      <c r="I102" s="365"/>
      <c r="J102" s="365"/>
      <c r="K102" s="365"/>
      <c r="L102" s="365"/>
      <c r="M102" s="365"/>
      <c r="N102" s="365"/>
      <c r="O102" s="365"/>
    </row>
    <row r="104" spans="2:18" ht="15.75">
      <c r="B104" s="206" t="s">
        <v>202</v>
      </c>
      <c r="C104" s="175"/>
      <c r="D104" s="175"/>
      <c r="E104" s="175"/>
      <c r="F104" s="175"/>
      <c r="G104" s="175"/>
      <c r="H104" s="175"/>
      <c r="I104" s="175"/>
      <c r="J104" s="175"/>
      <c r="K104" s="175"/>
      <c r="L104" s="175"/>
      <c r="M104" s="175"/>
      <c r="N104" s="175"/>
      <c r="O104" s="175"/>
      <c r="P104" s="177"/>
    </row>
    <row r="105" spans="2:18" ht="6.75" customHeight="1">
      <c r="B105" s="164"/>
      <c r="C105" s="166"/>
      <c r="D105" s="166"/>
      <c r="E105" s="166"/>
      <c r="F105" s="166"/>
      <c r="G105" s="166"/>
      <c r="H105" s="166"/>
      <c r="I105" s="166"/>
      <c r="J105" s="166"/>
      <c r="K105" s="166"/>
      <c r="L105" s="166"/>
      <c r="M105" s="166"/>
      <c r="N105" s="166"/>
      <c r="O105" s="166"/>
      <c r="P105" s="168"/>
      <c r="R105" s="2331" t="s">
        <v>120</v>
      </c>
    </row>
    <row r="106" spans="2:18">
      <c r="B106" s="164"/>
      <c r="C106" s="178" t="s">
        <v>239</v>
      </c>
      <c r="D106" s="166"/>
      <c r="E106" s="167"/>
      <c r="F106" s="166"/>
      <c r="G106" s="167"/>
      <c r="H106" s="166"/>
      <c r="I106" s="166"/>
      <c r="J106" s="166"/>
      <c r="K106" s="166"/>
      <c r="L106" s="166"/>
      <c r="M106" s="166"/>
      <c r="N106" s="166"/>
      <c r="O106" s="167" t="str">
        <f>preferences.energyunits</f>
        <v>TWh</v>
      </c>
      <c r="P106" s="168"/>
    </row>
    <row r="107" spans="2:18" ht="6.75" customHeight="1">
      <c r="B107" s="164"/>
      <c r="C107" s="166"/>
      <c r="D107" s="166"/>
      <c r="E107" s="166"/>
      <c r="F107" s="166"/>
      <c r="G107" s="166"/>
      <c r="H107" s="166"/>
      <c r="I107" s="166"/>
      <c r="J107" s="166"/>
      <c r="K107" s="166"/>
      <c r="L107" s="166"/>
      <c r="M107" s="166"/>
      <c r="N107" s="166"/>
      <c r="O107" s="166"/>
      <c r="P107" s="168"/>
    </row>
    <row r="108" spans="2:18" ht="15.75">
      <c r="B108" s="169"/>
      <c r="C108" s="180" t="s">
        <v>64</v>
      </c>
      <c r="D108" s="180" t="s">
        <v>137</v>
      </c>
      <c r="E108" s="180" t="s">
        <v>156</v>
      </c>
      <c r="F108" s="1703" t="s">
        <v>203</v>
      </c>
      <c r="G108" s="2154" t="s">
        <v>712</v>
      </c>
      <c r="H108" s="1703" t="s">
        <v>713</v>
      </c>
      <c r="I108" s="1703" t="s">
        <v>714</v>
      </c>
      <c r="J108" s="1703" t="s">
        <v>715</v>
      </c>
      <c r="K108" s="1703" t="s">
        <v>716</v>
      </c>
      <c r="L108" s="1703" t="s">
        <v>717</v>
      </c>
      <c r="M108" s="1703" t="s">
        <v>718</v>
      </c>
      <c r="N108" s="1703" t="s">
        <v>719</v>
      </c>
      <c r="O108" s="1703" t="s">
        <v>720</v>
      </c>
      <c r="P108" s="168"/>
    </row>
    <row r="109" spans="2:18" ht="15.75">
      <c r="B109" s="169"/>
      <c r="C109" s="60" t="s">
        <v>24</v>
      </c>
      <c r="D109" s="60" t="str">
        <f>INDEX(Vectors[Description], MATCH([Vector], Vectors[Code], 0))</f>
        <v>Solar</v>
      </c>
      <c r="E109" s="60"/>
      <c r="F109" s="129">
        <f t="shared" ref="F109:O109" si="27">-F92</f>
        <v>0</v>
      </c>
      <c r="G109" s="129">
        <f t="shared" si="27"/>
        <v>0</v>
      </c>
      <c r="H109" s="129">
        <f t="shared" si="27"/>
        <v>-2.5246079999999997</v>
      </c>
      <c r="I109" s="129">
        <f t="shared" si="27"/>
        <v>-8.5731479999999998</v>
      </c>
      <c r="J109" s="129">
        <f t="shared" si="27"/>
        <v>-15.638544</v>
      </c>
      <c r="K109" s="129">
        <f t="shared" si="27"/>
        <v>-25.719444000000003</v>
      </c>
      <c r="L109" s="129">
        <f t="shared" si="27"/>
        <v>-33.784163999999997</v>
      </c>
      <c r="M109" s="129">
        <f t="shared" si="27"/>
        <v>-37.816524000000008</v>
      </c>
      <c r="N109" s="129">
        <f t="shared" si="27"/>
        <v>-35.291916000000001</v>
      </c>
      <c r="O109" s="129">
        <f t="shared" si="27"/>
        <v>-29.243376000000001</v>
      </c>
      <c r="P109" s="168"/>
    </row>
    <row r="110" spans="2:18" ht="15.75">
      <c r="B110" s="169"/>
      <c r="C110" s="60" t="s">
        <v>35</v>
      </c>
      <c r="D110" s="60" t="str">
        <f>INDEX(Vectors[Description], MATCH([Vector], Vectors[Code], 0))</f>
        <v>Electricity (supplied to grid)</v>
      </c>
      <c r="E110" s="60"/>
      <c r="F110" s="129">
        <f t="shared" ref="F110:O110" si="28">(F92)</f>
        <v>0</v>
      </c>
      <c r="G110" s="129">
        <f t="shared" si="28"/>
        <v>0</v>
      </c>
      <c r="H110" s="129">
        <f t="shared" si="28"/>
        <v>2.5246079999999997</v>
      </c>
      <c r="I110" s="129">
        <f t="shared" si="28"/>
        <v>8.5731479999999998</v>
      </c>
      <c r="J110" s="129">
        <f t="shared" si="28"/>
        <v>15.638544</v>
      </c>
      <c r="K110" s="129">
        <f t="shared" si="28"/>
        <v>25.719444000000003</v>
      </c>
      <c r="L110" s="129">
        <f t="shared" si="28"/>
        <v>33.784163999999997</v>
      </c>
      <c r="M110" s="129">
        <f t="shared" si="28"/>
        <v>37.816524000000008</v>
      </c>
      <c r="N110" s="129">
        <f t="shared" si="28"/>
        <v>35.291916000000001</v>
      </c>
      <c r="O110" s="129">
        <f t="shared" si="28"/>
        <v>29.243376000000001</v>
      </c>
      <c r="P110" s="168"/>
    </row>
    <row r="111" spans="2:18" ht="15.75">
      <c r="B111" s="169"/>
      <c r="C111" s="60" t="s">
        <v>103</v>
      </c>
      <c r="D111" s="60"/>
      <c r="E111" s="60"/>
      <c r="F111" s="648">
        <f>SUBTOTAL(109,[2007])</f>
        <v>0</v>
      </c>
      <c r="G111" s="60">
        <f>SUBTOTAL(109,[2012])</f>
        <v>0</v>
      </c>
      <c r="H111" s="60">
        <f>SUBTOTAL(109,[2017])</f>
        <v>0</v>
      </c>
      <c r="I111" s="60">
        <f>SUBTOTAL(109,[2022])</f>
        <v>0</v>
      </c>
      <c r="J111" s="60">
        <f>SUBTOTAL(109,[2027])</f>
        <v>0</v>
      </c>
      <c r="K111" s="60">
        <f>SUBTOTAL(109,[2032])</f>
        <v>0</v>
      </c>
      <c r="L111" s="60">
        <f>SUBTOTAL(109,[2037])</f>
        <v>0</v>
      </c>
      <c r="M111" s="60">
        <f>SUBTOTAL(109,[2042])</f>
        <v>0</v>
      </c>
      <c r="N111" s="60">
        <f>SUBTOTAL(109,[2047])</f>
        <v>0</v>
      </c>
      <c r="O111" s="60">
        <f>SUBTOTAL(109,[2052])</f>
        <v>0</v>
      </c>
      <c r="P111" s="168"/>
    </row>
    <row r="112" spans="2:18" ht="15.75">
      <c r="B112" s="169"/>
      <c r="C112" s="171"/>
      <c r="D112" s="171"/>
      <c r="E112" s="171"/>
      <c r="F112" s="171"/>
      <c r="G112" s="171"/>
      <c r="H112" s="171"/>
      <c r="I112" s="171"/>
      <c r="J112" s="171"/>
      <c r="K112" s="171"/>
      <c r="L112" s="171"/>
      <c r="M112" s="171"/>
      <c r="N112" s="171"/>
      <c r="O112" s="171"/>
      <c r="P112" s="168"/>
    </row>
    <row r="113" spans="1:26">
      <c r="P113" s="168"/>
    </row>
    <row r="114" spans="1:26" ht="15.75" collapsed="1">
      <c r="B114" s="424" t="s">
        <v>501</v>
      </c>
      <c r="C114" s="346"/>
      <c r="D114" s="425"/>
      <c r="E114" s="425"/>
      <c r="F114" s="425"/>
      <c r="G114" s="425"/>
      <c r="H114" s="425"/>
      <c r="I114" s="425"/>
      <c r="J114" s="425"/>
      <c r="K114" s="425"/>
      <c r="L114" s="425"/>
      <c r="M114" s="425"/>
      <c r="N114" s="425"/>
      <c r="O114" s="425"/>
      <c r="P114" s="173"/>
    </row>
    <row r="115" spans="1:26">
      <c r="B115" s="347"/>
      <c r="C115" s="348"/>
      <c r="D115" s="348"/>
      <c r="E115" s="348"/>
      <c r="F115" s="348"/>
      <c r="G115" s="348"/>
      <c r="H115" s="348"/>
      <c r="I115" s="348"/>
      <c r="J115" s="348"/>
      <c r="K115" s="348"/>
      <c r="L115" s="348"/>
      <c r="M115" s="348"/>
      <c r="N115" s="348"/>
      <c r="O115" s="348"/>
    </row>
    <row r="116" spans="1:26" ht="22.5" collapsed="1">
      <c r="A116" s="420"/>
      <c r="B116" s="427"/>
      <c r="C116" s="350" t="s">
        <v>506</v>
      </c>
      <c r="D116" s="428"/>
      <c r="E116" s="351"/>
      <c r="F116" s="428"/>
      <c r="G116" s="351"/>
      <c r="H116" s="428"/>
      <c r="I116" s="428"/>
      <c r="J116" s="428"/>
      <c r="K116" s="428"/>
      <c r="L116" s="428"/>
      <c r="M116" s="428"/>
      <c r="N116" s="428"/>
      <c r="O116" s="351"/>
      <c r="P116" s="426"/>
    </row>
    <row r="117" spans="1:26">
      <c r="B117" s="427"/>
      <c r="C117" s="428"/>
      <c r="D117" s="428"/>
      <c r="E117" s="428"/>
      <c r="F117" s="428"/>
      <c r="G117" s="428"/>
      <c r="H117" s="428"/>
      <c r="I117" s="428"/>
      <c r="J117" s="428"/>
      <c r="K117" s="428"/>
      <c r="L117" s="428"/>
      <c r="M117" s="428"/>
      <c r="N117" s="428"/>
      <c r="O117" s="428"/>
      <c r="P117" s="349"/>
    </row>
    <row r="118" spans="1:26" ht="15.75">
      <c r="B118" s="430"/>
      <c r="C118" s="431" t="s">
        <v>64</v>
      </c>
      <c r="D118" s="431" t="s">
        <v>502</v>
      </c>
      <c r="E118" s="431" t="s">
        <v>156</v>
      </c>
      <c r="F118" s="1705" t="s">
        <v>203</v>
      </c>
      <c r="G118" s="2155" t="s">
        <v>712</v>
      </c>
      <c r="H118" s="1705" t="s">
        <v>713</v>
      </c>
      <c r="I118" s="1705" t="s">
        <v>714</v>
      </c>
      <c r="J118" s="1705" t="s">
        <v>715</v>
      </c>
      <c r="K118" s="1705" t="s">
        <v>716</v>
      </c>
      <c r="L118" s="1705" t="s">
        <v>717</v>
      </c>
      <c r="M118" s="1705" t="s">
        <v>718</v>
      </c>
      <c r="N118" s="1705" t="s">
        <v>719</v>
      </c>
      <c r="O118" s="1705" t="s">
        <v>720</v>
      </c>
      <c r="P118" s="429"/>
    </row>
    <row r="119" spans="1:26" ht="12.75" customHeight="1">
      <c r="B119" s="430"/>
      <c r="C119" s="432" t="s">
        <v>503</v>
      </c>
      <c r="D119" s="60" t="str">
        <f>INDEX(Vectors[Description], MATCH([Vector], Vectors[Code], 0))</f>
        <v>India Land area</v>
      </c>
      <c r="E119" s="433" t="str">
        <f>Preferences.AreaUnits</f>
        <v>ha</v>
      </c>
      <c r="F119" s="354">
        <f>F98</f>
        <v>0</v>
      </c>
      <c r="G119" s="354">
        <f t="shared" ref="G119:O119" si="29">G98</f>
        <v>0</v>
      </c>
      <c r="H119" s="354">
        <f t="shared" si="29"/>
        <v>2428.1138534400002</v>
      </c>
      <c r="I119" s="354">
        <f t="shared" si="29"/>
        <v>6677.3130969600006</v>
      </c>
      <c r="J119" s="354">
        <f t="shared" si="29"/>
        <v>11128.855161600002</v>
      </c>
      <c r="K119" s="354">
        <f t="shared" si="29"/>
        <v>15175.711584000002</v>
      </c>
      <c r="L119" s="354">
        <f t="shared" si="29"/>
        <v>19222.568006400004</v>
      </c>
      <c r="M119" s="354">
        <f t="shared" si="29"/>
        <v>21245.996217600004</v>
      </c>
      <c r="N119" s="354">
        <f t="shared" si="29"/>
        <v>19222.568006400004</v>
      </c>
      <c r="O119" s="354">
        <f t="shared" si="29"/>
        <v>15175.711584000002</v>
      </c>
      <c r="P119" s="429"/>
    </row>
    <row r="120" spans="1:26" ht="15.75">
      <c r="A120" s="3"/>
      <c r="B120" s="430"/>
      <c r="C120" s="432" t="s">
        <v>508</v>
      </c>
      <c r="D120" s="60" t="str">
        <f>INDEX(Vectors[Description], MATCH([Vector], Vectors[Code], 0))</f>
        <v xml:space="preserve">Installed Capacity </v>
      </c>
      <c r="E120" s="433" t="str">
        <f>Preferences.PowerUnits</f>
        <v>GW</v>
      </c>
      <c r="F120" s="354">
        <f>F38</f>
        <v>0</v>
      </c>
      <c r="G120" s="354">
        <f>G38</f>
        <v>0</v>
      </c>
      <c r="H120" s="354">
        <f t="shared" ref="H120:O120" si="30">H89</f>
        <v>1</v>
      </c>
      <c r="I120" s="354">
        <f t="shared" si="30"/>
        <v>3</v>
      </c>
      <c r="J120" s="354">
        <f t="shared" si="30"/>
        <v>5</v>
      </c>
      <c r="K120" s="354">
        <f t="shared" si="30"/>
        <v>7.5</v>
      </c>
      <c r="L120" s="354">
        <f t="shared" si="30"/>
        <v>9.5</v>
      </c>
      <c r="M120" s="354">
        <f t="shared" si="30"/>
        <v>10.5</v>
      </c>
      <c r="N120" s="354">
        <f t="shared" si="30"/>
        <v>9.5</v>
      </c>
      <c r="O120" s="354">
        <f t="shared" si="30"/>
        <v>7.5</v>
      </c>
      <c r="P120" s="429"/>
    </row>
    <row r="121" spans="1:26" ht="15.75">
      <c r="A121" s="3"/>
      <c r="B121" s="355"/>
      <c r="C121" s="434"/>
      <c r="D121" s="434"/>
      <c r="E121" s="434"/>
      <c r="F121" s="434"/>
      <c r="G121" s="434"/>
      <c r="H121" s="434"/>
      <c r="I121" s="434"/>
      <c r="J121" s="434"/>
      <c r="K121" s="434"/>
      <c r="L121" s="434"/>
      <c r="M121" s="434"/>
      <c r="N121" s="434"/>
      <c r="O121" s="434"/>
      <c r="P121" s="429"/>
    </row>
    <row r="122" spans="1:26" ht="15.75">
      <c r="A122" s="3"/>
      <c r="P122" s="429"/>
      <c r="R122" s="35"/>
      <c r="S122" s="35"/>
      <c r="T122" s="35"/>
      <c r="U122" s="35"/>
      <c r="V122" s="35"/>
      <c r="W122" s="35"/>
      <c r="X122" s="35"/>
      <c r="Y122" s="35"/>
      <c r="Z122" s="35"/>
    </row>
    <row r="123" spans="1:26">
      <c r="P123" s="436"/>
      <c r="R123" s="35"/>
      <c r="S123" s="35"/>
      <c r="T123" s="35"/>
      <c r="U123" s="35"/>
      <c r="V123" s="35"/>
      <c r="W123" s="35"/>
      <c r="X123" s="35"/>
      <c r="Y123" s="35"/>
      <c r="Z123" s="35"/>
    </row>
    <row r="124" spans="1:26">
      <c r="P124" s="438"/>
      <c r="R124" s="35"/>
      <c r="S124" s="35"/>
      <c r="T124" s="35"/>
      <c r="U124" s="35"/>
      <c r="V124" s="35"/>
      <c r="W124" s="35"/>
      <c r="X124" s="35"/>
      <c r="Y124" s="35"/>
      <c r="Z124" s="35"/>
    </row>
    <row r="126" spans="1:26" ht="15.75" customHeight="1"/>
    <row r="128" spans="1:26" ht="4.5" customHeight="1"/>
  </sheetData>
  <pageMargins left="0.7" right="0.7" top="0.75" bottom="0.75" header="0.3" footer="0.3"/>
  <pageSetup paperSize="9" orientation="portrait"/>
  <legacyDrawing r:id="rId1"/>
  <tableParts count="2">
    <tablePart r:id="rId2"/>
    <tablePart r:id="rId3"/>
  </tableParts>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sheetPr>
    <tabColor theme="9"/>
    <outlinePr summaryBelow="0"/>
    <pageSetUpPr autoPageBreaks="0"/>
  </sheetPr>
  <dimension ref="A1:AF115"/>
  <sheetViews>
    <sheetView showGridLines="0" topLeftCell="E27" zoomScale="85" zoomScaleNormal="85" zoomScalePageLayoutView="85" workbookViewId="0">
      <selection activeCell="N35" sqref="N35"/>
    </sheetView>
  </sheetViews>
  <sheetFormatPr defaultColWidth="8.85546875" defaultRowHeight="12.75"/>
  <cols>
    <col min="1" max="1" width="7.7109375" style="2331" customWidth="1"/>
    <col min="2" max="2" width="5.85546875" style="2331" customWidth="1"/>
    <col min="3" max="3" width="20.42578125" style="2331" customWidth="1"/>
    <col min="4" max="4" width="30.7109375" style="2331" customWidth="1"/>
    <col min="5" max="5" width="20.7109375" style="2331" customWidth="1"/>
    <col min="6" max="15" width="17.7109375" style="2331" customWidth="1"/>
    <col min="16" max="16" width="2" style="2331" customWidth="1"/>
    <col min="17" max="17" width="10.85546875" style="2331" customWidth="1"/>
    <col min="18" max="16384" width="8.85546875" style="2331"/>
  </cols>
  <sheetData>
    <row r="1" spans="1:16" ht="21">
      <c r="A1" s="77" t="s">
        <v>63</v>
      </c>
      <c r="B1" s="77" t="str">
        <f>INDEX(Workstreams[Workstream], MATCH($A1,Workstreams[Code], 0))</f>
        <v>National  renewable power generation</v>
      </c>
      <c r="C1" s="77"/>
    </row>
    <row r="2" spans="1:16" s="51" customFormat="1" ht="19.5" customHeight="1">
      <c r="A2" s="6" t="s">
        <v>1071</v>
      </c>
      <c r="B2" s="6" t="str">
        <f>INDEX(Modules[Module], MATCH($A2,Modules[Code], 0))</f>
        <v>Onshore Wind</v>
      </c>
      <c r="C2" s="6"/>
      <c r="E2" s="404"/>
    </row>
    <row r="4" spans="1:16" ht="22.5">
      <c r="A4" s="420"/>
      <c r="B4" s="206" t="s">
        <v>416</v>
      </c>
      <c r="C4" s="666"/>
      <c r="D4" s="175"/>
      <c r="E4" s="176"/>
      <c r="F4" s="175"/>
      <c r="G4" s="175"/>
      <c r="H4" s="175"/>
      <c r="I4" s="175"/>
      <c r="J4" s="175"/>
      <c r="K4" s="175"/>
      <c r="L4" s="175"/>
      <c r="M4" s="175"/>
      <c r="N4" s="175"/>
      <c r="O4" s="175"/>
      <c r="P4" s="177"/>
    </row>
    <row r="5" spans="1:16">
      <c r="B5" s="164"/>
      <c r="C5" s="165"/>
      <c r="D5" s="166"/>
      <c r="E5" s="167"/>
      <c r="F5" s="166"/>
      <c r="G5" s="166"/>
      <c r="H5" s="166"/>
      <c r="I5" s="166"/>
      <c r="J5" s="166"/>
      <c r="K5" s="166"/>
      <c r="L5" s="166"/>
      <c r="M5" s="166"/>
      <c r="N5" s="166"/>
      <c r="O5" s="166"/>
      <c r="P5" s="168"/>
    </row>
    <row r="6" spans="1:16" ht="15.75">
      <c r="B6" s="169"/>
      <c r="C6" s="166"/>
      <c r="D6" s="118" t="s">
        <v>274</v>
      </c>
      <c r="E6" s="118" t="s">
        <v>411</v>
      </c>
      <c r="F6" s="166"/>
      <c r="G6" s="609"/>
      <c r="H6" s="166"/>
      <c r="I6" s="166"/>
      <c r="J6" s="166"/>
      <c r="K6" s="166"/>
      <c r="L6" s="166"/>
      <c r="M6" s="166"/>
      <c r="N6" s="166"/>
      <c r="O6" s="166"/>
      <c r="P6" s="168"/>
    </row>
    <row r="7" spans="1:16" ht="15.75">
      <c r="B7" s="169"/>
      <c r="C7" s="166"/>
      <c r="D7" s="127" t="s">
        <v>411</v>
      </c>
      <c r="E7" s="127">
        <f>IV.c.1.scenario</f>
        <v>1</v>
      </c>
      <c r="F7" s="166"/>
      <c r="G7" s="166"/>
      <c r="H7" s="166"/>
      <c r="I7" s="166"/>
      <c r="J7" s="166"/>
      <c r="K7" s="166"/>
      <c r="L7" s="166"/>
      <c r="M7" s="166"/>
      <c r="N7" s="166"/>
      <c r="O7" s="166"/>
      <c r="P7" s="168"/>
    </row>
    <row r="8" spans="1:16" ht="15.75">
      <c r="B8" s="170"/>
      <c r="C8" s="171"/>
      <c r="D8" s="171"/>
      <c r="E8" s="171"/>
      <c r="F8" s="172"/>
      <c r="G8" s="172"/>
      <c r="H8" s="166"/>
      <c r="I8" s="172"/>
      <c r="J8" s="172"/>
      <c r="K8" s="172"/>
      <c r="L8" s="172"/>
      <c r="M8" s="172"/>
      <c r="N8" s="172"/>
      <c r="O8" s="172"/>
      <c r="P8" s="173"/>
    </row>
    <row r="10" spans="1:16" ht="22.5">
      <c r="A10" s="420"/>
      <c r="B10" s="421" t="s">
        <v>413</v>
      </c>
      <c r="C10" s="159"/>
      <c r="D10" s="159"/>
      <c r="E10" s="159"/>
      <c r="F10" s="159"/>
      <c r="G10" s="159"/>
      <c r="H10" s="159"/>
      <c r="I10" s="159"/>
      <c r="J10" s="159"/>
      <c r="K10" s="159"/>
      <c r="L10" s="159"/>
      <c r="M10" s="159"/>
      <c r="N10" s="159"/>
      <c r="O10" s="159"/>
      <c r="P10" s="160"/>
    </row>
    <row r="11" spans="1:16">
      <c r="B11" s="418"/>
      <c r="C11" s="415"/>
      <c r="D11" s="415"/>
      <c r="E11" s="415"/>
      <c r="F11" s="415"/>
      <c r="G11" s="415"/>
      <c r="H11" s="415"/>
      <c r="I11" s="415"/>
      <c r="J11" s="415"/>
      <c r="K11" s="415"/>
      <c r="L11" s="415"/>
      <c r="M11" s="415"/>
      <c r="N11" s="415"/>
      <c r="O11" s="415"/>
      <c r="P11" s="419"/>
    </row>
    <row r="12" spans="1:16">
      <c r="B12" s="418"/>
      <c r="C12" s="416" t="s">
        <v>826</v>
      </c>
      <c r="D12" s="415"/>
      <c r="E12" s="104"/>
      <c r="F12" s="415"/>
      <c r="G12" s="415"/>
      <c r="H12" s="415"/>
      <c r="I12" s="415"/>
      <c r="J12" s="415"/>
      <c r="K12" s="415"/>
      <c r="L12" s="415"/>
      <c r="M12" s="415"/>
      <c r="N12" s="415"/>
      <c r="O12" s="104" t="str">
        <f>Preferences.PowerUnits &amp; " per Five Year Plan, for subsequent period; nameplate capacity"</f>
        <v>GW per Five Year Plan, for subsequent period; nameplate capacity</v>
      </c>
      <c r="P12" s="419"/>
    </row>
    <row r="13" spans="1:16" ht="5.25" customHeight="1">
      <c r="B13" s="418"/>
      <c r="C13" s="415"/>
      <c r="D13" s="415"/>
      <c r="E13" s="415"/>
      <c r="F13" s="415"/>
      <c r="G13" s="415"/>
      <c r="H13" s="415"/>
      <c r="I13" s="415"/>
      <c r="J13" s="415"/>
      <c r="K13" s="415"/>
      <c r="L13" s="415"/>
      <c r="M13" s="415"/>
      <c r="N13" s="415"/>
      <c r="O13" s="415"/>
      <c r="P13" s="419"/>
    </row>
    <row r="14" spans="1:16" ht="15.75">
      <c r="B14" s="152"/>
      <c r="C14" s="61" t="s">
        <v>411</v>
      </c>
      <c r="D14" s="61" t="s">
        <v>65</v>
      </c>
      <c r="E14" s="61" t="s">
        <v>156</v>
      </c>
      <c r="F14" s="119">
        <v>2007</v>
      </c>
      <c r="G14" s="120">
        <v>2012</v>
      </c>
      <c r="H14" s="119">
        <v>2017</v>
      </c>
      <c r="I14" s="119">
        <v>2022</v>
      </c>
      <c r="J14" s="119">
        <v>2027</v>
      </c>
      <c r="K14" s="119">
        <v>2032</v>
      </c>
      <c r="L14" s="119">
        <v>2037</v>
      </c>
      <c r="M14" s="119">
        <v>2042</v>
      </c>
      <c r="N14" s="119">
        <v>2047</v>
      </c>
      <c r="O14" s="119">
        <v>2052</v>
      </c>
      <c r="P14" s="419"/>
    </row>
    <row r="15" spans="1:16" ht="15.75">
      <c r="B15" s="153"/>
      <c r="C15" s="413">
        <v>1</v>
      </c>
      <c r="D15" s="414"/>
      <c r="E15" s="96"/>
      <c r="F15" s="693">
        <f>7093.99*(Unit.MW)</f>
        <v>7.0939899999999998</v>
      </c>
      <c r="G15" s="694">
        <f>10.353*Unit.GW</f>
        <v>10.353</v>
      </c>
      <c r="H15" s="222">
        <f>8500*(Unit.MW)</f>
        <v>8.5</v>
      </c>
      <c r="I15" s="222">
        <f>10000*(Unit.MW)</f>
        <v>10</v>
      </c>
      <c r="J15" s="222">
        <f>10000*(Unit.MW)</f>
        <v>10</v>
      </c>
      <c r="K15" s="222">
        <f>12500*(Unit.MW)</f>
        <v>12.5</v>
      </c>
      <c r="L15" s="222">
        <f>12500*(Unit.MW)</f>
        <v>12.5</v>
      </c>
      <c r="M15" s="222">
        <f>12000*(Unit.MW)</f>
        <v>12</v>
      </c>
      <c r="N15" s="222">
        <f>10000*(Unit.MW)</f>
        <v>10</v>
      </c>
      <c r="O15" s="98">
        <f>8000*(Unit.MW)</f>
        <v>8</v>
      </c>
      <c r="P15" s="154"/>
    </row>
    <row r="16" spans="1:16" ht="15.75">
      <c r="B16" s="152"/>
      <c r="C16" s="413">
        <v>2</v>
      </c>
      <c r="D16" s="414"/>
      <c r="E16" s="414"/>
      <c r="F16" s="693">
        <f>7093.99*(Unit.MW)</f>
        <v>7.0939899999999998</v>
      </c>
      <c r="G16" s="694">
        <f>10.353*Unit.GW</f>
        <v>10.353</v>
      </c>
      <c r="H16" s="695">
        <f>15000*(Unit.MW)</f>
        <v>15</v>
      </c>
      <c r="I16" s="695">
        <f>22000*(Unit.MW)</f>
        <v>22</v>
      </c>
      <c r="J16" s="695">
        <f>25000*(Unit.MW)</f>
        <v>25</v>
      </c>
      <c r="K16" s="695">
        <f>30000*(Unit.MW)</f>
        <v>30</v>
      </c>
      <c r="L16" s="695">
        <f>35000*(Unit.MW)</f>
        <v>35</v>
      </c>
      <c r="M16" s="695">
        <f>40000*(Unit.MW)</f>
        <v>40</v>
      </c>
      <c r="N16" s="695">
        <f>50000*(Unit.MW)</f>
        <v>50</v>
      </c>
      <c r="O16" s="137">
        <f>60000*(Unit.MW)</f>
        <v>60</v>
      </c>
      <c r="P16" s="419"/>
    </row>
    <row r="17" spans="2:16" ht="15.75">
      <c r="B17" s="152"/>
      <c r="C17" s="413">
        <v>3</v>
      </c>
      <c r="D17" s="414"/>
      <c r="E17" s="414"/>
      <c r="F17" s="693">
        <f>7093.99*(Unit.MW)</f>
        <v>7.0939899999999998</v>
      </c>
      <c r="G17" s="694">
        <f>10.353*Unit.GW</f>
        <v>10.353</v>
      </c>
      <c r="H17" s="695">
        <f>20000*(Unit.MW)</f>
        <v>20</v>
      </c>
      <c r="I17" s="695">
        <f>25000*(Unit.MW)</f>
        <v>25</v>
      </c>
      <c r="J17" s="695">
        <f>30000*(Unit.MW)</f>
        <v>30</v>
      </c>
      <c r="K17" s="695">
        <f>35000*(Unit.MW)</f>
        <v>35</v>
      </c>
      <c r="L17" s="695">
        <f>50000*(Unit.MW)</f>
        <v>50</v>
      </c>
      <c r="M17" s="695">
        <f>60000*(Unit.MW)</f>
        <v>60</v>
      </c>
      <c r="N17" s="695">
        <f>70000*(Unit.MW)</f>
        <v>70</v>
      </c>
      <c r="O17" s="137">
        <f>80000*(Unit.MW)</f>
        <v>80</v>
      </c>
      <c r="P17" s="419"/>
    </row>
    <row r="18" spans="2:16" ht="15.75">
      <c r="B18" s="152"/>
      <c r="C18" s="411">
        <v>4</v>
      </c>
      <c r="D18" s="65"/>
      <c r="E18" s="65"/>
      <c r="F18" s="693">
        <f>7093.99*(Unit.MW)</f>
        <v>7.0939899999999998</v>
      </c>
      <c r="G18" s="694">
        <f>10.353*Unit.GW</f>
        <v>10.353</v>
      </c>
      <c r="H18" s="263">
        <f>25000*(Unit.MW)</f>
        <v>25</v>
      </c>
      <c r="I18" s="263">
        <f>40000*(Unit.MW)</f>
        <v>40</v>
      </c>
      <c r="J18" s="263">
        <f>50000*(Unit.MW)</f>
        <v>50</v>
      </c>
      <c r="K18" s="263">
        <f>60000*(Unit.MW)</f>
        <v>60</v>
      </c>
      <c r="L18" s="263">
        <f>70000*(Unit.MW)</f>
        <v>70</v>
      </c>
      <c r="M18" s="263">
        <f>90000*(Unit.MW)</f>
        <v>90</v>
      </c>
      <c r="N18" s="263">
        <f>100000*(Unit.MW)</f>
        <v>100</v>
      </c>
      <c r="O18" s="101">
        <f>120000*(Unit.MW)</f>
        <v>120</v>
      </c>
      <c r="P18" s="419"/>
    </row>
    <row r="19" spans="2:16" ht="15.75">
      <c r="B19" s="152"/>
      <c r="C19" s="406" t="s">
        <v>406</v>
      </c>
      <c r="D19" s="407"/>
      <c r="E19" s="407"/>
      <c r="F19" s="408">
        <f>(INDEX(F$15:F$18,ROUNDDOWN($E$7,0))*(1-MOD($E$7,1)))+(INDEX(F$15:F$18,ROUNDUP($E$7,0))*MOD($E$7,1))</f>
        <v>7.0939899999999998</v>
      </c>
      <c r="G19" s="408">
        <f t="shared" ref="G19:O19" si="0">(INDEX(G$15:G$18,ROUNDDOWN($E$7,0))*(1-MOD($E$7,1)))+(INDEX(G$15:G$18,ROUNDUP($E$7,0))*MOD($E$7,1))</f>
        <v>10.353</v>
      </c>
      <c r="H19" s="408">
        <f t="shared" si="0"/>
        <v>8.5</v>
      </c>
      <c r="I19" s="408">
        <f t="shared" si="0"/>
        <v>10</v>
      </c>
      <c r="J19" s="408">
        <f t="shared" si="0"/>
        <v>10</v>
      </c>
      <c r="K19" s="408">
        <f t="shared" si="0"/>
        <v>12.5</v>
      </c>
      <c r="L19" s="408">
        <f t="shared" si="0"/>
        <v>12.5</v>
      </c>
      <c r="M19" s="408">
        <f t="shared" si="0"/>
        <v>12</v>
      </c>
      <c r="N19" s="408">
        <f t="shared" si="0"/>
        <v>10</v>
      </c>
      <c r="O19" s="654">
        <f t="shared" si="0"/>
        <v>8</v>
      </c>
      <c r="P19" s="419"/>
    </row>
    <row r="20" spans="2:16" ht="12" customHeight="1">
      <c r="B20" s="155"/>
      <c r="C20" s="415"/>
      <c r="D20" s="105"/>
      <c r="E20" s="415"/>
      <c r="F20" s="415"/>
      <c r="G20" s="415"/>
      <c r="H20" s="415"/>
      <c r="I20" s="415"/>
      <c r="J20" s="415"/>
      <c r="K20" s="415"/>
      <c r="L20" s="415"/>
      <c r="M20" s="415"/>
      <c r="N20" s="415"/>
      <c r="O20" s="415"/>
      <c r="P20" s="419"/>
    </row>
    <row r="21" spans="2:16">
      <c r="B21" s="155"/>
      <c r="C21" s="416" t="s">
        <v>827</v>
      </c>
      <c r="D21" s="415"/>
      <c r="E21" s="104"/>
      <c r="F21" s="415"/>
      <c r="G21" s="415"/>
      <c r="H21" s="415"/>
      <c r="I21" s="415"/>
      <c r="J21" s="415"/>
      <c r="K21" s="415"/>
      <c r="L21" s="415"/>
      <c r="M21" s="415"/>
      <c r="N21" s="415"/>
      <c r="O21" s="104" t="str">
        <f>Preferences.PowerUnits &amp; " per Five Year Plan, for subsequent period; nameplate capacity"</f>
        <v>GW per Five Year Plan, for subsequent period; nameplate capacity</v>
      </c>
      <c r="P21" s="419"/>
    </row>
    <row r="22" spans="2:16" ht="5.25" customHeight="1">
      <c r="B22" s="155"/>
      <c r="C22" s="415"/>
      <c r="D22" s="415"/>
      <c r="E22" s="415"/>
      <c r="F22" s="415"/>
      <c r="G22" s="415"/>
      <c r="H22" s="415"/>
      <c r="I22" s="415"/>
      <c r="J22" s="415"/>
      <c r="K22" s="415"/>
      <c r="L22" s="415"/>
      <c r="M22" s="415"/>
      <c r="N22" s="415"/>
      <c r="O22" s="415"/>
      <c r="P22" s="419"/>
    </row>
    <row r="23" spans="2:16" ht="15.75">
      <c r="B23" s="152"/>
      <c r="C23" s="61" t="s">
        <v>411</v>
      </c>
      <c r="D23" s="61" t="s">
        <v>65</v>
      </c>
      <c r="E23" s="61" t="s">
        <v>156</v>
      </c>
      <c r="F23" s="119">
        <v>2007</v>
      </c>
      <c r="G23" s="120">
        <v>2012</v>
      </c>
      <c r="H23" s="119">
        <v>2017</v>
      </c>
      <c r="I23" s="119">
        <v>2022</v>
      </c>
      <c r="J23" s="119">
        <v>2027</v>
      </c>
      <c r="K23" s="119">
        <v>2032</v>
      </c>
      <c r="L23" s="119">
        <v>2037</v>
      </c>
      <c r="M23" s="119">
        <v>2042</v>
      </c>
      <c r="N23" s="119">
        <v>2047</v>
      </c>
      <c r="O23" s="119">
        <v>2052</v>
      </c>
      <c r="P23" s="419"/>
    </row>
    <row r="24" spans="2:16" ht="15.75">
      <c r="B24" s="152"/>
      <c r="C24" s="413">
        <v>1</v>
      </c>
      <c r="D24" s="414"/>
      <c r="E24" s="96"/>
      <c r="F24" s="222">
        <f t="shared" ref="F24:K27" si="1">0*(Unit.MW)</f>
        <v>0</v>
      </c>
      <c r="G24" s="222">
        <f t="shared" si="1"/>
        <v>0</v>
      </c>
      <c r="H24" s="222">
        <f t="shared" si="1"/>
        <v>0</v>
      </c>
      <c r="I24" s="222">
        <f t="shared" si="1"/>
        <v>0</v>
      </c>
      <c r="J24" s="222">
        <f t="shared" si="1"/>
        <v>0</v>
      </c>
      <c r="K24" s="222">
        <f t="shared" si="1"/>
        <v>0</v>
      </c>
      <c r="L24" s="222">
        <f>-7093.99*(Unit.MW)</f>
        <v>-7.0939899999999998</v>
      </c>
      <c r="M24" s="222">
        <f>-10259.01*(Unit.MW)</f>
        <v>-10.25901</v>
      </c>
      <c r="N24" s="222">
        <f>-8500*(Unit.MW)</f>
        <v>-8.5</v>
      </c>
      <c r="O24" s="222">
        <f>-10000*(Unit.MW)</f>
        <v>-10</v>
      </c>
      <c r="P24" s="98"/>
    </row>
    <row r="25" spans="2:16" ht="15.75">
      <c r="B25" s="152"/>
      <c r="C25" s="413">
        <v>2</v>
      </c>
      <c r="D25" s="414"/>
      <c r="E25" s="414"/>
      <c r="F25" s="222">
        <f t="shared" si="1"/>
        <v>0</v>
      </c>
      <c r="G25" s="222">
        <f t="shared" si="1"/>
        <v>0</v>
      </c>
      <c r="H25" s="222">
        <f t="shared" si="1"/>
        <v>0</v>
      </c>
      <c r="I25" s="222">
        <f t="shared" si="1"/>
        <v>0</v>
      </c>
      <c r="J25" s="222">
        <f t="shared" si="1"/>
        <v>0</v>
      </c>
      <c r="K25" s="222">
        <f t="shared" si="1"/>
        <v>0</v>
      </c>
      <c r="L25" s="695">
        <f>-7093.99*(Unit.MW)</f>
        <v>-7.0939899999999998</v>
      </c>
      <c r="M25" s="695">
        <f>-10259.01*(Unit.MW)</f>
        <v>-10.25901</v>
      </c>
      <c r="N25" s="695">
        <f>-15000*(Unit.MW)</f>
        <v>-15</v>
      </c>
      <c r="O25" s="695">
        <f>-22000*(Unit.MW)</f>
        <v>-22</v>
      </c>
      <c r="P25" s="137"/>
    </row>
    <row r="26" spans="2:16" ht="15.75">
      <c r="B26" s="152"/>
      <c r="C26" s="413">
        <v>3</v>
      </c>
      <c r="D26" s="414"/>
      <c r="E26" s="414"/>
      <c r="F26" s="222">
        <f t="shared" si="1"/>
        <v>0</v>
      </c>
      <c r="G26" s="222">
        <f t="shared" si="1"/>
        <v>0</v>
      </c>
      <c r="H26" s="222">
        <f t="shared" si="1"/>
        <v>0</v>
      </c>
      <c r="I26" s="222">
        <f t="shared" si="1"/>
        <v>0</v>
      </c>
      <c r="J26" s="222">
        <f t="shared" si="1"/>
        <v>0</v>
      </c>
      <c r="K26" s="222">
        <f t="shared" si="1"/>
        <v>0</v>
      </c>
      <c r="L26" s="695">
        <f>-7093.99*(Unit.MW)</f>
        <v>-7.0939899999999998</v>
      </c>
      <c r="M26" s="695">
        <f>-10259.01*(Unit.MW)</f>
        <v>-10.25901</v>
      </c>
      <c r="N26" s="695">
        <f>-20000*(Unit.MW)</f>
        <v>-20</v>
      </c>
      <c r="O26" s="695">
        <f>-25000*(Unit.MW)</f>
        <v>-25</v>
      </c>
      <c r="P26" s="137"/>
    </row>
    <row r="27" spans="2:16" ht="15.75">
      <c r="B27" s="152"/>
      <c r="C27" s="411">
        <v>4</v>
      </c>
      <c r="D27" s="65"/>
      <c r="E27" s="65"/>
      <c r="F27" s="696">
        <f t="shared" si="1"/>
        <v>0</v>
      </c>
      <c r="G27" s="696">
        <f t="shared" si="1"/>
        <v>0</v>
      </c>
      <c r="H27" s="696">
        <f t="shared" si="1"/>
        <v>0</v>
      </c>
      <c r="I27" s="696">
        <f t="shared" si="1"/>
        <v>0</v>
      </c>
      <c r="J27" s="222">
        <f t="shared" si="1"/>
        <v>0</v>
      </c>
      <c r="K27" s="222">
        <f t="shared" si="1"/>
        <v>0</v>
      </c>
      <c r="L27" s="263">
        <f>-7093.99*(Unit.MW)</f>
        <v>-7.0939899999999998</v>
      </c>
      <c r="M27" s="263">
        <f>-10259.01*(Unit.MW)</f>
        <v>-10.25901</v>
      </c>
      <c r="N27" s="263">
        <f>-25000*(Unit.MW)</f>
        <v>-25</v>
      </c>
      <c r="O27" s="263">
        <f>-25000*(Unit.MW)</f>
        <v>-25</v>
      </c>
      <c r="P27" s="101"/>
    </row>
    <row r="28" spans="2:16" ht="15.75">
      <c r="B28" s="152"/>
      <c r="C28" s="406" t="s">
        <v>406</v>
      </c>
      <c r="D28" s="407"/>
      <c r="E28" s="407"/>
      <c r="F28" s="408">
        <f>(INDEX(F$24:F$27,ROUNDDOWN($E$7,0))*(1-MOD($E$7,1)))+(INDEX(F$24:F$27,ROUNDUP($E$7,0))*MOD($E$7,1))</f>
        <v>0</v>
      </c>
      <c r="G28" s="408">
        <f t="shared" ref="G28:O28" si="2">(INDEX(G$24:G$27,ROUNDDOWN($E$7,0))*(1-MOD($E$7,1)))+(INDEX(G$24:G$27,ROUNDUP($E$7,0))*MOD($E$7,1))</f>
        <v>0</v>
      </c>
      <c r="H28" s="408">
        <f t="shared" si="2"/>
        <v>0</v>
      </c>
      <c r="I28" s="408">
        <f t="shared" si="2"/>
        <v>0</v>
      </c>
      <c r="J28" s="408">
        <f t="shared" si="2"/>
        <v>0</v>
      </c>
      <c r="K28" s="408">
        <f t="shared" si="2"/>
        <v>0</v>
      </c>
      <c r="L28" s="408">
        <f t="shared" si="2"/>
        <v>-7.0939899999999998</v>
      </c>
      <c r="M28" s="408">
        <f t="shared" si="2"/>
        <v>-10.25901</v>
      </c>
      <c r="N28" s="408">
        <f t="shared" si="2"/>
        <v>-8.5</v>
      </c>
      <c r="O28" s="408">
        <f t="shared" si="2"/>
        <v>-10</v>
      </c>
      <c r="P28" s="419"/>
    </row>
    <row r="29" spans="2:16">
      <c r="B29" s="155"/>
      <c r="C29" s="413"/>
      <c r="D29" s="414"/>
      <c r="E29" s="414"/>
      <c r="F29" s="677"/>
      <c r="G29" s="678"/>
      <c r="H29" s="678"/>
      <c r="I29" s="678"/>
      <c r="J29" s="678"/>
      <c r="K29" s="678"/>
      <c r="L29" s="678"/>
      <c r="M29" s="678"/>
      <c r="N29" s="678"/>
      <c r="O29" s="678"/>
      <c r="P29" s="419"/>
    </row>
    <row r="30" spans="2:16">
      <c r="B30" s="155"/>
      <c r="C30" s="416" t="s">
        <v>828</v>
      </c>
      <c r="D30" s="415"/>
      <c r="E30" s="104"/>
      <c r="F30" s="415"/>
      <c r="G30" s="415"/>
      <c r="H30" s="415"/>
      <c r="I30" s="415"/>
      <c r="J30" s="415"/>
      <c r="K30" s="415"/>
      <c r="L30" s="415"/>
      <c r="M30" s="415"/>
      <c r="N30" s="415"/>
      <c r="O30" s="104" t="str">
        <f>Preferences.PowerUnits &amp; " per Five Year Plan, for subsequent period; nameplate capacity"</f>
        <v>GW per Five Year Plan, for subsequent period; nameplate capacity</v>
      </c>
      <c r="P30" s="419"/>
    </row>
    <row r="31" spans="2:16">
      <c r="B31" s="155"/>
      <c r="C31" s="415"/>
      <c r="D31" s="415"/>
      <c r="E31" s="415"/>
      <c r="F31" s="415"/>
      <c r="G31" s="415"/>
      <c r="H31" s="415"/>
      <c r="I31" s="415"/>
      <c r="J31" s="415"/>
      <c r="K31" s="415"/>
      <c r="L31" s="415"/>
      <c r="M31" s="415"/>
      <c r="N31" s="415"/>
      <c r="O31" s="415"/>
      <c r="P31" s="158"/>
    </row>
    <row r="32" spans="2:16" ht="15.75">
      <c r="B32" s="152"/>
      <c r="C32" s="61" t="s">
        <v>411</v>
      </c>
      <c r="D32" s="61" t="s">
        <v>65</v>
      </c>
      <c r="E32" s="61" t="s">
        <v>156</v>
      </c>
      <c r="F32" s="119">
        <v>2007</v>
      </c>
      <c r="G32" s="120">
        <v>2012</v>
      </c>
      <c r="H32" s="119">
        <v>2017</v>
      </c>
      <c r="I32" s="119">
        <v>2022</v>
      </c>
      <c r="J32" s="119">
        <v>2027</v>
      </c>
      <c r="K32" s="119">
        <v>2032</v>
      </c>
      <c r="L32" s="119">
        <v>2037</v>
      </c>
      <c r="M32" s="119">
        <v>2042</v>
      </c>
      <c r="N32" s="119">
        <v>2047</v>
      </c>
      <c r="O32" s="119">
        <v>2052</v>
      </c>
    </row>
    <row r="33" spans="1:16" s="51" customFormat="1" ht="22.5">
      <c r="A33" s="162"/>
      <c r="B33" s="152"/>
      <c r="C33" s="413">
        <v>1</v>
      </c>
      <c r="D33" s="414"/>
      <c r="E33" s="96"/>
      <c r="F33" s="222">
        <f>F15+F24</f>
        <v>7.0939899999999998</v>
      </c>
      <c r="G33" s="222">
        <f>G15+G24</f>
        <v>10.353</v>
      </c>
      <c r="H33" s="222">
        <f t="shared" ref="H33:O33" si="3">H15+H24+G33</f>
        <v>18.853000000000002</v>
      </c>
      <c r="I33" s="222">
        <f t="shared" si="3"/>
        <v>28.853000000000002</v>
      </c>
      <c r="J33" s="222">
        <f t="shared" si="3"/>
        <v>38.853000000000002</v>
      </c>
      <c r="K33" s="222">
        <f t="shared" si="3"/>
        <v>51.353000000000002</v>
      </c>
      <c r="L33" s="222">
        <f t="shared" si="3"/>
        <v>56.759010000000004</v>
      </c>
      <c r="M33" s="222">
        <f t="shared" si="3"/>
        <v>58.5</v>
      </c>
      <c r="N33" s="222">
        <f t="shared" si="3"/>
        <v>60</v>
      </c>
      <c r="O33" s="222">
        <f t="shared" si="3"/>
        <v>58</v>
      </c>
      <c r="P33" s="160"/>
    </row>
    <row r="34" spans="1:16" ht="7.5" customHeight="1">
      <c r="B34" s="152"/>
      <c r="C34" s="413">
        <v>2</v>
      </c>
      <c r="D34" s="414"/>
      <c r="E34" s="414"/>
      <c r="F34" s="222">
        <f t="shared" ref="F34:G36" si="4">F16+F25</f>
        <v>7.0939899999999998</v>
      </c>
      <c r="G34" s="222">
        <f t="shared" si="4"/>
        <v>10.353</v>
      </c>
      <c r="H34" s="222">
        <f t="shared" ref="H34:O36" si="5">H16+H25+G34</f>
        <v>25.353000000000002</v>
      </c>
      <c r="I34" s="222">
        <f t="shared" si="5"/>
        <v>47.353000000000002</v>
      </c>
      <c r="J34" s="222">
        <f t="shared" si="5"/>
        <v>72.353000000000009</v>
      </c>
      <c r="K34" s="222">
        <f t="shared" si="5"/>
        <v>102.35300000000001</v>
      </c>
      <c r="L34" s="222">
        <f t="shared" si="5"/>
        <v>130.25901000000002</v>
      </c>
      <c r="M34" s="222">
        <f t="shared" si="5"/>
        <v>160.00000000000003</v>
      </c>
      <c r="N34" s="222">
        <f t="shared" si="5"/>
        <v>195.00000000000003</v>
      </c>
      <c r="O34" s="222">
        <f t="shared" si="5"/>
        <v>233.00000000000003</v>
      </c>
      <c r="P34" s="419"/>
    </row>
    <row r="35" spans="1:16" ht="15.75">
      <c r="B35" s="152"/>
      <c r="C35" s="413">
        <v>3</v>
      </c>
      <c r="D35" s="414"/>
      <c r="E35" s="414"/>
      <c r="F35" s="222">
        <f t="shared" si="4"/>
        <v>7.0939899999999998</v>
      </c>
      <c r="G35" s="222">
        <f t="shared" si="4"/>
        <v>10.353</v>
      </c>
      <c r="H35" s="222">
        <f t="shared" si="5"/>
        <v>30.353000000000002</v>
      </c>
      <c r="I35" s="222">
        <f t="shared" si="5"/>
        <v>55.353000000000002</v>
      </c>
      <c r="J35" s="222">
        <f t="shared" si="5"/>
        <v>85.353000000000009</v>
      </c>
      <c r="K35" s="222">
        <f t="shared" si="5"/>
        <v>120.35300000000001</v>
      </c>
      <c r="L35" s="222">
        <f t="shared" si="5"/>
        <v>163.25901000000002</v>
      </c>
      <c r="M35" s="222">
        <f t="shared" si="5"/>
        <v>213</v>
      </c>
      <c r="N35" s="222">
        <f t="shared" si="5"/>
        <v>263</v>
      </c>
      <c r="O35" s="222">
        <f t="shared" si="5"/>
        <v>318</v>
      </c>
      <c r="P35" s="419"/>
    </row>
    <row r="36" spans="1:16" ht="11.25" customHeight="1">
      <c r="B36" s="152"/>
      <c r="C36" s="411">
        <v>4</v>
      </c>
      <c r="D36" s="65"/>
      <c r="E36" s="65"/>
      <c r="F36" s="222">
        <f t="shared" si="4"/>
        <v>7.0939899999999998</v>
      </c>
      <c r="G36" s="222">
        <f t="shared" si="4"/>
        <v>10.353</v>
      </c>
      <c r="H36" s="222">
        <f t="shared" si="5"/>
        <v>35.353000000000002</v>
      </c>
      <c r="I36" s="222">
        <f t="shared" si="5"/>
        <v>75.353000000000009</v>
      </c>
      <c r="J36" s="222">
        <f t="shared" si="5"/>
        <v>125.35300000000001</v>
      </c>
      <c r="K36" s="222">
        <f t="shared" si="5"/>
        <v>185.35300000000001</v>
      </c>
      <c r="L36" s="222">
        <f t="shared" si="5"/>
        <v>248.25901000000002</v>
      </c>
      <c r="M36" s="222">
        <f t="shared" si="5"/>
        <v>328</v>
      </c>
      <c r="N36" s="222">
        <f t="shared" si="5"/>
        <v>403</v>
      </c>
      <c r="O36" s="222">
        <f t="shared" si="5"/>
        <v>498</v>
      </c>
      <c r="P36" s="419"/>
    </row>
    <row r="37" spans="1:16" ht="15.75">
      <c r="B37" s="152"/>
      <c r="C37" s="406" t="s">
        <v>406</v>
      </c>
      <c r="D37" s="407"/>
      <c r="E37" s="407"/>
      <c r="F37" s="408">
        <f>(INDEX(F$33:F$36,ROUNDDOWN($E$7,0))*(1-MOD($E$7,1)))+(INDEX(F$33:F$36,ROUNDUP($E$7,0))*MOD($E$7,1))</f>
        <v>7.0939899999999998</v>
      </c>
      <c r="G37" s="408">
        <f t="shared" ref="G37:O37" si="6">(INDEX(G$33:G$36,ROUNDDOWN($E$7,0))*(1-MOD($E$7,1)))+(INDEX(G$33:G$36,ROUNDUP($E$7,0))*MOD($E$7,1))</f>
        <v>10.353</v>
      </c>
      <c r="H37" s="408">
        <f t="shared" si="6"/>
        <v>18.853000000000002</v>
      </c>
      <c r="I37" s="408">
        <f t="shared" si="6"/>
        <v>28.853000000000002</v>
      </c>
      <c r="J37" s="408">
        <f t="shared" si="6"/>
        <v>38.853000000000002</v>
      </c>
      <c r="K37" s="408">
        <f t="shared" si="6"/>
        <v>51.353000000000002</v>
      </c>
      <c r="L37" s="408">
        <f t="shared" si="6"/>
        <v>56.759010000000004</v>
      </c>
      <c r="M37" s="408">
        <f t="shared" si="6"/>
        <v>58.5</v>
      </c>
      <c r="N37" s="408">
        <f t="shared" si="6"/>
        <v>60</v>
      </c>
      <c r="O37" s="408">
        <f t="shared" si="6"/>
        <v>58</v>
      </c>
      <c r="P37" s="419"/>
    </row>
    <row r="38" spans="1:16" ht="15.75">
      <c r="B38" s="152"/>
      <c r="C38" s="2271"/>
      <c r="D38" s="414"/>
      <c r="E38" s="414"/>
      <c r="F38" s="222"/>
      <c r="G38" s="222"/>
      <c r="H38" s="222"/>
      <c r="I38" s="222"/>
      <c r="J38" s="222"/>
      <c r="K38" s="222"/>
      <c r="L38" s="222"/>
      <c r="M38" s="222"/>
      <c r="N38" s="222"/>
      <c r="O38" s="222"/>
      <c r="P38" s="419"/>
    </row>
    <row r="39" spans="1:16" ht="15.75">
      <c r="B39" s="152"/>
      <c r="C39" s="416" t="s">
        <v>1872</v>
      </c>
      <c r="D39" s="415"/>
      <c r="E39" s="104"/>
      <c r="F39" s="415"/>
      <c r="G39" s="415"/>
      <c r="H39" s="415"/>
      <c r="I39" s="415"/>
      <c r="J39" s="415">
        <f>Unit.MW</f>
        <v>1E-3</v>
      </c>
      <c r="K39" s="415"/>
      <c r="L39" s="415"/>
      <c r="M39" s="415"/>
      <c r="N39" s="415"/>
      <c r="O39" s="104" t="s">
        <v>277</v>
      </c>
      <c r="P39" s="419"/>
    </row>
    <row r="40" spans="1:16" s="51" customFormat="1">
      <c r="B40" s="155"/>
      <c r="C40" s="415"/>
      <c r="D40" s="415"/>
      <c r="E40" s="415"/>
      <c r="F40" s="415"/>
      <c r="G40" s="415"/>
      <c r="H40" s="415"/>
      <c r="I40" s="415"/>
      <c r="J40" s="415"/>
      <c r="K40" s="415"/>
      <c r="L40" s="415"/>
      <c r="M40" s="415"/>
      <c r="N40" s="415"/>
      <c r="O40" s="415"/>
      <c r="P40" s="154"/>
    </row>
    <row r="41" spans="1:16" s="51" customFormat="1">
      <c r="B41" s="155"/>
      <c r="C41" s="61" t="s">
        <v>411</v>
      </c>
      <c r="D41" s="61" t="s">
        <v>65</v>
      </c>
      <c r="E41" s="61" t="s">
        <v>156</v>
      </c>
      <c r="F41" s="119">
        <v>2007</v>
      </c>
      <c r="G41" s="120">
        <f>F41+5</f>
        <v>2012</v>
      </c>
      <c r="H41" s="120">
        <f t="shared" ref="H41:O41" si="7">G41+5</f>
        <v>2017</v>
      </c>
      <c r="I41" s="120">
        <f t="shared" si="7"/>
        <v>2022</v>
      </c>
      <c r="J41" s="120">
        <f t="shared" si="7"/>
        <v>2027</v>
      </c>
      <c r="K41" s="120">
        <f t="shared" si="7"/>
        <v>2032</v>
      </c>
      <c r="L41" s="120">
        <f t="shared" si="7"/>
        <v>2037</v>
      </c>
      <c r="M41" s="120">
        <f t="shared" si="7"/>
        <v>2042</v>
      </c>
      <c r="N41" s="120">
        <f t="shared" si="7"/>
        <v>2047</v>
      </c>
      <c r="O41" s="120">
        <f t="shared" si="7"/>
        <v>2052</v>
      </c>
      <c r="P41" s="154"/>
    </row>
    <row r="42" spans="1:16" s="51" customFormat="1">
      <c r="B42" s="155"/>
      <c r="C42" s="541">
        <v>1</v>
      </c>
      <c r="D42" s="1409"/>
      <c r="E42" s="2423"/>
      <c r="F42" s="1528">
        <f>F$56</f>
        <v>0.2</v>
      </c>
      <c r="G42" s="1528">
        <f>((F33*F42)+((G33-F33)*G$56))/G33</f>
        <v>0.2062957790012557</v>
      </c>
      <c r="H42" s="1528">
        <f>((G33*G42)+((H33-G33)*H$56))/H33</f>
        <v>0.22149155041637936</v>
      </c>
      <c r="I42" s="1528">
        <f>((H33*H42)+((I33-H33)*I$56))/I33</f>
        <v>0.23137213461338507</v>
      </c>
      <c r="J42" s="1528">
        <f>((I33*I42)+((J33-I33)*J$56))/J33</f>
        <v>0.23874038555581292</v>
      </c>
      <c r="K42" s="1528">
        <f>((J33*J42)+((K33-J33)*K$56))/K33</f>
        <v>0.24634938951959962</v>
      </c>
      <c r="L42" s="1528">
        <f>((K33*K42)+(L15*L$56)+(L24*F$56))/L33</f>
        <v>0.25955319164305363</v>
      </c>
      <c r="M42" s="1528">
        <f t="shared" ref="M42:O45" si="8">((L33*L42)+(M15*M$56)+(M24*G$56))/M33</f>
        <v>0.27273504273504273</v>
      </c>
      <c r="N42" s="1528">
        <f t="shared" si="8"/>
        <v>0.28191666666666665</v>
      </c>
      <c r="O42" s="1528">
        <f t="shared" si="8"/>
        <v>0.29267241379310344</v>
      </c>
      <c r="P42" s="154"/>
    </row>
    <row r="43" spans="1:16" s="51" customFormat="1">
      <c r="B43" s="155"/>
      <c r="C43" s="541">
        <v>2</v>
      </c>
      <c r="D43" s="1409"/>
      <c r="E43" s="1409"/>
      <c r="F43" s="1528">
        <f>F$56</f>
        <v>0.2</v>
      </c>
      <c r="G43" s="1528">
        <f t="shared" ref="G43:K45" si="9">((F34*F43)+((G34-F34)*G$56))/G34</f>
        <v>0.2062957790012557</v>
      </c>
      <c r="H43" s="1528">
        <f t="shared" si="9"/>
        <v>0.22623674515836392</v>
      </c>
      <c r="I43" s="1528">
        <f t="shared" si="9"/>
        <v>0.23727705108440861</v>
      </c>
      <c r="J43" s="1528">
        <f t="shared" si="9"/>
        <v>0.24512847013945516</v>
      </c>
      <c r="K43" s="1528">
        <f t="shared" si="9"/>
        <v>0.25241839711586372</v>
      </c>
      <c r="L43" s="1528">
        <f>((K34*K43)+(L16*L$56)+(L25*F$56))/L34</f>
        <v>0.2626841874508335</v>
      </c>
      <c r="M43" s="1528">
        <f t="shared" si="8"/>
        <v>0.27224999999999994</v>
      </c>
      <c r="N43" s="1528">
        <f t="shared" si="8"/>
        <v>0.28184615384615375</v>
      </c>
      <c r="O43" s="1528">
        <f t="shared" si="8"/>
        <v>0.29467811158798274</v>
      </c>
      <c r="P43" s="154"/>
    </row>
    <row r="44" spans="1:16" s="51" customFormat="1">
      <c r="B44" s="155"/>
      <c r="C44" s="541">
        <v>3</v>
      </c>
      <c r="D44" s="1409"/>
      <c r="E44" s="1409"/>
      <c r="F44" s="1528">
        <f>F$56</f>
        <v>0.2</v>
      </c>
      <c r="G44" s="1528">
        <f t="shared" si="9"/>
        <v>0.2062957790012557</v>
      </c>
      <c r="H44" s="1528">
        <f t="shared" si="9"/>
        <v>0.22850394359700851</v>
      </c>
      <c r="I44" s="1528">
        <f t="shared" si="9"/>
        <v>0.23821256661788881</v>
      </c>
      <c r="J44" s="1528">
        <f t="shared" si="9"/>
        <v>0.24587044626433749</v>
      </c>
      <c r="K44" s="1528">
        <f t="shared" si="9"/>
        <v>0.25288759067077682</v>
      </c>
      <c r="L44" s="1528">
        <f>((K35*K44)+(L17*L$56)+(L26*F$56))/L35</f>
        <v>0.26348917710575359</v>
      </c>
      <c r="M44" s="1528">
        <f t="shared" si="8"/>
        <v>0.27305164319248826</v>
      </c>
      <c r="N44" s="1528">
        <f t="shared" si="8"/>
        <v>0.28273764258555134</v>
      </c>
      <c r="O44" s="1528">
        <f t="shared" si="8"/>
        <v>0.29468553459119501</v>
      </c>
      <c r="P44" s="154"/>
    </row>
    <row r="45" spans="1:16" s="51" customFormat="1">
      <c r="B45" s="155"/>
      <c r="C45" s="2424">
        <v>4</v>
      </c>
      <c r="D45" s="2425"/>
      <c r="E45" s="2425"/>
      <c r="F45" s="1528">
        <f>F$56</f>
        <v>0.2</v>
      </c>
      <c r="G45" s="1528">
        <f t="shared" si="9"/>
        <v>0.2062957790012557</v>
      </c>
      <c r="H45" s="1528">
        <f t="shared" si="9"/>
        <v>0.23012983905184847</v>
      </c>
      <c r="I45" s="1528">
        <f t="shared" si="9"/>
        <v>0.24067761336642202</v>
      </c>
      <c r="J45" s="1528">
        <f t="shared" si="9"/>
        <v>0.24838480291656359</v>
      </c>
      <c r="K45" s="1528">
        <f t="shared" si="9"/>
        <v>0.25538178610543127</v>
      </c>
      <c r="L45" s="1528">
        <f>((K36*K45)+(L18*L$56)+(L27*F$56))/L36</f>
        <v>0.26390575794207838</v>
      </c>
      <c r="M45" s="1528">
        <f t="shared" si="8"/>
        <v>0.27243902439024392</v>
      </c>
      <c r="N45" s="1528">
        <f t="shared" si="8"/>
        <v>0.28129032258064518</v>
      </c>
      <c r="O45" s="1528">
        <f t="shared" si="8"/>
        <v>0.29218875502008035</v>
      </c>
      <c r="P45" s="154"/>
    </row>
    <row r="46" spans="1:16" s="2429" customFormat="1">
      <c r="B46" s="2435"/>
      <c r="C46" s="2426" t="s">
        <v>406</v>
      </c>
      <c r="D46" s="2427"/>
      <c r="E46" s="2427"/>
      <c r="F46" s="2447">
        <f>(INDEX(F42:F45,ROUNDDOWN($E$7,0))*(1-MOD($E$7,1)))+(INDEX(F42:F45,ROUNDUP($E$7,0))*MOD($E$7,1))</f>
        <v>0.2</v>
      </c>
      <c r="G46" s="2447">
        <f t="shared" ref="G46:O46" si="10">(INDEX(G42:G45,ROUNDDOWN($E$7,0))*(1-MOD($E$7,1)))+(INDEX(G42:G45,ROUNDUP($E$7,0))*MOD($E$7,1))</f>
        <v>0.2062957790012557</v>
      </c>
      <c r="H46" s="2447">
        <f t="shared" si="10"/>
        <v>0.22149155041637936</v>
      </c>
      <c r="I46" s="2447">
        <f t="shared" si="10"/>
        <v>0.23137213461338507</v>
      </c>
      <c r="J46" s="2447">
        <f t="shared" si="10"/>
        <v>0.23874038555581292</v>
      </c>
      <c r="K46" s="2447">
        <f t="shared" si="10"/>
        <v>0.24634938951959962</v>
      </c>
      <c r="L46" s="2447">
        <f t="shared" si="10"/>
        <v>0.25955319164305363</v>
      </c>
      <c r="M46" s="2447">
        <f t="shared" si="10"/>
        <v>0.27273504273504273</v>
      </c>
      <c r="N46" s="2447">
        <f t="shared" si="10"/>
        <v>0.28191666666666665</v>
      </c>
      <c r="O46" s="2447">
        <f t="shared" si="10"/>
        <v>0.29267241379310344</v>
      </c>
      <c r="P46" s="2433"/>
    </row>
    <row r="47" spans="1:16" s="51" customFormat="1">
      <c r="B47" s="155"/>
      <c r="C47" s="413"/>
      <c r="D47" s="414"/>
      <c r="E47" s="414"/>
      <c r="F47" s="677"/>
      <c r="G47" s="678"/>
      <c r="H47" s="678"/>
      <c r="I47" s="678"/>
      <c r="J47" s="678"/>
      <c r="K47" s="678"/>
      <c r="L47" s="678"/>
      <c r="M47" s="678"/>
      <c r="N47" s="678"/>
      <c r="O47" s="678"/>
      <c r="P47" s="154"/>
    </row>
    <row r="48" spans="1:16" ht="6" customHeight="1">
      <c r="B48" s="636"/>
      <c r="C48" s="157"/>
      <c r="D48" s="671"/>
      <c r="E48" s="157"/>
      <c r="F48" s="157"/>
      <c r="G48" s="157"/>
      <c r="H48" s="157"/>
      <c r="I48" s="157"/>
      <c r="J48" s="157"/>
      <c r="K48" s="157"/>
      <c r="L48" s="157"/>
      <c r="M48" s="157"/>
      <c r="N48" s="157"/>
      <c r="O48" s="157"/>
      <c r="P48" s="419"/>
    </row>
    <row r="49" spans="2:20">
      <c r="P49" s="419"/>
    </row>
    <row r="50" spans="2:20" ht="15" customHeight="1">
      <c r="B50" s="421" t="s">
        <v>265</v>
      </c>
      <c r="C50" s="159"/>
      <c r="D50" s="159"/>
      <c r="E50" s="159"/>
      <c r="F50" s="159"/>
      <c r="G50" s="159"/>
      <c r="H50" s="159"/>
      <c r="I50" s="159"/>
      <c r="J50" s="159"/>
      <c r="K50" s="159"/>
      <c r="L50" s="159"/>
      <c r="M50" s="159"/>
      <c r="N50" s="159"/>
      <c r="O50" s="159"/>
      <c r="P50" s="419"/>
    </row>
    <row r="51" spans="2:20">
      <c r="B51" s="418"/>
      <c r="C51" s="415"/>
      <c r="D51" s="415"/>
      <c r="E51" s="415"/>
      <c r="F51" s="415"/>
      <c r="G51" s="415"/>
      <c r="H51" s="415"/>
      <c r="I51" s="415"/>
      <c r="J51" s="415"/>
      <c r="K51" s="415"/>
      <c r="L51" s="415"/>
      <c r="M51" s="415"/>
      <c r="N51" s="415"/>
      <c r="O51" s="415"/>
      <c r="P51" s="419"/>
    </row>
    <row r="52" spans="2:20">
      <c r="B52" s="155"/>
      <c r="C52" s="415"/>
      <c r="D52" s="105"/>
      <c r="E52" s="415"/>
      <c r="F52" s="415"/>
      <c r="G52" s="415"/>
      <c r="H52" s="415"/>
      <c r="I52" s="415"/>
      <c r="J52" s="415"/>
      <c r="K52" s="415"/>
      <c r="L52" s="415"/>
      <c r="M52" s="415"/>
      <c r="N52" s="415"/>
      <c r="O52" s="415"/>
      <c r="P52" s="419"/>
    </row>
    <row r="53" spans="2:20">
      <c r="B53" s="418"/>
      <c r="C53" s="416" t="s">
        <v>829</v>
      </c>
      <c r="D53" s="415"/>
      <c r="E53" s="415"/>
      <c r="F53" s="415"/>
      <c r="G53" s="104"/>
      <c r="H53" s="415"/>
      <c r="I53" s="415"/>
      <c r="J53" s="415"/>
      <c r="K53" s="415"/>
      <c r="L53" s="415"/>
      <c r="M53" s="415"/>
      <c r="N53" s="415"/>
      <c r="O53" s="415"/>
      <c r="P53" s="419"/>
    </row>
    <row r="54" spans="2:20">
      <c r="B54" s="418"/>
      <c r="C54" s="415"/>
      <c r="D54" s="415"/>
      <c r="E54" s="415"/>
      <c r="F54" s="415"/>
      <c r="G54" s="415"/>
      <c r="H54" s="415"/>
      <c r="I54" s="415"/>
      <c r="J54" s="415"/>
      <c r="K54" s="415"/>
      <c r="L54" s="415"/>
      <c r="M54" s="415"/>
      <c r="N54" s="415"/>
      <c r="O54" s="415"/>
      <c r="P54" s="419"/>
    </row>
    <row r="55" spans="2:20" ht="15.75">
      <c r="B55" s="152"/>
      <c r="C55" s="61" t="s">
        <v>227</v>
      </c>
      <c r="D55" s="61" t="s">
        <v>240</v>
      </c>
      <c r="E55" s="61" t="s">
        <v>156</v>
      </c>
      <c r="F55" s="119">
        <v>2007</v>
      </c>
      <c r="G55" s="120">
        <v>2012</v>
      </c>
      <c r="H55" s="119">
        <v>2017</v>
      </c>
      <c r="I55" s="119">
        <v>2022</v>
      </c>
      <c r="J55" s="119">
        <v>2027</v>
      </c>
      <c r="K55" s="119">
        <v>2032</v>
      </c>
      <c r="L55" s="119">
        <v>2037</v>
      </c>
      <c r="M55" s="119">
        <v>2042</v>
      </c>
      <c r="N55" s="119">
        <v>2047</v>
      </c>
      <c r="O55" s="119">
        <v>2052</v>
      </c>
      <c r="P55" s="419"/>
    </row>
    <row r="56" spans="2:20" ht="15.75">
      <c r="B56" s="152"/>
      <c r="C56" s="111" t="s">
        <v>8</v>
      </c>
      <c r="D56" s="112" t="s">
        <v>279</v>
      </c>
      <c r="E56" s="112" t="s">
        <v>99</v>
      </c>
      <c r="F56" s="672">
        <v>0.2</v>
      </c>
      <c r="G56" s="86">
        <v>0.22</v>
      </c>
      <c r="H56" s="697">
        <v>0.24</v>
      </c>
      <c r="I56" s="697">
        <v>0.25</v>
      </c>
      <c r="J56" s="697">
        <v>0.26</v>
      </c>
      <c r="K56" s="697">
        <v>0.27</v>
      </c>
      <c r="L56" s="697">
        <v>0.28000000000000003</v>
      </c>
      <c r="M56" s="697">
        <v>0.28999999999999998</v>
      </c>
      <c r="N56" s="697">
        <v>0.3</v>
      </c>
      <c r="O56" s="697">
        <v>0.32</v>
      </c>
      <c r="P56" s="419"/>
    </row>
    <row r="57" spans="2:20" ht="15.75">
      <c r="B57" s="152"/>
      <c r="C57" s="413"/>
      <c r="D57" s="414"/>
      <c r="E57" s="414"/>
      <c r="F57" s="116"/>
      <c r="G57" s="613"/>
      <c r="H57" s="613"/>
      <c r="I57" s="613"/>
      <c r="J57" s="613"/>
      <c r="K57" s="613"/>
      <c r="L57" s="613"/>
      <c r="M57" s="613"/>
      <c r="N57" s="613"/>
      <c r="O57" s="613"/>
      <c r="P57" s="419"/>
    </row>
    <row r="58" spans="2:20" ht="15.75">
      <c r="B58" s="152"/>
      <c r="C58" s="416" t="s">
        <v>524</v>
      </c>
      <c r="D58" s="415"/>
      <c r="E58" s="415"/>
      <c r="F58" s="415"/>
      <c r="G58" s="104"/>
      <c r="H58" s="415"/>
      <c r="I58" s="415"/>
      <c r="J58" s="415"/>
      <c r="K58" s="415"/>
      <c r="L58" s="415"/>
      <c r="M58" s="415"/>
      <c r="N58" s="415"/>
      <c r="O58" s="415"/>
      <c r="P58" s="419"/>
    </row>
    <row r="59" spans="2:20" ht="15.75">
      <c r="B59" s="152"/>
      <c r="C59" s="415"/>
      <c r="D59" s="415"/>
      <c r="E59" s="415"/>
      <c r="F59" s="415"/>
      <c r="G59" s="415"/>
      <c r="H59" s="415"/>
      <c r="I59" s="415"/>
      <c r="J59" s="415"/>
      <c r="K59" s="415"/>
      <c r="L59" s="415"/>
      <c r="M59" s="415"/>
      <c r="N59" s="415"/>
      <c r="O59" s="415"/>
      <c r="P59" s="419"/>
    </row>
    <row r="60" spans="2:20" ht="15.75">
      <c r="B60" s="152"/>
      <c r="C60" s="61"/>
      <c r="D60" s="61"/>
      <c r="E60" s="61"/>
      <c r="F60" s="119"/>
      <c r="G60" s="364" t="s">
        <v>71</v>
      </c>
      <c r="H60" s="364"/>
      <c r="I60" s="415"/>
      <c r="J60" s="227"/>
      <c r="K60" s="227"/>
      <c r="L60" s="227"/>
      <c r="M60" s="227"/>
      <c r="N60" s="227"/>
      <c r="O60" s="227"/>
      <c r="P60" s="419"/>
    </row>
    <row r="61" spans="2:20" ht="15.75">
      <c r="B61" s="152"/>
      <c r="C61" s="412"/>
      <c r="D61" s="69" t="s">
        <v>815</v>
      </c>
      <c r="E61" s="412"/>
      <c r="F61" s="614">
        <f>1*Unit.MW</f>
        <v>1E-3</v>
      </c>
      <c r="G61" s="615" t="str">
        <f>Preferences.PowerUnits</f>
        <v>GW</v>
      </c>
      <c r="H61" s="616"/>
      <c r="I61" s="415"/>
      <c r="J61" s="227"/>
      <c r="K61" s="227"/>
      <c r="L61" s="227"/>
      <c r="M61" s="227"/>
      <c r="N61" s="227"/>
      <c r="O61" s="227"/>
      <c r="P61" s="419"/>
    </row>
    <row r="62" spans="2:20">
      <c r="B62" s="156"/>
      <c r="C62" s="157"/>
      <c r="D62" s="157"/>
      <c r="E62" s="157"/>
      <c r="F62" s="157"/>
      <c r="G62" s="157"/>
      <c r="H62" s="157"/>
      <c r="I62" s="157"/>
      <c r="J62" s="157"/>
      <c r="K62" s="157"/>
      <c r="L62" s="157"/>
      <c r="M62" s="157"/>
      <c r="N62" s="157"/>
      <c r="O62" s="157"/>
      <c r="P62" s="415"/>
      <c r="Q62" s="35"/>
      <c r="R62" s="676"/>
      <c r="S62" s="35"/>
      <c r="T62" s="35"/>
    </row>
    <row r="63" spans="2:20">
      <c r="P63" s="415"/>
      <c r="Q63" s="35"/>
      <c r="R63" s="35"/>
      <c r="S63" s="35"/>
      <c r="T63" s="35"/>
    </row>
    <row r="64" spans="2:20">
      <c r="B64" s="402"/>
      <c r="C64" s="402"/>
      <c r="D64" s="415"/>
      <c r="E64" s="264"/>
      <c r="F64" s="415"/>
      <c r="G64" s="415"/>
      <c r="H64" s="415"/>
      <c r="I64" s="415"/>
      <c r="J64" s="444"/>
      <c r="K64" s="444"/>
      <c r="L64" s="402"/>
      <c r="M64" s="402"/>
      <c r="N64" s="402"/>
      <c r="O64" s="402"/>
      <c r="P64" s="419"/>
    </row>
    <row r="65" spans="2:17" ht="15.75">
      <c r="B65" s="421" t="s">
        <v>711</v>
      </c>
      <c r="C65" s="159"/>
      <c r="D65" s="159"/>
      <c r="E65" s="159"/>
      <c r="F65" s="159"/>
      <c r="G65" s="159"/>
      <c r="H65" s="159"/>
      <c r="I65" s="159"/>
      <c r="J65" s="159"/>
      <c r="K65" s="159"/>
      <c r="L65" s="159"/>
      <c r="M65" s="159"/>
      <c r="N65" s="159"/>
      <c r="O65" s="159"/>
      <c r="P65" s="160"/>
    </row>
    <row r="66" spans="2:17">
      <c r="B66" s="418"/>
      <c r="C66" s="415"/>
      <c r="D66" s="415"/>
      <c r="E66" s="415"/>
      <c r="F66" s="415"/>
      <c r="G66" s="415"/>
      <c r="H66" s="415"/>
      <c r="I66" s="415"/>
      <c r="J66" s="415"/>
      <c r="K66" s="415"/>
      <c r="L66" s="415"/>
      <c r="M66" s="415"/>
      <c r="N66" s="415"/>
      <c r="O66" s="415"/>
      <c r="P66" s="419"/>
    </row>
    <row r="67" spans="2:17">
      <c r="B67" s="418"/>
      <c r="C67" s="416" t="str">
        <f>"Land requirement of a "&amp;Plantsize.iv.c.1&amp;" "&amp;Preferences.PowerUnits&amp;"wind turbine"</f>
        <v>Land requirement of a 0.001 GWwind turbine</v>
      </c>
      <c r="D67" s="69"/>
      <c r="E67" s="415"/>
      <c r="F67" s="415"/>
      <c r="G67" s="104"/>
      <c r="H67" s="415"/>
      <c r="I67" s="415"/>
      <c r="J67" s="415"/>
      <c r="K67" s="415"/>
      <c r="L67" s="415"/>
      <c r="M67" s="415"/>
      <c r="N67" s="415"/>
      <c r="O67" s="415"/>
      <c r="P67" s="419"/>
    </row>
    <row r="68" spans="2:17">
      <c r="B68" s="418"/>
      <c r="C68" s="415"/>
      <c r="D68" s="415"/>
      <c r="E68" s="415"/>
      <c r="F68" s="415"/>
      <c r="G68" s="415"/>
      <c r="H68" s="415"/>
      <c r="I68" s="415"/>
      <c r="J68" s="415"/>
      <c r="K68" s="415"/>
      <c r="L68" s="415"/>
      <c r="M68" s="415"/>
      <c r="N68" s="415"/>
      <c r="O68" s="361" t="str">
        <f>Preferences.AreaUnits&amp;"/"&amp;Preferences.PowerUnits</f>
        <v>ha/GW</v>
      </c>
      <c r="P68" s="419"/>
    </row>
    <row r="69" spans="2:17" ht="15.75">
      <c r="B69" s="152"/>
      <c r="C69" s="61"/>
      <c r="D69" s="61"/>
      <c r="E69" s="61"/>
      <c r="F69" s="119">
        <v>2007</v>
      </c>
      <c r="G69" s="120">
        <f>F69+5</f>
        <v>2012</v>
      </c>
      <c r="H69" s="120">
        <f t="shared" ref="H69:O69" si="11">G69+5</f>
        <v>2017</v>
      </c>
      <c r="I69" s="120">
        <f t="shared" si="11"/>
        <v>2022</v>
      </c>
      <c r="J69" s="120">
        <f t="shared" si="11"/>
        <v>2027</v>
      </c>
      <c r="K69" s="120">
        <f t="shared" si="11"/>
        <v>2032</v>
      </c>
      <c r="L69" s="120">
        <f t="shared" si="11"/>
        <v>2037</v>
      </c>
      <c r="M69" s="120">
        <f t="shared" si="11"/>
        <v>2042</v>
      </c>
      <c r="N69" s="120">
        <f t="shared" si="11"/>
        <v>2047</v>
      </c>
      <c r="O69" s="120">
        <f t="shared" si="11"/>
        <v>2052</v>
      </c>
      <c r="P69" s="419"/>
    </row>
    <row r="70" spans="2:17" ht="15.75">
      <c r="B70" s="152"/>
      <c r="C70" s="78"/>
      <c r="D70" s="79"/>
      <c r="E70" s="79"/>
      <c r="F70" s="698">
        <f>1.5*((Unit.acre/Unit.MW))</f>
        <v>607.02846336000005</v>
      </c>
      <c r="G70" s="535">
        <f t="shared" ref="G70:O70" si="12">1.5*((Unit.acre/Unit.MW))</f>
        <v>607.02846336000005</v>
      </c>
      <c r="H70" s="535">
        <f t="shared" si="12"/>
        <v>607.02846336000005</v>
      </c>
      <c r="I70" s="535">
        <f t="shared" si="12"/>
        <v>607.02846336000005</v>
      </c>
      <c r="J70" s="535">
        <f t="shared" si="12"/>
        <v>607.02846336000005</v>
      </c>
      <c r="K70" s="535">
        <f t="shared" si="12"/>
        <v>607.02846336000005</v>
      </c>
      <c r="L70" s="535">
        <f t="shared" si="12"/>
        <v>607.02846336000005</v>
      </c>
      <c r="M70" s="535">
        <f t="shared" si="12"/>
        <v>607.02846336000005</v>
      </c>
      <c r="N70" s="535">
        <f t="shared" si="12"/>
        <v>607.02846336000005</v>
      </c>
      <c r="O70" s="535">
        <f t="shared" si="12"/>
        <v>607.02846336000005</v>
      </c>
      <c r="P70" s="415"/>
      <c r="Q70" s="73"/>
    </row>
    <row r="71" spans="2:17">
      <c r="B71" s="402"/>
      <c r="C71" s="402"/>
      <c r="D71" s="415"/>
      <c r="E71" s="264"/>
      <c r="F71" s="415"/>
      <c r="G71" s="415"/>
      <c r="H71" s="415"/>
      <c r="I71" s="415"/>
      <c r="J71" s="444"/>
      <c r="K71" s="444"/>
      <c r="L71" s="402"/>
      <c r="M71" s="402"/>
      <c r="N71" s="402"/>
      <c r="O71" s="402"/>
      <c r="P71" s="402"/>
    </row>
    <row r="72" spans="2:17">
      <c r="B72" s="402"/>
      <c r="C72" s="402"/>
      <c r="D72" s="415"/>
      <c r="E72" s="264"/>
      <c r="F72" s="415"/>
      <c r="G72" s="415"/>
      <c r="H72" s="415"/>
      <c r="I72" s="415"/>
      <c r="J72" s="444"/>
      <c r="K72" s="444"/>
      <c r="L72" s="402"/>
      <c r="M72" s="402"/>
      <c r="N72" s="402"/>
      <c r="O72" s="402"/>
      <c r="P72" s="402"/>
    </row>
    <row r="74" spans="2:17" ht="15.75">
      <c r="B74" s="421" t="s">
        <v>270</v>
      </c>
      <c r="C74" s="159"/>
      <c r="D74" s="159"/>
      <c r="E74" s="159"/>
      <c r="F74" s="159"/>
      <c r="G74" s="159"/>
      <c r="H74" s="159"/>
      <c r="I74" s="159"/>
      <c r="J74" s="159"/>
      <c r="K74" s="159"/>
      <c r="L74" s="159"/>
      <c r="M74" s="159"/>
      <c r="N74" s="159"/>
      <c r="O74" s="159"/>
    </row>
    <row r="75" spans="2:17">
      <c r="B75" s="418"/>
      <c r="C75" s="415"/>
      <c r="D75" s="415"/>
      <c r="E75" s="415"/>
      <c r="F75" s="415"/>
      <c r="G75" s="415"/>
      <c r="H75" s="415"/>
      <c r="I75" s="415"/>
      <c r="J75" s="415"/>
      <c r="K75" s="415"/>
      <c r="L75" s="415"/>
      <c r="M75" s="415"/>
      <c r="N75" s="415"/>
      <c r="O75" s="415"/>
    </row>
    <row r="76" spans="2:17">
      <c r="B76" s="418"/>
      <c r="C76" s="416" t="s">
        <v>816</v>
      </c>
      <c r="D76" s="415"/>
      <c r="E76" s="104"/>
      <c r="F76" s="415"/>
      <c r="G76" s="415"/>
      <c r="H76" s="415"/>
      <c r="I76" s="415"/>
      <c r="J76" s="415"/>
      <c r="K76" s="415"/>
      <c r="L76" s="415"/>
      <c r="M76" s="415"/>
      <c r="N76" s="415"/>
      <c r="O76" s="104" t="str">
        <f>Preferences.PowerUnits</f>
        <v>GW</v>
      </c>
    </row>
    <row r="77" spans="2:17">
      <c r="B77" s="418"/>
      <c r="C77" s="415"/>
      <c r="D77" s="415"/>
      <c r="E77" s="415"/>
      <c r="F77" s="415"/>
      <c r="G77" s="415"/>
      <c r="H77" s="415"/>
      <c r="I77" s="415"/>
      <c r="J77" s="415"/>
      <c r="K77" s="415"/>
      <c r="L77" s="415"/>
      <c r="M77" s="415"/>
      <c r="N77" s="415"/>
      <c r="O77" s="415"/>
    </row>
    <row r="78" spans="2:17" ht="15.75">
      <c r="B78" s="152"/>
      <c r="C78" s="61" t="s">
        <v>227</v>
      </c>
      <c r="D78" s="61" t="s">
        <v>65</v>
      </c>
      <c r="E78" s="61" t="s">
        <v>156</v>
      </c>
      <c r="F78" s="119">
        <v>2007</v>
      </c>
      <c r="G78" s="120">
        <v>2012</v>
      </c>
      <c r="H78" s="119">
        <v>2017</v>
      </c>
      <c r="I78" s="119">
        <v>2022</v>
      </c>
      <c r="J78" s="119">
        <v>2027</v>
      </c>
      <c r="K78" s="119">
        <v>2032</v>
      </c>
      <c r="L78" s="119">
        <v>2037</v>
      </c>
      <c r="M78" s="119">
        <v>2042</v>
      </c>
      <c r="N78" s="119">
        <v>2047</v>
      </c>
      <c r="O78" s="119">
        <v>2052</v>
      </c>
    </row>
    <row r="79" spans="2:17" ht="15.75">
      <c r="B79" s="153"/>
      <c r="C79" s="111" t="s">
        <v>8</v>
      </c>
      <c r="D79" s="112" t="s">
        <v>279</v>
      </c>
      <c r="E79" s="79"/>
      <c r="F79" s="699">
        <f t="shared" ref="F79:O79" si="13">F37</f>
        <v>7.0939899999999998</v>
      </c>
      <c r="G79" s="700">
        <f t="shared" si="13"/>
        <v>10.353</v>
      </c>
      <c r="H79" s="700">
        <f t="shared" si="13"/>
        <v>18.853000000000002</v>
      </c>
      <c r="I79" s="700">
        <f t="shared" si="13"/>
        <v>28.853000000000002</v>
      </c>
      <c r="J79" s="700">
        <f t="shared" si="13"/>
        <v>38.853000000000002</v>
      </c>
      <c r="K79" s="700">
        <f t="shared" si="13"/>
        <v>51.353000000000002</v>
      </c>
      <c r="L79" s="700">
        <f t="shared" si="13"/>
        <v>56.759010000000004</v>
      </c>
      <c r="M79" s="700">
        <f t="shared" si="13"/>
        <v>58.5</v>
      </c>
      <c r="N79" s="700">
        <f t="shared" si="13"/>
        <v>60</v>
      </c>
      <c r="O79" s="700">
        <f t="shared" si="13"/>
        <v>58</v>
      </c>
    </row>
    <row r="80" spans="2:17" ht="15.75">
      <c r="B80" s="153"/>
      <c r="C80" s="413"/>
      <c r="D80" s="414"/>
      <c r="E80" s="414"/>
      <c r="F80" s="98"/>
      <c r="G80" s="98"/>
      <c r="H80" s="98"/>
      <c r="I80" s="98"/>
      <c r="J80" s="98"/>
      <c r="K80" s="98"/>
      <c r="L80" s="98"/>
      <c r="M80" s="98"/>
      <c r="N80" s="98"/>
      <c r="O80" s="98"/>
    </row>
    <row r="81" spans="1:16" ht="15.75">
      <c r="B81" s="153"/>
      <c r="C81" s="413"/>
      <c r="D81" s="414"/>
      <c r="E81" s="414"/>
      <c r="F81" s="98"/>
      <c r="G81" s="98"/>
      <c r="H81" s="98"/>
      <c r="I81" s="98"/>
      <c r="J81" s="98"/>
      <c r="K81" s="98"/>
      <c r="L81" s="98"/>
      <c r="M81" s="98"/>
      <c r="N81" s="98"/>
      <c r="O81" s="98"/>
    </row>
    <row r="82" spans="1:16" ht="15.75">
      <c r="B82" s="153"/>
      <c r="C82" s="416" t="s">
        <v>1872</v>
      </c>
      <c r="D82" s="414"/>
      <c r="E82" s="414"/>
      <c r="F82" s="115"/>
      <c r="G82" s="115"/>
      <c r="H82" s="115"/>
      <c r="I82" s="115"/>
      <c r="J82" s="115"/>
      <c r="K82" s="115"/>
      <c r="L82" s="115"/>
      <c r="M82" s="115"/>
      <c r="N82" s="115"/>
      <c r="O82" s="115"/>
    </row>
    <row r="83" spans="1:16" ht="15.75">
      <c r="B83" s="153"/>
      <c r="C83" s="61" t="s">
        <v>227</v>
      </c>
      <c r="D83" s="61" t="s">
        <v>65</v>
      </c>
      <c r="E83" s="61" t="s">
        <v>156</v>
      </c>
      <c r="F83" s="119">
        <v>2007</v>
      </c>
      <c r="G83" s="120">
        <f>F83+5</f>
        <v>2012</v>
      </c>
      <c r="H83" s="120">
        <f t="shared" ref="H83:O83" si="14">G83+5</f>
        <v>2017</v>
      </c>
      <c r="I83" s="120">
        <f t="shared" si="14"/>
        <v>2022</v>
      </c>
      <c r="J83" s="120">
        <f t="shared" si="14"/>
        <v>2027</v>
      </c>
      <c r="K83" s="120">
        <f t="shared" si="14"/>
        <v>2032</v>
      </c>
      <c r="L83" s="120">
        <f t="shared" si="14"/>
        <v>2037</v>
      </c>
      <c r="M83" s="120">
        <f t="shared" si="14"/>
        <v>2042</v>
      </c>
      <c r="N83" s="120">
        <f t="shared" si="14"/>
        <v>2047</v>
      </c>
      <c r="O83" s="120">
        <f t="shared" si="14"/>
        <v>2052</v>
      </c>
    </row>
    <row r="84" spans="1:16" ht="15.75">
      <c r="B84" s="153"/>
      <c r="C84" s="2431" t="s">
        <v>8</v>
      </c>
      <c r="D84" s="2431" t="str">
        <f>INDEX(Vectors[Description], MATCH($C84,Vectors[Code], 0))</f>
        <v>Wind</v>
      </c>
      <c r="E84" s="2431"/>
      <c r="F84" s="2434">
        <f t="shared" ref="F84:O84" si="15">F46</f>
        <v>0.2</v>
      </c>
      <c r="G84" s="2434">
        <f t="shared" si="15"/>
        <v>0.2062957790012557</v>
      </c>
      <c r="H84" s="2434">
        <f t="shared" si="15"/>
        <v>0.22149155041637936</v>
      </c>
      <c r="I84" s="2434">
        <f t="shared" si="15"/>
        <v>0.23137213461338507</v>
      </c>
      <c r="J84" s="2434">
        <f t="shared" si="15"/>
        <v>0.23874038555581292</v>
      </c>
      <c r="K84" s="2434">
        <f t="shared" si="15"/>
        <v>0.24634938951959962</v>
      </c>
      <c r="L84" s="2434">
        <f t="shared" si="15"/>
        <v>0.25955319164305363</v>
      </c>
      <c r="M84" s="2434">
        <f t="shared" si="15"/>
        <v>0.27273504273504273</v>
      </c>
      <c r="N84" s="2434">
        <f t="shared" si="15"/>
        <v>0.28191666666666665</v>
      </c>
      <c r="O84" s="2434">
        <f t="shared" si="15"/>
        <v>0.29267241379310344</v>
      </c>
    </row>
    <row r="85" spans="1:16">
      <c r="B85" s="155"/>
      <c r="C85" s="413"/>
      <c r="D85" s="414"/>
      <c r="E85" s="414"/>
      <c r="F85" s="677"/>
      <c r="G85" s="678"/>
      <c r="H85" s="678"/>
      <c r="I85" s="678"/>
      <c r="J85" s="678"/>
      <c r="K85" s="678"/>
      <c r="L85" s="678"/>
      <c r="M85" s="678"/>
      <c r="N85" s="678"/>
      <c r="O85" s="678"/>
    </row>
    <row r="87" spans="1:16">
      <c r="B87" s="19" t="s">
        <v>279</v>
      </c>
      <c r="C87" s="88"/>
      <c r="F87" s="423">
        <v>2007</v>
      </c>
      <c r="G87" s="423">
        <f>F87+5</f>
        <v>2012</v>
      </c>
      <c r="H87" s="423">
        <f t="shared" ref="H87:O87" si="16">G87+5</f>
        <v>2017</v>
      </c>
      <c r="I87" s="423">
        <f t="shared" si="16"/>
        <v>2022</v>
      </c>
      <c r="J87" s="423">
        <f t="shared" si="16"/>
        <v>2027</v>
      </c>
      <c r="K87" s="423">
        <f t="shared" si="16"/>
        <v>2032</v>
      </c>
      <c r="L87" s="423">
        <f t="shared" si="16"/>
        <v>2037</v>
      </c>
      <c r="M87" s="423">
        <f t="shared" si="16"/>
        <v>2042</v>
      </c>
      <c r="N87" s="423">
        <f t="shared" si="16"/>
        <v>2047</v>
      </c>
      <c r="O87" s="423">
        <f t="shared" si="16"/>
        <v>2052</v>
      </c>
      <c r="P87" s="359"/>
    </row>
    <row r="88" spans="1:16">
      <c r="C88" s="423" t="s">
        <v>795</v>
      </c>
      <c r="E88" s="2331" t="str">
        <f>Preferences.PowerUnits</f>
        <v>GW</v>
      </c>
      <c r="F88" s="22">
        <f t="shared" ref="F88:O88" si="17">F$79</f>
        <v>7.0939899999999998</v>
      </c>
      <c r="G88" s="22">
        <f t="shared" si="17"/>
        <v>10.353</v>
      </c>
      <c r="H88" s="22">
        <f t="shared" si="17"/>
        <v>18.853000000000002</v>
      </c>
      <c r="I88" s="22">
        <f t="shared" si="17"/>
        <v>28.853000000000002</v>
      </c>
      <c r="J88" s="22">
        <f t="shared" si="17"/>
        <v>38.853000000000002</v>
      </c>
      <c r="K88" s="22">
        <f t="shared" si="17"/>
        <v>51.353000000000002</v>
      </c>
      <c r="L88" s="22">
        <f t="shared" si="17"/>
        <v>56.759010000000004</v>
      </c>
      <c r="M88" s="22">
        <f t="shared" si="17"/>
        <v>58.5</v>
      </c>
      <c r="N88" s="22">
        <f t="shared" si="17"/>
        <v>60</v>
      </c>
      <c r="O88" s="22">
        <f t="shared" si="17"/>
        <v>58</v>
      </c>
      <c r="P88" s="90"/>
    </row>
    <row r="89" spans="1:16">
      <c r="B89" s="2331" t="s">
        <v>796</v>
      </c>
      <c r="C89" s="2331" t="s">
        <v>797</v>
      </c>
      <c r="E89" s="2331" t="s">
        <v>277</v>
      </c>
      <c r="F89" s="15">
        <f>F84</f>
        <v>0.2</v>
      </c>
      <c r="G89" s="15">
        <f t="shared" ref="G89:O89" si="18">G84</f>
        <v>0.2062957790012557</v>
      </c>
      <c r="H89" s="15">
        <f t="shared" si="18"/>
        <v>0.22149155041637936</v>
      </c>
      <c r="I89" s="15">
        <f t="shared" si="18"/>
        <v>0.23137213461338507</v>
      </c>
      <c r="J89" s="15">
        <f t="shared" si="18"/>
        <v>0.23874038555581292</v>
      </c>
      <c r="K89" s="15">
        <f t="shared" si="18"/>
        <v>0.24634938951959962</v>
      </c>
      <c r="L89" s="15">
        <f t="shared" si="18"/>
        <v>0.25955319164305363</v>
      </c>
      <c r="M89" s="15">
        <f t="shared" si="18"/>
        <v>0.27273504273504273</v>
      </c>
      <c r="N89" s="15">
        <f t="shared" si="18"/>
        <v>0.28191666666666665</v>
      </c>
      <c r="O89" s="15">
        <f t="shared" si="18"/>
        <v>0.29267241379310344</v>
      </c>
    </row>
    <row r="90" spans="1:16">
      <c r="B90" s="88" t="s">
        <v>276</v>
      </c>
      <c r="C90" s="423" t="s">
        <v>798</v>
      </c>
      <c r="E90" s="2331" t="str">
        <f>Preferences.PowerUnits</f>
        <v>GW</v>
      </c>
      <c r="F90" s="73">
        <f t="shared" ref="F90:O90" si="19">F88*F89</f>
        <v>1.418798</v>
      </c>
      <c r="G90" s="73">
        <f t="shared" si="19"/>
        <v>2.1357802000000001</v>
      </c>
      <c r="H90" s="73">
        <f t="shared" si="19"/>
        <v>4.1757802000000002</v>
      </c>
      <c r="I90" s="73">
        <f t="shared" si="19"/>
        <v>6.6757802000000002</v>
      </c>
      <c r="J90" s="73">
        <f t="shared" si="19"/>
        <v>9.2757801999999998</v>
      </c>
      <c r="K90" s="73">
        <f t="shared" si="19"/>
        <v>12.6507802</v>
      </c>
      <c r="L90" s="73">
        <f t="shared" si="19"/>
        <v>14.731982199999997</v>
      </c>
      <c r="M90" s="73">
        <f t="shared" si="19"/>
        <v>15.955</v>
      </c>
      <c r="N90" s="73">
        <f t="shared" si="19"/>
        <v>16.914999999999999</v>
      </c>
      <c r="O90" s="73">
        <f t="shared" si="19"/>
        <v>16.974999999999998</v>
      </c>
      <c r="P90" s="90"/>
    </row>
    <row r="91" spans="1:16">
      <c r="C91" s="423" t="s">
        <v>799</v>
      </c>
      <c r="E91" s="2331" t="str">
        <f>preferences.energyunits</f>
        <v>TWh</v>
      </c>
      <c r="F91" s="73">
        <f t="shared" ref="F91:O91" si="20">F90*Preferences.Unit.Power*Unit.year/Preferences.Unit.Energy</f>
        <v>12.437183268</v>
      </c>
      <c r="G91" s="73">
        <f t="shared" si="20"/>
        <v>18.722249233199999</v>
      </c>
      <c r="H91" s="73">
        <f t="shared" si="20"/>
        <v>36.604889233199998</v>
      </c>
      <c r="I91" s="73">
        <f t="shared" si="20"/>
        <v>58.519889233199997</v>
      </c>
      <c r="J91" s="73">
        <f t="shared" si="20"/>
        <v>81.311489233199993</v>
      </c>
      <c r="K91" s="73">
        <f t="shared" si="20"/>
        <v>110.89673923319999</v>
      </c>
      <c r="L91" s="73">
        <f t="shared" si="20"/>
        <v>129.14055596519998</v>
      </c>
      <c r="M91" s="73">
        <f t="shared" si="20"/>
        <v>139.86152999999999</v>
      </c>
      <c r="N91" s="73">
        <f t="shared" si="20"/>
        <v>148.27688999999998</v>
      </c>
      <c r="O91" s="73">
        <f t="shared" si="20"/>
        <v>148.80284999999998</v>
      </c>
      <c r="P91" s="90"/>
    </row>
    <row r="92" spans="1:16">
      <c r="C92" s="423"/>
      <c r="F92" s="73"/>
      <c r="G92" s="73"/>
      <c r="H92" s="73"/>
      <c r="I92" s="73"/>
      <c r="J92" s="73"/>
      <c r="K92" s="73"/>
      <c r="L92" s="73"/>
      <c r="M92" s="73"/>
      <c r="N92" s="73"/>
      <c r="O92" s="73"/>
      <c r="P92" s="90"/>
    </row>
    <row r="93" spans="1:16">
      <c r="A93" s="242"/>
      <c r="B93" s="242"/>
      <c r="C93" s="242"/>
      <c r="D93" s="242"/>
      <c r="E93" s="242"/>
      <c r="F93" s="701"/>
      <c r="G93" s="701"/>
      <c r="H93" s="701"/>
      <c r="I93" s="701"/>
      <c r="J93" s="701"/>
      <c r="K93" s="701"/>
      <c r="L93" s="701"/>
      <c r="M93" s="701"/>
      <c r="N93" s="701"/>
      <c r="O93" s="701"/>
      <c r="P93" s="90"/>
    </row>
    <row r="94" spans="1:16">
      <c r="A94" s="242"/>
      <c r="B94" s="242" t="s">
        <v>721</v>
      </c>
      <c r="C94" s="242"/>
      <c r="D94" s="242"/>
      <c r="E94" s="242" t="str">
        <f>Preferences.AreaUnits</f>
        <v>ha</v>
      </c>
      <c r="F94" s="701">
        <f t="shared" ref="F94:O94" si="21">F70*F37</f>
        <v>4306.253848791207</v>
      </c>
      <c r="G94" s="701">
        <f t="shared" si="21"/>
        <v>6284.5656811660801</v>
      </c>
      <c r="H94" s="701">
        <f t="shared" si="21"/>
        <v>11444.307619726082</v>
      </c>
      <c r="I94" s="701">
        <f t="shared" si="21"/>
        <v>17514.592253326082</v>
      </c>
      <c r="J94" s="701">
        <f t="shared" si="21"/>
        <v>23584.876886926082</v>
      </c>
      <c r="K94" s="701">
        <f t="shared" si="21"/>
        <v>31172.732678926084</v>
      </c>
      <c r="L94" s="701">
        <f t="shared" si="21"/>
        <v>34454.334622134877</v>
      </c>
      <c r="M94" s="701">
        <f t="shared" si="21"/>
        <v>35511.165106560002</v>
      </c>
      <c r="N94" s="701">
        <f t="shared" si="21"/>
        <v>36421.707801600001</v>
      </c>
      <c r="O94" s="701">
        <f t="shared" si="21"/>
        <v>35207.650874880004</v>
      </c>
      <c r="P94" s="90"/>
    </row>
    <row r="95" spans="1:16" ht="22.5">
      <c r="A95" s="702"/>
      <c r="B95" s="242"/>
      <c r="C95" s="703"/>
      <c r="D95" s="242"/>
      <c r="E95" s="242"/>
      <c r="F95" s="704"/>
      <c r="G95" s="704"/>
      <c r="H95" s="704"/>
      <c r="I95" s="704"/>
      <c r="J95" s="704"/>
      <c r="K95" s="704"/>
      <c r="L95" s="704"/>
      <c r="M95" s="704"/>
      <c r="N95" s="704"/>
      <c r="O95" s="704"/>
      <c r="P95" s="90"/>
    </row>
    <row r="96" spans="1:16">
      <c r="P96" s="168"/>
    </row>
    <row r="97" spans="2:32" ht="15.75">
      <c r="B97" s="206" t="s">
        <v>202</v>
      </c>
      <c r="C97" s="175"/>
      <c r="D97" s="175"/>
      <c r="E97" s="175"/>
      <c r="F97" s="175"/>
      <c r="G97" s="175"/>
      <c r="H97" s="175"/>
      <c r="I97" s="175"/>
      <c r="J97" s="175"/>
      <c r="K97" s="175"/>
      <c r="L97" s="175"/>
      <c r="M97" s="175"/>
      <c r="N97" s="175"/>
      <c r="O97" s="175"/>
      <c r="P97" s="173"/>
    </row>
    <row r="98" spans="2:32">
      <c r="B98" s="164"/>
      <c r="C98" s="166"/>
      <c r="D98" s="166"/>
      <c r="E98" s="166"/>
      <c r="F98" s="166"/>
      <c r="G98" s="166"/>
      <c r="H98" s="166"/>
      <c r="I98" s="166"/>
      <c r="J98" s="166"/>
      <c r="K98" s="166"/>
      <c r="L98" s="166"/>
      <c r="M98" s="166"/>
      <c r="N98" s="166"/>
      <c r="O98" s="166"/>
    </row>
    <row r="99" spans="2:32">
      <c r="B99" s="164"/>
      <c r="C99" s="178" t="s">
        <v>239</v>
      </c>
      <c r="D99" s="166"/>
      <c r="E99" s="167"/>
      <c r="F99" s="166"/>
      <c r="G99" s="167"/>
      <c r="H99" s="166"/>
      <c r="I99" s="166"/>
      <c r="J99" s="166"/>
      <c r="K99" s="166"/>
      <c r="L99" s="166"/>
      <c r="M99" s="166"/>
      <c r="N99" s="166"/>
      <c r="O99" s="679" t="str">
        <f>preferences.energyunits</f>
        <v>TWh</v>
      </c>
      <c r="P99" s="426"/>
    </row>
    <row r="100" spans="2:32">
      <c r="B100" s="164"/>
      <c r="C100" s="166"/>
      <c r="D100" s="166"/>
      <c r="E100" s="166"/>
      <c r="F100" s="166"/>
      <c r="G100" s="166"/>
      <c r="H100" s="166"/>
      <c r="I100" s="166"/>
      <c r="J100" s="166"/>
      <c r="K100" s="166"/>
      <c r="L100" s="166"/>
      <c r="M100" s="166"/>
      <c r="N100" s="166"/>
      <c r="O100" s="166"/>
      <c r="P100" s="349"/>
    </row>
    <row r="101" spans="2:32" ht="16.5" customHeight="1">
      <c r="B101" s="169"/>
      <c r="C101" s="180" t="s">
        <v>64</v>
      </c>
      <c r="D101" s="180" t="s">
        <v>137</v>
      </c>
      <c r="E101" s="180" t="s">
        <v>156</v>
      </c>
      <c r="F101" s="180" t="s">
        <v>203</v>
      </c>
      <c r="G101" s="180" t="s">
        <v>712</v>
      </c>
      <c r="H101" s="180" t="s">
        <v>713</v>
      </c>
      <c r="I101" s="180" t="s">
        <v>714</v>
      </c>
      <c r="J101" s="180" t="s">
        <v>715</v>
      </c>
      <c r="K101" s="180" t="s">
        <v>716</v>
      </c>
      <c r="L101" s="180" t="s">
        <v>717</v>
      </c>
      <c r="M101" s="180" t="s">
        <v>718</v>
      </c>
      <c r="N101" s="180" t="s">
        <v>719</v>
      </c>
      <c r="O101" s="180" t="s">
        <v>720</v>
      </c>
      <c r="P101" s="429"/>
    </row>
    <row r="102" spans="2:32" ht="13.5" customHeight="1">
      <c r="B102" s="169"/>
      <c r="C102" s="60" t="s">
        <v>35</v>
      </c>
      <c r="D102" s="60" t="str">
        <f>INDEX(Vectors[Description], MATCH([Vector],Vectors[Code], 0))</f>
        <v>Electricity (supplied to grid)</v>
      </c>
      <c r="E102" s="60"/>
      <c r="F102" s="129">
        <f t="shared" ref="F102:O102" si="22">F$91</f>
        <v>12.437183268</v>
      </c>
      <c r="G102" s="129">
        <f t="shared" si="22"/>
        <v>18.722249233199999</v>
      </c>
      <c r="H102" s="129">
        <f t="shared" si="22"/>
        <v>36.604889233199998</v>
      </c>
      <c r="I102" s="129">
        <f t="shared" si="22"/>
        <v>58.519889233199997</v>
      </c>
      <c r="J102" s="129">
        <f t="shared" si="22"/>
        <v>81.311489233199993</v>
      </c>
      <c r="K102" s="129">
        <f t="shared" si="22"/>
        <v>110.89673923319999</v>
      </c>
      <c r="L102" s="129">
        <f t="shared" si="22"/>
        <v>129.14055596519998</v>
      </c>
      <c r="M102" s="129">
        <f t="shared" si="22"/>
        <v>139.86152999999999</v>
      </c>
      <c r="N102" s="129">
        <f t="shared" si="22"/>
        <v>148.27688999999998</v>
      </c>
      <c r="O102" s="129">
        <f t="shared" si="22"/>
        <v>148.80284999999998</v>
      </c>
      <c r="P102" s="429"/>
    </row>
    <row r="103" spans="2:32" ht="15.75">
      <c r="B103" s="169"/>
      <c r="C103" s="60" t="s">
        <v>8</v>
      </c>
      <c r="D103" s="60" t="str">
        <f>INDEX(Vectors[Description], MATCH([Vector],Vectors[Code], 0))</f>
        <v>Wind</v>
      </c>
      <c r="E103" s="60"/>
      <c r="F103" s="129">
        <f t="shared" ref="F103:O103" si="23">-F$91</f>
        <v>-12.437183268</v>
      </c>
      <c r="G103" s="129">
        <f t="shared" si="23"/>
        <v>-18.722249233199999</v>
      </c>
      <c r="H103" s="129">
        <f t="shared" si="23"/>
        <v>-36.604889233199998</v>
      </c>
      <c r="I103" s="129">
        <f t="shared" si="23"/>
        <v>-58.519889233199997</v>
      </c>
      <c r="J103" s="129">
        <f t="shared" si="23"/>
        <v>-81.311489233199993</v>
      </c>
      <c r="K103" s="129">
        <f t="shared" si="23"/>
        <v>-110.89673923319999</v>
      </c>
      <c r="L103" s="129">
        <f t="shared" si="23"/>
        <v>-129.14055596519998</v>
      </c>
      <c r="M103" s="129">
        <f t="shared" si="23"/>
        <v>-139.86152999999999</v>
      </c>
      <c r="N103" s="129">
        <f t="shared" si="23"/>
        <v>-148.27688999999998</v>
      </c>
      <c r="O103" s="129">
        <f t="shared" si="23"/>
        <v>-148.80284999999998</v>
      </c>
      <c r="P103" s="429"/>
    </row>
    <row r="104" spans="2:32" ht="12.75" customHeight="1">
      <c r="B104" s="169"/>
      <c r="C104" s="60" t="s">
        <v>103</v>
      </c>
      <c r="D104" s="60"/>
      <c r="E104" s="60"/>
      <c r="F104" s="231">
        <f>SUBTOTAL(109,[2007])</f>
        <v>0</v>
      </c>
      <c r="G104" s="231">
        <f>SUBTOTAL(109,[2012])</f>
        <v>0</v>
      </c>
      <c r="H104" s="231">
        <f>SUBTOTAL(109,[2017])</f>
        <v>0</v>
      </c>
      <c r="I104" s="231">
        <f>SUBTOTAL(109,[2022])</f>
        <v>0</v>
      </c>
      <c r="J104" s="231">
        <f>SUBTOTAL(109,[2027])</f>
        <v>0</v>
      </c>
      <c r="K104" s="231">
        <f>SUBTOTAL(109,[2032])</f>
        <v>0</v>
      </c>
      <c r="L104" s="231">
        <f>SUBTOTAL(109,[2037])</f>
        <v>0</v>
      </c>
      <c r="M104" s="231">
        <f>SUBTOTAL(109,[2042])</f>
        <v>0</v>
      </c>
      <c r="N104" s="231">
        <f>SUBTOTAL(109,[2047])</f>
        <v>0</v>
      </c>
      <c r="O104" s="231">
        <f>SUBTOTAL(109,[2052])</f>
        <v>0</v>
      </c>
      <c r="P104" s="429"/>
    </row>
    <row r="105" spans="2:32" ht="15.75">
      <c r="B105" s="170"/>
      <c r="C105" s="171"/>
      <c r="D105" s="171"/>
      <c r="E105" s="171"/>
      <c r="F105" s="171"/>
      <c r="G105" s="171"/>
      <c r="H105" s="171"/>
      <c r="I105" s="171"/>
      <c r="J105" s="171"/>
      <c r="K105" s="171"/>
      <c r="L105" s="171"/>
      <c r="M105" s="171"/>
      <c r="N105" s="171"/>
      <c r="O105" s="171"/>
      <c r="P105" s="429"/>
    </row>
    <row r="106" spans="2:32">
      <c r="P106" s="429"/>
      <c r="X106" s="35"/>
      <c r="Y106" s="35"/>
      <c r="Z106" s="35"/>
      <c r="AA106" s="35"/>
      <c r="AB106" s="35"/>
      <c r="AC106" s="35"/>
      <c r="AD106" s="35"/>
      <c r="AE106" s="35"/>
      <c r="AF106" s="35"/>
    </row>
    <row r="107" spans="2:32" ht="15.75">
      <c r="B107" s="424" t="s">
        <v>501</v>
      </c>
      <c r="C107" s="346"/>
      <c r="D107" s="425"/>
      <c r="E107" s="425"/>
      <c r="F107" s="425"/>
      <c r="G107" s="425"/>
      <c r="H107" s="425"/>
      <c r="I107" s="425"/>
      <c r="J107" s="425"/>
      <c r="K107" s="425"/>
      <c r="L107" s="425"/>
      <c r="M107" s="425"/>
      <c r="N107" s="425"/>
      <c r="O107" s="425"/>
      <c r="P107" s="352"/>
      <c r="X107" s="35"/>
      <c r="Y107" s="35"/>
      <c r="Z107" s="35"/>
      <c r="AA107" s="35"/>
      <c r="AB107" s="35"/>
      <c r="AC107" s="35"/>
      <c r="AD107" s="35"/>
      <c r="AE107" s="35"/>
      <c r="AF107" s="35"/>
    </row>
    <row r="108" spans="2:32">
      <c r="B108" s="347"/>
      <c r="C108" s="348"/>
      <c r="D108" s="348"/>
      <c r="E108" s="348"/>
      <c r="F108" s="348"/>
      <c r="G108" s="348"/>
      <c r="H108" s="348"/>
      <c r="I108" s="348"/>
      <c r="J108" s="348"/>
      <c r="K108" s="348"/>
      <c r="L108" s="348"/>
      <c r="M108" s="348"/>
      <c r="N108" s="348"/>
      <c r="O108" s="348"/>
      <c r="X108" s="35"/>
      <c r="Y108" s="35"/>
      <c r="Z108" s="35"/>
      <c r="AA108" s="35"/>
      <c r="AB108" s="35"/>
      <c r="AC108" s="35"/>
      <c r="AD108" s="35"/>
      <c r="AE108" s="35"/>
      <c r="AF108" s="35"/>
    </row>
    <row r="109" spans="2:32">
      <c r="B109" s="427"/>
      <c r="C109" s="350" t="s">
        <v>506</v>
      </c>
      <c r="D109" s="428"/>
      <c r="E109" s="351"/>
      <c r="F109" s="428"/>
      <c r="G109" s="351"/>
      <c r="H109" s="428"/>
      <c r="I109" s="428"/>
      <c r="J109" s="428"/>
      <c r="K109" s="428"/>
      <c r="L109" s="428"/>
      <c r="M109" s="428"/>
      <c r="N109" s="428"/>
      <c r="O109" s="351"/>
      <c r="P109" s="426"/>
      <c r="X109" s="35"/>
      <c r="Y109" s="35"/>
      <c r="Z109" s="35"/>
      <c r="AA109" s="35"/>
      <c r="AB109" s="35"/>
      <c r="AC109" s="35"/>
      <c r="AD109" s="35"/>
      <c r="AE109" s="35"/>
      <c r="AF109" s="35"/>
    </row>
    <row r="110" spans="2:32">
      <c r="B110" s="427"/>
      <c r="C110" s="428"/>
      <c r="D110" s="428"/>
      <c r="E110" s="428"/>
      <c r="F110" s="428"/>
      <c r="G110" s="428"/>
      <c r="H110" s="428"/>
      <c r="I110" s="428"/>
      <c r="J110" s="428"/>
      <c r="K110" s="428"/>
      <c r="L110" s="428"/>
      <c r="M110" s="428"/>
      <c r="N110" s="428"/>
      <c r="O110" s="428"/>
      <c r="P110" s="429"/>
      <c r="X110" s="35"/>
      <c r="Y110" s="35"/>
      <c r="Z110" s="35"/>
      <c r="AA110" s="35"/>
      <c r="AB110" s="35"/>
      <c r="AC110" s="35"/>
      <c r="AD110" s="35"/>
      <c r="AE110" s="35"/>
      <c r="AF110" s="35"/>
    </row>
    <row r="111" spans="2:32" ht="15.75">
      <c r="B111" s="430"/>
      <c r="C111" s="431" t="s">
        <v>64</v>
      </c>
      <c r="D111" s="431" t="s">
        <v>502</v>
      </c>
      <c r="E111" s="431" t="s">
        <v>156</v>
      </c>
      <c r="F111" s="180" t="s">
        <v>203</v>
      </c>
      <c r="G111" s="180" t="s">
        <v>712</v>
      </c>
      <c r="H111" s="180" t="s">
        <v>713</v>
      </c>
      <c r="I111" s="180" t="s">
        <v>714</v>
      </c>
      <c r="J111" s="180" t="s">
        <v>715</v>
      </c>
      <c r="K111" s="180" t="s">
        <v>716</v>
      </c>
      <c r="L111" s="180" t="s">
        <v>717</v>
      </c>
      <c r="M111" s="180" t="s">
        <v>718</v>
      </c>
      <c r="N111" s="180" t="s">
        <v>719</v>
      </c>
      <c r="O111" s="180" t="s">
        <v>720</v>
      </c>
      <c r="P111" s="429"/>
      <c r="X111" s="35"/>
      <c r="Y111" s="35"/>
      <c r="Z111" s="35"/>
      <c r="AA111" s="35"/>
      <c r="AB111" s="35"/>
      <c r="AC111" s="35"/>
      <c r="AD111" s="35"/>
      <c r="AE111" s="35"/>
      <c r="AF111" s="35"/>
    </row>
    <row r="112" spans="2:32" ht="15.75">
      <c r="B112" s="430"/>
      <c r="C112" s="432" t="s">
        <v>503</v>
      </c>
      <c r="D112" s="432" t="s">
        <v>830</v>
      </c>
      <c r="E112" s="433" t="str">
        <f>Preferences.AreaUnits</f>
        <v>ha</v>
      </c>
      <c r="F112" s="354">
        <f t="shared" ref="F112:O112" si="24">F94</f>
        <v>4306.253848791207</v>
      </c>
      <c r="G112" s="354">
        <f t="shared" si="24"/>
        <v>6284.5656811660801</v>
      </c>
      <c r="H112" s="354">
        <f t="shared" si="24"/>
        <v>11444.307619726082</v>
      </c>
      <c r="I112" s="354">
        <f t="shared" si="24"/>
        <v>17514.592253326082</v>
      </c>
      <c r="J112" s="354">
        <f t="shared" si="24"/>
        <v>23584.876886926082</v>
      </c>
      <c r="K112" s="354">
        <f t="shared" si="24"/>
        <v>31172.732678926084</v>
      </c>
      <c r="L112" s="354">
        <f t="shared" si="24"/>
        <v>34454.334622134877</v>
      </c>
      <c r="M112" s="354">
        <f t="shared" si="24"/>
        <v>35511.165106560002</v>
      </c>
      <c r="N112" s="354">
        <f t="shared" si="24"/>
        <v>36421.707801600001</v>
      </c>
      <c r="O112" s="354">
        <f t="shared" si="24"/>
        <v>35207.650874880004</v>
      </c>
      <c r="P112" s="429"/>
      <c r="X112" s="35"/>
      <c r="Y112" s="35"/>
      <c r="Z112" s="35"/>
      <c r="AA112" s="35"/>
      <c r="AB112" s="35"/>
      <c r="AC112" s="35"/>
      <c r="AD112" s="35"/>
      <c r="AE112" s="35"/>
      <c r="AF112" s="35"/>
    </row>
    <row r="113" spans="2:32" ht="15.75">
      <c r="B113" s="430"/>
      <c r="C113" s="432" t="s">
        <v>508</v>
      </c>
      <c r="D113" s="432" t="s">
        <v>817</v>
      </c>
      <c r="E113" s="433" t="str">
        <f>Preferences.PowerUnits</f>
        <v>GW</v>
      </c>
      <c r="F113" s="354">
        <f t="shared" ref="F113:O113" si="25">F79</f>
        <v>7.0939899999999998</v>
      </c>
      <c r="G113" s="354">
        <f t="shared" si="25"/>
        <v>10.353</v>
      </c>
      <c r="H113" s="354">
        <f t="shared" si="25"/>
        <v>18.853000000000002</v>
      </c>
      <c r="I113" s="354">
        <f t="shared" si="25"/>
        <v>28.853000000000002</v>
      </c>
      <c r="J113" s="354">
        <f t="shared" si="25"/>
        <v>38.853000000000002</v>
      </c>
      <c r="K113" s="354">
        <f t="shared" si="25"/>
        <v>51.353000000000002</v>
      </c>
      <c r="L113" s="354">
        <f t="shared" si="25"/>
        <v>56.759010000000004</v>
      </c>
      <c r="M113" s="354">
        <f t="shared" si="25"/>
        <v>58.5</v>
      </c>
      <c r="N113" s="354">
        <f t="shared" si="25"/>
        <v>60</v>
      </c>
      <c r="O113" s="354">
        <f t="shared" si="25"/>
        <v>58</v>
      </c>
      <c r="P113" s="435"/>
      <c r="X113" s="35"/>
      <c r="Y113" s="35"/>
      <c r="Z113" s="35"/>
      <c r="AA113" s="35"/>
      <c r="AB113" s="35"/>
      <c r="AC113" s="35"/>
      <c r="AD113" s="35"/>
      <c r="AE113" s="35"/>
      <c r="AF113" s="35"/>
    </row>
    <row r="114" spans="2:32" ht="15.75">
      <c r="B114" s="355"/>
      <c r="C114" s="434"/>
      <c r="D114" s="434"/>
      <c r="E114" s="434"/>
      <c r="F114" s="434"/>
      <c r="G114" s="434"/>
      <c r="H114" s="434"/>
      <c r="I114" s="434"/>
      <c r="J114" s="434"/>
      <c r="K114" s="434"/>
      <c r="L114" s="434"/>
      <c r="M114" s="434"/>
      <c r="N114" s="434"/>
      <c r="O114" s="434"/>
      <c r="P114" s="435"/>
      <c r="X114" s="35"/>
      <c r="Y114" s="35"/>
      <c r="Z114" s="35"/>
      <c r="AA114" s="35"/>
      <c r="AB114" s="35"/>
      <c r="AC114" s="35"/>
      <c r="AD114" s="35"/>
      <c r="AE114" s="35"/>
      <c r="AF114" s="35"/>
    </row>
    <row r="115" spans="2:32">
      <c r="P115" s="435"/>
      <c r="X115" s="35"/>
      <c r="Y115" s="35"/>
      <c r="Z115" s="35"/>
      <c r="AA115" s="35"/>
      <c r="AB115" s="35"/>
      <c r="AC115" s="35"/>
      <c r="AD115" s="35"/>
      <c r="AE115" s="35"/>
      <c r="AF115" s="35"/>
    </row>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sheetPr>
    <tabColor theme="9"/>
    <outlinePr summaryBelow="0"/>
    <pageSetUpPr autoPageBreaks="0"/>
  </sheetPr>
  <dimension ref="A1:AH110"/>
  <sheetViews>
    <sheetView showGridLines="0" zoomScale="85" zoomScaleNormal="85" zoomScalePageLayoutView="85" workbookViewId="0">
      <selection activeCell="A23" sqref="A23"/>
    </sheetView>
  </sheetViews>
  <sheetFormatPr defaultColWidth="8.85546875" defaultRowHeight="12.75"/>
  <cols>
    <col min="1" max="1" width="7.7109375" style="2331" customWidth="1"/>
    <col min="2" max="2" width="5.85546875" style="2331" customWidth="1"/>
    <col min="3" max="3" width="20.42578125" style="2331" customWidth="1"/>
    <col min="4" max="4" width="30.7109375" style="2331" customWidth="1"/>
    <col min="5" max="5" width="20.7109375" style="2331" customWidth="1"/>
    <col min="6" max="15" width="17.7109375" style="2331" customWidth="1"/>
    <col min="16" max="16" width="2" style="2331" customWidth="1"/>
    <col min="17" max="17" width="10.85546875" style="2331" customWidth="1"/>
    <col min="18" max="16384" width="8.85546875" style="2331"/>
  </cols>
  <sheetData>
    <row r="1" spans="1:16" ht="21">
      <c r="A1" s="77" t="s">
        <v>63</v>
      </c>
      <c r="B1" s="77" t="str">
        <f>INDEX(Workstreams[Workstream], MATCH($A1,Workstreams[Code], 0))</f>
        <v>National  renewable power generation</v>
      </c>
      <c r="C1" s="77"/>
    </row>
    <row r="2" spans="1:16" s="51" customFormat="1" ht="19.5" customHeight="1">
      <c r="A2" s="6" t="s">
        <v>1285</v>
      </c>
      <c r="B2" s="6" t="str">
        <f>INDEX(Modules[Module], MATCH($A2,Modules[Code], 0))</f>
        <v>Offshore Wind</v>
      </c>
      <c r="C2" s="6"/>
      <c r="E2" s="404"/>
    </row>
    <row r="4" spans="1:16" ht="22.5">
      <c r="A4" s="420"/>
      <c r="B4" s="206" t="s">
        <v>416</v>
      </c>
      <c r="C4" s="666"/>
      <c r="D4" s="175"/>
      <c r="E4" s="176"/>
      <c r="F4" s="175"/>
      <c r="G4" s="175"/>
      <c r="H4" s="175"/>
      <c r="I4" s="175"/>
      <c r="J4" s="175"/>
      <c r="K4" s="175"/>
      <c r="L4" s="175"/>
      <c r="M4" s="175"/>
      <c r="N4" s="175"/>
      <c r="O4" s="175"/>
      <c r="P4" s="177"/>
    </row>
    <row r="5" spans="1:16">
      <c r="B5" s="164"/>
      <c r="C5" s="165"/>
      <c r="D5" s="166"/>
      <c r="E5" s="167"/>
      <c r="F5" s="166"/>
      <c r="G5" s="166"/>
      <c r="H5" s="166"/>
      <c r="I5" s="166"/>
      <c r="J5" s="166"/>
      <c r="K5" s="166"/>
      <c r="L5" s="166"/>
      <c r="M5" s="166"/>
      <c r="N5" s="166"/>
      <c r="O5" s="166"/>
      <c r="P5" s="168"/>
    </row>
    <row r="6" spans="1:16" ht="15.75">
      <c r="B6" s="169"/>
      <c r="C6" s="166"/>
      <c r="D6" s="118" t="s">
        <v>274</v>
      </c>
      <c r="E6" s="118" t="s">
        <v>411</v>
      </c>
      <c r="F6" s="166"/>
      <c r="G6" s="166"/>
      <c r="H6" s="166">
        <f>Unit.MW</f>
        <v>1E-3</v>
      </c>
      <c r="I6" s="166"/>
      <c r="J6" s="166"/>
      <c r="K6" s="166"/>
      <c r="L6" s="166"/>
      <c r="M6" s="166"/>
      <c r="N6" s="166"/>
      <c r="O6" s="166"/>
      <c r="P6" s="168"/>
    </row>
    <row r="7" spans="1:16" ht="15.75">
      <c r="B7" s="169"/>
      <c r="C7" s="166"/>
      <c r="D7" s="127" t="s">
        <v>411</v>
      </c>
      <c r="E7" s="127">
        <f>iv.c.2.scenario</f>
        <v>1</v>
      </c>
      <c r="F7" s="166"/>
      <c r="G7" s="166"/>
      <c r="H7" s="166"/>
      <c r="I7" s="166"/>
      <c r="J7" s="166"/>
      <c r="K7" s="166"/>
      <c r="L7" s="166"/>
      <c r="M7" s="166"/>
      <c r="N7" s="166"/>
      <c r="O7" s="166"/>
      <c r="P7" s="168"/>
    </row>
    <row r="8" spans="1:16" ht="15.75">
      <c r="B8" s="170"/>
      <c r="C8" s="171"/>
      <c r="D8" s="171"/>
      <c r="E8" s="171"/>
      <c r="F8" s="172"/>
      <c r="G8" s="172"/>
      <c r="H8" s="172"/>
      <c r="I8" s="172"/>
      <c r="J8" s="172"/>
      <c r="K8" s="172"/>
      <c r="L8" s="172"/>
      <c r="M8" s="172"/>
      <c r="N8" s="172"/>
      <c r="O8" s="172"/>
      <c r="P8" s="173"/>
    </row>
    <row r="10" spans="1:16" ht="22.5">
      <c r="A10" s="420"/>
      <c r="B10" s="421" t="s">
        <v>413</v>
      </c>
      <c r="C10" s="159"/>
      <c r="D10" s="159"/>
      <c r="E10" s="159"/>
      <c r="F10" s="159"/>
      <c r="G10" s="159"/>
      <c r="H10" s="159"/>
      <c r="I10" s="159"/>
      <c r="J10" s="159"/>
      <c r="K10" s="159"/>
      <c r="L10" s="159"/>
      <c r="M10" s="159"/>
      <c r="N10" s="159"/>
      <c r="O10" s="159"/>
      <c r="P10" s="160"/>
    </row>
    <row r="11" spans="1:16">
      <c r="B11" s="418"/>
      <c r="C11" s="415"/>
      <c r="D11" s="415"/>
      <c r="E11" s="415"/>
      <c r="F11" s="415"/>
      <c r="G11" s="415"/>
      <c r="H11" s="415"/>
      <c r="I11" s="415"/>
      <c r="J11" s="415"/>
      <c r="K11" s="415"/>
      <c r="L11" s="415"/>
      <c r="M11" s="415"/>
      <c r="N11" s="415"/>
      <c r="O11" s="415"/>
      <c r="P11" s="419"/>
    </row>
    <row r="12" spans="1:16">
      <c r="B12" s="155"/>
      <c r="C12" s="416" t="s">
        <v>812</v>
      </c>
      <c r="D12" s="415"/>
      <c r="E12" s="104"/>
      <c r="F12" s="415"/>
      <c r="G12" s="415"/>
      <c r="H12" s="415"/>
      <c r="I12" s="415"/>
      <c r="J12" s="415"/>
      <c r="K12" s="415"/>
      <c r="L12" s="415"/>
      <c r="M12" s="415"/>
      <c r="N12" s="415"/>
      <c r="O12" s="104" t="str">
        <f>Preferences.PowerUnits &amp; " per five year plan, for subsequent period; nameplate capacity"</f>
        <v>GW per five year plan, for subsequent period; nameplate capacity</v>
      </c>
      <c r="P12" s="419"/>
    </row>
    <row r="13" spans="1:16" ht="5.25" customHeight="1">
      <c r="B13" s="155"/>
      <c r="C13" s="415"/>
      <c r="D13" s="415"/>
      <c r="E13" s="415"/>
      <c r="F13" s="415"/>
      <c r="G13" s="415"/>
      <c r="H13" s="415"/>
      <c r="I13" s="415"/>
      <c r="J13" s="415"/>
      <c r="K13" s="415"/>
      <c r="L13" s="415"/>
      <c r="M13" s="415"/>
      <c r="N13" s="415"/>
      <c r="O13" s="415"/>
      <c r="P13" s="419"/>
    </row>
    <row r="14" spans="1:16" ht="15.75">
      <c r="B14" s="152"/>
      <c r="C14" s="61" t="s">
        <v>411</v>
      </c>
      <c r="D14" s="61" t="s">
        <v>65</v>
      </c>
      <c r="E14" s="61" t="s">
        <v>156</v>
      </c>
      <c r="F14" s="119">
        <v>2007</v>
      </c>
      <c r="G14" s="120">
        <v>2012</v>
      </c>
      <c r="H14" s="119">
        <v>2017</v>
      </c>
      <c r="I14" s="119">
        <v>2022</v>
      </c>
      <c r="J14" s="119">
        <v>2027</v>
      </c>
      <c r="K14" s="119">
        <v>2032</v>
      </c>
      <c r="L14" s="119">
        <v>2037</v>
      </c>
      <c r="M14" s="119">
        <v>2042</v>
      </c>
      <c r="N14" s="119">
        <v>2047</v>
      </c>
      <c r="O14" s="119">
        <v>2052</v>
      </c>
      <c r="P14" s="419"/>
    </row>
    <row r="15" spans="1:16" ht="15.75">
      <c r="B15" s="152"/>
      <c r="C15" s="413">
        <v>1</v>
      </c>
      <c r="D15" s="414"/>
      <c r="E15" s="96"/>
      <c r="F15" s="414">
        <f t="shared" ref="F15:H18" si="0">0*(Unit.MW)</f>
        <v>0</v>
      </c>
      <c r="G15" s="414">
        <f t="shared" si="0"/>
        <v>0</v>
      </c>
      <c r="H15" s="414">
        <f t="shared" si="0"/>
        <v>0</v>
      </c>
      <c r="I15" s="414">
        <f>500*(Unit.MW)</f>
        <v>0.5</v>
      </c>
      <c r="J15" s="414">
        <f>500*(Unit.MW)</f>
        <v>0.5</v>
      </c>
      <c r="K15" s="414">
        <f>500*(Unit.MW)</f>
        <v>0.5</v>
      </c>
      <c r="L15" s="414">
        <f>1000*(Unit.MW)</f>
        <v>1</v>
      </c>
      <c r="M15" s="414">
        <f>1000*(Unit.MW)</f>
        <v>1</v>
      </c>
      <c r="N15" s="414">
        <f>500*(Unit.MW)</f>
        <v>0.5</v>
      </c>
      <c r="O15" s="414">
        <f>500*(Unit.MW)</f>
        <v>0.5</v>
      </c>
      <c r="P15" s="419"/>
    </row>
    <row r="16" spans="1:16" ht="15.75">
      <c r="B16" s="152"/>
      <c r="C16" s="413">
        <v>2</v>
      </c>
      <c r="D16" s="414"/>
      <c r="E16" s="414"/>
      <c r="F16" s="414">
        <f t="shared" si="0"/>
        <v>0</v>
      </c>
      <c r="G16" s="414">
        <f t="shared" si="0"/>
        <v>0</v>
      </c>
      <c r="H16" s="414">
        <f t="shared" si="0"/>
        <v>0</v>
      </c>
      <c r="I16" s="414">
        <f>1000*(Unit.MW)</f>
        <v>1</v>
      </c>
      <c r="J16" s="414">
        <f>1500*(Unit.MW)</f>
        <v>1.5</v>
      </c>
      <c r="K16" s="414">
        <f>2000*(Unit.MW)</f>
        <v>2</v>
      </c>
      <c r="L16" s="414">
        <f>3000*(Unit.MW)</f>
        <v>3</v>
      </c>
      <c r="M16" s="414">
        <f>5000*(Unit.MW)</f>
        <v>5</v>
      </c>
      <c r="N16" s="414">
        <f>7000*(Unit.MW)</f>
        <v>7</v>
      </c>
      <c r="O16" s="414">
        <f>10000*(Unit.MW)</f>
        <v>10</v>
      </c>
      <c r="P16" s="419"/>
    </row>
    <row r="17" spans="2:28" ht="15.75">
      <c r="B17" s="152"/>
      <c r="C17" s="413">
        <v>3</v>
      </c>
      <c r="D17" s="414"/>
      <c r="E17" s="414"/>
      <c r="F17" s="414">
        <f t="shared" si="0"/>
        <v>0</v>
      </c>
      <c r="G17" s="414">
        <f t="shared" si="0"/>
        <v>0</v>
      </c>
      <c r="H17" s="414">
        <f t="shared" si="0"/>
        <v>0</v>
      </c>
      <c r="I17" s="414">
        <f>2000*(Unit.MW)</f>
        <v>2</v>
      </c>
      <c r="J17" s="414">
        <f>4000*(Unit.MW)</f>
        <v>4</v>
      </c>
      <c r="K17" s="414">
        <f>6000*(Unit.MW)</f>
        <v>6</v>
      </c>
      <c r="L17" s="414">
        <f>10000*(Unit.MW)</f>
        <v>10</v>
      </c>
      <c r="M17" s="414">
        <f>15000*(Unit.MW)</f>
        <v>15</v>
      </c>
      <c r="N17" s="414">
        <f>25000*(Unit.MW)</f>
        <v>25</v>
      </c>
      <c r="O17" s="414">
        <f>40000*(Unit.MW)</f>
        <v>40</v>
      </c>
      <c r="P17" s="419"/>
      <c r="T17" s="667"/>
      <c r="U17" s="667"/>
      <c r="V17" s="667"/>
      <c r="W17" s="667"/>
      <c r="X17" s="667"/>
      <c r="Y17" s="667"/>
      <c r="Z17" s="667"/>
      <c r="AA17" s="667"/>
      <c r="AB17" s="667"/>
    </row>
    <row r="18" spans="2:28" ht="15.75">
      <c r="B18" s="152"/>
      <c r="C18" s="411">
        <v>4</v>
      </c>
      <c r="D18" s="65"/>
      <c r="E18" s="65"/>
      <c r="F18" s="414">
        <f t="shared" si="0"/>
        <v>0</v>
      </c>
      <c r="G18" s="414">
        <f t="shared" si="0"/>
        <v>0</v>
      </c>
      <c r="H18" s="414">
        <f t="shared" si="0"/>
        <v>0</v>
      </c>
      <c r="I18" s="414">
        <f>4000*(Unit.MW)</f>
        <v>4</v>
      </c>
      <c r="J18" s="414">
        <f>7000*(Unit.MW)</f>
        <v>7</v>
      </c>
      <c r="K18" s="414">
        <f>10000*(Unit.MW)</f>
        <v>10</v>
      </c>
      <c r="L18" s="414">
        <f>20000*(Unit.MW)</f>
        <v>20</v>
      </c>
      <c r="M18" s="414">
        <f>40000*(Unit.MW)</f>
        <v>40</v>
      </c>
      <c r="N18" s="414">
        <f>60000*(Unit.MW)</f>
        <v>60</v>
      </c>
      <c r="O18" s="414">
        <f>80000*(Unit.MW)</f>
        <v>80</v>
      </c>
      <c r="P18" s="419"/>
    </row>
    <row r="19" spans="2:28" ht="15.75">
      <c r="B19" s="152"/>
      <c r="C19" s="668" t="s">
        <v>406</v>
      </c>
      <c r="D19" s="407"/>
      <c r="E19" s="407"/>
      <c r="F19" s="408">
        <f>(INDEX(F$15:F$18,ROUNDDOWN($E$7,0))*(1-MOD($E$7,1)))+(INDEX(F$15:F$18,ROUNDUP($E$7,0))*MOD($E$7,1))</f>
        <v>0</v>
      </c>
      <c r="G19" s="408">
        <f t="shared" ref="G19:O19" si="1">(INDEX(G$15:G$18,ROUNDDOWN($E$7,0))*(1-MOD($E$7,1)))+(INDEX(G$15:G$18,ROUNDUP($E$7,0))*MOD($E$7,1))</f>
        <v>0</v>
      </c>
      <c r="H19" s="408">
        <f t="shared" si="1"/>
        <v>0</v>
      </c>
      <c r="I19" s="408">
        <f t="shared" si="1"/>
        <v>0.5</v>
      </c>
      <c r="J19" s="408">
        <f t="shared" si="1"/>
        <v>0.5</v>
      </c>
      <c r="K19" s="408">
        <f t="shared" si="1"/>
        <v>0.5</v>
      </c>
      <c r="L19" s="408">
        <f t="shared" si="1"/>
        <v>1</v>
      </c>
      <c r="M19" s="408">
        <f t="shared" si="1"/>
        <v>1</v>
      </c>
      <c r="N19" s="408">
        <f t="shared" si="1"/>
        <v>0.5</v>
      </c>
      <c r="O19" s="654">
        <f t="shared" si="1"/>
        <v>0.5</v>
      </c>
      <c r="P19" s="419"/>
    </row>
    <row r="20" spans="2:28">
      <c r="B20" s="155"/>
      <c r="C20" s="415"/>
      <c r="D20" s="105"/>
      <c r="E20" s="415"/>
      <c r="F20" s="415"/>
      <c r="G20" s="415"/>
      <c r="H20" s="415"/>
      <c r="I20" s="415"/>
      <c r="J20" s="415"/>
      <c r="K20" s="415"/>
      <c r="L20" s="415"/>
      <c r="M20" s="415"/>
      <c r="N20" s="415"/>
      <c r="O20" s="415"/>
      <c r="P20" s="419"/>
    </row>
    <row r="21" spans="2:28">
      <c r="B21" s="155"/>
      <c r="C21" s="416" t="s">
        <v>813</v>
      </c>
      <c r="D21" s="415"/>
      <c r="E21" s="104"/>
      <c r="F21" s="415"/>
      <c r="G21" s="415"/>
      <c r="H21" s="415"/>
      <c r="I21" s="415"/>
      <c r="J21" s="415"/>
      <c r="K21" s="415"/>
      <c r="L21" s="415"/>
      <c r="M21" s="415"/>
      <c r="N21" s="415"/>
      <c r="O21" s="104" t="str">
        <f>Preferences.PowerUnits &amp; " per five year plan, for subsequent period; nameplate capacity"</f>
        <v>GW per five year plan, for subsequent period; nameplate capacity</v>
      </c>
      <c r="P21" s="419"/>
    </row>
    <row r="22" spans="2:28" ht="5.25" customHeight="1">
      <c r="B22" s="155"/>
      <c r="C22" s="415"/>
      <c r="D22" s="415"/>
      <c r="E22" s="415"/>
      <c r="F22" s="415"/>
      <c r="G22" s="415"/>
      <c r="H22" s="415"/>
      <c r="I22" s="415"/>
      <c r="J22" s="415"/>
      <c r="K22" s="415"/>
      <c r="L22" s="415"/>
      <c r="M22" s="415"/>
      <c r="N22" s="415"/>
      <c r="O22" s="415"/>
      <c r="P22" s="419"/>
    </row>
    <row r="23" spans="2:28" ht="15.75">
      <c r="B23" s="152"/>
      <c r="C23" s="61" t="s">
        <v>411</v>
      </c>
      <c r="D23" s="61" t="s">
        <v>65</v>
      </c>
      <c r="E23" s="61" t="s">
        <v>156</v>
      </c>
      <c r="F23" s="119">
        <v>2007</v>
      </c>
      <c r="G23" s="120">
        <v>2012</v>
      </c>
      <c r="H23" s="119">
        <v>2017</v>
      </c>
      <c r="I23" s="119">
        <v>2022</v>
      </c>
      <c r="J23" s="119">
        <v>2027</v>
      </c>
      <c r="K23" s="119">
        <v>2032</v>
      </c>
      <c r="L23" s="119">
        <v>2037</v>
      </c>
      <c r="M23" s="119">
        <v>2042</v>
      </c>
      <c r="N23" s="119">
        <v>2047</v>
      </c>
      <c r="O23" s="119">
        <v>2052</v>
      </c>
      <c r="P23" s="419"/>
    </row>
    <row r="24" spans="2:28" ht="15.75">
      <c r="B24" s="152"/>
      <c r="C24" s="413">
        <v>1</v>
      </c>
      <c r="D24" s="414"/>
      <c r="E24" s="96"/>
      <c r="F24" s="414">
        <f t="shared" ref="F24:N27" si="2">0*(Unit.MW)</f>
        <v>0</v>
      </c>
      <c r="G24" s="414">
        <f t="shared" si="2"/>
        <v>0</v>
      </c>
      <c r="H24" s="414">
        <f t="shared" si="2"/>
        <v>0</v>
      </c>
      <c r="I24" s="414">
        <f t="shared" si="2"/>
        <v>0</v>
      </c>
      <c r="J24" s="414">
        <f t="shared" si="2"/>
        <v>0</v>
      </c>
      <c r="K24" s="414">
        <f t="shared" si="2"/>
        <v>0</v>
      </c>
      <c r="L24" s="414">
        <f t="shared" si="2"/>
        <v>0</v>
      </c>
      <c r="M24" s="414">
        <f t="shared" si="2"/>
        <v>0</v>
      </c>
      <c r="N24" s="414">
        <f t="shared" si="2"/>
        <v>0</v>
      </c>
      <c r="O24" s="414">
        <f>-500*(Unit.MW)</f>
        <v>-0.5</v>
      </c>
      <c r="P24" s="419"/>
    </row>
    <row r="25" spans="2:28" ht="15.75">
      <c r="B25" s="152"/>
      <c r="C25" s="413">
        <v>2</v>
      </c>
      <c r="D25" s="414"/>
      <c r="E25" s="414"/>
      <c r="F25" s="414">
        <f t="shared" si="2"/>
        <v>0</v>
      </c>
      <c r="G25" s="414">
        <f t="shared" si="2"/>
        <v>0</v>
      </c>
      <c r="H25" s="414">
        <f t="shared" si="2"/>
        <v>0</v>
      </c>
      <c r="I25" s="414">
        <f t="shared" si="2"/>
        <v>0</v>
      </c>
      <c r="J25" s="414">
        <f t="shared" si="2"/>
        <v>0</v>
      </c>
      <c r="K25" s="414">
        <f t="shared" si="2"/>
        <v>0</v>
      </c>
      <c r="L25" s="414">
        <f t="shared" si="2"/>
        <v>0</v>
      </c>
      <c r="M25" s="414">
        <f t="shared" si="2"/>
        <v>0</v>
      </c>
      <c r="N25" s="414">
        <f t="shared" si="2"/>
        <v>0</v>
      </c>
      <c r="O25" s="414">
        <f>-1000*(Unit.MW)</f>
        <v>-1</v>
      </c>
      <c r="P25" s="419"/>
    </row>
    <row r="26" spans="2:28" ht="15.75">
      <c r="B26" s="152"/>
      <c r="C26" s="413">
        <v>3</v>
      </c>
      <c r="D26" s="414"/>
      <c r="E26" s="414"/>
      <c r="F26" s="414">
        <f t="shared" si="2"/>
        <v>0</v>
      </c>
      <c r="G26" s="414">
        <f t="shared" si="2"/>
        <v>0</v>
      </c>
      <c r="H26" s="414">
        <f t="shared" si="2"/>
        <v>0</v>
      </c>
      <c r="I26" s="414">
        <f t="shared" si="2"/>
        <v>0</v>
      </c>
      <c r="J26" s="414">
        <f t="shared" si="2"/>
        <v>0</v>
      </c>
      <c r="K26" s="414">
        <f t="shared" si="2"/>
        <v>0</v>
      </c>
      <c r="L26" s="414">
        <f t="shared" si="2"/>
        <v>0</v>
      </c>
      <c r="M26" s="414">
        <f t="shared" si="2"/>
        <v>0</v>
      </c>
      <c r="N26" s="414">
        <f t="shared" si="2"/>
        <v>0</v>
      </c>
      <c r="O26" s="414">
        <f>-2000*(Unit.MW)</f>
        <v>-2</v>
      </c>
      <c r="P26" s="419"/>
    </row>
    <row r="27" spans="2:28" ht="15.75">
      <c r="B27" s="152"/>
      <c r="C27" s="411">
        <v>4</v>
      </c>
      <c r="D27" s="65"/>
      <c r="E27" s="65"/>
      <c r="F27" s="414">
        <f t="shared" si="2"/>
        <v>0</v>
      </c>
      <c r="G27" s="414">
        <f t="shared" si="2"/>
        <v>0</v>
      </c>
      <c r="H27" s="414">
        <f t="shared" si="2"/>
        <v>0</v>
      </c>
      <c r="I27" s="414">
        <f t="shared" si="2"/>
        <v>0</v>
      </c>
      <c r="J27" s="414">
        <f t="shared" si="2"/>
        <v>0</v>
      </c>
      <c r="K27" s="414">
        <f t="shared" si="2"/>
        <v>0</v>
      </c>
      <c r="L27" s="414">
        <f t="shared" si="2"/>
        <v>0</v>
      </c>
      <c r="M27" s="414">
        <f t="shared" si="2"/>
        <v>0</v>
      </c>
      <c r="N27" s="414">
        <f t="shared" si="2"/>
        <v>0</v>
      </c>
      <c r="O27" s="414">
        <f>0*(Unit.MW)</f>
        <v>0</v>
      </c>
      <c r="P27" s="419"/>
    </row>
    <row r="28" spans="2:28" ht="15.75">
      <c r="B28" s="152"/>
      <c r="C28" s="111" t="s">
        <v>406</v>
      </c>
      <c r="D28" s="112"/>
      <c r="E28" s="112"/>
      <c r="F28" s="407">
        <f>(INDEX(F$24:F$27,ROUNDDOWN($E$7,0))*(1-MOD($E$7,1)))+(INDEX(F$24:F$27,ROUNDUP($E$7,0))*MOD($E$7,1))</f>
        <v>0</v>
      </c>
      <c r="G28" s="407">
        <f t="shared" ref="G28:O28" si="3">(INDEX(G$24:G$27,ROUNDDOWN($E$7,0))*(1-MOD($E$7,1)))+(INDEX(G$24:G$27,ROUNDUP($E$7,0))*MOD($E$7,1))</f>
        <v>0</v>
      </c>
      <c r="H28" s="407">
        <f t="shared" si="3"/>
        <v>0</v>
      </c>
      <c r="I28" s="407">
        <f t="shared" si="3"/>
        <v>0</v>
      </c>
      <c r="J28" s="407">
        <f t="shared" si="3"/>
        <v>0</v>
      </c>
      <c r="K28" s="407">
        <f t="shared" si="3"/>
        <v>0</v>
      </c>
      <c r="L28" s="407">
        <f t="shared" si="3"/>
        <v>0</v>
      </c>
      <c r="M28" s="407">
        <f t="shared" si="3"/>
        <v>0</v>
      </c>
      <c r="N28" s="407">
        <f t="shared" si="3"/>
        <v>0</v>
      </c>
      <c r="O28" s="407">
        <f t="shared" si="3"/>
        <v>-0.5</v>
      </c>
      <c r="P28" s="419"/>
    </row>
    <row r="29" spans="2:28">
      <c r="B29" s="155"/>
      <c r="C29" s="415"/>
      <c r="D29" s="105"/>
      <c r="E29" s="415"/>
      <c r="F29" s="415"/>
      <c r="G29" s="415"/>
      <c r="H29" s="415"/>
      <c r="I29" s="415"/>
      <c r="J29" s="415"/>
      <c r="K29" s="415"/>
      <c r="L29" s="415"/>
      <c r="M29" s="415"/>
      <c r="N29" s="415"/>
      <c r="O29" s="415"/>
      <c r="P29" s="419"/>
    </row>
    <row r="30" spans="2:28">
      <c r="B30" s="155"/>
      <c r="C30" s="416" t="s">
        <v>814</v>
      </c>
      <c r="D30" s="415"/>
      <c r="E30" s="104"/>
      <c r="F30" s="415"/>
      <c r="G30" s="415"/>
      <c r="H30" s="415"/>
      <c r="I30" s="415"/>
      <c r="J30" s="415">
        <f>Unit.MW</f>
        <v>1E-3</v>
      </c>
      <c r="K30" s="415"/>
      <c r="L30" s="415"/>
      <c r="M30" s="415"/>
      <c r="N30" s="415"/>
      <c r="O30" s="104" t="str">
        <f>Preferences.PowerUnits</f>
        <v>GW</v>
      </c>
      <c r="P30" s="419"/>
    </row>
    <row r="31" spans="2:28">
      <c r="B31" s="155"/>
      <c r="C31" s="415"/>
      <c r="D31" s="415"/>
      <c r="E31" s="415"/>
      <c r="F31" s="415"/>
      <c r="G31" s="415"/>
      <c r="H31" s="415"/>
      <c r="I31" s="415"/>
      <c r="J31" s="415"/>
      <c r="K31" s="415"/>
      <c r="L31" s="415"/>
      <c r="M31" s="415"/>
      <c r="N31" s="415"/>
      <c r="O31" s="415"/>
      <c r="P31" s="419"/>
    </row>
    <row r="32" spans="2:28">
      <c r="B32" s="155"/>
      <c r="C32" s="61" t="s">
        <v>411</v>
      </c>
      <c r="D32" s="61" t="s">
        <v>65</v>
      </c>
      <c r="E32" s="61" t="s">
        <v>156</v>
      </c>
      <c r="F32" s="119">
        <v>2007</v>
      </c>
      <c r="G32" s="120">
        <v>2012</v>
      </c>
      <c r="H32" s="120">
        <v>2017</v>
      </c>
      <c r="I32" s="120">
        <v>2022</v>
      </c>
      <c r="J32" s="120">
        <v>2027</v>
      </c>
      <c r="K32" s="120">
        <v>2032</v>
      </c>
      <c r="L32" s="120">
        <v>2037</v>
      </c>
      <c r="M32" s="120">
        <v>2042</v>
      </c>
      <c r="N32" s="120">
        <v>2047</v>
      </c>
      <c r="O32" s="120">
        <v>2052</v>
      </c>
      <c r="P32" s="419"/>
    </row>
    <row r="33" spans="2:16">
      <c r="B33" s="155"/>
      <c r="C33" s="413">
        <v>1</v>
      </c>
      <c r="D33" s="414"/>
      <c r="E33" s="96"/>
      <c r="F33" s="415">
        <f>F15+F24</f>
        <v>0</v>
      </c>
      <c r="G33" s="669">
        <f t="shared" ref="G33:G36" si="4">G15+G24+F33</f>
        <v>0</v>
      </c>
      <c r="H33" s="669">
        <f t="shared" ref="H33:O36" si="5">H15+H24+G33</f>
        <v>0</v>
      </c>
      <c r="I33" s="669">
        <f t="shared" si="5"/>
        <v>0.5</v>
      </c>
      <c r="J33" s="669">
        <f t="shared" si="5"/>
        <v>1</v>
      </c>
      <c r="K33" s="669">
        <f t="shared" si="5"/>
        <v>1.5</v>
      </c>
      <c r="L33" s="669">
        <f t="shared" si="5"/>
        <v>2.5</v>
      </c>
      <c r="M33" s="669">
        <f t="shared" si="5"/>
        <v>3.5</v>
      </c>
      <c r="N33" s="669">
        <f t="shared" si="5"/>
        <v>4</v>
      </c>
      <c r="O33" s="669">
        <f t="shared" si="5"/>
        <v>4</v>
      </c>
      <c r="P33" s="419"/>
    </row>
    <row r="34" spans="2:16">
      <c r="B34" s="155"/>
      <c r="C34" s="413">
        <v>2</v>
      </c>
      <c r="D34" s="414"/>
      <c r="E34" s="414"/>
      <c r="F34" s="415">
        <f t="shared" ref="F34:F36" si="6">F16+F25</f>
        <v>0</v>
      </c>
      <c r="G34" s="669">
        <f t="shared" si="4"/>
        <v>0</v>
      </c>
      <c r="H34" s="669">
        <f t="shared" si="5"/>
        <v>0</v>
      </c>
      <c r="I34" s="669">
        <f t="shared" si="5"/>
        <v>1</v>
      </c>
      <c r="J34" s="669">
        <f t="shared" si="5"/>
        <v>2.5</v>
      </c>
      <c r="K34" s="669">
        <f t="shared" si="5"/>
        <v>4.5</v>
      </c>
      <c r="L34" s="669">
        <f t="shared" si="5"/>
        <v>7.5</v>
      </c>
      <c r="M34" s="669">
        <f t="shared" si="5"/>
        <v>12.5</v>
      </c>
      <c r="N34" s="669">
        <f t="shared" si="5"/>
        <v>19.5</v>
      </c>
      <c r="O34" s="669">
        <f t="shared" si="5"/>
        <v>28.5</v>
      </c>
      <c r="P34" s="419"/>
    </row>
    <row r="35" spans="2:16">
      <c r="B35" s="155"/>
      <c r="C35" s="413">
        <v>3</v>
      </c>
      <c r="D35" s="414"/>
      <c r="E35" s="414"/>
      <c r="F35" s="415">
        <f t="shared" si="6"/>
        <v>0</v>
      </c>
      <c r="G35" s="669">
        <f t="shared" si="4"/>
        <v>0</v>
      </c>
      <c r="H35" s="669">
        <f t="shared" si="5"/>
        <v>0</v>
      </c>
      <c r="I35" s="669">
        <f t="shared" si="5"/>
        <v>2</v>
      </c>
      <c r="J35" s="669">
        <f t="shared" si="5"/>
        <v>6</v>
      </c>
      <c r="K35" s="669">
        <f t="shared" si="5"/>
        <v>12</v>
      </c>
      <c r="L35" s="669">
        <f t="shared" si="5"/>
        <v>22</v>
      </c>
      <c r="M35" s="669">
        <f t="shared" si="5"/>
        <v>37</v>
      </c>
      <c r="N35" s="669">
        <f t="shared" si="5"/>
        <v>62</v>
      </c>
      <c r="O35" s="669">
        <f t="shared" si="5"/>
        <v>100</v>
      </c>
      <c r="P35" s="419"/>
    </row>
    <row r="36" spans="2:16">
      <c r="B36" s="155"/>
      <c r="C36" s="411">
        <v>4</v>
      </c>
      <c r="D36" s="65"/>
      <c r="E36" s="65"/>
      <c r="F36" s="415">
        <f t="shared" si="6"/>
        <v>0</v>
      </c>
      <c r="G36" s="669">
        <f t="shared" si="4"/>
        <v>0</v>
      </c>
      <c r="H36" s="669">
        <f t="shared" si="5"/>
        <v>0</v>
      </c>
      <c r="I36" s="669">
        <f t="shared" si="5"/>
        <v>4</v>
      </c>
      <c r="J36" s="669">
        <f t="shared" si="5"/>
        <v>11</v>
      </c>
      <c r="K36" s="669">
        <f t="shared" si="5"/>
        <v>21</v>
      </c>
      <c r="L36" s="669">
        <f t="shared" si="5"/>
        <v>41</v>
      </c>
      <c r="M36" s="669">
        <f t="shared" si="5"/>
        <v>81</v>
      </c>
      <c r="N36" s="669">
        <f t="shared" si="5"/>
        <v>141</v>
      </c>
      <c r="O36" s="669">
        <f t="shared" si="5"/>
        <v>221</v>
      </c>
      <c r="P36" s="419"/>
    </row>
    <row r="37" spans="2:16">
      <c r="B37" s="155"/>
      <c r="C37" s="406" t="s">
        <v>406</v>
      </c>
      <c r="D37" s="407"/>
      <c r="E37" s="407"/>
      <c r="F37" s="407">
        <f>(INDEX(F$33:F$36,ROUNDDOWN($E$7,0))*(1-MOD($E$7,1)))+(INDEX(F$33:F$36,ROUNDUP($E$7,0))*MOD($E$7,1))</f>
        <v>0</v>
      </c>
      <c r="G37" s="407">
        <f t="shared" ref="G37:O37" si="7">(INDEX(G$33:G$36,ROUNDDOWN($E$7,0))*(1-MOD($E$7,1)))+(INDEX(G$33:G$36,ROUNDUP($E$7,0))*MOD($E$7,1))</f>
        <v>0</v>
      </c>
      <c r="H37" s="407">
        <f t="shared" si="7"/>
        <v>0</v>
      </c>
      <c r="I37" s="407">
        <f t="shared" si="7"/>
        <v>0.5</v>
      </c>
      <c r="J37" s="407">
        <f t="shared" si="7"/>
        <v>1</v>
      </c>
      <c r="K37" s="407">
        <f t="shared" si="7"/>
        <v>1.5</v>
      </c>
      <c r="L37" s="407">
        <f t="shared" si="7"/>
        <v>2.5</v>
      </c>
      <c r="M37" s="407">
        <f t="shared" si="7"/>
        <v>3.5</v>
      </c>
      <c r="N37" s="407">
        <f t="shared" si="7"/>
        <v>4</v>
      </c>
      <c r="O37" s="407">
        <f t="shared" si="7"/>
        <v>4</v>
      </c>
      <c r="P37" s="670"/>
    </row>
    <row r="38" spans="2:16">
      <c r="B38" s="155"/>
      <c r="C38" s="2271"/>
      <c r="D38" s="414"/>
      <c r="E38" s="414"/>
      <c r="F38" s="414"/>
      <c r="G38" s="414"/>
      <c r="H38" s="414"/>
      <c r="I38" s="414"/>
      <c r="J38" s="414"/>
      <c r="K38" s="414"/>
      <c r="L38" s="414"/>
      <c r="M38" s="414"/>
      <c r="N38" s="414"/>
      <c r="O38" s="414"/>
      <c r="P38" s="670"/>
    </row>
    <row r="39" spans="2:16">
      <c r="B39" s="155"/>
      <c r="C39" s="2271"/>
      <c r="D39" s="414"/>
      <c r="E39" s="414"/>
      <c r="F39" s="414"/>
      <c r="G39" s="414"/>
      <c r="H39" s="414"/>
      <c r="I39" s="414"/>
      <c r="J39" s="414"/>
      <c r="K39" s="414"/>
      <c r="L39" s="414"/>
      <c r="M39" s="414"/>
      <c r="N39" s="414"/>
      <c r="O39" s="414"/>
      <c r="P39" s="670"/>
    </row>
    <row r="40" spans="2:16">
      <c r="B40" s="155"/>
      <c r="C40" s="416" t="s">
        <v>1872</v>
      </c>
      <c r="D40" s="415"/>
      <c r="E40" s="104"/>
      <c r="F40" s="415"/>
      <c r="G40" s="415"/>
      <c r="H40" s="415"/>
      <c r="I40" s="415"/>
      <c r="J40" s="415">
        <f>Unit.MW</f>
        <v>1E-3</v>
      </c>
      <c r="K40" s="415"/>
      <c r="L40" s="415"/>
      <c r="M40" s="415"/>
      <c r="N40" s="415"/>
      <c r="O40" s="104" t="s">
        <v>277</v>
      </c>
      <c r="P40" s="670"/>
    </row>
    <row r="41" spans="2:16">
      <c r="B41" s="155"/>
      <c r="C41" s="415"/>
      <c r="D41" s="415"/>
      <c r="E41" s="415"/>
      <c r="F41" s="415"/>
      <c r="G41" s="415"/>
      <c r="H41" s="415"/>
      <c r="I41" s="415"/>
      <c r="J41" s="415"/>
      <c r="K41" s="415"/>
      <c r="L41" s="415"/>
      <c r="M41" s="415"/>
      <c r="N41" s="415"/>
      <c r="O41" s="415"/>
      <c r="P41" s="670"/>
    </row>
    <row r="42" spans="2:16">
      <c r="B42" s="155"/>
      <c r="C42" s="61" t="s">
        <v>411</v>
      </c>
      <c r="D42" s="61" t="s">
        <v>65</v>
      </c>
      <c r="E42" s="61" t="s">
        <v>156</v>
      </c>
      <c r="F42" s="119">
        <v>2007</v>
      </c>
      <c r="G42" s="120">
        <f>F42+5</f>
        <v>2012</v>
      </c>
      <c r="H42" s="120">
        <f t="shared" ref="H42:O42" si="8">G42+5</f>
        <v>2017</v>
      </c>
      <c r="I42" s="120">
        <f t="shared" si="8"/>
        <v>2022</v>
      </c>
      <c r="J42" s="120">
        <f t="shared" si="8"/>
        <v>2027</v>
      </c>
      <c r="K42" s="120">
        <f t="shared" si="8"/>
        <v>2032</v>
      </c>
      <c r="L42" s="120">
        <f t="shared" si="8"/>
        <v>2037</v>
      </c>
      <c r="M42" s="120">
        <f t="shared" si="8"/>
        <v>2042</v>
      </c>
      <c r="N42" s="120">
        <f t="shared" si="8"/>
        <v>2047</v>
      </c>
      <c r="O42" s="120">
        <f t="shared" si="8"/>
        <v>2052</v>
      </c>
      <c r="P42" s="670"/>
    </row>
    <row r="43" spans="2:16">
      <c r="B43" s="155"/>
      <c r="C43" s="541">
        <v>1</v>
      </c>
      <c r="D43" s="1409"/>
      <c r="E43" s="2423"/>
      <c r="F43" s="1528">
        <f>F$55</f>
        <v>0.33</v>
      </c>
      <c r="G43" s="1528">
        <f t="shared" ref="G43:H46" si="9">G$55</f>
        <v>0.33</v>
      </c>
      <c r="H43" s="1528">
        <f t="shared" si="9"/>
        <v>0.33</v>
      </c>
      <c r="I43" s="1528">
        <f>((H33*H43)+((I33-H33)*I$55))/I33</f>
        <v>0.33</v>
      </c>
      <c r="J43" s="1528">
        <f>((I33*I43)+((J33-I33)*J$55))/J33</f>
        <v>0.34499999999999997</v>
      </c>
      <c r="K43" s="1528">
        <f>((J33*J43)+((K33-J33)*K$55))/K33</f>
        <v>0.34999999999999992</v>
      </c>
      <c r="L43" s="1528">
        <f>((K33*K43)+(L15*L$55)+(L24*F$55))/L33</f>
        <v>0.35799999999999998</v>
      </c>
      <c r="M43" s="1528">
        <f t="shared" ref="M43:O46" si="10">((L33*L43)+(M15*M$55)+(M24*G$55))/M33</f>
        <v>0.36428571428571427</v>
      </c>
      <c r="N43" s="1528">
        <f t="shared" si="10"/>
        <v>0.36749999999999999</v>
      </c>
      <c r="O43" s="1528">
        <f t="shared" si="10"/>
        <v>0.375</v>
      </c>
      <c r="P43" s="670"/>
    </row>
    <row r="44" spans="2:16">
      <c r="B44" s="155"/>
      <c r="C44" s="541">
        <v>2</v>
      </c>
      <c r="D44" s="1409"/>
      <c r="E44" s="1409"/>
      <c r="F44" s="1528">
        <f>F$55</f>
        <v>0.33</v>
      </c>
      <c r="G44" s="1528">
        <f t="shared" si="9"/>
        <v>0.33</v>
      </c>
      <c r="H44" s="1528">
        <f t="shared" si="9"/>
        <v>0.33</v>
      </c>
      <c r="I44" s="1528">
        <f t="shared" ref="I44:K46" si="11">((H34*H44)+((I34-H34)*I$55))/I34</f>
        <v>0.33</v>
      </c>
      <c r="J44" s="1528">
        <f t="shared" si="11"/>
        <v>0.34800000000000003</v>
      </c>
      <c r="K44" s="1528">
        <f t="shared" si="11"/>
        <v>0.35333333333333333</v>
      </c>
      <c r="L44" s="1528">
        <f>((K34*K44)+(L16*L$55)+(L25*F$55))/L34</f>
        <v>0.36000000000000004</v>
      </c>
      <c r="M44" s="1528">
        <f t="shared" si="10"/>
        <v>0.36799999999999999</v>
      </c>
      <c r="N44" s="1528">
        <f t="shared" si="10"/>
        <v>0.37589743589743591</v>
      </c>
      <c r="O44" s="1528">
        <f t="shared" si="10"/>
        <v>0.38245614035087722</v>
      </c>
      <c r="P44" s="670"/>
    </row>
    <row r="45" spans="2:16">
      <c r="B45" s="155"/>
      <c r="C45" s="541">
        <v>3</v>
      </c>
      <c r="D45" s="1409"/>
      <c r="E45" s="1409"/>
      <c r="F45" s="1528">
        <f>F$55</f>
        <v>0.33</v>
      </c>
      <c r="G45" s="1528">
        <f t="shared" si="9"/>
        <v>0.33</v>
      </c>
      <c r="H45" s="1528">
        <f t="shared" si="9"/>
        <v>0.33</v>
      </c>
      <c r="I45" s="1528">
        <f t="shared" si="11"/>
        <v>0.33</v>
      </c>
      <c r="J45" s="1528">
        <f t="shared" si="11"/>
        <v>0.35000000000000003</v>
      </c>
      <c r="K45" s="1528">
        <f t="shared" si="11"/>
        <v>0.35499999999999998</v>
      </c>
      <c r="L45" s="1528">
        <f>((K35*K45)+(L17*L$55)+(L26*F$55))/L35</f>
        <v>0.36181818181818182</v>
      </c>
      <c r="M45" s="1528">
        <f t="shared" si="10"/>
        <v>0.36918918918918919</v>
      </c>
      <c r="N45" s="1528">
        <f t="shared" si="10"/>
        <v>0.37758064516129031</v>
      </c>
      <c r="O45" s="1528">
        <f t="shared" si="10"/>
        <v>0.38350000000000006</v>
      </c>
      <c r="P45" s="670"/>
    </row>
    <row r="46" spans="2:16">
      <c r="B46" s="155"/>
      <c r="C46" s="2424">
        <v>4</v>
      </c>
      <c r="D46" s="2425"/>
      <c r="E46" s="2425"/>
      <c r="F46" s="1528">
        <f>F$55</f>
        <v>0.33</v>
      </c>
      <c r="G46" s="1528">
        <f t="shared" si="9"/>
        <v>0.33</v>
      </c>
      <c r="H46" s="1528">
        <f t="shared" si="9"/>
        <v>0.33</v>
      </c>
      <c r="I46" s="1528">
        <f t="shared" si="11"/>
        <v>0.33</v>
      </c>
      <c r="J46" s="1528">
        <f t="shared" si="11"/>
        <v>0.34909090909090906</v>
      </c>
      <c r="K46" s="1528">
        <f t="shared" si="11"/>
        <v>0.35428571428571426</v>
      </c>
      <c r="L46" s="1528">
        <f>((K36*K46)+(L18*L$55)+(L27*F$55))/L36</f>
        <v>0.36195121951219511</v>
      </c>
      <c r="M46" s="1528">
        <f t="shared" si="10"/>
        <v>0.37086419753086419</v>
      </c>
      <c r="N46" s="1528">
        <f t="shared" si="10"/>
        <v>0.37900709219858153</v>
      </c>
      <c r="O46" s="1528">
        <f t="shared" si="10"/>
        <v>0.3829864253393665</v>
      </c>
      <c r="P46" s="670"/>
    </row>
    <row r="47" spans="2:16">
      <c r="B47" s="636"/>
      <c r="C47" s="2426" t="s">
        <v>406</v>
      </c>
      <c r="D47" s="2427"/>
      <c r="E47" s="2427"/>
      <c r="F47" s="2447">
        <f>(INDEX(F43:F46,ROUNDDOWN($E$7,0))*(1-MOD($E$7,1)))+(INDEX(F43:F46,ROUNDUP($E$7,0))*MOD($E$7,1))</f>
        <v>0.33</v>
      </c>
      <c r="G47" s="2447">
        <f t="shared" ref="G47:O47" si="12">(INDEX(G43:G46,ROUNDDOWN($E$7,0))*(1-MOD($E$7,1)))+(INDEX(G43:G46,ROUNDUP($E$7,0))*MOD($E$7,1))</f>
        <v>0.33</v>
      </c>
      <c r="H47" s="2447">
        <f t="shared" si="12"/>
        <v>0.33</v>
      </c>
      <c r="I47" s="2447">
        <f t="shared" si="12"/>
        <v>0.33</v>
      </c>
      <c r="J47" s="2447">
        <f t="shared" si="12"/>
        <v>0.34499999999999997</v>
      </c>
      <c r="K47" s="2447">
        <f t="shared" si="12"/>
        <v>0.34999999999999992</v>
      </c>
      <c r="L47" s="2447">
        <f t="shared" si="12"/>
        <v>0.35799999999999998</v>
      </c>
      <c r="M47" s="2447">
        <f t="shared" si="12"/>
        <v>0.36428571428571427</v>
      </c>
      <c r="N47" s="2447">
        <f t="shared" si="12"/>
        <v>0.36749999999999999</v>
      </c>
      <c r="O47" s="2447">
        <f t="shared" si="12"/>
        <v>0.375</v>
      </c>
      <c r="P47" s="158"/>
    </row>
    <row r="49" spans="1:34" s="51" customFormat="1" ht="22.5">
      <c r="A49" s="162"/>
      <c r="B49" s="421" t="s">
        <v>265</v>
      </c>
      <c r="C49" s="159"/>
      <c r="D49" s="159"/>
      <c r="E49" s="159"/>
      <c r="F49" s="159"/>
      <c r="G49" s="159"/>
      <c r="H49" s="159"/>
      <c r="I49" s="159"/>
      <c r="J49" s="159"/>
      <c r="K49" s="159"/>
      <c r="L49" s="159"/>
      <c r="M49" s="159"/>
      <c r="N49" s="159"/>
      <c r="O49" s="159"/>
      <c r="P49" s="160"/>
    </row>
    <row r="50" spans="1:34">
      <c r="B50" s="418"/>
      <c r="C50" s="415"/>
      <c r="D50" s="415"/>
      <c r="E50" s="415"/>
      <c r="F50" s="415"/>
      <c r="G50" s="415"/>
      <c r="H50" s="415"/>
      <c r="I50" s="415"/>
      <c r="J50" s="415"/>
      <c r="K50" s="415"/>
      <c r="L50" s="415"/>
      <c r="M50" s="415"/>
      <c r="N50" s="415"/>
      <c r="O50" s="415"/>
      <c r="P50" s="419"/>
    </row>
    <row r="51" spans="1:34">
      <c r="B51" s="155"/>
      <c r="C51" s="415"/>
      <c r="D51" s="105"/>
      <c r="E51" s="415"/>
      <c r="F51" s="415"/>
      <c r="G51" s="415"/>
      <c r="H51" s="415"/>
      <c r="I51" s="415"/>
      <c r="J51" s="415"/>
      <c r="K51" s="415"/>
      <c r="L51" s="415"/>
      <c r="M51" s="415"/>
      <c r="N51" s="415"/>
      <c r="O51" s="415"/>
      <c r="P51" s="419"/>
    </row>
    <row r="52" spans="1:34">
      <c r="B52" s="418"/>
      <c r="C52" s="416" t="s">
        <v>797</v>
      </c>
      <c r="D52" s="415"/>
      <c r="E52" s="415"/>
      <c r="F52" s="415"/>
      <c r="G52" s="104"/>
      <c r="H52" s="415"/>
      <c r="I52" s="415"/>
      <c r="J52" s="415"/>
      <c r="K52" s="415"/>
      <c r="L52" s="415"/>
      <c r="M52" s="415"/>
      <c r="N52" s="415"/>
      <c r="O52" s="415"/>
      <c r="P52" s="419"/>
    </row>
    <row r="53" spans="1:34" ht="6" customHeight="1">
      <c r="B53" s="418"/>
      <c r="C53" s="415"/>
      <c r="D53" s="415"/>
      <c r="E53" s="415"/>
      <c r="F53" s="415"/>
      <c r="G53" s="415"/>
      <c r="H53" s="415"/>
      <c r="I53" s="415"/>
      <c r="J53" s="415"/>
      <c r="K53" s="415"/>
      <c r="L53" s="415"/>
      <c r="M53" s="415"/>
      <c r="N53" s="415"/>
      <c r="O53" s="415"/>
      <c r="P53" s="419"/>
    </row>
    <row r="54" spans="1:34" ht="15.75">
      <c r="B54" s="152"/>
      <c r="C54" s="61" t="s">
        <v>227</v>
      </c>
      <c r="D54" s="61" t="s">
        <v>240</v>
      </c>
      <c r="E54" s="61" t="s">
        <v>156</v>
      </c>
      <c r="F54" s="119">
        <v>2007</v>
      </c>
      <c r="G54" s="120">
        <v>2012</v>
      </c>
      <c r="H54" s="119">
        <v>2017</v>
      </c>
      <c r="I54" s="119">
        <v>2022</v>
      </c>
      <c r="J54" s="119">
        <v>2027</v>
      </c>
      <c r="K54" s="119">
        <v>2032</v>
      </c>
      <c r="L54" s="119">
        <v>2037</v>
      </c>
      <c r="M54" s="119">
        <v>2042</v>
      </c>
      <c r="N54" s="119">
        <v>2047</v>
      </c>
      <c r="O54" s="119">
        <v>2052</v>
      </c>
      <c r="P54" s="419"/>
    </row>
    <row r="55" spans="1:34" ht="15.75">
      <c r="B55" s="152"/>
      <c r="C55" s="111" t="s">
        <v>8</v>
      </c>
      <c r="D55" s="112" t="s">
        <v>280</v>
      </c>
      <c r="E55" s="112"/>
      <c r="F55" s="672">
        <v>0.33</v>
      </c>
      <c r="G55" s="673">
        <v>0.33</v>
      </c>
      <c r="H55" s="85">
        <v>0.33</v>
      </c>
      <c r="I55" s="85">
        <v>0.33</v>
      </c>
      <c r="J55" s="85">
        <v>0.36</v>
      </c>
      <c r="K55" s="85">
        <v>0.36</v>
      </c>
      <c r="L55" s="85">
        <v>0.37</v>
      </c>
      <c r="M55" s="85">
        <v>0.38</v>
      </c>
      <c r="N55" s="85">
        <v>0.39</v>
      </c>
      <c r="O55" s="85">
        <v>0.39</v>
      </c>
      <c r="P55" s="419"/>
    </row>
    <row r="56" spans="1:34" ht="15.75">
      <c r="B56" s="152"/>
      <c r="C56" s="413"/>
      <c r="D56" s="414"/>
      <c r="E56" s="414"/>
      <c r="F56" s="116"/>
      <c r="G56" s="613"/>
      <c r="H56" s="613"/>
      <c r="I56" s="613"/>
      <c r="J56" s="613"/>
      <c r="K56" s="613"/>
      <c r="L56" s="613"/>
      <c r="M56" s="613"/>
      <c r="N56" s="613"/>
      <c r="O56" s="613"/>
      <c r="P56" s="419"/>
    </row>
    <row r="57" spans="1:34" ht="15.75">
      <c r="B57" s="152"/>
      <c r="C57" s="416" t="s">
        <v>524</v>
      </c>
      <c r="D57" s="415"/>
      <c r="E57" s="415"/>
      <c r="F57" s="415"/>
      <c r="G57" s="104"/>
      <c r="H57" s="415"/>
      <c r="I57" s="415"/>
      <c r="J57" s="415"/>
      <c r="K57" s="415"/>
      <c r="L57" s="415"/>
      <c r="M57" s="415"/>
      <c r="N57" s="415"/>
      <c r="O57" s="415"/>
      <c r="P57" s="419"/>
    </row>
    <row r="58" spans="1:34" ht="4.5" customHeight="1">
      <c r="B58" s="152"/>
      <c r="C58" s="415"/>
      <c r="D58" s="415"/>
      <c r="E58" s="415"/>
      <c r="F58" s="415"/>
      <c r="G58" s="415"/>
      <c r="H58" s="415"/>
      <c r="I58" s="415"/>
      <c r="J58" s="415"/>
      <c r="K58" s="415"/>
      <c r="L58" s="415"/>
      <c r="M58" s="415"/>
      <c r="N58" s="415"/>
      <c r="O58" s="415"/>
      <c r="P58" s="419"/>
    </row>
    <row r="59" spans="1:34" ht="15.75">
      <c r="B59" s="152"/>
      <c r="C59" s="61"/>
      <c r="D59" s="61"/>
      <c r="E59" s="61"/>
      <c r="F59" s="119"/>
      <c r="G59" s="364" t="s">
        <v>71</v>
      </c>
      <c r="H59" s="364"/>
      <c r="I59" s="415"/>
      <c r="J59" s="227"/>
      <c r="K59" s="227"/>
      <c r="L59" s="227"/>
      <c r="M59" s="227"/>
      <c r="N59" s="227"/>
      <c r="O59" s="227"/>
      <c r="P59" s="419"/>
    </row>
    <row r="60" spans="1:34" ht="15.75">
      <c r="B60" s="152"/>
      <c r="C60" s="412"/>
      <c r="D60" s="69" t="s">
        <v>815</v>
      </c>
      <c r="E60" s="412"/>
      <c r="F60" s="674">
        <f>1*Unit.MW</f>
        <v>1E-3</v>
      </c>
      <c r="G60" s="615" t="str">
        <f>Preferences.PowerUnits</f>
        <v>GW</v>
      </c>
      <c r="H60" s="616"/>
      <c r="I60" s="415"/>
      <c r="J60" s="227"/>
      <c r="K60" s="227"/>
      <c r="L60" s="227"/>
      <c r="M60" s="227"/>
      <c r="N60" s="227"/>
      <c r="O60" s="227"/>
      <c r="P60" s="419"/>
    </row>
    <row r="61" spans="1:34" ht="15.75">
      <c r="B61" s="152"/>
      <c r="C61" s="413"/>
      <c r="D61" s="414"/>
      <c r="E61" s="414"/>
      <c r="F61" s="675"/>
      <c r="G61" s="264"/>
      <c r="H61" s="264"/>
      <c r="I61" s="415"/>
      <c r="J61" s="115"/>
      <c r="K61" s="115"/>
      <c r="L61" s="115"/>
      <c r="M61" s="115"/>
      <c r="N61" s="115"/>
      <c r="O61" s="115"/>
      <c r="P61" s="419"/>
    </row>
    <row r="62" spans="1:34">
      <c r="B62" s="156"/>
      <c r="C62" s="157"/>
      <c r="D62" s="157"/>
      <c r="E62" s="157"/>
      <c r="F62" s="157"/>
      <c r="G62" s="157"/>
      <c r="H62" s="157"/>
      <c r="I62" s="157"/>
      <c r="J62" s="157"/>
      <c r="K62" s="157"/>
      <c r="L62" s="157"/>
      <c r="M62" s="157"/>
      <c r="N62" s="157"/>
      <c r="O62" s="157"/>
      <c r="P62" s="157"/>
      <c r="Q62" s="35"/>
      <c r="R62" s="529"/>
      <c r="S62" s="529"/>
      <c r="T62" s="529"/>
      <c r="U62" s="529"/>
      <c r="V62" s="529"/>
      <c r="W62" s="529"/>
      <c r="X62" s="529"/>
      <c r="Y62" s="529"/>
      <c r="Z62" s="529"/>
      <c r="AA62" s="529"/>
      <c r="AB62" s="529"/>
      <c r="AC62" s="529"/>
      <c r="AD62" s="529"/>
      <c r="AE62" s="529"/>
      <c r="AF62" s="529"/>
      <c r="AG62" s="35"/>
      <c r="AH62" s="35"/>
    </row>
    <row r="63" spans="1:34">
      <c r="Q63" s="35"/>
      <c r="R63" s="529"/>
      <c r="S63" s="529"/>
      <c r="T63" s="529"/>
      <c r="U63" s="529"/>
      <c r="V63" s="529"/>
      <c r="W63" s="529"/>
      <c r="X63" s="529"/>
      <c r="Y63" s="529"/>
      <c r="Z63" s="529"/>
      <c r="AA63" s="529"/>
      <c r="AB63" s="529"/>
      <c r="AC63" s="529"/>
      <c r="AD63" s="529"/>
      <c r="AE63" s="529"/>
      <c r="AF63" s="529"/>
      <c r="AG63" s="35"/>
      <c r="AH63" s="35"/>
    </row>
    <row r="64" spans="1:34">
      <c r="B64" s="631"/>
      <c r="C64" s="35"/>
      <c r="D64" s="35"/>
      <c r="E64" s="35"/>
      <c r="F64" s="35"/>
      <c r="G64" s="35"/>
      <c r="H64" s="35"/>
      <c r="I64" s="35"/>
      <c r="J64" s="35"/>
      <c r="K64" s="35"/>
      <c r="L64" s="35"/>
      <c r="M64" s="35"/>
      <c r="N64" s="35"/>
      <c r="O64" s="35"/>
      <c r="P64" s="35"/>
    </row>
    <row r="65" spans="2:16" ht="15.75">
      <c r="B65" s="421" t="s">
        <v>270</v>
      </c>
      <c r="C65" s="159"/>
      <c r="D65" s="159"/>
      <c r="E65" s="159"/>
      <c r="F65" s="159"/>
      <c r="G65" s="159"/>
      <c r="H65" s="159"/>
      <c r="I65" s="159"/>
      <c r="J65" s="159"/>
      <c r="K65" s="159"/>
      <c r="L65" s="159"/>
      <c r="M65" s="159"/>
      <c r="N65" s="159"/>
      <c r="O65" s="159"/>
      <c r="P65" s="160"/>
    </row>
    <row r="66" spans="2:16" ht="6" customHeight="1">
      <c r="B66" s="418"/>
      <c r="C66" s="415"/>
      <c r="D66" s="415"/>
      <c r="E66" s="415"/>
      <c r="F66" s="415"/>
      <c r="G66" s="415"/>
      <c r="H66" s="415"/>
      <c r="I66" s="415"/>
      <c r="J66" s="415"/>
      <c r="K66" s="415"/>
      <c r="L66" s="415"/>
      <c r="M66" s="415"/>
      <c r="N66" s="415"/>
      <c r="O66" s="415"/>
      <c r="P66" s="419"/>
    </row>
    <row r="67" spans="2:16">
      <c r="B67" s="418"/>
      <c r="C67" s="416" t="s">
        <v>816</v>
      </c>
      <c r="D67" s="415"/>
      <c r="E67" s="104"/>
      <c r="F67" s="415"/>
      <c r="G67" s="415"/>
      <c r="H67" s="415"/>
      <c r="I67" s="415"/>
      <c r="J67" s="415"/>
      <c r="K67" s="415"/>
      <c r="L67" s="415"/>
      <c r="M67" s="415"/>
      <c r="N67" s="415"/>
      <c r="O67" s="104" t="str">
        <f>Preferences.PowerUnits</f>
        <v>GW</v>
      </c>
      <c r="P67" s="419"/>
    </row>
    <row r="68" spans="2:16" s="51" customFormat="1" ht="6" customHeight="1">
      <c r="B68" s="418"/>
      <c r="C68" s="415"/>
      <c r="D68" s="415"/>
      <c r="E68" s="415"/>
      <c r="F68" s="415"/>
      <c r="G68" s="415"/>
      <c r="H68" s="415"/>
      <c r="I68" s="415"/>
      <c r="J68" s="415"/>
      <c r="K68" s="415"/>
      <c r="L68" s="415"/>
      <c r="M68" s="415"/>
      <c r="N68" s="415"/>
      <c r="O68" s="415"/>
      <c r="P68" s="419"/>
    </row>
    <row r="69" spans="2:16" ht="15.75">
      <c r="B69" s="152"/>
      <c r="C69" s="61" t="s">
        <v>227</v>
      </c>
      <c r="D69" s="61" t="s">
        <v>65</v>
      </c>
      <c r="E69" s="61" t="s">
        <v>156</v>
      </c>
      <c r="F69" s="119">
        <v>2007</v>
      </c>
      <c r="G69" s="120">
        <v>2012</v>
      </c>
      <c r="H69" s="119">
        <v>2017</v>
      </c>
      <c r="I69" s="119">
        <v>2022</v>
      </c>
      <c r="J69" s="119">
        <v>2027</v>
      </c>
      <c r="K69" s="119">
        <v>2032</v>
      </c>
      <c r="L69" s="119">
        <v>2037</v>
      </c>
      <c r="M69" s="119">
        <v>2042</v>
      </c>
      <c r="N69" s="119">
        <v>2047</v>
      </c>
      <c r="O69" s="119">
        <v>2052</v>
      </c>
      <c r="P69" s="419"/>
    </row>
    <row r="70" spans="2:16" ht="15.75">
      <c r="B70" s="152"/>
      <c r="C70" s="411" t="s">
        <v>8</v>
      </c>
      <c r="D70" s="65" t="s">
        <v>280</v>
      </c>
      <c r="E70" s="65"/>
      <c r="F70" s="72">
        <f t="shared" ref="F70:O70" si="13">F37</f>
        <v>0</v>
      </c>
      <c r="G70" s="72">
        <f t="shared" si="13"/>
        <v>0</v>
      </c>
      <c r="H70" s="72">
        <f t="shared" si="13"/>
        <v>0</v>
      </c>
      <c r="I70" s="72">
        <f t="shared" si="13"/>
        <v>0.5</v>
      </c>
      <c r="J70" s="72">
        <f t="shared" si="13"/>
        <v>1</v>
      </c>
      <c r="K70" s="72">
        <f t="shared" si="13"/>
        <v>1.5</v>
      </c>
      <c r="L70" s="72">
        <f t="shared" si="13"/>
        <v>2.5</v>
      </c>
      <c r="M70" s="72">
        <f t="shared" si="13"/>
        <v>3.5</v>
      </c>
      <c r="N70" s="72">
        <f t="shared" si="13"/>
        <v>4</v>
      </c>
      <c r="O70" s="72">
        <f t="shared" si="13"/>
        <v>4</v>
      </c>
      <c r="P70" s="419"/>
    </row>
    <row r="71" spans="2:16" ht="15.75">
      <c r="B71" s="152"/>
      <c r="C71" s="413"/>
      <c r="D71" s="414"/>
      <c r="E71" s="414"/>
      <c r="F71" s="98"/>
      <c r="G71" s="98"/>
      <c r="H71" s="98"/>
      <c r="I71" s="98"/>
      <c r="J71" s="98"/>
      <c r="K71" s="98"/>
      <c r="L71" s="98"/>
      <c r="M71" s="98"/>
      <c r="N71" s="98"/>
      <c r="O71" s="98"/>
      <c r="P71" s="419"/>
    </row>
    <row r="72" spans="2:16" ht="15.75">
      <c r="B72" s="152"/>
      <c r="C72" s="416" t="s">
        <v>1872</v>
      </c>
      <c r="D72" s="414"/>
      <c r="E72" s="414"/>
      <c r="F72" s="115"/>
      <c r="G72" s="115"/>
      <c r="H72" s="115"/>
      <c r="I72" s="115"/>
      <c r="J72" s="115"/>
      <c r="K72" s="115"/>
      <c r="L72" s="115"/>
      <c r="M72" s="115"/>
      <c r="N72" s="115"/>
      <c r="O72" s="115"/>
      <c r="P72" s="419"/>
    </row>
    <row r="73" spans="2:16" ht="15.75">
      <c r="B73" s="152"/>
      <c r="C73" s="61" t="s">
        <v>227</v>
      </c>
      <c r="D73" s="61" t="s">
        <v>65</v>
      </c>
      <c r="E73" s="61" t="s">
        <v>156</v>
      </c>
      <c r="F73" s="119">
        <v>2007</v>
      </c>
      <c r="G73" s="120">
        <f>F73+5</f>
        <v>2012</v>
      </c>
      <c r="H73" s="120">
        <f t="shared" ref="H73:O73" si="14">G73+5</f>
        <v>2017</v>
      </c>
      <c r="I73" s="120">
        <f t="shared" si="14"/>
        <v>2022</v>
      </c>
      <c r="J73" s="120">
        <f t="shared" si="14"/>
        <v>2027</v>
      </c>
      <c r="K73" s="120">
        <f t="shared" si="14"/>
        <v>2032</v>
      </c>
      <c r="L73" s="120">
        <f t="shared" si="14"/>
        <v>2037</v>
      </c>
      <c r="M73" s="120">
        <f t="shared" si="14"/>
        <v>2042</v>
      </c>
      <c r="N73" s="120">
        <f t="shared" si="14"/>
        <v>2047</v>
      </c>
      <c r="O73" s="120">
        <f t="shared" si="14"/>
        <v>2052</v>
      </c>
      <c r="P73" s="419"/>
    </row>
    <row r="74" spans="2:16" ht="15.75">
      <c r="B74" s="152"/>
      <c r="C74" s="2431" t="s">
        <v>8</v>
      </c>
      <c r="D74" s="2431" t="str">
        <f>INDEX(Vectors[Description], MATCH($C74, Vectors[Code], 0))</f>
        <v>Wind</v>
      </c>
      <c r="E74" s="2431"/>
      <c r="F74" s="2434">
        <f t="shared" ref="F74:O74" si="15">F47</f>
        <v>0.33</v>
      </c>
      <c r="G74" s="2434">
        <f t="shared" si="15"/>
        <v>0.33</v>
      </c>
      <c r="H74" s="2434">
        <f t="shared" si="15"/>
        <v>0.33</v>
      </c>
      <c r="I74" s="2434">
        <f t="shared" si="15"/>
        <v>0.33</v>
      </c>
      <c r="J74" s="2434">
        <f t="shared" si="15"/>
        <v>0.34499999999999997</v>
      </c>
      <c r="K74" s="2434">
        <f t="shared" si="15"/>
        <v>0.34999999999999992</v>
      </c>
      <c r="L74" s="2434">
        <f t="shared" si="15"/>
        <v>0.35799999999999998</v>
      </c>
      <c r="M74" s="2434">
        <f t="shared" si="15"/>
        <v>0.36428571428571427</v>
      </c>
      <c r="N74" s="2434">
        <f t="shared" si="15"/>
        <v>0.36749999999999999</v>
      </c>
      <c r="O74" s="2434">
        <f t="shared" si="15"/>
        <v>0.375</v>
      </c>
      <c r="P74" s="419"/>
    </row>
    <row r="75" spans="2:16">
      <c r="B75" s="155"/>
      <c r="C75" s="413"/>
      <c r="D75" s="414"/>
      <c r="E75" s="414"/>
      <c r="F75" s="677"/>
      <c r="G75" s="678"/>
      <c r="H75" s="678"/>
      <c r="I75" s="678"/>
      <c r="J75" s="678"/>
      <c r="K75" s="678"/>
      <c r="L75" s="678"/>
      <c r="M75" s="678"/>
      <c r="N75" s="678"/>
      <c r="O75" s="678"/>
      <c r="P75" s="419"/>
    </row>
    <row r="76" spans="2:16" ht="15.75">
      <c r="B76" s="89"/>
    </row>
    <row r="77" spans="2:16">
      <c r="B77" s="19" t="s">
        <v>279</v>
      </c>
      <c r="C77" s="88"/>
      <c r="F77" s="423">
        <v>2007</v>
      </c>
      <c r="G77" s="423">
        <v>2012</v>
      </c>
      <c r="H77" s="423">
        <v>2017</v>
      </c>
      <c r="I77" s="423">
        <v>2022</v>
      </c>
      <c r="J77" s="423">
        <v>2027</v>
      </c>
      <c r="K77" s="423">
        <v>2032</v>
      </c>
      <c r="L77" s="423">
        <v>2037</v>
      </c>
      <c r="M77" s="423">
        <v>2042</v>
      </c>
      <c r="N77" s="423">
        <v>2047</v>
      </c>
      <c r="O77" s="423">
        <v>2052</v>
      </c>
    </row>
    <row r="78" spans="2:16">
      <c r="C78" s="423" t="s">
        <v>795</v>
      </c>
      <c r="E78" s="2331" t="str">
        <f>Preferences.PowerUnits</f>
        <v>GW</v>
      </c>
      <c r="F78" s="22">
        <f t="shared" ref="F78:O78" si="16">F$70</f>
        <v>0</v>
      </c>
      <c r="G78" s="22">
        <f t="shared" si="16"/>
        <v>0</v>
      </c>
      <c r="H78" s="22">
        <f t="shared" si="16"/>
        <v>0</v>
      </c>
      <c r="I78" s="22">
        <f t="shared" si="16"/>
        <v>0.5</v>
      </c>
      <c r="J78" s="22">
        <f t="shared" si="16"/>
        <v>1</v>
      </c>
      <c r="K78" s="22">
        <f t="shared" si="16"/>
        <v>1.5</v>
      </c>
      <c r="L78" s="22">
        <f t="shared" si="16"/>
        <v>2.5</v>
      </c>
      <c r="M78" s="22">
        <f t="shared" si="16"/>
        <v>3.5</v>
      </c>
      <c r="N78" s="22">
        <f t="shared" si="16"/>
        <v>4</v>
      </c>
      <c r="O78" s="22">
        <f t="shared" si="16"/>
        <v>4</v>
      </c>
    </row>
    <row r="79" spans="2:16">
      <c r="B79" s="2331" t="s">
        <v>796</v>
      </c>
      <c r="C79" s="2331" t="s">
        <v>797</v>
      </c>
      <c r="E79" s="2331" t="s">
        <v>277</v>
      </c>
      <c r="F79" s="15">
        <f>F74</f>
        <v>0.33</v>
      </c>
      <c r="G79" s="15">
        <f t="shared" ref="G79:O79" si="17">G74</f>
        <v>0.33</v>
      </c>
      <c r="H79" s="15">
        <f t="shared" si="17"/>
        <v>0.33</v>
      </c>
      <c r="I79" s="15">
        <f t="shared" si="17"/>
        <v>0.33</v>
      </c>
      <c r="J79" s="15">
        <f t="shared" si="17"/>
        <v>0.34499999999999997</v>
      </c>
      <c r="K79" s="15">
        <f t="shared" si="17"/>
        <v>0.34999999999999992</v>
      </c>
      <c r="L79" s="15">
        <f t="shared" si="17"/>
        <v>0.35799999999999998</v>
      </c>
      <c r="M79" s="15">
        <f t="shared" si="17"/>
        <v>0.36428571428571427</v>
      </c>
      <c r="N79" s="15">
        <f t="shared" si="17"/>
        <v>0.36749999999999999</v>
      </c>
      <c r="O79" s="15">
        <f t="shared" si="17"/>
        <v>0.375</v>
      </c>
    </row>
    <row r="80" spans="2:16">
      <c r="B80" s="88" t="s">
        <v>276</v>
      </c>
      <c r="C80" s="423" t="s">
        <v>798</v>
      </c>
      <c r="E80" s="2331" t="str">
        <f>Preferences.PowerUnits</f>
        <v>GW</v>
      </c>
      <c r="F80" s="73">
        <f t="shared" ref="F80:O80" si="18">F78*F79</f>
        <v>0</v>
      </c>
      <c r="G80" s="73">
        <f t="shared" si="18"/>
        <v>0</v>
      </c>
      <c r="H80" s="73">
        <f t="shared" si="18"/>
        <v>0</v>
      </c>
      <c r="I80" s="73">
        <f t="shared" si="18"/>
        <v>0.16500000000000001</v>
      </c>
      <c r="J80" s="73">
        <f t="shared" si="18"/>
        <v>0.34499999999999997</v>
      </c>
      <c r="K80" s="73">
        <f t="shared" si="18"/>
        <v>0.52499999999999991</v>
      </c>
      <c r="L80" s="73">
        <f t="shared" si="18"/>
        <v>0.89500000000000002</v>
      </c>
      <c r="M80" s="73">
        <f t="shared" si="18"/>
        <v>1.2749999999999999</v>
      </c>
      <c r="N80" s="73">
        <f t="shared" si="18"/>
        <v>1.47</v>
      </c>
      <c r="O80" s="73">
        <f t="shared" si="18"/>
        <v>1.5</v>
      </c>
    </row>
    <row r="81" spans="2:34">
      <c r="C81" s="423" t="s">
        <v>799</v>
      </c>
      <c r="E81" s="2331" t="str">
        <f>preferences.energyunits</f>
        <v>TWh</v>
      </c>
      <c r="F81" s="73">
        <f t="shared" ref="F81:O81" si="19">F80*Preferences.Unit.Power*Unit.year/Preferences.Unit.Energy</f>
        <v>0</v>
      </c>
      <c r="G81" s="73">
        <f t="shared" si="19"/>
        <v>0</v>
      </c>
      <c r="H81" s="73">
        <f t="shared" si="19"/>
        <v>0</v>
      </c>
      <c r="I81" s="73">
        <f t="shared" si="19"/>
        <v>1.4463900000000003</v>
      </c>
      <c r="J81" s="73">
        <f t="shared" si="19"/>
        <v>3.02427</v>
      </c>
      <c r="K81" s="73">
        <f t="shared" si="19"/>
        <v>4.6021499999999991</v>
      </c>
      <c r="L81" s="73">
        <f t="shared" si="19"/>
        <v>7.8455700000000004</v>
      </c>
      <c r="M81" s="73">
        <f t="shared" si="19"/>
        <v>11.176649999999999</v>
      </c>
      <c r="N81" s="73">
        <f t="shared" si="19"/>
        <v>12.88602</v>
      </c>
      <c r="O81" s="73">
        <f t="shared" si="19"/>
        <v>13.148999999999999</v>
      </c>
    </row>
    <row r="82" spans="2:34">
      <c r="C82" s="423"/>
      <c r="F82" s="73"/>
      <c r="G82" s="73"/>
      <c r="H82" s="73"/>
      <c r="I82" s="73"/>
      <c r="J82" s="73"/>
      <c r="K82" s="73"/>
      <c r="L82" s="73"/>
      <c r="M82" s="73"/>
      <c r="N82" s="73"/>
      <c r="O82" s="73"/>
    </row>
    <row r="83" spans="2:34">
      <c r="Q83" s="35"/>
      <c r="R83" s="35"/>
      <c r="S83" s="35"/>
      <c r="T83" s="35"/>
      <c r="U83" s="35"/>
      <c r="V83" s="35"/>
    </row>
    <row r="84" spans="2:34">
      <c r="B84" s="2865"/>
    </row>
    <row r="85" spans="2:34" ht="15.75">
      <c r="B85" s="206" t="s">
        <v>202</v>
      </c>
      <c r="C85" s="175"/>
      <c r="D85" s="175"/>
      <c r="E85" s="175"/>
      <c r="F85" s="175"/>
      <c r="G85" s="175"/>
      <c r="H85" s="175"/>
      <c r="I85" s="175"/>
      <c r="J85" s="175"/>
      <c r="K85" s="175"/>
      <c r="L85" s="175"/>
      <c r="M85" s="175"/>
      <c r="N85" s="175"/>
      <c r="O85" s="175"/>
      <c r="P85" s="177"/>
    </row>
    <row r="86" spans="2:34" ht="5.25" customHeight="1">
      <c r="B86" s="164"/>
      <c r="C86" s="166"/>
      <c r="D86" s="166"/>
      <c r="E86" s="166"/>
      <c r="F86" s="166"/>
      <c r="G86" s="166"/>
      <c r="H86" s="166"/>
      <c r="I86" s="166"/>
      <c r="J86" s="166"/>
      <c r="K86" s="166"/>
      <c r="L86" s="166"/>
      <c r="M86" s="166"/>
      <c r="N86" s="166"/>
      <c r="O86" s="166"/>
      <c r="P86" s="168"/>
    </row>
    <row r="87" spans="2:34">
      <c r="B87" s="164"/>
      <c r="C87" s="178" t="s">
        <v>239</v>
      </c>
      <c r="D87" s="166"/>
      <c r="E87" s="167"/>
      <c r="F87" s="166"/>
      <c r="G87" s="166"/>
      <c r="H87" s="166"/>
      <c r="I87" s="166"/>
      <c r="J87" s="166"/>
      <c r="K87" s="166"/>
      <c r="L87" s="166"/>
      <c r="M87" s="166"/>
      <c r="N87" s="166"/>
      <c r="O87" s="679" t="str">
        <f>preferences.energyunits</f>
        <v>TWh</v>
      </c>
      <c r="P87" s="168"/>
      <c r="X87" s="242"/>
      <c r="Y87" s="242"/>
      <c r="Z87" s="242"/>
      <c r="AA87" s="242"/>
      <c r="AB87" s="242"/>
      <c r="AC87" s="242"/>
      <c r="AD87" s="242"/>
      <c r="AE87" s="242"/>
      <c r="AF87" s="242"/>
      <c r="AG87" s="242"/>
      <c r="AH87" s="242"/>
    </row>
    <row r="88" spans="2:34" ht="5.25" customHeight="1">
      <c r="B88" s="164"/>
      <c r="C88" s="166"/>
      <c r="D88" s="166"/>
      <c r="E88" s="166"/>
      <c r="F88" s="166"/>
      <c r="G88" s="166"/>
      <c r="H88" s="166"/>
      <c r="I88" s="166"/>
      <c r="J88" s="166"/>
      <c r="K88" s="166"/>
      <c r="L88" s="166"/>
      <c r="M88" s="166"/>
      <c r="N88" s="166"/>
      <c r="O88" s="166"/>
      <c r="P88" s="168"/>
      <c r="X88" s="242"/>
      <c r="Y88" s="242"/>
      <c r="Z88" s="242"/>
      <c r="AA88" s="242"/>
      <c r="AB88" s="242"/>
      <c r="AC88" s="242"/>
      <c r="AD88" s="242"/>
      <c r="AE88" s="242"/>
      <c r="AF88" s="242"/>
      <c r="AG88" s="242"/>
      <c r="AH88" s="242"/>
    </row>
    <row r="89" spans="2:34" ht="15.75">
      <c r="B89" s="169"/>
      <c r="C89" s="180" t="s">
        <v>64</v>
      </c>
      <c r="D89" s="180" t="s">
        <v>137</v>
      </c>
      <c r="E89" s="180" t="s">
        <v>156</v>
      </c>
      <c r="F89" s="423" t="s">
        <v>203</v>
      </c>
      <c r="G89" s="423" t="s">
        <v>712</v>
      </c>
      <c r="H89" s="423" t="s">
        <v>713</v>
      </c>
      <c r="I89" s="423" t="s">
        <v>714</v>
      </c>
      <c r="J89" s="423" t="s">
        <v>715</v>
      </c>
      <c r="K89" s="423" t="s">
        <v>716</v>
      </c>
      <c r="L89" s="423" t="s">
        <v>717</v>
      </c>
      <c r="M89" s="423" t="s">
        <v>718</v>
      </c>
      <c r="N89" s="423" t="s">
        <v>719</v>
      </c>
      <c r="O89" s="423" t="s">
        <v>720</v>
      </c>
      <c r="P89" s="168"/>
      <c r="X89" s="242"/>
      <c r="Y89" s="242"/>
      <c r="Z89" s="242"/>
      <c r="AA89" s="242"/>
      <c r="AB89" s="242"/>
      <c r="AC89" s="242"/>
      <c r="AD89" s="242"/>
      <c r="AE89" s="242"/>
      <c r="AF89" s="242"/>
      <c r="AG89" s="242"/>
      <c r="AH89" s="242"/>
    </row>
    <row r="90" spans="2:34" ht="15.75">
      <c r="B90" s="169"/>
      <c r="C90" s="60" t="s">
        <v>35</v>
      </c>
      <c r="D90" s="60" t="str">
        <f>INDEX(Vectors[Description], MATCH([Vector],Vectors[Code], 0))</f>
        <v>Electricity (supplied to grid)</v>
      </c>
      <c r="E90" s="60"/>
      <c r="F90" s="129">
        <f t="shared" ref="F90:O90" si="20">F$81</f>
        <v>0</v>
      </c>
      <c r="G90" s="129">
        <f t="shared" si="20"/>
        <v>0</v>
      </c>
      <c r="H90" s="129">
        <f t="shared" si="20"/>
        <v>0</v>
      </c>
      <c r="I90" s="129">
        <f t="shared" si="20"/>
        <v>1.4463900000000003</v>
      </c>
      <c r="J90" s="129">
        <f t="shared" si="20"/>
        <v>3.02427</v>
      </c>
      <c r="K90" s="129">
        <f t="shared" si="20"/>
        <v>4.6021499999999991</v>
      </c>
      <c r="L90" s="129">
        <f t="shared" si="20"/>
        <v>7.8455700000000004</v>
      </c>
      <c r="M90" s="129">
        <f t="shared" si="20"/>
        <v>11.176649999999999</v>
      </c>
      <c r="N90" s="129">
        <f t="shared" si="20"/>
        <v>12.88602</v>
      </c>
      <c r="O90" s="129">
        <f t="shared" si="20"/>
        <v>13.148999999999999</v>
      </c>
      <c r="P90" s="168"/>
      <c r="X90" s="242"/>
      <c r="Y90" s="242"/>
      <c r="Z90" s="242"/>
      <c r="AA90" s="242"/>
      <c r="AB90" s="242"/>
      <c r="AC90" s="242"/>
      <c r="AD90" s="242"/>
      <c r="AE90" s="242"/>
      <c r="AF90" s="242"/>
      <c r="AG90" s="242"/>
      <c r="AH90" s="242"/>
    </row>
    <row r="91" spans="2:34" ht="15.75">
      <c r="B91" s="169"/>
      <c r="C91" s="60" t="s">
        <v>8</v>
      </c>
      <c r="D91" s="60" t="str">
        <f>INDEX(Vectors[Description], MATCH([Vector],Vectors[Code], 0))</f>
        <v>Wind</v>
      </c>
      <c r="E91" s="60"/>
      <c r="F91" s="129">
        <f t="shared" ref="F91:O91" si="21">-F$81</f>
        <v>0</v>
      </c>
      <c r="G91" s="129">
        <f t="shared" si="21"/>
        <v>0</v>
      </c>
      <c r="H91" s="129">
        <f t="shared" si="21"/>
        <v>0</v>
      </c>
      <c r="I91" s="129">
        <f t="shared" si="21"/>
        <v>-1.4463900000000003</v>
      </c>
      <c r="J91" s="129">
        <f t="shared" si="21"/>
        <v>-3.02427</v>
      </c>
      <c r="K91" s="129">
        <f t="shared" si="21"/>
        <v>-4.6021499999999991</v>
      </c>
      <c r="L91" s="129">
        <f t="shared" si="21"/>
        <v>-7.8455700000000004</v>
      </c>
      <c r="M91" s="129">
        <f t="shared" si="21"/>
        <v>-11.176649999999999</v>
      </c>
      <c r="N91" s="129">
        <f t="shared" si="21"/>
        <v>-12.88602</v>
      </c>
      <c r="O91" s="129">
        <f t="shared" si="21"/>
        <v>-13.148999999999999</v>
      </c>
      <c r="P91" s="168"/>
      <c r="X91" s="242"/>
      <c r="Y91" s="242"/>
      <c r="Z91" s="242"/>
      <c r="AA91" s="242"/>
      <c r="AB91" s="242"/>
      <c r="AC91" s="242"/>
      <c r="AD91" s="242"/>
      <c r="AE91" s="242"/>
      <c r="AF91" s="242"/>
      <c r="AG91" s="242"/>
      <c r="AH91" s="242"/>
    </row>
    <row r="92" spans="2:34" ht="15.75">
      <c r="B92" s="169"/>
      <c r="C92" s="60" t="s">
        <v>103</v>
      </c>
      <c r="D92" s="60"/>
      <c r="E92" s="60"/>
      <c r="F92" s="2312">
        <f>SUBTOTAL(109,[2007])</f>
        <v>0</v>
      </c>
      <c r="G92" s="2312">
        <f>SUBTOTAL(109,[2012])</f>
        <v>0</v>
      </c>
      <c r="H92" s="2312">
        <f>SUBTOTAL(109,[2017])</f>
        <v>0</v>
      </c>
      <c r="I92" s="2312">
        <f>SUBTOTAL(109,[2022])</f>
        <v>0</v>
      </c>
      <c r="J92" s="2312">
        <f>SUBTOTAL(109,[2027])</f>
        <v>0</v>
      </c>
      <c r="K92" s="2312">
        <f>SUBTOTAL(109,[2032])</f>
        <v>0</v>
      </c>
      <c r="L92" s="2312">
        <f>SUBTOTAL(109,[2037])</f>
        <v>0</v>
      </c>
      <c r="M92" s="2312">
        <f>SUBTOTAL(109,[2042])</f>
        <v>0</v>
      </c>
      <c r="N92" s="2312">
        <f>SUBTOTAL(109,[2047])</f>
        <v>0</v>
      </c>
      <c r="O92" s="2312">
        <f>SUBTOTAL(109,[2052])</f>
        <v>0</v>
      </c>
      <c r="P92" s="168"/>
      <c r="X92" s="242"/>
      <c r="Y92" s="242"/>
      <c r="Z92" s="242"/>
      <c r="AA92" s="242"/>
      <c r="AB92" s="242"/>
      <c r="AC92" s="242"/>
      <c r="AD92" s="242"/>
      <c r="AE92" s="242"/>
      <c r="AF92" s="242"/>
      <c r="AG92" s="242"/>
      <c r="AH92" s="242"/>
    </row>
    <row r="93" spans="2:34" ht="15.75">
      <c r="B93" s="170"/>
      <c r="C93" s="171"/>
      <c r="D93" s="171"/>
      <c r="E93" s="171"/>
      <c r="F93" s="171"/>
      <c r="G93" s="171"/>
      <c r="H93" s="171"/>
      <c r="I93" s="171"/>
      <c r="J93" s="171"/>
      <c r="K93" s="171"/>
      <c r="L93" s="171"/>
      <c r="M93" s="171"/>
      <c r="N93" s="171"/>
      <c r="O93" s="171"/>
      <c r="P93" s="173"/>
      <c r="X93" s="242"/>
      <c r="Y93" s="242"/>
      <c r="Z93" s="242"/>
      <c r="AA93" s="242"/>
      <c r="AB93" s="242"/>
      <c r="AC93" s="242"/>
      <c r="AD93" s="242"/>
      <c r="AE93" s="242"/>
      <c r="AF93" s="242"/>
      <c r="AG93" s="242"/>
      <c r="AH93" s="242"/>
    </row>
    <row r="94" spans="2:34">
      <c r="X94" s="242"/>
      <c r="Y94" s="242"/>
      <c r="Z94" s="242"/>
      <c r="AA94" s="242"/>
      <c r="AB94" s="242"/>
      <c r="AC94" s="242"/>
      <c r="AD94" s="242"/>
      <c r="AE94" s="242"/>
      <c r="AF94" s="242"/>
      <c r="AG94" s="242"/>
      <c r="AH94" s="242"/>
    </row>
    <row r="95" spans="2:34" ht="15.75">
      <c r="B95" s="424" t="s">
        <v>501</v>
      </c>
      <c r="C95" s="346"/>
      <c r="D95" s="2990" t="s">
        <v>2333</v>
      </c>
      <c r="E95" s="425"/>
      <c r="F95" s="425"/>
      <c r="G95" s="425"/>
      <c r="H95" s="425"/>
      <c r="I95" s="425"/>
      <c r="J95" s="425"/>
      <c r="K95" s="425"/>
      <c r="L95" s="425"/>
      <c r="M95" s="425"/>
      <c r="N95" s="425"/>
      <c r="O95" s="425"/>
      <c r="P95" s="426"/>
      <c r="X95" s="242"/>
      <c r="Y95" s="242"/>
      <c r="Z95" s="242"/>
      <c r="AA95" s="242"/>
      <c r="AB95" s="242"/>
      <c r="AC95" s="242"/>
      <c r="AD95" s="242"/>
      <c r="AE95" s="242"/>
      <c r="AF95" s="242"/>
      <c r="AG95" s="242"/>
      <c r="AH95" s="242"/>
    </row>
    <row r="96" spans="2:34" ht="6" customHeight="1">
      <c r="B96" s="347"/>
      <c r="C96" s="348"/>
      <c r="D96" s="348"/>
      <c r="E96" s="348"/>
      <c r="F96" s="348"/>
      <c r="G96" s="348"/>
      <c r="H96" s="348"/>
      <c r="I96" s="348"/>
      <c r="J96" s="348"/>
      <c r="K96" s="348"/>
      <c r="L96" s="348"/>
      <c r="M96" s="348"/>
      <c r="N96" s="348"/>
      <c r="O96" s="348"/>
      <c r="P96" s="349"/>
      <c r="X96" s="242"/>
      <c r="Y96" s="242"/>
      <c r="Z96" s="242"/>
      <c r="AA96" s="242"/>
      <c r="AB96" s="242"/>
      <c r="AC96" s="242"/>
      <c r="AD96" s="242"/>
      <c r="AE96" s="242"/>
      <c r="AF96" s="242"/>
      <c r="AG96" s="242"/>
      <c r="AH96" s="242"/>
    </row>
    <row r="97" spans="1:34">
      <c r="B97" s="427"/>
      <c r="C97" s="350" t="s">
        <v>506</v>
      </c>
      <c r="D97" s="428"/>
      <c r="E97" s="351"/>
      <c r="F97" s="428"/>
      <c r="G97" s="351"/>
      <c r="H97" s="428"/>
      <c r="I97" s="428"/>
      <c r="J97" s="428"/>
      <c r="K97" s="428"/>
      <c r="L97" s="428"/>
      <c r="M97" s="428"/>
      <c r="N97" s="428"/>
      <c r="O97" s="351"/>
      <c r="P97" s="429"/>
      <c r="X97" s="242"/>
      <c r="Y97" s="242"/>
      <c r="Z97" s="242"/>
      <c r="AA97" s="242"/>
      <c r="AB97" s="242"/>
      <c r="AC97" s="242"/>
      <c r="AD97" s="242"/>
      <c r="AE97" s="242"/>
      <c r="AF97" s="242"/>
      <c r="AG97" s="242"/>
      <c r="AH97" s="242"/>
    </row>
    <row r="98" spans="1:34" ht="4.5" customHeight="1">
      <c r="B98" s="427"/>
      <c r="C98" s="428"/>
      <c r="D98" s="428"/>
      <c r="E98" s="428"/>
      <c r="F98" s="428"/>
      <c r="G98" s="428"/>
      <c r="H98" s="428"/>
      <c r="I98" s="428"/>
      <c r="J98" s="428"/>
      <c r="K98" s="428"/>
      <c r="L98" s="428"/>
      <c r="M98" s="428"/>
      <c r="N98" s="428"/>
      <c r="O98" s="428"/>
      <c r="P98" s="429"/>
      <c r="X98" s="242"/>
      <c r="Y98" s="242"/>
      <c r="Z98" s="242"/>
      <c r="AA98" s="242"/>
      <c r="AB98" s="242"/>
      <c r="AC98" s="242"/>
      <c r="AD98" s="242"/>
      <c r="AE98" s="242"/>
      <c r="AF98" s="242"/>
      <c r="AG98" s="242"/>
      <c r="AH98" s="242"/>
    </row>
    <row r="99" spans="1:34" ht="17.25" customHeight="1">
      <c r="B99" s="430"/>
      <c r="C99" s="2880" t="s">
        <v>64</v>
      </c>
      <c r="D99" s="2880" t="s">
        <v>502</v>
      </c>
      <c r="E99" s="2880" t="s">
        <v>156</v>
      </c>
      <c r="F99" s="2881" t="s">
        <v>203</v>
      </c>
      <c r="G99" s="2881" t="s">
        <v>712</v>
      </c>
      <c r="H99" s="2881" t="s">
        <v>713</v>
      </c>
      <c r="I99" s="2881" t="s">
        <v>714</v>
      </c>
      <c r="J99" s="2881" t="s">
        <v>715</v>
      </c>
      <c r="K99" s="2881" t="s">
        <v>716</v>
      </c>
      <c r="L99" s="2881" t="s">
        <v>717</v>
      </c>
      <c r="M99" s="2881" t="s">
        <v>718</v>
      </c>
      <c r="N99" s="2881" t="s">
        <v>719</v>
      </c>
      <c r="O99" s="2881" t="s">
        <v>720</v>
      </c>
      <c r="P99" s="429"/>
      <c r="X99" s="242"/>
      <c r="Y99" s="242"/>
      <c r="Z99" s="242"/>
      <c r="AA99" s="242"/>
      <c r="AB99" s="242"/>
      <c r="AC99" s="242"/>
      <c r="AD99" s="242"/>
      <c r="AE99" s="242"/>
      <c r="AF99" s="242"/>
      <c r="AG99" s="242"/>
      <c r="AH99" s="242"/>
    </row>
    <row r="100" spans="1:34" ht="22.5" collapsed="1">
      <c r="A100" s="420"/>
      <c r="B100" s="430"/>
      <c r="C100" s="2397" t="s">
        <v>508</v>
      </c>
      <c r="D100" s="2397" t="str">
        <f>INDEX(Vectors[Description], MATCH(IV.c.2!$C$100:$C$101,Vectors[Code], 0))</f>
        <v xml:space="preserve">Installed Capacity </v>
      </c>
      <c r="E100" s="1349" t="str">
        <f>Preferences.PowerUnits</f>
        <v>GW</v>
      </c>
      <c r="F100" s="2877">
        <f>0</f>
        <v>0</v>
      </c>
      <c r="G100" s="2877">
        <f t="shared" ref="G100:O100" si="22">G70</f>
        <v>0</v>
      </c>
      <c r="H100" s="2877">
        <f t="shared" si="22"/>
        <v>0</v>
      </c>
      <c r="I100" s="2877">
        <f t="shared" si="22"/>
        <v>0.5</v>
      </c>
      <c r="J100" s="2877">
        <f t="shared" si="22"/>
        <v>1</v>
      </c>
      <c r="K100" s="2877">
        <f t="shared" si="22"/>
        <v>1.5</v>
      </c>
      <c r="L100" s="2877">
        <f t="shared" si="22"/>
        <v>2.5</v>
      </c>
      <c r="M100" s="2877">
        <f t="shared" si="22"/>
        <v>3.5</v>
      </c>
      <c r="N100" s="2877">
        <f t="shared" si="22"/>
        <v>4</v>
      </c>
      <c r="O100" s="2877">
        <f t="shared" si="22"/>
        <v>4</v>
      </c>
      <c r="P100" s="429"/>
      <c r="X100" s="242"/>
      <c r="Y100" s="242"/>
      <c r="Z100" s="242"/>
      <c r="AA100" s="242"/>
      <c r="AB100" s="242"/>
      <c r="AC100" s="242"/>
      <c r="AD100" s="242"/>
      <c r="AE100" s="242"/>
      <c r="AF100" s="242"/>
      <c r="AG100" s="242"/>
      <c r="AH100" s="242"/>
    </row>
    <row r="101" spans="1:34" ht="15.75">
      <c r="B101" s="355"/>
      <c r="C101" s="2878" t="s">
        <v>511</v>
      </c>
      <c r="D101" s="2878" t="str">
        <f>INDEX(Vectors[Description], MATCH(IV.c.2!$C$100:$C$101,Vectors[Code], 0))</f>
        <v>India Sea area</v>
      </c>
      <c r="E101" s="2879" t="str">
        <f>Preferences.AreaUnits</f>
        <v>ha</v>
      </c>
      <c r="F101" s="2398"/>
      <c r="G101" s="2398"/>
      <c r="H101" s="2398"/>
      <c r="I101" s="2398"/>
      <c r="J101" s="2398"/>
      <c r="K101" s="2398"/>
      <c r="L101" s="2398"/>
      <c r="M101" s="2398"/>
      <c r="N101" s="2398"/>
      <c r="O101" s="2398"/>
      <c r="P101" s="352"/>
    </row>
    <row r="102" spans="1:34" ht="6" customHeight="1">
      <c r="B102" s="2647"/>
      <c r="C102" s="434"/>
      <c r="D102" s="434"/>
      <c r="E102" s="434"/>
      <c r="F102" s="434"/>
      <c r="G102" s="434"/>
      <c r="H102" s="434"/>
      <c r="I102" s="434"/>
      <c r="J102" s="434"/>
      <c r="K102" s="434"/>
      <c r="L102" s="434"/>
      <c r="M102" s="434"/>
      <c r="N102" s="434"/>
      <c r="O102" s="434"/>
    </row>
    <row r="103" spans="1:34" ht="15.75">
      <c r="A103" s="3"/>
      <c r="P103" s="426"/>
    </row>
    <row r="107" spans="1:34" ht="22.5" customHeight="1"/>
    <row r="109" spans="1:34" ht="15.75" customHeight="1"/>
    <row r="110" spans="1:34" ht="5.25" customHeight="1"/>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sheetPr>
    <tabColor theme="9"/>
    <outlinePr summaryBelow="0"/>
    <pageSetUpPr autoPageBreaks="0"/>
  </sheetPr>
  <dimension ref="A1:DJ172"/>
  <sheetViews>
    <sheetView showGridLines="0" topLeftCell="E30" zoomScale="85" zoomScaleNormal="85" zoomScalePageLayoutView="85" workbookViewId="0">
      <selection activeCell="M41" sqref="M41"/>
    </sheetView>
  </sheetViews>
  <sheetFormatPr defaultColWidth="8.85546875" defaultRowHeight="12.75"/>
  <cols>
    <col min="1" max="1" width="7.7109375" style="2331" customWidth="1"/>
    <col min="2" max="2" width="5.85546875" style="2331" customWidth="1"/>
    <col min="3" max="3" width="20.42578125" style="2331" customWidth="1"/>
    <col min="4" max="4" width="30.7109375" style="2331" customWidth="1"/>
    <col min="5" max="5" width="20.7109375" style="2331" customWidth="1"/>
    <col min="6" max="15" width="17.7109375" style="2331" customWidth="1"/>
    <col min="16" max="16" width="2" style="2331" customWidth="1"/>
    <col min="17" max="17" width="10.85546875" style="2331" customWidth="1"/>
    <col min="18" max="16384" width="8.85546875" style="2331"/>
  </cols>
  <sheetData>
    <row r="1" spans="1:18" ht="21">
      <c r="A1" s="77" t="s">
        <v>63</v>
      </c>
      <c r="B1" s="77" t="str">
        <f>INDEX(Workstreams[Workstream], MATCH($A1, Workstreams[Code], 0))</f>
        <v>National  renewable power generation</v>
      </c>
      <c r="C1" s="77"/>
    </row>
    <row r="2" spans="1:18" s="51" customFormat="1" ht="19.5" customHeight="1">
      <c r="A2" s="6" t="s">
        <v>1073</v>
      </c>
      <c r="B2" s="6" t="str">
        <f>INDEX(Modules[Module], MATCH($A2, Modules[Code], 0))</f>
        <v>Small Hydro</v>
      </c>
      <c r="C2" s="6"/>
      <c r="E2" s="404"/>
    </row>
    <row r="4" spans="1:18" ht="22.5" collapsed="1">
      <c r="A4" s="420"/>
      <c r="B4" s="206" t="s">
        <v>412</v>
      </c>
      <c r="C4" s="175"/>
      <c r="D4" s="175"/>
      <c r="E4" s="175"/>
      <c r="F4" s="175"/>
      <c r="G4" s="175"/>
      <c r="H4" s="175"/>
      <c r="I4" s="175"/>
      <c r="J4" s="175"/>
      <c r="K4" s="175"/>
      <c r="L4" s="175"/>
      <c r="M4" s="175"/>
      <c r="N4" s="175"/>
      <c r="O4" s="175"/>
      <c r="P4" s="177"/>
    </row>
    <row r="5" spans="1:18">
      <c r="B5" s="164"/>
      <c r="C5" s="166"/>
      <c r="D5" s="166"/>
      <c r="E5" s="166"/>
      <c r="F5" s="166"/>
      <c r="G5" s="166"/>
      <c r="H5" s="166"/>
      <c r="I5" s="166"/>
      <c r="J5" s="166"/>
      <c r="K5" s="166"/>
      <c r="L5" s="166"/>
      <c r="M5" s="166"/>
      <c r="N5" s="166"/>
      <c r="O5" s="166"/>
      <c r="P5" s="168"/>
    </row>
    <row r="6" spans="1:18" ht="5.25" customHeight="1">
      <c r="B6" s="164"/>
      <c r="C6" s="165"/>
      <c r="D6" s="166"/>
      <c r="E6" s="167"/>
      <c r="F6" s="166"/>
      <c r="G6" s="166"/>
      <c r="H6" s="166"/>
      <c r="I6" s="166"/>
      <c r="J6" s="166"/>
      <c r="K6" s="166"/>
      <c r="L6" s="166"/>
      <c r="M6" s="166"/>
      <c r="N6" s="166"/>
      <c r="O6" s="166"/>
      <c r="P6" s="168"/>
    </row>
    <row r="7" spans="1:18" ht="15.75">
      <c r="B7" s="169"/>
      <c r="C7" s="166"/>
      <c r="D7" s="118" t="s">
        <v>274</v>
      </c>
      <c r="E7" s="118" t="s">
        <v>411</v>
      </c>
      <c r="F7" s="166"/>
      <c r="G7" s="166"/>
      <c r="H7" s="166"/>
      <c r="I7" s="166"/>
      <c r="J7" s="166"/>
      <c r="K7" s="166"/>
      <c r="L7" s="166"/>
      <c r="M7" s="166"/>
      <c r="N7" s="166"/>
      <c r="O7" s="166"/>
      <c r="P7" s="168"/>
    </row>
    <row r="8" spans="1:18" ht="15.75">
      <c r="B8" s="169"/>
      <c r="C8" s="166"/>
      <c r="D8" s="127" t="s">
        <v>414</v>
      </c>
      <c r="E8" s="127">
        <f>IV.d.scenario</f>
        <v>1</v>
      </c>
      <c r="F8" s="166"/>
      <c r="G8" s="166"/>
      <c r="H8" s="166"/>
      <c r="I8" s="166"/>
      <c r="J8" s="166"/>
      <c r="K8" s="166"/>
      <c r="L8" s="166"/>
      <c r="M8" s="166"/>
      <c r="N8" s="166"/>
      <c r="O8" s="166"/>
      <c r="P8" s="168"/>
    </row>
    <row r="9" spans="1:18">
      <c r="B9" s="182"/>
      <c r="C9" s="172"/>
      <c r="D9" s="172"/>
      <c r="E9" s="172"/>
      <c r="F9" s="172"/>
      <c r="G9" s="172"/>
      <c r="H9" s="172"/>
      <c r="I9" s="172"/>
      <c r="J9" s="172"/>
      <c r="K9" s="172"/>
      <c r="L9" s="172"/>
      <c r="M9" s="172"/>
      <c r="N9" s="172"/>
      <c r="O9" s="172"/>
      <c r="P9" s="173"/>
    </row>
    <row r="11" spans="1:18" ht="22.5">
      <c r="A11" s="420"/>
      <c r="B11" s="421" t="s">
        <v>413</v>
      </c>
      <c r="C11" s="159"/>
      <c r="D11" s="159"/>
      <c r="E11" s="159"/>
      <c r="F11" s="159"/>
      <c r="G11" s="159"/>
      <c r="H11" s="159"/>
      <c r="I11" s="159"/>
      <c r="J11" s="159"/>
      <c r="K11" s="159"/>
      <c r="L11" s="159"/>
      <c r="M11" s="159"/>
      <c r="N11" s="159"/>
      <c r="O11" s="159"/>
      <c r="P11" s="160"/>
    </row>
    <row r="12" spans="1:18" ht="5.25" customHeight="1">
      <c r="B12" s="418"/>
      <c r="C12" s="415"/>
      <c r="D12" s="415"/>
      <c r="E12" s="415"/>
      <c r="F12" s="415"/>
      <c r="G12" s="415"/>
      <c r="H12" s="415"/>
      <c r="I12" s="415"/>
      <c r="J12" s="415"/>
      <c r="K12" s="415"/>
      <c r="L12" s="415"/>
      <c r="M12" s="415"/>
      <c r="N12" s="415"/>
      <c r="O12" s="415"/>
      <c r="P12" s="419"/>
    </row>
    <row r="13" spans="1:18">
      <c r="B13" s="418"/>
      <c r="C13" s="416" t="s">
        <v>833</v>
      </c>
      <c r="D13" s="415"/>
      <c r="E13" s="104"/>
      <c r="F13" s="415"/>
      <c r="G13" s="415"/>
      <c r="H13" s="415"/>
      <c r="I13" s="415"/>
      <c r="J13" s="415"/>
      <c r="K13" s="415"/>
      <c r="L13" s="415"/>
      <c r="M13" s="415"/>
      <c r="N13" s="415"/>
      <c r="O13" s="104" t="str">
        <f>Preferences.PowerUnits</f>
        <v>GW</v>
      </c>
      <c r="P13" s="419"/>
    </row>
    <row r="14" spans="1:18" ht="5.25" customHeight="1">
      <c r="B14" s="418"/>
      <c r="C14" s="415"/>
      <c r="D14" s="415"/>
      <c r="E14" s="415"/>
      <c r="F14" s="415"/>
      <c r="G14" s="415"/>
      <c r="H14" s="415"/>
      <c r="I14" s="415"/>
      <c r="J14" s="415"/>
      <c r="K14" s="415"/>
      <c r="L14" s="415"/>
      <c r="M14" s="415"/>
      <c r="N14" s="415"/>
      <c r="O14" s="415"/>
      <c r="P14" s="419"/>
    </row>
    <row r="15" spans="1:18" ht="15.75">
      <c r="B15" s="152"/>
      <c r="C15" s="61" t="s">
        <v>411</v>
      </c>
      <c r="D15" s="61" t="s">
        <v>65</v>
      </c>
      <c r="E15" s="61" t="s">
        <v>156</v>
      </c>
      <c r="F15" s="119">
        <v>2007</v>
      </c>
      <c r="G15" s="120">
        <v>2012</v>
      </c>
      <c r="H15" s="119">
        <v>2017</v>
      </c>
      <c r="I15" s="119">
        <v>2022</v>
      </c>
      <c r="J15" s="119">
        <v>2027</v>
      </c>
      <c r="K15" s="119">
        <v>2032</v>
      </c>
      <c r="L15" s="119">
        <v>2037</v>
      </c>
      <c r="M15" s="119">
        <v>2042</v>
      </c>
      <c r="N15" s="119">
        <v>2047</v>
      </c>
      <c r="O15" s="119">
        <v>2052</v>
      </c>
      <c r="P15" s="419"/>
    </row>
    <row r="16" spans="1:18" ht="15.75">
      <c r="B16" s="153"/>
      <c r="C16" s="413">
        <v>1</v>
      </c>
      <c r="D16" s="414"/>
      <c r="E16" s="96"/>
      <c r="F16" s="716">
        <f>1975.6*(Unit.MW)</f>
        <v>1.9756</v>
      </c>
      <c r="G16" s="716">
        <f>1.41*Unit.GW</f>
        <v>1.41</v>
      </c>
      <c r="H16" s="716">
        <f>1500*(Unit.MW)</f>
        <v>1.5</v>
      </c>
      <c r="I16" s="716">
        <f>1700*(Unit.MW)</f>
        <v>1.7</v>
      </c>
      <c r="J16" s="716">
        <f>1000*(Unit.MW)</f>
        <v>1</v>
      </c>
      <c r="K16" s="716">
        <f>1000*(Unit.MW)</f>
        <v>1</v>
      </c>
      <c r="L16" s="716">
        <f>500*(Unit.MW)</f>
        <v>0.5</v>
      </c>
      <c r="M16" s="716">
        <f>1850*(Unit.MW)</f>
        <v>1.85</v>
      </c>
      <c r="N16" s="716">
        <f>1500*(Unit.MW)</f>
        <v>1.5</v>
      </c>
      <c r="O16" s="716">
        <f>1500*(Unit.MW)</f>
        <v>1.5</v>
      </c>
      <c r="P16" s="154"/>
      <c r="R16" s="310"/>
    </row>
    <row r="17" spans="2:18" ht="15.75">
      <c r="B17" s="152"/>
      <c r="C17" s="413">
        <v>2</v>
      </c>
      <c r="D17" s="414"/>
      <c r="E17" s="414"/>
      <c r="F17" s="716">
        <f>1975.6*(Unit.MW)</f>
        <v>1.9756</v>
      </c>
      <c r="G17" s="716">
        <f>1.41*Unit.GW</f>
        <v>1.41</v>
      </c>
      <c r="H17" s="716">
        <f>2100*(Unit.MW)</f>
        <v>2.1</v>
      </c>
      <c r="I17" s="716">
        <f>3500*(Unit.MW)</f>
        <v>3.5</v>
      </c>
      <c r="J17" s="716">
        <f>2500*(Unit.MW)</f>
        <v>2.5</v>
      </c>
      <c r="K17" s="716">
        <f>2500*(Unit.MW)</f>
        <v>2.5</v>
      </c>
      <c r="L17" s="716">
        <f>1000*(Unit.MW)</f>
        <v>1</v>
      </c>
      <c r="M17" s="716">
        <f>2500*(Unit.MW)</f>
        <v>2.5</v>
      </c>
      <c r="N17" s="716">
        <f>1500*(Unit.MW)</f>
        <v>1.5</v>
      </c>
      <c r="O17" s="716">
        <f>2000*(Unit.MW)</f>
        <v>2</v>
      </c>
      <c r="P17" s="419"/>
      <c r="R17" s="310"/>
    </row>
    <row r="18" spans="2:18" ht="15.75">
      <c r="B18" s="152"/>
      <c r="C18" s="413">
        <v>3</v>
      </c>
      <c r="D18" s="414"/>
      <c r="E18" s="414"/>
      <c r="F18" s="716">
        <f>1975.6*(Unit.MW)</f>
        <v>1.9756</v>
      </c>
      <c r="G18" s="716">
        <f>1.41*Unit.GW</f>
        <v>1.41</v>
      </c>
      <c r="H18" s="716">
        <f>2500*(Unit.MW)</f>
        <v>2.5</v>
      </c>
      <c r="I18" s="716">
        <f>4000*(Unit.MW)</f>
        <v>4</v>
      </c>
      <c r="J18" s="716">
        <f>4000*(Unit.MW)</f>
        <v>4</v>
      </c>
      <c r="K18" s="716">
        <f>4500*(Unit.MW)</f>
        <v>4.5</v>
      </c>
      <c r="L18" s="716">
        <f>1500*(Unit.MW)</f>
        <v>1.5</v>
      </c>
      <c r="M18" s="716">
        <f>2000*(Unit.MW)</f>
        <v>2</v>
      </c>
      <c r="N18" s="716">
        <f>1500*(Unit.MW)</f>
        <v>1.5</v>
      </c>
      <c r="O18" s="716">
        <f>2500*(Unit.MW)</f>
        <v>2.5</v>
      </c>
      <c r="P18" s="419"/>
      <c r="R18" s="310"/>
    </row>
    <row r="19" spans="2:18" ht="15.75">
      <c r="B19" s="152"/>
      <c r="C19" s="411">
        <v>4</v>
      </c>
      <c r="D19" s="65"/>
      <c r="E19" s="65"/>
      <c r="F19" s="716">
        <f>1975.6*(Unit.MW)</f>
        <v>1.9756</v>
      </c>
      <c r="G19" s="716">
        <f>1.41*Unit.GW</f>
        <v>1.41</v>
      </c>
      <c r="H19" s="716">
        <f>3000*(Unit.MW)</f>
        <v>3</v>
      </c>
      <c r="I19" s="716">
        <f>4500*(Unit.MW)</f>
        <v>4.5</v>
      </c>
      <c r="J19" s="716">
        <f>5000*(Unit.MW)</f>
        <v>5</v>
      </c>
      <c r="K19" s="716">
        <f>6000*(Unit.MW)</f>
        <v>6</v>
      </c>
      <c r="L19" s="716">
        <f>8000*(Unit.MW)</f>
        <v>8</v>
      </c>
      <c r="M19" s="716">
        <f>2000*(Unit.MW)</f>
        <v>2</v>
      </c>
      <c r="N19" s="716">
        <f>1400*(Unit.MW)</f>
        <v>1.4000000000000001</v>
      </c>
      <c r="O19" s="716">
        <f>3000*(Unit.MW)</f>
        <v>3</v>
      </c>
      <c r="P19" s="419"/>
      <c r="R19" s="310"/>
    </row>
    <row r="20" spans="2:18" ht="15.75">
      <c r="B20" s="152"/>
      <c r="C20" s="406" t="s">
        <v>406</v>
      </c>
      <c r="D20" s="407"/>
      <c r="E20" s="407"/>
      <c r="F20" s="408">
        <f t="shared" ref="F20:O20" si="0">(INDEX(F$16:F$19,ROUNDDOWN($E$8,0))*(1-MOD($E$8,1)))+(INDEX(F$16:F$19,ROUNDUP($E$8,0))*MOD($E$8,1))</f>
        <v>1.9756</v>
      </c>
      <c r="G20" s="610">
        <f t="shared" si="0"/>
        <v>1.41</v>
      </c>
      <c r="H20" s="408">
        <f t="shared" si="0"/>
        <v>1.5</v>
      </c>
      <c r="I20" s="408">
        <f t="shared" si="0"/>
        <v>1.7</v>
      </c>
      <c r="J20" s="408">
        <f t="shared" si="0"/>
        <v>1</v>
      </c>
      <c r="K20" s="408">
        <f t="shared" si="0"/>
        <v>1</v>
      </c>
      <c r="L20" s="408">
        <f t="shared" si="0"/>
        <v>0.5</v>
      </c>
      <c r="M20" s="408">
        <f t="shared" si="0"/>
        <v>1.85</v>
      </c>
      <c r="N20" s="408">
        <f t="shared" si="0"/>
        <v>1.5</v>
      </c>
      <c r="O20" s="408">
        <f t="shared" si="0"/>
        <v>1.5</v>
      </c>
      <c r="P20" s="419"/>
    </row>
    <row r="21" spans="2:18">
      <c r="B21" s="155"/>
      <c r="C21" s="415"/>
      <c r="D21" s="105"/>
      <c r="E21" s="415"/>
      <c r="F21" s="415"/>
      <c r="G21" s="611"/>
      <c r="H21" s="611"/>
      <c r="I21" s="611"/>
      <c r="J21" s="611"/>
      <c r="K21" s="611"/>
      <c r="L21" s="611"/>
      <c r="M21" s="611"/>
      <c r="N21" s="611"/>
      <c r="O21" s="611"/>
      <c r="P21" s="419"/>
    </row>
    <row r="22" spans="2:18">
      <c r="B22" s="239"/>
      <c r="C22" s="415"/>
      <c r="D22" s="105"/>
      <c r="E22" s="415"/>
      <c r="F22" s="415"/>
      <c r="G22" s="415"/>
      <c r="H22" s="415"/>
      <c r="I22" s="415"/>
      <c r="J22" s="415"/>
      <c r="K22" s="415"/>
      <c r="L22" s="415"/>
      <c r="M22" s="415"/>
      <c r="N22" s="415"/>
      <c r="O22" s="415"/>
      <c r="P22" s="419"/>
    </row>
    <row r="23" spans="2:18">
      <c r="B23" s="239"/>
      <c r="C23" s="104"/>
      <c r="D23" s="105"/>
      <c r="E23" s="415"/>
      <c r="F23" s="415"/>
      <c r="G23" s="415"/>
      <c r="H23" s="415"/>
      <c r="I23" s="415"/>
      <c r="J23" s="415"/>
      <c r="K23" s="415"/>
      <c r="L23" s="415"/>
      <c r="M23" s="415"/>
      <c r="N23" s="415"/>
      <c r="O23" s="415"/>
      <c r="P23" s="419"/>
    </row>
    <row r="24" spans="2:18">
      <c r="B24" s="239"/>
      <c r="C24" s="416" t="s">
        <v>834</v>
      </c>
      <c r="D24" s="415"/>
      <c r="E24" s="104"/>
      <c r="F24" s="415"/>
      <c r="G24" s="415"/>
      <c r="H24" s="415"/>
      <c r="I24" s="415"/>
      <c r="J24" s="415"/>
      <c r="K24" s="415"/>
      <c r="L24" s="415"/>
      <c r="M24" s="415"/>
      <c r="N24" s="415"/>
      <c r="O24" s="104" t="str">
        <f>Preferences.PowerUnits</f>
        <v>GW</v>
      </c>
      <c r="P24" s="419"/>
    </row>
    <row r="25" spans="2:18">
      <c r="B25" s="239"/>
      <c r="C25" s="415"/>
      <c r="D25" s="415"/>
      <c r="E25" s="415"/>
      <c r="F25" s="415"/>
      <c r="G25" s="415"/>
      <c r="H25" s="415"/>
      <c r="I25" s="415"/>
      <c r="J25" s="415"/>
      <c r="K25" s="415"/>
      <c r="L25" s="415"/>
      <c r="M25" s="415"/>
      <c r="N25" s="415"/>
      <c r="O25" s="415"/>
      <c r="P25" s="419"/>
    </row>
    <row r="26" spans="2:18">
      <c r="B26" s="239"/>
      <c r="C26" s="61" t="s">
        <v>411</v>
      </c>
      <c r="D26" s="61" t="s">
        <v>65</v>
      </c>
      <c r="E26" s="61" t="s">
        <v>156</v>
      </c>
      <c r="F26" s="119">
        <v>2007</v>
      </c>
      <c r="G26" s="120">
        <f t="shared" ref="G26:O26" si="1">F26+5</f>
        <v>2012</v>
      </c>
      <c r="H26" s="120">
        <f t="shared" si="1"/>
        <v>2017</v>
      </c>
      <c r="I26" s="120">
        <f t="shared" si="1"/>
        <v>2022</v>
      </c>
      <c r="J26" s="120">
        <f t="shared" si="1"/>
        <v>2027</v>
      </c>
      <c r="K26" s="120">
        <f t="shared" si="1"/>
        <v>2032</v>
      </c>
      <c r="L26" s="120">
        <f t="shared" si="1"/>
        <v>2037</v>
      </c>
      <c r="M26" s="120">
        <f t="shared" si="1"/>
        <v>2042</v>
      </c>
      <c r="N26" s="120">
        <f t="shared" si="1"/>
        <v>2047</v>
      </c>
      <c r="O26" s="120">
        <f t="shared" si="1"/>
        <v>2052</v>
      </c>
      <c r="P26" s="419"/>
    </row>
    <row r="27" spans="2:18">
      <c r="B27" s="239"/>
      <c r="C27" s="413">
        <v>1</v>
      </c>
      <c r="D27" s="414"/>
      <c r="E27" s="96"/>
      <c r="F27" s="415">
        <f t="shared" ref="F27:L30" si="2">0*(Unit.MW)</f>
        <v>0</v>
      </c>
      <c r="G27" s="415">
        <f t="shared" si="2"/>
        <v>0</v>
      </c>
      <c r="H27" s="415">
        <f t="shared" si="2"/>
        <v>0</v>
      </c>
      <c r="I27" s="415">
        <f t="shared" si="2"/>
        <v>0</v>
      </c>
      <c r="J27" s="415">
        <f t="shared" si="2"/>
        <v>0</v>
      </c>
      <c r="K27" s="415">
        <f t="shared" si="2"/>
        <v>0</v>
      </c>
      <c r="L27" s="415">
        <f t="shared" si="2"/>
        <v>0</v>
      </c>
      <c r="M27" s="415">
        <f>-1975.6*(Unit.MW)</f>
        <v>-1.9756</v>
      </c>
      <c r="N27" s="415">
        <f>-1419.4*(Unit.MW)</f>
        <v>-1.4194000000000002</v>
      </c>
      <c r="O27" s="415">
        <f>-1500*(Unit.MW)</f>
        <v>-1.5</v>
      </c>
      <c r="P27" s="419"/>
    </row>
    <row r="28" spans="2:18">
      <c r="B28" s="239"/>
      <c r="C28" s="413">
        <v>2</v>
      </c>
      <c r="D28" s="414"/>
      <c r="E28" s="414"/>
      <c r="F28" s="415">
        <f t="shared" si="2"/>
        <v>0</v>
      </c>
      <c r="G28" s="415">
        <f t="shared" si="2"/>
        <v>0</v>
      </c>
      <c r="H28" s="415">
        <f t="shared" si="2"/>
        <v>0</v>
      </c>
      <c r="I28" s="415">
        <f t="shared" si="2"/>
        <v>0</v>
      </c>
      <c r="J28" s="415">
        <f t="shared" si="2"/>
        <v>0</v>
      </c>
      <c r="K28" s="415">
        <f t="shared" si="2"/>
        <v>0</v>
      </c>
      <c r="L28" s="415">
        <f t="shared" si="2"/>
        <v>0</v>
      </c>
      <c r="M28" s="415">
        <f>-1975.6*(Unit.MW)</f>
        <v>-1.9756</v>
      </c>
      <c r="N28" s="415">
        <f>-1419.4*(Unit.MW)</f>
        <v>-1.4194000000000002</v>
      </c>
      <c r="O28" s="415">
        <f>-2100*(Unit.MW)</f>
        <v>-2.1</v>
      </c>
      <c r="P28" s="419"/>
    </row>
    <row r="29" spans="2:18">
      <c r="B29" s="239"/>
      <c r="C29" s="413">
        <v>3</v>
      </c>
      <c r="D29" s="414"/>
      <c r="E29" s="414"/>
      <c r="F29" s="415">
        <f t="shared" si="2"/>
        <v>0</v>
      </c>
      <c r="G29" s="415">
        <f t="shared" si="2"/>
        <v>0</v>
      </c>
      <c r="H29" s="415">
        <f t="shared" si="2"/>
        <v>0</v>
      </c>
      <c r="I29" s="415">
        <f t="shared" si="2"/>
        <v>0</v>
      </c>
      <c r="J29" s="415">
        <f t="shared" si="2"/>
        <v>0</v>
      </c>
      <c r="K29" s="415">
        <f t="shared" si="2"/>
        <v>0</v>
      </c>
      <c r="L29" s="415">
        <f t="shared" si="2"/>
        <v>0</v>
      </c>
      <c r="M29" s="415">
        <f>-1975.6*(Unit.MW)</f>
        <v>-1.9756</v>
      </c>
      <c r="N29" s="415">
        <f>-1419.4*(Unit.MW)</f>
        <v>-1.4194000000000002</v>
      </c>
      <c r="O29" s="415">
        <f>-2500*(Unit.MW)</f>
        <v>-2.5</v>
      </c>
      <c r="P29" s="419"/>
    </row>
    <row r="30" spans="2:18">
      <c r="B30" s="239"/>
      <c r="C30" s="411">
        <v>4</v>
      </c>
      <c r="D30" s="65"/>
      <c r="E30" s="65"/>
      <c r="F30" s="415">
        <f t="shared" si="2"/>
        <v>0</v>
      </c>
      <c r="G30" s="415">
        <f t="shared" si="2"/>
        <v>0</v>
      </c>
      <c r="H30" s="415">
        <f t="shared" si="2"/>
        <v>0</v>
      </c>
      <c r="I30" s="415">
        <f t="shared" si="2"/>
        <v>0</v>
      </c>
      <c r="J30" s="415">
        <f t="shared" si="2"/>
        <v>0</v>
      </c>
      <c r="K30" s="415">
        <f t="shared" si="2"/>
        <v>0</v>
      </c>
      <c r="L30" s="415">
        <f t="shared" si="2"/>
        <v>0</v>
      </c>
      <c r="M30" s="415">
        <f>-1975.6*(Unit.MW)</f>
        <v>-1.9756</v>
      </c>
      <c r="N30" s="415">
        <f>-1419.4*(Unit.MW)</f>
        <v>-1.4194000000000002</v>
      </c>
      <c r="O30" s="415">
        <f>-3000*(Unit.MW)</f>
        <v>-3</v>
      </c>
      <c r="P30" s="419"/>
    </row>
    <row r="31" spans="2:18">
      <c r="B31" s="239"/>
      <c r="C31" s="406" t="s">
        <v>406</v>
      </c>
      <c r="D31" s="407"/>
      <c r="E31" s="407"/>
      <c r="F31" s="408">
        <f t="shared" ref="F31:O31" si="3">(INDEX(F$27:F$30,ROUNDDOWN($E$8,0))*(1-MOD($E$8,1)))+(INDEX(F$27:F$30,ROUNDUP($E$8,0))*MOD($E$8,1))</f>
        <v>0</v>
      </c>
      <c r="G31" s="408">
        <f t="shared" si="3"/>
        <v>0</v>
      </c>
      <c r="H31" s="408">
        <f t="shared" si="3"/>
        <v>0</v>
      </c>
      <c r="I31" s="408">
        <f t="shared" si="3"/>
        <v>0</v>
      </c>
      <c r="J31" s="408">
        <f t="shared" si="3"/>
        <v>0</v>
      </c>
      <c r="K31" s="408">
        <f t="shared" si="3"/>
        <v>0</v>
      </c>
      <c r="L31" s="408">
        <f t="shared" si="3"/>
        <v>0</v>
      </c>
      <c r="M31" s="408">
        <f t="shared" si="3"/>
        <v>-1.9756</v>
      </c>
      <c r="N31" s="408">
        <f t="shared" si="3"/>
        <v>-1.4194000000000002</v>
      </c>
      <c r="O31" s="408">
        <f t="shared" si="3"/>
        <v>-1.5</v>
      </c>
      <c r="P31" s="408"/>
    </row>
    <row r="32" spans="2:18">
      <c r="B32" s="239"/>
      <c r="C32" s="104"/>
      <c r="D32" s="105"/>
      <c r="E32" s="415"/>
      <c r="F32" s="415"/>
      <c r="G32" s="415"/>
      <c r="H32" s="415"/>
      <c r="I32" s="415"/>
      <c r="J32" s="415"/>
      <c r="K32" s="415"/>
      <c r="L32" s="415"/>
      <c r="M32" s="415"/>
      <c r="N32" s="415"/>
      <c r="O32" s="415"/>
      <c r="P32" s="419"/>
    </row>
    <row r="33" spans="2:16">
      <c r="B33" s="239"/>
      <c r="C33" s="104"/>
      <c r="D33" s="105"/>
      <c r="E33" s="415"/>
      <c r="F33" s="415"/>
      <c r="G33" s="415"/>
      <c r="H33" s="415"/>
      <c r="I33" s="415"/>
      <c r="J33" s="415"/>
      <c r="K33" s="415"/>
      <c r="L33" s="415"/>
      <c r="M33" s="415"/>
      <c r="N33" s="415"/>
      <c r="O33" s="415"/>
      <c r="P33" s="419"/>
    </row>
    <row r="34" spans="2:16">
      <c r="B34" s="239"/>
      <c r="C34" s="402"/>
      <c r="D34" s="402"/>
      <c r="E34" s="402"/>
      <c r="F34" s="402"/>
      <c r="G34" s="402"/>
      <c r="H34" s="402"/>
      <c r="I34" s="402"/>
      <c r="J34" s="402"/>
      <c r="K34" s="402"/>
      <c r="L34" s="402"/>
      <c r="M34" s="402"/>
      <c r="N34" s="402"/>
      <c r="O34" s="402"/>
      <c r="P34" s="402"/>
    </row>
    <row r="35" spans="2:16">
      <c r="B35" s="239"/>
      <c r="C35" s="402"/>
      <c r="D35" s="402"/>
      <c r="E35" s="402"/>
      <c r="F35" s="402"/>
      <c r="G35" s="402"/>
      <c r="H35" s="402"/>
      <c r="I35" s="402"/>
      <c r="J35" s="402"/>
      <c r="K35" s="402"/>
      <c r="L35" s="402"/>
      <c r="M35" s="402"/>
      <c r="N35" s="402"/>
      <c r="O35" s="402"/>
      <c r="P35" s="402"/>
    </row>
    <row r="36" spans="2:16">
      <c r="B36" s="239"/>
      <c r="C36" s="416" t="s">
        <v>835</v>
      </c>
      <c r="D36" s="415"/>
      <c r="E36" s="104"/>
      <c r="F36" s="415"/>
      <c r="G36" s="415"/>
      <c r="H36" s="415"/>
      <c r="I36" s="415"/>
      <c r="J36" s="415"/>
      <c r="K36" s="415"/>
      <c r="L36" s="415"/>
      <c r="M36" s="415"/>
      <c r="N36" s="415"/>
      <c r="O36" s="104" t="str">
        <f>Preferences.PowerUnits</f>
        <v>GW</v>
      </c>
      <c r="P36" s="419"/>
    </row>
    <row r="37" spans="2:16">
      <c r="B37" s="239"/>
      <c r="C37" s="415"/>
      <c r="D37" s="415"/>
      <c r="E37" s="415"/>
      <c r="F37" s="415"/>
      <c r="G37" s="415"/>
      <c r="H37" s="415"/>
      <c r="I37" s="415"/>
      <c r="J37" s="415"/>
      <c r="K37" s="415"/>
      <c r="L37" s="415"/>
      <c r="M37" s="415"/>
      <c r="N37" s="415"/>
      <c r="O37" s="415"/>
      <c r="P37" s="419"/>
    </row>
    <row r="38" spans="2:16">
      <c r="B38" s="239"/>
      <c r="C38" s="61" t="s">
        <v>411</v>
      </c>
      <c r="D38" s="61" t="s">
        <v>65</v>
      </c>
      <c r="E38" s="61" t="s">
        <v>156</v>
      </c>
      <c r="F38" s="119">
        <v>2007</v>
      </c>
      <c r="G38" s="120">
        <f t="shared" ref="G38:O38" si="4">F38+5</f>
        <v>2012</v>
      </c>
      <c r="H38" s="120">
        <f t="shared" si="4"/>
        <v>2017</v>
      </c>
      <c r="I38" s="120">
        <f t="shared" si="4"/>
        <v>2022</v>
      </c>
      <c r="J38" s="120">
        <f t="shared" si="4"/>
        <v>2027</v>
      </c>
      <c r="K38" s="120">
        <f t="shared" si="4"/>
        <v>2032</v>
      </c>
      <c r="L38" s="120">
        <f t="shared" si="4"/>
        <v>2037</v>
      </c>
      <c r="M38" s="120">
        <f t="shared" si="4"/>
        <v>2042</v>
      </c>
      <c r="N38" s="120">
        <f t="shared" si="4"/>
        <v>2047</v>
      </c>
      <c r="O38" s="120">
        <f t="shared" si="4"/>
        <v>2052</v>
      </c>
      <c r="P38" s="419"/>
    </row>
    <row r="39" spans="2:16">
      <c r="B39" s="239"/>
      <c r="C39" s="413">
        <v>1</v>
      </c>
      <c r="D39" s="414"/>
      <c r="E39" s="96"/>
      <c r="F39" s="415">
        <f>F16</f>
        <v>1.9756</v>
      </c>
      <c r="G39" s="415">
        <f t="shared" ref="G39:G42" si="5">G16+G27+F39</f>
        <v>3.3856000000000002</v>
      </c>
      <c r="H39" s="415">
        <f>H16+H27+G39</f>
        <v>4.8856000000000002</v>
      </c>
      <c r="I39" s="415">
        <f t="shared" ref="I39:O39" si="6">I16+I27+H39</f>
        <v>6.5856000000000003</v>
      </c>
      <c r="J39" s="415">
        <f t="shared" si="6"/>
        <v>7.5856000000000003</v>
      </c>
      <c r="K39" s="415">
        <f t="shared" si="6"/>
        <v>8.5855999999999995</v>
      </c>
      <c r="L39" s="415">
        <f t="shared" si="6"/>
        <v>9.0855999999999995</v>
      </c>
      <c r="M39" s="415">
        <f t="shared" si="6"/>
        <v>8.9599999999999991</v>
      </c>
      <c r="N39" s="415">
        <f t="shared" si="6"/>
        <v>9.0405999999999995</v>
      </c>
      <c r="O39" s="415">
        <f t="shared" si="6"/>
        <v>9.0405999999999995</v>
      </c>
      <c r="P39" s="419"/>
    </row>
    <row r="40" spans="2:16">
      <c r="B40" s="239"/>
      <c r="C40" s="413">
        <v>2</v>
      </c>
      <c r="D40" s="414"/>
      <c r="E40" s="414"/>
      <c r="F40" s="415">
        <f t="shared" ref="F40:F42" si="7">F17</f>
        <v>1.9756</v>
      </c>
      <c r="G40" s="415">
        <f t="shared" si="5"/>
        <v>3.3856000000000002</v>
      </c>
      <c r="H40" s="415">
        <f t="shared" ref="H40:O42" si="8">H17+H28+G40</f>
        <v>5.4855999999999998</v>
      </c>
      <c r="I40" s="415">
        <f t="shared" si="8"/>
        <v>8.9855999999999998</v>
      </c>
      <c r="J40" s="415">
        <f t="shared" si="8"/>
        <v>11.4856</v>
      </c>
      <c r="K40" s="415">
        <f t="shared" si="8"/>
        <v>13.9856</v>
      </c>
      <c r="L40" s="415">
        <f t="shared" si="8"/>
        <v>14.9856</v>
      </c>
      <c r="M40" s="415">
        <f t="shared" si="8"/>
        <v>15.51</v>
      </c>
      <c r="N40" s="415">
        <f t="shared" si="8"/>
        <v>15.5906</v>
      </c>
      <c r="O40" s="415">
        <f t="shared" si="8"/>
        <v>15.490600000000001</v>
      </c>
      <c r="P40" s="419"/>
    </row>
    <row r="41" spans="2:16">
      <c r="B41" s="239"/>
      <c r="C41" s="413">
        <v>3</v>
      </c>
      <c r="D41" s="414"/>
      <c r="E41" s="414"/>
      <c r="F41" s="415">
        <f t="shared" si="7"/>
        <v>1.9756</v>
      </c>
      <c r="G41" s="415">
        <f t="shared" si="5"/>
        <v>3.3856000000000002</v>
      </c>
      <c r="H41" s="415">
        <f t="shared" si="8"/>
        <v>5.8856000000000002</v>
      </c>
      <c r="I41" s="415">
        <f t="shared" si="8"/>
        <v>9.8856000000000002</v>
      </c>
      <c r="J41" s="415">
        <f t="shared" si="8"/>
        <v>13.8856</v>
      </c>
      <c r="K41" s="415">
        <f t="shared" si="8"/>
        <v>18.3856</v>
      </c>
      <c r="L41" s="415">
        <f t="shared" si="8"/>
        <v>19.8856</v>
      </c>
      <c r="M41" s="415">
        <f t="shared" si="8"/>
        <v>19.91</v>
      </c>
      <c r="N41" s="415">
        <f t="shared" si="8"/>
        <v>19.990600000000001</v>
      </c>
      <c r="O41" s="415">
        <f t="shared" si="8"/>
        <v>19.990600000000001</v>
      </c>
      <c r="P41" s="415"/>
    </row>
    <row r="42" spans="2:16">
      <c r="B42" s="239"/>
      <c r="C42" s="411">
        <v>4</v>
      </c>
      <c r="D42" s="65"/>
      <c r="E42" s="65"/>
      <c r="F42" s="415">
        <f t="shared" si="7"/>
        <v>1.9756</v>
      </c>
      <c r="G42" s="415">
        <f t="shared" si="5"/>
        <v>3.3856000000000002</v>
      </c>
      <c r="H42" s="415">
        <f t="shared" si="8"/>
        <v>6.3856000000000002</v>
      </c>
      <c r="I42" s="415">
        <f t="shared" si="8"/>
        <v>10.8856</v>
      </c>
      <c r="J42" s="415">
        <f t="shared" si="8"/>
        <v>15.8856</v>
      </c>
      <c r="K42" s="415">
        <f t="shared" si="8"/>
        <v>21.8856</v>
      </c>
      <c r="L42" s="415">
        <f t="shared" si="8"/>
        <v>29.8856</v>
      </c>
      <c r="M42" s="415">
        <f t="shared" si="8"/>
        <v>29.91</v>
      </c>
      <c r="N42" s="415">
        <f t="shared" si="8"/>
        <v>29.890599999999999</v>
      </c>
      <c r="O42" s="415">
        <f t="shared" si="8"/>
        <v>29.890599999999999</v>
      </c>
      <c r="P42" s="419"/>
    </row>
    <row r="43" spans="2:16">
      <c r="B43" s="239"/>
      <c r="C43" s="406" t="s">
        <v>406</v>
      </c>
      <c r="D43" s="407"/>
      <c r="E43" s="407"/>
      <c r="F43" s="408">
        <f>(INDEX(F39:F42,ROUNDDOWN($E$8,0))*(1-MOD($E$8,1)))+(INDEX(F39:F42,ROUNDUP($E$8,0))*MOD($E$8,1))</f>
        <v>1.9756</v>
      </c>
      <c r="G43" s="408">
        <f t="shared" ref="G43:O43" si="9">(INDEX(G39:G42,ROUNDDOWN($E$8,0))*(1-MOD($E$8,1)))+(INDEX(G39:G42,ROUNDUP($E$8,0))*MOD($E$8,1))</f>
        <v>3.3856000000000002</v>
      </c>
      <c r="H43" s="408">
        <f t="shared" si="9"/>
        <v>4.8856000000000002</v>
      </c>
      <c r="I43" s="408">
        <f t="shared" si="9"/>
        <v>6.5856000000000003</v>
      </c>
      <c r="J43" s="408">
        <f t="shared" si="9"/>
        <v>7.5856000000000003</v>
      </c>
      <c r="K43" s="408">
        <f t="shared" si="9"/>
        <v>8.5855999999999995</v>
      </c>
      <c r="L43" s="408">
        <f t="shared" si="9"/>
        <v>9.0855999999999995</v>
      </c>
      <c r="M43" s="408">
        <f t="shared" si="9"/>
        <v>8.9599999999999991</v>
      </c>
      <c r="N43" s="408">
        <f t="shared" si="9"/>
        <v>9.0405999999999995</v>
      </c>
      <c r="O43" s="408">
        <f t="shared" si="9"/>
        <v>9.0405999999999995</v>
      </c>
      <c r="P43" s="408"/>
    </row>
    <row r="44" spans="2:16">
      <c r="B44" s="402"/>
      <c r="C44" s="402"/>
      <c r="D44" s="402"/>
      <c r="E44" s="402"/>
      <c r="F44" s="402"/>
      <c r="G44" s="402"/>
      <c r="H44" s="402"/>
      <c r="I44" s="402"/>
      <c r="J44" s="402"/>
      <c r="K44" s="402"/>
      <c r="L44" s="402"/>
      <c r="M44" s="402"/>
      <c r="N44" s="402"/>
      <c r="O44" s="402"/>
      <c r="P44" s="402"/>
    </row>
    <row r="45" spans="2:16">
      <c r="B45" s="402"/>
      <c r="C45" s="416" t="s">
        <v>1872</v>
      </c>
      <c r="D45" s="415"/>
      <c r="E45" s="104"/>
      <c r="F45" s="415"/>
      <c r="G45" s="415"/>
      <c r="H45" s="415"/>
      <c r="I45" s="415"/>
      <c r="J45" s="415">
        <f>Unit.MW</f>
        <v>1E-3</v>
      </c>
      <c r="K45" s="415"/>
      <c r="L45" s="415"/>
      <c r="M45" s="415"/>
      <c r="N45" s="415"/>
      <c r="O45" s="104" t="s">
        <v>277</v>
      </c>
      <c r="P45" s="402"/>
    </row>
    <row r="46" spans="2:16">
      <c r="B46" s="402"/>
      <c r="C46" s="415"/>
      <c r="D46" s="415"/>
      <c r="E46" s="415"/>
      <c r="F46" s="415"/>
      <c r="G46" s="415"/>
      <c r="H46" s="415"/>
      <c r="I46" s="415"/>
      <c r="J46" s="415"/>
      <c r="K46" s="415"/>
      <c r="L46" s="415"/>
      <c r="M46" s="415"/>
      <c r="N46" s="415"/>
      <c r="O46" s="415"/>
      <c r="P46" s="402"/>
    </row>
    <row r="47" spans="2:16">
      <c r="B47" s="402"/>
      <c r="C47" s="61" t="s">
        <v>411</v>
      </c>
      <c r="D47" s="61" t="s">
        <v>65</v>
      </c>
      <c r="E47" s="61" t="s">
        <v>156</v>
      </c>
      <c r="F47" s="119">
        <v>2007</v>
      </c>
      <c r="G47" s="120">
        <f>F47+5</f>
        <v>2012</v>
      </c>
      <c r="H47" s="120">
        <f t="shared" ref="H47:O47" si="10">G47+5</f>
        <v>2017</v>
      </c>
      <c r="I47" s="120">
        <f t="shared" si="10"/>
        <v>2022</v>
      </c>
      <c r="J47" s="120">
        <f t="shared" si="10"/>
        <v>2027</v>
      </c>
      <c r="K47" s="120">
        <f t="shared" si="10"/>
        <v>2032</v>
      </c>
      <c r="L47" s="120">
        <f t="shared" si="10"/>
        <v>2037</v>
      </c>
      <c r="M47" s="120">
        <f t="shared" si="10"/>
        <v>2042</v>
      </c>
      <c r="N47" s="120">
        <f t="shared" si="10"/>
        <v>2047</v>
      </c>
      <c r="O47" s="120">
        <f t="shared" si="10"/>
        <v>2052</v>
      </c>
      <c r="P47" s="402"/>
    </row>
    <row r="48" spans="2:16">
      <c r="B48" s="402"/>
      <c r="C48" s="541">
        <v>1</v>
      </c>
      <c r="D48" s="1409"/>
      <c r="E48" s="2423"/>
      <c r="F48" s="1528">
        <f>F$61</f>
        <v>0.40500000000000003</v>
      </c>
      <c r="G48" s="1528">
        <f t="shared" ref="G48:L48" si="11">((F39*F48)+((G39-F39)*G$61))/G39</f>
        <v>0.40708234877126659</v>
      </c>
      <c r="H48" s="1528">
        <f t="shared" si="11"/>
        <v>0.41104838709677421</v>
      </c>
      <c r="I48" s="1528">
        <f t="shared" si="11"/>
        <v>0.41464984207968908</v>
      </c>
      <c r="J48" s="1528">
        <f t="shared" si="11"/>
        <v>0.41733257751529218</v>
      </c>
      <c r="K48" s="1528">
        <f t="shared" si="11"/>
        <v>0.42055511554230346</v>
      </c>
      <c r="L48" s="1528">
        <f t="shared" si="11"/>
        <v>0.42217553050981782</v>
      </c>
      <c r="M48" s="1528">
        <f>((L39*L48)+(M16*M$61)+(M27*G$61))/M39</f>
        <v>0.43163750000000006</v>
      </c>
      <c r="N48" s="1528">
        <f t="shared" ref="N48:O51" si="12">((M39*M48)+(N16*N$61)+(N27*H$61))/N39</f>
        <v>0.43900006636727651</v>
      </c>
      <c r="O48" s="1528">
        <f t="shared" si="12"/>
        <v>0.44646638497444857</v>
      </c>
      <c r="P48" s="402"/>
    </row>
    <row r="49" spans="2:16">
      <c r="B49" s="402"/>
      <c r="C49" s="541">
        <v>2</v>
      </c>
      <c r="D49" s="1409"/>
      <c r="E49" s="1409"/>
      <c r="F49" s="1528">
        <f>F$61</f>
        <v>0.40500000000000003</v>
      </c>
      <c r="G49" s="1528">
        <f t="shared" ref="G49:L51" si="13">((F40*F49)+((G40-F40)*G$61))/G40</f>
        <v>0.40708234877126659</v>
      </c>
      <c r="H49" s="1528">
        <f t="shared" si="13"/>
        <v>0.41202749015604495</v>
      </c>
      <c r="I49" s="1528">
        <f t="shared" si="13"/>
        <v>0.4170804398148148</v>
      </c>
      <c r="J49" s="1528">
        <f t="shared" si="13"/>
        <v>0.42098088040677017</v>
      </c>
      <c r="K49" s="1528">
        <f t="shared" si="13"/>
        <v>0.42527442512298358</v>
      </c>
      <c r="L49" s="1528">
        <f t="shared" si="13"/>
        <v>0.42692438073884259</v>
      </c>
      <c r="M49" s="1528">
        <f>((L40*L49)+(M17*M$61)+(M28*G$61))/M40</f>
        <v>0.43360554480980013</v>
      </c>
      <c r="N49" s="1528">
        <f t="shared" si="12"/>
        <v>0.43786473900940304</v>
      </c>
      <c r="O49" s="1528">
        <f t="shared" si="12"/>
        <v>0.44375776277226175</v>
      </c>
      <c r="P49" s="402"/>
    </row>
    <row r="50" spans="2:16">
      <c r="B50" s="402"/>
      <c r="C50" s="541">
        <v>3</v>
      </c>
      <c r="D50" s="1409"/>
      <c r="E50" s="1409"/>
      <c r="F50" s="1528">
        <f>F$61</f>
        <v>0.40500000000000003</v>
      </c>
      <c r="G50" s="1528">
        <f t="shared" si="13"/>
        <v>0.40708234877126659</v>
      </c>
      <c r="H50" s="1528">
        <f t="shared" si="13"/>
        <v>0.41256932173440264</v>
      </c>
      <c r="I50" s="1528">
        <f t="shared" si="13"/>
        <v>0.41759913409403582</v>
      </c>
      <c r="J50" s="1528">
        <f t="shared" si="13"/>
        <v>0.42261177046724668</v>
      </c>
      <c r="K50" s="1528">
        <f t="shared" si="13"/>
        <v>0.4280914411278392</v>
      </c>
      <c r="L50" s="1528">
        <f t="shared" si="13"/>
        <v>0.42974403588526372</v>
      </c>
      <c r="M50" s="1528">
        <f>((L41*L50)+(M18*M$61)+(M29*G$61))/M41</f>
        <v>0.4342401808136615</v>
      </c>
      <c r="N50" s="1528">
        <f t="shared" si="12"/>
        <v>0.43755935289586112</v>
      </c>
      <c r="O50" s="1528">
        <f t="shared" si="12"/>
        <v>0.44318699788900795</v>
      </c>
      <c r="P50" s="402"/>
    </row>
    <row r="51" spans="2:16">
      <c r="B51" s="402"/>
      <c r="C51" s="2424">
        <v>4</v>
      </c>
      <c r="D51" s="2425"/>
      <c r="E51" s="2425"/>
      <c r="F51" s="1528">
        <f>F$61</f>
        <v>0.40500000000000003</v>
      </c>
      <c r="G51" s="1528">
        <f t="shared" si="13"/>
        <v>0.40708234877126659</v>
      </c>
      <c r="H51" s="1528">
        <f t="shared" si="13"/>
        <v>0.41315115259333501</v>
      </c>
      <c r="I51" s="1528">
        <f t="shared" si="13"/>
        <v>0.41804934959947082</v>
      </c>
      <c r="J51" s="1528">
        <f t="shared" si="13"/>
        <v>0.42338457470917057</v>
      </c>
      <c r="K51" s="1528">
        <f t="shared" si="13"/>
        <v>0.42931050553788785</v>
      </c>
      <c r="L51" s="1528">
        <f t="shared" si="13"/>
        <v>0.43484882351366538</v>
      </c>
      <c r="M51" s="1528">
        <f>((L42*L51)+(M19*M$61)+(M30*G$61))/M42</f>
        <v>0.43783757940488127</v>
      </c>
      <c r="N51" s="1528">
        <f t="shared" si="12"/>
        <v>0.43995684261941881</v>
      </c>
      <c r="O51" s="1528">
        <f t="shared" si="12"/>
        <v>0.4444733126802406</v>
      </c>
      <c r="P51" s="402"/>
    </row>
    <row r="52" spans="2:16">
      <c r="B52" s="402"/>
      <c r="C52" s="2426" t="s">
        <v>406</v>
      </c>
      <c r="D52" s="2427"/>
      <c r="E52" s="2427"/>
      <c r="F52" s="2428">
        <f>(INDEX(F48:F51,ROUNDDOWN($E$8,0))*(1-MOD($E$8,1)))+(INDEX(F48:F51,ROUNDUP($E$8,0))*MOD($E$8,1))</f>
        <v>0.40500000000000003</v>
      </c>
      <c r="G52" s="2428">
        <f t="shared" ref="G52:O52" si="14">(INDEX(G48:G51,ROUNDDOWN($E$8,0))*(1-MOD($E$8,1)))+(INDEX(G48:G51,ROUNDUP($E$8,0))*MOD($E$8,1))</f>
        <v>0.40708234877126659</v>
      </c>
      <c r="H52" s="2428">
        <f t="shared" si="14"/>
        <v>0.41104838709677421</v>
      </c>
      <c r="I52" s="2428">
        <f t="shared" si="14"/>
        <v>0.41464984207968908</v>
      </c>
      <c r="J52" s="2428">
        <f t="shared" si="14"/>
        <v>0.41733257751529218</v>
      </c>
      <c r="K52" s="2428">
        <f t="shared" si="14"/>
        <v>0.42055511554230346</v>
      </c>
      <c r="L52" s="2428">
        <f t="shared" si="14"/>
        <v>0.42217553050981782</v>
      </c>
      <c r="M52" s="2428">
        <f t="shared" si="14"/>
        <v>0.43163750000000006</v>
      </c>
      <c r="N52" s="2428">
        <f t="shared" si="14"/>
        <v>0.43900006636727651</v>
      </c>
      <c r="O52" s="2428">
        <f t="shared" si="14"/>
        <v>0.44646638497444857</v>
      </c>
      <c r="P52" s="402"/>
    </row>
    <row r="53" spans="2:16">
      <c r="B53" s="402"/>
      <c r="C53" s="402"/>
      <c r="D53" s="402"/>
      <c r="E53" s="402"/>
      <c r="F53" s="402"/>
      <c r="G53" s="402"/>
      <c r="H53" s="402"/>
      <c r="I53" s="402"/>
      <c r="J53" s="402"/>
      <c r="K53" s="402"/>
      <c r="L53" s="402"/>
      <c r="M53" s="402"/>
      <c r="N53" s="402"/>
      <c r="O53" s="402"/>
      <c r="P53" s="402"/>
    </row>
    <row r="54" spans="2:16">
      <c r="B54" s="402"/>
      <c r="C54" s="402"/>
      <c r="D54" s="402"/>
      <c r="E54" s="402"/>
      <c r="F54" s="402"/>
      <c r="G54" s="402"/>
      <c r="H54" s="402"/>
      <c r="I54" s="402"/>
      <c r="J54" s="402"/>
      <c r="K54" s="402"/>
      <c r="L54" s="402"/>
      <c r="M54" s="402"/>
      <c r="N54" s="402"/>
      <c r="O54" s="402"/>
      <c r="P54" s="402"/>
    </row>
    <row r="56" spans="2:16" ht="15.75">
      <c r="B56" s="421" t="s">
        <v>265</v>
      </c>
      <c r="C56" s="159"/>
      <c r="D56" s="159"/>
      <c r="E56" s="159"/>
      <c r="F56" s="159"/>
      <c r="G56" s="159"/>
      <c r="H56" s="159"/>
      <c r="I56" s="159"/>
      <c r="J56" s="159"/>
      <c r="K56" s="159"/>
      <c r="L56" s="159"/>
      <c r="M56" s="159"/>
      <c r="N56" s="159"/>
      <c r="O56" s="159"/>
      <c r="P56" s="160"/>
    </row>
    <row r="57" spans="2:16">
      <c r="B57" s="418"/>
      <c r="C57" s="415"/>
      <c r="D57" s="415"/>
      <c r="E57" s="415"/>
      <c r="F57" s="415"/>
      <c r="G57" s="415"/>
      <c r="H57" s="415"/>
      <c r="I57" s="415"/>
      <c r="J57" s="415"/>
      <c r="K57" s="415"/>
      <c r="L57" s="415"/>
      <c r="M57" s="415"/>
      <c r="N57" s="415"/>
      <c r="O57" s="415"/>
      <c r="P57" s="419"/>
    </row>
    <row r="58" spans="2:16">
      <c r="B58" s="418"/>
      <c r="C58" s="416" t="s">
        <v>1873</v>
      </c>
      <c r="D58" s="415"/>
      <c r="E58" s="415"/>
      <c r="F58" s="415"/>
      <c r="G58" s="104"/>
      <c r="H58" s="415"/>
      <c r="I58" s="415"/>
      <c r="J58" s="415"/>
      <c r="K58" s="415"/>
      <c r="L58" s="415"/>
      <c r="M58" s="415"/>
      <c r="N58" s="415"/>
      <c r="O58" s="415"/>
      <c r="P58" s="419"/>
    </row>
    <row r="59" spans="2:16">
      <c r="B59" s="418"/>
      <c r="C59" s="415"/>
      <c r="D59" s="415"/>
      <c r="E59" s="415"/>
      <c r="F59" s="415"/>
      <c r="G59" s="415"/>
      <c r="H59" s="415"/>
      <c r="I59" s="415"/>
      <c r="J59" s="415"/>
      <c r="K59" s="415"/>
      <c r="L59" s="415"/>
      <c r="M59" s="415"/>
      <c r="N59" s="415"/>
      <c r="O59" s="415"/>
      <c r="P59" s="419"/>
    </row>
    <row r="60" spans="2:16" ht="15.75">
      <c r="B60" s="152"/>
      <c r="C60" s="61" t="s">
        <v>227</v>
      </c>
      <c r="D60" s="61" t="s">
        <v>240</v>
      </c>
      <c r="E60" s="61" t="s">
        <v>156</v>
      </c>
      <c r="F60" s="119">
        <v>2007</v>
      </c>
      <c r="G60" s="120">
        <f t="shared" ref="G60:O60" si="15">F60+5</f>
        <v>2012</v>
      </c>
      <c r="H60" s="120">
        <f t="shared" si="15"/>
        <v>2017</v>
      </c>
      <c r="I60" s="120">
        <f t="shared" si="15"/>
        <v>2022</v>
      </c>
      <c r="J60" s="120">
        <f t="shared" si="15"/>
        <v>2027</v>
      </c>
      <c r="K60" s="120">
        <f t="shared" si="15"/>
        <v>2032</v>
      </c>
      <c r="L60" s="120">
        <f t="shared" si="15"/>
        <v>2037</v>
      </c>
      <c r="M60" s="120">
        <f t="shared" si="15"/>
        <v>2042</v>
      </c>
      <c r="N60" s="120">
        <f t="shared" si="15"/>
        <v>2047</v>
      </c>
      <c r="O60" s="120">
        <f t="shared" si="15"/>
        <v>2052</v>
      </c>
      <c r="P60" s="419"/>
    </row>
    <row r="61" spans="2:16" s="131" customFormat="1" ht="15.75">
      <c r="B61" s="1613"/>
      <c r="C61" s="2431" t="s">
        <v>12</v>
      </c>
      <c r="D61" s="2431" t="str">
        <f>INDEX(Vectors[Description], MATCH($C61, Vectors[Code], 0))</f>
        <v>Hydro</v>
      </c>
      <c r="E61" s="2431"/>
      <c r="F61" s="2445">
        <v>0.40500000000000003</v>
      </c>
      <c r="G61" s="2446">
        <v>0.41</v>
      </c>
      <c r="H61" s="2445">
        <v>0.42</v>
      </c>
      <c r="I61" s="2445">
        <v>0.42499999999999999</v>
      </c>
      <c r="J61" s="2445">
        <v>0.435</v>
      </c>
      <c r="K61" s="2445">
        <v>0.44500000000000001</v>
      </c>
      <c r="L61" s="2445">
        <v>0.45</v>
      </c>
      <c r="M61" s="2445">
        <v>0.45500000000000002</v>
      </c>
      <c r="N61" s="2445">
        <v>0.46500000000000002</v>
      </c>
      <c r="O61" s="2445">
        <v>0.47</v>
      </c>
      <c r="P61" s="1614"/>
    </row>
    <row r="62" spans="2:16" ht="15.75">
      <c r="B62" s="152"/>
      <c r="C62" s="413"/>
      <c r="D62" s="414"/>
      <c r="E62" s="414"/>
      <c r="F62" s="612"/>
      <c r="G62" s="613"/>
      <c r="H62" s="613"/>
      <c r="I62" s="613"/>
      <c r="J62" s="613"/>
      <c r="K62" s="613"/>
      <c r="L62" s="613"/>
      <c r="M62" s="613"/>
      <c r="N62" s="613"/>
      <c r="O62" s="613"/>
      <c r="P62" s="419"/>
    </row>
    <row r="63" spans="2:16" ht="15.75">
      <c r="B63" s="152"/>
      <c r="C63" s="416" t="s">
        <v>524</v>
      </c>
      <c r="D63" s="415"/>
      <c r="E63" s="415"/>
      <c r="F63" s="415"/>
      <c r="G63" s="104"/>
      <c r="H63" s="415"/>
      <c r="I63" s="415"/>
      <c r="J63" s="613"/>
      <c r="K63" s="613"/>
      <c r="L63" s="613"/>
      <c r="M63" s="613"/>
      <c r="N63" s="613"/>
      <c r="O63" s="613"/>
      <c r="P63" s="419"/>
    </row>
    <row r="64" spans="2:16" ht="15.75">
      <c r="B64" s="152"/>
      <c r="C64" s="415"/>
      <c r="D64" s="415"/>
      <c r="E64" s="415"/>
      <c r="F64" s="415"/>
      <c r="G64" s="415"/>
      <c r="H64" s="415"/>
      <c r="I64" s="415"/>
      <c r="J64" s="613"/>
      <c r="K64" s="613"/>
      <c r="L64" s="613"/>
      <c r="M64" s="613"/>
      <c r="N64" s="613"/>
      <c r="O64" s="613"/>
      <c r="P64" s="419"/>
    </row>
    <row r="65" spans="1:31" s="51" customFormat="1" ht="22.5">
      <c r="A65" s="162"/>
      <c r="B65" s="152"/>
      <c r="C65" s="2882"/>
      <c r="D65" s="2882"/>
      <c r="E65" s="2882"/>
      <c r="F65" s="2174"/>
      <c r="G65" s="2883" t="s">
        <v>71</v>
      </c>
      <c r="H65" s="2883"/>
      <c r="I65" s="692"/>
      <c r="J65" s="613"/>
      <c r="K65" s="613"/>
      <c r="L65" s="613"/>
      <c r="M65" s="613"/>
      <c r="N65" s="613"/>
      <c r="O65" s="613"/>
      <c r="P65" s="419"/>
      <c r="S65" s="2331"/>
      <c r="T65" s="2331"/>
      <c r="U65" s="2331"/>
      <c r="V65" s="2331"/>
      <c r="W65" s="2331"/>
      <c r="X65" s="2331"/>
      <c r="Y65" s="2331"/>
      <c r="Z65" s="2331"/>
      <c r="AA65" s="2331"/>
      <c r="AB65" s="2331"/>
      <c r="AC65" s="2331"/>
      <c r="AD65" s="2331"/>
      <c r="AE65" s="2331"/>
    </row>
    <row r="66" spans="1:31" ht="15" customHeight="1">
      <c r="B66" s="152"/>
      <c r="C66" s="2884"/>
      <c r="D66" s="2885" t="s">
        <v>836</v>
      </c>
      <c r="E66" s="2885" t="s">
        <v>99</v>
      </c>
      <c r="F66" s="2886">
        <f>1*Unit.MW</f>
        <v>1E-3</v>
      </c>
      <c r="G66" s="2887" t="str">
        <f>Preferences.PowerUnits&amp;"peak"</f>
        <v>GWpeak</v>
      </c>
      <c r="H66" s="2888"/>
      <c r="I66" s="692"/>
      <c r="J66" s="613"/>
      <c r="K66" s="613"/>
      <c r="L66" s="613"/>
      <c r="M66" s="613"/>
      <c r="N66" s="613"/>
      <c r="O66" s="613"/>
      <c r="P66" s="419"/>
    </row>
    <row r="67" spans="1:31" ht="15" customHeight="1">
      <c r="B67" s="152"/>
      <c r="C67" s="2884"/>
      <c r="D67" s="2875" t="s">
        <v>791</v>
      </c>
      <c r="E67" s="2885" t="s">
        <v>100</v>
      </c>
      <c r="F67" s="2889">
        <f>(0.2/36%)*Unit.W/Unit.m2</f>
        <v>5.5555555555555558E-6</v>
      </c>
      <c r="G67" s="2890" t="str">
        <f>Preferences.PowerUnits&amp;"peak/"&amp;Preferences.AreaUnits</f>
        <v>GWpeak/ha</v>
      </c>
      <c r="H67" s="2891"/>
      <c r="I67" s="692"/>
      <c r="J67" s="613"/>
      <c r="K67" s="613"/>
      <c r="L67" s="613"/>
      <c r="M67" s="613"/>
      <c r="N67" s="613"/>
      <c r="O67" s="613"/>
      <c r="P67" s="419"/>
    </row>
    <row r="68" spans="1:31" ht="12.75" customHeight="1">
      <c r="B68" s="152"/>
      <c r="C68" s="2892"/>
      <c r="D68" s="2893" t="s">
        <v>792</v>
      </c>
      <c r="E68" s="2893" t="s">
        <v>100</v>
      </c>
      <c r="F68" s="2894">
        <f>(11/36%)*Unit.W/Unit.m2</f>
        <v>3.055555555555556E-4</v>
      </c>
      <c r="G68" s="2895" t="str">
        <f>Preferences.PowerUnits&amp;"peak/"&amp;Preferences.AreaUnits</f>
        <v>GWpeak/ha</v>
      </c>
      <c r="H68" s="2895"/>
      <c r="I68" s="692"/>
      <c r="J68" s="613"/>
      <c r="K68" s="613"/>
      <c r="L68" s="613"/>
      <c r="M68" s="613"/>
      <c r="N68" s="613"/>
      <c r="O68" s="613"/>
      <c r="P68" s="419"/>
    </row>
    <row r="69" spans="1:31" ht="15.75">
      <c r="B69" s="152"/>
      <c r="C69" s="415"/>
      <c r="D69" s="415"/>
      <c r="E69" s="415"/>
      <c r="F69" s="415"/>
      <c r="G69" s="415"/>
      <c r="H69" s="415"/>
      <c r="I69" s="415"/>
      <c r="J69" s="613"/>
      <c r="K69" s="613"/>
      <c r="L69" s="613"/>
      <c r="M69" s="613"/>
      <c r="N69" s="613"/>
      <c r="O69" s="613"/>
      <c r="P69" s="419"/>
    </row>
    <row r="70" spans="1:31">
      <c r="B70" s="415"/>
      <c r="C70" s="415"/>
      <c r="D70" s="415"/>
      <c r="E70" s="415"/>
      <c r="F70" s="415"/>
      <c r="G70" s="415"/>
      <c r="H70" s="415"/>
      <c r="I70" s="415"/>
      <c r="J70" s="415"/>
      <c r="K70" s="415"/>
      <c r="L70" s="415"/>
      <c r="M70" s="415"/>
      <c r="N70" s="415"/>
      <c r="O70" s="415"/>
      <c r="P70" s="419"/>
    </row>
    <row r="71" spans="1:31">
      <c r="B71" s="415"/>
      <c r="C71" s="618"/>
      <c r="D71" s="105"/>
      <c r="E71" s="415"/>
      <c r="F71" s="415"/>
      <c r="G71" s="415"/>
      <c r="H71" s="415"/>
      <c r="I71" s="415"/>
      <c r="J71" s="415"/>
      <c r="K71" s="415"/>
      <c r="L71" s="415"/>
      <c r="M71" s="415"/>
      <c r="N71" s="415"/>
      <c r="O71" s="415"/>
      <c r="P71" s="419"/>
    </row>
    <row r="72" spans="1:31">
      <c r="B72" s="415"/>
      <c r="C72" s="618"/>
      <c r="D72" s="105"/>
      <c r="E72" s="415"/>
      <c r="F72" s="415"/>
      <c r="G72" s="415"/>
      <c r="H72" s="415"/>
      <c r="I72" s="415"/>
      <c r="J72" s="415"/>
      <c r="K72" s="415"/>
      <c r="L72" s="415"/>
      <c r="M72" s="415"/>
      <c r="N72" s="415"/>
      <c r="O72" s="415"/>
      <c r="P72" s="419"/>
    </row>
    <row r="73" spans="1:31" ht="12.75" customHeight="1">
      <c r="B73" s="415"/>
      <c r="C73" s="618"/>
      <c r="D73" s="105"/>
      <c r="E73" s="415"/>
      <c r="F73" s="415"/>
      <c r="G73" s="415"/>
      <c r="H73" s="415"/>
      <c r="I73" s="415"/>
      <c r="J73" s="415"/>
      <c r="K73" s="415"/>
      <c r="L73" s="415"/>
      <c r="M73" s="415"/>
      <c r="N73" s="415"/>
      <c r="O73" s="415"/>
      <c r="P73" s="419"/>
    </row>
    <row r="74" spans="1:31">
      <c r="B74" s="415"/>
      <c r="C74" s="415"/>
      <c r="D74" s="415"/>
      <c r="E74" s="415"/>
      <c r="F74" s="415"/>
      <c r="G74" s="415"/>
      <c r="H74" s="415"/>
      <c r="I74" s="415"/>
      <c r="J74" s="415"/>
      <c r="K74" s="415"/>
      <c r="L74" s="415"/>
      <c r="M74" s="415"/>
      <c r="N74" s="415"/>
      <c r="O74" s="157"/>
      <c r="P74" s="157"/>
    </row>
    <row r="76" spans="1:31" ht="15.75">
      <c r="B76" s="421" t="s">
        <v>580</v>
      </c>
      <c r="C76" s="159"/>
      <c r="D76" s="159"/>
      <c r="E76" s="159"/>
      <c r="F76" s="159"/>
      <c r="G76" s="159"/>
      <c r="H76" s="159"/>
      <c r="I76" s="159"/>
      <c r="J76" s="159"/>
      <c r="K76" s="159"/>
      <c r="L76" s="159"/>
      <c r="M76" s="159"/>
      <c r="N76" s="159"/>
      <c r="O76" s="159"/>
      <c r="P76" s="159"/>
    </row>
    <row r="77" spans="1:31">
      <c r="B77" s="210"/>
      <c r="C77" s="198"/>
      <c r="D77" s="198"/>
      <c r="E77" s="198"/>
      <c r="F77" s="198"/>
      <c r="G77" s="198"/>
      <c r="H77" s="198"/>
      <c r="I77" s="198"/>
      <c r="J77" s="198"/>
      <c r="K77" s="198"/>
      <c r="L77" s="198"/>
      <c r="M77" s="198"/>
      <c r="N77" s="198"/>
      <c r="O77" s="198"/>
      <c r="P77" s="198"/>
    </row>
    <row r="78" spans="1:31">
      <c r="B78" s="418"/>
      <c r="C78" s="416" t="str">
        <f>"Capital cost of a "&amp;plantsize.iv.d&amp;" "&amp;Preferences.PowerUnits&amp;" hydro plant"</f>
        <v>Capital cost of a 0.001 GW hydro plant</v>
      </c>
      <c r="D78" s="69"/>
      <c r="E78" s="321"/>
      <c r="F78" s="317"/>
      <c r="G78" s="317"/>
      <c r="H78" s="264"/>
      <c r="I78" s="264"/>
      <c r="J78" s="264"/>
      <c r="K78" s="264"/>
      <c r="L78" s="264"/>
      <c r="M78" s="264"/>
      <c r="N78" s="264"/>
      <c r="O78" s="361" t="str">
        <f>Preferences.moneyunits&amp;"/plant"</f>
        <v>INR Cr/plant</v>
      </c>
      <c r="P78" s="415"/>
    </row>
    <row r="79" spans="1:31">
      <c r="B79" s="418"/>
      <c r="C79" s="2271"/>
      <c r="D79" s="69"/>
      <c r="E79" s="321"/>
      <c r="F79" s="317"/>
      <c r="G79" s="317"/>
      <c r="H79" s="264"/>
      <c r="I79" s="264"/>
      <c r="J79" s="264"/>
      <c r="K79" s="264"/>
      <c r="L79" s="264"/>
      <c r="M79" s="264"/>
      <c r="N79" s="264"/>
      <c r="O79" s="415"/>
      <c r="P79" s="415"/>
    </row>
    <row r="80" spans="1:31">
      <c r="B80" s="418"/>
      <c r="C80" s="1418"/>
      <c r="D80" s="1419"/>
      <c r="E80" s="1397" t="s">
        <v>533</v>
      </c>
      <c r="F80" s="119">
        <v>2007</v>
      </c>
      <c r="G80" s="120">
        <f t="shared" ref="G80:O80" si="16">F80+5</f>
        <v>2012</v>
      </c>
      <c r="H80" s="120">
        <f t="shared" si="16"/>
        <v>2017</v>
      </c>
      <c r="I80" s="120">
        <f t="shared" si="16"/>
        <v>2022</v>
      </c>
      <c r="J80" s="120">
        <f t="shared" si="16"/>
        <v>2027</v>
      </c>
      <c r="K80" s="120">
        <f t="shared" si="16"/>
        <v>2032</v>
      </c>
      <c r="L80" s="120">
        <f t="shared" si="16"/>
        <v>2037</v>
      </c>
      <c r="M80" s="120">
        <f t="shared" si="16"/>
        <v>2042</v>
      </c>
      <c r="N80" s="120">
        <f t="shared" si="16"/>
        <v>2047</v>
      </c>
      <c r="O80" s="120">
        <f t="shared" si="16"/>
        <v>2052</v>
      </c>
      <c r="P80" s="415"/>
    </row>
    <row r="81" spans="1:114">
      <c r="B81" s="418"/>
      <c r="C81" s="1420" t="s">
        <v>684</v>
      </c>
      <c r="D81" s="1419"/>
      <c r="E81" s="1399">
        <v>0</v>
      </c>
      <c r="F81" s="198">
        <f>5.5*((INRCr*plantsize.iv.d/Unit.MW))</f>
        <v>5.5</v>
      </c>
      <c r="G81" s="198">
        <f>5.5*((INRCr*plantsize.iv.d/Unit.MW))</f>
        <v>5.5</v>
      </c>
      <c r="H81" s="198">
        <f t="shared" ref="H81:N81" si="17">(G81-$M$54)*((INRCr*plantsize.iv.d/Unit.MW))</f>
        <v>5.5</v>
      </c>
      <c r="I81" s="198">
        <f t="shared" si="17"/>
        <v>5.5</v>
      </c>
      <c r="J81" s="198">
        <f t="shared" si="17"/>
        <v>5.5</v>
      </c>
      <c r="K81" s="198">
        <f t="shared" si="17"/>
        <v>5.5</v>
      </c>
      <c r="L81" s="198">
        <f t="shared" si="17"/>
        <v>5.5</v>
      </c>
      <c r="M81" s="198">
        <f t="shared" si="17"/>
        <v>5.5</v>
      </c>
      <c r="N81" s="198">
        <f t="shared" si="17"/>
        <v>5.5</v>
      </c>
      <c r="O81" s="198">
        <f>((1-P81)*G81)*((INRCr*plantsize.iv.d/Unit.MW))</f>
        <v>5.5</v>
      </c>
      <c r="P81" s="415"/>
    </row>
    <row r="82" spans="1:114">
      <c r="B82" s="418"/>
      <c r="C82" s="248" t="s">
        <v>685</v>
      </c>
      <c r="D82" s="69"/>
      <c r="E82" s="107">
        <f>(O82-G82)/(O$80-G$80)</f>
        <v>-6.8750000000000087E-3</v>
      </c>
      <c r="F82" s="198">
        <f>5.5*((INRCr*plantsize.iv.d/Unit.MW))</f>
        <v>5.5</v>
      </c>
      <c r="G82" s="198">
        <f>5.5*((INRCr*plantsize.iv.d/Unit.MW))</f>
        <v>5.5</v>
      </c>
      <c r="H82" s="198">
        <f>5.465625*((INRCr*plantsize.iv.d/Unit.MW))</f>
        <v>5.4656250000000002</v>
      </c>
      <c r="I82" s="198">
        <f>5.43125*((INRCr*plantsize.iv.d/Unit.MW))</f>
        <v>5.4312500000000004</v>
      </c>
      <c r="J82" s="198">
        <f>5.396875*((INRCr*plantsize.iv.d/Unit.MW))</f>
        <v>5.3968749999999996</v>
      </c>
      <c r="K82" s="198">
        <f>5.3625*((INRCr*plantsize.iv.d/Unit.MW))</f>
        <v>5.3624999999999998</v>
      </c>
      <c r="L82" s="198">
        <f>5.328125*((INRCr*plantsize.iv.d/Unit.MW))</f>
        <v>5.328125</v>
      </c>
      <c r="M82" s="198">
        <f>5.29375*((INRCr*plantsize.iv.d/Unit.MW))</f>
        <v>5.2937500000000002</v>
      </c>
      <c r="N82" s="198">
        <f>5.259375*((INRCr*plantsize.iv.d/Unit.MW))</f>
        <v>5.2593750000000004</v>
      </c>
      <c r="O82" s="198">
        <f>5.225*((INRCr*plantsize.iv.d/Unit.MW))</f>
        <v>5.2249999999999996</v>
      </c>
      <c r="P82" s="415"/>
    </row>
    <row r="83" spans="1:114">
      <c r="B83" s="418"/>
      <c r="C83" s="507" t="s">
        <v>686</v>
      </c>
      <c r="D83" s="108"/>
      <c r="E83" s="109">
        <v>0</v>
      </c>
      <c r="F83" s="198">
        <f>7.5*((INRCr*plantsize.iv.d/Unit.MW))</f>
        <v>7.5</v>
      </c>
      <c r="G83" s="198">
        <f>7.5*((INRCr*plantsize.iv.d/Unit.MW))</f>
        <v>7.5</v>
      </c>
      <c r="H83" s="198">
        <f t="shared" ref="H83:N83" si="18">(G83-$M$55)*((INRCr*plantsize.iv.d/Unit.MW))</f>
        <v>7.5</v>
      </c>
      <c r="I83" s="198">
        <f t="shared" si="18"/>
        <v>7.5</v>
      </c>
      <c r="J83" s="198">
        <f t="shared" si="18"/>
        <v>7.5</v>
      </c>
      <c r="K83" s="198">
        <f t="shared" si="18"/>
        <v>7.5</v>
      </c>
      <c r="L83" s="198">
        <f t="shared" si="18"/>
        <v>7.5</v>
      </c>
      <c r="M83" s="198">
        <f t="shared" si="18"/>
        <v>7.5</v>
      </c>
      <c r="N83" s="198">
        <f t="shared" si="18"/>
        <v>7.5</v>
      </c>
      <c r="O83" s="198">
        <f>((1-P83)*G83)*((INRCr*plantsize.iv.d/Unit.MW))</f>
        <v>7.5</v>
      </c>
      <c r="P83" s="415"/>
      <c r="Q83" s="529"/>
      <c r="R83" s="529"/>
      <c r="S83" s="529"/>
      <c r="T83" s="529"/>
      <c r="U83" s="529"/>
      <c r="V83" s="529"/>
      <c r="W83" s="529"/>
      <c r="X83" s="529"/>
      <c r="Y83" s="529"/>
      <c r="Z83" s="529"/>
      <c r="AA83" s="529"/>
      <c r="AB83" s="529"/>
      <c r="AC83" s="529"/>
      <c r="AD83" s="529"/>
    </row>
    <row r="84" spans="1:114">
      <c r="B84" s="418"/>
      <c r="C84" s="2271"/>
      <c r="D84" s="69"/>
      <c r="E84" s="321"/>
      <c r="F84" s="317"/>
      <c r="G84" s="317"/>
      <c r="H84" s="264"/>
      <c r="I84" s="264"/>
      <c r="J84" s="264"/>
      <c r="K84" s="264"/>
      <c r="L84" s="264"/>
      <c r="M84" s="264"/>
      <c r="N84" s="264"/>
      <c r="O84" s="415"/>
      <c r="P84" s="415"/>
      <c r="Q84" s="529"/>
      <c r="R84" s="529"/>
      <c r="S84" s="529"/>
      <c r="T84" s="529"/>
      <c r="U84" s="529"/>
      <c r="V84" s="529"/>
      <c r="W84" s="529"/>
      <c r="X84" s="529"/>
      <c r="Y84" s="529"/>
      <c r="Z84" s="529"/>
      <c r="AA84" s="529"/>
      <c r="AB84" s="529"/>
      <c r="AC84" s="529"/>
      <c r="AD84" s="529"/>
    </row>
    <row r="85" spans="1:114" s="51" customFormat="1" ht="22.5">
      <c r="A85" s="162"/>
      <c r="B85" s="418"/>
      <c r="C85" s="416" t="str">
        <f>"Operating cost of a "&amp;plantsize.iv.d&amp;" "&amp;Preferences.PowerUnits&amp;" hydro plant"</f>
        <v>Operating cost of a 0.001 GW hydro plant</v>
      </c>
      <c r="D85" s="69"/>
      <c r="E85" s="321"/>
      <c r="F85" s="317"/>
      <c r="G85" s="317"/>
      <c r="H85" s="264"/>
      <c r="I85" s="264"/>
      <c r="J85" s="264"/>
      <c r="K85" s="264"/>
      <c r="L85" s="264"/>
      <c r="M85" s="264"/>
      <c r="N85" s="264"/>
      <c r="O85" s="361" t="str">
        <f>Preferences.moneyunits&amp;"/plant"</f>
        <v>INR Cr/plant</v>
      </c>
      <c r="P85" s="415"/>
      <c r="Q85" s="32"/>
      <c r="R85" s="32"/>
      <c r="S85" s="32"/>
      <c r="T85" s="32"/>
      <c r="U85" s="32"/>
      <c r="V85" s="32"/>
      <c r="W85" s="32"/>
      <c r="X85" s="32"/>
      <c r="Y85" s="32"/>
      <c r="Z85" s="32"/>
      <c r="AA85" s="32"/>
      <c r="AB85" s="32"/>
      <c r="AC85" s="32"/>
      <c r="AD85" s="32"/>
    </row>
    <row r="86" spans="1:114" ht="5.25" customHeight="1">
      <c r="B86" s="418"/>
      <c r="C86" s="2271"/>
      <c r="D86" s="69"/>
      <c r="E86" s="321"/>
      <c r="F86" s="317"/>
      <c r="G86" s="317"/>
      <c r="H86" s="264"/>
      <c r="I86" s="264"/>
      <c r="J86" s="264"/>
      <c r="K86" s="264"/>
      <c r="L86" s="264"/>
      <c r="M86" s="264"/>
      <c r="N86" s="264"/>
      <c r="O86" s="415"/>
      <c r="P86" s="415"/>
      <c r="Q86" s="529"/>
      <c r="R86" s="529"/>
      <c r="S86" s="529"/>
      <c r="T86" s="529"/>
      <c r="U86" s="529"/>
      <c r="V86" s="529"/>
      <c r="W86" s="529"/>
      <c r="X86" s="529"/>
      <c r="Y86" s="529"/>
      <c r="Z86" s="529"/>
      <c r="AA86" s="529"/>
      <c r="AB86" s="529"/>
      <c r="AC86" s="529"/>
      <c r="AD86" s="529"/>
    </row>
    <row r="87" spans="1:114" s="51" customFormat="1">
      <c r="A87" s="2331"/>
      <c r="B87" s="418"/>
      <c r="C87" s="1418"/>
      <c r="D87" s="1419"/>
      <c r="E87" s="1397" t="s">
        <v>533</v>
      </c>
      <c r="F87" s="119">
        <v>2007</v>
      </c>
      <c r="G87" s="120">
        <f t="shared" ref="G87:O87" si="19">F87+5</f>
        <v>2012</v>
      </c>
      <c r="H87" s="120">
        <f t="shared" si="19"/>
        <v>2017</v>
      </c>
      <c r="I87" s="120">
        <f t="shared" si="19"/>
        <v>2022</v>
      </c>
      <c r="J87" s="120">
        <f t="shared" si="19"/>
        <v>2027</v>
      </c>
      <c r="K87" s="120">
        <f t="shared" si="19"/>
        <v>2032</v>
      </c>
      <c r="L87" s="120">
        <f t="shared" si="19"/>
        <v>2037</v>
      </c>
      <c r="M87" s="120">
        <f t="shared" si="19"/>
        <v>2042</v>
      </c>
      <c r="N87" s="120">
        <f t="shared" si="19"/>
        <v>2047</v>
      </c>
      <c r="O87" s="120">
        <f t="shared" si="19"/>
        <v>2052</v>
      </c>
      <c r="P87" s="415"/>
      <c r="Q87" s="529"/>
      <c r="R87" s="529"/>
      <c r="S87" s="529"/>
      <c r="T87" s="529"/>
      <c r="U87" s="529"/>
      <c r="V87" s="529"/>
      <c r="W87" s="529"/>
      <c r="X87" s="529"/>
      <c r="Y87" s="529"/>
      <c r="Z87" s="529"/>
      <c r="AA87" s="529"/>
      <c r="AB87" s="529"/>
      <c r="AC87" s="529"/>
      <c r="AD87" s="529"/>
      <c r="AE87" s="2331"/>
      <c r="AF87" s="2331"/>
      <c r="AG87" s="2331"/>
      <c r="AH87" s="2331"/>
      <c r="AI87" s="2331"/>
      <c r="AJ87" s="2331"/>
      <c r="AK87" s="2331"/>
      <c r="AL87" s="2331"/>
      <c r="AM87" s="2331"/>
      <c r="AN87" s="2331"/>
      <c r="AO87" s="2331"/>
      <c r="AP87" s="2331"/>
      <c r="AQ87" s="2331"/>
      <c r="AR87" s="2331"/>
      <c r="AS87" s="2331"/>
      <c r="AT87" s="2331"/>
      <c r="AU87" s="2331"/>
      <c r="AV87" s="2331"/>
      <c r="AW87" s="2331"/>
      <c r="AX87" s="2331"/>
      <c r="AY87" s="2331"/>
      <c r="AZ87" s="2331"/>
      <c r="BA87" s="2331"/>
      <c r="BB87" s="2331"/>
      <c r="BC87" s="2331"/>
      <c r="BD87" s="2331"/>
      <c r="BE87" s="2331"/>
      <c r="BF87" s="2331"/>
      <c r="BG87" s="2331"/>
      <c r="BH87" s="2331"/>
      <c r="BI87" s="2331"/>
      <c r="BJ87" s="2331"/>
      <c r="BK87" s="2331"/>
      <c r="BL87" s="2331"/>
      <c r="BM87" s="2331"/>
      <c r="BN87" s="2331"/>
      <c r="BO87" s="2331"/>
      <c r="BP87" s="2331"/>
      <c r="BQ87" s="2331"/>
      <c r="BR87" s="2331"/>
      <c r="BS87" s="2331"/>
      <c r="BT87" s="2331"/>
      <c r="BU87" s="2331"/>
      <c r="BV87" s="2331"/>
      <c r="BW87" s="2331"/>
      <c r="BX87" s="2331"/>
      <c r="BY87" s="2331"/>
      <c r="BZ87" s="2331"/>
      <c r="CA87" s="2331"/>
      <c r="CB87" s="2331"/>
      <c r="CC87" s="2331"/>
      <c r="CD87" s="2331"/>
      <c r="CE87" s="2331"/>
      <c r="CF87" s="2331"/>
      <c r="CG87" s="2331"/>
      <c r="CH87" s="2331"/>
      <c r="CI87" s="2331"/>
      <c r="CJ87" s="2331"/>
      <c r="CK87" s="2331"/>
      <c r="CL87" s="2331"/>
      <c r="CM87" s="2331"/>
      <c r="CN87" s="2331"/>
      <c r="CO87" s="2331"/>
      <c r="CP87" s="2331"/>
      <c r="CQ87" s="2331"/>
      <c r="CR87" s="2331"/>
      <c r="CS87" s="2331"/>
      <c r="CT87" s="2331"/>
      <c r="CU87" s="2331"/>
      <c r="CV87" s="2331"/>
      <c r="CW87" s="2331"/>
      <c r="CX87" s="2331"/>
      <c r="CY87" s="2331"/>
      <c r="CZ87" s="2331"/>
      <c r="DA87" s="2331"/>
      <c r="DB87" s="2331"/>
      <c r="DC87" s="2331"/>
      <c r="DD87" s="2331"/>
      <c r="DE87" s="2331"/>
      <c r="DF87" s="2331"/>
      <c r="DG87" s="2331"/>
      <c r="DH87" s="2331"/>
      <c r="DI87" s="2331"/>
      <c r="DJ87" s="2331"/>
    </row>
    <row r="88" spans="1:114" s="51" customFormat="1" ht="11.25" customHeight="1">
      <c r="A88" s="2331"/>
      <c r="B88" s="418"/>
      <c r="C88" s="1420" t="s">
        <v>684</v>
      </c>
      <c r="D88" s="1419"/>
      <c r="E88" s="1399">
        <f>(O88-G88)/(O$87-G$87)</f>
        <v>0</v>
      </c>
      <c r="F88" s="198">
        <f t="shared" ref="F88:O88" si="20">25*((INRLac*plantsize.iv.d/Unit.MW))</f>
        <v>0.24999999999999997</v>
      </c>
      <c r="G88" s="198">
        <f t="shared" si="20"/>
        <v>0.24999999999999997</v>
      </c>
      <c r="H88" s="198">
        <f t="shared" si="20"/>
        <v>0.24999999999999997</v>
      </c>
      <c r="I88" s="198">
        <f t="shared" si="20"/>
        <v>0.24999999999999997</v>
      </c>
      <c r="J88" s="198">
        <f t="shared" si="20"/>
        <v>0.24999999999999997</v>
      </c>
      <c r="K88" s="198">
        <f t="shared" si="20"/>
        <v>0.24999999999999997</v>
      </c>
      <c r="L88" s="198">
        <f t="shared" si="20"/>
        <v>0.24999999999999997</v>
      </c>
      <c r="M88" s="198">
        <f t="shared" si="20"/>
        <v>0.24999999999999997</v>
      </c>
      <c r="N88" s="198">
        <f t="shared" si="20"/>
        <v>0.24999999999999997</v>
      </c>
      <c r="O88" s="198">
        <f t="shared" si="20"/>
        <v>0.24999999999999997</v>
      </c>
      <c r="P88" s="415"/>
      <c r="Q88" s="529"/>
      <c r="R88" s="529"/>
      <c r="S88" s="529"/>
      <c r="T88" s="529"/>
      <c r="U88" s="529"/>
      <c r="V88" s="529"/>
      <c r="W88" s="529"/>
      <c r="X88" s="529"/>
      <c r="Y88" s="529"/>
      <c r="Z88" s="529"/>
      <c r="AA88" s="529"/>
      <c r="AB88" s="529"/>
      <c r="AC88" s="529"/>
      <c r="AD88" s="529"/>
      <c r="AE88" s="2331"/>
      <c r="AF88" s="2331"/>
      <c r="AG88" s="2331"/>
      <c r="AH88" s="2331"/>
      <c r="AI88" s="2331"/>
      <c r="AJ88" s="2331"/>
      <c r="AK88" s="2331"/>
      <c r="AL88" s="2331"/>
      <c r="AM88" s="2331"/>
      <c r="AN88" s="2331"/>
      <c r="AO88" s="2331"/>
      <c r="AP88" s="2331"/>
      <c r="AQ88" s="2331"/>
      <c r="AR88" s="2331"/>
      <c r="AS88" s="2331"/>
      <c r="AT88" s="2331"/>
      <c r="AU88" s="2331"/>
      <c r="AV88" s="2331"/>
      <c r="AW88" s="2331"/>
      <c r="AX88" s="2331"/>
      <c r="AY88" s="2331"/>
      <c r="AZ88" s="2331"/>
      <c r="BA88" s="2331"/>
      <c r="BB88" s="2331"/>
      <c r="BC88" s="2331"/>
      <c r="BD88" s="2331"/>
      <c r="BE88" s="2331"/>
      <c r="BF88" s="2331"/>
      <c r="BG88" s="2331"/>
      <c r="BH88" s="2331"/>
      <c r="BI88" s="2331"/>
      <c r="BJ88" s="2331"/>
      <c r="BK88" s="2331"/>
      <c r="BL88" s="2331"/>
      <c r="BM88" s="2331"/>
      <c r="BN88" s="2331"/>
      <c r="BO88" s="2331"/>
      <c r="BP88" s="2331"/>
      <c r="BQ88" s="2331"/>
      <c r="BR88" s="2331"/>
      <c r="BS88" s="2331"/>
      <c r="BT88" s="2331"/>
      <c r="BU88" s="2331"/>
      <c r="BV88" s="2331"/>
      <c r="BW88" s="2331"/>
      <c r="BX88" s="2331"/>
      <c r="BY88" s="2331"/>
      <c r="BZ88" s="2331"/>
      <c r="CA88" s="2331"/>
      <c r="CB88" s="2331"/>
      <c r="CC88" s="2331"/>
      <c r="CD88" s="2331"/>
      <c r="CE88" s="2331"/>
      <c r="CF88" s="2331"/>
      <c r="CG88" s="2331"/>
      <c r="CH88" s="2331"/>
      <c r="CI88" s="2331"/>
      <c r="CJ88" s="2331"/>
      <c r="CK88" s="2331"/>
      <c r="CL88" s="2331"/>
      <c r="CM88" s="2331"/>
      <c r="CN88" s="2331"/>
      <c r="CO88" s="2331"/>
      <c r="CP88" s="2331"/>
      <c r="CQ88" s="2331"/>
      <c r="CR88" s="2331"/>
      <c r="CS88" s="2331"/>
      <c r="CT88" s="2331"/>
      <c r="CU88" s="2331"/>
      <c r="CV88" s="2331"/>
      <c r="CW88" s="2331"/>
      <c r="CX88" s="2331"/>
      <c r="CY88" s="2331"/>
      <c r="CZ88" s="2331"/>
      <c r="DA88" s="2331"/>
      <c r="DB88" s="2331"/>
      <c r="DC88" s="2331"/>
      <c r="DD88" s="2331"/>
      <c r="DE88" s="2331"/>
      <c r="DF88" s="2331"/>
      <c r="DG88" s="2331"/>
      <c r="DH88" s="2331"/>
      <c r="DI88" s="2331"/>
      <c r="DJ88" s="2331"/>
    </row>
    <row r="89" spans="1:114" s="51" customFormat="1">
      <c r="A89" s="2331"/>
      <c r="B89" s="418"/>
      <c r="C89" s="248" t="s">
        <v>685</v>
      </c>
      <c r="D89" s="69"/>
      <c r="E89" s="107">
        <f>(O89-G89)/(O$87-G$87)</f>
        <v>0</v>
      </c>
      <c r="F89" s="198">
        <f>F88+F90</f>
        <v>0.38999999999999996</v>
      </c>
      <c r="G89" s="198">
        <f t="shared" ref="G89:O89" si="21">G88+G90</f>
        <v>0.38999999999999996</v>
      </c>
      <c r="H89" s="198">
        <f t="shared" si="21"/>
        <v>0.38999999999999996</v>
      </c>
      <c r="I89" s="198">
        <f t="shared" si="21"/>
        <v>0.38999999999999996</v>
      </c>
      <c r="J89" s="198">
        <f t="shared" si="21"/>
        <v>0.38999999999999996</v>
      </c>
      <c r="K89" s="198">
        <f t="shared" si="21"/>
        <v>0.38999999999999996</v>
      </c>
      <c r="L89" s="198">
        <f t="shared" si="21"/>
        <v>0.38999999999999996</v>
      </c>
      <c r="M89" s="198">
        <f t="shared" si="21"/>
        <v>0.38999999999999996</v>
      </c>
      <c r="N89" s="198">
        <f t="shared" si="21"/>
        <v>0.38999999999999996</v>
      </c>
      <c r="O89" s="198">
        <f t="shared" si="21"/>
        <v>0.38999999999999996</v>
      </c>
      <c r="P89" s="415"/>
      <c r="Q89" s="619"/>
      <c r="R89" s="32"/>
      <c r="S89" s="1424"/>
      <c r="T89" s="1423"/>
      <c r="U89" s="1423"/>
      <c r="V89" s="1423"/>
      <c r="W89" s="1423"/>
      <c r="X89" s="1423"/>
      <c r="Y89" s="1423"/>
      <c r="Z89" s="1423"/>
      <c r="AA89" s="1423"/>
      <c r="AB89" s="1423"/>
      <c r="AC89" s="32"/>
      <c r="AD89" s="32"/>
      <c r="AG89" s="2331"/>
      <c r="AH89" s="2331"/>
      <c r="AI89" s="2331"/>
      <c r="AJ89" s="2331"/>
      <c r="AK89" s="2331"/>
      <c r="AL89" s="2331"/>
      <c r="AM89" s="2331"/>
      <c r="AN89" s="2331"/>
      <c r="AO89" s="2331"/>
      <c r="AP89" s="2331"/>
      <c r="AQ89" s="2331"/>
      <c r="AR89" s="2331"/>
      <c r="AS89" s="2331"/>
      <c r="AT89" s="2331"/>
      <c r="AU89" s="2331"/>
      <c r="AV89" s="2331"/>
      <c r="AW89" s="2331"/>
      <c r="AX89" s="2331"/>
      <c r="AY89" s="2331"/>
      <c r="AZ89" s="2331"/>
      <c r="BA89" s="2331"/>
      <c r="BB89" s="2331"/>
      <c r="BC89" s="2331"/>
      <c r="BD89" s="2331"/>
      <c r="BE89" s="2331"/>
      <c r="BF89" s="2331"/>
      <c r="BG89" s="2331"/>
      <c r="BH89" s="2331"/>
      <c r="BI89" s="2331"/>
      <c r="BJ89" s="2331"/>
      <c r="BK89" s="2331"/>
      <c r="BL89" s="2331"/>
      <c r="BM89" s="2331"/>
      <c r="BN89" s="2331"/>
      <c r="BO89" s="2331"/>
      <c r="BP89" s="2331"/>
      <c r="BQ89" s="2331"/>
      <c r="BR89" s="2331"/>
      <c r="BS89" s="2331"/>
      <c r="BT89" s="2331"/>
      <c r="BU89" s="2331"/>
      <c r="BV89" s="2331"/>
      <c r="BW89" s="2331"/>
      <c r="BX89" s="2331"/>
      <c r="BY89" s="2331"/>
      <c r="BZ89" s="2331"/>
      <c r="CA89" s="2331"/>
      <c r="CB89" s="2331"/>
      <c r="CC89" s="2331"/>
      <c r="CD89" s="2331"/>
      <c r="CE89" s="2331"/>
      <c r="CF89" s="2331"/>
      <c r="CG89" s="2331"/>
      <c r="CH89" s="2331"/>
      <c r="CI89" s="2331"/>
      <c r="CJ89" s="2331"/>
      <c r="CK89" s="2331"/>
      <c r="CL89" s="2331"/>
      <c r="CM89" s="2331"/>
      <c r="CN89" s="2331"/>
      <c r="CO89" s="2331"/>
      <c r="CP89" s="2331"/>
      <c r="CQ89" s="2331"/>
      <c r="CR89" s="2331"/>
      <c r="CS89" s="2331"/>
      <c r="CT89" s="2331"/>
      <c r="CU89" s="2331"/>
      <c r="CV89" s="2331"/>
      <c r="CW89" s="2331"/>
      <c r="CX89" s="2331"/>
      <c r="CY89" s="2331"/>
      <c r="CZ89" s="2331"/>
      <c r="DA89" s="2331"/>
      <c r="DB89" s="2331"/>
      <c r="DC89" s="2331"/>
      <c r="DD89" s="2331"/>
      <c r="DE89" s="2331"/>
      <c r="DF89" s="2331"/>
      <c r="DG89" s="2331"/>
      <c r="DH89" s="2331"/>
      <c r="DI89" s="2331"/>
      <c r="DJ89" s="2331"/>
    </row>
    <row r="90" spans="1:114" s="51" customFormat="1">
      <c r="A90" s="2331"/>
      <c r="B90" s="418"/>
      <c r="C90" s="507" t="s">
        <v>686</v>
      </c>
      <c r="D90" s="108"/>
      <c r="E90" s="109">
        <f>(O90-G90)/(O$87-G$87)</f>
        <v>0</v>
      </c>
      <c r="F90" s="2553">
        <f t="shared" ref="F90:O90" si="22">(14*((INRLac*plantsize.iv.d/Unit.MW)))*((INRCr*plantsize.iv.d/Unit.MW))</f>
        <v>0.13999999999999999</v>
      </c>
      <c r="G90" s="2553">
        <f t="shared" si="22"/>
        <v>0.13999999999999999</v>
      </c>
      <c r="H90" s="2553">
        <f t="shared" si="22"/>
        <v>0.13999999999999999</v>
      </c>
      <c r="I90" s="2553">
        <f t="shared" si="22"/>
        <v>0.13999999999999999</v>
      </c>
      <c r="J90" s="2553">
        <f t="shared" si="22"/>
        <v>0.13999999999999999</v>
      </c>
      <c r="K90" s="2553">
        <f t="shared" si="22"/>
        <v>0.13999999999999999</v>
      </c>
      <c r="L90" s="2553">
        <f t="shared" si="22"/>
        <v>0.13999999999999999</v>
      </c>
      <c r="M90" s="2553">
        <f t="shared" si="22"/>
        <v>0.13999999999999999</v>
      </c>
      <c r="N90" s="2553">
        <f t="shared" si="22"/>
        <v>0.13999999999999999</v>
      </c>
      <c r="O90" s="2553">
        <f t="shared" si="22"/>
        <v>0.13999999999999999</v>
      </c>
      <c r="P90" s="415"/>
      <c r="Q90" s="619"/>
      <c r="R90" s="32"/>
      <c r="S90" s="621"/>
      <c r="T90" s="2272"/>
      <c r="U90" s="2272"/>
      <c r="V90" s="2272"/>
      <c r="W90" s="2272"/>
      <c r="X90" s="1425"/>
      <c r="Y90" s="2272"/>
      <c r="Z90" s="2272"/>
      <c r="AA90" s="1423"/>
      <c r="AB90" s="622"/>
      <c r="AC90" s="32"/>
      <c r="AD90" s="32"/>
      <c r="AG90" s="2331"/>
      <c r="AH90" s="2331"/>
      <c r="AI90" s="2331"/>
      <c r="AJ90" s="2331"/>
      <c r="AK90" s="2331"/>
      <c r="AL90" s="2331"/>
      <c r="AM90" s="2331"/>
      <c r="AN90" s="2331"/>
      <c r="AO90" s="2331"/>
      <c r="AP90" s="2331"/>
      <c r="AQ90" s="2331"/>
      <c r="AR90" s="2331"/>
      <c r="AS90" s="2331"/>
      <c r="AT90" s="2331"/>
      <c r="AU90" s="2331"/>
      <c r="AV90" s="2331"/>
      <c r="AW90" s="2331"/>
      <c r="AX90" s="2331"/>
      <c r="AY90" s="2331"/>
      <c r="AZ90" s="2331"/>
      <c r="BA90" s="2331"/>
      <c r="BB90" s="2331"/>
      <c r="BC90" s="2331"/>
      <c r="BD90" s="2331"/>
      <c r="BE90" s="2331"/>
      <c r="BF90" s="2331"/>
      <c r="BG90" s="2331"/>
      <c r="BH90" s="2331"/>
      <c r="BI90" s="2331"/>
      <c r="BJ90" s="2331"/>
      <c r="BK90" s="2331"/>
      <c r="BL90" s="2331"/>
      <c r="BM90" s="2331"/>
      <c r="BN90" s="2331"/>
      <c r="BO90" s="2331"/>
      <c r="BP90" s="2331"/>
      <c r="BQ90" s="2331"/>
      <c r="BR90" s="2331"/>
      <c r="BS90" s="2331"/>
      <c r="BT90" s="2331"/>
      <c r="BU90" s="2331"/>
      <c r="BV90" s="2331"/>
      <c r="BW90" s="2331"/>
      <c r="BX90" s="2331"/>
      <c r="BY90" s="2331"/>
      <c r="BZ90" s="2331"/>
      <c r="CA90" s="2331"/>
      <c r="CB90" s="2331"/>
      <c r="CC90" s="2331"/>
      <c r="CD90" s="2331"/>
      <c r="CE90" s="2331"/>
      <c r="CF90" s="2331"/>
      <c r="CG90" s="2331"/>
      <c r="CH90" s="2331"/>
      <c r="CI90" s="2331"/>
      <c r="CJ90" s="2331"/>
      <c r="CK90" s="2331"/>
      <c r="CL90" s="2331"/>
      <c r="CM90" s="2331"/>
      <c r="CN90" s="2331"/>
      <c r="CO90" s="2331"/>
      <c r="CP90" s="2331"/>
      <c r="CQ90" s="2331"/>
      <c r="CR90" s="2331"/>
      <c r="CS90" s="2331"/>
      <c r="CT90" s="2331"/>
      <c r="CU90" s="2331"/>
      <c r="CV90" s="2331"/>
      <c r="CW90" s="2331"/>
      <c r="CX90" s="2331"/>
      <c r="CY90" s="2331"/>
      <c r="CZ90" s="2331"/>
      <c r="DA90" s="2331"/>
      <c r="DB90" s="2331"/>
      <c r="DC90" s="2331"/>
      <c r="DD90" s="2331"/>
      <c r="DE90" s="2331"/>
      <c r="DF90" s="2331"/>
      <c r="DG90" s="2331"/>
      <c r="DH90" s="2331"/>
      <c r="DI90" s="2331"/>
      <c r="DJ90" s="2331"/>
    </row>
    <row r="91" spans="1:114" s="51" customFormat="1">
      <c r="A91" s="2331"/>
      <c r="B91" s="402"/>
      <c r="C91" s="402"/>
      <c r="D91" s="415"/>
      <c r="E91" s="264"/>
      <c r="F91" s="415"/>
      <c r="G91" s="415"/>
      <c r="H91" s="415"/>
      <c r="I91" s="415"/>
      <c r="J91" s="444"/>
      <c r="K91" s="444"/>
      <c r="L91" s="402"/>
      <c r="M91" s="402"/>
      <c r="N91" s="402"/>
      <c r="O91" s="402"/>
      <c r="P91" s="402"/>
      <c r="Q91" s="619"/>
      <c r="R91" s="32"/>
      <c r="S91" s="1425"/>
      <c r="T91" s="2272"/>
      <c r="U91" s="2272"/>
      <c r="V91" s="2272"/>
      <c r="W91" s="2272"/>
      <c r="X91" s="1425"/>
      <c r="Y91" s="2272"/>
      <c r="Z91" s="2272"/>
      <c r="AA91" s="1426"/>
      <c r="AB91" s="622"/>
      <c r="AC91" s="32"/>
      <c r="AD91" s="32"/>
      <c r="AG91" s="2331"/>
      <c r="AH91" s="2331"/>
      <c r="AI91" s="2331"/>
      <c r="AJ91" s="2331"/>
      <c r="AK91" s="2331"/>
      <c r="AL91" s="2331"/>
      <c r="AM91" s="2331"/>
      <c r="AN91" s="2331"/>
      <c r="AO91" s="2331"/>
      <c r="AP91" s="2331"/>
      <c r="AQ91" s="2331"/>
      <c r="AR91" s="2331"/>
      <c r="AS91" s="2331"/>
      <c r="AT91" s="2331"/>
      <c r="AU91" s="2331"/>
      <c r="AV91" s="2331"/>
      <c r="AW91" s="2331"/>
      <c r="AX91" s="2331"/>
      <c r="AY91" s="2331"/>
      <c r="AZ91" s="2331"/>
      <c r="BA91" s="2331"/>
      <c r="BB91" s="2331"/>
      <c r="BC91" s="2331"/>
      <c r="BD91" s="2331"/>
      <c r="BE91" s="2331"/>
      <c r="BF91" s="2331"/>
      <c r="BG91" s="2331"/>
      <c r="BH91" s="2331"/>
      <c r="BI91" s="2331"/>
      <c r="BJ91" s="2331"/>
      <c r="BK91" s="2331"/>
      <c r="BL91" s="2331"/>
      <c r="BM91" s="2331"/>
      <c r="BN91" s="2331"/>
      <c r="BO91" s="2331"/>
      <c r="BP91" s="2331"/>
      <c r="BQ91" s="2331"/>
      <c r="BR91" s="2331"/>
      <c r="BS91" s="2331"/>
      <c r="BT91" s="2331"/>
      <c r="BU91" s="2331"/>
      <c r="BV91" s="2331"/>
      <c r="BW91" s="2331"/>
      <c r="BX91" s="2331"/>
      <c r="BY91" s="2331"/>
      <c r="BZ91" s="2331"/>
      <c r="CA91" s="2331"/>
      <c r="CB91" s="2331"/>
      <c r="CC91" s="2331"/>
      <c r="CD91" s="2331"/>
      <c r="CE91" s="2331"/>
      <c r="CF91" s="2331"/>
      <c r="CG91" s="2331"/>
      <c r="CH91" s="2331"/>
      <c r="CI91" s="2331"/>
      <c r="CJ91" s="2331"/>
      <c r="CK91" s="2331"/>
      <c r="CL91" s="2331"/>
      <c r="CM91" s="2331"/>
      <c r="CN91" s="2331"/>
      <c r="CO91" s="2331"/>
      <c r="CP91" s="2331"/>
      <c r="CQ91" s="2331"/>
      <c r="CR91" s="2331"/>
      <c r="CS91" s="2331"/>
      <c r="CT91" s="2331"/>
      <c r="CU91" s="2331"/>
      <c r="CV91" s="2331"/>
      <c r="CW91" s="2331"/>
      <c r="CX91" s="2331"/>
      <c r="CY91" s="2331"/>
      <c r="CZ91" s="2331"/>
      <c r="DA91" s="2331"/>
      <c r="DB91" s="2331"/>
      <c r="DC91" s="2331"/>
      <c r="DD91" s="2331"/>
      <c r="DE91" s="2331"/>
      <c r="DF91" s="2331"/>
      <c r="DG91" s="2331"/>
      <c r="DH91" s="2331"/>
      <c r="DI91" s="2331"/>
      <c r="DJ91" s="2331"/>
    </row>
    <row r="92" spans="1:114" s="630" customFormat="1">
      <c r="A92" s="623"/>
      <c r="B92" s="623"/>
      <c r="C92" s="623"/>
      <c r="D92" s="624"/>
      <c r="E92" s="625"/>
      <c r="F92" s="624"/>
      <c r="G92" s="624"/>
      <c r="H92" s="624"/>
      <c r="I92" s="624"/>
      <c r="J92" s="626"/>
      <c r="K92" s="626"/>
      <c r="L92" s="623"/>
      <c r="M92" s="623"/>
      <c r="N92" s="623"/>
      <c r="O92" s="623"/>
      <c r="P92" s="623"/>
      <c r="Q92" s="627"/>
      <c r="R92" s="628"/>
      <c r="S92" s="1694"/>
      <c r="T92" s="1695"/>
      <c r="U92" s="1695"/>
      <c r="V92" s="1695"/>
      <c r="W92" s="1695"/>
      <c r="X92" s="1694"/>
      <c r="Y92" s="1695"/>
      <c r="Z92" s="1695"/>
      <c r="AA92" s="1696"/>
      <c r="AB92" s="629"/>
      <c r="AC92" s="628"/>
      <c r="AD92" s="628"/>
      <c r="AG92" s="623"/>
      <c r="AH92" s="623"/>
      <c r="AI92" s="623"/>
      <c r="AJ92" s="623"/>
      <c r="AK92" s="623"/>
      <c r="AL92" s="623"/>
      <c r="AM92" s="623"/>
      <c r="AN92" s="623"/>
      <c r="AO92" s="623"/>
      <c r="AP92" s="623"/>
      <c r="AQ92" s="623"/>
      <c r="AR92" s="623"/>
      <c r="AS92" s="623"/>
      <c r="AT92" s="623"/>
      <c r="AU92" s="623"/>
      <c r="AV92" s="623"/>
      <c r="AW92" s="623"/>
      <c r="AX92" s="623"/>
      <c r="AY92" s="623"/>
      <c r="AZ92" s="623"/>
      <c r="BA92" s="623"/>
      <c r="BB92" s="623"/>
      <c r="BC92" s="623"/>
      <c r="BD92" s="623"/>
      <c r="BE92" s="623"/>
      <c r="BF92" s="623"/>
      <c r="BG92" s="623"/>
      <c r="BH92" s="623"/>
      <c r="BI92" s="623"/>
      <c r="BJ92" s="623"/>
      <c r="BK92" s="623"/>
      <c r="BL92" s="623"/>
      <c r="BM92" s="623"/>
      <c r="BN92" s="623"/>
      <c r="BO92" s="623"/>
      <c r="BP92" s="623"/>
      <c r="BQ92" s="623"/>
      <c r="BR92" s="623"/>
      <c r="BS92" s="623"/>
      <c r="BT92" s="623"/>
      <c r="BU92" s="623"/>
      <c r="BV92" s="623"/>
      <c r="BW92" s="623"/>
      <c r="BX92" s="623"/>
      <c r="BY92" s="623"/>
      <c r="BZ92" s="623"/>
      <c r="CA92" s="623"/>
      <c r="CB92" s="623"/>
      <c r="CC92" s="623"/>
      <c r="CD92" s="623"/>
      <c r="CE92" s="623"/>
      <c r="CF92" s="623"/>
      <c r="CG92" s="623"/>
      <c r="CH92" s="623"/>
      <c r="CI92" s="623"/>
      <c r="CJ92" s="623"/>
      <c r="CK92" s="623"/>
      <c r="CL92" s="623"/>
      <c r="CM92" s="623"/>
      <c r="CN92" s="623"/>
      <c r="CO92" s="623"/>
      <c r="CP92" s="623"/>
      <c r="CQ92" s="623"/>
      <c r="CR92" s="623"/>
      <c r="CS92" s="623"/>
      <c r="CT92" s="623"/>
      <c r="CU92" s="623"/>
      <c r="CV92" s="623"/>
      <c r="CW92" s="623"/>
      <c r="CX92" s="623"/>
      <c r="CY92" s="623"/>
      <c r="CZ92" s="623"/>
      <c r="DA92" s="623"/>
      <c r="DB92" s="623"/>
      <c r="DC92" s="623"/>
      <c r="DD92" s="623"/>
      <c r="DE92" s="623"/>
      <c r="DF92" s="623"/>
      <c r="DG92" s="623"/>
      <c r="DH92" s="623"/>
      <c r="DI92" s="623"/>
      <c r="DJ92" s="623"/>
    </row>
    <row r="93" spans="1:114" s="630" customFormat="1" ht="15.75">
      <c r="A93" s="623"/>
      <c r="B93" s="421" t="s">
        <v>711</v>
      </c>
      <c r="C93" s="159"/>
      <c r="D93" s="159"/>
      <c r="E93" s="159"/>
      <c r="F93" s="159"/>
      <c r="G93" s="159"/>
      <c r="H93" s="159"/>
      <c r="I93" s="159"/>
      <c r="J93" s="159"/>
      <c r="K93" s="159"/>
      <c r="L93" s="159"/>
      <c r="M93" s="159"/>
      <c r="N93" s="159"/>
      <c r="O93" s="159"/>
      <c r="P93" s="160"/>
      <c r="Q93" s="627"/>
      <c r="R93" s="628"/>
      <c r="S93" s="1694"/>
      <c r="T93" s="1695"/>
      <c r="U93" s="1695"/>
      <c r="V93" s="1695"/>
      <c r="W93" s="1695"/>
      <c r="X93" s="1694"/>
      <c r="Y93" s="1695"/>
      <c r="Z93" s="1695"/>
      <c r="AA93" s="1696"/>
      <c r="AB93" s="629"/>
      <c r="AC93" s="628"/>
      <c r="AD93" s="628"/>
      <c r="AG93" s="623"/>
      <c r="AH93" s="623"/>
      <c r="AI93" s="623"/>
      <c r="AJ93" s="623"/>
      <c r="AK93" s="623"/>
      <c r="AL93" s="623"/>
      <c r="AM93" s="623"/>
      <c r="AN93" s="623"/>
      <c r="AO93" s="623"/>
      <c r="AP93" s="623"/>
      <c r="AQ93" s="623"/>
      <c r="AR93" s="623"/>
      <c r="AS93" s="623"/>
      <c r="AT93" s="623"/>
      <c r="AU93" s="623"/>
      <c r="AV93" s="623"/>
      <c r="AW93" s="623"/>
      <c r="AX93" s="623"/>
      <c r="AY93" s="623"/>
      <c r="AZ93" s="623"/>
      <c r="BA93" s="623"/>
      <c r="BB93" s="623"/>
      <c r="BC93" s="623"/>
      <c r="BD93" s="623"/>
      <c r="BE93" s="623"/>
      <c r="BF93" s="623"/>
      <c r="BG93" s="623"/>
      <c r="BH93" s="623"/>
      <c r="BI93" s="623"/>
      <c r="BJ93" s="623"/>
      <c r="BK93" s="623"/>
      <c r="BL93" s="623"/>
      <c r="BM93" s="623"/>
      <c r="BN93" s="623"/>
      <c r="BO93" s="623"/>
      <c r="BP93" s="623"/>
      <c r="BQ93" s="623"/>
      <c r="BR93" s="623"/>
      <c r="BS93" s="623"/>
      <c r="BT93" s="623"/>
      <c r="BU93" s="623"/>
      <c r="BV93" s="623"/>
      <c r="BW93" s="623"/>
      <c r="BX93" s="623"/>
      <c r="BY93" s="623"/>
      <c r="BZ93" s="623"/>
      <c r="CA93" s="623"/>
      <c r="CB93" s="623"/>
      <c r="CC93" s="623"/>
      <c r="CD93" s="623"/>
      <c r="CE93" s="623"/>
      <c r="CF93" s="623"/>
      <c r="CG93" s="623"/>
      <c r="CH93" s="623"/>
      <c r="CI93" s="623"/>
      <c r="CJ93" s="623"/>
      <c r="CK93" s="623"/>
      <c r="CL93" s="623"/>
      <c r="CM93" s="623"/>
      <c r="CN93" s="623"/>
      <c r="CO93" s="623"/>
      <c r="CP93" s="623"/>
      <c r="CQ93" s="623"/>
      <c r="CR93" s="623"/>
      <c r="CS93" s="623"/>
      <c r="CT93" s="623"/>
      <c r="CU93" s="623"/>
      <c r="CV93" s="623"/>
      <c r="CW93" s="623"/>
      <c r="CX93" s="623"/>
      <c r="CY93" s="623"/>
      <c r="CZ93" s="623"/>
      <c r="DA93" s="623"/>
      <c r="DB93" s="623"/>
      <c r="DC93" s="623"/>
      <c r="DD93" s="623"/>
      <c r="DE93" s="623"/>
      <c r="DF93" s="623"/>
      <c r="DG93" s="623"/>
      <c r="DH93" s="623"/>
      <c r="DI93" s="623"/>
      <c r="DJ93" s="623"/>
    </row>
    <row r="94" spans="1:114" s="630" customFormat="1">
      <c r="A94" s="623"/>
      <c r="B94" s="418"/>
      <c r="C94" s="415"/>
      <c r="D94" s="415"/>
      <c r="E94" s="415"/>
      <c r="F94" s="415"/>
      <c r="G94" s="415"/>
      <c r="H94" s="415"/>
      <c r="I94" s="415"/>
      <c r="J94" s="415"/>
      <c r="K94" s="415"/>
      <c r="L94" s="415"/>
      <c r="M94" s="415"/>
      <c r="N94" s="415"/>
      <c r="O94" s="415"/>
      <c r="P94" s="419"/>
      <c r="Q94" s="627"/>
      <c r="R94" s="628"/>
      <c r="S94" s="1694"/>
      <c r="T94" s="1695"/>
      <c r="U94" s="1695"/>
      <c r="V94" s="1695"/>
      <c r="W94" s="1695"/>
      <c r="X94" s="1694"/>
      <c r="Y94" s="1695"/>
      <c r="Z94" s="1695"/>
      <c r="AA94" s="1696"/>
      <c r="AB94" s="629"/>
      <c r="AC94" s="628"/>
      <c r="AD94" s="628"/>
      <c r="AG94" s="623"/>
      <c r="AH94" s="623"/>
      <c r="AI94" s="623"/>
      <c r="AJ94" s="623"/>
      <c r="AK94" s="623"/>
      <c r="AL94" s="623"/>
      <c r="AM94" s="623"/>
      <c r="AN94" s="623"/>
      <c r="AO94" s="623"/>
      <c r="AP94" s="623"/>
      <c r="AQ94" s="623"/>
      <c r="AR94" s="623"/>
      <c r="AS94" s="623"/>
      <c r="AT94" s="623"/>
      <c r="AU94" s="623"/>
      <c r="AV94" s="623"/>
      <c r="AW94" s="623"/>
      <c r="AX94" s="623"/>
      <c r="AY94" s="623"/>
      <c r="AZ94" s="623"/>
      <c r="BA94" s="623"/>
      <c r="BB94" s="623"/>
      <c r="BC94" s="623"/>
      <c r="BD94" s="623"/>
      <c r="BE94" s="623"/>
      <c r="BF94" s="623"/>
      <c r="BG94" s="623"/>
      <c r="BH94" s="623"/>
      <c r="BI94" s="623"/>
      <c r="BJ94" s="623"/>
      <c r="BK94" s="623"/>
      <c r="BL94" s="623"/>
      <c r="BM94" s="623"/>
      <c r="BN94" s="623"/>
      <c r="BO94" s="623"/>
      <c r="BP94" s="623"/>
      <c r="BQ94" s="623"/>
      <c r="BR94" s="623"/>
      <c r="BS94" s="623"/>
      <c r="BT94" s="623"/>
      <c r="BU94" s="623"/>
      <c r="BV94" s="623"/>
      <c r="BW94" s="623"/>
      <c r="BX94" s="623"/>
      <c r="BY94" s="623"/>
      <c r="BZ94" s="623"/>
      <c r="CA94" s="623"/>
      <c r="CB94" s="623"/>
      <c r="CC94" s="623"/>
      <c r="CD94" s="623"/>
      <c r="CE94" s="623"/>
      <c r="CF94" s="623"/>
      <c r="CG94" s="623"/>
      <c r="CH94" s="623"/>
      <c r="CI94" s="623"/>
      <c r="CJ94" s="623"/>
      <c r="CK94" s="623"/>
      <c r="CL94" s="623"/>
      <c r="CM94" s="623"/>
      <c r="CN94" s="623"/>
      <c r="CO94" s="623"/>
      <c r="CP94" s="623"/>
      <c r="CQ94" s="623"/>
      <c r="CR94" s="623"/>
      <c r="CS94" s="623"/>
      <c r="CT94" s="623"/>
      <c r="CU94" s="623"/>
      <c r="CV94" s="623"/>
      <c r="CW94" s="623"/>
      <c r="CX94" s="623"/>
      <c r="CY94" s="623"/>
      <c r="CZ94" s="623"/>
      <c r="DA94" s="623"/>
      <c r="DB94" s="623"/>
      <c r="DC94" s="623"/>
      <c r="DD94" s="623"/>
      <c r="DE94" s="623"/>
      <c r="DF94" s="623"/>
      <c r="DG94" s="623"/>
      <c r="DH94" s="623"/>
      <c r="DI94" s="623"/>
      <c r="DJ94" s="623"/>
    </row>
    <row r="95" spans="1:114" s="630" customFormat="1">
      <c r="A95" s="623"/>
      <c r="B95" s="418"/>
      <c r="C95" s="416" t="str">
        <f>"Land requirememt of a "&amp;plantsize.iv.d&amp;" "&amp;Preferences.PowerUnits&amp;" Small Hydroelectricity Project"</f>
        <v>Land requirememt of a 0.001 GW Small Hydroelectricity Project</v>
      </c>
      <c r="D95" s="69"/>
      <c r="E95" s="415"/>
      <c r="F95" s="415"/>
      <c r="G95" s="104"/>
      <c r="H95" s="415"/>
      <c r="I95" s="415"/>
      <c r="J95" s="415"/>
      <c r="K95" s="415"/>
      <c r="L95" s="415"/>
      <c r="M95" s="415"/>
      <c r="N95" s="415"/>
      <c r="O95" s="415"/>
      <c r="P95" s="419"/>
      <c r="Q95" s="627"/>
      <c r="R95" s="628"/>
      <c r="S95" s="1694"/>
      <c r="T95" s="1695"/>
      <c r="U95" s="1695"/>
      <c r="V95" s="1695"/>
      <c r="W95" s="1695"/>
      <c r="X95" s="1694"/>
      <c r="Y95" s="1695"/>
      <c r="Z95" s="1695"/>
      <c r="AA95" s="1696"/>
      <c r="AB95" s="629"/>
      <c r="AC95" s="628"/>
      <c r="AD95" s="628"/>
      <c r="AG95" s="623"/>
      <c r="AH95" s="623"/>
      <c r="AI95" s="623"/>
      <c r="AJ95" s="623"/>
      <c r="AK95" s="623"/>
      <c r="AL95" s="623"/>
      <c r="AM95" s="623"/>
      <c r="AN95" s="623"/>
      <c r="AO95" s="623"/>
      <c r="AP95" s="623"/>
      <c r="AQ95" s="623"/>
      <c r="AR95" s="623"/>
      <c r="AS95" s="623"/>
      <c r="AT95" s="623"/>
      <c r="AU95" s="623"/>
      <c r="AV95" s="623"/>
      <c r="AW95" s="623"/>
      <c r="AX95" s="623"/>
      <c r="AY95" s="623"/>
      <c r="AZ95" s="623"/>
      <c r="BA95" s="623"/>
      <c r="BB95" s="623"/>
      <c r="BC95" s="623"/>
      <c r="BD95" s="623"/>
      <c r="BE95" s="623"/>
      <c r="BF95" s="623"/>
      <c r="BG95" s="623"/>
      <c r="BH95" s="623"/>
      <c r="BI95" s="623"/>
      <c r="BJ95" s="623"/>
      <c r="BK95" s="623"/>
      <c r="BL95" s="623"/>
      <c r="BM95" s="623"/>
      <c r="BN95" s="623"/>
      <c r="BO95" s="623"/>
      <c r="BP95" s="623"/>
      <c r="BQ95" s="623"/>
      <c r="BR95" s="623"/>
      <c r="BS95" s="623"/>
      <c r="BT95" s="623"/>
      <c r="BU95" s="623"/>
      <c r="BV95" s="623"/>
      <c r="BW95" s="623"/>
      <c r="BX95" s="623"/>
      <c r="BY95" s="623"/>
      <c r="BZ95" s="623"/>
      <c r="CA95" s="623"/>
      <c r="CB95" s="623"/>
      <c r="CC95" s="623"/>
      <c r="CD95" s="623"/>
      <c r="CE95" s="623"/>
      <c r="CF95" s="623"/>
      <c r="CG95" s="623"/>
      <c r="CH95" s="623"/>
      <c r="CI95" s="623"/>
      <c r="CJ95" s="623"/>
      <c r="CK95" s="623"/>
      <c r="CL95" s="623"/>
      <c r="CM95" s="623"/>
      <c r="CN95" s="623"/>
      <c r="CO95" s="623"/>
      <c r="CP95" s="623"/>
      <c r="CQ95" s="623"/>
      <c r="CR95" s="623"/>
      <c r="CS95" s="623"/>
      <c r="CT95" s="623"/>
      <c r="CU95" s="623"/>
      <c r="CV95" s="623"/>
      <c r="CW95" s="623"/>
      <c r="CX95" s="623"/>
      <c r="CY95" s="623"/>
      <c r="CZ95" s="623"/>
      <c r="DA95" s="623"/>
      <c r="DB95" s="623"/>
      <c r="DC95" s="623"/>
      <c r="DD95" s="623"/>
      <c r="DE95" s="623"/>
      <c r="DF95" s="623"/>
      <c r="DG95" s="623"/>
      <c r="DH95" s="623"/>
      <c r="DI95" s="623"/>
      <c r="DJ95" s="623"/>
    </row>
    <row r="96" spans="1:114" s="630" customFormat="1">
      <c r="A96" s="623"/>
      <c r="B96" s="418"/>
      <c r="C96" s="415"/>
      <c r="D96" s="415"/>
      <c r="E96" s="415"/>
      <c r="F96" s="415"/>
      <c r="G96" s="415"/>
      <c r="H96" s="415"/>
      <c r="I96" s="415"/>
      <c r="J96" s="415"/>
      <c r="K96" s="415"/>
      <c r="L96" s="415"/>
      <c r="M96" s="415"/>
      <c r="N96" s="415"/>
      <c r="O96" s="361" t="str">
        <f>Preferences.AreaUnits&amp;"/"&amp;Preferences.PowerUnits</f>
        <v>ha/GW</v>
      </c>
      <c r="P96" s="419"/>
      <c r="Q96" s="627"/>
      <c r="R96" s="628"/>
      <c r="S96" s="1694"/>
      <c r="T96" s="1695"/>
      <c r="U96" s="1695"/>
      <c r="V96" s="1695"/>
      <c r="W96" s="1695"/>
      <c r="X96" s="1694"/>
      <c r="Y96" s="1695"/>
      <c r="Z96" s="1695"/>
      <c r="AA96" s="1696"/>
      <c r="AB96" s="629"/>
      <c r="AC96" s="628"/>
      <c r="AD96" s="628"/>
      <c r="AG96" s="623"/>
      <c r="AH96" s="623"/>
      <c r="AI96" s="623"/>
      <c r="AJ96" s="623"/>
      <c r="AK96" s="623"/>
      <c r="AL96" s="623"/>
      <c r="AM96" s="623"/>
      <c r="AN96" s="623"/>
      <c r="AO96" s="623"/>
      <c r="AP96" s="623"/>
      <c r="AQ96" s="623"/>
      <c r="AR96" s="623"/>
      <c r="AS96" s="623"/>
      <c r="AT96" s="623"/>
      <c r="AU96" s="623"/>
      <c r="AV96" s="623"/>
      <c r="AW96" s="623"/>
      <c r="AX96" s="623"/>
      <c r="AY96" s="623"/>
      <c r="AZ96" s="623"/>
      <c r="BA96" s="623"/>
      <c r="BB96" s="623"/>
      <c r="BC96" s="623"/>
      <c r="BD96" s="623"/>
      <c r="BE96" s="623"/>
      <c r="BF96" s="623"/>
      <c r="BG96" s="623"/>
      <c r="BH96" s="623"/>
      <c r="BI96" s="623"/>
      <c r="BJ96" s="623"/>
      <c r="BK96" s="623"/>
      <c r="BL96" s="623"/>
      <c r="BM96" s="623"/>
      <c r="BN96" s="623"/>
      <c r="BO96" s="623"/>
      <c r="BP96" s="623"/>
      <c r="BQ96" s="623"/>
      <c r="BR96" s="623"/>
      <c r="BS96" s="623"/>
      <c r="BT96" s="623"/>
      <c r="BU96" s="623"/>
      <c r="BV96" s="623"/>
      <c r="BW96" s="623"/>
      <c r="BX96" s="623"/>
      <c r="BY96" s="623"/>
      <c r="BZ96" s="623"/>
      <c r="CA96" s="623"/>
      <c r="CB96" s="623"/>
      <c r="CC96" s="623"/>
      <c r="CD96" s="623"/>
      <c r="CE96" s="623"/>
      <c r="CF96" s="623"/>
      <c r="CG96" s="623"/>
      <c r="CH96" s="623"/>
      <c r="CI96" s="623"/>
      <c r="CJ96" s="623"/>
      <c r="CK96" s="623"/>
      <c r="CL96" s="623"/>
      <c r="CM96" s="623"/>
      <c r="CN96" s="623"/>
      <c r="CO96" s="623"/>
      <c r="CP96" s="623"/>
      <c r="CQ96" s="623"/>
      <c r="CR96" s="623"/>
      <c r="CS96" s="623"/>
      <c r="CT96" s="623"/>
      <c r="CU96" s="623"/>
      <c r="CV96" s="623"/>
      <c r="CW96" s="623"/>
      <c r="CX96" s="623"/>
      <c r="CY96" s="623"/>
      <c r="CZ96" s="623"/>
      <c r="DA96" s="623"/>
      <c r="DB96" s="623"/>
      <c r="DC96" s="623"/>
      <c r="DD96" s="623"/>
      <c r="DE96" s="623"/>
      <c r="DF96" s="623"/>
      <c r="DG96" s="623"/>
      <c r="DH96" s="623"/>
      <c r="DI96" s="623"/>
      <c r="DJ96" s="623"/>
    </row>
    <row r="97" spans="1:114" s="630" customFormat="1" ht="15.75">
      <c r="A97" s="623"/>
      <c r="B97" s="152"/>
      <c r="C97" s="61"/>
      <c r="D97" s="61"/>
      <c r="E97" s="61"/>
      <c r="F97" s="119">
        <v>2007</v>
      </c>
      <c r="G97" s="120">
        <f t="shared" ref="G97:O97" si="23">F97+5</f>
        <v>2012</v>
      </c>
      <c r="H97" s="120">
        <f t="shared" si="23"/>
        <v>2017</v>
      </c>
      <c r="I97" s="120">
        <f t="shared" si="23"/>
        <v>2022</v>
      </c>
      <c r="J97" s="120">
        <f t="shared" si="23"/>
        <v>2027</v>
      </c>
      <c r="K97" s="120">
        <f t="shared" si="23"/>
        <v>2032</v>
      </c>
      <c r="L97" s="120">
        <f t="shared" si="23"/>
        <v>2037</v>
      </c>
      <c r="M97" s="120">
        <f t="shared" si="23"/>
        <v>2042</v>
      </c>
      <c r="N97" s="120">
        <f t="shared" si="23"/>
        <v>2047</v>
      </c>
      <c r="O97" s="120">
        <f t="shared" si="23"/>
        <v>2052</v>
      </c>
      <c r="P97" s="419"/>
      <c r="Q97" s="627"/>
      <c r="R97" s="628"/>
      <c r="S97" s="1694"/>
      <c r="T97" s="1695"/>
      <c r="U97" s="1695"/>
      <c r="V97" s="1695"/>
      <c r="W97" s="1695"/>
      <c r="X97" s="1694"/>
      <c r="Y97" s="1695"/>
      <c r="Z97" s="1695"/>
      <c r="AA97" s="1696"/>
      <c r="AB97" s="629"/>
      <c r="AC97" s="628"/>
      <c r="AD97" s="628"/>
      <c r="AG97" s="623"/>
      <c r="AH97" s="623"/>
      <c r="AI97" s="623"/>
      <c r="AJ97" s="623"/>
      <c r="AK97" s="623"/>
      <c r="AL97" s="623"/>
      <c r="AM97" s="623"/>
      <c r="AN97" s="623"/>
      <c r="AO97" s="623"/>
      <c r="AP97" s="623"/>
      <c r="AQ97" s="623"/>
      <c r="AR97" s="623"/>
      <c r="AS97" s="623"/>
      <c r="AT97" s="623"/>
      <c r="AU97" s="623"/>
      <c r="AV97" s="623"/>
      <c r="AW97" s="623"/>
      <c r="AX97" s="623"/>
      <c r="AY97" s="623"/>
      <c r="AZ97" s="623"/>
      <c r="BA97" s="623"/>
      <c r="BB97" s="623"/>
      <c r="BC97" s="623"/>
      <c r="BD97" s="623"/>
      <c r="BE97" s="623"/>
      <c r="BF97" s="623"/>
      <c r="BG97" s="623"/>
      <c r="BH97" s="623"/>
      <c r="BI97" s="623"/>
      <c r="BJ97" s="623"/>
      <c r="BK97" s="623"/>
      <c r="BL97" s="623"/>
      <c r="BM97" s="623"/>
      <c r="BN97" s="623"/>
      <c r="BO97" s="623"/>
      <c r="BP97" s="623"/>
      <c r="BQ97" s="623"/>
      <c r="BR97" s="623"/>
      <c r="BS97" s="623"/>
      <c r="BT97" s="623"/>
      <c r="BU97" s="623"/>
      <c r="BV97" s="623"/>
      <c r="BW97" s="623"/>
      <c r="BX97" s="623"/>
      <c r="BY97" s="623"/>
      <c r="BZ97" s="623"/>
      <c r="CA97" s="623"/>
      <c r="CB97" s="623"/>
      <c r="CC97" s="623"/>
      <c r="CD97" s="623"/>
      <c r="CE97" s="623"/>
      <c r="CF97" s="623"/>
      <c r="CG97" s="623"/>
      <c r="CH97" s="623"/>
      <c r="CI97" s="623"/>
      <c r="CJ97" s="623"/>
      <c r="CK97" s="623"/>
      <c r="CL97" s="623"/>
      <c r="CM97" s="623"/>
      <c r="CN97" s="623"/>
      <c r="CO97" s="623"/>
      <c r="CP97" s="623"/>
      <c r="CQ97" s="623"/>
      <c r="CR97" s="623"/>
      <c r="CS97" s="623"/>
      <c r="CT97" s="623"/>
      <c r="CU97" s="623"/>
      <c r="CV97" s="623"/>
      <c r="CW97" s="623"/>
      <c r="CX97" s="623"/>
      <c r="CY97" s="623"/>
      <c r="CZ97" s="623"/>
      <c r="DA97" s="623"/>
      <c r="DB97" s="623"/>
      <c r="DC97" s="623"/>
      <c r="DD97" s="623"/>
      <c r="DE97" s="623"/>
      <c r="DF97" s="623"/>
      <c r="DG97" s="623"/>
      <c r="DH97" s="623"/>
      <c r="DI97" s="623"/>
      <c r="DJ97" s="623"/>
    </row>
    <row r="98" spans="1:114" s="630" customFormat="1" ht="15.75">
      <c r="A98" s="623"/>
      <c r="B98" s="152"/>
      <c r="C98" s="78" t="s">
        <v>2194</v>
      </c>
      <c r="D98" s="79"/>
      <c r="E98" s="79"/>
      <c r="F98" s="1697">
        <f t="shared" ref="F98:O98" si="24">(3)*((Unit.acre/Unit.MW))</f>
        <v>1214.0569267200001</v>
      </c>
      <c r="G98" s="1697">
        <f t="shared" si="24"/>
        <v>1214.0569267200001</v>
      </c>
      <c r="H98" s="1697">
        <f t="shared" si="24"/>
        <v>1214.0569267200001</v>
      </c>
      <c r="I98" s="1697">
        <f t="shared" si="24"/>
        <v>1214.0569267200001</v>
      </c>
      <c r="J98" s="1697">
        <f t="shared" si="24"/>
        <v>1214.0569267200001</v>
      </c>
      <c r="K98" s="1697">
        <f t="shared" si="24"/>
        <v>1214.0569267200001</v>
      </c>
      <c r="L98" s="1697">
        <f t="shared" si="24"/>
        <v>1214.0569267200001</v>
      </c>
      <c r="M98" s="1697">
        <f t="shared" si="24"/>
        <v>1214.0569267200001</v>
      </c>
      <c r="N98" s="1697">
        <f t="shared" si="24"/>
        <v>1214.0569267200001</v>
      </c>
      <c r="O98" s="1697">
        <f t="shared" si="24"/>
        <v>1214.0569267200001</v>
      </c>
      <c r="P98" s="415"/>
      <c r="Q98" s="627"/>
      <c r="R98" s="628"/>
      <c r="S98" s="1694"/>
      <c r="T98" s="1695"/>
      <c r="U98" s="1695"/>
      <c r="V98" s="1695"/>
      <c r="W98" s="1695"/>
      <c r="X98" s="1694"/>
      <c r="Y98" s="1695"/>
      <c r="Z98" s="1695"/>
      <c r="AA98" s="1696"/>
      <c r="AB98" s="629"/>
      <c r="AC98" s="628"/>
      <c r="AD98" s="628"/>
      <c r="AG98" s="623"/>
      <c r="AH98" s="623"/>
      <c r="AI98" s="623"/>
      <c r="AJ98" s="623"/>
      <c r="AK98" s="623"/>
      <c r="AL98" s="623"/>
      <c r="AM98" s="623"/>
      <c r="AN98" s="623"/>
      <c r="AO98" s="623"/>
      <c r="AP98" s="623"/>
      <c r="AQ98" s="623"/>
      <c r="AR98" s="623"/>
      <c r="AS98" s="623"/>
      <c r="AT98" s="623"/>
      <c r="AU98" s="623"/>
      <c r="AV98" s="623"/>
      <c r="AW98" s="623"/>
      <c r="AX98" s="623"/>
      <c r="AY98" s="623"/>
      <c r="AZ98" s="623"/>
      <c r="BA98" s="623"/>
      <c r="BB98" s="623"/>
      <c r="BC98" s="623"/>
      <c r="BD98" s="623"/>
      <c r="BE98" s="623"/>
      <c r="BF98" s="623"/>
      <c r="BG98" s="623"/>
      <c r="BH98" s="623"/>
      <c r="BI98" s="623"/>
      <c r="BJ98" s="623"/>
      <c r="BK98" s="623"/>
      <c r="BL98" s="623"/>
      <c r="BM98" s="623"/>
      <c r="BN98" s="623"/>
      <c r="BO98" s="623"/>
      <c r="BP98" s="623"/>
      <c r="BQ98" s="623"/>
      <c r="BR98" s="623"/>
      <c r="BS98" s="623"/>
      <c r="BT98" s="623"/>
      <c r="BU98" s="623"/>
      <c r="BV98" s="623"/>
      <c r="BW98" s="623"/>
      <c r="BX98" s="623"/>
      <c r="BY98" s="623"/>
      <c r="BZ98" s="623"/>
      <c r="CA98" s="623"/>
      <c r="CB98" s="623"/>
      <c r="CC98" s="623"/>
      <c r="CD98" s="623"/>
      <c r="CE98" s="623"/>
      <c r="CF98" s="623"/>
      <c r="CG98" s="623"/>
      <c r="CH98" s="623"/>
      <c r="CI98" s="623"/>
      <c r="CJ98" s="623"/>
      <c r="CK98" s="623"/>
      <c r="CL98" s="623"/>
      <c r="CM98" s="623"/>
      <c r="CN98" s="623"/>
      <c r="CO98" s="623"/>
      <c r="CP98" s="623"/>
      <c r="CQ98" s="623"/>
      <c r="CR98" s="623"/>
      <c r="CS98" s="623"/>
      <c r="CT98" s="623"/>
      <c r="CU98" s="623"/>
      <c r="CV98" s="623"/>
      <c r="CW98" s="623"/>
      <c r="CX98" s="623"/>
      <c r="CY98" s="623"/>
      <c r="CZ98" s="623"/>
      <c r="DA98" s="623"/>
      <c r="DB98" s="623"/>
      <c r="DC98" s="623"/>
      <c r="DD98" s="623"/>
      <c r="DE98" s="623"/>
      <c r="DF98" s="623"/>
      <c r="DG98" s="623"/>
      <c r="DH98" s="623"/>
      <c r="DI98" s="623"/>
      <c r="DJ98" s="623"/>
    </row>
    <row r="99" spans="1:114" s="630" customFormat="1">
      <c r="A99" s="623"/>
      <c r="B99" s="402"/>
      <c r="C99" s="402"/>
      <c r="D99" s="415"/>
      <c r="E99" s="264"/>
      <c r="F99" s="415"/>
      <c r="G99" s="415"/>
      <c r="H99" s="415"/>
      <c r="I99" s="415"/>
      <c r="J99" s="444"/>
      <c r="K99" s="444"/>
      <c r="L99" s="402"/>
      <c r="M99" s="402"/>
      <c r="N99" s="402"/>
      <c r="O99" s="402"/>
      <c r="P99" s="402"/>
      <c r="Q99" s="627"/>
      <c r="R99" s="628"/>
      <c r="S99" s="1694"/>
      <c r="T99" s="1695"/>
      <c r="U99" s="1695"/>
      <c r="V99" s="1695"/>
      <c r="W99" s="1695"/>
      <c r="X99" s="1694"/>
      <c r="Y99" s="1695"/>
      <c r="Z99" s="1695"/>
      <c r="AA99" s="1696"/>
      <c r="AB99" s="629"/>
      <c r="AC99" s="628"/>
      <c r="AD99" s="628"/>
      <c r="AG99" s="623"/>
      <c r="AH99" s="623"/>
      <c r="AI99" s="623"/>
      <c r="AJ99" s="623"/>
      <c r="AK99" s="623"/>
      <c r="AL99" s="623"/>
      <c r="AM99" s="623"/>
      <c r="AN99" s="623"/>
      <c r="AO99" s="623"/>
      <c r="AP99" s="623"/>
      <c r="AQ99" s="623"/>
      <c r="AR99" s="623"/>
      <c r="AS99" s="623"/>
      <c r="AT99" s="623"/>
      <c r="AU99" s="623"/>
      <c r="AV99" s="623"/>
      <c r="AW99" s="623"/>
      <c r="AX99" s="623"/>
      <c r="AY99" s="623"/>
      <c r="AZ99" s="623"/>
      <c r="BA99" s="623"/>
      <c r="BB99" s="623"/>
      <c r="BC99" s="623"/>
      <c r="BD99" s="623"/>
      <c r="BE99" s="623"/>
      <c r="BF99" s="623"/>
      <c r="BG99" s="623"/>
      <c r="BH99" s="623"/>
      <c r="BI99" s="623"/>
      <c r="BJ99" s="623"/>
      <c r="BK99" s="623"/>
      <c r="BL99" s="623"/>
      <c r="BM99" s="623"/>
      <c r="BN99" s="623"/>
      <c r="BO99" s="623"/>
      <c r="BP99" s="623"/>
      <c r="BQ99" s="623"/>
      <c r="BR99" s="623"/>
      <c r="BS99" s="623"/>
      <c r="BT99" s="623"/>
      <c r="BU99" s="623"/>
      <c r="BV99" s="623"/>
      <c r="BW99" s="623"/>
      <c r="BX99" s="623"/>
      <c r="BY99" s="623"/>
      <c r="BZ99" s="623"/>
      <c r="CA99" s="623"/>
      <c r="CB99" s="623"/>
      <c r="CC99" s="623"/>
      <c r="CD99" s="623"/>
      <c r="CE99" s="623"/>
      <c r="CF99" s="623"/>
      <c r="CG99" s="623"/>
      <c r="CH99" s="623"/>
      <c r="CI99" s="623"/>
      <c r="CJ99" s="623"/>
      <c r="CK99" s="623"/>
      <c r="CL99" s="623"/>
      <c r="CM99" s="623"/>
      <c r="CN99" s="623"/>
      <c r="CO99" s="623"/>
      <c r="CP99" s="623"/>
      <c r="CQ99" s="623"/>
      <c r="CR99" s="623"/>
      <c r="CS99" s="623"/>
      <c r="CT99" s="623"/>
      <c r="CU99" s="623"/>
      <c r="CV99" s="623"/>
      <c r="CW99" s="623"/>
      <c r="CX99" s="623"/>
      <c r="CY99" s="623"/>
      <c r="CZ99" s="623"/>
      <c r="DA99" s="623"/>
      <c r="DB99" s="623"/>
      <c r="DC99" s="623"/>
      <c r="DD99" s="623"/>
      <c r="DE99" s="623"/>
      <c r="DF99" s="623"/>
      <c r="DG99" s="623"/>
      <c r="DH99" s="623"/>
      <c r="DI99" s="623"/>
      <c r="DJ99" s="623"/>
    </row>
    <row r="100" spans="1:114" s="630" customFormat="1">
      <c r="A100" s="623"/>
      <c r="B100" s="402"/>
      <c r="C100" s="402"/>
      <c r="D100" s="415"/>
      <c r="E100" s="264"/>
      <c r="F100" s="415"/>
      <c r="G100" s="415"/>
      <c r="H100" s="415"/>
      <c r="I100" s="415"/>
      <c r="J100" s="444"/>
      <c r="K100" s="444"/>
      <c r="L100" s="402"/>
      <c r="M100" s="402"/>
      <c r="N100" s="402"/>
      <c r="O100" s="402"/>
      <c r="P100" s="402"/>
      <c r="Q100" s="627"/>
      <c r="R100" s="628"/>
      <c r="S100" s="1694"/>
      <c r="T100" s="1695"/>
      <c r="U100" s="1695"/>
      <c r="V100" s="1695"/>
      <c r="W100" s="1695"/>
      <c r="X100" s="1694"/>
      <c r="Y100" s="1695"/>
      <c r="Z100" s="1695"/>
      <c r="AA100" s="1696"/>
      <c r="AB100" s="629"/>
      <c r="AC100" s="628"/>
      <c r="AD100" s="628"/>
      <c r="AG100" s="623"/>
      <c r="AH100" s="623"/>
      <c r="AI100" s="623"/>
      <c r="AJ100" s="623"/>
      <c r="AK100" s="623"/>
      <c r="AL100" s="623"/>
      <c r="AM100" s="623"/>
      <c r="AN100" s="623"/>
      <c r="AO100" s="623"/>
      <c r="AP100" s="623"/>
      <c r="AQ100" s="623"/>
      <c r="AR100" s="623"/>
      <c r="AS100" s="623"/>
      <c r="AT100" s="623"/>
      <c r="AU100" s="623"/>
      <c r="AV100" s="623"/>
      <c r="AW100" s="623"/>
      <c r="AX100" s="623"/>
      <c r="AY100" s="623"/>
      <c r="AZ100" s="623"/>
      <c r="BA100" s="623"/>
      <c r="BB100" s="623"/>
      <c r="BC100" s="623"/>
      <c r="BD100" s="623"/>
      <c r="BE100" s="623"/>
      <c r="BF100" s="623"/>
      <c r="BG100" s="623"/>
      <c r="BH100" s="623"/>
      <c r="BI100" s="623"/>
      <c r="BJ100" s="623"/>
      <c r="BK100" s="623"/>
      <c r="BL100" s="623"/>
      <c r="BM100" s="623"/>
      <c r="BN100" s="623"/>
      <c r="BO100" s="623"/>
      <c r="BP100" s="623"/>
      <c r="BQ100" s="623"/>
      <c r="BR100" s="623"/>
      <c r="BS100" s="623"/>
      <c r="BT100" s="623"/>
      <c r="BU100" s="623"/>
      <c r="BV100" s="623"/>
      <c r="BW100" s="623"/>
      <c r="BX100" s="623"/>
      <c r="BY100" s="623"/>
      <c r="BZ100" s="623"/>
      <c r="CA100" s="623"/>
      <c r="CB100" s="623"/>
      <c r="CC100" s="623"/>
      <c r="CD100" s="623"/>
      <c r="CE100" s="623"/>
      <c r="CF100" s="623"/>
      <c r="CG100" s="623"/>
      <c r="CH100" s="623"/>
      <c r="CI100" s="623"/>
      <c r="CJ100" s="623"/>
      <c r="CK100" s="623"/>
      <c r="CL100" s="623"/>
      <c r="CM100" s="623"/>
      <c r="CN100" s="623"/>
      <c r="CO100" s="623"/>
      <c r="CP100" s="623"/>
      <c r="CQ100" s="623"/>
      <c r="CR100" s="623"/>
      <c r="CS100" s="623"/>
      <c r="CT100" s="623"/>
      <c r="CU100" s="623"/>
      <c r="CV100" s="623"/>
      <c r="CW100" s="623"/>
      <c r="CX100" s="623"/>
      <c r="CY100" s="623"/>
      <c r="CZ100" s="623"/>
      <c r="DA100" s="623"/>
      <c r="DB100" s="623"/>
      <c r="DC100" s="623"/>
      <c r="DD100" s="623"/>
      <c r="DE100" s="623"/>
      <c r="DF100" s="623"/>
      <c r="DG100" s="623"/>
      <c r="DH100" s="623"/>
      <c r="DI100" s="623"/>
      <c r="DJ100" s="623"/>
    </row>
    <row r="101" spans="1:114" s="51" customFormat="1">
      <c r="A101" s="2331"/>
      <c r="B101" s="631"/>
      <c r="C101" s="35"/>
      <c r="D101" s="35"/>
      <c r="E101" s="35"/>
      <c r="F101" s="35"/>
      <c r="G101" s="35"/>
      <c r="H101" s="35"/>
      <c r="I101" s="35"/>
      <c r="J101" s="35"/>
      <c r="K101" s="35"/>
      <c r="L101" s="35"/>
      <c r="M101" s="35"/>
      <c r="N101" s="35"/>
      <c r="O101" s="35"/>
      <c r="P101" s="632"/>
      <c r="Q101" s="619"/>
      <c r="R101" s="32"/>
      <c r="S101" s="1425"/>
      <c r="T101" s="633"/>
      <c r="U101" s="633"/>
      <c r="V101" s="633"/>
      <c r="W101" s="633"/>
      <c r="X101" s="1425"/>
      <c r="Y101" s="633"/>
      <c r="Z101" s="633"/>
      <c r="AA101" s="622"/>
      <c r="AB101" s="622"/>
      <c r="AC101" s="32"/>
      <c r="AD101" s="32"/>
      <c r="AG101" s="2331"/>
      <c r="AH101" s="2331"/>
      <c r="AI101" s="2331"/>
      <c r="AJ101" s="2331"/>
      <c r="AK101" s="2331"/>
      <c r="AL101" s="2331"/>
      <c r="AM101" s="2331"/>
      <c r="AN101" s="2331"/>
      <c r="AO101" s="2331"/>
      <c r="AP101" s="2331"/>
      <c r="AQ101" s="2331"/>
      <c r="AR101" s="2331"/>
      <c r="AS101" s="2331"/>
      <c r="AT101" s="2331"/>
      <c r="AU101" s="2331"/>
      <c r="AV101" s="2331"/>
      <c r="AW101" s="2331"/>
      <c r="AX101" s="2331"/>
      <c r="AY101" s="2331"/>
      <c r="AZ101" s="2331"/>
      <c r="BA101" s="2331"/>
      <c r="BB101" s="2331"/>
      <c r="BC101" s="2331"/>
      <c r="BD101" s="2331"/>
      <c r="BE101" s="2331"/>
      <c r="BF101" s="2331"/>
      <c r="BG101" s="2331"/>
      <c r="BH101" s="2331"/>
      <c r="BI101" s="2331"/>
      <c r="BJ101" s="2331"/>
      <c r="BK101" s="2331"/>
      <c r="BL101" s="2331"/>
      <c r="BM101" s="2331"/>
      <c r="BN101" s="2331"/>
      <c r="BO101" s="2331"/>
      <c r="BP101" s="2331"/>
      <c r="BQ101" s="2331"/>
      <c r="BR101" s="2331"/>
      <c r="BS101" s="2331"/>
      <c r="BT101" s="2331"/>
      <c r="BU101" s="2331"/>
      <c r="BV101" s="2331"/>
      <c r="BW101" s="2331"/>
      <c r="BX101" s="2331"/>
      <c r="BY101" s="2331"/>
      <c r="BZ101" s="2331"/>
      <c r="CA101" s="2331"/>
      <c r="CB101" s="2331"/>
      <c r="CC101" s="2331"/>
      <c r="CD101" s="2331"/>
      <c r="CE101" s="2331"/>
      <c r="CF101" s="2331"/>
      <c r="CG101" s="2331"/>
      <c r="CH101" s="2331"/>
      <c r="CI101" s="2331"/>
      <c r="CJ101" s="2331"/>
      <c r="CK101" s="2331"/>
      <c r="CL101" s="2331"/>
      <c r="CM101" s="2331"/>
      <c r="CN101" s="2331"/>
      <c r="CO101" s="2331"/>
      <c r="CP101" s="2331"/>
      <c r="CQ101" s="2331"/>
      <c r="CR101" s="2331"/>
      <c r="CS101" s="2331"/>
      <c r="CT101" s="2331"/>
      <c r="CU101" s="2331"/>
      <c r="CV101" s="2331"/>
      <c r="CW101" s="2331"/>
      <c r="CX101" s="2331"/>
      <c r="CY101" s="2331"/>
      <c r="CZ101" s="2331"/>
      <c r="DA101" s="2331"/>
      <c r="DB101" s="2331"/>
      <c r="DC101" s="2331"/>
      <c r="DD101" s="2331"/>
      <c r="DE101" s="2331"/>
      <c r="DF101" s="2331"/>
      <c r="DG101" s="2331"/>
      <c r="DH101" s="2331"/>
      <c r="DI101" s="2331"/>
      <c r="DJ101" s="2331"/>
    </row>
    <row r="102" spans="1:114" s="51" customFormat="1" ht="15.75">
      <c r="A102" s="2331"/>
      <c r="B102" s="421" t="s">
        <v>270</v>
      </c>
      <c r="C102" s="159"/>
      <c r="D102" s="159"/>
      <c r="E102" s="159"/>
      <c r="F102" s="159"/>
      <c r="G102" s="159"/>
      <c r="H102" s="159"/>
      <c r="I102" s="159"/>
      <c r="J102" s="159"/>
      <c r="K102" s="159"/>
      <c r="L102" s="159"/>
      <c r="M102" s="159"/>
      <c r="N102" s="159"/>
      <c r="O102" s="159"/>
      <c r="P102" s="160"/>
      <c r="Q102" s="619"/>
      <c r="R102" s="32"/>
      <c r="S102" s="1425"/>
      <c r="T102" s="633"/>
      <c r="U102" s="633"/>
      <c r="V102" s="633"/>
      <c r="W102" s="633"/>
      <c r="X102" s="1425"/>
      <c r="Y102" s="633"/>
      <c r="Z102" s="633"/>
      <c r="AA102" s="622"/>
      <c r="AB102" s="622"/>
      <c r="AC102" s="32"/>
      <c r="AD102" s="32"/>
      <c r="AG102" s="2331"/>
      <c r="AH102" s="2331"/>
      <c r="AI102" s="2331"/>
      <c r="AJ102" s="2331"/>
      <c r="AK102" s="2331"/>
      <c r="AL102" s="2331"/>
      <c r="AM102" s="2331"/>
      <c r="AN102" s="2331"/>
      <c r="AO102" s="2331"/>
      <c r="AP102" s="2331"/>
      <c r="AQ102" s="2331"/>
      <c r="AR102" s="2331"/>
      <c r="AS102" s="2331"/>
      <c r="AT102" s="2331"/>
      <c r="AU102" s="2331"/>
      <c r="AV102" s="2331"/>
      <c r="AW102" s="2331"/>
      <c r="AX102" s="2331"/>
      <c r="AY102" s="2331"/>
      <c r="AZ102" s="2331"/>
      <c r="BA102" s="2331"/>
      <c r="BB102" s="2331"/>
      <c r="BC102" s="2331"/>
      <c r="BD102" s="2331"/>
      <c r="BE102" s="2331"/>
      <c r="BF102" s="2331"/>
      <c r="BG102" s="2331"/>
      <c r="BH102" s="2331"/>
      <c r="BI102" s="2331"/>
      <c r="BJ102" s="2331"/>
      <c r="BK102" s="2331"/>
      <c r="BL102" s="2331"/>
      <c r="BM102" s="2331"/>
      <c r="BN102" s="2331"/>
      <c r="BO102" s="2331"/>
      <c r="BP102" s="2331"/>
      <c r="BQ102" s="2331"/>
      <c r="BR102" s="2331"/>
      <c r="BS102" s="2331"/>
      <c r="BT102" s="2331"/>
      <c r="BU102" s="2331"/>
      <c r="BV102" s="2331"/>
      <c r="BW102" s="2331"/>
      <c r="BX102" s="2331"/>
      <c r="BY102" s="2331"/>
      <c r="BZ102" s="2331"/>
      <c r="CA102" s="2331"/>
      <c r="CB102" s="2331"/>
      <c r="CC102" s="2331"/>
      <c r="CD102" s="2331"/>
      <c r="CE102" s="2331"/>
      <c r="CF102" s="2331"/>
      <c r="CG102" s="2331"/>
      <c r="CH102" s="2331"/>
      <c r="CI102" s="2331"/>
      <c r="CJ102" s="2331"/>
      <c r="CK102" s="2331"/>
      <c r="CL102" s="2331"/>
      <c r="CM102" s="2331"/>
      <c r="CN102" s="2331"/>
      <c r="CO102" s="2331"/>
      <c r="CP102" s="2331"/>
      <c r="CQ102" s="2331"/>
      <c r="CR102" s="2331"/>
      <c r="CS102" s="2331"/>
      <c r="CT102" s="2331"/>
      <c r="CU102" s="2331"/>
      <c r="CV102" s="2331"/>
      <c r="CW102" s="2331"/>
      <c r="CX102" s="2331"/>
      <c r="CY102" s="2331"/>
      <c r="CZ102" s="2331"/>
      <c r="DA102" s="2331"/>
      <c r="DB102" s="2331"/>
      <c r="DC102" s="2331"/>
      <c r="DD102" s="2331"/>
      <c r="DE102" s="2331"/>
      <c r="DF102" s="2331"/>
      <c r="DG102" s="2331"/>
      <c r="DH102" s="2331"/>
      <c r="DI102" s="2331"/>
      <c r="DJ102" s="2331"/>
    </row>
    <row r="103" spans="1:114">
      <c r="B103" s="418"/>
      <c r="C103" s="415"/>
      <c r="D103" s="415"/>
      <c r="E103" s="415"/>
      <c r="F103" s="415"/>
      <c r="G103" s="415"/>
      <c r="H103" s="415"/>
      <c r="I103" s="415"/>
      <c r="J103" s="415"/>
      <c r="K103" s="415"/>
      <c r="L103" s="415"/>
      <c r="M103" s="415"/>
      <c r="N103" s="415"/>
      <c r="O103" s="415"/>
      <c r="P103" s="419"/>
      <c r="Q103" s="619"/>
      <c r="R103" s="529"/>
      <c r="S103" s="1435"/>
      <c r="T103" s="1698"/>
      <c r="U103" s="1698"/>
      <c r="V103" s="1698"/>
      <c r="W103" s="1698"/>
      <c r="X103" s="1425"/>
      <c r="Y103" s="1698"/>
      <c r="Z103" s="1698"/>
      <c r="AA103" s="634"/>
      <c r="AB103" s="634"/>
      <c r="AC103" s="529"/>
      <c r="AD103" s="529"/>
    </row>
    <row r="104" spans="1:114" ht="12.75" customHeight="1">
      <c r="B104" s="418"/>
      <c r="C104" s="416" t="s">
        <v>793</v>
      </c>
      <c r="D104" s="415"/>
      <c r="E104" s="104"/>
      <c r="F104" s="415"/>
      <c r="G104" s="415"/>
      <c r="H104" s="415"/>
      <c r="I104" s="415"/>
      <c r="J104" s="415"/>
      <c r="K104" s="415"/>
      <c r="L104" s="415"/>
      <c r="M104" s="415"/>
      <c r="N104" s="415"/>
      <c r="O104" s="104" t="str">
        <f>Preferences.PowerUnits</f>
        <v>GW</v>
      </c>
      <c r="P104" s="419"/>
      <c r="Q104" s="619"/>
      <c r="R104" s="529"/>
      <c r="S104" s="634"/>
      <c r="T104" s="634"/>
      <c r="U104" s="634"/>
      <c r="V104" s="634"/>
      <c r="W104" s="634"/>
      <c r="X104" s="634"/>
      <c r="Y104" s="634"/>
      <c r="Z104" s="634"/>
      <c r="AA104" s="634"/>
      <c r="AB104" s="634"/>
      <c r="AC104" s="529"/>
      <c r="AD104" s="529"/>
    </row>
    <row r="105" spans="1:114">
      <c r="B105" s="418"/>
      <c r="C105" s="415"/>
      <c r="D105" s="415"/>
      <c r="E105" s="415"/>
      <c r="F105" s="415"/>
      <c r="G105" s="415"/>
      <c r="H105" s="415"/>
      <c r="I105" s="415"/>
      <c r="J105" s="415"/>
      <c r="K105" s="415"/>
      <c r="L105" s="415"/>
      <c r="M105" s="415"/>
      <c r="N105" s="415"/>
      <c r="O105" s="415"/>
      <c r="P105" s="419"/>
      <c r="Q105" s="619"/>
      <c r="R105" s="529"/>
      <c r="S105" s="543"/>
      <c r="T105" s="529"/>
      <c r="U105" s="440"/>
      <c r="V105" s="529"/>
      <c r="W105" s="529"/>
      <c r="X105" s="440"/>
      <c r="Y105" s="529"/>
      <c r="Z105" s="529"/>
      <c r="AA105" s="529"/>
      <c r="AB105" s="529"/>
      <c r="AC105" s="529"/>
      <c r="AD105" s="529"/>
    </row>
    <row r="106" spans="1:114" ht="15.75">
      <c r="B106" s="152"/>
      <c r="C106" s="61" t="s">
        <v>227</v>
      </c>
      <c r="D106" s="61" t="s">
        <v>65</v>
      </c>
      <c r="E106" s="61" t="s">
        <v>156</v>
      </c>
      <c r="F106" s="119">
        <v>2007</v>
      </c>
      <c r="G106" s="120">
        <f t="shared" ref="G106:O106" si="25">F106+5</f>
        <v>2012</v>
      </c>
      <c r="H106" s="120">
        <f t="shared" si="25"/>
        <v>2017</v>
      </c>
      <c r="I106" s="120">
        <f t="shared" si="25"/>
        <v>2022</v>
      </c>
      <c r="J106" s="120">
        <f t="shared" si="25"/>
        <v>2027</v>
      </c>
      <c r="K106" s="120">
        <f t="shared" si="25"/>
        <v>2032</v>
      </c>
      <c r="L106" s="120">
        <f t="shared" si="25"/>
        <v>2037</v>
      </c>
      <c r="M106" s="120">
        <f t="shared" si="25"/>
        <v>2042</v>
      </c>
      <c r="N106" s="120">
        <f t="shared" si="25"/>
        <v>2047</v>
      </c>
      <c r="O106" s="120">
        <f t="shared" si="25"/>
        <v>2052</v>
      </c>
      <c r="P106" s="419"/>
      <c r="Q106" s="619"/>
      <c r="R106" s="529"/>
      <c r="S106" s="529"/>
      <c r="T106" s="529"/>
      <c r="U106" s="529"/>
      <c r="V106" s="529"/>
      <c r="W106" s="529"/>
      <c r="X106" s="529"/>
      <c r="Y106" s="529"/>
      <c r="Z106" s="529"/>
      <c r="AA106" s="529"/>
      <c r="AB106" s="529"/>
      <c r="AC106" s="529"/>
      <c r="AD106" s="529"/>
    </row>
    <row r="107" spans="1:114" s="19" customFormat="1" ht="15.75">
      <c r="B107" s="153"/>
      <c r="C107" s="78" t="s">
        <v>12</v>
      </c>
      <c r="D107" s="79" t="str">
        <f>INDEX(Vectors[Description], MATCH($C107, Vectors[Code], 0))</f>
        <v>Hydro</v>
      </c>
      <c r="E107" s="79"/>
      <c r="F107" s="635">
        <f>F43</f>
        <v>1.9756</v>
      </c>
      <c r="G107" s="635">
        <f t="shared" ref="G107:O107" si="26">G43</f>
        <v>3.3856000000000002</v>
      </c>
      <c r="H107" s="635">
        <f t="shared" si="26"/>
        <v>4.8856000000000002</v>
      </c>
      <c r="I107" s="635">
        <f t="shared" si="26"/>
        <v>6.5856000000000003</v>
      </c>
      <c r="J107" s="635">
        <f t="shared" si="26"/>
        <v>7.5856000000000003</v>
      </c>
      <c r="K107" s="635">
        <f t="shared" si="26"/>
        <v>8.5855999999999995</v>
      </c>
      <c r="L107" s="635">
        <f t="shared" si="26"/>
        <v>9.0855999999999995</v>
      </c>
      <c r="M107" s="635">
        <f t="shared" si="26"/>
        <v>8.9599999999999991</v>
      </c>
      <c r="N107" s="635">
        <f t="shared" si="26"/>
        <v>9.0405999999999995</v>
      </c>
      <c r="O107" s="635">
        <f t="shared" si="26"/>
        <v>9.0405999999999995</v>
      </c>
      <c r="P107" s="414"/>
      <c r="Q107" s="619"/>
      <c r="R107" s="634"/>
      <c r="S107" s="634"/>
      <c r="T107" s="634"/>
      <c r="U107" s="634"/>
      <c r="V107" s="634"/>
      <c r="W107" s="634"/>
      <c r="X107" s="634"/>
      <c r="Y107" s="634"/>
      <c r="Z107" s="634"/>
      <c r="AA107" s="634"/>
      <c r="AB107" s="634"/>
      <c r="AC107" s="634"/>
      <c r="AD107" s="634"/>
    </row>
    <row r="108" spans="1:114" s="19" customFormat="1" ht="15.75">
      <c r="B108" s="153"/>
      <c r="C108" s="413"/>
      <c r="D108" s="414"/>
      <c r="E108" s="414"/>
      <c r="F108" s="115"/>
      <c r="G108" s="115"/>
      <c r="H108" s="115"/>
      <c r="I108" s="115"/>
      <c r="J108" s="115"/>
      <c r="K108" s="115"/>
      <c r="L108" s="115"/>
      <c r="M108" s="115"/>
      <c r="N108" s="115"/>
      <c r="O108" s="115"/>
      <c r="P108" s="414"/>
      <c r="Q108" s="619"/>
      <c r="R108" s="634"/>
      <c r="S108" s="634"/>
      <c r="T108" s="634"/>
      <c r="U108" s="634"/>
      <c r="V108" s="634"/>
      <c r="W108" s="634"/>
      <c r="X108" s="634"/>
      <c r="Y108" s="634"/>
      <c r="Z108" s="634"/>
      <c r="AA108" s="634"/>
      <c r="AB108" s="634"/>
      <c r="AC108" s="634"/>
      <c r="AD108" s="634"/>
    </row>
    <row r="109" spans="1:114" s="19" customFormat="1" ht="15.75">
      <c r="B109" s="153"/>
      <c r="C109" s="416" t="s">
        <v>1872</v>
      </c>
      <c r="D109" s="414"/>
      <c r="E109" s="414"/>
      <c r="F109" s="115"/>
      <c r="G109" s="115"/>
      <c r="H109" s="115"/>
      <c r="I109" s="115"/>
      <c r="J109" s="115"/>
      <c r="K109" s="115"/>
      <c r="L109" s="115"/>
      <c r="M109" s="115"/>
      <c r="N109" s="115"/>
      <c r="O109" s="115"/>
      <c r="P109" s="414"/>
      <c r="Q109" s="619"/>
      <c r="R109" s="634"/>
      <c r="S109" s="634"/>
      <c r="T109" s="634"/>
      <c r="U109" s="634"/>
      <c r="V109" s="634"/>
      <c r="W109" s="634"/>
      <c r="X109" s="634"/>
      <c r="Y109" s="634"/>
      <c r="Z109" s="634"/>
      <c r="AA109" s="634"/>
      <c r="AB109" s="634"/>
      <c r="AC109" s="634"/>
      <c r="AD109" s="634"/>
    </row>
    <row r="110" spans="1:114" s="19" customFormat="1" ht="15.75">
      <c r="B110" s="153"/>
      <c r="C110" s="61" t="s">
        <v>227</v>
      </c>
      <c r="D110" s="61" t="s">
        <v>65</v>
      </c>
      <c r="E110" s="61" t="s">
        <v>156</v>
      </c>
      <c r="F110" s="119">
        <v>2007</v>
      </c>
      <c r="G110" s="120">
        <f>F110+5</f>
        <v>2012</v>
      </c>
      <c r="H110" s="120">
        <f t="shared" ref="H110:O110" si="27">G110+5</f>
        <v>2017</v>
      </c>
      <c r="I110" s="120">
        <f t="shared" si="27"/>
        <v>2022</v>
      </c>
      <c r="J110" s="120">
        <f t="shared" si="27"/>
        <v>2027</v>
      </c>
      <c r="K110" s="120">
        <f t="shared" si="27"/>
        <v>2032</v>
      </c>
      <c r="L110" s="120">
        <f t="shared" si="27"/>
        <v>2037</v>
      </c>
      <c r="M110" s="120">
        <f t="shared" si="27"/>
        <v>2042</v>
      </c>
      <c r="N110" s="120">
        <f t="shared" si="27"/>
        <v>2047</v>
      </c>
      <c r="O110" s="120">
        <f t="shared" si="27"/>
        <v>2052</v>
      </c>
      <c r="P110" s="414"/>
      <c r="Q110" s="619"/>
      <c r="R110" s="634"/>
      <c r="S110" s="634"/>
      <c r="T110" s="634"/>
      <c r="U110" s="634"/>
      <c r="V110" s="634"/>
      <c r="W110" s="634"/>
      <c r="X110" s="634"/>
      <c r="Y110" s="634"/>
      <c r="Z110" s="634"/>
      <c r="AA110" s="634"/>
      <c r="AB110" s="634"/>
      <c r="AC110" s="634"/>
      <c r="AD110" s="634"/>
    </row>
    <row r="111" spans="1:114" s="19" customFormat="1" ht="15.75">
      <c r="B111" s="153"/>
      <c r="C111" s="2431" t="s">
        <v>12</v>
      </c>
      <c r="D111" s="2431" t="str">
        <f>INDEX(Vectors[Description], MATCH($C111, Vectors[Code], 0))</f>
        <v>Hydro</v>
      </c>
      <c r="E111" s="2431"/>
      <c r="F111" s="2434">
        <f>F52</f>
        <v>0.40500000000000003</v>
      </c>
      <c r="G111" s="2434">
        <f t="shared" ref="G111:O111" si="28">G52</f>
        <v>0.40708234877126659</v>
      </c>
      <c r="H111" s="2434">
        <f t="shared" si="28"/>
        <v>0.41104838709677421</v>
      </c>
      <c r="I111" s="2434">
        <f t="shared" si="28"/>
        <v>0.41464984207968908</v>
      </c>
      <c r="J111" s="2434">
        <f t="shared" si="28"/>
        <v>0.41733257751529218</v>
      </c>
      <c r="K111" s="2434">
        <f t="shared" si="28"/>
        <v>0.42055511554230346</v>
      </c>
      <c r="L111" s="2434">
        <f t="shared" si="28"/>
        <v>0.42217553050981782</v>
      </c>
      <c r="M111" s="2434">
        <f t="shared" si="28"/>
        <v>0.43163750000000006</v>
      </c>
      <c r="N111" s="2434">
        <f t="shared" si="28"/>
        <v>0.43900006636727651</v>
      </c>
      <c r="O111" s="2434">
        <f t="shared" si="28"/>
        <v>0.44646638497444857</v>
      </c>
      <c r="P111" s="414"/>
      <c r="Q111" s="619"/>
      <c r="R111" s="634"/>
      <c r="S111" s="634"/>
      <c r="T111" s="634"/>
      <c r="U111" s="634"/>
      <c r="V111" s="634"/>
      <c r="W111" s="634"/>
      <c r="X111" s="634"/>
      <c r="Y111" s="634"/>
      <c r="Z111" s="634"/>
      <c r="AA111" s="634"/>
      <c r="AB111" s="634"/>
      <c r="AC111" s="634"/>
      <c r="AD111" s="634"/>
    </row>
    <row r="112" spans="1:114" s="19" customFormat="1" ht="14.25" customHeight="1">
      <c r="B112" s="636"/>
      <c r="C112" s="637"/>
      <c r="D112" s="638"/>
      <c r="E112" s="638"/>
      <c r="F112" s="639"/>
      <c r="G112" s="640"/>
      <c r="H112" s="640"/>
      <c r="I112" s="640"/>
      <c r="J112" s="640"/>
      <c r="K112" s="640"/>
      <c r="L112" s="640"/>
      <c r="M112" s="640"/>
      <c r="N112" s="640"/>
      <c r="O112" s="640"/>
      <c r="P112" s="157"/>
      <c r="Q112" s="619"/>
      <c r="R112" s="634"/>
      <c r="S112" s="634"/>
      <c r="T112" s="634"/>
      <c r="U112" s="634"/>
      <c r="V112" s="634"/>
      <c r="W112" s="634"/>
      <c r="X112" s="634"/>
      <c r="Y112" s="634"/>
      <c r="Z112" s="634"/>
      <c r="AA112" s="634"/>
      <c r="AB112" s="634"/>
      <c r="AC112" s="634"/>
      <c r="AD112" s="634"/>
    </row>
    <row r="113" spans="2:32" ht="15.75" customHeight="1">
      <c r="Q113" s="619"/>
      <c r="R113" s="529"/>
      <c r="S113" s="529"/>
      <c r="T113" s="529"/>
      <c r="U113" s="529"/>
      <c r="V113" s="529"/>
      <c r="W113" s="529"/>
      <c r="X113" s="529"/>
      <c r="Y113" s="529"/>
      <c r="Z113" s="529"/>
      <c r="AA113" s="529"/>
      <c r="AB113" s="529"/>
      <c r="AC113" s="529"/>
      <c r="AD113" s="529"/>
    </row>
    <row r="114" spans="2:32">
      <c r="B114" s="2331" t="s">
        <v>794</v>
      </c>
      <c r="C114" s="88"/>
      <c r="F114" s="641">
        <v>2007</v>
      </c>
      <c r="G114" s="642">
        <f t="shared" ref="G114:O114" si="29">F114+5</f>
        <v>2012</v>
      </c>
      <c r="H114" s="642">
        <f t="shared" si="29"/>
        <v>2017</v>
      </c>
      <c r="I114" s="642">
        <f t="shared" si="29"/>
        <v>2022</v>
      </c>
      <c r="J114" s="642">
        <f t="shared" si="29"/>
        <v>2027</v>
      </c>
      <c r="K114" s="642">
        <f t="shared" si="29"/>
        <v>2032</v>
      </c>
      <c r="L114" s="642">
        <f t="shared" si="29"/>
        <v>2037</v>
      </c>
      <c r="M114" s="642">
        <f t="shared" si="29"/>
        <v>2042</v>
      </c>
      <c r="N114" s="642">
        <f t="shared" si="29"/>
        <v>2047</v>
      </c>
      <c r="O114" s="642">
        <f t="shared" si="29"/>
        <v>2052</v>
      </c>
    </row>
    <row r="115" spans="2:32">
      <c r="C115" s="423" t="s">
        <v>795</v>
      </c>
      <c r="E115" s="2331" t="str">
        <f>Preferences.PowerUnits</f>
        <v>GW</v>
      </c>
      <c r="F115" s="22">
        <f t="shared" ref="F115:O115" si="30">F$107</f>
        <v>1.9756</v>
      </c>
      <c r="G115" s="22">
        <f t="shared" si="30"/>
        <v>3.3856000000000002</v>
      </c>
      <c r="H115" s="22">
        <f t="shared" si="30"/>
        <v>4.8856000000000002</v>
      </c>
      <c r="I115" s="22">
        <f t="shared" si="30"/>
        <v>6.5856000000000003</v>
      </c>
      <c r="J115" s="22">
        <f t="shared" si="30"/>
        <v>7.5856000000000003</v>
      </c>
      <c r="K115" s="22">
        <f t="shared" si="30"/>
        <v>8.5855999999999995</v>
      </c>
      <c r="L115" s="22">
        <f t="shared" si="30"/>
        <v>9.0855999999999995</v>
      </c>
      <c r="M115" s="22">
        <f t="shared" si="30"/>
        <v>8.9599999999999991</v>
      </c>
      <c r="N115" s="22">
        <f t="shared" si="30"/>
        <v>9.0405999999999995</v>
      </c>
      <c r="O115" s="22">
        <f t="shared" si="30"/>
        <v>9.0405999999999995</v>
      </c>
    </row>
    <row r="116" spans="2:32" s="51" customFormat="1" ht="11.25" customHeight="1">
      <c r="B116" s="87" t="s">
        <v>796</v>
      </c>
      <c r="C116" s="2331" t="s">
        <v>797</v>
      </c>
      <c r="D116" s="2331"/>
      <c r="E116" s="2331" t="s">
        <v>277</v>
      </c>
      <c r="F116" s="15">
        <f>F111</f>
        <v>0.40500000000000003</v>
      </c>
      <c r="G116" s="15">
        <f t="shared" ref="G116:O116" si="31">G111</f>
        <v>0.40708234877126659</v>
      </c>
      <c r="H116" s="15">
        <f t="shared" si="31"/>
        <v>0.41104838709677421</v>
      </c>
      <c r="I116" s="15">
        <f t="shared" si="31"/>
        <v>0.41464984207968908</v>
      </c>
      <c r="J116" s="15">
        <f t="shared" si="31"/>
        <v>0.41733257751529218</v>
      </c>
      <c r="K116" s="15">
        <f t="shared" si="31"/>
        <v>0.42055511554230346</v>
      </c>
      <c r="L116" s="15">
        <f t="shared" si="31"/>
        <v>0.42217553050981782</v>
      </c>
      <c r="M116" s="15">
        <f t="shared" si="31"/>
        <v>0.43163750000000006</v>
      </c>
      <c r="N116" s="15">
        <f t="shared" si="31"/>
        <v>0.43900006636727651</v>
      </c>
      <c r="O116" s="15">
        <f t="shared" si="31"/>
        <v>0.44646638497444857</v>
      </c>
      <c r="P116" s="2331"/>
    </row>
    <row r="117" spans="2:32">
      <c r="B117" s="88" t="s">
        <v>276</v>
      </c>
      <c r="C117" s="423" t="s">
        <v>798</v>
      </c>
      <c r="E117" s="2331" t="str">
        <f>Preferences.PowerUnits</f>
        <v>GW</v>
      </c>
      <c r="F117" s="73">
        <f t="shared" ref="F117:O117" si="32">F115*F116</f>
        <v>0.80011800000000011</v>
      </c>
      <c r="G117" s="73">
        <f t="shared" si="32"/>
        <v>1.3782180000000002</v>
      </c>
      <c r="H117" s="73">
        <f t="shared" si="32"/>
        <v>2.0082180000000003</v>
      </c>
      <c r="I117" s="73">
        <f t="shared" si="32"/>
        <v>2.7307180000000004</v>
      </c>
      <c r="J117" s="73">
        <f t="shared" si="32"/>
        <v>3.1657180000000005</v>
      </c>
      <c r="K117" s="73">
        <f t="shared" si="32"/>
        <v>3.6107180000000003</v>
      </c>
      <c r="L117" s="73">
        <f t="shared" si="32"/>
        <v>3.8357180000000004</v>
      </c>
      <c r="M117" s="73">
        <f t="shared" si="32"/>
        <v>3.8674720000000002</v>
      </c>
      <c r="N117" s="73">
        <f t="shared" si="32"/>
        <v>3.9688239999999997</v>
      </c>
      <c r="O117" s="73">
        <f t="shared" si="32"/>
        <v>4.0363239999999996</v>
      </c>
    </row>
    <row r="118" spans="2:32" ht="14.25" customHeight="1">
      <c r="B118" s="88"/>
      <c r="C118" s="423"/>
      <c r="F118" s="73"/>
      <c r="G118" s="73"/>
      <c r="H118" s="73"/>
      <c r="I118" s="73"/>
      <c r="J118" s="73"/>
      <c r="K118" s="73"/>
      <c r="L118" s="73"/>
      <c r="M118" s="73"/>
      <c r="N118" s="73"/>
      <c r="O118" s="73"/>
    </row>
    <row r="119" spans="2:32">
      <c r="C119" s="423" t="s">
        <v>799</v>
      </c>
      <c r="E119" s="2331" t="str">
        <f>preferences.energyunits</f>
        <v>TWh</v>
      </c>
      <c r="F119" s="73">
        <f t="shared" ref="F119:O119" si="33">F$117*Preferences.Unit.Power*Unit.year/Preferences.Unit.Energy</f>
        <v>7.0138343880000011</v>
      </c>
      <c r="G119" s="73">
        <f t="shared" si="33"/>
        <v>12.081458988000001</v>
      </c>
      <c r="H119" s="73">
        <f t="shared" si="33"/>
        <v>17.604038988000003</v>
      </c>
      <c r="I119" s="73">
        <f t="shared" si="33"/>
        <v>23.937473988000004</v>
      </c>
      <c r="J119" s="73">
        <f t="shared" si="33"/>
        <v>27.750683988000002</v>
      </c>
      <c r="K119" s="73">
        <f t="shared" si="33"/>
        <v>31.651553988000003</v>
      </c>
      <c r="L119" s="73">
        <f t="shared" si="33"/>
        <v>33.623903988000002</v>
      </c>
      <c r="M119" s="73">
        <f t="shared" si="33"/>
        <v>33.902259552000004</v>
      </c>
      <c r="N119" s="73">
        <f t="shared" si="33"/>
        <v>34.790711183999996</v>
      </c>
      <c r="O119" s="73">
        <f t="shared" si="33"/>
        <v>35.382416183999993</v>
      </c>
    </row>
    <row r="120" spans="2:32" ht="13.5" customHeight="1">
      <c r="C120" s="423"/>
      <c r="F120" s="73"/>
      <c r="G120" s="73"/>
      <c r="H120" s="73"/>
      <c r="I120" s="73"/>
      <c r="J120" s="73"/>
      <c r="K120" s="73"/>
      <c r="L120" s="73"/>
      <c r="M120" s="73"/>
      <c r="N120" s="73"/>
      <c r="O120" s="73"/>
      <c r="Q120" s="35"/>
      <c r="R120" s="35"/>
      <c r="S120" s="35"/>
      <c r="T120" s="35"/>
      <c r="U120" s="35"/>
      <c r="V120" s="35"/>
      <c r="W120" s="35"/>
      <c r="X120" s="35"/>
      <c r="Y120" s="35"/>
      <c r="Z120" s="35"/>
      <c r="AA120" s="35"/>
      <c r="AB120" s="35"/>
      <c r="AC120" s="35"/>
      <c r="AD120" s="35"/>
      <c r="AE120" s="35"/>
    </row>
    <row r="121" spans="2:32">
      <c r="B121" s="423" t="s">
        <v>721</v>
      </c>
      <c r="E121" s="422" t="str">
        <f>Preferences.AreaUnits</f>
        <v>ha</v>
      </c>
      <c r="F121" s="643">
        <f t="shared" ref="F121:O121" si="34">F98*F43</f>
        <v>2398.4908644280322</v>
      </c>
      <c r="G121" s="643">
        <f t="shared" si="34"/>
        <v>4110.3111311032326</v>
      </c>
      <c r="H121" s="643">
        <f t="shared" si="34"/>
        <v>5931.3965211832328</v>
      </c>
      <c r="I121" s="643">
        <f t="shared" si="34"/>
        <v>7995.2932966072331</v>
      </c>
      <c r="J121" s="643">
        <f t="shared" si="34"/>
        <v>9209.3502233272338</v>
      </c>
      <c r="K121" s="643">
        <f>K98*K43</f>
        <v>10423.407150047233</v>
      </c>
      <c r="L121" s="643">
        <f>L98*L43</f>
        <v>11030.435613407231</v>
      </c>
      <c r="M121" s="643">
        <f t="shared" si="34"/>
        <v>10877.950063411199</v>
      </c>
      <c r="N121" s="643">
        <f t="shared" si="34"/>
        <v>10975.803051704832</v>
      </c>
      <c r="O121" s="643">
        <f t="shared" si="34"/>
        <v>10975.803051704832</v>
      </c>
      <c r="P121" s="643"/>
      <c r="R121" s="35"/>
      <c r="S121" s="35"/>
      <c r="T121" s="35"/>
      <c r="U121" s="292"/>
      <c r="V121" s="35"/>
      <c r="W121" s="35"/>
      <c r="X121" s="35"/>
      <c r="Y121" s="35"/>
      <c r="Z121" s="644"/>
      <c r="AA121" s="644"/>
      <c r="AB121" s="35"/>
      <c r="AC121" s="35"/>
      <c r="AD121" s="35"/>
      <c r="AE121" s="35"/>
      <c r="AF121" s="35"/>
    </row>
    <row r="122" spans="2:32">
      <c r="P122" s="365"/>
      <c r="Q122" s="35"/>
      <c r="R122" s="645"/>
      <c r="S122" s="35"/>
      <c r="T122" s="35"/>
      <c r="U122" s="35"/>
      <c r="V122" s="35"/>
      <c r="W122" s="35"/>
      <c r="X122" s="35"/>
      <c r="Y122" s="35"/>
      <c r="Z122" s="35"/>
      <c r="AA122" s="35"/>
      <c r="AB122" s="35"/>
      <c r="AC122" s="35"/>
      <c r="AD122" s="35"/>
      <c r="AE122" s="35"/>
    </row>
    <row r="124" spans="2:32" ht="12" customHeight="1"/>
    <row r="125" spans="2:32" ht="12.75" customHeight="1"/>
    <row r="126" spans="2:32" ht="15.75">
      <c r="B126" s="206" t="s">
        <v>202</v>
      </c>
      <c r="C126" s="175"/>
      <c r="D126" s="175"/>
      <c r="E126" s="175"/>
      <c r="F126" s="175"/>
      <c r="G126" s="175"/>
      <c r="H126" s="175"/>
      <c r="I126" s="175"/>
      <c r="J126" s="175"/>
      <c r="K126" s="175"/>
      <c r="L126" s="175"/>
      <c r="M126" s="175"/>
      <c r="N126" s="175"/>
      <c r="O126" s="175"/>
      <c r="P126" s="177"/>
    </row>
    <row r="127" spans="2:32">
      <c r="B127" s="164"/>
      <c r="C127" s="166"/>
      <c r="D127" s="166"/>
      <c r="E127" s="166"/>
      <c r="F127" s="166"/>
      <c r="G127" s="166"/>
      <c r="H127" s="166"/>
      <c r="I127" s="166"/>
      <c r="J127" s="166"/>
      <c r="K127" s="166"/>
      <c r="L127" s="166"/>
      <c r="M127" s="166"/>
      <c r="N127" s="166"/>
      <c r="O127" s="166"/>
      <c r="P127" s="168"/>
    </row>
    <row r="128" spans="2:32">
      <c r="B128" s="164"/>
      <c r="C128" s="178" t="s">
        <v>239</v>
      </c>
      <c r="D128" s="166"/>
      <c r="E128" s="167"/>
      <c r="F128" s="166"/>
      <c r="G128" s="167"/>
      <c r="H128" s="166"/>
      <c r="I128" s="166"/>
      <c r="J128" s="166"/>
      <c r="K128" s="166"/>
      <c r="L128" s="166"/>
      <c r="M128" s="166"/>
      <c r="N128" s="166"/>
      <c r="O128" s="167" t="str">
        <f>preferences.energyunits</f>
        <v>TWh</v>
      </c>
      <c r="P128" s="168"/>
    </row>
    <row r="129" spans="2:16">
      <c r="B129" s="164"/>
      <c r="C129" s="166"/>
      <c r="D129" s="166"/>
      <c r="E129" s="166"/>
      <c r="F129" s="166"/>
      <c r="G129" s="166"/>
      <c r="H129" s="166"/>
      <c r="I129" s="166"/>
      <c r="J129" s="166"/>
      <c r="K129" s="166"/>
      <c r="L129" s="166"/>
      <c r="M129" s="166"/>
      <c r="N129" s="166"/>
      <c r="O129" s="166"/>
      <c r="P129" s="168"/>
    </row>
    <row r="130" spans="2:16" ht="15.75">
      <c r="B130" s="169"/>
      <c r="C130" s="180" t="s">
        <v>64</v>
      </c>
      <c r="D130" s="180" t="s">
        <v>137</v>
      </c>
      <c r="E130" s="180" t="s">
        <v>156</v>
      </c>
      <c r="F130" s="647" t="s">
        <v>203</v>
      </c>
      <c r="G130" s="647" t="s">
        <v>712</v>
      </c>
      <c r="H130" s="647" t="s">
        <v>713</v>
      </c>
      <c r="I130" s="647" t="s">
        <v>714</v>
      </c>
      <c r="J130" s="647" t="s">
        <v>715</v>
      </c>
      <c r="K130" s="647" t="s">
        <v>716</v>
      </c>
      <c r="L130" s="647" t="s">
        <v>717</v>
      </c>
      <c r="M130" s="647" t="s">
        <v>718</v>
      </c>
      <c r="N130" s="647" t="s">
        <v>719</v>
      </c>
      <c r="O130" s="647" t="s">
        <v>720</v>
      </c>
      <c r="P130" s="168"/>
    </row>
    <row r="131" spans="2:16" ht="15.75">
      <c r="B131" s="169"/>
      <c r="C131" s="60" t="s">
        <v>35</v>
      </c>
      <c r="D131" s="60" t="str">
        <f>INDEX(Vectors[Description], MATCH([Vector], Vectors[Code], 0))</f>
        <v>Electricity (supplied to grid)</v>
      </c>
      <c r="E131" s="60"/>
      <c r="F131" s="129">
        <f t="shared" ref="F131:O131" si="35">F$119</f>
        <v>7.0138343880000011</v>
      </c>
      <c r="G131" s="129">
        <f t="shared" si="35"/>
        <v>12.081458988000001</v>
      </c>
      <c r="H131" s="129">
        <f t="shared" si="35"/>
        <v>17.604038988000003</v>
      </c>
      <c r="I131" s="129">
        <f t="shared" si="35"/>
        <v>23.937473988000004</v>
      </c>
      <c r="J131" s="129">
        <f t="shared" si="35"/>
        <v>27.750683988000002</v>
      </c>
      <c r="K131" s="129">
        <f t="shared" si="35"/>
        <v>31.651553988000003</v>
      </c>
      <c r="L131" s="129">
        <f t="shared" si="35"/>
        <v>33.623903988000002</v>
      </c>
      <c r="M131" s="129">
        <f t="shared" si="35"/>
        <v>33.902259552000004</v>
      </c>
      <c r="N131" s="129">
        <f t="shared" si="35"/>
        <v>34.790711183999996</v>
      </c>
      <c r="O131" s="129">
        <f t="shared" si="35"/>
        <v>35.382416183999993</v>
      </c>
      <c r="P131" s="168"/>
    </row>
    <row r="132" spans="2:16" ht="15.75">
      <c r="B132" s="169"/>
      <c r="C132" s="60" t="s">
        <v>12</v>
      </c>
      <c r="D132" s="60" t="str">
        <f>INDEX(Vectors[Description], MATCH([Vector], Vectors[Code], 0))</f>
        <v>Hydro</v>
      </c>
      <c r="E132" s="60"/>
      <c r="F132" s="129">
        <f t="shared" ref="F132:O132" si="36">-F119</f>
        <v>-7.0138343880000011</v>
      </c>
      <c r="G132" s="129">
        <f t="shared" si="36"/>
        <v>-12.081458988000001</v>
      </c>
      <c r="H132" s="129">
        <f t="shared" si="36"/>
        <v>-17.604038988000003</v>
      </c>
      <c r="I132" s="129">
        <f t="shared" si="36"/>
        <v>-23.937473988000004</v>
      </c>
      <c r="J132" s="129">
        <f t="shared" si="36"/>
        <v>-27.750683988000002</v>
      </c>
      <c r="K132" s="129">
        <f t="shared" si="36"/>
        <v>-31.651553988000003</v>
      </c>
      <c r="L132" s="129">
        <f t="shared" si="36"/>
        <v>-33.623903988000002</v>
      </c>
      <c r="M132" s="129">
        <f t="shared" si="36"/>
        <v>-33.902259552000004</v>
      </c>
      <c r="N132" s="129">
        <f t="shared" si="36"/>
        <v>-34.790711183999996</v>
      </c>
      <c r="O132" s="129">
        <f t="shared" si="36"/>
        <v>-35.382416183999993</v>
      </c>
      <c r="P132" s="168"/>
    </row>
    <row r="133" spans="2:16" ht="15.75">
      <c r="B133" s="169"/>
      <c r="C133" s="60" t="s">
        <v>103</v>
      </c>
      <c r="D133" s="60"/>
      <c r="E133" s="60"/>
      <c r="F133" s="648">
        <f>SUBTOTAL(109,[2007])</f>
        <v>0</v>
      </c>
      <c r="G133" s="60">
        <f>SUBTOTAL(109,[2012])</f>
        <v>0</v>
      </c>
      <c r="H133" s="60">
        <f>SUBTOTAL(109,[2017])</f>
        <v>0</v>
      </c>
      <c r="I133" s="60">
        <f>SUBTOTAL(109,[2022])</f>
        <v>0</v>
      </c>
      <c r="J133" s="60">
        <f>SUBTOTAL(109,[2027])</f>
        <v>0</v>
      </c>
      <c r="K133" s="60">
        <f>SUBTOTAL(109,[2032])</f>
        <v>0</v>
      </c>
      <c r="L133" s="60">
        <f>SUBTOTAL(109,[2037])</f>
        <v>0</v>
      </c>
      <c r="M133" s="60">
        <f>SUBTOTAL(109,[2042])</f>
        <v>0</v>
      </c>
      <c r="N133" s="60">
        <f>SUBTOTAL(109,[2047])</f>
        <v>0</v>
      </c>
      <c r="O133" s="60">
        <f>SUBTOTAL(109,[2052])</f>
        <v>0</v>
      </c>
      <c r="P133" s="168"/>
    </row>
    <row r="134" spans="2:16" ht="15.75">
      <c r="B134" s="170"/>
      <c r="C134" s="171"/>
      <c r="D134" s="171"/>
      <c r="E134" s="171"/>
      <c r="F134" s="171"/>
      <c r="G134" s="171"/>
      <c r="H134" s="171"/>
      <c r="I134" s="171"/>
      <c r="J134" s="171"/>
      <c r="K134" s="171"/>
      <c r="L134" s="171"/>
      <c r="M134" s="171"/>
      <c r="N134" s="171"/>
      <c r="O134" s="171"/>
      <c r="P134" s="173"/>
    </row>
    <row r="136" spans="2:16" ht="15.75">
      <c r="B136" s="424" t="s">
        <v>501</v>
      </c>
      <c r="C136" s="346"/>
      <c r="D136" s="425"/>
      <c r="E136" s="425"/>
      <c r="F136" s="425"/>
      <c r="G136" s="425"/>
      <c r="H136" s="425"/>
      <c r="I136" s="425"/>
      <c r="J136" s="425"/>
      <c r="K136" s="425"/>
      <c r="L136" s="425"/>
      <c r="M136" s="425"/>
      <c r="N136" s="425"/>
      <c r="O136" s="425"/>
      <c r="P136" s="426"/>
    </row>
    <row r="137" spans="2:16">
      <c r="B137" s="347"/>
      <c r="C137" s="348"/>
      <c r="D137" s="348"/>
      <c r="E137" s="348"/>
      <c r="F137" s="348"/>
      <c r="G137" s="348"/>
      <c r="H137" s="348"/>
      <c r="I137" s="348"/>
      <c r="J137" s="348"/>
      <c r="K137" s="348"/>
      <c r="L137" s="348"/>
      <c r="M137" s="348"/>
      <c r="N137" s="348"/>
      <c r="O137" s="348"/>
      <c r="P137" s="349"/>
    </row>
    <row r="138" spans="2:16">
      <c r="B138" s="427"/>
      <c r="C138" s="350" t="s">
        <v>506</v>
      </c>
      <c r="D138" s="428"/>
      <c r="E138" s="351"/>
      <c r="F138" s="428"/>
      <c r="G138" s="351"/>
      <c r="H138" s="428"/>
      <c r="I138" s="428"/>
      <c r="J138" s="428"/>
      <c r="K138" s="428"/>
      <c r="L138" s="428"/>
      <c r="M138" s="428"/>
      <c r="N138" s="428"/>
      <c r="O138" s="351"/>
      <c r="P138" s="429"/>
    </row>
    <row r="139" spans="2:16">
      <c r="B139" s="427"/>
      <c r="C139" s="428"/>
      <c r="D139" s="428"/>
      <c r="E139" s="428"/>
      <c r="F139" s="428"/>
      <c r="G139" s="428"/>
      <c r="H139" s="428"/>
      <c r="I139" s="428"/>
      <c r="J139" s="428"/>
      <c r="K139" s="428"/>
      <c r="L139" s="428"/>
      <c r="M139" s="428"/>
      <c r="N139" s="428"/>
      <c r="O139" s="428"/>
      <c r="P139" s="429"/>
    </row>
    <row r="140" spans="2:16" ht="15.75">
      <c r="B140" s="430"/>
      <c r="C140" s="431" t="s">
        <v>64</v>
      </c>
      <c r="D140" s="431" t="s">
        <v>502</v>
      </c>
      <c r="E140" s="431" t="s">
        <v>156</v>
      </c>
      <c r="F140" s="431" t="s">
        <v>203</v>
      </c>
      <c r="G140" s="431" t="s">
        <v>712</v>
      </c>
      <c r="H140" s="431" t="s">
        <v>713</v>
      </c>
      <c r="I140" s="431" t="s">
        <v>714</v>
      </c>
      <c r="J140" s="431" t="s">
        <v>715</v>
      </c>
      <c r="K140" s="431" t="s">
        <v>716</v>
      </c>
      <c r="L140" s="431" t="s">
        <v>717</v>
      </c>
      <c r="M140" s="431" t="s">
        <v>718</v>
      </c>
      <c r="N140" s="431" t="s">
        <v>719</v>
      </c>
      <c r="O140" s="431" t="s">
        <v>720</v>
      </c>
      <c r="P140" s="429"/>
    </row>
    <row r="141" spans="2:16" ht="15.75">
      <c r="B141" s="430"/>
      <c r="C141" s="432" t="s">
        <v>503</v>
      </c>
      <c r="D141" s="433" t="str">
        <f>INDEX(Vectors[Description], MATCH([Vector], Vectors[Code], 0))</f>
        <v>India Land area</v>
      </c>
      <c r="E141" s="433" t="str">
        <f>Preferences.AreaUnits</f>
        <v>ha</v>
      </c>
      <c r="F141" s="354">
        <f t="shared" ref="F141:O141" si="37">F121</f>
        <v>2398.4908644280322</v>
      </c>
      <c r="G141" s="354">
        <f t="shared" si="37"/>
        <v>4110.3111311032326</v>
      </c>
      <c r="H141" s="354">
        <f t="shared" si="37"/>
        <v>5931.3965211832328</v>
      </c>
      <c r="I141" s="354">
        <f t="shared" si="37"/>
        <v>7995.2932966072331</v>
      </c>
      <c r="J141" s="354">
        <f t="shared" si="37"/>
        <v>9209.3502233272338</v>
      </c>
      <c r="K141" s="354">
        <f t="shared" si="37"/>
        <v>10423.407150047233</v>
      </c>
      <c r="L141" s="354">
        <f t="shared" si="37"/>
        <v>11030.435613407231</v>
      </c>
      <c r="M141" s="354">
        <f t="shared" si="37"/>
        <v>10877.950063411199</v>
      </c>
      <c r="N141" s="354">
        <f t="shared" si="37"/>
        <v>10975.803051704832</v>
      </c>
      <c r="O141" s="354">
        <f t="shared" si="37"/>
        <v>10975.803051704832</v>
      </c>
      <c r="P141" s="429"/>
    </row>
    <row r="142" spans="2:16" ht="15.75">
      <c r="B142" s="430"/>
      <c r="C142" s="432" t="s">
        <v>508</v>
      </c>
      <c r="D142" s="433" t="str">
        <f>INDEX(Vectors[Description], MATCH([Vector], Vectors[Code], 0))</f>
        <v xml:space="preserve">Installed Capacity </v>
      </c>
      <c r="E142" s="433" t="str">
        <f>Preferences.PowerUnits</f>
        <v>GW</v>
      </c>
      <c r="F142" s="354">
        <f t="shared" ref="F142:O142" si="38">F115</f>
        <v>1.9756</v>
      </c>
      <c r="G142" s="354">
        <f t="shared" si="38"/>
        <v>3.3856000000000002</v>
      </c>
      <c r="H142" s="354">
        <f t="shared" si="38"/>
        <v>4.8856000000000002</v>
      </c>
      <c r="I142" s="354">
        <f t="shared" si="38"/>
        <v>6.5856000000000003</v>
      </c>
      <c r="J142" s="354">
        <f t="shared" si="38"/>
        <v>7.5856000000000003</v>
      </c>
      <c r="K142" s="354">
        <f t="shared" si="38"/>
        <v>8.5855999999999995</v>
      </c>
      <c r="L142" s="354">
        <f t="shared" si="38"/>
        <v>9.0855999999999995</v>
      </c>
      <c r="M142" s="354">
        <f t="shared" si="38"/>
        <v>8.9599999999999991</v>
      </c>
      <c r="N142" s="354">
        <f t="shared" si="38"/>
        <v>9.0405999999999995</v>
      </c>
      <c r="O142" s="354">
        <f t="shared" si="38"/>
        <v>9.0405999999999995</v>
      </c>
      <c r="P142" s="429"/>
    </row>
    <row r="143" spans="2:16" ht="15.75">
      <c r="B143" s="355"/>
      <c r="C143" s="434"/>
      <c r="D143" s="434"/>
      <c r="E143" s="434"/>
      <c r="F143" s="434"/>
      <c r="G143" s="434"/>
      <c r="H143" s="434"/>
      <c r="I143" s="434"/>
      <c r="J143" s="434"/>
      <c r="K143" s="434"/>
      <c r="L143" s="434"/>
      <c r="M143" s="434"/>
      <c r="N143" s="434"/>
      <c r="O143" s="434"/>
      <c r="P143" s="352"/>
    </row>
    <row r="145" spans="1:24">
      <c r="Q145" s="359"/>
    </row>
    <row r="147" spans="1:24" collapsed="1"/>
    <row r="148" spans="1:24" ht="22.5">
      <c r="A148" s="420"/>
      <c r="C148" s="423"/>
      <c r="R148" s="529"/>
      <c r="S148" s="529"/>
      <c r="T148" s="529"/>
      <c r="U148" s="529"/>
      <c r="V148" s="529"/>
      <c r="W148" s="529"/>
      <c r="X148" s="529"/>
    </row>
    <row r="149" spans="1:24">
      <c r="B149" s="649"/>
      <c r="R149" s="529"/>
      <c r="S149" s="529"/>
      <c r="T149" s="529"/>
      <c r="U149" s="529"/>
      <c r="V149" s="529"/>
      <c r="W149" s="529"/>
      <c r="X149" s="529"/>
    </row>
    <row r="150" spans="1:24">
      <c r="R150" s="529"/>
      <c r="S150" s="529"/>
      <c r="T150" s="529"/>
      <c r="U150" s="529"/>
      <c r="V150" s="529"/>
      <c r="W150" s="529"/>
      <c r="X150" s="529"/>
    </row>
    <row r="151" spans="1:24">
      <c r="C151" s="423"/>
      <c r="R151" s="529"/>
      <c r="S151" s="529"/>
      <c r="T151" s="529"/>
      <c r="U151" s="529"/>
      <c r="V151" s="529"/>
      <c r="W151" s="529"/>
      <c r="X151" s="529"/>
    </row>
    <row r="152" spans="1:24" ht="4.5" customHeight="1">
      <c r="A152" s="3"/>
      <c r="R152" s="529"/>
      <c r="S152" s="529"/>
      <c r="T152" s="529"/>
      <c r="U152" s="529"/>
      <c r="V152" s="529"/>
      <c r="W152" s="529"/>
      <c r="X152" s="529"/>
    </row>
    <row r="153" spans="1:24" ht="15.75">
      <c r="A153" s="3"/>
      <c r="R153" s="529"/>
      <c r="S153" s="529"/>
      <c r="T153" s="529"/>
      <c r="U153" s="529"/>
      <c r="V153" s="529"/>
      <c r="W153" s="529"/>
      <c r="X153" s="529"/>
    </row>
    <row r="154" spans="1:24" ht="15.75">
      <c r="A154" s="3"/>
      <c r="R154" s="529"/>
      <c r="S154" s="529"/>
      <c r="T154" s="529"/>
      <c r="U154" s="529"/>
      <c r="V154" s="529"/>
      <c r="W154" s="529"/>
      <c r="X154" s="529"/>
    </row>
    <row r="155" spans="1:24" ht="15.75">
      <c r="A155" s="3"/>
      <c r="R155" s="529"/>
      <c r="S155" s="529"/>
      <c r="T155" s="529"/>
      <c r="U155" s="529"/>
      <c r="V155" s="529"/>
      <c r="W155" s="529"/>
      <c r="X155" s="529"/>
    </row>
    <row r="156" spans="1:24" ht="15.75">
      <c r="A156" s="3"/>
      <c r="R156" s="529"/>
      <c r="S156" s="529"/>
      <c r="T156" s="529"/>
      <c r="U156" s="529"/>
      <c r="V156" s="529"/>
      <c r="W156" s="529"/>
      <c r="X156" s="529"/>
    </row>
    <row r="157" spans="1:24" ht="21.75" customHeight="1" collapsed="1">
      <c r="R157" s="529"/>
      <c r="S157" s="529"/>
      <c r="T157" s="529"/>
      <c r="U157" s="529"/>
      <c r="V157" s="529"/>
      <c r="W157" s="529"/>
      <c r="X157" s="529"/>
    </row>
    <row r="158" spans="1:24">
      <c r="R158" s="529"/>
      <c r="S158" s="529"/>
      <c r="T158" s="32"/>
      <c r="U158" s="529"/>
      <c r="V158" s="529"/>
      <c r="W158" s="529"/>
      <c r="X158" s="529"/>
    </row>
    <row r="159" spans="1:24">
      <c r="R159" s="529"/>
      <c r="S159" s="529"/>
      <c r="T159" s="32"/>
      <c r="U159" s="529"/>
      <c r="V159" s="529"/>
      <c r="W159" s="529"/>
      <c r="X159" s="529"/>
    </row>
    <row r="160" spans="1:24">
      <c r="R160" s="529"/>
      <c r="S160" s="529"/>
      <c r="T160" s="32"/>
      <c r="U160" s="529"/>
      <c r="V160" s="529"/>
      <c r="W160" s="529"/>
      <c r="X160" s="529"/>
    </row>
    <row r="161" spans="1:25">
      <c r="T161" s="51"/>
    </row>
    <row r="165" spans="1:25">
      <c r="A165" s="649"/>
    </row>
    <row r="172" spans="1:25">
      <c r="Y172" s="485"/>
    </row>
  </sheetData>
  <pageMargins left="0.7" right="0.7" top="0.75" bottom="0.75" header="0.3" footer="0.3"/>
  <pageSetup paperSize="9" orientation="portrait"/>
  <legacyDrawing r:id="rId1"/>
  <tableParts count="2">
    <tablePart r:id="rId2"/>
    <tablePart r:id="rId3"/>
  </tableParts>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sheetPr>
    <tabColor theme="9"/>
    <outlinePr summaryBelow="0"/>
    <pageSetUpPr autoPageBreaks="0"/>
  </sheetPr>
  <dimension ref="A1:R135"/>
  <sheetViews>
    <sheetView showGridLines="0" topLeftCell="A29" zoomScale="85" zoomScaleNormal="85" zoomScalePageLayoutView="85" workbookViewId="0">
      <selection activeCell="E43" sqref="E43"/>
    </sheetView>
  </sheetViews>
  <sheetFormatPr defaultColWidth="8.85546875" defaultRowHeight="12.75"/>
  <cols>
    <col min="1" max="1" width="7.7109375" style="605" customWidth="1"/>
    <col min="2" max="2" width="12.42578125" style="605" customWidth="1"/>
    <col min="3" max="3" width="20.42578125" style="605" customWidth="1"/>
    <col min="4" max="4" width="30.7109375" style="605" customWidth="1"/>
    <col min="5" max="5" width="20.7109375" style="605" customWidth="1"/>
    <col min="6" max="15" width="17.7109375" style="605" customWidth="1"/>
    <col min="16" max="16" width="10.42578125" style="605" customWidth="1"/>
    <col min="17" max="17" width="10.85546875" style="605" customWidth="1"/>
    <col min="18" max="18" width="44.7109375" style="605" customWidth="1"/>
    <col min="19" max="16384" width="8.85546875" style="605"/>
  </cols>
  <sheetData>
    <row r="1" spans="1:16" ht="21">
      <c r="A1" s="77" t="s">
        <v>190</v>
      </c>
      <c r="B1" s="77" t="str">
        <f>INDEX(Workstreams[Workstream], MATCH($A1, Workstreams[Code], 0))</f>
        <v>Bioenergy</v>
      </c>
      <c r="C1" s="77"/>
    </row>
    <row r="2" spans="1:16" s="51" customFormat="1" ht="19.5" customHeight="1">
      <c r="A2" s="6" t="s">
        <v>304</v>
      </c>
      <c r="B2" s="6" t="str">
        <f>INDEX(Modules[Module], MATCH($A2, Modules[Code], 0))</f>
        <v>Biomass Based Electricity&amp; Biogas</v>
      </c>
      <c r="C2" s="6"/>
      <c r="E2" s="404"/>
    </row>
    <row r="3" spans="1:16" ht="3.75" customHeight="1"/>
    <row r="4" spans="1:16" s="2555" customFormat="1" ht="3.75" customHeight="1"/>
    <row r="5" spans="1:16" s="2555" customFormat="1" ht="3.75" customHeight="1"/>
    <row r="6" spans="1:16" s="2555" customFormat="1" ht="3.75" customHeight="1"/>
    <row r="7" spans="1:16" s="2555" customFormat="1" ht="3.75" customHeight="1"/>
    <row r="8" spans="1:16" s="2555" customFormat="1" ht="15.75" customHeight="1">
      <c r="B8" s="206" t="s">
        <v>416</v>
      </c>
      <c r="C8" s="174"/>
      <c r="D8" s="175"/>
      <c r="E8" s="176"/>
      <c r="F8" s="175"/>
      <c r="G8" s="175"/>
      <c r="H8" s="175"/>
      <c r="I8" s="175"/>
      <c r="J8" s="175"/>
      <c r="K8" s="175"/>
      <c r="L8" s="175"/>
      <c r="M8" s="175"/>
      <c r="N8" s="175"/>
      <c r="O8" s="175"/>
      <c r="P8" s="177"/>
    </row>
    <row r="9" spans="1:16" s="2555" customFormat="1" ht="15.75" customHeight="1">
      <c r="B9" s="164"/>
      <c r="C9" s="165"/>
      <c r="D9" s="166"/>
      <c r="E9" s="167"/>
      <c r="F9" s="166"/>
      <c r="G9" s="166"/>
      <c r="H9" s="166"/>
      <c r="I9" s="166"/>
      <c r="J9" s="166"/>
      <c r="K9" s="166"/>
      <c r="L9" s="166"/>
      <c r="M9" s="166"/>
      <c r="N9" s="166"/>
      <c r="O9" s="166"/>
      <c r="P9" s="168"/>
    </row>
    <row r="10" spans="1:16" s="2555" customFormat="1" ht="15.75" customHeight="1">
      <c r="B10" s="169"/>
      <c r="C10" s="166"/>
      <c r="D10" s="118" t="s">
        <v>274</v>
      </c>
      <c r="E10" s="118" t="s">
        <v>411</v>
      </c>
      <c r="F10" s="166"/>
      <c r="G10" s="166"/>
      <c r="H10" s="166"/>
      <c r="I10" s="166"/>
      <c r="J10" s="166"/>
      <c r="K10" s="166"/>
      <c r="L10" s="166"/>
      <c r="M10" s="166"/>
      <c r="N10" s="166"/>
      <c r="O10" s="166"/>
      <c r="P10" s="168"/>
    </row>
    <row r="11" spans="1:16" s="2555" customFormat="1" ht="15.75" customHeight="1">
      <c r="B11" s="169"/>
      <c r="C11" s="166"/>
      <c r="D11" s="128" t="s">
        <v>2064</v>
      </c>
      <c r="E11" s="266">
        <f>V.a.scnenario</f>
        <v>1</v>
      </c>
      <c r="F11" s="166"/>
      <c r="G11" s="166"/>
      <c r="H11" s="166"/>
      <c r="I11" s="166"/>
      <c r="J11" s="166"/>
      <c r="K11" s="166"/>
      <c r="L11" s="166"/>
      <c r="M11" s="166"/>
      <c r="N11" s="166"/>
      <c r="O11" s="166"/>
      <c r="P11" s="168"/>
    </row>
    <row r="12" spans="1:16" s="2555" customFormat="1" ht="15.75" customHeight="1">
      <c r="B12" s="169"/>
      <c r="C12" s="166"/>
      <c r="D12" s="127"/>
      <c r="E12" s="127"/>
      <c r="F12" s="166"/>
      <c r="G12" s="166"/>
      <c r="H12" s="166"/>
      <c r="I12" s="166"/>
      <c r="J12" s="166"/>
      <c r="K12" s="166"/>
      <c r="L12" s="166"/>
      <c r="M12" s="166"/>
      <c r="N12" s="166"/>
      <c r="O12" s="166"/>
      <c r="P12" s="168"/>
    </row>
    <row r="13" spans="1:16" s="2555" customFormat="1" ht="15.75" customHeight="1">
      <c r="B13" s="169"/>
      <c r="C13" s="166"/>
      <c r="D13" s="60"/>
      <c r="E13" s="60"/>
      <c r="F13" s="166"/>
      <c r="G13" s="166"/>
      <c r="H13" s="166"/>
      <c r="I13" s="166"/>
      <c r="J13" s="166"/>
      <c r="K13" s="166"/>
      <c r="L13" s="166"/>
      <c r="M13" s="166"/>
      <c r="N13" s="166"/>
      <c r="O13" s="166"/>
      <c r="P13" s="168"/>
    </row>
    <row r="14" spans="1:16" s="623" customFormat="1" ht="15.75" customHeight="1">
      <c r="B14" s="2197"/>
      <c r="C14" s="624"/>
      <c r="D14" s="628"/>
      <c r="E14" s="628"/>
      <c r="F14" s="624"/>
      <c r="G14" s="624"/>
      <c r="H14" s="624"/>
      <c r="I14" s="624"/>
      <c r="J14" s="624"/>
      <c r="K14" s="624"/>
      <c r="L14" s="624"/>
      <c r="M14" s="624"/>
      <c r="N14" s="624"/>
      <c r="O14" s="624"/>
      <c r="P14" s="969"/>
    </row>
    <row r="15" spans="1:16" s="2555" customFormat="1" ht="15.75" customHeight="1">
      <c r="B15" s="206" t="s">
        <v>1272</v>
      </c>
      <c r="C15" s="174"/>
      <c r="D15" s="175"/>
      <c r="E15" s="176"/>
      <c r="F15" s="175"/>
      <c r="G15" s="175"/>
      <c r="H15" s="175"/>
      <c r="I15" s="175"/>
      <c r="J15" s="175"/>
      <c r="K15" s="175"/>
      <c r="L15" s="175"/>
      <c r="M15" s="175"/>
      <c r="N15" s="175"/>
      <c r="O15" s="175"/>
      <c r="P15" s="177"/>
    </row>
    <row r="16" spans="1:16" s="2555" customFormat="1" ht="15.75" customHeight="1">
      <c r="B16" s="1678"/>
      <c r="C16" s="1678"/>
      <c r="D16" s="1678"/>
      <c r="E16" s="1678"/>
      <c r="F16" s="1678"/>
      <c r="G16" s="1678"/>
      <c r="H16" s="1678"/>
      <c r="I16" s="1678"/>
      <c r="J16" s="1678"/>
      <c r="K16" s="1678"/>
      <c r="L16" s="1678"/>
      <c r="M16" s="1678"/>
      <c r="N16" s="1678"/>
      <c r="O16" s="1678"/>
      <c r="P16" s="1678"/>
    </row>
    <row r="17" spans="2:16" s="2555" customFormat="1" ht="15.75" customHeight="1">
      <c r="B17" s="1678"/>
      <c r="C17" s="1678"/>
      <c r="D17" s="1678"/>
      <c r="E17" s="1678"/>
      <c r="F17" s="1678"/>
      <c r="G17" s="1678"/>
      <c r="H17" s="1678"/>
      <c r="I17" s="1678"/>
      <c r="J17" s="1678"/>
      <c r="K17" s="1678"/>
      <c r="L17" s="1678"/>
      <c r="M17" s="1678"/>
      <c r="N17" s="1678"/>
      <c r="O17" s="1678"/>
      <c r="P17" s="1678"/>
    </row>
    <row r="18" spans="2:16" s="2555" customFormat="1" ht="15.75" customHeight="1">
      <c r="B18" s="1678"/>
      <c r="C18" s="1678"/>
      <c r="D18" s="1678"/>
      <c r="E18" s="1678"/>
      <c r="F18" s="1678"/>
      <c r="G18" s="1678"/>
      <c r="H18" s="1678"/>
      <c r="I18" s="1678"/>
      <c r="J18" s="1678"/>
      <c r="K18" s="1678"/>
      <c r="L18" s="1678"/>
      <c r="M18" s="1678"/>
      <c r="N18" s="1678"/>
      <c r="O18" s="1678"/>
      <c r="P18" s="1678"/>
    </row>
    <row r="19" spans="2:16" s="2555" customFormat="1" ht="15.75" customHeight="1">
      <c r="B19" s="1678"/>
      <c r="C19" s="1678"/>
      <c r="D19" s="1678"/>
      <c r="E19" s="1678"/>
      <c r="F19" s="1678"/>
      <c r="G19" s="1678"/>
      <c r="H19" s="1678"/>
      <c r="I19" s="1678"/>
      <c r="J19" s="1678"/>
      <c r="K19" s="1678"/>
      <c r="L19" s="1678"/>
      <c r="M19" s="1678"/>
      <c r="N19" s="1678"/>
      <c r="O19" s="1678"/>
      <c r="P19" s="1678"/>
    </row>
    <row r="20" spans="2:16" s="2555" customFormat="1" ht="15.75" customHeight="1">
      <c r="B20" s="1742" t="s">
        <v>1277</v>
      </c>
      <c r="C20" s="189"/>
      <c r="D20" s="189"/>
      <c r="E20" s="1741"/>
      <c r="F20" s="1741"/>
      <c r="G20" s="1741"/>
      <c r="H20" s="1741"/>
      <c r="I20" s="1741"/>
      <c r="J20" s="1741"/>
      <c r="K20" s="1741"/>
      <c r="L20" s="1741"/>
      <c r="M20" s="1741"/>
      <c r="N20" s="1741"/>
      <c r="O20" s="1678"/>
      <c r="P20" s="1678"/>
    </row>
    <row r="21" spans="2:16" s="2555" customFormat="1" ht="15.75" customHeight="1">
      <c r="B21" s="1740"/>
      <c r="C21" s="189"/>
      <c r="D21" s="189"/>
      <c r="E21" s="1741"/>
      <c r="F21" s="1741"/>
      <c r="G21" s="1741"/>
      <c r="H21" s="1741"/>
      <c r="I21" s="1741"/>
      <c r="J21" s="1741"/>
      <c r="K21" s="1741"/>
      <c r="L21" s="1741"/>
      <c r="M21" s="1741"/>
      <c r="N21" s="1741"/>
      <c r="O21" s="1678"/>
      <c r="P21" s="1678"/>
    </row>
    <row r="22" spans="2:16" s="2555" customFormat="1" ht="15.75" customHeight="1">
      <c r="B22" s="1706" t="s">
        <v>411</v>
      </c>
      <c r="C22" s="1706" t="s">
        <v>66</v>
      </c>
      <c r="D22" s="1706" t="s">
        <v>533</v>
      </c>
      <c r="E22" s="1721">
        <v>2007</v>
      </c>
      <c r="F22" s="1722">
        <f t="shared" ref="F22:N22" si="0">E22+5</f>
        <v>2012</v>
      </c>
      <c r="G22" s="1722">
        <f t="shared" si="0"/>
        <v>2017</v>
      </c>
      <c r="H22" s="1722">
        <f t="shared" si="0"/>
        <v>2022</v>
      </c>
      <c r="I22" s="1722">
        <f t="shared" si="0"/>
        <v>2027</v>
      </c>
      <c r="J22" s="1722">
        <f t="shared" si="0"/>
        <v>2032</v>
      </c>
      <c r="K22" s="1722">
        <f t="shared" si="0"/>
        <v>2037</v>
      </c>
      <c r="L22" s="1722">
        <f t="shared" si="0"/>
        <v>2042</v>
      </c>
      <c r="M22" s="1722">
        <f t="shared" si="0"/>
        <v>2047</v>
      </c>
      <c r="N22" s="1722">
        <f t="shared" si="0"/>
        <v>2052</v>
      </c>
      <c r="O22" s="1678"/>
      <c r="P22" s="1678"/>
    </row>
    <row r="23" spans="2:16" s="2555" customFormat="1" ht="15.75" customHeight="1">
      <c r="B23" s="196">
        <v>1</v>
      </c>
      <c r="C23" s="189"/>
      <c r="D23" s="1723"/>
      <c r="E23" s="1755">
        <v>0.25</v>
      </c>
      <c r="F23" s="1755">
        <v>0.25</v>
      </c>
      <c r="G23" s="1754">
        <f>F23</f>
        <v>0.25</v>
      </c>
      <c r="H23" s="1754">
        <f t="shared" ref="H23:M23" si="1">G23</f>
        <v>0.25</v>
      </c>
      <c r="I23" s="1754">
        <f t="shared" si="1"/>
        <v>0.25</v>
      </c>
      <c r="J23" s="1754">
        <f t="shared" si="1"/>
        <v>0.25</v>
      </c>
      <c r="K23" s="1754">
        <f t="shared" si="1"/>
        <v>0.25</v>
      </c>
      <c r="L23" s="1754">
        <f t="shared" si="1"/>
        <v>0.25</v>
      </c>
      <c r="M23" s="1754">
        <f t="shared" si="1"/>
        <v>0.25</v>
      </c>
      <c r="N23" s="1755">
        <v>0.25</v>
      </c>
      <c r="O23" s="1678"/>
      <c r="P23" s="1678"/>
    </row>
    <row r="24" spans="2:16" s="2555" customFormat="1" ht="15.75" customHeight="1">
      <c r="B24" s="196">
        <v>2</v>
      </c>
      <c r="C24" s="189"/>
      <c r="D24" s="1723">
        <f>(N24-F24)/40</f>
        <v>2.4999999999999996E-3</v>
      </c>
      <c r="E24" s="1755">
        <v>0.25</v>
      </c>
      <c r="F24" s="1755">
        <v>0.25</v>
      </c>
      <c r="G24" s="2568">
        <f>F24+$D24*5</f>
        <v>0.26250000000000001</v>
      </c>
      <c r="H24" s="2568">
        <f t="shared" ref="H24:M24" si="2">G24+$D24*5</f>
        <v>0.27500000000000002</v>
      </c>
      <c r="I24" s="2568">
        <f t="shared" si="2"/>
        <v>0.28750000000000003</v>
      </c>
      <c r="J24" s="2568">
        <f t="shared" si="2"/>
        <v>0.30000000000000004</v>
      </c>
      <c r="K24" s="2568">
        <f t="shared" si="2"/>
        <v>0.31250000000000006</v>
      </c>
      <c r="L24" s="2568">
        <f t="shared" si="2"/>
        <v>0.32500000000000007</v>
      </c>
      <c r="M24" s="2568">
        <f t="shared" si="2"/>
        <v>0.33750000000000008</v>
      </c>
      <c r="N24" s="1755">
        <v>0.35</v>
      </c>
      <c r="O24" s="1678"/>
      <c r="P24" s="1678"/>
    </row>
    <row r="25" spans="2:16" s="2555" customFormat="1" ht="15.75" customHeight="1">
      <c r="B25" s="196">
        <v>3</v>
      </c>
      <c r="C25" s="189"/>
      <c r="D25" s="1723">
        <f>(N25-F25)/40</f>
        <v>4.2499999999999994E-3</v>
      </c>
      <c r="E25" s="1755">
        <f>F25</f>
        <v>0.25</v>
      </c>
      <c r="F25" s="1755">
        <v>0.25</v>
      </c>
      <c r="G25" s="2568">
        <f t="shared" ref="G25:M26" si="3">F25+$D25*5</f>
        <v>0.27124999999999999</v>
      </c>
      <c r="H25" s="2568">
        <f t="shared" si="3"/>
        <v>0.29249999999999998</v>
      </c>
      <c r="I25" s="2568">
        <f t="shared" si="3"/>
        <v>0.31374999999999997</v>
      </c>
      <c r="J25" s="2568">
        <f t="shared" si="3"/>
        <v>0.33499999999999996</v>
      </c>
      <c r="K25" s="2568">
        <f t="shared" si="3"/>
        <v>0.35624999999999996</v>
      </c>
      <c r="L25" s="2568">
        <f t="shared" si="3"/>
        <v>0.37749999999999995</v>
      </c>
      <c r="M25" s="2568">
        <f t="shared" si="3"/>
        <v>0.39874999999999994</v>
      </c>
      <c r="N25" s="1756">
        <v>0.42</v>
      </c>
      <c r="O25" s="1678"/>
      <c r="P25" s="1678"/>
    </row>
    <row r="26" spans="2:16" s="2555" customFormat="1" ht="15.75" customHeight="1">
      <c r="B26" s="1728">
        <v>4</v>
      </c>
      <c r="C26" s="1729"/>
      <c r="D26" s="1723">
        <f>(N26-F26)/40</f>
        <v>6.2500000000000003E-3</v>
      </c>
      <c r="E26" s="1755">
        <f>F26</f>
        <v>0.25</v>
      </c>
      <c r="F26" s="1755">
        <v>0.25</v>
      </c>
      <c r="G26" s="2568">
        <f t="shared" si="3"/>
        <v>0.28125</v>
      </c>
      <c r="H26" s="2568">
        <f t="shared" si="3"/>
        <v>0.3125</v>
      </c>
      <c r="I26" s="2568">
        <f t="shared" si="3"/>
        <v>0.34375</v>
      </c>
      <c r="J26" s="2568">
        <f t="shared" si="3"/>
        <v>0.375</v>
      </c>
      <c r="K26" s="2568">
        <f t="shared" si="3"/>
        <v>0.40625</v>
      </c>
      <c r="L26" s="2568">
        <f t="shared" si="3"/>
        <v>0.4375</v>
      </c>
      <c r="M26" s="2568">
        <f t="shared" si="3"/>
        <v>0.46875</v>
      </c>
      <c r="N26" s="1757">
        <v>0.5</v>
      </c>
      <c r="O26" s="1678"/>
      <c r="P26" s="1678"/>
    </row>
    <row r="27" spans="2:16" s="2555" customFormat="1" ht="15.75" customHeight="1">
      <c r="B27" s="1730" t="s">
        <v>406</v>
      </c>
      <c r="C27" s="1731"/>
      <c r="D27" s="1731"/>
      <c r="E27" s="1758">
        <f>(INDEX(E$23:E$26,ROUNDDOWN($E$11,0))*(1-MOD($E$7,1)))+(INDEX(E$23:E$26,ROUNDUP($E$11,0))*MOD($E$11,1))</f>
        <v>0.25</v>
      </c>
      <c r="F27" s="1758">
        <f t="shared" ref="F27:N27" si="4">(INDEX(F$23:F$26,ROUNDDOWN($E$11,0))*(1-MOD($E$7,1)))+(INDEX(F$23:F$26,ROUNDUP($E$11,0))*MOD($E$11,1))</f>
        <v>0.25</v>
      </c>
      <c r="G27" s="1758">
        <f t="shared" si="4"/>
        <v>0.25</v>
      </c>
      <c r="H27" s="1758">
        <f t="shared" si="4"/>
        <v>0.25</v>
      </c>
      <c r="I27" s="1758">
        <f t="shared" si="4"/>
        <v>0.25</v>
      </c>
      <c r="J27" s="1758">
        <f t="shared" si="4"/>
        <v>0.25</v>
      </c>
      <c r="K27" s="1758">
        <f t="shared" si="4"/>
        <v>0.25</v>
      </c>
      <c r="L27" s="1758">
        <f t="shared" si="4"/>
        <v>0.25</v>
      </c>
      <c r="M27" s="1758">
        <f t="shared" si="4"/>
        <v>0.25</v>
      </c>
      <c r="N27" s="1758">
        <f t="shared" si="4"/>
        <v>0.25</v>
      </c>
      <c r="O27" s="1678"/>
      <c r="P27" s="1678"/>
    </row>
    <row r="28" spans="2:16" s="2555" customFormat="1" ht="15.75" customHeight="1">
      <c r="B28" s="1678"/>
      <c r="C28" s="1678"/>
      <c r="D28" s="1678"/>
      <c r="E28" s="1678"/>
      <c r="F28" s="1678"/>
      <c r="G28" s="1678"/>
      <c r="H28" s="1678"/>
      <c r="I28" s="1678"/>
      <c r="J28" s="1678"/>
      <c r="K28" s="1678"/>
      <c r="L28" s="1678"/>
      <c r="M28" s="1678"/>
      <c r="N28" s="1678"/>
      <c r="O28" s="1678"/>
      <c r="P28" s="1678"/>
    </row>
    <row r="29" spans="2:16" s="2555" customFormat="1" ht="15.75" customHeight="1">
      <c r="B29" s="1678"/>
      <c r="C29" s="1678"/>
      <c r="D29" s="1678"/>
      <c r="E29" s="1678"/>
      <c r="F29" s="1678"/>
      <c r="G29" s="1678"/>
      <c r="H29" s="1678"/>
      <c r="I29" s="1678"/>
      <c r="J29" s="1678"/>
      <c r="K29" s="1678"/>
      <c r="L29" s="1678"/>
      <c r="M29" s="1678"/>
      <c r="N29" s="1678"/>
      <c r="O29" s="1678"/>
      <c r="P29" s="1678"/>
    </row>
    <row r="30" spans="2:16" s="2555" customFormat="1" ht="15.75" customHeight="1">
      <c r="B30" s="1678"/>
      <c r="C30" s="1678"/>
      <c r="D30" s="1678"/>
      <c r="E30" s="1678"/>
      <c r="F30" s="1678"/>
      <c r="G30" s="1678"/>
      <c r="H30" s="1678"/>
      <c r="I30" s="1678"/>
      <c r="J30" s="1678"/>
      <c r="K30" s="1678"/>
      <c r="L30" s="1678"/>
      <c r="M30" s="1678"/>
      <c r="N30" s="1678"/>
      <c r="O30" s="1678"/>
      <c r="P30" s="1678"/>
    </row>
    <row r="31" spans="2:16" s="2555" customFormat="1" ht="15.75" customHeight="1">
      <c r="B31" s="1678"/>
      <c r="C31" s="1678"/>
      <c r="D31" s="1678"/>
      <c r="E31" s="1678"/>
      <c r="F31" s="1678"/>
      <c r="G31" s="1678"/>
      <c r="H31" s="1678"/>
      <c r="I31" s="1678"/>
      <c r="J31" s="1678"/>
      <c r="K31" s="1678"/>
      <c r="L31" s="1678"/>
      <c r="M31" s="1678"/>
      <c r="N31" s="1678"/>
      <c r="O31" s="1678"/>
      <c r="P31" s="1678"/>
    </row>
    <row r="32" spans="2:16" s="2555" customFormat="1" ht="15.75" customHeight="1">
      <c r="B32" s="1678"/>
      <c r="C32" s="1678"/>
      <c r="D32" s="1678"/>
      <c r="E32" s="1678"/>
      <c r="F32" s="1678"/>
      <c r="G32" s="1678"/>
      <c r="H32" s="1678"/>
      <c r="I32" s="1678"/>
      <c r="J32" s="1678"/>
      <c r="K32" s="1678"/>
      <c r="L32" s="1678"/>
      <c r="M32" s="1678"/>
      <c r="N32" s="1678"/>
      <c r="O32" s="1678"/>
      <c r="P32" s="1678"/>
    </row>
    <row r="33" spans="1:18" s="630" customFormat="1" ht="15.75">
      <c r="A33" s="623"/>
      <c r="B33" s="2648"/>
      <c r="C33" s="628"/>
      <c r="D33" s="628"/>
      <c r="E33" s="628"/>
      <c r="F33" s="959"/>
      <c r="G33" s="959"/>
      <c r="H33" s="959"/>
      <c r="I33" s="959"/>
      <c r="J33" s="959"/>
      <c r="K33" s="959"/>
      <c r="L33" s="959"/>
      <c r="M33" s="959"/>
      <c r="N33" s="959"/>
      <c r="O33" s="959"/>
      <c r="P33" s="628"/>
    </row>
    <row r="34" spans="1:18" s="51" customFormat="1" ht="15.75">
      <c r="A34" s="2555"/>
      <c r="B34" s="421" t="s">
        <v>265</v>
      </c>
      <c r="C34" s="159"/>
      <c r="D34" s="159"/>
      <c r="E34" s="159"/>
      <c r="F34" s="159"/>
      <c r="G34" s="159"/>
      <c r="H34" s="159"/>
      <c r="I34" s="159"/>
      <c r="J34" s="159"/>
      <c r="K34" s="159"/>
      <c r="L34" s="159"/>
      <c r="M34" s="159"/>
      <c r="N34" s="159"/>
      <c r="O34" s="159"/>
      <c r="P34" s="160"/>
    </row>
    <row r="35" spans="1:18" s="51" customFormat="1" ht="15.75">
      <c r="A35" s="53"/>
      <c r="B35" s="1759"/>
      <c r="C35" s="189"/>
      <c r="D35" s="189"/>
      <c r="E35" s="189"/>
      <c r="F35" s="197"/>
      <c r="G35" s="197"/>
      <c r="H35" s="197"/>
      <c r="I35" s="197"/>
      <c r="J35" s="197"/>
      <c r="K35" s="197"/>
      <c r="L35" s="197"/>
      <c r="M35" s="197"/>
      <c r="N35" s="197"/>
      <c r="O35" s="197"/>
      <c r="P35" s="189"/>
    </row>
    <row r="36" spans="1:18" s="51" customFormat="1" ht="15.75">
      <c r="A36" s="53"/>
      <c r="B36" s="1759"/>
      <c r="C36" s="189" t="s">
        <v>1491</v>
      </c>
      <c r="D36" s="189"/>
      <c r="E36" s="1723">
        <v>0.8</v>
      </c>
      <c r="F36" s="197"/>
      <c r="G36" s="197"/>
      <c r="H36" s="197"/>
      <c r="I36" s="197"/>
      <c r="J36" s="197"/>
      <c r="K36" s="197"/>
      <c r="L36" s="197"/>
      <c r="M36" s="197"/>
      <c r="N36" s="197"/>
      <c r="O36" s="197"/>
      <c r="P36" s="189"/>
    </row>
    <row r="37" spans="1:18" s="51" customFormat="1" ht="15.75">
      <c r="A37" s="53"/>
      <c r="B37" s="1759"/>
      <c r="C37" s="189" t="s">
        <v>1492</v>
      </c>
      <c r="D37" s="189"/>
      <c r="E37" s="189">
        <v>20</v>
      </c>
      <c r="F37" s="197" t="s">
        <v>809</v>
      </c>
      <c r="G37" s="197"/>
      <c r="H37" s="197"/>
      <c r="I37" s="197"/>
      <c r="J37" s="197"/>
      <c r="K37" s="197"/>
      <c r="L37" s="197"/>
      <c r="M37" s="197"/>
      <c r="N37" s="197"/>
      <c r="O37" s="197"/>
      <c r="P37" s="189"/>
    </row>
    <row r="38" spans="1:18" s="51" customFormat="1" ht="12" customHeight="1">
      <c r="A38" s="53"/>
      <c r="B38" s="1759"/>
      <c r="C38" s="189"/>
      <c r="D38" s="189"/>
      <c r="E38" s="189"/>
      <c r="F38" s="197"/>
      <c r="G38" s="197"/>
      <c r="H38" s="197"/>
      <c r="I38" s="197"/>
      <c r="J38" s="197"/>
      <c r="K38" s="197"/>
      <c r="L38" s="197"/>
      <c r="M38" s="197"/>
      <c r="N38" s="197"/>
      <c r="O38" s="197"/>
      <c r="P38" s="189"/>
    </row>
    <row r="39" spans="1:18" s="630" customFormat="1" ht="15.75">
      <c r="A39" s="2649"/>
      <c r="B39" s="2648"/>
      <c r="C39" s="628"/>
      <c r="D39" s="628"/>
      <c r="E39" s="628"/>
      <c r="F39" s="959"/>
      <c r="G39" s="959"/>
      <c r="H39" s="959"/>
      <c r="I39" s="959"/>
      <c r="J39" s="959"/>
      <c r="K39" s="959"/>
      <c r="L39" s="959"/>
      <c r="M39" s="959"/>
      <c r="N39" s="959"/>
      <c r="O39" s="959"/>
      <c r="P39" s="628"/>
    </row>
    <row r="40" spans="1:18" s="630" customFormat="1" ht="15.75">
      <c r="A40" s="2649"/>
      <c r="B40" s="2648"/>
      <c r="C40" s="628"/>
      <c r="D40" s="628"/>
      <c r="E40" s="628"/>
      <c r="F40" s="959"/>
      <c r="G40" s="959"/>
      <c r="H40" s="959"/>
      <c r="I40" s="959"/>
      <c r="J40" s="959"/>
      <c r="K40" s="959"/>
      <c r="L40" s="959"/>
      <c r="M40" s="959"/>
      <c r="N40" s="959"/>
      <c r="O40" s="959"/>
      <c r="P40" s="628"/>
    </row>
    <row r="41" spans="1:18" s="51" customFormat="1" ht="19.5" customHeight="1">
      <c r="A41" s="53"/>
      <c r="B41" s="421" t="s">
        <v>1510</v>
      </c>
      <c r="C41" s="159"/>
      <c r="D41" s="159"/>
      <c r="E41" s="159"/>
      <c r="F41" s="159"/>
      <c r="G41" s="159"/>
      <c r="H41" s="159"/>
      <c r="I41" s="159"/>
      <c r="J41" s="159"/>
      <c r="K41" s="159"/>
      <c r="L41" s="159"/>
      <c r="M41" s="159"/>
      <c r="N41" s="159"/>
      <c r="O41" s="159"/>
      <c r="P41" s="160"/>
    </row>
    <row r="42" spans="1:18" s="51" customFormat="1" ht="15.75">
      <c r="A42" s="53"/>
      <c r="B42" s="1759"/>
      <c r="C42" s="189"/>
      <c r="D42" s="189"/>
      <c r="E42" s="189"/>
      <c r="F42" s="197"/>
      <c r="G42" s="197"/>
      <c r="H42" s="197"/>
      <c r="I42" s="197"/>
      <c r="J42" s="197"/>
      <c r="K42" s="197"/>
      <c r="L42" s="197"/>
      <c r="M42" s="197"/>
      <c r="N42" s="197"/>
      <c r="O42" s="197"/>
      <c r="P42" s="189"/>
    </row>
    <row r="43" spans="1:18" s="51" customFormat="1" ht="15.75">
      <c r="A43" s="53"/>
      <c r="B43" s="1759"/>
      <c r="C43" s="189" t="s">
        <v>1511</v>
      </c>
      <c r="D43" s="189"/>
      <c r="E43" s="189"/>
      <c r="F43" s="197">
        <f>10*Unit.acre/Unit.MW</f>
        <v>4046.8564224000002</v>
      </c>
      <c r="G43" s="197" t="str">
        <f>Preferences.AreaUnits&amp;"/"&amp;Preferences.PowerUnits</f>
        <v>ha/GW</v>
      </c>
      <c r="H43" s="197"/>
      <c r="I43" s="197"/>
      <c r="J43" s="197"/>
      <c r="K43" s="197"/>
      <c r="L43" s="197"/>
      <c r="M43" s="197"/>
      <c r="N43" s="197"/>
      <c r="O43" s="197"/>
      <c r="P43" s="189"/>
    </row>
    <row r="44" spans="1:18" s="51" customFormat="1" ht="15.75">
      <c r="A44" s="53"/>
      <c r="B44" s="1759"/>
      <c r="C44" s="189"/>
      <c r="D44" s="189"/>
      <c r="E44" s="189"/>
      <c r="F44" s="197"/>
      <c r="G44" s="197"/>
      <c r="H44" s="197"/>
      <c r="I44" s="197"/>
      <c r="J44" s="197"/>
      <c r="K44" s="197"/>
      <c r="L44" s="197"/>
      <c r="M44" s="197"/>
      <c r="N44" s="197"/>
      <c r="O44" s="197"/>
      <c r="P44" s="189"/>
    </row>
    <row r="45" spans="1:18" s="51" customFormat="1" ht="15.75">
      <c r="A45" s="53"/>
      <c r="B45" s="1759"/>
      <c r="C45" s="189"/>
      <c r="D45" s="189"/>
      <c r="E45" s="189"/>
      <c r="F45" s="197"/>
      <c r="G45" s="197"/>
      <c r="H45" s="197"/>
      <c r="I45" s="197"/>
      <c r="J45" s="197"/>
      <c r="K45" s="197"/>
      <c r="L45" s="197"/>
      <c r="M45" s="197"/>
      <c r="N45" s="197"/>
      <c r="O45" s="197"/>
      <c r="P45" s="189"/>
    </row>
    <row r="46" spans="1:18" ht="15.75">
      <c r="A46" s="53"/>
      <c r="B46" s="208"/>
    </row>
    <row r="47" spans="1:18" ht="15.75" collapsed="1">
      <c r="A47" s="53"/>
      <c r="B47" s="421" t="s">
        <v>270</v>
      </c>
      <c r="C47" s="159"/>
      <c r="D47" s="159"/>
      <c r="E47" s="159"/>
      <c r="F47" s="159"/>
      <c r="G47" s="159"/>
      <c r="H47" s="159"/>
      <c r="I47" s="159"/>
      <c r="J47" s="159"/>
      <c r="K47" s="159"/>
      <c r="L47" s="159"/>
      <c r="M47" s="159"/>
      <c r="N47" s="159"/>
      <c r="O47" s="159"/>
      <c r="P47" s="160"/>
      <c r="R47" s="859"/>
    </row>
    <row r="48" spans="1:18">
      <c r="B48" s="210"/>
      <c r="C48" s="198"/>
      <c r="D48" s="198"/>
      <c r="E48" s="198"/>
      <c r="F48" s="198"/>
      <c r="G48" s="198"/>
      <c r="H48" s="198"/>
      <c r="I48" s="198"/>
      <c r="J48" s="198"/>
      <c r="K48" s="198"/>
      <c r="L48" s="198"/>
      <c r="M48" s="198"/>
      <c r="N48" s="198"/>
      <c r="O48" s="198"/>
      <c r="P48" s="199"/>
    </row>
    <row r="49" spans="1:18" ht="22.5">
      <c r="A49" s="420"/>
      <c r="B49" s="212"/>
      <c r="C49" s="126"/>
      <c r="D49" s="414"/>
      <c r="E49" s="414"/>
      <c r="F49" s="611"/>
      <c r="G49" s="611"/>
      <c r="H49" s="611"/>
      <c r="I49" s="611"/>
      <c r="J49" s="415"/>
      <c r="K49" s="415"/>
      <c r="L49" s="415"/>
      <c r="M49" s="415"/>
      <c r="N49" s="415"/>
      <c r="O49" s="415"/>
      <c r="P49" s="419"/>
    </row>
    <row r="50" spans="1:18" ht="15.75">
      <c r="B50" s="212" t="s">
        <v>2059</v>
      </c>
      <c r="C50" s="1742" t="s">
        <v>1483</v>
      </c>
      <c r="D50" s="189"/>
      <c r="E50" s="189"/>
      <c r="F50" s="1741"/>
      <c r="G50" s="1741"/>
      <c r="H50" s="1741"/>
      <c r="I50" s="1741"/>
      <c r="J50" s="1741"/>
      <c r="K50" s="1741"/>
      <c r="L50" s="1741"/>
      <c r="M50" s="1741"/>
      <c r="N50" s="1741"/>
      <c r="O50" s="1741" t="str">
        <f>preferences.energyunits</f>
        <v>TWh</v>
      </c>
      <c r="P50" s="419"/>
    </row>
    <row r="51" spans="1:18" ht="15.75">
      <c r="B51" s="212"/>
      <c r="C51" s="1740"/>
      <c r="D51" s="189"/>
      <c r="E51" s="189"/>
      <c r="F51" s="1741"/>
      <c r="G51" s="1741"/>
      <c r="H51" s="1741"/>
      <c r="I51" s="1741"/>
      <c r="J51" s="1741"/>
      <c r="K51" s="1741"/>
      <c r="L51" s="1741"/>
      <c r="M51" s="1741"/>
      <c r="N51" s="1741"/>
      <c r="O51" s="1741"/>
      <c r="P51" s="419"/>
    </row>
    <row r="52" spans="1:18">
      <c r="B52" s="214"/>
      <c r="C52" s="1767" t="s">
        <v>870</v>
      </c>
      <c r="D52" s="1767" t="s">
        <v>1188</v>
      </c>
      <c r="E52" s="1767" t="s">
        <v>64</v>
      </c>
      <c r="F52" s="1768" t="s">
        <v>203</v>
      </c>
      <c r="G52" s="1769" t="s">
        <v>712</v>
      </c>
      <c r="H52" s="1769" t="s">
        <v>713</v>
      </c>
      <c r="I52" s="1769" t="s">
        <v>714</v>
      </c>
      <c r="J52" s="1769" t="s">
        <v>715</v>
      </c>
      <c r="K52" s="1769" t="s">
        <v>716</v>
      </c>
      <c r="L52" s="1769" t="s">
        <v>717</v>
      </c>
      <c r="M52" s="1769" t="s">
        <v>718</v>
      </c>
      <c r="N52" s="1769" t="s">
        <v>719</v>
      </c>
      <c r="O52" s="1769" t="s">
        <v>720</v>
      </c>
      <c r="P52" s="419"/>
    </row>
    <row r="53" spans="1:18">
      <c r="B53" s="214"/>
      <c r="C53" s="196" t="s">
        <v>1480</v>
      </c>
      <c r="D53" s="189"/>
      <c r="E53" s="1764" t="s">
        <v>1496</v>
      </c>
      <c r="F53" s="1327">
        <f ca="1">INDEX(INDIRECT($B$50&amp;".feedstock["&amp;F$52&amp;"]"),MATCH($E53,INDIRECT($B$50&amp;".feedstock[Vector]"),0))</f>
        <v>38.153555555555556</v>
      </c>
      <c r="G53" s="1327">
        <f t="shared" ref="G53:O54" ca="1" si="5">INDEX(INDIRECT($B$50&amp;".feedstock["&amp;G$52&amp;"]"),MATCH($E53,INDIRECT($B$50&amp;".feedstock[Vector]"),0))</f>
        <v>38.9818</v>
      </c>
      <c r="H53" s="1327">
        <f t="shared" ca="1" si="5"/>
        <v>44.476575000000004</v>
      </c>
      <c r="I53" s="1327">
        <f t="shared" ca="1" si="5"/>
        <v>49.971350000000001</v>
      </c>
      <c r="J53" s="1327">
        <f t="shared" ca="1" si="5"/>
        <v>55.466125000000012</v>
      </c>
      <c r="K53" s="1327">
        <f t="shared" ca="1" si="5"/>
        <v>60.960900000000024</v>
      </c>
      <c r="L53" s="1327">
        <f t="shared" ca="1" si="5"/>
        <v>66.455675000000014</v>
      </c>
      <c r="M53" s="1327">
        <f t="shared" ca="1" si="5"/>
        <v>71.950450000000018</v>
      </c>
      <c r="N53" s="1327">
        <f t="shared" ca="1" si="5"/>
        <v>77.445225000000022</v>
      </c>
      <c r="O53" s="1327">
        <f t="shared" ca="1" si="5"/>
        <v>82.940000000000012</v>
      </c>
      <c r="P53" s="419"/>
    </row>
    <row r="54" spans="1:18">
      <c r="B54" s="214"/>
      <c r="C54" s="196" t="s">
        <v>1847</v>
      </c>
      <c r="D54" s="189"/>
      <c r="E54" s="1764" t="s">
        <v>1497</v>
      </c>
      <c r="F54" s="1327">
        <f ca="1">INDEX(INDIRECT($B$50&amp;".feedstock["&amp;F$52&amp;"]"),MATCH($E54,INDIRECT($B$50&amp;".feedstock[Vector]"),0))</f>
        <v>9.1777777777777771</v>
      </c>
      <c r="G54" s="1327">
        <f t="shared" ca="1" si="5"/>
        <v>10.305777777777783</v>
      </c>
      <c r="H54" s="1327">
        <f t="shared" ca="1" si="5"/>
        <v>11.346016666666671</v>
      </c>
      <c r="I54" s="1327">
        <f t="shared" ca="1" si="5"/>
        <v>12.386255555555559</v>
      </c>
      <c r="J54" s="1327">
        <f t="shared" ca="1" si="5"/>
        <v>13.426494444444447</v>
      </c>
      <c r="K54" s="1327">
        <f t="shared" ca="1" si="5"/>
        <v>14.466733333333337</v>
      </c>
      <c r="L54" s="1327">
        <f t="shared" ca="1" si="5"/>
        <v>14.832036478670412</v>
      </c>
      <c r="M54" s="1327">
        <f t="shared" ca="1" si="5"/>
        <v>15.206563986198885</v>
      </c>
      <c r="N54" s="1327">
        <f t="shared" ca="1" si="5"/>
        <v>15.590548782623422</v>
      </c>
      <c r="O54" s="1327">
        <f t="shared" ca="1" si="5"/>
        <v>15.984229676339865</v>
      </c>
      <c r="P54" s="419"/>
    </row>
    <row r="55" spans="1:18" s="51" customFormat="1" ht="15.75" collapsed="1">
      <c r="A55" s="605"/>
      <c r="B55" s="1772" t="s">
        <v>1485</v>
      </c>
      <c r="C55" s="624"/>
      <c r="D55" s="624"/>
      <c r="E55" s="624"/>
      <c r="F55" s="624"/>
      <c r="G55" s="624"/>
      <c r="H55" s="624"/>
      <c r="I55" s="624"/>
      <c r="J55" s="624"/>
      <c r="K55" s="624"/>
      <c r="L55" s="624"/>
      <c r="M55" s="624"/>
      <c r="N55" s="624"/>
      <c r="O55" s="624"/>
      <c r="P55" s="628"/>
    </row>
    <row r="56" spans="1:18" ht="13.5" customHeight="1">
      <c r="B56" s="1771"/>
      <c r="C56" s="628"/>
      <c r="D56" s="628"/>
      <c r="E56" s="628"/>
      <c r="F56" s="628"/>
      <c r="G56" s="1800"/>
      <c r="H56" s="628"/>
      <c r="I56" s="628"/>
      <c r="J56" s="628"/>
      <c r="K56" s="628"/>
      <c r="L56" s="628"/>
      <c r="M56" s="628"/>
      <c r="N56" s="628"/>
      <c r="O56" s="628"/>
      <c r="P56" s="624"/>
      <c r="R56" s="51"/>
    </row>
    <row r="57" spans="1:18" ht="22.5">
      <c r="A57" s="162"/>
      <c r="B57" s="1771"/>
      <c r="C57" s="961"/>
      <c r="D57" s="624"/>
      <c r="E57" s="624"/>
      <c r="F57" s="624"/>
      <c r="G57" s="624"/>
      <c r="H57" s="624"/>
      <c r="I57" s="624"/>
      <c r="J57" s="624"/>
      <c r="K57" s="624"/>
      <c r="L57" s="624"/>
      <c r="M57" s="624"/>
      <c r="N57" s="624"/>
      <c r="O57" s="624"/>
      <c r="P57" s="624"/>
      <c r="R57" s="51"/>
    </row>
    <row r="58" spans="1:18" ht="13.5" customHeight="1">
      <c r="B58" s="1699">
        <v>1</v>
      </c>
      <c r="C58" s="961"/>
      <c r="D58" s="624"/>
      <c r="E58" s="624"/>
      <c r="F58" s="624"/>
      <c r="G58" s="624"/>
      <c r="H58" s="962"/>
      <c r="I58" s="624"/>
      <c r="J58" s="624"/>
      <c r="K58" s="1773"/>
      <c r="L58" s="624"/>
      <c r="M58" s="624"/>
      <c r="N58" s="624"/>
      <c r="O58" s="624"/>
      <c r="P58" s="1774"/>
      <c r="R58" s="51"/>
    </row>
    <row r="59" spans="1:18" s="19" customFormat="1" ht="14.25" customHeight="1">
      <c r="A59" s="605"/>
      <c r="B59" s="623"/>
      <c r="C59" s="961" t="s">
        <v>1486</v>
      </c>
      <c r="D59" s="624"/>
      <c r="E59" s="1301" t="s">
        <v>404</v>
      </c>
      <c r="F59" s="1711">
        <v>2007</v>
      </c>
      <c r="G59" s="1328">
        <f t="shared" ref="G59:O59" si="6">F59+5</f>
        <v>2012</v>
      </c>
      <c r="H59" s="1328">
        <f t="shared" si="6"/>
        <v>2017</v>
      </c>
      <c r="I59" s="1328">
        <f t="shared" si="6"/>
        <v>2022</v>
      </c>
      <c r="J59" s="1328">
        <f t="shared" si="6"/>
        <v>2027</v>
      </c>
      <c r="K59" s="1328">
        <f t="shared" si="6"/>
        <v>2032</v>
      </c>
      <c r="L59" s="1328">
        <f t="shared" si="6"/>
        <v>2037</v>
      </c>
      <c r="M59" s="1328">
        <f t="shared" si="6"/>
        <v>2042</v>
      </c>
      <c r="N59" s="1328">
        <f t="shared" si="6"/>
        <v>2047</v>
      </c>
      <c r="O59" s="1329">
        <f t="shared" si="6"/>
        <v>2052</v>
      </c>
      <c r="P59" s="1775"/>
      <c r="R59" s="17"/>
    </row>
    <row r="60" spans="1:18">
      <c r="B60" s="623"/>
      <c r="C60" s="961"/>
      <c r="D60" s="624"/>
      <c r="E60" s="962"/>
      <c r="F60" s="1709"/>
      <c r="G60" s="1710"/>
      <c r="H60" s="1710"/>
      <c r="I60" s="1710"/>
      <c r="J60" s="1710"/>
      <c r="K60" s="1710"/>
      <c r="L60" s="1710"/>
      <c r="M60" s="1710"/>
      <c r="N60" s="1710"/>
      <c r="O60" s="1710"/>
      <c r="P60" s="1775"/>
      <c r="R60" s="51"/>
    </row>
    <row r="61" spans="1:18">
      <c r="A61" s="19"/>
      <c r="B61" s="623"/>
      <c r="C61" s="974" t="s">
        <v>1487</v>
      </c>
      <c r="D61" s="624"/>
      <c r="E61" s="962" t="str">
        <f>preferences.energyunits</f>
        <v>TWh</v>
      </c>
      <c r="F61" s="1715">
        <f t="shared" ref="F61:O61" ca="1" si="7">F53</f>
        <v>38.153555555555556</v>
      </c>
      <c r="G61" s="1715">
        <f t="shared" ca="1" si="7"/>
        <v>38.9818</v>
      </c>
      <c r="H61" s="1715">
        <f t="shared" ca="1" si="7"/>
        <v>44.476575000000004</v>
      </c>
      <c r="I61" s="1715">
        <f t="shared" ca="1" si="7"/>
        <v>49.971350000000001</v>
      </c>
      <c r="J61" s="1715">
        <f t="shared" ca="1" si="7"/>
        <v>55.466125000000012</v>
      </c>
      <c r="K61" s="1715">
        <f t="shared" ca="1" si="7"/>
        <v>60.960900000000024</v>
      </c>
      <c r="L61" s="1715">
        <f t="shared" ca="1" si="7"/>
        <v>66.455675000000014</v>
      </c>
      <c r="M61" s="1715">
        <f t="shared" ca="1" si="7"/>
        <v>71.950450000000018</v>
      </c>
      <c r="N61" s="1715">
        <f t="shared" ca="1" si="7"/>
        <v>77.445225000000022</v>
      </c>
      <c r="O61" s="1715">
        <f t="shared" ca="1" si="7"/>
        <v>82.940000000000012</v>
      </c>
      <c r="P61" s="1775"/>
      <c r="R61" s="51"/>
    </row>
    <row r="62" spans="1:18" ht="17.25" customHeight="1">
      <c r="B62" s="623"/>
      <c r="C62" s="974" t="s">
        <v>1488</v>
      </c>
      <c r="D62" s="624"/>
      <c r="E62" s="962" t="s">
        <v>277</v>
      </c>
      <c r="F62" s="1710">
        <f t="shared" ref="F62:O62" si="8">E27</f>
        <v>0.25</v>
      </c>
      <c r="G62" s="1710">
        <f t="shared" si="8"/>
        <v>0.25</v>
      </c>
      <c r="H62" s="1710">
        <f t="shared" si="8"/>
        <v>0.25</v>
      </c>
      <c r="I62" s="1710">
        <f t="shared" si="8"/>
        <v>0.25</v>
      </c>
      <c r="J62" s="1710">
        <f t="shared" si="8"/>
        <v>0.25</v>
      </c>
      <c r="K62" s="1710">
        <f t="shared" si="8"/>
        <v>0.25</v>
      </c>
      <c r="L62" s="1710">
        <f t="shared" si="8"/>
        <v>0.25</v>
      </c>
      <c r="M62" s="1710">
        <f t="shared" si="8"/>
        <v>0.25</v>
      </c>
      <c r="N62" s="1710">
        <f t="shared" si="8"/>
        <v>0.25</v>
      </c>
      <c r="O62" s="1710">
        <f t="shared" si="8"/>
        <v>0.25</v>
      </c>
      <c r="P62" s="1780"/>
      <c r="R62" s="51"/>
    </row>
    <row r="63" spans="1:18">
      <c r="B63" s="623"/>
      <c r="C63" s="974" t="s">
        <v>1489</v>
      </c>
      <c r="D63" s="624"/>
      <c r="E63" s="962" t="str">
        <f>preferences.energyunits</f>
        <v>TWh</v>
      </c>
      <c r="F63" s="1715">
        <f ca="1">F61*F62</f>
        <v>9.538388888888889</v>
      </c>
      <c r="G63" s="1715">
        <f t="shared" ref="G63:O63" ca="1" si="9">G61*G62</f>
        <v>9.7454499999999999</v>
      </c>
      <c r="H63" s="1715">
        <f t="shared" ca="1" si="9"/>
        <v>11.119143750000001</v>
      </c>
      <c r="I63" s="1715">
        <f t="shared" ca="1" si="9"/>
        <v>12.4928375</v>
      </c>
      <c r="J63" s="1715">
        <f t="shared" ca="1" si="9"/>
        <v>13.866531250000003</v>
      </c>
      <c r="K63" s="1715">
        <f t="shared" ca="1" si="9"/>
        <v>15.240225000000006</v>
      </c>
      <c r="L63" s="1715">
        <f t="shared" ca="1" si="9"/>
        <v>16.613918750000003</v>
      </c>
      <c r="M63" s="1715">
        <f t="shared" ca="1" si="9"/>
        <v>17.987612500000004</v>
      </c>
      <c r="N63" s="1715">
        <f t="shared" ca="1" si="9"/>
        <v>19.361306250000005</v>
      </c>
      <c r="O63" s="1715">
        <f t="shared" ca="1" si="9"/>
        <v>20.735000000000003</v>
      </c>
      <c r="P63" s="1775"/>
      <c r="Q63" s="242"/>
      <c r="R63" s="290"/>
    </row>
    <row r="64" spans="1:18" ht="15.75">
      <c r="B64" s="1776"/>
      <c r="C64" s="974" t="s">
        <v>1490</v>
      </c>
      <c r="D64" s="624"/>
      <c r="E64" s="962" t="s">
        <v>277</v>
      </c>
      <c r="F64" s="1715">
        <f t="shared" ref="F64:O64" si="10">$E36</f>
        <v>0.8</v>
      </c>
      <c r="G64" s="1715">
        <f t="shared" si="10"/>
        <v>0.8</v>
      </c>
      <c r="H64" s="1715">
        <f t="shared" si="10"/>
        <v>0.8</v>
      </c>
      <c r="I64" s="1715">
        <f t="shared" si="10"/>
        <v>0.8</v>
      </c>
      <c r="J64" s="1715">
        <f t="shared" si="10"/>
        <v>0.8</v>
      </c>
      <c r="K64" s="1715">
        <f t="shared" si="10"/>
        <v>0.8</v>
      </c>
      <c r="L64" s="1715">
        <f t="shared" si="10"/>
        <v>0.8</v>
      </c>
      <c r="M64" s="1715">
        <f t="shared" si="10"/>
        <v>0.8</v>
      </c>
      <c r="N64" s="1715">
        <f t="shared" si="10"/>
        <v>0.8</v>
      </c>
      <c r="O64" s="1715">
        <f t="shared" si="10"/>
        <v>0.8</v>
      </c>
      <c r="P64" s="1781"/>
      <c r="Q64" s="242"/>
      <c r="R64" s="290"/>
    </row>
    <row r="65" spans="1:18">
      <c r="B65" s="746"/>
      <c r="C65" s="1777" t="s">
        <v>1493</v>
      </c>
      <c r="D65" s="1777"/>
      <c r="E65" s="1798" t="str">
        <f>Preferences.PowerUnits</f>
        <v>GW</v>
      </c>
      <c r="F65" s="1799">
        <f ca="1">F63*Preferences.Unit.Energy/(F64*Preferences.Unit.Power*Unit.year)-0.35</f>
        <v>1.0101398712196108</v>
      </c>
      <c r="G65" s="1799">
        <f t="shared" ref="G65:O65" ca="1" si="11">G63*Preferences.Unit.Energy/(G64*Preferences.Unit.Power*Unit.year)</f>
        <v>1.3896660392425277</v>
      </c>
      <c r="H65" s="1799">
        <f t="shared" ca="1" si="11"/>
        <v>1.5855498160506503</v>
      </c>
      <c r="I65" s="1799">
        <f t="shared" ca="1" si="11"/>
        <v>1.7814335928587721</v>
      </c>
      <c r="J65" s="1799">
        <f t="shared" ca="1" si="11"/>
        <v>1.9773173696668951</v>
      </c>
      <c r="K65" s="1799">
        <f t="shared" ca="1" si="11"/>
        <v>2.1732011464750176</v>
      </c>
      <c r="L65" s="1799">
        <f t="shared" ca="1" si="11"/>
        <v>2.3690849232831392</v>
      </c>
      <c r="M65" s="1799">
        <f t="shared" ca="1" si="11"/>
        <v>2.5649687000912622</v>
      </c>
      <c r="N65" s="1799">
        <f t="shared" ca="1" si="11"/>
        <v>2.7608524768993843</v>
      </c>
      <c r="O65" s="1799">
        <f t="shared" ca="1" si="11"/>
        <v>2.9567362537075064</v>
      </c>
      <c r="P65" s="1775"/>
      <c r="Q65" s="242"/>
      <c r="R65" s="290"/>
    </row>
    <row r="66" spans="1:18" s="410" customFormat="1">
      <c r="A66" s="605"/>
      <c r="B66" s="1782"/>
      <c r="C66" s="624" t="s">
        <v>1494</v>
      </c>
      <c r="D66" s="946"/>
      <c r="E66" s="1798" t="str">
        <f>Preferences.PowerUnits</f>
        <v>GW</v>
      </c>
      <c r="F66" s="624"/>
      <c r="G66" s="624"/>
      <c r="H66" s="624"/>
      <c r="I66" s="624"/>
      <c r="J66" s="624"/>
      <c r="K66" s="1801">
        <f ca="1">-F65</f>
        <v>-1.0101398712196108</v>
      </c>
      <c r="L66" s="1801">
        <f ca="1">-(G65-F65)</f>
        <v>-0.37952616802291694</v>
      </c>
      <c r="M66" s="1801">
        <f ca="1">-(H65-G65)</f>
        <v>-0.19588377680812252</v>
      </c>
      <c r="N66" s="1801">
        <f ca="1">-(I65-H65)</f>
        <v>-0.19588377680812186</v>
      </c>
      <c r="O66" s="1801">
        <f ca="1">-(J65-I65)</f>
        <v>-0.19588377680812297</v>
      </c>
      <c r="P66" s="1775"/>
      <c r="Q66" s="1389"/>
      <c r="R66" s="290"/>
    </row>
    <row r="67" spans="1:18" s="410" customFormat="1">
      <c r="A67" s="605"/>
      <c r="B67" s="1782"/>
      <c r="C67" s="1784" t="s">
        <v>1495</v>
      </c>
      <c r="D67" s="1784"/>
      <c r="E67" s="1798" t="str">
        <f>Preferences.PowerUnits</f>
        <v>GW</v>
      </c>
      <c r="F67" s="1799">
        <v>0</v>
      </c>
      <c r="G67" s="1799">
        <f ca="1">G65-F65</f>
        <v>0.37952616802291694</v>
      </c>
      <c r="H67" s="1799">
        <f ca="1">H65-G65</f>
        <v>0.19588377680812252</v>
      </c>
      <c r="I67" s="1799">
        <f ca="1">I65-H65</f>
        <v>0.19588377680812186</v>
      </c>
      <c r="J67" s="1799">
        <f ca="1">J65-I65</f>
        <v>0.19588377680812297</v>
      </c>
      <c r="K67" s="1799">
        <f ca="1">K65-J65-K66</f>
        <v>1.2060236480277333</v>
      </c>
      <c r="L67" s="1799">
        <f ca="1">L65-K65-L66</f>
        <v>0.57540994483103858</v>
      </c>
      <c r="M67" s="1799">
        <f ca="1">M65-L65-M66</f>
        <v>0.39176755361624549</v>
      </c>
      <c r="N67" s="1799">
        <f ca="1">N65-M65-N66</f>
        <v>0.39176755361624394</v>
      </c>
      <c r="O67" s="1799">
        <f ca="1">O65-N65-O66</f>
        <v>0.39176755361624505</v>
      </c>
      <c r="P67" s="1775"/>
      <c r="Q67" s="1389"/>
      <c r="R67" s="242"/>
    </row>
    <row r="68" spans="1:18" s="410" customFormat="1">
      <c r="B68" s="1782"/>
      <c r="C68" s="1783"/>
      <c r="D68" s="1786"/>
      <c r="E68" s="1785"/>
      <c r="F68" s="1785"/>
      <c r="G68" s="1785"/>
      <c r="H68" s="1785"/>
      <c r="I68" s="1785"/>
      <c r="J68" s="1785"/>
      <c r="K68" s="1785"/>
      <c r="L68" s="1785"/>
      <c r="M68" s="747"/>
      <c r="N68" s="628"/>
      <c r="O68" s="628"/>
      <c r="P68" s="1780"/>
      <c r="Q68" s="1389"/>
      <c r="R68" s="242"/>
    </row>
    <row r="69" spans="1:18" s="410" customFormat="1">
      <c r="B69" s="1782"/>
      <c r="C69" s="747"/>
      <c r="D69" s="1786"/>
      <c r="E69" s="1785"/>
      <c r="F69" s="1785"/>
      <c r="G69" s="1785"/>
      <c r="H69" s="1785"/>
      <c r="I69" s="1785"/>
      <c r="J69" s="1785"/>
      <c r="K69" s="1785"/>
      <c r="L69" s="1785"/>
      <c r="M69" s="747"/>
      <c r="N69" s="628"/>
      <c r="O69" s="628"/>
      <c r="P69" s="1775"/>
      <c r="Q69" s="1389"/>
      <c r="R69" s="242"/>
    </row>
    <row r="70" spans="1:18" s="1391" customFormat="1">
      <c r="A70" s="410"/>
      <c r="B70" s="1787"/>
      <c r="C70" s="747"/>
      <c r="D70" s="1786"/>
      <c r="E70" s="1785"/>
      <c r="F70" s="1785"/>
      <c r="G70" s="1785"/>
      <c r="H70" s="1785"/>
      <c r="I70" s="1785"/>
      <c r="J70" s="1785"/>
      <c r="K70" s="1785"/>
      <c r="L70" s="1785"/>
      <c r="M70" s="747"/>
      <c r="N70" s="628"/>
      <c r="O70" s="628"/>
      <c r="P70" s="1775"/>
      <c r="Q70" s="1390"/>
      <c r="R70" s="242"/>
    </row>
    <row r="71" spans="1:18" s="1391" customFormat="1" ht="9.75" customHeight="1">
      <c r="A71" s="410"/>
      <c r="B71" s="1787"/>
      <c r="C71" s="1788"/>
      <c r="D71" s="1789"/>
      <c r="E71" s="1789"/>
      <c r="F71" s="1789"/>
      <c r="G71" s="1789"/>
      <c r="H71" s="1790"/>
      <c r="I71" s="1789"/>
      <c r="J71" s="1789"/>
      <c r="K71" s="1791"/>
      <c r="L71" s="1789"/>
      <c r="M71" s="747"/>
      <c r="N71" s="628"/>
      <c r="O71" s="628"/>
      <c r="P71" s="1775"/>
      <c r="Q71" s="1390"/>
      <c r="R71" s="1390"/>
    </row>
    <row r="72" spans="1:18" s="1391" customFormat="1" ht="14.25" customHeight="1">
      <c r="B72" s="961">
        <v>5</v>
      </c>
      <c r="C72" s="943" t="s">
        <v>2390</v>
      </c>
      <c r="D72" s="628"/>
      <c r="E72" s="628"/>
      <c r="F72" s="975"/>
      <c r="G72" s="1347"/>
      <c r="H72" s="1347"/>
      <c r="I72" s="1347"/>
      <c r="J72" s="1347"/>
      <c r="K72" s="1347"/>
      <c r="L72" s="1347"/>
      <c r="M72" s="1347"/>
      <c r="N72" s="1347"/>
      <c r="O72" s="1347"/>
      <c r="P72" s="1792"/>
      <c r="Q72" s="1390"/>
      <c r="R72" s="1390"/>
    </row>
    <row r="73" spans="1:18" s="1391" customFormat="1">
      <c r="B73" s="974"/>
      <c r="C73" s="894"/>
      <c r="D73" s="628"/>
      <c r="E73" s="628"/>
      <c r="F73" s="975"/>
      <c r="G73" s="1347"/>
      <c r="H73" s="1347"/>
      <c r="I73" s="1347"/>
      <c r="J73" s="1347"/>
      <c r="K73" s="1347"/>
      <c r="L73" s="1347"/>
      <c r="M73" s="1347"/>
      <c r="N73" s="1347"/>
      <c r="O73" s="1347"/>
      <c r="P73" s="1775"/>
      <c r="Q73" s="1390"/>
      <c r="R73" s="1390"/>
    </row>
    <row r="74" spans="1:18" s="1391" customFormat="1">
      <c r="B74" s="974"/>
      <c r="C74" s="894" t="s">
        <v>2392</v>
      </c>
      <c r="D74" s="628"/>
      <c r="E74" s="628"/>
      <c r="F74" s="975"/>
      <c r="G74" s="1347"/>
      <c r="H74" s="1347"/>
      <c r="I74" s="1347"/>
      <c r="J74" s="1347"/>
      <c r="K74" s="1347"/>
      <c r="L74" s="1347"/>
      <c r="M74" s="1347"/>
      <c r="N74" s="1347"/>
      <c r="O74" s="1347"/>
      <c r="P74" s="1789"/>
      <c r="Q74" s="1390"/>
      <c r="R74" s="1390"/>
    </row>
    <row r="75" spans="1:18" s="1391" customFormat="1">
      <c r="B75" s="974"/>
      <c r="C75" s="894" t="s">
        <v>350</v>
      </c>
      <c r="D75" s="628"/>
      <c r="E75" s="1348" t="s">
        <v>367</v>
      </c>
      <c r="F75" s="90">
        <f ca="1">F54*INDEX(EF[CO2],MATCH("V.05",EF[Vector],0))</f>
        <v>1.825894736842105</v>
      </c>
      <c r="G75" s="90">
        <f ca="1">G54*INDEX(EF[CO2],MATCH("V.05",EF[Vector],0))</f>
        <v>2.0503073684210533</v>
      </c>
      <c r="H75" s="90">
        <f ca="1">H54*INDEX(EF[CO2],MATCH("V.05",EF[Vector],0))</f>
        <v>2.2572601578947378</v>
      </c>
      <c r="I75" s="90">
        <f ca="1">I54*INDEX(EF[CO2],MATCH("V.05",EF[Vector],0))</f>
        <v>2.4642129473684218</v>
      </c>
      <c r="J75" s="90">
        <f ca="1">J54*INDEX(EF[CO2],MATCH("V.05",EF[Vector],0))</f>
        <v>2.6711657368421058</v>
      </c>
      <c r="K75" s="90">
        <f ca="1">K54*INDEX(EF[CO2],MATCH("V.05",EF[Vector],0))</f>
        <v>2.8781185263157902</v>
      </c>
      <c r="L75" s="90">
        <f ca="1">L54*INDEX(EF[CO2],MATCH("V.05",EF[Vector],0))</f>
        <v>2.9507946257565343</v>
      </c>
      <c r="M75" s="90">
        <f ca="1">M54*INDEX(EF[CO2],MATCH("V.05",EF[Vector],0))</f>
        <v>3.02530588778062</v>
      </c>
      <c r="N75" s="90">
        <f ca="1">N54*INDEX(EF[CO2],MATCH("V.05",EF[Vector],0))</f>
        <v>3.1016986525429755</v>
      </c>
      <c r="O75" s="90">
        <f ca="1">O54*INDEX(EF[CO2],MATCH("V.05",EF[Vector],0))</f>
        <v>3.1800204303455097</v>
      </c>
      <c r="P75" s="624"/>
      <c r="Q75" s="35"/>
      <c r="R75" s="35"/>
    </row>
    <row r="76" spans="1:18" s="1391" customFormat="1" ht="15.75">
      <c r="B76" s="1793"/>
      <c r="C76" s="1795"/>
      <c r="D76" s="1795"/>
      <c r="E76" s="1794"/>
      <c r="F76" s="1779"/>
      <c r="G76" s="1796"/>
      <c r="H76" s="1779"/>
      <c r="I76" s="1779"/>
      <c r="J76" s="1779"/>
      <c r="K76" s="1779"/>
      <c r="L76" s="1779"/>
      <c r="M76" s="962"/>
      <c r="N76" s="624"/>
      <c r="O76" s="624"/>
      <c r="P76" s="1789"/>
      <c r="Q76" s="1390"/>
      <c r="R76" s="1390"/>
    </row>
    <row r="77" spans="1:18" s="1391" customFormat="1" ht="6" customHeight="1">
      <c r="B77" s="1793"/>
      <c r="C77" s="1795"/>
      <c r="D77" s="1795"/>
      <c r="E77" s="1794"/>
      <c r="F77" s="1779"/>
      <c r="G77" s="1796"/>
      <c r="H77" s="1778"/>
      <c r="I77" s="1778"/>
      <c r="J77" s="1779"/>
      <c r="K77" s="1779"/>
      <c r="L77" s="1779"/>
      <c r="M77" s="1779"/>
      <c r="N77" s="1779"/>
      <c r="O77" s="1779"/>
      <c r="P77" s="1789"/>
      <c r="Q77" s="1390"/>
      <c r="R77" s="1390"/>
    </row>
    <row r="78" spans="1:18" s="1391" customFormat="1">
      <c r="B78" s="1787"/>
      <c r="C78" s="894" t="s">
        <v>2394</v>
      </c>
      <c r="D78" s="628"/>
      <c r="E78" s="628"/>
      <c r="F78" s="975"/>
      <c r="G78" s="1347"/>
      <c r="H78" s="1347"/>
      <c r="I78" s="1347"/>
      <c r="J78" s="1347"/>
      <c r="K78" s="1347"/>
      <c r="L78" s="1347"/>
      <c r="M78" s="1347"/>
      <c r="N78" s="1347"/>
      <c r="O78" s="1347"/>
      <c r="P78" s="1789"/>
      <c r="Q78" s="1390"/>
      <c r="R78" s="1390"/>
    </row>
    <row r="79" spans="1:18" s="410" customFormat="1">
      <c r="A79" s="1391"/>
      <c r="B79" s="1782"/>
      <c r="C79" s="894" t="s">
        <v>350</v>
      </c>
      <c r="D79" s="628"/>
      <c r="E79" s="1348" t="s">
        <v>367</v>
      </c>
      <c r="F79" s="90">
        <f ca="1">F61*INDEX(EF[CO2],MATCH("V.03",EF[Vector],0))</f>
        <v>13.24297605734767</v>
      </c>
      <c r="G79" s="90">
        <f ca="1">G61*INDEX(EF[CO2],MATCH("V.03",EF[Vector],0))</f>
        <v>13.530457032258065</v>
      </c>
      <c r="H79" s="90">
        <f ca="1">H61*INDEX(EF[CO2],MATCH("V.03",EF[Vector],0))</f>
        <v>15.437675709677421</v>
      </c>
      <c r="I79" s="90">
        <f ca="1">I61*INDEX(EF[CO2],MATCH("V.03",EF[Vector],0))</f>
        <v>17.344894387096776</v>
      </c>
      <c r="J79" s="90">
        <f ca="1">J61*INDEX(EF[CO2],MATCH("V.03",EF[Vector],0))</f>
        <v>19.252113064516134</v>
      </c>
      <c r="K79" s="90">
        <f ca="1">K61*INDEX(EF[CO2],MATCH("V.03",EF[Vector],0))</f>
        <v>21.159331741935492</v>
      </c>
      <c r="L79" s="90">
        <f ca="1">L61*INDEX(EF[CO2],MATCH("V.03",EF[Vector],0))</f>
        <v>23.066550419354844</v>
      </c>
      <c r="M79" s="90">
        <f ca="1">M61*INDEX(EF[CO2],MATCH("V.03",EF[Vector],0))</f>
        <v>24.973769096774202</v>
      </c>
      <c r="N79" s="90">
        <f ca="1">N61*INDEX(EF[CO2],MATCH("V.03",EF[Vector],0))</f>
        <v>26.880987774193557</v>
      </c>
      <c r="O79" s="90">
        <f ca="1">O61*INDEX(EF[CO2],MATCH("V.03",EF[Vector],0))</f>
        <v>28.788206451612908</v>
      </c>
      <c r="P79" s="1785"/>
      <c r="Q79" s="1389"/>
      <c r="R79" s="1389"/>
    </row>
    <row r="80" spans="1:18" s="410" customFormat="1">
      <c r="A80" s="1391"/>
      <c r="B80" s="1782"/>
      <c r="C80" s="1783"/>
      <c r="D80" s="1786"/>
      <c r="E80" s="1785"/>
      <c r="F80" s="1785"/>
      <c r="G80" s="1785"/>
      <c r="H80" s="1785"/>
      <c r="I80" s="1785"/>
      <c r="J80" s="1785"/>
      <c r="K80" s="1785"/>
      <c r="L80" s="1785"/>
      <c r="M80" s="1785"/>
      <c r="N80" s="1785"/>
      <c r="O80" s="1785"/>
      <c r="P80" s="1785"/>
      <c r="Q80" s="1389"/>
      <c r="R80" s="1389"/>
    </row>
    <row r="81" spans="1:18" s="1391" customFormat="1">
      <c r="A81" s="410"/>
      <c r="B81" s="1787"/>
      <c r="C81" s="1797"/>
      <c r="D81" s="1786"/>
      <c r="E81" s="1785"/>
      <c r="F81" s="1785"/>
      <c r="G81" s="1785"/>
      <c r="H81" s="1785"/>
      <c r="I81" s="1785"/>
      <c r="J81" s="1785"/>
      <c r="K81" s="1785"/>
      <c r="L81" s="1785"/>
      <c r="M81" s="1785"/>
      <c r="N81" s="1785"/>
      <c r="O81" s="1785"/>
      <c r="P81" s="1789"/>
      <c r="Q81" s="1390"/>
      <c r="R81" s="1390"/>
    </row>
    <row r="82" spans="1:18">
      <c r="A82" s="410"/>
      <c r="B82" s="623"/>
      <c r="C82" s="1789"/>
      <c r="D82" s="1789"/>
      <c r="E82" s="1789"/>
      <c r="F82" s="1789"/>
      <c r="G82" s="1789"/>
      <c r="H82" s="1789"/>
      <c r="I82" s="1789"/>
      <c r="J82" s="1789"/>
      <c r="K82" s="1789"/>
      <c r="L82" s="1789"/>
      <c r="M82" s="1789"/>
      <c r="N82" s="1789"/>
      <c r="O82" s="1789"/>
      <c r="P82" s="624"/>
      <c r="Q82" s="242"/>
      <c r="R82" s="242"/>
    </row>
    <row r="83" spans="1:18">
      <c r="B83" s="1779"/>
      <c r="C83" s="1779"/>
      <c r="D83" s="1779"/>
      <c r="E83" s="1779"/>
      <c r="F83" s="1789"/>
      <c r="G83" s="1789"/>
      <c r="H83" s="1789"/>
      <c r="I83" s="1789"/>
      <c r="J83" s="1789"/>
      <c r="K83" s="1789"/>
      <c r="L83" s="1789"/>
      <c r="M83" s="624"/>
      <c r="N83" s="624"/>
      <c r="O83" s="624"/>
      <c r="P83" s="624"/>
      <c r="R83" s="35"/>
    </row>
    <row r="84" spans="1:18">
      <c r="B84" s="1779"/>
      <c r="C84" s="1779"/>
      <c r="D84" s="1779"/>
      <c r="E84" s="1779"/>
      <c r="F84" s="1789"/>
      <c r="G84" s="1789"/>
      <c r="H84" s="1789"/>
      <c r="I84" s="1789"/>
      <c r="J84" s="1789"/>
      <c r="K84" s="1789"/>
      <c r="L84" s="1789"/>
      <c r="M84" s="624"/>
      <c r="N84" s="624"/>
      <c r="O84" s="624"/>
      <c r="P84" s="624"/>
      <c r="R84" s="35"/>
    </row>
    <row r="85" spans="1:18">
      <c r="B85" s="1779"/>
      <c r="C85" s="1779"/>
      <c r="D85" s="1779"/>
      <c r="E85" s="1779"/>
      <c r="F85" s="1789"/>
      <c r="G85" s="1789"/>
      <c r="H85" s="1789"/>
      <c r="I85" s="1789"/>
      <c r="J85" s="1789"/>
      <c r="K85" s="1789"/>
      <c r="L85" s="1789"/>
      <c r="M85" s="624"/>
      <c r="N85" s="624"/>
      <c r="O85" s="624"/>
      <c r="P85" s="624"/>
      <c r="R85" s="35"/>
    </row>
    <row r="86" spans="1:18">
      <c r="B86" s="1779"/>
      <c r="C86" s="1779"/>
      <c r="D86" s="1779"/>
      <c r="E86" s="1779"/>
      <c r="F86" s="1789"/>
      <c r="G86" s="1789"/>
      <c r="H86" s="1789"/>
      <c r="I86" s="1789"/>
      <c r="J86" s="1789"/>
      <c r="K86" s="1789"/>
      <c r="L86" s="1789"/>
      <c r="M86" s="624"/>
      <c r="N86" s="624"/>
      <c r="O86" s="624"/>
      <c r="P86" s="624"/>
      <c r="R86" s="35"/>
    </row>
    <row r="87" spans="1:18">
      <c r="B87" s="1779"/>
      <c r="C87" s="1779"/>
      <c r="D87" s="1779"/>
      <c r="E87" s="1779"/>
      <c r="F87" s="1789"/>
      <c r="G87" s="1789"/>
      <c r="H87" s="1789"/>
      <c r="I87" s="1789"/>
      <c r="J87" s="1789"/>
      <c r="K87" s="1789"/>
      <c r="L87" s="1789"/>
      <c r="M87" s="624"/>
      <c r="N87" s="624"/>
      <c r="O87" s="624"/>
      <c r="P87" s="624"/>
      <c r="R87" s="35"/>
    </row>
    <row r="88" spans="1:18">
      <c r="B88" s="623">
        <v>6</v>
      </c>
      <c r="C88" s="1779"/>
      <c r="D88" s="1779"/>
      <c r="E88" s="1779"/>
      <c r="F88" s="1789"/>
      <c r="G88" s="1789"/>
      <c r="H88" s="1789"/>
      <c r="I88" s="1789"/>
      <c r="J88" s="1789"/>
      <c r="K88" s="1789"/>
      <c r="L88" s="1789"/>
      <c r="M88" s="624"/>
      <c r="N88" s="624"/>
      <c r="O88" s="624"/>
      <c r="P88" s="624"/>
      <c r="R88" s="35"/>
    </row>
    <row r="89" spans="1:18">
      <c r="B89" s="1779"/>
      <c r="C89" s="961" t="s">
        <v>1217</v>
      </c>
      <c r="D89" s="624"/>
      <c r="E89" s="1720" t="s">
        <v>404</v>
      </c>
      <c r="F89" s="1711">
        <v>2007</v>
      </c>
      <c r="G89" s="1328">
        <f t="shared" ref="G89:O89" si="12">F89+5</f>
        <v>2012</v>
      </c>
      <c r="H89" s="1328">
        <f t="shared" si="12"/>
        <v>2017</v>
      </c>
      <c r="I89" s="1328">
        <f t="shared" si="12"/>
        <v>2022</v>
      </c>
      <c r="J89" s="1328">
        <f t="shared" si="12"/>
        <v>2027</v>
      </c>
      <c r="K89" s="1328">
        <f t="shared" si="12"/>
        <v>2032</v>
      </c>
      <c r="L89" s="1328">
        <f t="shared" si="12"/>
        <v>2037</v>
      </c>
      <c r="M89" s="1328">
        <f t="shared" si="12"/>
        <v>2042</v>
      </c>
      <c r="N89" s="1328">
        <f t="shared" si="12"/>
        <v>2047</v>
      </c>
      <c r="O89" s="1329">
        <f t="shared" si="12"/>
        <v>2052</v>
      </c>
      <c r="P89" s="624"/>
      <c r="R89" s="35"/>
    </row>
    <row r="90" spans="1:18">
      <c r="B90" s="1779"/>
      <c r="C90" s="1779"/>
      <c r="D90" s="1779"/>
      <c r="E90" s="1779"/>
      <c r="F90" s="1789"/>
      <c r="G90" s="1789"/>
      <c r="H90" s="1789"/>
      <c r="I90" s="1789"/>
      <c r="J90" s="1789"/>
      <c r="K90" s="1789"/>
      <c r="L90" s="1789"/>
      <c r="M90" s="624"/>
      <c r="N90" s="624"/>
      <c r="O90" s="624"/>
      <c r="P90" s="624"/>
      <c r="R90" s="35"/>
    </row>
    <row r="91" spans="1:18">
      <c r="B91" s="1779"/>
      <c r="C91" s="1815" t="s">
        <v>1516</v>
      </c>
      <c r="D91" s="1779"/>
      <c r="E91" s="1779" t="str">
        <f>Preferences.AreaUnits</f>
        <v>ha</v>
      </c>
      <c r="F91" s="1816">
        <f t="shared" ref="F91:O91" ca="1" si="13">F65*$F43</f>
        <v>4087.8910253673912</v>
      </c>
      <c r="G91" s="1816">
        <f t="shared" ca="1" si="13"/>
        <v>5623.7789358997943</v>
      </c>
      <c r="H91" s="1816">
        <f t="shared" ca="1" si="13"/>
        <v>6416.4924561197131</v>
      </c>
      <c r="I91" s="1816">
        <f t="shared" ca="1" si="13"/>
        <v>7209.2059763396292</v>
      </c>
      <c r="J91" s="1816">
        <f t="shared" ca="1" si="13"/>
        <v>8001.9194965595498</v>
      </c>
      <c r="K91" s="1816">
        <f t="shared" ca="1" si="13"/>
        <v>8794.6330167794677</v>
      </c>
      <c r="L91" s="1816">
        <f t="shared" ca="1" si="13"/>
        <v>9587.3465369993828</v>
      </c>
      <c r="M91" s="1816">
        <f t="shared" ca="1" si="13"/>
        <v>10380.060057219305</v>
      </c>
      <c r="N91" s="1816">
        <f t="shared" ca="1" si="13"/>
        <v>11172.773577439222</v>
      </c>
      <c r="O91" s="1816">
        <f t="shared" ca="1" si="13"/>
        <v>11965.487097659139</v>
      </c>
      <c r="P91" s="624"/>
      <c r="R91" s="35"/>
    </row>
    <row r="92" spans="1:18">
      <c r="B92" s="1779"/>
      <c r="C92" s="1779"/>
      <c r="D92" s="1779"/>
      <c r="E92" s="1779"/>
      <c r="F92" s="1789"/>
      <c r="G92" s="1789"/>
      <c r="H92" s="1789"/>
      <c r="I92" s="1789"/>
      <c r="J92" s="1789"/>
      <c r="K92" s="1789"/>
      <c r="L92" s="1789"/>
      <c r="M92" s="624"/>
      <c r="N92" s="624"/>
      <c r="O92" s="624"/>
      <c r="P92" s="624"/>
      <c r="R92" s="35"/>
    </row>
    <row r="93" spans="1:18">
      <c r="B93" s="1779"/>
      <c r="C93" s="1779"/>
      <c r="D93" s="1779"/>
      <c r="E93" s="1779"/>
      <c r="F93" s="1789"/>
      <c r="G93" s="1789"/>
      <c r="H93" s="1789"/>
      <c r="I93" s="1789"/>
      <c r="J93" s="1789"/>
      <c r="K93" s="1789"/>
      <c r="L93" s="1789"/>
      <c r="M93" s="624"/>
      <c r="N93" s="624"/>
      <c r="O93" s="624"/>
      <c r="P93" s="624"/>
      <c r="R93" s="35"/>
    </row>
    <row r="94" spans="1:18">
      <c r="B94" s="1779"/>
      <c r="C94" s="1779"/>
      <c r="D94" s="1779"/>
      <c r="E94" s="1779"/>
      <c r="F94" s="1789"/>
      <c r="G94" s="1789"/>
      <c r="H94" s="1789"/>
      <c r="I94" s="1789"/>
      <c r="J94" s="1789"/>
      <c r="K94" s="1789"/>
      <c r="L94" s="1789"/>
      <c r="M94" s="624"/>
      <c r="N94" s="624"/>
      <c r="O94" s="624"/>
      <c r="P94" s="624"/>
      <c r="R94" s="35"/>
    </row>
    <row r="95" spans="1:18">
      <c r="B95" s="1779"/>
      <c r="C95" s="1779"/>
      <c r="D95" s="1779"/>
      <c r="E95" s="1779"/>
      <c r="F95" s="1789"/>
      <c r="G95" s="1789"/>
      <c r="H95" s="1789"/>
      <c r="I95" s="1789"/>
      <c r="J95" s="1789"/>
      <c r="K95" s="1789"/>
      <c r="L95" s="1789"/>
      <c r="M95" s="624"/>
      <c r="N95" s="624"/>
      <c r="O95" s="624"/>
      <c r="P95" s="624"/>
      <c r="R95" s="35"/>
    </row>
    <row r="96" spans="1:18">
      <c r="B96" s="1779"/>
      <c r="C96" s="1779"/>
      <c r="D96" s="1779"/>
      <c r="E96" s="1779"/>
      <c r="F96" s="1789"/>
      <c r="G96" s="1789"/>
      <c r="H96" s="1789"/>
      <c r="I96" s="1789"/>
      <c r="J96" s="1789"/>
      <c r="K96" s="1789"/>
      <c r="L96" s="1789"/>
      <c r="M96" s="624"/>
      <c r="N96" s="624"/>
      <c r="O96" s="624"/>
      <c r="P96" s="624"/>
      <c r="R96" s="35"/>
    </row>
    <row r="97" spans="1:18">
      <c r="B97" s="1779"/>
      <c r="C97" s="1779"/>
      <c r="D97" s="1779"/>
      <c r="E97" s="1779"/>
      <c r="F97" s="1789"/>
      <c r="G97" s="1789"/>
      <c r="H97" s="1789"/>
      <c r="I97" s="1789"/>
      <c r="J97" s="1789"/>
      <c r="K97" s="1789"/>
      <c r="L97" s="1789"/>
      <c r="M97" s="624"/>
      <c r="N97" s="624"/>
      <c r="O97" s="624"/>
      <c r="P97" s="624"/>
      <c r="R97" s="35"/>
    </row>
    <row r="98" spans="1:18">
      <c r="B98" s="1395"/>
      <c r="C98" s="1779"/>
      <c r="D98" s="1779"/>
      <c r="E98" s="1779"/>
      <c r="F98" s="1789"/>
      <c r="G98" s="1789"/>
      <c r="H98" s="1789"/>
      <c r="I98" s="1789"/>
      <c r="J98" s="1789"/>
      <c r="K98" s="1789"/>
      <c r="L98" s="1789"/>
      <c r="M98" s="624"/>
      <c r="N98" s="624"/>
      <c r="O98" s="624"/>
      <c r="P98" s="539"/>
      <c r="Q98" s="539"/>
      <c r="R98" s="35"/>
    </row>
    <row r="99" spans="1:18">
      <c r="C99" s="1395"/>
      <c r="D99" s="1395"/>
      <c r="E99" s="1395"/>
      <c r="F99" s="1395"/>
      <c r="G99" s="1395"/>
      <c r="H99" s="1396"/>
      <c r="I99" s="1396"/>
      <c r="J99" s="1396"/>
      <c r="K99" s="1396"/>
      <c r="L99" s="1396"/>
      <c r="M99" s="539"/>
      <c r="N99" s="539"/>
      <c r="O99" s="539"/>
    </row>
    <row r="100" spans="1:18">
      <c r="A100" s="539"/>
    </row>
    <row r="101" spans="1:18" ht="15.75">
      <c r="B101" s="206" t="s">
        <v>202</v>
      </c>
      <c r="P101" s="177"/>
      <c r="Q101" s="310"/>
    </row>
    <row r="102" spans="1:18">
      <c r="B102" s="164"/>
      <c r="C102" s="175"/>
      <c r="D102" s="175"/>
      <c r="E102" s="175"/>
      <c r="F102" s="175"/>
      <c r="G102" s="175"/>
      <c r="H102" s="175"/>
      <c r="I102" s="175"/>
      <c r="J102" s="175"/>
      <c r="K102" s="175"/>
      <c r="L102" s="175"/>
      <c r="M102" s="175"/>
      <c r="N102" s="175"/>
      <c r="O102" s="175"/>
      <c r="P102" s="168"/>
      <c r="Q102" s="310"/>
    </row>
    <row r="103" spans="1:18">
      <c r="B103" s="164"/>
      <c r="C103" s="166"/>
      <c r="D103" s="166"/>
      <c r="E103" s="166"/>
      <c r="F103" s="166"/>
      <c r="G103" s="166"/>
      <c r="H103" s="166"/>
      <c r="I103" s="166"/>
      <c r="J103" s="166"/>
      <c r="K103" s="166"/>
      <c r="L103" s="166"/>
      <c r="M103" s="166"/>
      <c r="N103" s="166"/>
      <c r="O103" s="166"/>
      <c r="P103" s="168"/>
      <c r="Q103" s="310"/>
    </row>
    <row r="104" spans="1:18">
      <c r="B104" s="164"/>
      <c r="C104" s="178" t="s">
        <v>239</v>
      </c>
      <c r="D104" s="166"/>
      <c r="E104" s="167"/>
      <c r="F104" s="166"/>
      <c r="G104" s="167"/>
      <c r="H104" s="166"/>
      <c r="I104" s="166"/>
      <c r="J104" s="166"/>
      <c r="K104" s="166"/>
      <c r="L104" s="166"/>
      <c r="M104" s="166"/>
      <c r="N104" s="166"/>
      <c r="O104" s="167" t="str">
        <f>preferences.energyunits</f>
        <v>TWh</v>
      </c>
      <c r="P104" s="168"/>
    </row>
    <row r="105" spans="1:18" ht="15.75">
      <c r="B105" s="169"/>
      <c r="C105" s="166"/>
      <c r="D105" s="166"/>
      <c r="E105" s="166"/>
      <c r="F105" s="166"/>
      <c r="G105" s="166"/>
      <c r="H105" s="166"/>
      <c r="I105" s="166"/>
      <c r="J105" s="166"/>
      <c r="K105" s="166"/>
      <c r="L105" s="166"/>
      <c r="M105" s="166"/>
      <c r="N105" s="166"/>
      <c r="O105" s="166"/>
      <c r="P105" s="168"/>
    </row>
    <row r="106" spans="1:18" ht="15.75">
      <c r="B106" s="169"/>
      <c r="C106" s="180" t="s">
        <v>64</v>
      </c>
      <c r="D106" s="180" t="s">
        <v>137</v>
      </c>
      <c r="E106" s="180" t="s">
        <v>156</v>
      </c>
      <c r="F106" s="2394" t="s">
        <v>203</v>
      </c>
      <c r="G106" s="2395" t="s">
        <v>712</v>
      </c>
      <c r="H106" s="2395" t="s">
        <v>713</v>
      </c>
      <c r="I106" s="2395" t="s">
        <v>714</v>
      </c>
      <c r="J106" s="2395" t="s">
        <v>715</v>
      </c>
      <c r="K106" s="2395" t="s">
        <v>716</v>
      </c>
      <c r="L106" s="2395" t="s">
        <v>717</v>
      </c>
      <c r="M106" s="2395" t="s">
        <v>718</v>
      </c>
      <c r="N106" s="2395" t="s">
        <v>719</v>
      </c>
      <c r="O106" s="2396" t="s">
        <v>720</v>
      </c>
      <c r="P106" s="168"/>
    </row>
    <row r="107" spans="1:18" ht="15.75">
      <c r="B107" s="169"/>
      <c r="C107" s="60" t="s">
        <v>36</v>
      </c>
      <c r="D107" s="60" t="str">
        <f>INDEX(Vectors[Description], MATCH([Vector], Vectors[Code], 0))</f>
        <v>Solid hydrocarbons</v>
      </c>
      <c r="E107" s="60"/>
      <c r="F107" s="129">
        <f t="shared" ref="F107:O107" ca="1" si="14">-F61</f>
        <v>-38.153555555555556</v>
      </c>
      <c r="G107" s="129">
        <f t="shared" ca="1" si="14"/>
        <v>-38.9818</v>
      </c>
      <c r="H107" s="129">
        <f t="shared" ca="1" si="14"/>
        <v>-44.476575000000004</v>
      </c>
      <c r="I107" s="129">
        <f t="shared" ca="1" si="14"/>
        <v>-49.971350000000001</v>
      </c>
      <c r="J107" s="129">
        <f t="shared" ca="1" si="14"/>
        <v>-55.466125000000012</v>
      </c>
      <c r="K107" s="129">
        <f t="shared" ca="1" si="14"/>
        <v>-60.960900000000024</v>
      </c>
      <c r="L107" s="129">
        <f t="shared" ca="1" si="14"/>
        <v>-66.455675000000014</v>
      </c>
      <c r="M107" s="129">
        <f t="shared" ca="1" si="14"/>
        <v>-71.950450000000018</v>
      </c>
      <c r="N107" s="129">
        <f t="shared" ca="1" si="14"/>
        <v>-77.445225000000022</v>
      </c>
      <c r="O107" s="129">
        <f t="shared" ca="1" si="14"/>
        <v>-82.940000000000012</v>
      </c>
      <c r="P107" s="168"/>
    </row>
    <row r="108" spans="1:18" ht="15.75">
      <c r="B108" s="169"/>
      <c r="C108" s="60" t="s">
        <v>39</v>
      </c>
      <c r="D108" s="60" t="str">
        <f>INDEX(Vectors[Description], MATCH([Vector], Vectors[Code], 0))</f>
        <v>Gaseous hydrocarbons</v>
      </c>
      <c r="E108" s="60"/>
      <c r="F108" s="129">
        <f t="shared" ref="F108:O108" ca="1" si="15">F54</f>
        <v>9.1777777777777771</v>
      </c>
      <c r="G108" s="129">
        <f t="shared" ca="1" si="15"/>
        <v>10.305777777777783</v>
      </c>
      <c r="H108" s="129">
        <f t="shared" ca="1" si="15"/>
        <v>11.346016666666671</v>
      </c>
      <c r="I108" s="129">
        <f t="shared" ca="1" si="15"/>
        <v>12.386255555555559</v>
      </c>
      <c r="J108" s="129">
        <f t="shared" ca="1" si="15"/>
        <v>13.426494444444447</v>
      </c>
      <c r="K108" s="129">
        <f t="shared" ca="1" si="15"/>
        <v>14.466733333333337</v>
      </c>
      <c r="L108" s="129">
        <f t="shared" ca="1" si="15"/>
        <v>14.832036478670412</v>
      </c>
      <c r="M108" s="129">
        <f t="shared" ca="1" si="15"/>
        <v>15.206563986198885</v>
      </c>
      <c r="N108" s="129">
        <f t="shared" ca="1" si="15"/>
        <v>15.590548782623422</v>
      </c>
      <c r="O108" s="129">
        <f t="shared" ca="1" si="15"/>
        <v>15.984229676339865</v>
      </c>
      <c r="P108" s="168"/>
    </row>
    <row r="109" spans="1:18" ht="15.75">
      <c r="B109" s="169"/>
      <c r="C109" s="60" t="s">
        <v>35</v>
      </c>
      <c r="D109" s="60" t="str">
        <f>INDEX(Vectors[Description], MATCH([Vector], Vectors[Code], 0))</f>
        <v>Electricity (supplied to grid)</v>
      </c>
      <c r="E109" s="60"/>
      <c r="F109" s="129">
        <f t="shared" ref="F109:O109" ca="1" si="16">F63</f>
        <v>9.538388888888889</v>
      </c>
      <c r="G109" s="129">
        <f t="shared" ca="1" si="16"/>
        <v>9.7454499999999999</v>
      </c>
      <c r="H109" s="129">
        <f t="shared" ca="1" si="16"/>
        <v>11.119143750000001</v>
      </c>
      <c r="I109" s="129">
        <f t="shared" ca="1" si="16"/>
        <v>12.4928375</v>
      </c>
      <c r="J109" s="129">
        <f t="shared" ca="1" si="16"/>
        <v>13.866531250000003</v>
      </c>
      <c r="K109" s="129">
        <f t="shared" ca="1" si="16"/>
        <v>15.240225000000006</v>
      </c>
      <c r="L109" s="129">
        <f t="shared" ca="1" si="16"/>
        <v>16.613918750000003</v>
      </c>
      <c r="M109" s="129">
        <f t="shared" ca="1" si="16"/>
        <v>17.987612500000004</v>
      </c>
      <c r="N109" s="129">
        <f t="shared" ca="1" si="16"/>
        <v>19.361306250000005</v>
      </c>
      <c r="O109" s="129">
        <f t="shared" ca="1" si="16"/>
        <v>20.735000000000003</v>
      </c>
      <c r="P109" s="168"/>
    </row>
    <row r="110" spans="1:18" ht="15.75">
      <c r="B110" s="169"/>
      <c r="C110" s="60" t="s">
        <v>297</v>
      </c>
      <c r="D110" s="60" t="str">
        <f>INDEX(Vectors[Description], MATCH([Vector], Vectors[Code], 0))</f>
        <v>Wet biomass and waste</v>
      </c>
      <c r="E110" s="60"/>
      <c r="F110" s="129">
        <f t="shared" ref="F110:O110" ca="1" si="17">-F54</f>
        <v>-9.1777777777777771</v>
      </c>
      <c r="G110" s="129">
        <f t="shared" ca="1" si="17"/>
        <v>-10.305777777777783</v>
      </c>
      <c r="H110" s="129">
        <f t="shared" ca="1" si="17"/>
        <v>-11.346016666666671</v>
      </c>
      <c r="I110" s="129">
        <f t="shared" ca="1" si="17"/>
        <v>-12.386255555555559</v>
      </c>
      <c r="J110" s="129">
        <f t="shared" ca="1" si="17"/>
        <v>-13.426494444444447</v>
      </c>
      <c r="K110" s="129">
        <f t="shared" ca="1" si="17"/>
        <v>-14.466733333333337</v>
      </c>
      <c r="L110" s="129">
        <f t="shared" ca="1" si="17"/>
        <v>-14.832036478670412</v>
      </c>
      <c r="M110" s="129">
        <f t="shared" ca="1" si="17"/>
        <v>-15.206563986198885</v>
      </c>
      <c r="N110" s="129">
        <f t="shared" ca="1" si="17"/>
        <v>-15.590548782623422</v>
      </c>
      <c r="O110" s="129">
        <f t="shared" ca="1" si="17"/>
        <v>-15.984229676339865</v>
      </c>
      <c r="P110" s="168"/>
    </row>
    <row r="111" spans="1:18" ht="15.75">
      <c r="B111" s="170"/>
      <c r="C111" s="60" t="s">
        <v>25</v>
      </c>
      <c r="D111" s="60" t="str">
        <f>INDEX(Vectors[Description], MATCH([Vector], Vectors[Code], 0))</f>
        <v>Conversion losses</v>
      </c>
      <c r="E111" s="60"/>
      <c r="F111" s="129">
        <f t="shared" ref="F111:O111" ca="1" si="18">F61-F63</f>
        <v>28.615166666666667</v>
      </c>
      <c r="G111" s="129">
        <f t="shared" ca="1" si="18"/>
        <v>29.236350000000002</v>
      </c>
      <c r="H111" s="129">
        <f t="shared" ca="1" si="18"/>
        <v>33.357431250000005</v>
      </c>
      <c r="I111" s="129">
        <f t="shared" ca="1" si="18"/>
        <v>37.478512500000001</v>
      </c>
      <c r="J111" s="129">
        <f t="shared" ca="1" si="18"/>
        <v>41.599593750000011</v>
      </c>
      <c r="K111" s="129">
        <f t="shared" ca="1" si="18"/>
        <v>45.720675000000014</v>
      </c>
      <c r="L111" s="129">
        <f t="shared" ca="1" si="18"/>
        <v>49.84175625000001</v>
      </c>
      <c r="M111" s="129">
        <f t="shared" ca="1" si="18"/>
        <v>53.962837500000013</v>
      </c>
      <c r="N111" s="129">
        <f t="shared" ca="1" si="18"/>
        <v>58.083918750000016</v>
      </c>
      <c r="O111" s="129">
        <f t="shared" ca="1" si="18"/>
        <v>62.205000000000013</v>
      </c>
      <c r="P111" s="173"/>
    </row>
    <row r="112" spans="1:18">
      <c r="C112" s="128" t="s">
        <v>103</v>
      </c>
      <c r="D112" s="128"/>
      <c r="E112" s="128"/>
      <c r="F112" s="231">
        <f ca="1">SUBTOTAL(109,[2007])</f>
        <v>0</v>
      </c>
      <c r="G112" s="231">
        <f ca="1">SUBTOTAL(109,[2012])</f>
        <v>0</v>
      </c>
      <c r="H112" s="231">
        <f ca="1">SUBTOTAL(109,[2017])</f>
        <v>0</v>
      </c>
      <c r="I112" s="231">
        <f ca="1">SUBTOTAL(109,[2022])</f>
        <v>0</v>
      </c>
      <c r="J112" s="231">
        <f ca="1">SUBTOTAL(109,[2027])</f>
        <v>0</v>
      </c>
      <c r="K112" s="231">
        <f ca="1">SUBTOTAL(109,[2032])</f>
        <v>0</v>
      </c>
      <c r="L112" s="231">
        <f ca="1">SUBTOTAL(109,[2037])</f>
        <v>0</v>
      </c>
      <c r="M112" s="231">
        <f ca="1">SUBTOTAL(109,[2042])</f>
        <v>0</v>
      </c>
      <c r="N112" s="231">
        <f ca="1">SUBTOTAL(109,[2047])</f>
        <v>0</v>
      </c>
      <c r="O112" s="231">
        <f ca="1">SUBTOTAL(109,[2052])</f>
        <v>0</v>
      </c>
    </row>
    <row r="113" spans="2:16" ht="15.75">
      <c r="B113" s="216" t="s">
        <v>281</v>
      </c>
      <c r="C113" s="171"/>
      <c r="D113" s="171"/>
      <c r="E113" s="171"/>
      <c r="F113" s="171"/>
      <c r="G113" s="171"/>
      <c r="H113" s="171"/>
      <c r="I113" s="171"/>
      <c r="J113" s="171"/>
      <c r="K113" s="171"/>
      <c r="L113" s="171"/>
      <c r="M113" s="171"/>
      <c r="N113" s="171"/>
      <c r="O113" s="171"/>
      <c r="P113" s="185"/>
    </row>
    <row r="114" spans="2:16">
      <c r="B114" s="190"/>
      <c r="P114" s="192"/>
    </row>
    <row r="115" spans="2:16" ht="15.75">
      <c r="B115" s="193"/>
      <c r="C115" s="183"/>
      <c r="D115" s="184"/>
      <c r="E115" s="184"/>
      <c r="F115" s="184"/>
      <c r="G115" s="184"/>
      <c r="H115" s="184"/>
      <c r="I115" s="184"/>
      <c r="J115" s="184"/>
      <c r="K115" s="184"/>
      <c r="L115" s="184"/>
      <c r="M115" s="184"/>
      <c r="N115" s="184"/>
      <c r="O115" s="184"/>
      <c r="P115" s="194"/>
    </row>
    <row r="116" spans="2:16">
      <c r="B116" s="193"/>
      <c r="C116" s="191"/>
      <c r="D116" s="191"/>
      <c r="E116" s="191"/>
      <c r="F116" s="191"/>
      <c r="G116" s="191"/>
      <c r="H116" s="191"/>
      <c r="I116" s="191"/>
      <c r="J116" s="191"/>
      <c r="K116" s="191"/>
      <c r="L116" s="191"/>
      <c r="M116" s="191"/>
      <c r="N116" s="191"/>
      <c r="O116" s="191"/>
      <c r="P116" s="194"/>
    </row>
    <row r="117" spans="2:16" ht="15.75">
      <c r="B117" s="195"/>
      <c r="C117" s="186" t="s">
        <v>366</v>
      </c>
      <c r="D117" s="187"/>
      <c r="E117" s="188"/>
      <c r="F117" s="187"/>
      <c r="G117" s="188"/>
      <c r="H117" s="187"/>
      <c r="I117" s="187"/>
      <c r="J117" s="187"/>
      <c r="K117" s="187"/>
      <c r="L117" s="187"/>
      <c r="M117" s="187"/>
      <c r="N117" s="187"/>
      <c r="O117" s="188" t="s">
        <v>368</v>
      </c>
      <c r="P117" s="194"/>
    </row>
    <row r="118" spans="2:16" ht="15.75">
      <c r="B118" s="195"/>
      <c r="C118" s="187"/>
      <c r="D118" s="187"/>
      <c r="E118" s="187"/>
      <c r="F118" s="187"/>
      <c r="G118" s="187"/>
      <c r="H118" s="187"/>
      <c r="I118" s="187"/>
      <c r="J118" s="187"/>
      <c r="K118" s="187"/>
      <c r="L118" s="187"/>
      <c r="M118" s="187"/>
      <c r="N118" s="187"/>
      <c r="O118" s="187"/>
      <c r="P118" s="194"/>
    </row>
    <row r="119" spans="2:16" ht="15.75">
      <c r="B119" s="195" t="s">
        <v>1188</v>
      </c>
      <c r="C119" s="3101" t="s">
        <v>365</v>
      </c>
      <c r="D119" s="3101" t="s">
        <v>337</v>
      </c>
      <c r="E119" s="3101" t="s">
        <v>156</v>
      </c>
      <c r="F119" s="2495" t="s">
        <v>203</v>
      </c>
      <c r="G119" s="2496" t="s">
        <v>712</v>
      </c>
      <c r="H119" s="2496" t="s">
        <v>713</v>
      </c>
      <c r="I119" s="2496" t="s">
        <v>714</v>
      </c>
      <c r="J119" s="2496" t="s">
        <v>715</v>
      </c>
      <c r="K119" s="2496" t="s">
        <v>716</v>
      </c>
      <c r="L119" s="2496" t="s">
        <v>717</v>
      </c>
      <c r="M119" s="2496" t="s">
        <v>718</v>
      </c>
      <c r="N119" s="2496" t="s">
        <v>719</v>
      </c>
      <c r="O119" s="2497" t="s">
        <v>720</v>
      </c>
      <c r="P119" s="194"/>
    </row>
    <row r="120" spans="2:16">
      <c r="B120" s="1406"/>
      <c r="C120" s="3096" t="s">
        <v>350</v>
      </c>
      <c r="D120" s="3097" t="s">
        <v>346</v>
      </c>
      <c r="E120" s="3098" t="str">
        <f>INDEX(IPCC[Sector_description], MATCH(V.a!$D$120:$D$121, IPCC[Sector_code], 0))</f>
        <v>Bioenergy credit</v>
      </c>
      <c r="F120" s="3099">
        <f t="shared" ref="F120:O120" ca="1" si="19">-F75</f>
        <v>-1.825894736842105</v>
      </c>
      <c r="G120" s="3099">
        <f t="shared" ca="1" si="19"/>
        <v>-2.0503073684210533</v>
      </c>
      <c r="H120" s="3099">
        <f t="shared" ca="1" si="19"/>
        <v>-2.2572601578947378</v>
      </c>
      <c r="I120" s="3099">
        <f t="shared" ca="1" si="19"/>
        <v>-2.4642129473684218</v>
      </c>
      <c r="J120" s="3099">
        <f t="shared" ca="1" si="19"/>
        <v>-2.6711657368421058</v>
      </c>
      <c r="K120" s="3099">
        <f t="shared" ca="1" si="19"/>
        <v>-2.8781185263157902</v>
      </c>
      <c r="L120" s="3099">
        <f t="shared" ca="1" si="19"/>
        <v>-2.9507946257565343</v>
      </c>
      <c r="M120" s="3099">
        <f t="shared" ca="1" si="19"/>
        <v>-3.02530588778062</v>
      </c>
      <c r="N120" s="3099">
        <f t="shared" ca="1" si="19"/>
        <v>-3.1016986525429755</v>
      </c>
      <c r="O120" s="3099">
        <f t="shared" ca="1" si="19"/>
        <v>-3.1800204303455097</v>
      </c>
      <c r="P120" s="1408"/>
    </row>
    <row r="121" spans="2:16">
      <c r="C121" s="1402" t="s">
        <v>350</v>
      </c>
      <c r="D121" s="3100" t="s">
        <v>359</v>
      </c>
      <c r="E121" s="1404" t="str">
        <f>INDEX(IPCC[Sector_description], MATCH(V.a!$D$120:$D$121, IPCC[Sector_code], 0))</f>
        <v>Fuel Combustion</v>
      </c>
      <c r="F121" s="3095">
        <f ca="1">F79</f>
        <v>13.24297605734767</v>
      </c>
      <c r="G121" s="3095">
        <f t="shared" ref="G121:O121" ca="1" si="20">G79</f>
        <v>13.530457032258065</v>
      </c>
      <c r="H121" s="3095">
        <f t="shared" ca="1" si="20"/>
        <v>15.437675709677421</v>
      </c>
      <c r="I121" s="3095">
        <f t="shared" ca="1" si="20"/>
        <v>17.344894387096776</v>
      </c>
      <c r="J121" s="3095">
        <f t="shared" ca="1" si="20"/>
        <v>19.252113064516134</v>
      </c>
      <c r="K121" s="3095">
        <f t="shared" ca="1" si="20"/>
        <v>21.159331741935492</v>
      </c>
      <c r="L121" s="3095">
        <f t="shared" ca="1" si="20"/>
        <v>23.066550419354844</v>
      </c>
      <c r="M121" s="3095">
        <f t="shared" ca="1" si="20"/>
        <v>24.973769096774202</v>
      </c>
      <c r="N121" s="3095">
        <f t="shared" ca="1" si="20"/>
        <v>26.880987774193557</v>
      </c>
      <c r="O121" s="3095">
        <f t="shared" ca="1" si="20"/>
        <v>28.788206451612908</v>
      </c>
    </row>
    <row r="122" spans="2:16" ht="15.75">
      <c r="B122" s="424" t="s">
        <v>501</v>
      </c>
      <c r="C122" s="3091" t="s">
        <v>103</v>
      </c>
      <c r="D122" s="3092"/>
      <c r="E122" s="3091"/>
      <c r="F122" s="3093">
        <f ca="1">SUBTOTAL(109,V.a!$F$120:$F$121)</f>
        <v>11.417081320505565</v>
      </c>
      <c r="G122" s="3093">
        <f ca="1">SUBTOTAL(109,V.a!$G$120:$G$121)</f>
        <v>11.480149663837011</v>
      </c>
      <c r="H122" s="3093">
        <f ca="1">SUBTOTAL(109,V.a!$H$120:$H$121)</f>
        <v>13.180415551782684</v>
      </c>
      <c r="I122" s="3093">
        <f ca="1">SUBTOTAL(109,V.a!$I$120:$I$121)</f>
        <v>14.880681439728354</v>
      </c>
      <c r="J122" s="3093">
        <f ca="1">SUBTOTAL(109,V.a!$J$120:$J$121)</f>
        <v>16.580947327674028</v>
      </c>
      <c r="K122" s="3093">
        <f ca="1">SUBTOTAL(109,V.a!$K$120:$K$121)</f>
        <v>18.281213215619701</v>
      </c>
      <c r="L122" s="3093">
        <f ca="1">SUBTOTAL(109,V.a!$L$120:$L$121)</f>
        <v>20.115755793598311</v>
      </c>
      <c r="M122" s="3093">
        <f ca="1">SUBTOTAL(109,V.a!$M$120:$M$121)</f>
        <v>21.94846320899358</v>
      </c>
      <c r="N122" s="3093">
        <f ca="1">SUBTOTAL(109,V.a!$N$120:$N$121)</f>
        <v>23.779289121650582</v>
      </c>
      <c r="O122" s="3093">
        <f ca="1">SUBTOTAL(109,V.a!$O$120:$O$121)</f>
        <v>25.608186021267397</v>
      </c>
      <c r="P122" s="426"/>
    </row>
    <row r="123" spans="2:16">
      <c r="B123" s="347"/>
      <c r="P123" s="349"/>
    </row>
    <row r="124" spans="2:16" ht="15.75">
      <c r="B124" s="427"/>
      <c r="C124" s="346"/>
      <c r="D124" s="425"/>
      <c r="E124" s="425"/>
      <c r="F124" s="425"/>
      <c r="G124" s="425"/>
      <c r="H124" s="425"/>
      <c r="I124" s="425"/>
      <c r="J124" s="425"/>
      <c r="K124" s="425"/>
      <c r="L124" s="425"/>
      <c r="M124" s="425"/>
      <c r="N124" s="425"/>
      <c r="O124" s="425"/>
      <c r="P124" s="429"/>
    </row>
    <row r="125" spans="2:16">
      <c r="B125" s="427"/>
      <c r="C125" s="348"/>
      <c r="D125" s="348"/>
      <c r="E125" s="348"/>
      <c r="F125" s="348"/>
      <c r="G125" s="348"/>
      <c r="H125" s="348"/>
      <c r="I125" s="348"/>
      <c r="J125" s="348"/>
      <c r="K125" s="348"/>
      <c r="L125" s="348"/>
      <c r="M125" s="348"/>
      <c r="N125" s="348"/>
      <c r="O125" s="348"/>
      <c r="P125" s="429"/>
    </row>
    <row r="126" spans="2:16" ht="15.75">
      <c r="B126" s="430"/>
      <c r="C126" s="350" t="s">
        <v>506</v>
      </c>
      <c r="D126" s="428"/>
      <c r="E126" s="351"/>
      <c r="F126" s="428"/>
      <c r="G126" s="351"/>
      <c r="H126" s="428"/>
      <c r="I126" s="428"/>
      <c r="J126" s="428"/>
      <c r="K126" s="428"/>
      <c r="L126" s="428"/>
      <c r="M126" s="428"/>
      <c r="N126" s="428"/>
      <c r="O126" s="351"/>
      <c r="P126" s="429"/>
    </row>
    <row r="127" spans="2:16" ht="15.75">
      <c r="B127" s="430"/>
      <c r="C127" s="428"/>
      <c r="D127" s="428"/>
      <c r="E127" s="428"/>
      <c r="F127" s="428"/>
      <c r="G127" s="428"/>
      <c r="H127" s="428"/>
      <c r="I127" s="428"/>
      <c r="J127" s="428"/>
      <c r="K127" s="428"/>
      <c r="L127" s="428"/>
      <c r="M127" s="428"/>
      <c r="N127" s="428"/>
      <c r="O127" s="428"/>
      <c r="P127" s="429"/>
    </row>
    <row r="128" spans="2:16" ht="15.75">
      <c r="B128" s="430" t="s">
        <v>1188</v>
      </c>
      <c r="C128" s="2494" t="s">
        <v>64</v>
      </c>
      <c r="D128" s="2494" t="s">
        <v>502</v>
      </c>
      <c r="E128" s="2494" t="s">
        <v>156</v>
      </c>
      <c r="F128" s="2495" t="s">
        <v>203</v>
      </c>
      <c r="G128" s="2496" t="s">
        <v>712</v>
      </c>
      <c r="H128" s="2496" t="s">
        <v>713</v>
      </c>
      <c r="I128" s="2496" t="s">
        <v>714</v>
      </c>
      <c r="J128" s="2496" t="s">
        <v>715</v>
      </c>
      <c r="K128" s="2496" t="s">
        <v>716</v>
      </c>
      <c r="L128" s="2496" t="s">
        <v>717</v>
      </c>
      <c r="M128" s="2496" t="s">
        <v>718</v>
      </c>
      <c r="N128" s="2496" t="s">
        <v>719</v>
      </c>
      <c r="O128" s="2497" t="s">
        <v>720</v>
      </c>
      <c r="P128" s="429"/>
    </row>
    <row r="129" spans="2:17" ht="15.75">
      <c r="B129" s="355"/>
      <c r="C129" s="2397" t="s">
        <v>503</v>
      </c>
      <c r="D129" s="2397" t="str">
        <f>INDEX(Vectors[Description], MATCH(V.a!$C129, Vectors[Code], 0))</f>
        <v>India Land area</v>
      </c>
      <c r="E129" s="1349" t="str">
        <f>Preferences.AreaUnits</f>
        <v>ha</v>
      </c>
      <c r="F129" s="2398">
        <f t="shared" ref="F129:O129" ca="1" si="21">F91</f>
        <v>4087.8910253673912</v>
      </c>
      <c r="G129" s="2398">
        <f t="shared" ca="1" si="21"/>
        <v>5623.7789358997943</v>
      </c>
      <c r="H129" s="2398">
        <f t="shared" ca="1" si="21"/>
        <v>6416.4924561197131</v>
      </c>
      <c r="I129" s="2398">
        <f t="shared" ca="1" si="21"/>
        <v>7209.2059763396292</v>
      </c>
      <c r="J129" s="2398">
        <f t="shared" ca="1" si="21"/>
        <v>8001.9194965595498</v>
      </c>
      <c r="K129" s="2398">
        <f t="shared" ca="1" si="21"/>
        <v>8794.6330167794677</v>
      </c>
      <c r="L129" s="2398">
        <f t="shared" ca="1" si="21"/>
        <v>9587.3465369993828</v>
      </c>
      <c r="M129" s="2398">
        <f t="shared" ca="1" si="21"/>
        <v>10380.060057219305</v>
      </c>
      <c r="N129" s="2398">
        <f t="shared" ca="1" si="21"/>
        <v>11172.773577439222</v>
      </c>
      <c r="O129" s="2398">
        <f t="shared" ca="1" si="21"/>
        <v>11965.487097659139</v>
      </c>
      <c r="P129" s="352"/>
    </row>
    <row r="130" spans="2:17">
      <c r="C130" s="514" t="s">
        <v>508</v>
      </c>
      <c r="D130" s="2397" t="str">
        <f>INDEX(Vectors[Description], MATCH(V.a!$C130, Vectors[Code], 0))</f>
        <v xml:space="preserve">Installed Capacity </v>
      </c>
      <c r="E130" s="515" t="str">
        <f>Preferences.PowerUnits</f>
        <v>GW</v>
      </c>
      <c r="F130" s="2399">
        <f ca="1">F65</f>
        <v>1.0101398712196108</v>
      </c>
      <c r="G130" s="2399">
        <f t="shared" ref="G130:O130" ca="1" si="22">G65</f>
        <v>1.3896660392425277</v>
      </c>
      <c r="H130" s="2399">
        <f t="shared" ca="1" si="22"/>
        <v>1.5855498160506503</v>
      </c>
      <c r="I130" s="2399">
        <f t="shared" ca="1" si="22"/>
        <v>1.7814335928587721</v>
      </c>
      <c r="J130" s="2399">
        <f t="shared" ca="1" si="22"/>
        <v>1.9773173696668951</v>
      </c>
      <c r="K130" s="2399">
        <f t="shared" ca="1" si="22"/>
        <v>2.1732011464750176</v>
      </c>
      <c r="L130" s="2399">
        <f t="shared" ca="1" si="22"/>
        <v>2.3690849232831392</v>
      </c>
      <c r="M130" s="2399">
        <f t="shared" ca="1" si="22"/>
        <v>2.5649687000912622</v>
      </c>
      <c r="N130" s="2399">
        <f t="shared" ca="1" si="22"/>
        <v>2.7608524768993843</v>
      </c>
      <c r="O130" s="2399">
        <f t="shared" ca="1" si="22"/>
        <v>2.9567362537075064</v>
      </c>
    </row>
    <row r="131" spans="2:17" ht="15.75">
      <c r="B131" s="2493"/>
      <c r="C131" s="428"/>
      <c r="D131" s="428"/>
      <c r="E131" s="428"/>
      <c r="F131" s="428"/>
      <c r="G131" s="428"/>
      <c r="H131" s="428"/>
      <c r="I131" s="428"/>
      <c r="J131" s="428"/>
      <c r="K131" s="428"/>
      <c r="L131" s="428"/>
      <c r="M131" s="428"/>
      <c r="N131" s="428"/>
      <c r="O131" s="428"/>
      <c r="P131" s="426"/>
    </row>
    <row r="132" spans="2:17">
      <c r="B132" s="427"/>
      <c r="P132" s="429"/>
    </row>
    <row r="133" spans="2:17">
      <c r="Q133" s="242"/>
    </row>
    <row r="134" spans="2:17">
      <c r="Q134" s="242"/>
    </row>
    <row r="135" spans="2:17">
      <c r="Q135" s="242"/>
    </row>
  </sheetData>
  <pageMargins left="0.7" right="0.7" top="0.75" bottom="0.75" header="0.3" footer="0.3"/>
  <pageSetup paperSize="9" orientation="portrait"/>
  <legacyDrawing r:id="rId1"/>
  <tableParts count="4">
    <tablePart r:id="rId2"/>
    <tablePart r:id="rId3"/>
    <tablePart r:id="rId4"/>
    <tablePart r:id="rId5"/>
  </tableParts>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sheetPr>
    <tabColor theme="9"/>
    <outlinePr summaryBelow="0"/>
    <pageSetUpPr autoPageBreaks="0"/>
  </sheetPr>
  <dimension ref="A1:Y544"/>
  <sheetViews>
    <sheetView showGridLines="0" topLeftCell="A361" zoomScale="70" zoomScaleNormal="70" zoomScalePageLayoutView="70" workbookViewId="0">
      <selection activeCell="D372" sqref="D372"/>
    </sheetView>
  </sheetViews>
  <sheetFormatPr defaultColWidth="8.85546875" defaultRowHeight="12.75"/>
  <cols>
    <col min="1" max="1" width="7.7109375" style="605" customWidth="1"/>
    <col min="2" max="2" width="5.85546875" style="605" customWidth="1"/>
    <col min="3" max="3" width="22.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16384" width="8.85546875" style="605"/>
  </cols>
  <sheetData>
    <row r="1" spans="1:18" ht="21">
      <c r="A1" s="77" t="s">
        <v>190</v>
      </c>
      <c r="B1" s="77" t="str">
        <f>INDEX(Workstreams[Workstream], MATCH($A1, Workstreams[Code], 0))</f>
        <v>Bioenergy</v>
      </c>
      <c r="C1" s="77"/>
    </row>
    <row r="2" spans="1:18" s="51" customFormat="1" ht="19.5" customHeight="1">
      <c r="A2" s="6" t="s">
        <v>432</v>
      </c>
      <c r="B2" s="6" t="str">
        <f>INDEX(Modules[Module], MATCH($A2, Modules[Code], 0))</f>
        <v>First &amp; Second Generation Bio Fuels</v>
      </c>
      <c r="C2" s="6"/>
      <c r="E2" s="404"/>
    </row>
    <row r="4" spans="1:18" ht="22.5" collapsed="1">
      <c r="A4" s="420"/>
      <c r="B4" s="206" t="s">
        <v>416</v>
      </c>
      <c r="C4" s="666"/>
      <c r="D4" s="175"/>
      <c r="E4" s="176"/>
      <c r="F4" s="175"/>
      <c r="G4" s="175"/>
      <c r="H4" s="175"/>
      <c r="I4" s="175"/>
      <c r="J4" s="175"/>
      <c r="K4" s="175"/>
      <c r="L4" s="175"/>
      <c r="M4" s="175"/>
      <c r="N4" s="175"/>
      <c r="O4" s="175"/>
      <c r="P4" s="177"/>
      <c r="R4" s="423"/>
    </row>
    <row r="5" spans="1:18">
      <c r="B5" s="164"/>
      <c r="C5" s="165"/>
      <c r="D5" s="166"/>
      <c r="E5" s="167"/>
      <c r="F5" s="166"/>
      <c r="G5" s="166"/>
      <c r="H5" s="166"/>
      <c r="I5" s="166"/>
      <c r="J5" s="166"/>
      <c r="K5" s="166"/>
      <c r="L5" s="166"/>
      <c r="M5" s="166"/>
      <c r="N5" s="166"/>
      <c r="O5" s="166"/>
      <c r="P5" s="168"/>
    </row>
    <row r="6" spans="1:18" ht="15.75">
      <c r="B6" s="169"/>
      <c r="C6" s="166"/>
      <c r="D6" s="118" t="s">
        <v>274</v>
      </c>
      <c r="E6" s="118" t="s">
        <v>411</v>
      </c>
      <c r="F6" s="166"/>
      <c r="G6" s="166"/>
      <c r="H6" s="166"/>
      <c r="I6" s="166"/>
      <c r="J6" s="166"/>
      <c r="K6" s="166"/>
      <c r="L6" s="166"/>
      <c r="M6" s="166"/>
      <c r="N6" s="166"/>
      <c r="O6" s="166"/>
      <c r="P6" s="168"/>
    </row>
    <row r="7" spans="1:18" ht="15.75">
      <c r="B7" s="169"/>
      <c r="C7" s="166"/>
      <c r="D7" s="127" t="s">
        <v>411</v>
      </c>
      <c r="E7" s="127">
        <f>V.b.scenario</f>
        <v>1</v>
      </c>
      <c r="F7" s="166"/>
      <c r="G7" s="166"/>
      <c r="H7" s="166"/>
      <c r="I7" s="166"/>
      <c r="J7" s="166"/>
      <c r="K7" s="166"/>
      <c r="L7" s="166"/>
      <c r="M7" s="166"/>
      <c r="N7" s="166"/>
      <c r="O7" s="166"/>
      <c r="P7" s="168"/>
    </row>
    <row r="8" spans="1:18" ht="15.75">
      <c r="B8" s="170"/>
      <c r="C8" s="171"/>
      <c r="D8" s="171"/>
      <c r="E8" s="171"/>
      <c r="F8" s="172"/>
      <c r="G8" s="172"/>
      <c r="H8" s="172"/>
      <c r="I8" s="172"/>
      <c r="J8" s="172"/>
      <c r="K8" s="172"/>
      <c r="L8" s="172"/>
      <c r="M8" s="172"/>
      <c r="N8" s="172"/>
      <c r="O8" s="172"/>
      <c r="P8" s="173"/>
    </row>
    <row r="10" spans="1:18" ht="13.5" customHeight="1">
      <c r="B10" s="418"/>
      <c r="C10" s="416"/>
      <c r="D10" s="415"/>
      <c r="E10" s="104"/>
      <c r="F10" s="519"/>
      <c r="G10" s="519"/>
      <c r="H10" s="519"/>
      <c r="I10" s="519"/>
      <c r="J10" s="519"/>
      <c r="K10" s="519"/>
      <c r="L10" s="519"/>
      <c r="M10" s="519"/>
      <c r="N10" s="519"/>
      <c r="O10" s="519"/>
      <c r="P10" s="419"/>
    </row>
    <row r="11" spans="1:18" ht="13.5" customHeight="1">
      <c r="B11" s="418"/>
      <c r="C11" s="416"/>
      <c r="D11" s="415"/>
      <c r="E11" s="104"/>
      <c r="F11" s="415"/>
      <c r="G11" s="415"/>
      <c r="H11" s="415"/>
      <c r="I11" s="415"/>
      <c r="J11" s="415"/>
      <c r="K11" s="415"/>
      <c r="L11" s="415"/>
      <c r="M11" s="415"/>
      <c r="N11" s="415"/>
      <c r="O11" s="104"/>
      <c r="P11" s="419"/>
    </row>
    <row r="12" spans="1:18" ht="19.5" customHeight="1">
      <c r="B12" s="421" t="s">
        <v>1272</v>
      </c>
      <c r="C12" s="159"/>
      <c r="D12" s="159"/>
      <c r="E12" s="159"/>
      <c r="F12" s="159"/>
      <c r="G12" s="159"/>
      <c r="H12" s="159"/>
      <c r="I12" s="159"/>
      <c r="J12" s="159"/>
      <c r="K12" s="159"/>
      <c r="L12" s="159"/>
      <c r="M12" s="159"/>
      <c r="N12" s="159"/>
      <c r="O12" s="159"/>
      <c r="P12" s="160"/>
    </row>
    <row r="13" spans="1:18" ht="19.5" customHeight="1">
      <c r="B13" s="1356"/>
      <c r="C13" s="414"/>
      <c r="D13" s="414"/>
      <c r="E13" s="414"/>
      <c r="F13" s="414"/>
      <c r="G13" s="414"/>
      <c r="H13" s="414"/>
      <c r="I13" s="414"/>
      <c r="J13" s="414"/>
      <c r="K13" s="414"/>
      <c r="L13" s="414"/>
      <c r="M13" s="414"/>
      <c r="N13" s="414"/>
      <c r="O13" s="1357" t="str">
        <f>Preferences.AreaUnits</f>
        <v>ha</v>
      </c>
      <c r="P13" s="154"/>
    </row>
    <row r="14" spans="1:18" ht="13.5" customHeight="1">
      <c r="B14" s="418"/>
      <c r="C14" s="416"/>
      <c r="D14" s="415"/>
      <c r="E14" s="104"/>
      <c r="F14" s="415">
        <f>Unit.ha*10^6</f>
        <v>1000000</v>
      </c>
      <c r="G14" s="415"/>
      <c r="H14" s="415"/>
      <c r="I14" s="415"/>
      <c r="J14" s="415"/>
      <c r="K14" s="415"/>
      <c r="L14" s="415"/>
      <c r="M14" s="415"/>
      <c r="N14" s="415"/>
      <c r="O14" s="104"/>
      <c r="P14" s="419"/>
    </row>
    <row r="15" spans="1:18" ht="13.5" customHeight="1">
      <c r="B15" s="418"/>
      <c r="C15" s="1360" t="s">
        <v>411</v>
      </c>
      <c r="D15" s="786" t="s">
        <v>65</v>
      </c>
      <c r="E15" s="786" t="s">
        <v>870</v>
      </c>
      <c r="F15" s="787">
        <v>2007</v>
      </c>
      <c r="G15" s="788">
        <f t="shared" ref="G15:O15" si="0">F15+5</f>
        <v>2012</v>
      </c>
      <c r="H15" s="788">
        <f t="shared" si="0"/>
        <v>2017</v>
      </c>
      <c r="I15" s="788">
        <f t="shared" si="0"/>
        <v>2022</v>
      </c>
      <c r="J15" s="788">
        <f t="shared" si="0"/>
        <v>2027</v>
      </c>
      <c r="K15" s="788">
        <f t="shared" si="0"/>
        <v>2032</v>
      </c>
      <c r="L15" s="788">
        <f t="shared" si="0"/>
        <v>2037</v>
      </c>
      <c r="M15" s="788">
        <f t="shared" si="0"/>
        <v>2042</v>
      </c>
      <c r="N15" s="788">
        <f t="shared" si="0"/>
        <v>2047</v>
      </c>
      <c r="O15" s="789">
        <f t="shared" si="0"/>
        <v>2052</v>
      </c>
      <c r="P15" s="419"/>
    </row>
    <row r="16" spans="1:18" ht="13.5" customHeight="1">
      <c r="B16" s="418"/>
      <c r="C16" s="413">
        <v>1</v>
      </c>
      <c r="D16" s="414" t="s">
        <v>1231</v>
      </c>
      <c r="E16" s="218"/>
      <c r="F16" s="415">
        <f>5151000*(Unit.ha)</f>
        <v>5151000</v>
      </c>
      <c r="G16" s="415">
        <f>5086000*(Unit.ha)</f>
        <v>5086000</v>
      </c>
      <c r="H16" s="415">
        <f t="shared" ref="H16:O16" si="1">4500000*(Unit.ha)</f>
        <v>4500000</v>
      </c>
      <c r="I16" s="415">
        <f t="shared" si="1"/>
        <v>4500000</v>
      </c>
      <c r="J16" s="415">
        <f t="shared" si="1"/>
        <v>4500000</v>
      </c>
      <c r="K16" s="415">
        <f t="shared" si="1"/>
        <v>4500000</v>
      </c>
      <c r="L16" s="415">
        <f t="shared" si="1"/>
        <v>4500000</v>
      </c>
      <c r="M16" s="415">
        <f t="shared" si="1"/>
        <v>4500000</v>
      </c>
      <c r="N16" s="415">
        <f t="shared" si="1"/>
        <v>4500000</v>
      </c>
      <c r="O16" s="415">
        <f t="shared" si="1"/>
        <v>4500000</v>
      </c>
      <c r="P16" s="419"/>
    </row>
    <row r="17" spans="2:16" ht="13.5" customHeight="1">
      <c r="B17" s="418"/>
      <c r="C17" s="413">
        <v>1</v>
      </c>
      <c r="D17" s="414" t="s">
        <v>1232</v>
      </c>
      <c r="E17" s="218"/>
      <c r="F17" s="415">
        <f>0*(Unit.ha)</f>
        <v>0</v>
      </c>
      <c r="G17" s="415">
        <f>175*(Unit.ha)</f>
        <v>175</v>
      </c>
      <c r="H17" s="415">
        <f>200*(Unit.ha)</f>
        <v>200</v>
      </c>
      <c r="I17" s="415">
        <f>500*(Unit.ha)</f>
        <v>500</v>
      </c>
      <c r="J17" s="415">
        <f>700*(Unit.ha)</f>
        <v>700</v>
      </c>
      <c r="K17" s="415">
        <f>1000*(Unit.ha)</f>
        <v>1000</v>
      </c>
      <c r="L17" s="415">
        <f>2000*(Unit.ha)</f>
        <v>2000</v>
      </c>
      <c r="M17" s="415">
        <f>5000*(Unit.ha)</f>
        <v>5000</v>
      </c>
      <c r="N17" s="415">
        <f>10000*(Unit.ha)</f>
        <v>10000</v>
      </c>
      <c r="O17" s="415">
        <f>15000*(Unit.ha)</f>
        <v>15000</v>
      </c>
      <c r="P17" s="419"/>
    </row>
    <row r="18" spans="2:16" ht="13.5" customHeight="1">
      <c r="B18" s="418"/>
      <c r="C18" s="413">
        <v>1</v>
      </c>
      <c r="D18" s="414" t="s">
        <v>1233</v>
      </c>
      <c r="E18" s="218"/>
      <c r="F18" s="415">
        <f>0*(Unit.ha)</f>
        <v>0</v>
      </c>
      <c r="G18" s="415">
        <f>0*(Unit.ha)</f>
        <v>0</v>
      </c>
      <c r="H18" s="415">
        <f>200*(Unit.ha)</f>
        <v>200</v>
      </c>
      <c r="I18" s="415">
        <f>500*(Unit.ha)</f>
        <v>500</v>
      </c>
      <c r="J18" s="415">
        <f>700*(Unit.ha)</f>
        <v>700</v>
      </c>
      <c r="K18" s="415">
        <f>1000*(Unit.ha)</f>
        <v>1000</v>
      </c>
      <c r="L18" s="415">
        <f>1000*(Unit.ha)</f>
        <v>1000</v>
      </c>
      <c r="M18" s="415">
        <f>1000*(Unit.ha)</f>
        <v>1000</v>
      </c>
      <c r="N18" s="415">
        <f>1000*(Unit.ha)</f>
        <v>1000</v>
      </c>
      <c r="O18" s="415">
        <f>1000*(Unit.ha)</f>
        <v>1000</v>
      </c>
      <c r="P18" s="419"/>
    </row>
    <row r="19" spans="2:16" ht="13.5" customHeight="1">
      <c r="B19" s="418"/>
      <c r="C19" s="413">
        <v>1</v>
      </c>
      <c r="D19" s="414" t="s">
        <v>1234</v>
      </c>
      <c r="E19" s="218"/>
      <c r="F19" s="415">
        <f>0*(Unit.ha*10^6)</f>
        <v>0</v>
      </c>
      <c r="G19" s="415">
        <f>0.15*(Unit.ha*10^6)</f>
        <v>150000</v>
      </c>
      <c r="H19" s="415">
        <f>0.177777777777778*(Unit.ha*10^6)</f>
        <v>177777.77777777801</v>
      </c>
      <c r="I19" s="415">
        <f>0.2*(Unit.ha*10^6)</f>
        <v>200000</v>
      </c>
      <c r="J19" s="415">
        <f>0.25*(Unit.ha*10^6)</f>
        <v>250000</v>
      </c>
      <c r="K19" s="415">
        <f>0.3*(Unit.ha*10^6)</f>
        <v>300000</v>
      </c>
      <c r="L19" s="415">
        <f>0.35*(Unit.ha*10^6)</f>
        <v>350000</v>
      </c>
      <c r="M19" s="415">
        <f>0.4*(Unit.ha*10^6)</f>
        <v>400000</v>
      </c>
      <c r="N19" s="415">
        <f>0.45*(Unit.ha*10^6)</f>
        <v>450000</v>
      </c>
      <c r="O19" s="415">
        <f>0.5*(Unit.ha*10^6)</f>
        <v>500000</v>
      </c>
      <c r="P19" s="419"/>
    </row>
    <row r="20" spans="2:16" ht="13.5" customHeight="1">
      <c r="B20" s="415"/>
      <c r="C20" s="413">
        <v>1</v>
      </c>
      <c r="D20" s="414" t="s">
        <v>1500</v>
      </c>
      <c r="E20" s="218"/>
      <c r="F20" s="415">
        <f t="shared" ref="F20:O20" si="2">0*(Unit.ha)</f>
        <v>0</v>
      </c>
      <c r="G20" s="415">
        <f t="shared" si="2"/>
        <v>0</v>
      </c>
      <c r="H20" s="415">
        <f t="shared" si="2"/>
        <v>0</v>
      </c>
      <c r="I20" s="415">
        <f t="shared" si="2"/>
        <v>0</v>
      </c>
      <c r="J20" s="415">
        <f t="shared" si="2"/>
        <v>0</v>
      </c>
      <c r="K20" s="415">
        <f t="shared" si="2"/>
        <v>0</v>
      </c>
      <c r="L20" s="415">
        <f t="shared" si="2"/>
        <v>0</v>
      </c>
      <c r="M20" s="415">
        <f t="shared" si="2"/>
        <v>0</v>
      </c>
      <c r="N20" s="415">
        <f t="shared" si="2"/>
        <v>0</v>
      </c>
      <c r="O20" s="415">
        <f t="shared" si="2"/>
        <v>0</v>
      </c>
      <c r="P20" s="419"/>
    </row>
    <row r="21" spans="2:16" ht="13.5" customHeight="1">
      <c r="B21" s="763"/>
      <c r="C21" s="782"/>
      <c r="D21" s="783" t="s">
        <v>871</v>
      </c>
      <c r="E21" s="784"/>
      <c r="F21" s="785">
        <f>SUM(F16:F20)</f>
        <v>5151000</v>
      </c>
      <c r="G21" s="785">
        <f t="shared" ref="G21:O21" si="3">SUM(G16:G20)</f>
        <v>5236175</v>
      </c>
      <c r="H21" s="785">
        <f t="shared" si="3"/>
        <v>4678177.777777778</v>
      </c>
      <c r="I21" s="785">
        <f t="shared" si="3"/>
        <v>4701000</v>
      </c>
      <c r="J21" s="785">
        <f t="shared" si="3"/>
        <v>4751400</v>
      </c>
      <c r="K21" s="785">
        <f t="shared" si="3"/>
        <v>4802000</v>
      </c>
      <c r="L21" s="785">
        <f t="shared" si="3"/>
        <v>4853000</v>
      </c>
      <c r="M21" s="785">
        <f t="shared" si="3"/>
        <v>4906000</v>
      </c>
      <c r="N21" s="785">
        <f t="shared" si="3"/>
        <v>4961000</v>
      </c>
      <c r="O21" s="785">
        <f t="shared" si="3"/>
        <v>5016000</v>
      </c>
      <c r="P21" s="419"/>
    </row>
    <row r="22" spans="2:16" ht="13.5" customHeight="1">
      <c r="B22" s="418"/>
      <c r="C22" s="413">
        <v>2</v>
      </c>
      <c r="D22" s="96" t="s">
        <v>1231</v>
      </c>
      <c r="E22" s="218"/>
      <c r="F22" s="415">
        <f>5151000*(Unit.ha)</f>
        <v>5151000</v>
      </c>
      <c r="G22" s="415">
        <f>5086000*(Unit.ha)</f>
        <v>5086000</v>
      </c>
      <c r="H22" s="415">
        <f t="shared" ref="H22:O22" si="4">5000000*(Unit.ha)</f>
        <v>5000000</v>
      </c>
      <c r="I22" s="415">
        <f t="shared" si="4"/>
        <v>5000000</v>
      </c>
      <c r="J22" s="415">
        <f t="shared" si="4"/>
        <v>5000000</v>
      </c>
      <c r="K22" s="415">
        <f t="shared" si="4"/>
        <v>5000000</v>
      </c>
      <c r="L22" s="415">
        <f t="shared" si="4"/>
        <v>5000000</v>
      </c>
      <c r="M22" s="415">
        <f t="shared" si="4"/>
        <v>5000000</v>
      </c>
      <c r="N22" s="415">
        <f t="shared" si="4"/>
        <v>5000000</v>
      </c>
      <c r="O22" s="415">
        <f t="shared" si="4"/>
        <v>5000000</v>
      </c>
      <c r="P22" s="419"/>
    </row>
    <row r="23" spans="2:16" ht="13.5" customHeight="1">
      <c r="B23" s="418"/>
      <c r="C23" s="413">
        <v>2</v>
      </c>
      <c r="D23" s="414" t="s">
        <v>1232</v>
      </c>
      <c r="E23" s="218"/>
      <c r="F23" s="415">
        <f>0*(Unit.ha)</f>
        <v>0</v>
      </c>
      <c r="G23" s="415">
        <f>175*(Unit.ha)</f>
        <v>175</v>
      </c>
      <c r="H23" s="415">
        <f>500*(Unit.ha)</f>
        <v>500</v>
      </c>
      <c r="I23" s="415">
        <f>700*(Unit.ha)</f>
        <v>700</v>
      </c>
      <c r="J23" s="415">
        <f>1000*(Unit.ha)</f>
        <v>1000</v>
      </c>
      <c r="K23" s="415">
        <f>2000*(Unit.ha)</f>
        <v>2000</v>
      </c>
      <c r="L23" s="415">
        <f>5000*(Unit.ha)</f>
        <v>5000</v>
      </c>
      <c r="M23" s="415">
        <f>10000*(Unit.ha)</f>
        <v>10000</v>
      </c>
      <c r="N23" s="415">
        <f>15000*(Unit.ha)</f>
        <v>15000</v>
      </c>
      <c r="O23" s="415">
        <f>20000*(Unit.ha)</f>
        <v>20000</v>
      </c>
      <c r="P23" s="419"/>
    </row>
    <row r="24" spans="2:16" ht="13.5" customHeight="1">
      <c r="B24" s="418"/>
      <c r="C24" s="413">
        <v>2</v>
      </c>
      <c r="D24" s="414" t="s">
        <v>1233</v>
      </c>
      <c r="E24" s="218"/>
      <c r="F24" s="415">
        <f>0*(Unit.ha)</f>
        <v>0</v>
      </c>
      <c r="G24" s="415">
        <f>0*(Unit.ha)</f>
        <v>0</v>
      </c>
      <c r="H24" s="415">
        <f>500*(Unit.ha)</f>
        <v>500</v>
      </c>
      <c r="I24" s="415">
        <f>700*(Unit.ha)</f>
        <v>700</v>
      </c>
      <c r="J24" s="415">
        <f>1000*(Unit.ha)</f>
        <v>1000</v>
      </c>
      <c r="K24" s="415">
        <f>2000*(Unit.ha)</f>
        <v>2000</v>
      </c>
      <c r="L24" s="415">
        <f>2000*(Unit.ha)</f>
        <v>2000</v>
      </c>
      <c r="M24" s="415">
        <f>2000*(Unit.ha)</f>
        <v>2000</v>
      </c>
      <c r="N24" s="415">
        <f>2000*(Unit.ha)</f>
        <v>2000</v>
      </c>
      <c r="O24" s="415">
        <f>2000*(Unit.ha)</f>
        <v>2000</v>
      </c>
      <c r="P24" s="419"/>
    </row>
    <row r="25" spans="2:16" ht="14.25" customHeight="1">
      <c r="B25" s="418"/>
      <c r="C25" s="413">
        <v>2</v>
      </c>
      <c r="D25" s="414" t="s">
        <v>1234</v>
      </c>
      <c r="E25" s="218"/>
      <c r="F25" s="415">
        <f>(0*(Unit.ha*10^6))</f>
        <v>0</v>
      </c>
      <c r="G25" s="415">
        <f>0.15*(Unit.ha*10^6)</f>
        <v>150000</v>
      </c>
      <c r="H25" s="415">
        <f>0.3*(Unit.ha*10^6)</f>
        <v>300000</v>
      </c>
      <c r="I25" s="415">
        <f>0.7*(Unit.ha*10^6)</f>
        <v>700000</v>
      </c>
      <c r="J25" s="415">
        <f>1*(Unit.ha*10^6)</f>
        <v>1000000</v>
      </c>
      <c r="K25" s="415">
        <f>1.2*(Unit.ha*10^6)</f>
        <v>1200000</v>
      </c>
      <c r="L25" s="415">
        <f>1.4*(Unit.ha*10^6)</f>
        <v>1400000</v>
      </c>
      <c r="M25" s="415">
        <f>1.6*(Unit.ha*10^6)</f>
        <v>1600000</v>
      </c>
      <c r="N25" s="415">
        <f>1.8*(Unit.ha*10^6)</f>
        <v>1800000</v>
      </c>
      <c r="O25" s="415">
        <f>2*(Unit.ha*10^6)</f>
        <v>2000000</v>
      </c>
      <c r="P25" s="419"/>
    </row>
    <row r="26" spans="2:16" ht="14.25" customHeight="1">
      <c r="B26" s="415"/>
      <c r="C26" s="413">
        <v>2</v>
      </c>
      <c r="D26" s="414" t="s">
        <v>1500</v>
      </c>
      <c r="E26" s="218"/>
      <c r="F26" s="415">
        <f>0*(Unit.ha)</f>
        <v>0</v>
      </c>
      <c r="G26" s="415">
        <f>0*(Unit.ha)</f>
        <v>0</v>
      </c>
      <c r="H26" s="415">
        <f>0*(Unit.ha)</f>
        <v>0</v>
      </c>
      <c r="I26" s="415">
        <f>0*(Unit.ha)</f>
        <v>0</v>
      </c>
      <c r="J26" s="415">
        <f>100000*(Unit.ha)</f>
        <v>100000</v>
      </c>
      <c r="K26" s="415">
        <f>200000*(Unit.ha)</f>
        <v>200000</v>
      </c>
      <c r="L26" s="415">
        <f>400000*(Unit.ha)</f>
        <v>400000</v>
      </c>
      <c r="M26" s="415">
        <f>600000*(Unit.ha)</f>
        <v>600000</v>
      </c>
      <c r="N26" s="415">
        <f>800000*(Unit.ha)</f>
        <v>800000</v>
      </c>
      <c r="O26" s="415">
        <f>1000000*(Unit.ha)</f>
        <v>1000000</v>
      </c>
      <c r="P26" s="419"/>
    </row>
    <row r="27" spans="2:16" ht="13.5" customHeight="1">
      <c r="B27" s="763"/>
      <c r="C27" s="782"/>
      <c r="D27" s="783" t="s">
        <v>872</v>
      </c>
      <c r="E27" s="784"/>
      <c r="F27" s="785">
        <f>SUM(F22:F26)</f>
        <v>5151000</v>
      </c>
      <c r="G27" s="785">
        <f t="shared" ref="G27:O27" si="5">SUM(G22:G26)</f>
        <v>5236175</v>
      </c>
      <c r="H27" s="785">
        <f t="shared" si="5"/>
        <v>5301000</v>
      </c>
      <c r="I27" s="785">
        <f t="shared" si="5"/>
        <v>5701400</v>
      </c>
      <c r="J27" s="785">
        <f t="shared" si="5"/>
        <v>6102000</v>
      </c>
      <c r="K27" s="785">
        <f t="shared" si="5"/>
        <v>6404000</v>
      </c>
      <c r="L27" s="785">
        <f t="shared" si="5"/>
        <v>6807000</v>
      </c>
      <c r="M27" s="785">
        <f t="shared" si="5"/>
        <v>7212000</v>
      </c>
      <c r="N27" s="785">
        <f t="shared" si="5"/>
        <v>7617000</v>
      </c>
      <c r="O27" s="785">
        <f t="shared" si="5"/>
        <v>8022000</v>
      </c>
      <c r="P27" s="419"/>
    </row>
    <row r="28" spans="2:16" ht="13.5" customHeight="1">
      <c r="B28" s="418"/>
      <c r="C28" s="413">
        <v>3</v>
      </c>
      <c r="D28" s="96" t="s">
        <v>1231</v>
      </c>
      <c r="E28" s="218"/>
      <c r="F28" s="415">
        <f>5151000*(Unit.ha)</f>
        <v>5151000</v>
      </c>
      <c r="G28" s="415">
        <f>5086000*(Unit.ha)</f>
        <v>5086000</v>
      </c>
      <c r="H28" s="415">
        <f t="shared" ref="H28:O28" si="6">5200000*(Unit.ha)</f>
        <v>5200000</v>
      </c>
      <c r="I28" s="415">
        <f t="shared" si="6"/>
        <v>5200000</v>
      </c>
      <c r="J28" s="415">
        <f t="shared" si="6"/>
        <v>5200000</v>
      </c>
      <c r="K28" s="415">
        <f t="shared" si="6"/>
        <v>5200000</v>
      </c>
      <c r="L28" s="415">
        <f t="shared" si="6"/>
        <v>5200000</v>
      </c>
      <c r="M28" s="415">
        <f t="shared" si="6"/>
        <v>5200000</v>
      </c>
      <c r="N28" s="415">
        <f t="shared" si="6"/>
        <v>5200000</v>
      </c>
      <c r="O28" s="415">
        <f t="shared" si="6"/>
        <v>5200000</v>
      </c>
      <c r="P28" s="419"/>
    </row>
    <row r="29" spans="2:16" ht="13.5" customHeight="1">
      <c r="B29" s="418"/>
      <c r="C29" s="413">
        <v>3</v>
      </c>
      <c r="D29" s="414" t="s">
        <v>1232</v>
      </c>
      <c r="E29" s="218"/>
      <c r="F29" s="415">
        <f>0*(Unit.ha)</f>
        <v>0</v>
      </c>
      <c r="G29" s="415">
        <f>175*(Unit.ha)</f>
        <v>175</v>
      </c>
      <c r="H29" s="415">
        <f>700*(Unit.ha)</f>
        <v>700</v>
      </c>
      <c r="I29" s="415">
        <f>1000*(Unit.ha)</f>
        <v>1000</v>
      </c>
      <c r="J29" s="415">
        <f>2000*(Unit.ha)</f>
        <v>2000</v>
      </c>
      <c r="K29" s="415">
        <f>5000*(Unit.ha)</f>
        <v>5000</v>
      </c>
      <c r="L29" s="415">
        <f>10000*(Unit.ha)</f>
        <v>10000</v>
      </c>
      <c r="M29" s="415">
        <f>15000*(Unit.ha)</f>
        <v>15000</v>
      </c>
      <c r="N29" s="415">
        <f>20000*(Unit.ha)</f>
        <v>20000</v>
      </c>
      <c r="O29" s="415">
        <f>25000*(Unit.ha)</f>
        <v>25000</v>
      </c>
      <c r="P29" s="419"/>
    </row>
    <row r="30" spans="2:16" ht="13.5" customHeight="1">
      <c r="B30" s="418"/>
      <c r="C30" s="413">
        <v>3</v>
      </c>
      <c r="D30" s="414" t="s">
        <v>1233</v>
      </c>
      <c r="E30" s="218"/>
      <c r="F30" s="415">
        <f>0*(Unit.ha)</f>
        <v>0</v>
      </c>
      <c r="G30" s="415">
        <f>0*(Unit.ha)</f>
        <v>0</v>
      </c>
      <c r="H30" s="415">
        <f>700*(Unit.ha)</f>
        <v>700</v>
      </c>
      <c r="I30" s="415">
        <f>1000*(Unit.ha)</f>
        <v>1000</v>
      </c>
      <c r="J30" s="415">
        <f>2000*(Unit.ha)</f>
        <v>2000</v>
      </c>
      <c r="K30" s="415">
        <f>5000*(Unit.ha)</f>
        <v>5000</v>
      </c>
      <c r="L30" s="415">
        <f>5000*(Unit.ha)</f>
        <v>5000</v>
      </c>
      <c r="M30" s="415">
        <f>5000*(Unit.ha)</f>
        <v>5000</v>
      </c>
      <c r="N30" s="415">
        <f>5000*(Unit.ha)</f>
        <v>5000</v>
      </c>
      <c r="O30" s="415">
        <f>5000*(Unit.ha)</f>
        <v>5000</v>
      </c>
      <c r="P30" s="419"/>
    </row>
    <row r="31" spans="2:16" ht="13.5" customHeight="1">
      <c r="B31" s="418"/>
      <c r="C31" s="413">
        <v>3</v>
      </c>
      <c r="D31" s="414" t="s">
        <v>1234</v>
      </c>
      <c r="E31" s="218"/>
      <c r="F31" s="415">
        <f>(0*(Unit.ha))*(Unit.ha*10^6)</f>
        <v>0</v>
      </c>
      <c r="G31" s="415">
        <f>0.15*(Unit.ha*10^6)</f>
        <v>150000</v>
      </c>
      <c r="H31" s="415">
        <f>0.5*(Unit.ha*10^6)</f>
        <v>500000</v>
      </c>
      <c r="I31" s="415">
        <f>1*(Unit.ha*10^6)</f>
        <v>1000000</v>
      </c>
      <c r="J31" s="415">
        <f>1.5*(Unit.ha*10^6)</f>
        <v>1500000</v>
      </c>
      <c r="K31" s="415">
        <f>2*(Unit.ha*10^6)</f>
        <v>2000000</v>
      </c>
      <c r="L31" s="415">
        <f>2.5*(Unit.ha*10^6)</f>
        <v>2500000</v>
      </c>
      <c r="M31" s="415">
        <f>3*(Unit.ha*10^6)</f>
        <v>3000000</v>
      </c>
      <c r="N31" s="415">
        <f>3.5*(Unit.ha*10^6)</f>
        <v>3500000</v>
      </c>
      <c r="O31" s="415">
        <f>4*(Unit.ha*10^6)</f>
        <v>4000000</v>
      </c>
      <c r="P31" s="419"/>
    </row>
    <row r="32" spans="2:16" ht="13.5" customHeight="1">
      <c r="B32" s="415"/>
      <c r="C32" s="413">
        <v>3</v>
      </c>
      <c r="D32" s="414" t="s">
        <v>1500</v>
      </c>
      <c r="E32" s="218"/>
      <c r="F32" s="415">
        <f>0*(Unit.ha)</f>
        <v>0</v>
      </c>
      <c r="G32" s="415">
        <f>0*(Unit.ha)</f>
        <v>0</v>
      </c>
      <c r="H32" s="415">
        <f>0*(Unit.ha)</f>
        <v>0</v>
      </c>
      <c r="I32" s="415">
        <f>200000*(Unit.ha)</f>
        <v>200000</v>
      </c>
      <c r="J32" s="415">
        <f>500000*(Unit.ha)</f>
        <v>500000</v>
      </c>
      <c r="K32" s="415">
        <f>1000000*(Unit.ha)</f>
        <v>1000000</v>
      </c>
      <c r="L32" s="415">
        <f>1500000*(Unit.ha)</f>
        <v>1500000</v>
      </c>
      <c r="M32" s="415">
        <f>2000000*(Unit.ha)</f>
        <v>2000000</v>
      </c>
      <c r="N32" s="415">
        <f>2500000*(Unit.ha)</f>
        <v>2500000</v>
      </c>
      <c r="O32" s="415">
        <f>3000000*(Unit.ha)</f>
        <v>3000000</v>
      </c>
      <c r="P32" s="419"/>
    </row>
    <row r="33" spans="2:16" ht="13.5" customHeight="1">
      <c r="B33" s="763"/>
      <c r="C33" s="782"/>
      <c r="D33" s="783" t="s">
        <v>873</v>
      </c>
      <c r="E33" s="784"/>
      <c r="F33" s="785">
        <f>SUM(F28:F32)</f>
        <v>5151000</v>
      </c>
      <c r="G33" s="785">
        <f t="shared" ref="G33:O33" si="7">SUM(G28:G32)</f>
        <v>5236175</v>
      </c>
      <c r="H33" s="785">
        <f t="shared" si="7"/>
        <v>5701400</v>
      </c>
      <c r="I33" s="785">
        <f t="shared" si="7"/>
        <v>6402000</v>
      </c>
      <c r="J33" s="785">
        <f t="shared" si="7"/>
        <v>7204000</v>
      </c>
      <c r="K33" s="785">
        <f t="shared" si="7"/>
        <v>8210000</v>
      </c>
      <c r="L33" s="785">
        <f t="shared" si="7"/>
        <v>9215000</v>
      </c>
      <c r="M33" s="785">
        <f t="shared" si="7"/>
        <v>10220000</v>
      </c>
      <c r="N33" s="785">
        <f t="shared" si="7"/>
        <v>11225000</v>
      </c>
      <c r="O33" s="785">
        <f t="shared" si="7"/>
        <v>12230000</v>
      </c>
      <c r="P33" s="419"/>
    </row>
    <row r="34" spans="2:16" ht="13.5" customHeight="1">
      <c r="B34" s="418"/>
      <c r="C34" s="413">
        <v>4</v>
      </c>
      <c r="D34" s="96" t="s">
        <v>1231</v>
      </c>
      <c r="E34" s="218"/>
      <c r="F34" s="415">
        <f>5151000*(Unit.ha)</f>
        <v>5151000</v>
      </c>
      <c r="G34" s="415">
        <f>5086000*(Unit.ha)</f>
        <v>5086000</v>
      </c>
      <c r="H34" s="415">
        <f t="shared" ref="H34:O34" si="8">5500000*(Unit.ha)</f>
        <v>5500000</v>
      </c>
      <c r="I34" s="415">
        <f t="shared" si="8"/>
        <v>5500000</v>
      </c>
      <c r="J34" s="415">
        <f t="shared" si="8"/>
        <v>5500000</v>
      </c>
      <c r="K34" s="415">
        <f t="shared" si="8"/>
        <v>5500000</v>
      </c>
      <c r="L34" s="415">
        <f t="shared" si="8"/>
        <v>5500000</v>
      </c>
      <c r="M34" s="415">
        <f t="shared" si="8"/>
        <v>5500000</v>
      </c>
      <c r="N34" s="415">
        <f t="shared" si="8"/>
        <v>5500000</v>
      </c>
      <c r="O34" s="415">
        <f t="shared" si="8"/>
        <v>5500000</v>
      </c>
      <c r="P34" s="419"/>
    </row>
    <row r="35" spans="2:16" ht="13.5" customHeight="1">
      <c r="B35" s="418"/>
      <c r="C35" s="413">
        <v>4</v>
      </c>
      <c r="D35" s="414" t="s">
        <v>1232</v>
      </c>
      <c r="E35" s="218"/>
      <c r="F35" s="415">
        <f>0*(Unit.ha)</f>
        <v>0</v>
      </c>
      <c r="G35" s="415">
        <f>175*(Unit.ha)</f>
        <v>175</v>
      </c>
      <c r="H35" s="415">
        <f>1000*(Unit.ha)</f>
        <v>1000</v>
      </c>
      <c r="I35" s="415">
        <f>2000*(Unit.ha)</f>
        <v>2000</v>
      </c>
      <c r="J35" s="415">
        <f>5000*(Unit.ha)</f>
        <v>5000</v>
      </c>
      <c r="K35" s="415">
        <f>10000*(Unit.ha)</f>
        <v>10000</v>
      </c>
      <c r="L35" s="415">
        <f>15000*(Unit.ha)</f>
        <v>15000</v>
      </c>
      <c r="M35" s="415">
        <f>20000*(Unit.ha)</f>
        <v>20000</v>
      </c>
      <c r="N35" s="415">
        <f>25000*(Unit.ha)</f>
        <v>25000</v>
      </c>
      <c r="O35" s="415">
        <f>30000*(Unit.ha)</f>
        <v>30000</v>
      </c>
      <c r="P35" s="419"/>
    </row>
    <row r="36" spans="2:16" ht="13.5" customHeight="1">
      <c r="B36" s="418"/>
      <c r="C36" s="413">
        <v>4</v>
      </c>
      <c r="D36" s="414" t="s">
        <v>1233</v>
      </c>
      <c r="E36" s="218"/>
      <c r="F36" s="415">
        <f>0*(Unit.ha)</f>
        <v>0</v>
      </c>
      <c r="G36" s="415">
        <f>0*(Unit.ha)</f>
        <v>0</v>
      </c>
      <c r="H36" s="415">
        <f>1000*(Unit.ha)</f>
        <v>1000</v>
      </c>
      <c r="I36" s="415">
        <f>2000*(Unit.ha)</f>
        <v>2000</v>
      </c>
      <c r="J36" s="415">
        <f>5000*(Unit.ha)</f>
        <v>5000</v>
      </c>
      <c r="K36" s="415">
        <f>10000*(Unit.ha)</f>
        <v>10000</v>
      </c>
      <c r="L36" s="415">
        <f>10000*(Unit.ha)</f>
        <v>10000</v>
      </c>
      <c r="M36" s="415">
        <f>10000*(Unit.ha)</f>
        <v>10000</v>
      </c>
      <c r="N36" s="415">
        <f>10000*(Unit.ha)</f>
        <v>10000</v>
      </c>
      <c r="O36" s="415">
        <f>10000*(Unit.ha)</f>
        <v>10000</v>
      </c>
      <c r="P36" s="419"/>
    </row>
    <row r="37" spans="2:16" ht="13.5" customHeight="1">
      <c r="B37" s="418"/>
      <c r="C37" s="413">
        <v>4</v>
      </c>
      <c r="D37" s="414" t="s">
        <v>1234</v>
      </c>
      <c r="E37" s="218"/>
      <c r="F37" s="415">
        <f>(0*(Unit.ha))*(Unit.ha*10^6)</f>
        <v>0</v>
      </c>
      <c r="G37" s="415">
        <f>0.15*(Unit.ha*10^6)</f>
        <v>150000</v>
      </c>
      <c r="H37" s="415">
        <f>0.75*(Unit.ha*10^6)</f>
        <v>750000</v>
      </c>
      <c r="I37" s="415">
        <f>1.5*(Unit.ha*10^6)</f>
        <v>1500000</v>
      </c>
      <c r="J37" s="415">
        <f>2.25*(Unit.ha*10^6)</f>
        <v>2250000</v>
      </c>
      <c r="K37" s="415">
        <f>3*(Unit.ha*10^6)</f>
        <v>3000000</v>
      </c>
      <c r="L37" s="415">
        <f>3.75*(Unit.ha*10^6)</f>
        <v>3750000</v>
      </c>
      <c r="M37" s="415">
        <f>4.5*(Unit.ha*10^6)</f>
        <v>4500000</v>
      </c>
      <c r="N37" s="415">
        <f>5.25*(Unit.ha*10^6)</f>
        <v>5250000</v>
      </c>
      <c r="O37" s="415">
        <f>6*(Unit.ha*10^6)</f>
        <v>6000000</v>
      </c>
      <c r="P37" s="419"/>
    </row>
    <row r="38" spans="2:16" ht="13.5" customHeight="1">
      <c r="B38" s="415"/>
      <c r="C38" s="413">
        <v>4</v>
      </c>
      <c r="D38" s="414" t="s">
        <v>1500</v>
      </c>
      <c r="E38" s="218"/>
      <c r="F38" s="415">
        <f>0*(Unit.ha)</f>
        <v>0</v>
      </c>
      <c r="G38" s="415">
        <f>0*(Unit.ha)</f>
        <v>0</v>
      </c>
      <c r="H38" s="415">
        <f>100000*(Unit.ha)</f>
        <v>100000</v>
      </c>
      <c r="I38" s="415">
        <f>600000*(Unit.ha)</f>
        <v>600000</v>
      </c>
      <c r="J38" s="415">
        <f>1200000*(Unit.ha)</f>
        <v>1200000</v>
      </c>
      <c r="K38" s="415">
        <f>1800000*(Unit.ha)</f>
        <v>1800000</v>
      </c>
      <c r="L38" s="415">
        <f>2500000*(Unit.ha)</f>
        <v>2500000</v>
      </c>
      <c r="M38" s="415">
        <f>3250000*(Unit.ha)</f>
        <v>3250000</v>
      </c>
      <c r="N38" s="415">
        <f>4000000*(Unit.ha)</f>
        <v>4000000</v>
      </c>
      <c r="O38" s="415">
        <f>5000000*(Unit.ha)</f>
        <v>5000000</v>
      </c>
      <c r="P38" s="419"/>
    </row>
    <row r="39" spans="2:16" ht="13.5" customHeight="1">
      <c r="B39" s="763"/>
      <c r="C39" s="782"/>
      <c r="D39" s="783" t="s">
        <v>874</v>
      </c>
      <c r="E39" s="784"/>
      <c r="F39" s="785">
        <f>SUM(F34:F38)</f>
        <v>5151000</v>
      </c>
      <c r="G39" s="785">
        <f t="shared" ref="G39:O39" si="9">SUM(G34:G38)</f>
        <v>5236175</v>
      </c>
      <c r="H39" s="785">
        <f t="shared" si="9"/>
        <v>6352000</v>
      </c>
      <c r="I39" s="785">
        <f t="shared" si="9"/>
        <v>7604000</v>
      </c>
      <c r="J39" s="785">
        <f t="shared" si="9"/>
        <v>8960000</v>
      </c>
      <c r="K39" s="785">
        <f t="shared" si="9"/>
        <v>10320000</v>
      </c>
      <c r="L39" s="785">
        <f t="shared" si="9"/>
        <v>11775000</v>
      </c>
      <c r="M39" s="785">
        <f t="shared" si="9"/>
        <v>13280000</v>
      </c>
      <c r="N39" s="785">
        <f t="shared" si="9"/>
        <v>14785000</v>
      </c>
      <c r="O39" s="785">
        <f t="shared" si="9"/>
        <v>16540000</v>
      </c>
      <c r="P39" s="419"/>
    </row>
    <row r="40" spans="2:16" ht="13.5" customHeight="1">
      <c r="B40" s="418"/>
      <c r="C40" s="416"/>
      <c r="D40" s="415"/>
      <c r="E40" s="104"/>
      <c r="F40" s="415"/>
      <c r="G40" s="415"/>
      <c r="H40" s="415"/>
      <c r="I40" s="415"/>
      <c r="J40" s="415"/>
      <c r="K40" s="415"/>
      <c r="L40" s="415"/>
      <c r="M40" s="415"/>
      <c r="N40" s="415"/>
      <c r="O40" s="104"/>
      <c r="P40" s="419"/>
    </row>
    <row r="41" spans="2:16" ht="13.5" customHeight="1">
      <c r="B41" s="418"/>
      <c r="C41" s="1359" t="s">
        <v>1028</v>
      </c>
      <c r="D41" s="804"/>
      <c r="E41" s="957"/>
      <c r="F41" s="787">
        <v>2007</v>
      </c>
      <c r="G41" s="788">
        <f t="shared" ref="G41:O41" si="10">F41+5</f>
        <v>2012</v>
      </c>
      <c r="H41" s="788">
        <f t="shared" si="10"/>
        <v>2017</v>
      </c>
      <c r="I41" s="788">
        <f t="shared" si="10"/>
        <v>2022</v>
      </c>
      <c r="J41" s="788">
        <f t="shared" si="10"/>
        <v>2027</v>
      </c>
      <c r="K41" s="788">
        <f t="shared" si="10"/>
        <v>2032</v>
      </c>
      <c r="L41" s="788">
        <f t="shared" si="10"/>
        <v>2037</v>
      </c>
      <c r="M41" s="788">
        <f t="shared" si="10"/>
        <v>2042</v>
      </c>
      <c r="N41" s="788">
        <f t="shared" si="10"/>
        <v>2047</v>
      </c>
      <c r="O41" s="789">
        <f t="shared" si="10"/>
        <v>2052</v>
      </c>
      <c r="P41" s="419"/>
    </row>
    <row r="42" spans="2:16" ht="13.5" customHeight="1">
      <c r="B42" s="418"/>
      <c r="C42" s="824"/>
      <c r="D42" s="414" t="s">
        <v>1231</v>
      </c>
      <c r="E42" s="218"/>
      <c r="F42" s="1358">
        <f>(INDEX(F$16:F$39,ROUNDDOWN(6*$E$7-5,0))*(1-MOD(6*$E$7-5,1)))+(INDEX(F$16:F$39,ROUNDUP(6*$E$7-5,0))*MOD(6*$E$7-5,1))</f>
        <v>5151000</v>
      </c>
      <c r="G42" s="1358">
        <f t="shared" ref="G42:O42" si="11">(INDEX(G$16:G$39,ROUNDDOWN(6*$E$7-5,0))*(1-MOD(6*$E$7-5,1)))+(INDEX(G$16:G$39,ROUNDUP(6*$E$7-5,0))*MOD(6*$E$7-5,1))</f>
        <v>5086000</v>
      </c>
      <c r="H42" s="1358">
        <f t="shared" si="11"/>
        <v>4500000</v>
      </c>
      <c r="I42" s="1358">
        <f t="shared" si="11"/>
        <v>4500000</v>
      </c>
      <c r="J42" s="1358">
        <f t="shared" si="11"/>
        <v>4500000</v>
      </c>
      <c r="K42" s="1358">
        <f t="shared" si="11"/>
        <v>4500000</v>
      </c>
      <c r="L42" s="1358">
        <f t="shared" si="11"/>
        <v>4500000</v>
      </c>
      <c r="M42" s="1358">
        <f t="shared" si="11"/>
        <v>4500000</v>
      </c>
      <c r="N42" s="1358">
        <f t="shared" si="11"/>
        <v>4500000</v>
      </c>
      <c r="O42" s="1358">
        <f t="shared" si="11"/>
        <v>4500000</v>
      </c>
      <c r="P42" s="419"/>
    </row>
    <row r="43" spans="2:16" ht="13.5" customHeight="1">
      <c r="B43" s="418"/>
      <c r="C43" s="824"/>
      <c r="D43" s="414" t="s">
        <v>1232</v>
      </c>
      <c r="E43" s="218"/>
      <c r="F43" s="1358">
        <f>(INDEX(F$16:F$39,ROUNDDOWN(6*$E$7-4,0))*(1-MOD(6*$E$7-4,1)))+(INDEX(F$16:F$39,ROUNDUP(6*$E$7-4,0))*MOD(6*$E$7-4,1))</f>
        <v>0</v>
      </c>
      <c r="G43" s="1358">
        <f t="shared" ref="G43:O43" si="12">(INDEX(G$16:G$39,ROUNDDOWN(6*$E$7-4,0))*(1-MOD(6*$E$7-4,1)))+(INDEX(G$16:G$39,ROUNDUP(6*$E$7-4,0))*MOD(6*$E$7-4,1))</f>
        <v>175</v>
      </c>
      <c r="H43" s="1358">
        <f t="shared" si="12"/>
        <v>200</v>
      </c>
      <c r="I43" s="1358">
        <f t="shared" si="12"/>
        <v>500</v>
      </c>
      <c r="J43" s="1358">
        <f t="shared" si="12"/>
        <v>700</v>
      </c>
      <c r="K43" s="1358">
        <f t="shared" si="12"/>
        <v>1000</v>
      </c>
      <c r="L43" s="1358">
        <f t="shared" si="12"/>
        <v>2000</v>
      </c>
      <c r="M43" s="1358">
        <f t="shared" si="12"/>
        <v>5000</v>
      </c>
      <c r="N43" s="1358">
        <f t="shared" si="12"/>
        <v>10000</v>
      </c>
      <c r="O43" s="1358">
        <f t="shared" si="12"/>
        <v>15000</v>
      </c>
      <c r="P43" s="419"/>
    </row>
    <row r="44" spans="2:16" ht="13.5" customHeight="1">
      <c r="B44" s="418"/>
      <c r="C44" s="824"/>
      <c r="D44" s="414" t="s">
        <v>1233</v>
      </c>
      <c r="E44" s="218"/>
      <c r="F44" s="1358">
        <f>(INDEX(F$16:F$39,ROUNDDOWN(6*$E$7-3,0))*(1-MOD(6*$E$7-3,1)))+(INDEX(F$16:F$39,ROUNDUP(6*$E$7-3,0))*MOD(6*$E$7-3,1))</f>
        <v>0</v>
      </c>
      <c r="G44" s="1358">
        <f t="shared" ref="G44:O44" si="13">(INDEX(G$16:G$39,ROUNDDOWN(6*$E$7-3,0))*(1-MOD(6*$E$7-3,1)))+(INDEX(G$16:G$39,ROUNDUP(6*$E$7-3,0))*MOD(6*$E$7-3,1))</f>
        <v>0</v>
      </c>
      <c r="H44" s="1358">
        <f t="shared" si="13"/>
        <v>200</v>
      </c>
      <c r="I44" s="1358">
        <f t="shared" si="13"/>
        <v>500</v>
      </c>
      <c r="J44" s="1358">
        <f t="shared" si="13"/>
        <v>700</v>
      </c>
      <c r="K44" s="1358">
        <f t="shared" si="13"/>
        <v>1000</v>
      </c>
      <c r="L44" s="1358">
        <f t="shared" si="13"/>
        <v>1000</v>
      </c>
      <c r="M44" s="1358">
        <f t="shared" si="13"/>
        <v>1000</v>
      </c>
      <c r="N44" s="1358">
        <f t="shared" si="13"/>
        <v>1000</v>
      </c>
      <c r="O44" s="1358">
        <f t="shared" si="13"/>
        <v>1000</v>
      </c>
      <c r="P44" s="419"/>
    </row>
    <row r="45" spans="2:16" ht="13.5" customHeight="1">
      <c r="B45" s="418"/>
      <c r="C45" s="824"/>
      <c r="D45" s="414" t="s">
        <v>1234</v>
      </c>
      <c r="E45" s="218"/>
      <c r="F45" s="1358">
        <f>(INDEX(F$16:F$39,ROUNDDOWN(6*$E$7-2,0))*(1-MOD(6*$E$7-2,1)))+(INDEX(F$16:F$39,ROUNDUP(6*$E$7-2,0))*MOD(6*$E$7-2,1))</f>
        <v>0</v>
      </c>
      <c r="G45" s="1358">
        <f t="shared" ref="G45:O45" si="14">(INDEX(G$16:G$39,ROUNDDOWN(6*$E$7-2,0))*(1-MOD(6*$E$7-2,1)))+(INDEX(G$16:G$39,ROUNDUP(6*$E$7-2,0))*MOD(6*$E$7-2,1))</f>
        <v>150000</v>
      </c>
      <c r="H45" s="1358">
        <f t="shared" si="14"/>
        <v>177777.77777777801</v>
      </c>
      <c r="I45" s="1358">
        <f t="shared" si="14"/>
        <v>200000</v>
      </c>
      <c r="J45" s="1358">
        <f t="shared" si="14"/>
        <v>250000</v>
      </c>
      <c r="K45" s="1358">
        <f t="shared" si="14"/>
        <v>300000</v>
      </c>
      <c r="L45" s="1358">
        <f t="shared" si="14"/>
        <v>350000</v>
      </c>
      <c r="M45" s="1358">
        <f t="shared" si="14"/>
        <v>400000</v>
      </c>
      <c r="N45" s="1358">
        <f t="shared" si="14"/>
        <v>450000</v>
      </c>
      <c r="O45" s="1358">
        <f t="shared" si="14"/>
        <v>500000</v>
      </c>
      <c r="P45" s="419"/>
    </row>
    <row r="46" spans="2:16" ht="13.5" customHeight="1">
      <c r="B46" s="418"/>
      <c r="C46" s="824"/>
      <c r="D46" s="414" t="s">
        <v>1500</v>
      </c>
      <c r="E46" s="218"/>
      <c r="F46" s="1358">
        <f>(INDEX(F$16:F$39,ROUNDDOWN(6*$E$7-1,0))*(1-MOD(6*$E$7-1,1)))+(INDEX(F$16:F$39,ROUNDUP(6*$E$7-1,0))*MOD(6*$E$7-1,1))</f>
        <v>0</v>
      </c>
      <c r="G46" s="1358">
        <f t="shared" ref="G46:O46" si="15">(INDEX(G$16:G$39,ROUNDDOWN(6*$E$7-1,0))*(1-MOD(6*$E$7-1,1)))+(INDEX(G$16:G$39,ROUNDUP(6*$E$7-1,0))*MOD(6*$E$7-1,1))</f>
        <v>0</v>
      </c>
      <c r="H46" s="1358">
        <f t="shared" si="15"/>
        <v>0</v>
      </c>
      <c r="I46" s="1358">
        <f t="shared" si="15"/>
        <v>0</v>
      </c>
      <c r="J46" s="1358">
        <f t="shared" si="15"/>
        <v>0</v>
      </c>
      <c r="K46" s="1358">
        <f t="shared" si="15"/>
        <v>0</v>
      </c>
      <c r="L46" s="1358">
        <f t="shared" si="15"/>
        <v>0</v>
      </c>
      <c r="M46" s="1358">
        <f t="shared" si="15"/>
        <v>0</v>
      </c>
      <c r="N46" s="1358">
        <f t="shared" si="15"/>
        <v>0</v>
      </c>
      <c r="O46" s="1358">
        <f t="shared" si="15"/>
        <v>0</v>
      </c>
      <c r="P46" s="419"/>
    </row>
    <row r="47" spans="2:16" ht="13.5" customHeight="1">
      <c r="B47" s="418"/>
      <c r="C47" s="825"/>
      <c r="D47" s="783" t="s">
        <v>1235</v>
      </c>
      <c r="E47" s="784"/>
      <c r="F47" s="785">
        <f>SUM(F42:F46)</f>
        <v>5151000</v>
      </c>
      <c r="G47" s="785">
        <f t="shared" ref="G47:O47" si="16">SUM(G42:G46)</f>
        <v>5236175</v>
      </c>
      <c r="H47" s="785">
        <f t="shared" si="16"/>
        <v>4678177.777777778</v>
      </c>
      <c r="I47" s="785">
        <f t="shared" si="16"/>
        <v>4701000</v>
      </c>
      <c r="J47" s="785">
        <f t="shared" si="16"/>
        <v>4751400</v>
      </c>
      <c r="K47" s="785">
        <f t="shared" si="16"/>
        <v>4802000</v>
      </c>
      <c r="L47" s="785">
        <f t="shared" si="16"/>
        <v>4853000</v>
      </c>
      <c r="M47" s="785">
        <f t="shared" si="16"/>
        <v>4906000</v>
      </c>
      <c r="N47" s="785">
        <f t="shared" si="16"/>
        <v>4961000</v>
      </c>
      <c r="O47" s="785">
        <f t="shared" si="16"/>
        <v>5016000</v>
      </c>
      <c r="P47" s="419"/>
    </row>
    <row r="48" spans="2:16" ht="13.5" customHeight="1">
      <c r="B48" s="418"/>
      <c r="C48" s="416"/>
      <c r="D48" s="415"/>
      <c r="E48" s="104"/>
      <c r="F48" s="415"/>
      <c r="G48" s="415"/>
      <c r="H48" s="415"/>
      <c r="I48" s="415"/>
      <c r="J48" s="415"/>
      <c r="K48" s="415"/>
      <c r="L48" s="415"/>
      <c r="M48" s="415"/>
      <c r="N48" s="415"/>
      <c r="O48" s="104"/>
      <c r="P48" s="419"/>
    </row>
    <row r="49" spans="2:16" ht="13.5" customHeight="1">
      <c r="B49" s="418"/>
      <c r="C49" s="416"/>
      <c r="D49" s="415"/>
      <c r="E49" s="104"/>
      <c r="F49" s="415"/>
      <c r="G49" s="415"/>
      <c r="H49" s="415"/>
      <c r="I49" s="415"/>
      <c r="J49" s="415"/>
      <c r="K49" s="415"/>
      <c r="L49" s="415"/>
      <c r="M49" s="415"/>
      <c r="N49" s="415"/>
      <c r="O49" s="104"/>
      <c r="P49" s="419"/>
    </row>
    <row r="50" spans="2:16" ht="20.25" customHeight="1">
      <c r="B50" s="421" t="s">
        <v>1236</v>
      </c>
      <c r="C50" s="159"/>
      <c r="D50" s="159"/>
      <c r="E50" s="159"/>
      <c r="F50" s="159"/>
      <c r="G50" s="159"/>
      <c r="H50" s="159"/>
      <c r="I50" s="159"/>
      <c r="J50" s="159"/>
      <c r="K50" s="159"/>
      <c r="L50" s="159"/>
      <c r="M50" s="159"/>
      <c r="N50" s="159"/>
      <c r="O50" s="159"/>
      <c r="P50" s="160"/>
    </row>
    <row r="51" spans="2:16" ht="20.25" customHeight="1">
      <c r="B51" s="1356"/>
      <c r="C51" s="414"/>
      <c r="D51" s="414"/>
      <c r="E51" s="414"/>
      <c r="F51" s="414"/>
      <c r="G51" s="414"/>
      <c r="H51" s="414"/>
      <c r="I51" s="414"/>
      <c r="J51" s="414" t="s">
        <v>2305</v>
      </c>
      <c r="K51" s="414"/>
      <c r="L51" s="414"/>
      <c r="M51" s="414"/>
      <c r="N51" s="414"/>
      <c r="O51" s="414" t="str">
        <f>"Metric Tonne of Feedstock/"&amp;Preferences.AreaUnits</f>
        <v>Metric Tonne of Feedstock/ha</v>
      </c>
      <c r="P51" s="154"/>
    </row>
    <row r="52" spans="2:16" ht="13.5" customHeight="1">
      <c r="B52" s="840"/>
      <c r="C52" s="416"/>
      <c r="D52" s="415"/>
      <c r="E52" s="104"/>
      <c r="F52" s="415"/>
      <c r="G52" s="415">
        <f>1/Unit.ha</f>
        <v>1</v>
      </c>
      <c r="H52" s="415"/>
      <c r="I52" s="415"/>
      <c r="J52" s="415"/>
      <c r="K52" s="415"/>
      <c r="L52" s="415"/>
      <c r="M52" s="415"/>
      <c r="N52" s="415"/>
      <c r="O52" s="104"/>
      <c r="P52" s="419"/>
    </row>
    <row r="53" spans="2:16" ht="13.5" customHeight="1">
      <c r="B53" s="418"/>
      <c r="C53" s="1804" t="s">
        <v>411</v>
      </c>
      <c r="D53" s="1566" t="s">
        <v>65</v>
      </c>
      <c r="E53" s="1566" t="s">
        <v>870</v>
      </c>
      <c r="F53" s="787">
        <v>2007</v>
      </c>
      <c r="G53" s="788">
        <f t="shared" ref="G53:O53" si="17">F53+5</f>
        <v>2012</v>
      </c>
      <c r="H53" s="788">
        <f t="shared" si="17"/>
        <v>2017</v>
      </c>
      <c r="I53" s="788">
        <f t="shared" si="17"/>
        <v>2022</v>
      </c>
      <c r="J53" s="788">
        <f t="shared" si="17"/>
        <v>2027</v>
      </c>
      <c r="K53" s="788">
        <f t="shared" si="17"/>
        <v>2032</v>
      </c>
      <c r="L53" s="788">
        <f t="shared" si="17"/>
        <v>2037</v>
      </c>
      <c r="M53" s="788">
        <f t="shared" si="17"/>
        <v>2042</v>
      </c>
      <c r="N53" s="788">
        <f t="shared" si="17"/>
        <v>2047</v>
      </c>
      <c r="O53" s="1805">
        <f t="shared" si="17"/>
        <v>2052</v>
      </c>
      <c r="P53" s="419"/>
    </row>
    <row r="54" spans="2:16" ht="13.5" customHeight="1">
      <c r="B54" s="418"/>
      <c r="C54" s="824">
        <v>1</v>
      </c>
      <c r="D54" s="414" t="s">
        <v>2306</v>
      </c>
      <c r="E54" s="218"/>
      <c r="F54" s="414">
        <f t="shared" ref="F54:O54" si="18">65*(1/Unit.ha)</f>
        <v>65</v>
      </c>
      <c r="G54" s="414">
        <f t="shared" si="18"/>
        <v>65</v>
      </c>
      <c r="H54" s="414">
        <f t="shared" si="18"/>
        <v>65</v>
      </c>
      <c r="I54" s="414">
        <f t="shared" si="18"/>
        <v>65</v>
      </c>
      <c r="J54" s="414">
        <f t="shared" si="18"/>
        <v>65</v>
      </c>
      <c r="K54" s="414">
        <f t="shared" si="18"/>
        <v>65</v>
      </c>
      <c r="L54" s="414">
        <f t="shared" si="18"/>
        <v>65</v>
      </c>
      <c r="M54" s="414">
        <f t="shared" si="18"/>
        <v>65</v>
      </c>
      <c r="N54" s="414">
        <f t="shared" si="18"/>
        <v>65</v>
      </c>
      <c r="O54" s="829">
        <f t="shared" si="18"/>
        <v>65</v>
      </c>
      <c r="P54" s="419"/>
    </row>
    <row r="55" spans="2:16" ht="13.5" customHeight="1">
      <c r="B55" s="418"/>
      <c r="C55" s="824">
        <v>1</v>
      </c>
      <c r="D55" s="414" t="s">
        <v>2307</v>
      </c>
      <c r="E55" s="218"/>
      <c r="F55" s="414">
        <f>58*(1/Unit.ha)</f>
        <v>58</v>
      </c>
      <c r="G55" s="414">
        <f>58*(1/Unit.ha)</f>
        <v>58</v>
      </c>
      <c r="H55" s="414">
        <f t="shared" ref="H55:O55" si="19">50*(1/Unit.ha)</f>
        <v>50</v>
      </c>
      <c r="I55" s="414">
        <f t="shared" si="19"/>
        <v>50</v>
      </c>
      <c r="J55" s="414">
        <f t="shared" si="19"/>
        <v>50</v>
      </c>
      <c r="K55" s="414">
        <f t="shared" si="19"/>
        <v>50</v>
      </c>
      <c r="L55" s="414">
        <f t="shared" si="19"/>
        <v>50</v>
      </c>
      <c r="M55" s="414">
        <f t="shared" si="19"/>
        <v>50</v>
      </c>
      <c r="N55" s="414">
        <f t="shared" si="19"/>
        <v>50</v>
      </c>
      <c r="O55" s="829">
        <f t="shared" si="19"/>
        <v>50</v>
      </c>
      <c r="P55" s="419"/>
    </row>
    <row r="56" spans="2:16" ht="13.5" customHeight="1">
      <c r="B56" s="418"/>
      <c r="C56" s="824">
        <v>1</v>
      </c>
      <c r="D56" s="414" t="s">
        <v>2308</v>
      </c>
      <c r="E56" s="218"/>
      <c r="F56" s="414">
        <f>90*(1/Unit.ha)</f>
        <v>90</v>
      </c>
      <c r="G56" s="414">
        <f>90*(1/Unit.ha)</f>
        <v>90</v>
      </c>
      <c r="H56" s="414">
        <f>60*(1/Unit.ha)</f>
        <v>60</v>
      </c>
      <c r="I56" s="414">
        <f>60*(1/Unit.ha)</f>
        <v>60</v>
      </c>
      <c r="J56" s="414">
        <f>60*(1/Unit.ha)</f>
        <v>60</v>
      </c>
      <c r="K56" s="414">
        <f>60*(1/Unit.ha)</f>
        <v>60</v>
      </c>
      <c r="L56" s="414">
        <f>70*(1/Unit.ha)</f>
        <v>70</v>
      </c>
      <c r="M56" s="414">
        <f>90*(1/Unit.ha)</f>
        <v>90</v>
      </c>
      <c r="N56" s="414">
        <f>90*(1/Unit.ha)</f>
        <v>90</v>
      </c>
      <c r="O56" s="829">
        <f>90*(1/Unit.ha)</f>
        <v>90</v>
      </c>
      <c r="P56" s="419"/>
    </row>
    <row r="57" spans="2:16" ht="13.5" customHeight="1">
      <c r="B57" s="418"/>
      <c r="C57" s="824">
        <v>1</v>
      </c>
      <c r="D57" s="414" t="s">
        <v>2309</v>
      </c>
      <c r="E57" s="218"/>
      <c r="F57" s="415">
        <f>(G57)*(1/Unit.ha)</f>
        <v>0.3</v>
      </c>
      <c r="G57" s="415">
        <f>0.3*(1/Unit.ha)</f>
        <v>0.3</v>
      </c>
      <c r="H57" s="415">
        <f>0.3*(1/Unit.ha)</f>
        <v>0.3</v>
      </c>
      <c r="I57" s="415">
        <f>0.3*(1/Unit.ha)</f>
        <v>0.3</v>
      </c>
      <c r="J57" s="415">
        <f>0.35*(1/Unit.ha)</f>
        <v>0.35</v>
      </c>
      <c r="K57" s="415">
        <f>0.4*(1/Unit.ha)</f>
        <v>0.4</v>
      </c>
      <c r="L57" s="415">
        <f>0.45*(1/Unit.ha)</f>
        <v>0.45</v>
      </c>
      <c r="M57" s="415">
        <f>0.5*(1/Unit.ha)</f>
        <v>0.5</v>
      </c>
      <c r="N57" s="415">
        <f>0.5*(1/Unit.ha)</f>
        <v>0.5</v>
      </c>
      <c r="O57" s="415">
        <f>0.5*(1/Unit.ha)</f>
        <v>0.5</v>
      </c>
      <c r="P57" s="419"/>
    </row>
    <row r="58" spans="2:16" ht="13.5" customHeight="1">
      <c r="B58" s="418"/>
      <c r="C58" s="598">
        <v>1</v>
      </c>
      <c r="D58" s="112" t="s">
        <v>2310</v>
      </c>
      <c r="E58" s="844"/>
      <c r="F58" s="112">
        <v>0</v>
      </c>
      <c r="G58" s="112">
        <v>0</v>
      </c>
      <c r="H58" s="112">
        <v>0</v>
      </c>
      <c r="I58" s="112">
        <v>0</v>
      </c>
      <c r="J58" s="112">
        <v>0</v>
      </c>
      <c r="K58" s="112">
        <v>0</v>
      </c>
      <c r="L58" s="112">
        <v>0</v>
      </c>
      <c r="M58" s="112">
        <v>0</v>
      </c>
      <c r="N58" s="112">
        <v>0</v>
      </c>
      <c r="O58" s="1362">
        <v>0</v>
      </c>
      <c r="P58" s="419"/>
    </row>
    <row r="59" spans="2:16" ht="13.5" customHeight="1">
      <c r="B59" s="418"/>
      <c r="C59" s="824">
        <v>2</v>
      </c>
      <c r="D59" s="414" t="s">
        <v>2306</v>
      </c>
      <c r="E59" s="104"/>
      <c r="F59" s="414">
        <f>65*(1/Unit.ha)</f>
        <v>65</v>
      </c>
      <c r="G59" s="414">
        <f>65*(1/Unit.ha)</f>
        <v>65</v>
      </c>
      <c r="H59" s="414">
        <f>65*(1/Unit.ha)</f>
        <v>65</v>
      </c>
      <c r="I59" s="414">
        <f t="shared" ref="I59:O59" si="20">70*(1/Unit.ha)</f>
        <v>70</v>
      </c>
      <c r="J59" s="414">
        <f t="shared" si="20"/>
        <v>70</v>
      </c>
      <c r="K59" s="414">
        <f t="shared" si="20"/>
        <v>70</v>
      </c>
      <c r="L59" s="414">
        <f t="shared" si="20"/>
        <v>70</v>
      </c>
      <c r="M59" s="414">
        <f t="shared" si="20"/>
        <v>70</v>
      </c>
      <c r="N59" s="414">
        <f t="shared" si="20"/>
        <v>70</v>
      </c>
      <c r="O59" s="829">
        <f t="shared" si="20"/>
        <v>70</v>
      </c>
      <c r="P59" s="419"/>
    </row>
    <row r="60" spans="2:16" ht="13.5" customHeight="1">
      <c r="B60" s="418"/>
      <c r="C60" s="824">
        <v>2</v>
      </c>
      <c r="D60" s="414" t="s">
        <v>2307</v>
      </c>
      <c r="E60" s="104"/>
      <c r="F60" s="414">
        <f t="shared" ref="F60:O60" si="21">58*(1/Unit.ha)</f>
        <v>58</v>
      </c>
      <c r="G60" s="414">
        <f t="shared" si="21"/>
        <v>58</v>
      </c>
      <c r="H60" s="414">
        <f t="shared" si="21"/>
        <v>58</v>
      </c>
      <c r="I60" s="414">
        <f t="shared" si="21"/>
        <v>58</v>
      </c>
      <c r="J60" s="414">
        <f t="shared" si="21"/>
        <v>58</v>
      </c>
      <c r="K60" s="414">
        <f t="shared" si="21"/>
        <v>58</v>
      </c>
      <c r="L60" s="414">
        <f t="shared" si="21"/>
        <v>58</v>
      </c>
      <c r="M60" s="414">
        <f t="shared" si="21"/>
        <v>58</v>
      </c>
      <c r="N60" s="414">
        <f t="shared" si="21"/>
        <v>58</v>
      </c>
      <c r="O60" s="829">
        <f t="shared" si="21"/>
        <v>58</v>
      </c>
      <c r="P60" s="419"/>
    </row>
    <row r="61" spans="2:16" ht="13.5" customHeight="1">
      <c r="B61" s="418"/>
      <c r="C61" s="824">
        <v>2</v>
      </c>
      <c r="D61" s="414" t="s">
        <v>2308</v>
      </c>
      <c r="E61" s="104">
        <f>1/Unit.ha</f>
        <v>1</v>
      </c>
      <c r="F61" s="414">
        <f>90*(1/Unit.ha)</f>
        <v>90</v>
      </c>
      <c r="G61" s="414">
        <f>90*(1/Unit.ha)</f>
        <v>90</v>
      </c>
      <c r="H61" s="414">
        <f>70*(1/Unit.ha)</f>
        <v>70</v>
      </c>
      <c r="I61" s="414">
        <f>70*(1/Unit.ha)</f>
        <v>70</v>
      </c>
      <c r="J61" s="414">
        <f>70*(1/Unit.ha)</f>
        <v>70</v>
      </c>
      <c r="K61" s="414">
        <f>70*(1/Unit.ha)</f>
        <v>70</v>
      </c>
      <c r="L61" s="414">
        <f>80*(1/Unit.ha)</f>
        <v>80</v>
      </c>
      <c r="M61" s="414">
        <f>90*(1/Unit.ha)</f>
        <v>90</v>
      </c>
      <c r="N61" s="414">
        <f>90*(1/Unit.ha)</f>
        <v>90</v>
      </c>
      <c r="O61" s="829">
        <f>90*(1/Unit.ha)</f>
        <v>90</v>
      </c>
      <c r="P61" s="419"/>
    </row>
    <row r="62" spans="2:16" ht="13.5" customHeight="1">
      <c r="B62" s="418"/>
      <c r="C62" s="824">
        <v>2</v>
      </c>
      <c r="D62" s="414" t="s">
        <v>2309</v>
      </c>
      <c r="E62" s="104"/>
      <c r="F62" s="415">
        <f>0.3*(1/Unit.ha)</f>
        <v>0.3</v>
      </c>
      <c r="G62" s="415">
        <f>0.3*(1/Unit.ha)</f>
        <v>0.3</v>
      </c>
      <c r="H62" s="415">
        <f>0.3*(1/Unit.ha)</f>
        <v>0.3</v>
      </c>
      <c r="I62" s="415">
        <f>0.4*(1/Unit.ha)</f>
        <v>0.4</v>
      </c>
      <c r="J62" s="415">
        <f>0.5*(1/Unit.ha)</f>
        <v>0.5</v>
      </c>
      <c r="K62" s="415">
        <f>0.7*(1/Unit.ha)</f>
        <v>0.7</v>
      </c>
      <c r="L62" s="415">
        <f>0.9*(1/Unit.ha)</f>
        <v>0.9</v>
      </c>
      <c r="M62" s="415">
        <f>0.9*(1/Unit.ha)</f>
        <v>0.9</v>
      </c>
      <c r="N62" s="415">
        <f>1*(1/Unit.ha)</f>
        <v>1</v>
      </c>
      <c r="O62" s="415">
        <f>1*(1/Unit.ha)</f>
        <v>1</v>
      </c>
      <c r="P62" s="775"/>
    </row>
    <row r="63" spans="2:16" ht="13.5" customHeight="1">
      <c r="B63" s="418"/>
      <c r="C63" s="598">
        <v>2</v>
      </c>
      <c r="D63" s="112" t="s">
        <v>2310</v>
      </c>
      <c r="E63" s="1361"/>
      <c r="F63" s="3069">
        <f>0*(1/Unit.ha)</f>
        <v>0</v>
      </c>
      <c r="G63" s="3069">
        <f>0*(1/Unit.ha)</f>
        <v>0</v>
      </c>
      <c r="H63" s="3069">
        <f>0*(1/Unit.ha)</f>
        <v>0</v>
      </c>
      <c r="I63" s="3069">
        <f>0*(1/Unit.ha)</f>
        <v>0</v>
      </c>
      <c r="J63" s="3069">
        <f>2*(1/Unit.ha)</f>
        <v>2</v>
      </c>
      <c r="K63" s="3069">
        <f>2*(1/Unit.ha)</f>
        <v>2</v>
      </c>
      <c r="L63" s="3069">
        <f>2.5*(1/Unit.ha)</f>
        <v>2.5</v>
      </c>
      <c r="M63" s="3069">
        <f>2.5*(1/Unit.ha)</f>
        <v>2.5</v>
      </c>
      <c r="N63" s="3069">
        <f>3*(1/Unit.ha)</f>
        <v>3</v>
      </c>
      <c r="O63" s="3069">
        <f>3*(1/Unit.ha)</f>
        <v>3</v>
      </c>
      <c r="P63" s="419"/>
    </row>
    <row r="64" spans="2:16" ht="13.5" customHeight="1">
      <c r="B64" s="418"/>
      <c r="C64" s="824">
        <v>3</v>
      </c>
      <c r="D64" s="414" t="s">
        <v>2306</v>
      </c>
      <c r="E64" s="104"/>
      <c r="F64" s="414">
        <f>65*(1/Unit.ha)</f>
        <v>65</v>
      </c>
      <c r="G64" s="414">
        <f>65*(1/Unit.ha)</f>
        <v>65</v>
      </c>
      <c r="H64" s="414">
        <f>70*(1/Unit.ha)</f>
        <v>70</v>
      </c>
      <c r="I64" s="414">
        <f t="shared" ref="I64:O64" si="22">75*(1/Unit.ha)</f>
        <v>75</v>
      </c>
      <c r="J64" s="414">
        <f t="shared" si="22"/>
        <v>75</v>
      </c>
      <c r="K64" s="414">
        <f t="shared" si="22"/>
        <v>75</v>
      </c>
      <c r="L64" s="414">
        <f t="shared" si="22"/>
        <v>75</v>
      </c>
      <c r="M64" s="414">
        <f t="shared" si="22"/>
        <v>75</v>
      </c>
      <c r="N64" s="414">
        <f t="shared" si="22"/>
        <v>75</v>
      </c>
      <c r="O64" s="829">
        <f t="shared" si="22"/>
        <v>75</v>
      </c>
      <c r="P64" s="419"/>
    </row>
    <row r="65" spans="2:18" ht="13.5" customHeight="1">
      <c r="B65" s="418"/>
      <c r="C65" s="824">
        <v>3</v>
      </c>
      <c r="D65" s="414" t="s">
        <v>2307</v>
      </c>
      <c r="E65" s="104"/>
      <c r="F65" s="414">
        <f>58*(1/Unit.ha)</f>
        <v>58</v>
      </c>
      <c r="G65" s="414">
        <f>58*(1/Unit.ha)</f>
        <v>58</v>
      </c>
      <c r="H65" s="414">
        <f t="shared" ref="H65:O65" si="23">65*(1/Unit.ha)</f>
        <v>65</v>
      </c>
      <c r="I65" s="414">
        <f t="shared" si="23"/>
        <v>65</v>
      </c>
      <c r="J65" s="414">
        <f t="shared" si="23"/>
        <v>65</v>
      </c>
      <c r="K65" s="414">
        <f t="shared" si="23"/>
        <v>65</v>
      </c>
      <c r="L65" s="414">
        <f t="shared" si="23"/>
        <v>65</v>
      </c>
      <c r="M65" s="414">
        <f t="shared" si="23"/>
        <v>65</v>
      </c>
      <c r="N65" s="414">
        <f t="shared" si="23"/>
        <v>65</v>
      </c>
      <c r="O65" s="829">
        <f t="shared" si="23"/>
        <v>65</v>
      </c>
      <c r="P65" s="419"/>
    </row>
    <row r="66" spans="2:18" ht="13.5" customHeight="1">
      <c r="B66" s="418"/>
      <c r="C66" s="824">
        <v>3</v>
      </c>
      <c r="D66" s="414" t="s">
        <v>2308</v>
      </c>
      <c r="E66" s="104"/>
      <c r="F66" s="414">
        <f>90*(1/Unit.ha)</f>
        <v>90</v>
      </c>
      <c r="G66" s="414">
        <f>90*(1/Unit.ha)</f>
        <v>90</v>
      </c>
      <c r="H66" s="414">
        <f>80*(1/Unit.ha)</f>
        <v>80</v>
      </c>
      <c r="I66" s="414">
        <f>80*(1/Unit.ha)</f>
        <v>80</v>
      </c>
      <c r="J66" s="414">
        <f>80*(1/Unit.ha)</f>
        <v>80</v>
      </c>
      <c r="K66" s="414">
        <f>80*(1/Unit.ha)</f>
        <v>80</v>
      </c>
      <c r="L66" s="414">
        <f>90*(1/Unit.ha)</f>
        <v>90</v>
      </c>
      <c r="M66" s="414">
        <f>90*(1/Unit.ha)</f>
        <v>90</v>
      </c>
      <c r="N66" s="414">
        <f>90*(1/Unit.ha)</f>
        <v>90</v>
      </c>
      <c r="O66" s="829">
        <f>90*(1/Unit.ha)</f>
        <v>90</v>
      </c>
      <c r="P66" s="419"/>
    </row>
    <row r="67" spans="2:18" ht="13.5" customHeight="1">
      <c r="B67" s="418"/>
      <c r="C67" s="824">
        <v>3</v>
      </c>
      <c r="D67" s="414" t="s">
        <v>2309</v>
      </c>
      <c r="E67" s="104"/>
      <c r="F67" s="415">
        <f>(G67)*(1/Unit.ha)</f>
        <v>0.3</v>
      </c>
      <c r="G67" s="415">
        <f>0.3*(1/Unit.ha)</f>
        <v>0.3</v>
      </c>
      <c r="H67" s="415">
        <f>0.3*(1/Unit.ha)</f>
        <v>0.3</v>
      </c>
      <c r="I67" s="415">
        <f>0.5*(1/Unit.ha)</f>
        <v>0.5</v>
      </c>
      <c r="J67" s="415">
        <f>0.7*(1/Unit.ha)</f>
        <v>0.7</v>
      </c>
      <c r="K67" s="415">
        <f>0.9*(1/Unit.ha)</f>
        <v>0.9</v>
      </c>
      <c r="L67" s="415">
        <f>1.1*(1/Unit.ha)</f>
        <v>1.1000000000000001</v>
      </c>
      <c r="M67" s="415">
        <f>1.3*(1/Unit.ha)</f>
        <v>1.3</v>
      </c>
      <c r="N67" s="415">
        <f>1.4*(1/Unit.ha)</f>
        <v>1.4</v>
      </c>
      <c r="O67" s="415">
        <f>1.5*(1/Unit.ha)</f>
        <v>1.5</v>
      </c>
      <c r="P67" s="775"/>
      <c r="R67" s="605">
        <f>1/Unit.ha</f>
        <v>1</v>
      </c>
    </row>
    <row r="68" spans="2:18" ht="13.5" customHeight="1">
      <c r="B68" s="418"/>
      <c r="C68" s="598">
        <v>3</v>
      </c>
      <c r="D68" s="112" t="s">
        <v>2310</v>
      </c>
      <c r="E68" s="1361"/>
      <c r="F68" s="3069">
        <f>0*(1/Unit.ha)</f>
        <v>0</v>
      </c>
      <c r="G68" s="3069">
        <f>0*(1/Unit.ha)</f>
        <v>0</v>
      </c>
      <c r="H68" s="3069">
        <f>0*(1/Unit.ha)</f>
        <v>0</v>
      </c>
      <c r="I68" s="3069">
        <f>2*(1/Unit.ha)</f>
        <v>2</v>
      </c>
      <c r="J68" s="3069">
        <f>3*(1/Unit.ha)</f>
        <v>3</v>
      </c>
      <c r="K68" s="3069">
        <f>4*(1/Unit.ha)</f>
        <v>4</v>
      </c>
      <c r="L68" s="3069">
        <f>4.5*(1/Unit.ha)</f>
        <v>4.5</v>
      </c>
      <c r="M68" s="3069">
        <f>5*(1/Unit.ha)</f>
        <v>5</v>
      </c>
      <c r="N68" s="3069">
        <f>5*(1/Unit.ha)</f>
        <v>5</v>
      </c>
      <c r="O68" s="3069">
        <f>5*(1/Unit.ha)</f>
        <v>5</v>
      </c>
      <c r="P68" s="419"/>
    </row>
    <row r="69" spans="2:18" ht="13.5" customHeight="1">
      <c r="B69" s="418"/>
      <c r="C69" s="824">
        <v>4</v>
      </c>
      <c r="D69" s="414" t="s">
        <v>2306</v>
      </c>
      <c r="E69" s="104"/>
      <c r="F69" s="414">
        <f>65*(1/Unit.ha)</f>
        <v>65</v>
      </c>
      <c r="G69" s="414">
        <f>65*(1/Unit.ha)</f>
        <v>65</v>
      </c>
      <c r="H69" s="414">
        <f>75*(1/Unit.ha)</f>
        <v>75</v>
      </c>
      <c r="I69" s="414">
        <f t="shared" ref="I69:O69" si="24">80*(1/Unit.ha)</f>
        <v>80</v>
      </c>
      <c r="J69" s="414">
        <f t="shared" si="24"/>
        <v>80</v>
      </c>
      <c r="K69" s="414">
        <f t="shared" si="24"/>
        <v>80</v>
      </c>
      <c r="L69" s="414">
        <f t="shared" si="24"/>
        <v>80</v>
      </c>
      <c r="M69" s="414">
        <f t="shared" si="24"/>
        <v>80</v>
      </c>
      <c r="N69" s="414">
        <f t="shared" si="24"/>
        <v>80</v>
      </c>
      <c r="O69" s="829">
        <f t="shared" si="24"/>
        <v>80</v>
      </c>
      <c r="P69" s="419"/>
    </row>
    <row r="70" spans="2:18" ht="13.5" customHeight="1">
      <c r="B70" s="418"/>
      <c r="C70" s="824">
        <v>4</v>
      </c>
      <c r="D70" s="414" t="s">
        <v>2307</v>
      </c>
      <c r="E70" s="104"/>
      <c r="F70" s="414">
        <f>58*(1/Unit.ha)</f>
        <v>58</v>
      </c>
      <c r="G70" s="414">
        <f>58*(1/Unit.ha)</f>
        <v>58</v>
      </c>
      <c r="H70" s="414">
        <f t="shared" ref="H70:O70" si="25">70*(1/Unit.ha)</f>
        <v>70</v>
      </c>
      <c r="I70" s="414">
        <f t="shared" si="25"/>
        <v>70</v>
      </c>
      <c r="J70" s="414">
        <f t="shared" si="25"/>
        <v>70</v>
      </c>
      <c r="K70" s="414">
        <f t="shared" si="25"/>
        <v>70</v>
      </c>
      <c r="L70" s="414">
        <f t="shared" si="25"/>
        <v>70</v>
      </c>
      <c r="M70" s="414">
        <f t="shared" si="25"/>
        <v>70</v>
      </c>
      <c r="N70" s="414">
        <f t="shared" si="25"/>
        <v>70</v>
      </c>
      <c r="O70" s="829">
        <f t="shared" si="25"/>
        <v>70</v>
      </c>
      <c r="P70" s="419"/>
    </row>
    <row r="71" spans="2:18" ht="13.5" customHeight="1">
      <c r="B71" s="418"/>
      <c r="C71" s="824">
        <v>4</v>
      </c>
      <c r="D71" s="414" t="s">
        <v>2308</v>
      </c>
      <c r="E71" s="104"/>
      <c r="F71" s="414">
        <f t="shared" ref="F71:O71" si="26">90*(1/Unit.ha)</f>
        <v>90</v>
      </c>
      <c r="G71" s="414">
        <f t="shared" si="26"/>
        <v>90</v>
      </c>
      <c r="H71" s="414">
        <f t="shared" si="26"/>
        <v>90</v>
      </c>
      <c r="I71" s="414">
        <f t="shared" si="26"/>
        <v>90</v>
      </c>
      <c r="J71" s="414">
        <f t="shared" si="26"/>
        <v>90</v>
      </c>
      <c r="K71" s="414">
        <f t="shared" si="26"/>
        <v>90</v>
      </c>
      <c r="L71" s="414">
        <f t="shared" si="26"/>
        <v>90</v>
      </c>
      <c r="M71" s="414">
        <f t="shared" si="26"/>
        <v>90</v>
      </c>
      <c r="N71" s="414">
        <f t="shared" si="26"/>
        <v>90</v>
      </c>
      <c r="O71" s="829">
        <f t="shared" si="26"/>
        <v>90</v>
      </c>
      <c r="P71" s="419"/>
    </row>
    <row r="72" spans="2:18" ht="13.5" customHeight="1">
      <c r="B72" s="418"/>
      <c r="C72" s="824">
        <v>4</v>
      </c>
      <c r="D72" s="414" t="s">
        <v>2309</v>
      </c>
      <c r="E72" s="104"/>
      <c r="F72" s="415">
        <f>(G72)*(1/Unit.ha)</f>
        <v>0.3</v>
      </c>
      <c r="G72" s="415">
        <f>0.3*(1/Unit.ha)</f>
        <v>0.3</v>
      </c>
      <c r="H72" s="415">
        <f>0.3*(1/Unit.ha)</f>
        <v>0.3</v>
      </c>
      <c r="I72" s="415">
        <f>0.6*(1/Unit.ha)</f>
        <v>0.6</v>
      </c>
      <c r="J72" s="415">
        <f>0.8*(1/Unit.ha)</f>
        <v>0.8</v>
      </c>
      <c r="K72" s="415">
        <f>1*(1/Unit.ha)</f>
        <v>1</v>
      </c>
      <c r="L72" s="415">
        <f>1.25*(1/Unit.ha)</f>
        <v>1.25</v>
      </c>
      <c r="M72" s="415">
        <f>1.5*(1/Unit.ha)</f>
        <v>1.5</v>
      </c>
      <c r="N72" s="415">
        <f>1.75*(1/Unit.ha)</f>
        <v>1.75</v>
      </c>
      <c r="O72" s="415">
        <f>2*(1/Unit.ha)</f>
        <v>2</v>
      </c>
      <c r="P72" s="775"/>
    </row>
    <row r="73" spans="2:18" ht="13.5" customHeight="1">
      <c r="B73" s="418"/>
      <c r="C73" s="598">
        <v>4</v>
      </c>
      <c r="D73" s="112" t="s">
        <v>2310</v>
      </c>
      <c r="E73" s="1361"/>
      <c r="F73" s="3069">
        <f>0*(1/Unit.ha)</f>
        <v>0</v>
      </c>
      <c r="G73" s="3069">
        <f>0*(1/Unit.ha)</f>
        <v>0</v>
      </c>
      <c r="H73" s="3069">
        <f>2*(1/Unit.ha)</f>
        <v>2</v>
      </c>
      <c r="I73" s="3069">
        <f>3*(1/Unit.ha)</f>
        <v>3</v>
      </c>
      <c r="J73" s="3069">
        <f>4*(1/Unit.ha)</f>
        <v>4</v>
      </c>
      <c r="K73" s="3069">
        <f>5*(1/Unit.ha)</f>
        <v>5</v>
      </c>
      <c r="L73" s="3069">
        <f>6*(1/Unit.ha)</f>
        <v>6</v>
      </c>
      <c r="M73" s="3069">
        <f>7*(1/Unit.ha)</f>
        <v>7</v>
      </c>
      <c r="N73" s="3069">
        <f>8*(1/Unit.ha)</f>
        <v>8</v>
      </c>
      <c r="O73" s="3069">
        <f>8*(1/Unit.ha)</f>
        <v>8</v>
      </c>
      <c r="P73" s="419"/>
    </row>
    <row r="74" spans="2:18" ht="13.5" customHeight="1">
      <c r="B74" s="418"/>
      <c r="C74" s="604" t="s">
        <v>1028</v>
      </c>
      <c r="D74" s="1392" t="s">
        <v>2306</v>
      </c>
      <c r="E74" s="1689"/>
      <c r="F74" s="1806">
        <f>(INDEX(F$54:F$73,ROUNDDOWN(5*$E$7-4,0))*(1-MOD(5*$E$7-4,1)))+(INDEX(F$54:F$73,ROUNDUP(5*$E$7-4,0))*MOD(5*$E$7-4,1))</f>
        <v>65</v>
      </c>
      <c r="G74" s="1806">
        <f t="shared" ref="G74:O74" si="27">(INDEX(G$54:G$73,ROUNDDOWN(5*$E$7-4,0))*(1-MOD(5*$E$7-4,1)))+(INDEX(G$54:G$73,ROUNDUP(5*$E$7-4,0))*MOD(5*$E$7-4,1))</f>
        <v>65</v>
      </c>
      <c r="H74" s="1806">
        <f t="shared" si="27"/>
        <v>65</v>
      </c>
      <c r="I74" s="1806">
        <f t="shared" si="27"/>
        <v>65</v>
      </c>
      <c r="J74" s="1806">
        <f t="shared" si="27"/>
        <v>65</v>
      </c>
      <c r="K74" s="1806">
        <f t="shared" si="27"/>
        <v>65</v>
      </c>
      <c r="L74" s="1806">
        <f t="shared" si="27"/>
        <v>65</v>
      </c>
      <c r="M74" s="1806">
        <f t="shared" si="27"/>
        <v>65</v>
      </c>
      <c r="N74" s="1806">
        <f t="shared" si="27"/>
        <v>65</v>
      </c>
      <c r="O74" s="1807">
        <f t="shared" si="27"/>
        <v>65</v>
      </c>
      <c r="P74" s="419"/>
    </row>
    <row r="75" spans="2:18" ht="13.5" customHeight="1">
      <c r="B75" s="418"/>
      <c r="C75" s="1363"/>
      <c r="D75" s="414" t="s">
        <v>2307</v>
      </c>
      <c r="E75" s="104"/>
      <c r="F75" s="1358">
        <f>(INDEX(F$54:F$73,ROUNDDOWN(5*$E$7-3,0))*(1-MOD(5*$E$7-3,1)))+(INDEX(F$54:F$73,ROUNDUP(5*$E$7-3,0))*MOD(5*$E$7-3,1))</f>
        <v>58</v>
      </c>
      <c r="G75" s="1358">
        <f t="shared" ref="G75:O75" si="28">(INDEX(G$54:G$73,ROUNDDOWN(5*$E$7-3,0))*(1-MOD(5*$E$7-3,1)))+(INDEX(G$54:G$73,ROUNDUP(5*$E$7-3,0))*MOD(5*$E$7-3,1))</f>
        <v>58</v>
      </c>
      <c r="H75" s="1358">
        <f t="shared" si="28"/>
        <v>50</v>
      </c>
      <c r="I75" s="1358">
        <f t="shared" si="28"/>
        <v>50</v>
      </c>
      <c r="J75" s="1358">
        <f t="shared" si="28"/>
        <v>50</v>
      </c>
      <c r="K75" s="1358">
        <f t="shared" si="28"/>
        <v>50</v>
      </c>
      <c r="L75" s="1358">
        <f t="shared" si="28"/>
        <v>50</v>
      </c>
      <c r="M75" s="1358">
        <f t="shared" si="28"/>
        <v>50</v>
      </c>
      <c r="N75" s="1358">
        <f t="shared" si="28"/>
        <v>50</v>
      </c>
      <c r="O75" s="1808">
        <f t="shared" si="28"/>
        <v>50</v>
      </c>
      <c r="P75" s="419"/>
    </row>
    <row r="76" spans="2:18" ht="13.5" customHeight="1">
      <c r="B76" s="418"/>
      <c r="C76" s="1363"/>
      <c r="D76" s="414" t="s">
        <v>2308</v>
      </c>
      <c r="E76" s="104"/>
      <c r="F76" s="1358">
        <f>(INDEX(F$54:F$73,ROUNDDOWN(5*$E$7-2,0))*(1-MOD(5*$E$7-2,1)))+(INDEX(F$54:F$73,ROUNDUP(5*$E$7-2,0))*MOD(5*$E$7-2,1))</f>
        <v>90</v>
      </c>
      <c r="G76" s="1358">
        <f t="shared" ref="G76:O76" si="29">(INDEX(G$54:G$73,ROUNDDOWN(5*$E$7-2,0))*(1-MOD(5*$E$7-2,1)))+(INDEX(G$54:G$73,ROUNDUP(5*$E$7-2,0))*MOD(5*$E$7-2,1))</f>
        <v>90</v>
      </c>
      <c r="H76" s="1358">
        <f t="shared" si="29"/>
        <v>60</v>
      </c>
      <c r="I76" s="1358">
        <f t="shared" si="29"/>
        <v>60</v>
      </c>
      <c r="J76" s="1358">
        <f t="shared" si="29"/>
        <v>60</v>
      </c>
      <c r="K76" s="1358">
        <f t="shared" si="29"/>
        <v>60</v>
      </c>
      <c r="L76" s="1358">
        <f t="shared" si="29"/>
        <v>70</v>
      </c>
      <c r="M76" s="1358">
        <f t="shared" si="29"/>
        <v>90</v>
      </c>
      <c r="N76" s="1358">
        <f t="shared" si="29"/>
        <v>90</v>
      </c>
      <c r="O76" s="1808">
        <f t="shared" si="29"/>
        <v>90</v>
      </c>
      <c r="P76" s="419"/>
    </row>
    <row r="77" spans="2:18" ht="13.5" customHeight="1">
      <c r="B77" s="418"/>
      <c r="C77" s="1363"/>
      <c r="D77" s="414" t="s">
        <v>2309</v>
      </c>
      <c r="E77" s="104"/>
      <c r="F77" s="1358">
        <f>(INDEX(F$54:F$73,ROUNDDOWN(5*$E$7-1,0))*(1-MOD(5*$E$7-1,1)))+(INDEX(F$54:F$73,ROUNDUP(5*$E$7-1,0))*MOD(5*$E$7-1,1))</f>
        <v>0.3</v>
      </c>
      <c r="G77" s="1358">
        <f t="shared" ref="G77:O77" si="30">(INDEX(G$54:G$73,ROUNDDOWN(5*$E$7-1,0))*(1-MOD(5*$E$7-1,1)))+(INDEX(G$54:G$73,ROUNDUP(5*$E$7-1,0))*MOD(5*$E$7-1,1))</f>
        <v>0.3</v>
      </c>
      <c r="H77" s="1358">
        <f t="shared" si="30"/>
        <v>0.3</v>
      </c>
      <c r="I77" s="1358">
        <f t="shared" si="30"/>
        <v>0.3</v>
      </c>
      <c r="J77" s="1358">
        <f t="shared" si="30"/>
        <v>0.35</v>
      </c>
      <c r="K77" s="1358">
        <f t="shared" si="30"/>
        <v>0.4</v>
      </c>
      <c r="L77" s="1358">
        <f t="shared" si="30"/>
        <v>0.45</v>
      </c>
      <c r="M77" s="1358">
        <f t="shared" si="30"/>
        <v>0.5</v>
      </c>
      <c r="N77" s="1358">
        <f t="shared" si="30"/>
        <v>0.5</v>
      </c>
      <c r="O77" s="1808">
        <f t="shared" si="30"/>
        <v>0.5</v>
      </c>
      <c r="P77" s="419"/>
    </row>
    <row r="78" spans="2:18" ht="13.5" customHeight="1">
      <c r="B78" s="418"/>
      <c r="C78" s="1365"/>
      <c r="D78" s="112" t="s">
        <v>2310</v>
      </c>
      <c r="E78" s="1361"/>
      <c r="F78" s="1809">
        <f>(INDEX(F$54:F$73,ROUNDDOWN(5*$E$7,0))*(1-MOD(5*$E$7,1)))+(INDEX(F$54:F$73,ROUNDUP(5*$E$7,0))*MOD(5*$E$7,1))</f>
        <v>0</v>
      </c>
      <c r="G78" s="1809">
        <f t="shared" ref="G78:O78" si="31">(INDEX(G$54:G$73,ROUNDDOWN(5*$E$7,0))*(1-MOD(5*$E$7,1)))+(INDEX(G$54:G$73,ROUNDUP(5*$E$7,0))*MOD(5*$E$7,1))</f>
        <v>0</v>
      </c>
      <c r="H78" s="1809">
        <f t="shared" si="31"/>
        <v>0</v>
      </c>
      <c r="I78" s="1809">
        <f t="shared" si="31"/>
        <v>0</v>
      </c>
      <c r="J78" s="1809">
        <f t="shared" si="31"/>
        <v>0</v>
      </c>
      <c r="K78" s="1809">
        <f t="shared" si="31"/>
        <v>0</v>
      </c>
      <c r="L78" s="1809">
        <f t="shared" si="31"/>
        <v>0</v>
      </c>
      <c r="M78" s="1809">
        <f t="shared" si="31"/>
        <v>0</v>
      </c>
      <c r="N78" s="1809">
        <f t="shared" si="31"/>
        <v>0</v>
      </c>
      <c r="O78" s="1810">
        <f t="shared" si="31"/>
        <v>0</v>
      </c>
      <c r="P78" s="419"/>
    </row>
    <row r="79" spans="2:18" ht="13.5" customHeight="1">
      <c r="B79" s="418"/>
      <c r="C79" s="416"/>
      <c r="D79" s="415"/>
      <c r="E79" s="104"/>
      <c r="F79" s="415"/>
      <c r="G79" s="415"/>
      <c r="H79" s="415"/>
      <c r="I79" s="415"/>
      <c r="J79" s="415"/>
      <c r="K79" s="415"/>
      <c r="L79" s="415"/>
      <c r="M79" s="415"/>
      <c r="N79" s="415"/>
      <c r="O79" s="104"/>
      <c r="P79" s="419"/>
    </row>
    <row r="80" spans="2:18" ht="13.5" customHeight="1">
      <c r="B80" s="418"/>
      <c r="C80" s="416"/>
      <c r="D80" s="415"/>
      <c r="E80" s="104"/>
      <c r="F80" s="415"/>
      <c r="G80" s="415"/>
      <c r="H80" s="415"/>
      <c r="I80" s="415"/>
      <c r="J80" s="415"/>
      <c r="K80" s="415"/>
      <c r="L80" s="415"/>
      <c r="M80" s="415"/>
      <c r="N80" s="415"/>
      <c r="O80" s="104"/>
      <c r="P80" s="419"/>
    </row>
    <row r="81" spans="2:16" ht="19.5" customHeight="1">
      <c r="B81" s="421" t="s">
        <v>1237</v>
      </c>
      <c r="C81" s="159"/>
      <c r="D81" s="159"/>
      <c r="E81" s="159"/>
      <c r="F81" s="159"/>
      <c r="G81" s="159"/>
      <c r="H81" s="159"/>
      <c r="I81" s="159"/>
      <c r="J81" s="159"/>
      <c r="K81" s="159"/>
      <c r="L81" s="159"/>
      <c r="M81" s="159"/>
      <c r="N81" s="159"/>
      <c r="O81" s="159"/>
      <c r="P81" s="160"/>
    </row>
    <row r="82" spans="2:16" ht="13.5" customHeight="1">
      <c r="B82" s="418"/>
      <c r="C82" s="416"/>
      <c r="D82" s="415"/>
      <c r="E82" s="104"/>
      <c r="F82" s="415"/>
      <c r="G82" s="415"/>
      <c r="H82" s="415"/>
      <c r="I82" s="415"/>
      <c r="J82" s="415"/>
      <c r="K82" s="415"/>
      <c r="L82" s="415"/>
      <c r="M82" s="415"/>
      <c r="N82" s="415"/>
      <c r="O82" s="104"/>
      <c r="P82" s="419"/>
    </row>
    <row r="83" spans="2:16" ht="13.5" customHeight="1">
      <c r="B83" s="418" t="s">
        <v>2060</v>
      </c>
      <c r="C83" s="416"/>
      <c r="D83" s="415"/>
      <c r="E83" s="104"/>
      <c r="F83" s="415"/>
      <c r="G83" s="415"/>
      <c r="H83" s="415"/>
      <c r="I83" s="415"/>
      <c r="J83" s="415"/>
      <c r="K83" s="415"/>
      <c r="L83" s="415"/>
      <c r="M83" s="415"/>
      <c r="N83" s="415"/>
      <c r="O83" s="361" t="s">
        <v>1428</v>
      </c>
      <c r="P83" s="419"/>
    </row>
    <row r="84" spans="2:16" ht="13.5" customHeight="1">
      <c r="B84" s="418"/>
      <c r="C84" s="1360" t="s">
        <v>411</v>
      </c>
      <c r="D84" s="786" t="s">
        <v>65</v>
      </c>
      <c r="E84" s="786" t="s">
        <v>870</v>
      </c>
      <c r="F84" s="787">
        <v>2007</v>
      </c>
      <c r="G84" s="788">
        <f t="shared" ref="G84:O84" si="32">F84+5</f>
        <v>2012</v>
      </c>
      <c r="H84" s="788">
        <f t="shared" si="32"/>
        <v>2017</v>
      </c>
      <c r="I84" s="788">
        <f t="shared" si="32"/>
        <v>2022</v>
      </c>
      <c r="J84" s="788">
        <f t="shared" si="32"/>
        <v>2027</v>
      </c>
      <c r="K84" s="788">
        <f t="shared" si="32"/>
        <v>2032</v>
      </c>
      <c r="L84" s="788">
        <f t="shared" si="32"/>
        <v>2037</v>
      </c>
      <c r="M84" s="788">
        <f t="shared" si="32"/>
        <v>2042</v>
      </c>
      <c r="N84" s="788">
        <f t="shared" si="32"/>
        <v>2047</v>
      </c>
      <c r="O84" s="789">
        <f t="shared" si="32"/>
        <v>2052</v>
      </c>
      <c r="P84" s="419"/>
    </row>
    <row r="85" spans="2:16" ht="13.5" customHeight="1">
      <c r="B85" s="418"/>
      <c r="C85" s="1363">
        <v>1</v>
      </c>
      <c r="D85" s="415" t="s">
        <v>1238</v>
      </c>
      <c r="E85" s="104"/>
      <c r="F85" s="415">
        <v>18960000</v>
      </c>
      <c r="G85" s="415">
        <v>18851000</v>
      </c>
      <c r="H85" s="415">
        <v>17000000</v>
      </c>
      <c r="I85" s="415">
        <v>17000000</v>
      </c>
      <c r="J85" s="415">
        <v>17000000</v>
      </c>
      <c r="K85" s="415">
        <v>17000000</v>
      </c>
      <c r="L85" s="415">
        <v>17000000</v>
      </c>
      <c r="M85" s="415">
        <v>17000000</v>
      </c>
      <c r="N85" s="415">
        <v>17000000</v>
      </c>
      <c r="O85" s="1364">
        <v>17000000</v>
      </c>
      <c r="P85" s="419"/>
    </row>
    <row r="86" spans="2:16" ht="13.5" customHeight="1">
      <c r="B86" s="418"/>
      <c r="C86" s="1363">
        <v>2</v>
      </c>
      <c r="D86" s="415" t="s">
        <v>1238</v>
      </c>
      <c r="E86" s="104"/>
      <c r="F86" s="415">
        <v>18960000</v>
      </c>
      <c r="G86" s="415">
        <v>18851000</v>
      </c>
      <c r="H86" s="415">
        <v>18330000</v>
      </c>
      <c r="I86" s="415">
        <v>18330000</v>
      </c>
      <c r="J86" s="415">
        <v>18330000</v>
      </c>
      <c r="K86" s="415">
        <v>18330000</v>
      </c>
      <c r="L86" s="415">
        <v>18330000</v>
      </c>
      <c r="M86" s="415">
        <v>18330000</v>
      </c>
      <c r="N86" s="415">
        <v>18330000</v>
      </c>
      <c r="O86" s="1364">
        <v>18330000</v>
      </c>
      <c r="P86" s="419"/>
    </row>
    <row r="87" spans="2:16" ht="13.5" customHeight="1">
      <c r="B87" s="418"/>
      <c r="C87" s="1363">
        <v>3</v>
      </c>
      <c r="D87" s="415" t="s">
        <v>1238</v>
      </c>
      <c r="E87" s="104"/>
      <c r="F87" s="415">
        <v>18960000</v>
      </c>
      <c r="G87" s="415">
        <v>18851000</v>
      </c>
      <c r="H87" s="415">
        <v>18500000</v>
      </c>
      <c r="I87" s="415">
        <v>18500000</v>
      </c>
      <c r="J87" s="415">
        <v>18500000</v>
      </c>
      <c r="K87" s="415">
        <v>18500000</v>
      </c>
      <c r="L87" s="415">
        <v>18500000</v>
      </c>
      <c r="M87" s="415">
        <v>18500000</v>
      </c>
      <c r="N87" s="415">
        <v>18500000</v>
      </c>
      <c r="O87" s="1364">
        <v>18500000</v>
      </c>
      <c r="P87" s="419"/>
    </row>
    <row r="88" spans="2:16" ht="13.5" customHeight="1">
      <c r="B88" s="418"/>
      <c r="C88" s="1363">
        <v>4</v>
      </c>
      <c r="D88" s="415" t="s">
        <v>1238</v>
      </c>
      <c r="E88" s="104"/>
      <c r="F88" s="415">
        <v>18960000</v>
      </c>
      <c r="G88" s="415">
        <v>18851000</v>
      </c>
      <c r="H88" s="415">
        <v>19000000</v>
      </c>
      <c r="I88" s="415">
        <v>19000000</v>
      </c>
      <c r="J88" s="415">
        <v>19000000</v>
      </c>
      <c r="K88" s="415">
        <v>19000000</v>
      </c>
      <c r="L88" s="415">
        <v>19000000</v>
      </c>
      <c r="M88" s="415">
        <v>19000000</v>
      </c>
      <c r="N88" s="415">
        <v>19000000</v>
      </c>
      <c r="O88" s="1364">
        <v>19000000</v>
      </c>
      <c r="P88" s="419"/>
    </row>
    <row r="89" spans="2:16" ht="13.5" customHeight="1">
      <c r="B89" s="418"/>
      <c r="C89" s="1383" t="s">
        <v>1028</v>
      </c>
      <c r="D89" s="1384" t="s">
        <v>1238</v>
      </c>
      <c r="E89" s="1385"/>
      <c r="F89" s="1802">
        <f t="shared" ref="F89:O89" si="33">(INDEX(F$85:F$88,ROUNDDOWN($E$7,0))*(1-MOD($E$7,1)))+(INDEX(F$85:F$88,ROUNDUP($E$7,0))*MOD($E$7,1))</f>
        <v>18960000</v>
      </c>
      <c r="G89" s="1802">
        <f t="shared" si="33"/>
        <v>18851000</v>
      </c>
      <c r="H89" s="1802">
        <f t="shared" si="33"/>
        <v>17000000</v>
      </c>
      <c r="I89" s="1802">
        <f t="shared" si="33"/>
        <v>17000000</v>
      </c>
      <c r="J89" s="1802">
        <f t="shared" si="33"/>
        <v>17000000</v>
      </c>
      <c r="K89" s="1802">
        <f t="shared" si="33"/>
        <v>17000000</v>
      </c>
      <c r="L89" s="1802">
        <f t="shared" si="33"/>
        <v>17000000</v>
      </c>
      <c r="M89" s="1802">
        <f t="shared" si="33"/>
        <v>17000000</v>
      </c>
      <c r="N89" s="1802">
        <f t="shared" si="33"/>
        <v>17000000</v>
      </c>
      <c r="O89" s="1803">
        <f t="shared" si="33"/>
        <v>17000000</v>
      </c>
      <c r="P89" s="419"/>
    </row>
    <row r="90" spans="2:16" ht="13.5" customHeight="1">
      <c r="B90" s="418"/>
      <c r="C90" s="416"/>
      <c r="D90" s="415"/>
      <c r="E90" s="104"/>
      <c r="F90" s="415"/>
      <c r="G90" s="415"/>
      <c r="H90" s="415"/>
      <c r="I90" s="415"/>
      <c r="J90" s="415"/>
      <c r="K90" s="415"/>
      <c r="L90" s="415"/>
      <c r="M90" s="415"/>
      <c r="N90" s="415"/>
      <c r="O90" s="104"/>
      <c r="P90" s="419"/>
    </row>
    <row r="91" spans="2:16" ht="13.5" customHeight="1">
      <c r="B91" s="418"/>
      <c r="C91" s="416" t="s">
        <v>1498</v>
      </c>
      <c r="D91" s="415" t="str">
        <f>"Non Fodder Agric Residue Available for Liquid Fuels in MT"</f>
        <v>Non Fodder Agric Residue Available for Liquid Fuels in MT</v>
      </c>
      <c r="E91" s="104"/>
      <c r="F91" s="2842">
        <f ca="1">INDEX(INDIRECT($B$83&amp;".feedstock.matter["&amp;F$84&amp;"]"),MATCH($C91,INDIRECT($B$83&amp;".feedstock.matter[Vector]"),0))</f>
        <v>0</v>
      </c>
      <c r="G91" s="2842">
        <f t="shared" ref="G91:O91" ca="1" si="34">INDEX(INDIRECT($B$83&amp;".feedstock.matter["&amp;G$84&amp;"]"),MATCH($C91,INDIRECT($B$83&amp;".feedstock.matter[Vector]"),0))</f>
        <v>0</v>
      </c>
      <c r="H91" s="2842">
        <f t="shared" ca="1" si="34"/>
        <v>1.7943750000000003</v>
      </c>
      <c r="I91" s="2842">
        <f t="shared" ca="1" si="34"/>
        <v>3.5887500000000006</v>
      </c>
      <c r="J91" s="2842">
        <f t="shared" ca="1" si="34"/>
        <v>5.3831250000000015</v>
      </c>
      <c r="K91" s="2842">
        <f t="shared" ca="1" si="34"/>
        <v>7.1775000000000011</v>
      </c>
      <c r="L91" s="2842">
        <f t="shared" ca="1" si="34"/>
        <v>8.9718750000000007</v>
      </c>
      <c r="M91" s="2842">
        <f t="shared" ca="1" si="34"/>
        <v>10.766250000000001</v>
      </c>
      <c r="N91" s="2842">
        <f t="shared" ca="1" si="34"/>
        <v>12.560625</v>
      </c>
      <c r="O91" s="2842">
        <f t="shared" ca="1" si="34"/>
        <v>14.355000000000002</v>
      </c>
      <c r="P91" s="419"/>
    </row>
    <row r="92" spans="2:16" ht="13.5" customHeight="1">
      <c r="B92" s="418"/>
      <c r="C92" s="416"/>
      <c r="D92" s="415"/>
      <c r="E92" s="104"/>
      <c r="F92" s="415"/>
      <c r="G92" s="415"/>
      <c r="H92" s="415"/>
      <c r="I92" s="415"/>
      <c r="J92" s="415"/>
      <c r="K92" s="415"/>
      <c r="L92" s="415"/>
      <c r="M92" s="415"/>
      <c r="N92" s="415"/>
      <c r="O92" s="104"/>
      <c r="P92" s="419"/>
    </row>
    <row r="93" spans="2:16" ht="13.5" customHeight="1">
      <c r="B93" s="418"/>
      <c r="C93" s="416"/>
      <c r="D93" s="415"/>
      <c r="E93" s="104"/>
      <c r="F93" s="415"/>
      <c r="G93" s="415"/>
      <c r="H93" s="415"/>
      <c r="I93" s="415"/>
      <c r="J93" s="415"/>
      <c r="K93" s="415"/>
      <c r="L93" s="415"/>
      <c r="M93" s="415"/>
      <c r="N93" s="415"/>
      <c r="O93" s="104"/>
      <c r="P93" s="419"/>
    </row>
    <row r="94" spans="2:16" ht="13.5" customHeight="1">
      <c r="B94" s="418"/>
      <c r="C94" s="416"/>
      <c r="D94" s="415"/>
      <c r="E94" s="104"/>
      <c r="F94" s="415"/>
      <c r="G94" s="415"/>
      <c r="H94" s="415"/>
      <c r="I94" s="415"/>
      <c r="J94" s="415"/>
      <c r="K94" s="415"/>
      <c r="L94" s="415"/>
      <c r="M94" s="415"/>
      <c r="N94" s="415"/>
      <c r="O94" s="104"/>
      <c r="P94" s="419"/>
    </row>
    <row r="95" spans="2:16" ht="13.5" customHeight="1">
      <c r="B95" s="418"/>
      <c r="C95" s="416"/>
      <c r="D95" s="415"/>
      <c r="E95" s="104"/>
      <c r="F95" s="415"/>
      <c r="G95" s="415"/>
      <c r="H95" s="415"/>
      <c r="I95" s="415"/>
      <c r="J95" s="415"/>
      <c r="K95" s="415"/>
      <c r="L95" s="415"/>
      <c r="M95" s="415"/>
      <c r="N95" s="415"/>
      <c r="O95" s="104"/>
      <c r="P95" s="419"/>
    </row>
    <row r="96" spans="2:16" ht="21.75" customHeight="1">
      <c r="B96" s="421" t="s">
        <v>745</v>
      </c>
      <c r="C96" s="159"/>
      <c r="D96" s="159"/>
      <c r="E96" s="159"/>
      <c r="F96" s="159"/>
      <c r="G96" s="159"/>
      <c r="H96" s="159"/>
      <c r="I96" s="159"/>
      <c r="J96" s="159"/>
      <c r="K96" s="159"/>
      <c r="L96" s="159"/>
      <c r="M96" s="159"/>
      <c r="N96" s="159"/>
      <c r="O96" s="159"/>
      <c r="P96" s="160"/>
    </row>
    <row r="97" spans="2:16" ht="13.5" customHeight="1">
      <c r="B97" s="418"/>
      <c r="C97" s="416"/>
      <c r="D97" s="415"/>
      <c r="E97" s="104"/>
      <c r="F97" s="415"/>
      <c r="G97" s="415"/>
      <c r="H97" s="415"/>
      <c r="I97" s="415"/>
      <c r="J97" s="415"/>
      <c r="K97" s="415"/>
      <c r="L97" s="415"/>
      <c r="M97" s="415"/>
      <c r="N97" s="415"/>
      <c r="O97" s="104"/>
      <c r="P97" s="419"/>
    </row>
    <row r="98" spans="2:16" ht="13.5" customHeight="1">
      <c r="B98" s="418"/>
      <c r="C98" s="416"/>
      <c r="D98" s="415"/>
      <c r="E98" s="104"/>
      <c r="F98" s="415"/>
      <c r="G98" s="415"/>
      <c r="H98" s="415"/>
      <c r="I98" s="415"/>
      <c r="J98" s="415"/>
      <c r="K98" s="415"/>
      <c r="L98" s="415"/>
      <c r="M98" s="415"/>
      <c r="N98" s="415"/>
      <c r="O98" s="104"/>
      <c r="P98" s="419"/>
    </row>
    <row r="99" spans="2:16" ht="13.5" customHeight="1">
      <c r="B99" s="418"/>
      <c r="C99" s="840" t="s">
        <v>1239</v>
      </c>
      <c r="D99" s="415"/>
      <c r="E99" s="104"/>
      <c r="F99" s="415"/>
      <c r="G99" s="415"/>
      <c r="H99" s="415"/>
      <c r="I99" s="415"/>
      <c r="J99" s="415"/>
      <c r="K99" s="415"/>
      <c r="L99" s="415"/>
      <c r="M99" s="415"/>
      <c r="N99" s="415"/>
      <c r="O99" s="104"/>
      <c r="P99" s="419"/>
    </row>
    <row r="100" spans="2:16" ht="13.5" customHeight="1">
      <c r="B100" s="418"/>
      <c r="C100" s="416"/>
      <c r="D100" s="415"/>
      <c r="E100" s="104"/>
      <c r="F100" s="415"/>
      <c r="G100" s="415"/>
      <c r="H100" s="415"/>
      <c r="I100" s="415"/>
      <c r="J100" s="415"/>
      <c r="K100" s="415"/>
      <c r="L100" s="415"/>
      <c r="M100" s="415"/>
      <c r="N100" s="415"/>
      <c r="O100" s="104" t="s">
        <v>1429</v>
      </c>
      <c r="P100" s="419"/>
    </row>
    <row r="101" spans="2:16" ht="13.5" customHeight="1">
      <c r="B101" s="418"/>
      <c r="C101" s="1367" t="s">
        <v>64</v>
      </c>
      <c r="D101" s="1367" t="s">
        <v>65</v>
      </c>
      <c r="E101" s="1368" t="s">
        <v>870</v>
      </c>
      <c r="F101" s="1369" t="s">
        <v>203</v>
      </c>
      <c r="G101" s="1370" t="s">
        <v>712</v>
      </c>
      <c r="H101" s="1370" t="s">
        <v>713</v>
      </c>
      <c r="I101" s="1370" t="s">
        <v>714</v>
      </c>
      <c r="J101" s="1370" t="s">
        <v>715</v>
      </c>
      <c r="K101" s="1370" t="s">
        <v>716</v>
      </c>
      <c r="L101" s="1370" t="s">
        <v>717</v>
      </c>
      <c r="M101" s="1370" t="s">
        <v>718</v>
      </c>
      <c r="N101" s="1370" t="s">
        <v>719</v>
      </c>
      <c r="O101" s="1370" t="s">
        <v>720</v>
      </c>
      <c r="P101" s="419"/>
    </row>
    <row r="102" spans="2:16" ht="13.5" customHeight="1">
      <c r="B102" s="418"/>
      <c r="C102" s="416"/>
      <c r="D102" s="415" t="s">
        <v>1240</v>
      </c>
      <c r="E102" s="104"/>
      <c r="F102" s="415">
        <f t="shared" ref="F102:O102" si="35">F74*F42</f>
        <v>334815000</v>
      </c>
      <c r="G102" s="415">
        <f t="shared" si="35"/>
        <v>330590000</v>
      </c>
      <c r="H102" s="415">
        <f t="shared" si="35"/>
        <v>292500000</v>
      </c>
      <c r="I102" s="415">
        <f t="shared" si="35"/>
        <v>292500000</v>
      </c>
      <c r="J102" s="415">
        <f t="shared" si="35"/>
        <v>292500000</v>
      </c>
      <c r="K102" s="415">
        <f t="shared" si="35"/>
        <v>292500000</v>
      </c>
      <c r="L102" s="415">
        <f t="shared" si="35"/>
        <v>292500000</v>
      </c>
      <c r="M102" s="415">
        <f t="shared" si="35"/>
        <v>292500000</v>
      </c>
      <c r="N102" s="415">
        <f t="shared" si="35"/>
        <v>292500000</v>
      </c>
      <c r="O102" s="415">
        <f t="shared" si="35"/>
        <v>292500000</v>
      </c>
      <c r="P102" s="419"/>
    </row>
    <row r="103" spans="2:16" ht="13.5" customHeight="1">
      <c r="B103" s="418"/>
      <c r="C103" s="416"/>
      <c r="D103" s="415" t="s">
        <v>1241</v>
      </c>
      <c r="E103" s="104"/>
      <c r="F103" s="415">
        <f t="shared" ref="F103:O103" si="36">F75*F43</f>
        <v>0</v>
      </c>
      <c r="G103" s="415">
        <f t="shared" si="36"/>
        <v>10150</v>
      </c>
      <c r="H103" s="415">
        <f t="shared" si="36"/>
        <v>10000</v>
      </c>
      <c r="I103" s="415">
        <f t="shared" si="36"/>
        <v>25000</v>
      </c>
      <c r="J103" s="415">
        <f t="shared" si="36"/>
        <v>35000</v>
      </c>
      <c r="K103" s="415">
        <f t="shared" si="36"/>
        <v>50000</v>
      </c>
      <c r="L103" s="415">
        <f t="shared" si="36"/>
        <v>100000</v>
      </c>
      <c r="M103" s="415">
        <f t="shared" si="36"/>
        <v>250000</v>
      </c>
      <c r="N103" s="415">
        <f t="shared" si="36"/>
        <v>500000</v>
      </c>
      <c r="O103" s="415">
        <f t="shared" si="36"/>
        <v>750000</v>
      </c>
      <c r="P103" s="419"/>
    </row>
    <row r="104" spans="2:16" ht="13.5" customHeight="1">
      <c r="B104" s="418"/>
      <c r="C104" s="416"/>
      <c r="D104" s="415" t="s">
        <v>1242</v>
      </c>
      <c r="E104" s="104"/>
      <c r="F104" s="415">
        <f t="shared" ref="F104:O104" si="37">F76*F44</f>
        <v>0</v>
      </c>
      <c r="G104" s="415">
        <f t="shared" si="37"/>
        <v>0</v>
      </c>
      <c r="H104" s="415">
        <f t="shared" si="37"/>
        <v>12000</v>
      </c>
      <c r="I104" s="415">
        <f t="shared" si="37"/>
        <v>30000</v>
      </c>
      <c r="J104" s="415">
        <f t="shared" si="37"/>
        <v>42000</v>
      </c>
      <c r="K104" s="415">
        <f t="shared" si="37"/>
        <v>60000</v>
      </c>
      <c r="L104" s="415">
        <f t="shared" si="37"/>
        <v>70000</v>
      </c>
      <c r="M104" s="415">
        <f t="shared" si="37"/>
        <v>90000</v>
      </c>
      <c r="N104" s="415">
        <f t="shared" si="37"/>
        <v>90000</v>
      </c>
      <c r="O104" s="415">
        <f t="shared" si="37"/>
        <v>90000</v>
      </c>
      <c r="P104" s="419"/>
    </row>
    <row r="105" spans="2:16" ht="13.5" customHeight="1">
      <c r="B105" s="418"/>
      <c r="C105" s="416"/>
      <c r="D105" s="415" t="s">
        <v>1243</v>
      </c>
      <c r="E105" s="104"/>
      <c r="F105" s="415">
        <f t="shared" ref="F105:O105" si="38">F77*F45</f>
        <v>0</v>
      </c>
      <c r="G105" s="415">
        <f t="shared" si="38"/>
        <v>45000</v>
      </c>
      <c r="H105" s="415">
        <f t="shared" si="38"/>
        <v>53333.333333333401</v>
      </c>
      <c r="I105" s="415">
        <f t="shared" si="38"/>
        <v>60000</v>
      </c>
      <c r="J105" s="415">
        <f t="shared" si="38"/>
        <v>87500</v>
      </c>
      <c r="K105" s="415">
        <f t="shared" si="38"/>
        <v>120000</v>
      </c>
      <c r="L105" s="415">
        <f t="shared" si="38"/>
        <v>157500</v>
      </c>
      <c r="M105" s="415">
        <f t="shared" si="38"/>
        <v>200000</v>
      </c>
      <c r="N105" s="415">
        <f t="shared" si="38"/>
        <v>225000</v>
      </c>
      <c r="O105" s="415">
        <f t="shared" si="38"/>
        <v>250000</v>
      </c>
      <c r="P105" s="419"/>
    </row>
    <row r="106" spans="2:16" ht="13.5" customHeight="1">
      <c r="B106" s="418"/>
      <c r="C106" s="416"/>
      <c r="D106" s="415" t="s">
        <v>1244</v>
      </c>
      <c r="E106" s="104"/>
      <c r="F106" s="1366">
        <f t="shared" ref="F106:O106" si="39">F89</f>
        <v>18960000</v>
      </c>
      <c r="G106" s="1366">
        <f t="shared" si="39"/>
        <v>18851000</v>
      </c>
      <c r="H106" s="1366">
        <f t="shared" si="39"/>
        <v>17000000</v>
      </c>
      <c r="I106" s="1366">
        <f t="shared" si="39"/>
        <v>17000000</v>
      </c>
      <c r="J106" s="1366">
        <f t="shared" si="39"/>
        <v>17000000</v>
      </c>
      <c r="K106" s="1366">
        <f t="shared" si="39"/>
        <v>17000000</v>
      </c>
      <c r="L106" s="1366">
        <f t="shared" si="39"/>
        <v>17000000</v>
      </c>
      <c r="M106" s="1366">
        <f t="shared" si="39"/>
        <v>17000000</v>
      </c>
      <c r="N106" s="1366">
        <f t="shared" si="39"/>
        <v>17000000</v>
      </c>
      <c r="O106" s="1366">
        <f t="shared" si="39"/>
        <v>17000000</v>
      </c>
      <c r="P106" s="419"/>
    </row>
    <row r="107" spans="2:16" ht="13.5" customHeight="1">
      <c r="B107" s="418"/>
      <c r="C107" s="416"/>
      <c r="D107" s="415" t="s">
        <v>1502</v>
      </c>
      <c r="E107" s="104"/>
      <c r="F107" s="1366">
        <f t="shared" ref="F107:O107" si="40">F78*F46</f>
        <v>0</v>
      </c>
      <c r="G107" s="1366">
        <f t="shared" si="40"/>
        <v>0</v>
      </c>
      <c r="H107" s="1366">
        <f t="shared" si="40"/>
        <v>0</v>
      </c>
      <c r="I107" s="1366">
        <f t="shared" si="40"/>
        <v>0</v>
      </c>
      <c r="J107" s="1366">
        <f t="shared" si="40"/>
        <v>0</v>
      </c>
      <c r="K107" s="1366">
        <f t="shared" si="40"/>
        <v>0</v>
      </c>
      <c r="L107" s="1366">
        <f t="shared" si="40"/>
        <v>0</v>
      </c>
      <c r="M107" s="1366">
        <f t="shared" si="40"/>
        <v>0</v>
      </c>
      <c r="N107" s="1366">
        <f t="shared" si="40"/>
        <v>0</v>
      </c>
      <c r="O107" s="1366">
        <f t="shared" si="40"/>
        <v>0</v>
      </c>
      <c r="P107" s="419"/>
    </row>
    <row r="108" spans="2:16" ht="13.5" customHeight="1">
      <c r="B108" s="418"/>
      <c r="C108" s="1811"/>
      <c r="D108" s="415" t="s">
        <v>1503</v>
      </c>
      <c r="E108" s="104"/>
      <c r="F108" s="1366">
        <f t="shared" ref="F108:O108" ca="1" si="41">F91*10^6</f>
        <v>0</v>
      </c>
      <c r="G108" s="1366">
        <f t="shared" ca="1" si="41"/>
        <v>0</v>
      </c>
      <c r="H108" s="1366">
        <f t="shared" ca="1" si="41"/>
        <v>1794375.0000000002</v>
      </c>
      <c r="I108" s="1366">
        <f t="shared" ca="1" si="41"/>
        <v>3588750.0000000005</v>
      </c>
      <c r="J108" s="1366">
        <f t="shared" ca="1" si="41"/>
        <v>5383125.0000000019</v>
      </c>
      <c r="K108" s="1366">
        <f t="shared" ca="1" si="41"/>
        <v>7177500.0000000009</v>
      </c>
      <c r="L108" s="1366">
        <f t="shared" ca="1" si="41"/>
        <v>8971875</v>
      </c>
      <c r="M108" s="1366">
        <f t="shared" ca="1" si="41"/>
        <v>10766250.000000002</v>
      </c>
      <c r="N108" s="1366">
        <f t="shared" ca="1" si="41"/>
        <v>12560625</v>
      </c>
      <c r="O108" s="1366">
        <f t="shared" ca="1" si="41"/>
        <v>14355000.000000002</v>
      </c>
      <c r="P108" s="419"/>
    </row>
    <row r="109" spans="2:16" ht="13.5" customHeight="1">
      <c r="B109" s="418"/>
      <c r="C109" s="416"/>
      <c r="D109" s="415"/>
      <c r="E109" s="104"/>
      <c r="F109" s="415"/>
      <c r="G109" s="415"/>
      <c r="H109" s="415"/>
      <c r="I109" s="415"/>
      <c r="J109" s="415"/>
      <c r="K109" s="415"/>
      <c r="L109" s="415"/>
      <c r="M109" s="415"/>
      <c r="N109" s="415"/>
      <c r="O109" s="104"/>
      <c r="P109" s="419"/>
    </row>
    <row r="110" spans="2:16" ht="13.5" customHeight="1">
      <c r="B110" s="418"/>
      <c r="C110" s="416"/>
      <c r="D110" s="415"/>
      <c r="E110" s="104"/>
      <c r="F110" s="415"/>
      <c r="G110" s="415"/>
      <c r="H110" s="415"/>
      <c r="I110" s="415"/>
      <c r="J110" s="415"/>
      <c r="K110" s="415"/>
      <c r="L110" s="415"/>
      <c r="M110" s="415"/>
      <c r="N110" s="415"/>
      <c r="O110" s="104"/>
      <c r="P110" s="419"/>
    </row>
    <row r="111" spans="2:16" ht="13.5" customHeight="1">
      <c r="B111" s="418"/>
      <c r="C111" s="416" t="s">
        <v>1245</v>
      </c>
      <c r="D111" s="415"/>
      <c r="E111" s="104"/>
      <c r="F111" s="415"/>
      <c r="G111" s="416" t="s">
        <v>2311</v>
      </c>
      <c r="H111" s="415"/>
      <c r="I111" s="415"/>
      <c r="J111" s="415"/>
      <c r="K111" s="415"/>
      <c r="L111" s="415"/>
      <c r="M111" s="415"/>
      <c r="N111" s="415"/>
      <c r="O111" s="104"/>
      <c r="P111" s="419"/>
    </row>
    <row r="112" spans="2:16" ht="13.5" customHeight="1">
      <c r="B112" s="418"/>
      <c r="C112" s="416"/>
      <c r="D112" s="415"/>
      <c r="E112" s="104"/>
      <c r="F112" s="415"/>
      <c r="G112" s="415"/>
      <c r="H112" s="415"/>
      <c r="I112" s="415"/>
      <c r="J112" s="415"/>
      <c r="K112" s="415"/>
      <c r="L112" s="415"/>
      <c r="M112" s="415"/>
      <c r="N112" s="415"/>
      <c r="O112" s="104"/>
      <c r="P112" s="419"/>
    </row>
    <row r="113" spans="2:16" ht="13.5" customHeight="1">
      <c r="B113" s="418"/>
      <c r="C113" s="1359"/>
      <c r="D113" s="459" t="s">
        <v>1246</v>
      </c>
      <c r="E113" s="1371" t="s">
        <v>1247</v>
      </c>
      <c r="F113" s="415"/>
      <c r="G113" s="1359"/>
      <c r="H113" s="459" t="s">
        <v>1246</v>
      </c>
      <c r="I113" s="1371" t="s">
        <v>1247</v>
      </c>
      <c r="J113" s="415"/>
      <c r="K113" s="415"/>
      <c r="L113" s="415"/>
      <c r="M113" s="415"/>
      <c r="N113" s="415"/>
      <c r="O113" s="104"/>
      <c r="P113" s="419"/>
    </row>
    <row r="114" spans="2:16" ht="13.5" customHeight="1">
      <c r="B114" s="418"/>
      <c r="C114" s="1363" t="s">
        <v>1017</v>
      </c>
      <c r="D114" s="766">
        <v>0.85</v>
      </c>
      <c r="E114" s="1372">
        <v>0.8</v>
      </c>
      <c r="F114" s="415"/>
      <c r="G114" s="1363" t="s">
        <v>1017</v>
      </c>
      <c r="H114" s="766">
        <v>0.1</v>
      </c>
      <c r="I114" s="1372">
        <v>0.1</v>
      </c>
      <c r="J114" s="415"/>
      <c r="K114" s="415"/>
      <c r="L114" s="415"/>
      <c r="M114" s="415"/>
      <c r="N114" s="415"/>
      <c r="O114" s="104"/>
      <c r="P114" s="419"/>
    </row>
    <row r="115" spans="2:16" ht="13.5" customHeight="1">
      <c r="B115" s="418"/>
      <c r="C115" s="1363" t="s">
        <v>811</v>
      </c>
      <c r="D115" s="766">
        <v>0.85</v>
      </c>
      <c r="E115" s="1372">
        <v>0.85</v>
      </c>
      <c r="F115" s="415"/>
      <c r="G115" s="1363" t="s">
        <v>811</v>
      </c>
      <c r="H115" s="766">
        <v>0.1</v>
      </c>
      <c r="I115" s="1372">
        <v>0.11</v>
      </c>
      <c r="J115" s="415"/>
      <c r="K115" s="415"/>
      <c r="L115" s="415"/>
      <c r="M115" s="415"/>
      <c r="N115" s="415"/>
      <c r="O115" s="104"/>
      <c r="P115" s="419"/>
    </row>
    <row r="116" spans="2:16" ht="13.5" customHeight="1">
      <c r="B116" s="418"/>
      <c r="C116" s="1363" t="s">
        <v>1018</v>
      </c>
      <c r="D116" s="766">
        <v>0.85</v>
      </c>
      <c r="E116" s="1372">
        <v>0.9</v>
      </c>
      <c r="F116" s="415"/>
      <c r="G116" s="1363" t="s">
        <v>1018</v>
      </c>
      <c r="H116" s="766">
        <v>0.1</v>
      </c>
      <c r="I116" s="1372">
        <v>0.12</v>
      </c>
      <c r="J116" s="415"/>
      <c r="K116" s="415"/>
      <c r="L116" s="415"/>
      <c r="M116" s="415"/>
      <c r="N116" s="415"/>
      <c r="O116" s="104"/>
      <c r="P116" s="419"/>
    </row>
    <row r="117" spans="2:16" ht="13.5" customHeight="1">
      <c r="B117" s="418"/>
      <c r="C117" s="1365" t="s">
        <v>1019</v>
      </c>
      <c r="D117" s="1373">
        <v>0.85</v>
      </c>
      <c r="E117" s="1374">
        <v>0.95</v>
      </c>
      <c r="F117" s="415"/>
      <c r="G117" s="1365" t="s">
        <v>1019</v>
      </c>
      <c r="H117" s="1373">
        <v>0.1</v>
      </c>
      <c r="I117" s="1374">
        <v>0.13</v>
      </c>
      <c r="J117" s="415"/>
      <c r="K117" s="415"/>
      <c r="L117" s="415"/>
      <c r="M117" s="415"/>
      <c r="N117" s="415"/>
      <c r="O117" s="104"/>
      <c r="P117" s="419"/>
    </row>
    <row r="118" spans="2:16" ht="13.5" customHeight="1">
      <c r="B118" s="418"/>
      <c r="C118" s="1383" t="s">
        <v>406</v>
      </c>
      <c r="D118" s="1707">
        <f>(INDEX(D$114:D$117,ROUNDDOWN($E$7,0))*(1-MOD($E$7,1)))+(INDEX(D$114:D$117,ROUNDUP($E$7,0))*MOD($E$7,1))</f>
        <v>0.85</v>
      </c>
      <c r="E118" s="1708">
        <f>(INDEX(E$114:E$117,ROUNDDOWN($E$7,0))*(1-MOD($E$7,1)))+(INDEX(E$114:E$117,ROUNDUP($E$7,0))*MOD($E$7,1))</f>
        <v>0.8</v>
      </c>
      <c r="F118" s="415"/>
      <c r="G118" s="1383" t="s">
        <v>406</v>
      </c>
      <c r="H118" s="1707">
        <f>(INDEX(H$114:H$117,ROUNDDOWN($E$7,0))*(1-MOD($E$7,1)))+(INDEX(H$114:H$117,ROUNDUP($E$7,0))*MOD($E$7,1))</f>
        <v>0.1</v>
      </c>
      <c r="I118" s="1708">
        <f>(INDEX(I$114:I$117,ROUNDDOWN($E$7,0))*(1-MOD($E$7,1)))+(INDEX(I$114:I$117,ROUNDUP($E$7,0))*MOD($E$7,1))</f>
        <v>0.1</v>
      </c>
      <c r="J118" s="415"/>
      <c r="K118" s="415"/>
      <c r="L118" s="415"/>
      <c r="M118" s="415"/>
      <c r="N118" s="415"/>
      <c r="O118" s="104"/>
      <c r="P118" s="419"/>
    </row>
    <row r="119" spans="2:16" ht="13.5" customHeight="1">
      <c r="B119" s="418"/>
      <c r="C119" s="416"/>
      <c r="D119" s="415"/>
      <c r="E119" s="104"/>
      <c r="F119" s="415"/>
      <c r="G119" s="415"/>
      <c r="H119" s="415"/>
      <c r="I119" s="415"/>
      <c r="J119" s="415"/>
      <c r="K119" s="415"/>
      <c r="L119" s="415"/>
      <c r="M119" s="415"/>
      <c r="N119" s="415"/>
      <c r="O119" s="2918" t="s">
        <v>2319</v>
      </c>
      <c r="P119" s="419"/>
    </row>
    <row r="120" spans="2:16" ht="13.5" customHeight="1">
      <c r="B120" s="418"/>
      <c r="C120" s="416"/>
      <c r="D120" s="415"/>
      <c r="E120" s="104"/>
      <c r="F120" s="415"/>
      <c r="G120" s="415"/>
      <c r="H120" s="415"/>
      <c r="I120" s="415"/>
      <c r="J120" s="415"/>
      <c r="K120" s="415"/>
      <c r="L120" s="415"/>
      <c r="M120" s="415"/>
      <c r="N120" s="415"/>
      <c r="O120" s="104"/>
      <c r="P120" s="419"/>
    </row>
    <row r="121" spans="2:16" ht="13.5" customHeight="1">
      <c r="B121" s="418"/>
      <c r="C121" s="416"/>
      <c r="D121" s="415"/>
      <c r="E121" s="104"/>
      <c r="F121" s="415"/>
      <c r="G121" s="415"/>
      <c r="H121" s="415"/>
      <c r="I121" s="415"/>
      <c r="J121" s="415"/>
      <c r="K121" s="415"/>
      <c r="L121" s="415"/>
      <c r="M121" s="415"/>
      <c r="N121" s="415"/>
      <c r="O121" s="2974" t="s">
        <v>2318</v>
      </c>
      <c r="P121" s="419"/>
    </row>
    <row r="122" spans="2:16" ht="13.5" customHeight="1">
      <c r="B122" s="418"/>
      <c r="C122" s="416"/>
      <c r="D122" s="415"/>
      <c r="E122" s="104"/>
      <c r="F122" s="415"/>
      <c r="G122" s="415"/>
      <c r="H122" s="415"/>
      <c r="I122" s="415"/>
      <c r="J122" s="415"/>
      <c r="K122" s="415"/>
      <c r="L122" s="415"/>
      <c r="M122" s="415"/>
      <c r="N122" s="415"/>
      <c r="O122" s="104"/>
      <c r="P122" s="419"/>
    </row>
    <row r="123" spans="2:16" ht="13.5" customHeight="1">
      <c r="B123" s="418"/>
      <c r="C123" s="416"/>
      <c r="D123" s="415"/>
      <c r="E123" s="104"/>
      <c r="F123" s="1377" t="s">
        <v>203</v>
      </c>
      <c r="G123" s="1378" t="s">
        <v>712</v>
      </c>
      <c r="H123" s="1378" t="s">
        <v>713</v>
      </c>
      <c r="I123" s="1378" t="s">
        <v>714</v>
      </c>
      <c r="J123" s="1378" t="s">
        <v>715</v>
      </c>
      <c r="K123" s="1378" t="s">
        <v>716</v>
      </c>
      <c r="L123" s="1378" t="s">
        <v>717</v>
      </c>
      <c r="M123" s="1378" t="s">
        <v>718</v>
      </c>
      <c r="N123" s="1378" t="s">
        <v>719</v>
      </c>
      <c r="O123" s="1379" t="s">
        <v>720</v>
      </c>
      <c r="P123" s="419"/>
    </row>
    <row r="124" spans="2:16" ht="13.5" customHeight="1">
      <c r="B124" s="418"/>
      <c r="C124" s="416"/>
      <c r="D124" s="416" t="s">
        <v>1248</v>
      </c>
      <c r="E124" s="104"/>
      <c r="F124" s="1376">
        <v>1128.8316676633033</v>
      </c>
      <c r="G124" s="1376">
        <v>1216.947696803704</v>
      </c>
      <c r="H124" s="1376">
        <v>1299.7625173437743</v>
      </c>
      <c r="I124" s="1376">
        <v>1370.2017359102683</v>
      </c>
      <c r="J124" s="1376">
        <v>1444.4583314560571</v>
      </c>
      <c r="K124" s="1376">
        <v>1504.0599158015643</v>
      </c>
      <c r="L124" s="1376">
        <v>1566.1207949423142</v>
      </c>
      <c r="M124" s="1376">
        <v>1612.9778804263176</v>
      </c>
      <c r="N124" s="1376">
        <v>1661.2368925478738</v>
      </c>
      <c r="O124" s="1376">
        <v>1764.9961499468282</v>
      </c>
      <c r="P124" s="419"/>
    </row>
    <row r="125" spans="2:16" ht="13.5" customHeight="1">
      <c r="B125" s="418"/>
      <c r="C125" s="416"/>
      <c r="D125" s="415"/>
      <c r="E125" s="104"/>
      <c r="F125" s="415"/>
      <c r="G125" s="415"/>
      <c r="H125" s="415"/>
      <c r="I125" s="415"/>
      <c r="J125" s="415"/>
      <c r="K125" s="415"/>
      <c r="L125" s="415"/>
      <c r="M125" s="415"/>
      <c r="N125" s="415"/>
      <c r="O125" s="104"/>
      <c r="P125" s="419"/>
    </row>
    <row r="126" spans="2:16" ht="13.5" customHeight="1">
      <c r="B126" s="418"/>
      <c r="C126" s="2975" t="s">
        <v>2368</v>
      </c>
      <c r="D126" s="415"/>
      <c r="E126" s="104"/>
      <c r="F126" s="415"/>
      <c r="G126" s="415"/>
      <c r="H126" s="415"/>
      <c r="I126" s="415"/>
      <c r="J126" s="415"/>
      <c r="K126" s="415"/>
      <c r="L126" s="415"/>
      <c r="M126" s="415"/>
      <c r="N126" s="415"/>
      <c r="O126" s="104"/>
      <c r="P126" s="419"/>
    </row>
    <row r="127" spans="2:16" ht="13.5" customHeight="1">
      <c r="B127" s="418"/>
      <c r="C127" s="416" t="s">
        <v>1250</v>
      </c>
      <c r="D127" s="415"/>
      <c r="E127" s="104"/>
      <c r="F127" s="415"/>
      <c r="G127" s="415"/>
      <c r="H127" s="415"/>
      <c r="I127" s="415"/>
      <c r="J127" s="415"/>
      <c r="K127" s="415"/>
      <c r="L127" s="415"/>
      <c r="M127" s="415"/>
      <c r="N127" s="415"/>
      <c r="O127" s="361" t="s">
        <v>1249</v>
      </c>
      <c r="P127" s="419"/>
    </row>
    <row r="128" spans="2:16" ht="13.5" customHeight="1">
      <c r="B128" s="418"/>
      <c r="C128" s="416"/>
      <c r="D128" s="415"/>
      <c r="E128" s="104"/>
      <c r="F128" s="415"/>
      <c r="G128" s="415"/>
      <c r="H128" s="415"/>
      <c r="I128" s="415"/>
      <c r="J128" s="415"/>
      <c r="K128" s="415"/>
      <c r="L128" s="415"/>
      <c r="M128" s="415"/>
      <c r="N128" s="415"/>
      <c r="O128" s="104"/>
      <c r="P128" s="419"/>
    </row>
    <row r="129" spans="2:16" ht="13.5" customHeight="1">
      <c r="B129" s="418"/>
      <c r="C129" s="1360" t="s">
        <v>411</v>
      </c>
      <c r="D129" s="786" t="s">
        <v>65</v>
      </c>
      <c r="E129" s="786" t="s">
        <v>870</v>
      </c>
      <c r="F129" s="787">
        <v>2007</v>
      </c>
      <c r="G129" s="788">
        <f t="shared" ref="G129:O129" si="42">F129+5</f>
        <v>2012</v>
      </c>
      <c r="H129" s="788">
        <f t="shared" si="42"/>
        <v>2017</v>
      </c>
      <c r="I129" s="788">
        <f t="shared" si="42"/>
        <v>2022</v>
      </c>
      <c r="J129" s="788">
        <f t="shared" si="42"/>
        <v>2027</v>
      </c>
      <c r="K129" s="788">
        <f t="shared" si="42"/>
        <v>2032</v>
      </c>
      <c r="L129" s="788">
        <f t="shared" si="42"/>
        <v>2037</v>
      </c>
      <c r="M129" s="788">
        <f t="shared" si="42"/>
        <v>2042</v>
      </c>
      <c r="N129" s="788">
        <f t="shared" si="42"/>
        <v>2047</v>
      </c>
      <c r="O129" s="789">
        <f t="shared" si="42"/>
        <v>2052</v>
      </c>
      <c r="P129" s="419"/>
    </row>
    <row r="130" spans="2:16" ht="13.5" customHeight="1">
      <c r="B130" s="418"/>
      <c r="C130" s="824">
        <v>1</v>
      </c>
      <c r="D130" s="414"/>
      <c r="E130" s="218"/>
      <c r="F130" s="414">
        <v>18.399999999999999</v>
      </c>
      <c r="G130" s="414">
        <v>18.899999999999999</v>
      </c>
      <c r="H130" s="414">
        <v>20</v>
      </c>
      <c r="I130" s="414">
        <v>22</v>
      </c>
      <c r="J130" s="414">
        <v>25</v>
      </c>
      <c r="K130" s="414">
        <v>27</v>
      </c>
      <c r="L130" s="414">
        <v>27</v>
      </c>
      <c r="M130" s="414">
        <v>27</v>
      </c>
      <c r="N130" s="414">
        <v>27</v>
      </c>
      <c r="O130" s="829">
        <v>27</v>
      </c>
      <c r="P130" s="419"/>
    </row>
    <row r="131" spans="2:16" ht="13.5" customHeight="1">
      <c r="B131" s="418"/>
      <c r="C131" s="824">
        <v>2</v>
      </c>
      <c r="D131" s="414"/>
      <c r="E131" s="218"/>
      <c r="F131" s="414">
        <v>18.399999999999999</v>
      </c>
      <c r="G131" s="414">
        <v>18.899999999999999</v>
      </c>
      <c r="H131" s="414">
        <v>20</v>
      </c>
      <c r="I131" s="414">
        <v>22</v>
      </c>
      <c r="J131" s="414">
        <v>25</v>
      </c>
      <c r="K131" s="414">
        <v>27</v>
      </c>
      <c r="L131" s="414">
        <v>27</v>
      </c>
      <c r="M131" s="414">
        <v>27</v>
      </c>
      <c r="N131" s="414">
        <v>27</v>
      </c>
      <c r="O131" s="829">
        <v>27</v>
      </c>
      <c r="P131" s="419"/>
    </row>
    <row r="132" spans="2:16" ht="13.5" customHeight="1">
      <c r="B132" s="418"/>
      <c r="C132" s="824">
        <v>3</v>
      </c>
      <c r="D132" s="414"/>
      <c r="E132" s="218"/>
      <c r="F132" s="414">
        <v>18.399999999999999</v>
      </c>
      <c r="G132" s="414">
        <v>18.899999999999999</v>
      </c>
      <c r="H132" s="414">
        <v>20</v>
      </c>
      <c r="I132" s="414">
        <v>22</v>
      </c>
      <c r="J132" s="414">
        <v>25</v>
      </c>
      <c r="K132" s="414">
        <v>27</v>
      </c>
      <c r="L132" s="414">
        <v>27</v>
      </c>
      <c r="M132" s="414">
        <v>27</v>
      </c>
      <c r="N132" s="414">
        <v>27</v>
      </c>
      <c r="O132" s="829">
        <v>27</v>
      </c>
      <c r="P132" s="419"/>
    </row>
    <row r="133" spans="2:16" ht="13.5" customHeight="1">
      <c r="B133" s="418"/>
      <c r="C133" s="598">
        <v>4</v>
      </c>
      <c r="D133" s="112"/>
      <c r="E133" s="844"/>
      <c r="F133" s="414">
        <v>18.399999999999999</v>
      </c>
      <c r="G133" s="414">
        <v>18.899999999999999</v>
      </c>
      <c r="H133" s="414">
        <v>20</v>
      </c>
      <c r="I133" s="414">
        <v>22</v>
      </c>
      <c r="J133" s="414">
        <v>25</v>
      </c>
      <c r="K133" s="414">
        <v>27</v>
      </c>
      <c r="L133" s="414">
        <v>27</v>
      </c>
      <c r="M133" s="414">
        <v>27</v>
      </c>
      <c r="N133" s="414">
        <v>27</v>
      </c>
      <c r="O133" s="829">
        <v>27</v>
      </c>
      <c r="P133" s="419"/>
    </row>
    <row r="134" spans="2:16" ht="13.5" customHeight="1">
      <c r="B134" s="418"/>
      <c r="C134" s="1359" t="s">
        <v>1251</v>
      </c>
      <c r="D134" s="804"/>
      <c r="E134" s="957"/>
      <c r="F134" s="408">
        <f t="shared" ref="F134:O134" si="43">(INDEX(F$130:F$133,ROUNDDOWN($E$7,0))*(1-MOD($E$7,1)))+(INDEX(F$130:F$133,ROUNDUP($E$7,0))*MOD($E$7,1))</f>
        <v>18.399999999999999</v>
      </c>
      <c r="G134" s="408">
        <f t="shared" si="43"/>
        <v>18.899999999999999</v>
      </c>
      <c r="H134" s="408">
        <f t="shared" si="43"/>
        <v>20</v>
      </c>
      <c r="I134" s="408">
        <f t="shared" si="43"/>
        <v>22</v>
      </c>
      <c r="J134" s="408">
        <f t="shared" si="43"/>
        <v>25</v>
      </c>
      <c r="K134" s="408">
        <f t="shared" si="43"/>
        <v>27</v>
      </c>
      <c r="L134" s="408">
        <f t="shared" si="43"/>
        <v>27</v>
      </c>
      <c r="M134" s="408">
        <f t="shared" si="43"/>
        <v>27</v>
      </c>
      <c r="N134" s="408">
        <f t="shared" si="43"/>
        <v>27</v>
      </c>
      <c r="O134" s="408">
        <f t="shared" si="43"/>
        <v>27</v>
      </c>
      <c r="P134" s="419"/>
    </row>
    <row r="135" spans="2:16" ht="13.5" customHeight="1">
      <c r="B135" s="418"/>
      <c r="C135" s="416"/>
      <c r="D135" s="415"/>
      <c r="E135" s="104"/>
      <c r="F135" s="415"/>
      <c r="G135" s="415"/>
      <c r="H135" s="415"/>
      <c r="I135" s="415"/>
      <c r="J135" s="415"/>
      <c r="K135" s="415"/>
      <c r="L135" s="415"/>
      <c r="M135" s="415"/>
      <c r="N135" s="415"/>
      <c r="O135" s="104"/>
      <c r="P135" s="419"/>
    </row>
    <row r="136" spans="2:16" ht="13.5" customHeight="1">
      <c r="B136" s="418"/>
      <c r="C136" s="2975" t="s">
        <v>2368</v>
      </c>
      <c r="D136" s="415"/>
      <c r="E136" s="104"/>
      <c r="F136" s="415"/>
      <c r="G136" s="415"/>
      <c r="H136" s="415"/>
      <c r="I136" s="415"/>
      <c r="J136" s="415"/>
      <c r="K136" s="415"/>
      <c r="L136" s="415"/>
      <c r="M136" s="415"/>
      <c r="N136" s="415"/>
      <c r="O136" s="104"/>
      <c r="P136" s="419"/>
    </row>
    <row r="137" spans="2:16" ht="13.5" customHeight="1">
      <c r="B137" s="418"/>
      <c r="C137" s="416" t="s">
        <v>1252</v>
      </c>
      <c r="D137" s="415"/>
      <c r="E137" s="104"/>
      <c r="F137" s="415"/>
      <c r="G137" s="415"/>
      <c r="H137" s="415"/>
      <c r="I137" s="415"/>
      <c r="J137" s="415"/>
      <c r="K137" s="415"/>
      <c r="L137" s="415"/>
      <c r="M137" s="415"/>
      <c r="N137" s="415"/>
      <c r="O137" s="361" t="s">
        <v>1430</v>
      </c>
      <c r="P137" s="419"/>
    </row>
    <row r="138" spans="2:16" ht="13.5" customHeight="1">
      <c r="B138" s="418"/>
      <c r="C138" s="416"/>
      <c r="D138" s="415"/>
      <c r="E138" s="104"/>
      <c r="F138" s="415"/>
      <c r="G138" s="415"/>
      <c r="H138" s="415"/>
      <c r="I138" s="415"/>
      <c r="J138" s="415"/>
      <c r="K138" s="415"/>
      <c r="L138" s="415"/>
      <c r="M138" s="415"/>
      <c r="N138" s="415"/>
      <c r="O138" s="104"/>
      <c r="P138" s="419"/>
    </row>
    <row r="139" spans="2:16" ht="13.5" customHeight="1">
      <c r="B139" s="418"/>
      <c r="C139" s="1360" t="s">
        <v>411</v>
      </c>
      <c r="D139" s="786" t="s">
        <v>65</v>
      </c>
      <c r="E139" s="786" t="s">
        <v>870</v>
      </c>
      <c r="F139" s="787">
        <v>2007</v>
      </c>
      <c r="G139" s="788">
        <f t="shared" ref="G139:O139" si="44">F139+5</f>
        <v>2012</v>
      </c>
      <c r="H139" s="788">
        <f t="shared" si="44"/>
        <v>2017</v>
      </c>
      <c r="I139" s="788">
        <f t="shared" si="44"/>
        <v>2022</v>
      </c>
      <c r="J139" s="788">
        <f t="shared" si="44"/>
        <v>2027</v>
      </c>
      <c r="K139" s="788">
        <f t="shared" si="44"/>
        <v>2032</v>
      </c>
      <c r="L139" s="788">
        <f t="shared" si="44"/>
        <v>2037</v>
      </c>
      <c r="M139" s="788">
        <f t="shared" si="44"/>
        <v>2042</v>
      </c>
      <c r="N139" s="788">
        <f t="shared" si="44"/>
        <v>2047</v>
      </c>
      <c r="O139" s="789">
        <f t="shared" si="44"/>
        <v>2052</v>
      </c>
      <c r="P139" s="419"/>
    </row>
    <row r="140" spans="2:16" ht="13.5" customHeight="1">
      <c r="B140" s="418"/>
      <c r="C140" s="824">
        <v>1</v>
      </c>
      <c r="D140" s="414"/>
      <c r="E140" s="218"/>
      <c r="F140" s="414">
        <v>1728000</v>
      </c>
      <c r="G140" s="414">
        <v>3500000</v>
      </c>
      <c r="H140" s="414">
        <v>6728400</v>
      </c>
      <c r="I140" s="414">
        <v>5509000</v>
      </c>
      <c r="J140" s="414">
        <v>1889999.9999999998</v>
      </c>
      <c r="K140" s="414">
        <v>0</v>
      </c>
      <c r="L140" s="414">
        <v>0</v>
      </c>
      <c r="M140" s="414">
        <v>0</v>
      </c>
      <c r="N140" s="414">
        <v>0</v>
      </c>
      <c r="O140" s="829">
        <v>0</v>
      </c>
      <c r="P140" s="419"/>
    </row>
    <row r="141" spans="2:16" ht="13.5" customHeight="1">
      <c r="B141" s="418"/>
      <c r="C141" s="824">
        <v>2</v>
      </c>
      <c r="D141" s="414"/>
      <c r="E141" s="218"/>
      <c r="F141" s="414">
        <v>1728000</v>
      </c>
      <c r="G141" s="414">
        <v>3500000</v>
      </c>
      <c r="H141" s="414">
        <v>6728400</v>
      </c>
      <c r="I141" s="414">
        <v>5509000</v>
      </c>
      <c r="J141" s="414">
        <v>1889999.9999999998</v>
      </c>
      <c r="K141" s="414">
        <v>0</v>
      </c>
      <c r="L141" s="414">
        <v>0</v>
      </c>
      <c r="M141" s="414">
        <v>0</v>
      </c>
      <c r="N141" s="414">
        <v>0</v>
      </c>
      <c r="O141" s="829">
        <v>0</v>
      </c>
      <c r="P141" s="419"/>
    </row>
    <row r="142" spans="2:16" ht="13.5" customHeight="1">
      <c r="B142" s="418"/>
      <c r="C142" s="824">
        <v>3</v>
      </c>
      <c r="D142" s="414"/>
      <c r="E142" s="218"/>
      <c r="F142" s="414">
        <v>1728000</v>
      </c>
      <c r="G142" s="414">
        <v>3500000</v>
      </c>
      <c r="H142" s="414">
        <v>6728400</v>
      </c>
      <c r="I142" s="414">
        <v>5509000</v>
      </c>
      <c r="J142" s="414">
        <v>1889999.9999999998</v>
      </c>
      <c r="K142" s="414">
        <v>0</v>
      </c>
      <c r="L142" s="414">
        <v>0</v>
      </c>
      <c r="M142" s="414">
        <v>0</v>
      </c>
      <c r="N142" s="414">
        <v>0</v>
      </c>
      <c r="O142" s="829">
        <v>0</v>
      </c>
      <c r="P142" s="419"/>
    </row>
    <row r="143" spans="2:16" ht="13.5" customHeight="1">
      <c r="B143" s="418"/>
      <c r="C143" s="598">
        <v>4</v>
      </c>
      <c r="D143" s="112"/>
      <c r="E143" s="844"/>
      <c r="F143" s="414">
        <v>1728000</v>
      </c>
      <c r="G143" s="414">
        <v>3500000</v>
      </c>
      <c r="H143" s="414">
        <v>6728400</v>
      </c>
      <c r="I143" s="414">
        <v>5509000</v>
      </c>
      <c r="J143" s="414">
        <v>1889999.9999999998</v>
      </c>
      <c r="K143" s="414">
        <v>0</v>
      </c>
      <c r="L143" s="414">
        <v>0</v>
      </c>
      <c r="M143" s="414">
        <v>0</v>
      </c>
      <c r="N143" s="414">
        <v>0</v>
      </c>
      <c r="O143" s="829">
        <v>0</v>
      </c>
      <c r="P143" s="419"/>
    </row>
    <row r="144" spans="2:16" ht="13.5" customHeight="1">
      <c r="B144" s="418"/>
      <c r="C144" s="1359" t="s">
        <v>1259</v>
      </c>
      <c r="D144" s="804"/>
      <c r="E144" s="957"/>
      <c r="F144" s="408">
        <f t="shared" ref="F144:O144" si="45">(INDEX(F$140:F$143,ROUNDDOWN($E$7,0))*(1-MOD($E$7,1)))+(INDEX(F$140:F$143,ROUNDUP($E$7,0))*MOD($E$7,1))</f>
        <v>1728000</v>
      </c>
      <c r="G144" s="408">
        <f t="shared" si="45"/>
        <v>3500000</v>
      </c>
      <c r="H144" s="408">
        <f t="shared" si="45"/>
        <v>6728400</v>
      </c>
      <c r="I144" s="408">
        <f t="shared" si="45"/>
        <v>5509000</v>
      </c>
      <c r="J144" s="408">
        <f t="shared" si="45"/>
        <v>1889999.9999999998</v>
      </c>
      <c r="K144" s="408">
        <f t="shared" si="45"/>
        <v>0</v>
      </c>
      <c r="L144" s="408">
        <f t="shared" si="45"/>
        <v>0</v>
      </c>
      <c r="M144" s="408">
        <f t="shared" si="45"/>
        <v>0</v>
      </c>
      <c r="N144" s="408">
        <f t="shared" si="45"/>
        <v>0</v>
      </c>
      <c r="O144" s="408">
        <f t="shared" si="45"/>
        <v>0</v>
      </c>
      <c r="P144" s="419"/>
    </row>
    <row r="145" spans="2:16" ht="13.5" customHeight="1">
      <c r="B145" s="418"/>
      <c r="C145" s="416"/>
      <c r="D145" s="415"/>
      <c r="E145" s="104"/>
      <c r="F145" s="415"/>
      <c r="G145" s="415"/>
      <c r="H145" s="415"/>
      <c r="I145" s="415"/>
      <c r="J145" s="415"/>
      <c r="K145" s="415"/>
      <c r="L145" s="415"/>
      <c r="M145" s="415"/>
      <c r="N145" s="415"/>
      <c r="O145" s="104"/>
      <c r="P145" s="419"/>
    </row>
    <row r="146" spans="2:16" ht="13.5" customHeight="1">
      <c r="B146" s="418"/>
      <c r="C146" s="416"/>
      <c r="D146" s="415"/>
      <c r="E146" s="104"/>
      <c r="F146" s="415"/>
      <c r="G146" s="415"/>
      <c r="H146" s="415"/>
      <c r="I146" s="415"/>
      <c r="J146" s="415"/>
      <c r="K146" s="415"/>
      <c r="L146" s="415"/>
      <c r="M146" s="415"/>
      <c r="N146" s="415"/>
      <c r="O146" s="361"/>
      <c r="P146" s="419"/>
    </row>
    <row r="147" spans="2:16" ht="13.5" customHeight="1">
      <c r="B147" s="418"/>
      <c r="C147" s="416"/>
      <c r="D147" s="415"/>
      <c r="E147" s="104"/>
      <c r="F147" s="416" t="s">
        <v>1255</v>
      </c>
      <c r="G147" s="416" t="s">
        <v>1256</v>
      </c>
      <c r="H147" s="415"/>
      <c r="I147" s="415"/>
      <c r="J147" s="415"/>
      <c r="K147" s="415"/>
      <c r="L147" s="415"/>
      <c r="M147" s="415"/>
      <c r="N147" s="415"/>
      <c r="O147" s="104"/>
      <c r="P147" s="419"/>
    </row>
    <row r="148" spans="2:16" ht="13.5" customHeight="1">
      <c r="B148" s="418"/>
      <c r="C148" s="412" t="s">
        <v>1254</v>
      </c>
      <c r="D148" s="412"/>
      <c r="E148" s="412"/>
      <c r="F148" s="107">
        <v>2000000</v>
      </c>
      <c r="G148" s="107">
        <v>2500000</v>
      </c>
      <c r="H148" s="227"/>
      <c r="I148" s="227"/>
      <c r="J148" s="227"/>
      <c r="K148" s="227"/>
      <c r="L148" s="227"/>
      <c r="M148" s="227"/>
      <c r="N148" s="227"/>
      <c r="O148" s="227"/>
      <c r="P148" s="419"/>
    </row>
    <row r="149" spans="2:16" ht="13.5" customHeight="1">
      <c r="B149" s="418"/>
      <c r="C149" s="413"/>
      <c r="D149" s="414"/>
      <c r="E149" s="218"/>
      <c r="F149" s="414"/>
      <c r="G149" s="414"/>
      <c r="H149" s="414"/>
      <c r="I149" s="414"/>
      <c r="J149" s="414"/>
      <c r="K149" s="414"/>
      <c r="L149" s="414"/>
      <c r="M149" s="414"/>
      <c r="N149" s="414"/>
      <c r="O149" s="414"/>
      <c r="P149" s="419"/>
    </row>
    <row r="150" spans="2:16" ht="13.5" customHeight="1">
      <c r="B150" s="418"/>
      <c r="C150" s="106" t="s">
        <v>2320</v>
      </c>
      <c r="D150" s="414"/>
      <c r="E150" s="218"/>
      <c r="F150" s="414">
        <f>0.7*unit.lpe</f>
        <v>6.4458333333333331E-9</v>
      </c>
      <c r="G150" s="414" t="str">
        <f>preferences.energyunits&amp;"/ton"</f>
        <v>TWh/ton</v>
      </c>
      <c r="H150" s="414"/>
      <c r="I150" s="414"/>
      <c r="J150" s="414"/>
      <c r="K150" s="414"/>
      <c r="L150" s="414"/>
      <c r="M150" s="414"/>
      <c r="N150" s="414"/>
      <c r="O150" s="414"/>
      <c r="P150" s="419"/>
    </row>
    <row r="151" spans="2:16" ht="13.5" customHeight="1">
      <c r="B151" s="418"/>
      <c r="C151" s="413"/>
      <c r="D151" s="414"/>
      <c r="E151" s="218"/>
      <c r="F151" s="414"/>
      <c r="G151" s="414"/>
      <c r="H151" s="414"/>
      <c r="I151" s="414"/>
      <c r="J151" s="414"/>
      <c r="K151" s="414"/>
      <c r="L151" s="414"/>
      <c r="M151" s="414"/>
      <c r="N151" s="414"/>
      <c r="O151" s="414"/>
      <c r="P151" s="419"/>
    </row>
    <row r="152" spans="2:16" ht="13.5" customHeight="1">
      <c r="B152" s="418"/>
      <c r="C152" s="1380" t="s">
        <v>1257</v>
      </c>
      <c r="D152" s="414"/>
      <c r="E152" s="218"/>
      <c r="F152" s="414"/>
      <c r="G152" s="414"/>
      <c r="H152" s="414"/>
      <c r="I152" s="414"/>
      <c r="J152" s="414"/>
      <c r="K152" s="414"/>
      <c r="L152" s="414"/>
      <c r="M152" s="414"/>
      <c r="N152" s="414"/>
      <c r="O152" s="414"/>
      <c r="P152" s="419"/>
    </row>
    <row r="153" spans="2:16" ht="13.5" customHeight="1">
      <c r="B153" s="418"/>
      <c r="C153" s="416"/>
      <c r="D153" s="415"/>
      <c r="E153" s="104"/>
      <c r="F153" s="222"/>
      <c r="G153" s="222"/>
      <c r="H153" s="222"/>
      <c r="I153" s="222"/>
      <c r="J153" s="222"/>
      <c r="K153" s="222"/>
      <c r="L153" s="222"/>
      <c r="M153" s="222"/>
      <c r="N153" s="222"/>
      <c r="O153" s="222"/>
      <c r="P153" s="419"/>
    </row>
    <row r="154" spans="2:16" ht="13.5" customHeight="1">
      <c r="B154" s="418"/>
      <c r="C154" s="416" t="s">
        <v>2312</v>
      </c>
      <c r="D154" s="415"/>
      <c r="E154" s="1375">
        <v>0.4</v>
      </c>
      <c r="F154" s="415"/>
      <c r="G154" s="415"/>
      <c r="H154" s="415"/>
      <c r="I154" s="415"/>
      <c r="J154" s="415"/>
      <c r="K154" s="415"/>
      <c r="L154" s="415"/>
      <c r="M154" s="415"/>
      <c r="N154" s="415"/>
      <c r="O154" s="104"/>
      <c r="P154" s="419"/>
    </row>
    <row r="155" spans="2:16" ht="13.5" customHeight="1">
      <c r="B155" s="418"/>
      <c r="C155" s="416" t="s">
        <v>1258</v>
      </c>
      <c r="D155" s="415"/>
      <c r="E155" s="1375">
        <v>0.85</v>
      </c>
      <c r="F155" s="415"/>
      <c r="G155" s="415"/>
      <c r="H155" s="415"/>
      <c r="I155" s="415"/>
      <c r="J155" s="415"/>
      <c r="K155" s="415"/>
      <c r="L155" s="415"/>
      <c r="M155" s="415"/>
      <c r="N155" s="415"/>
      <c r="O155" s="104"/>
      <c r="P155" s="419"/>
    </row>
    <row r="156" spans="2:16" ht="13.5" customHeight="1">
      <c r="B156" s="418"/>
      <c r="C156" s="416"/>
      <c r="D156" s="415"/>
      <c r="E156" s="104"/>
      <c r="F156" s="415"/>
      <c r="G156" s="415"/>
      <c r="H156" s="415"/>
      <c r="I156" s="415"/>
      <c r="J156" s="415"/>
      <c r="K156" s="415"/>
      <c r="L156" s="415"/>
      <c r="M156" s="415"/>
      <c r="N156" s="415"/>
      <c r="O156" s="104"/>
      <c r="P156" s="419"/>
    </row>
    <row r="157" spans="2:16" ht="13.5" customHeight="1">
      <c r="B157" s="418"/>
      <c r="C157" s="416" t="s">
        <v>1441</v>
      </c>
      <c r="D157" s="415"/>
      <c r="E157" s="104"/>
      <c r="F157" s="415"/>
      <c r="G157" s="415"/>
      <c r="H157" s="415"/>
      <c r="I157" s="415"/>
      <c r="J157" s="415"/>
      <c r="K157" s="415"/>
      <c r="L157" s="415"/>
      <c r="M157" s="415"/>
      <c r="N157" s="415"/>
      <c r="O157" s="361"/>
      <c r="P157" s="419"/>
    </row>
    <row r="158" spans="2:16" ht="13.5" customHeight="1">
      <c r="B158" s="418"/>
      <c r="C158" s="416"/>
      <c r="D158" s="415"/>
      <c r="E158" s="104"/>
      <c r="F158" s="415"/>
      <c r="G158" s="415"/>
      <c r="H158" s="415"/>
      <c r="I158" s="415"/>
      <c r="J158" s="415"/>
      <c r="K158" s="415"/>
      <c r="L158" s="415"/>
      <c r="M158" s="415"/>
      <c r="N158" s="415"/>
      <c r="O158" s="104"/>
      <c r="P158" s="419"/>
    </row>
    <row r="159" spans="2:16" ht="13.5" customHeight="1">
      <c r="B159" s="418"/>
      <c r="C159" s="1360" t="s">
        <v>411</v>
      </c>
      <c r="D159" s="786" t="s">
        <v>65</v>
      </c>
      <c r="E159" s="786" t="s">
        <v>870</v>
      </c>
      <c r="F159" s="787">
        <v>2007</v>
      </c>
      <c r="G159" s="788">
        <f t="shared" ref="G159:O159" si="46">F159+5</f>
        <v>2012</v>
      </c>
      <c r="H159" s="788">
        <f t="shared" si="46"/>
        <v>2017</v>
      </c>
      <c r="I159" s="788">
        <f t="shared" si="46"/>
        <v>2022</v>
      </c>
      <c r="J159" s="788">
        <f t="shared" si="46"/>
        <v>2027</v>
      </c>
      <c r="K159" s="788">
        <f t="shared" si="46"/>
        <v>2032</v>
      </c>
      <c r="L159" s="788">
        <f t="shared" si="46"/>
        <v>2037</v>
      </c>
      <c r="M159" s="788">
        <f t="shared" si="46"/>
        <v>2042</v>
      </c>
      <c r="N159" s="788">
        <f t="shared" si="46"/>
        <v>2047</v>
      </c>
      <c r="O159" s="789">
        <f t="shared" si="46"/>
        <v>2052</v>
      </c>
      <c r="P159" s="419"/>
    </row>
    <row r="160" spans="2:16" ht="13.5" customHeight="1">
      <c r="B160" s="418"/>
      <c r="C160" s="824">
        <v>1</v>
      </c>
      <c r="D160" s="414"/>
      <c r="E160" s="218"/>
      <c r="F160" s="218">
        <v>0</v>
      </c>
      <c r="G160" s="218">
        <v>0.2</v>
      </c>
      <c r="H160" s="218">
        <v>0.1</v>
      </c>
      <c r="I160" s="218">
        <v>0.2</v>
      </c>
      <c r="J160" s="218">
        <v>0.25</v>
      </c>
      <c r="K160" s="218">
        <v>0.25</v>
      </c>
      <c r="L160" s="218">
        <v>0.25</v>
      </c>
      <c r="M160" s="218">
        <v>0.25</v>
      </c>
      <c r="N160" s="218">
        <v>0.25</v>
      </c>
      <c r="O160" s="1381">
        <v>0.25</v>
      </c>
      <c r="P160" s="419"/>
    </row>
    <row r="161" spans="2:16" ht="13.5" customHeight="1">
      <c r="B161" s="418"/>
      <c r="C161" s="824">
        <v>2</v>
      </c>
      <c r="D161" s="414"/>
      <c r="E161" s="218"/>
      <c r="F161" s="218">
        <v>0</v>
      </c>
      <c r="G161" s="218">
        <v>0.2</v>
      </c>
      <c r="H161" s="218">
        <v>0.15</v>
      </c>
      <c r="I161" s="218">
        <v>0.25</v>
      </c>
      <c r="J161" s="218">
        <v>0.3</v>
      </c>
      <c r="K161" s="218">
        <v>0.3</v>
      </c>
      <c r="L161" s="218">
        <v>0.3</v>
      </c>
      <c r="M161" s="218">
        <v>0.3</v>
      </c>
      <c r="N161" s="218">
        <v>0.3</v>
      </c>
      <c r="O161" s="1381">
        <v>0.3</v>
      </c>
      <c r="P161" s="419"/>
    </row>
    <row r="162" spans="2:16" ht="13.5" customHeight="1">
      <c r="B162" s="418"/>
      <c r="C162" s="824">
        <v>3</v>
      </c>
      <c r="D162" s="414"/>
      <c r="E162" s="218"/>
      <c r="F162" s="218">
        <v>0</v>
      </c>
      <c r="G162" s="218">
        <v>0.2</v>
      </c>
      <c r="H162" s="218">
        <v>0.2</v>
      </c>
      <c r="I162" s="218">
        <v>0.3</v>
      </c>
      <c r="J162" s="218">
        <v>0.35</v>
      </c>
      <c r="K162" s="218">
        <v>0.35</v>
      </c>
      <c r="L162" s="218">
        <v>0.35</v>
      </c>
      <c r="M162" s="218">
        <v>0.35</v>
      </c>
      <c r="N162" s="218">
        <v>0.35</v>
      </c>
      <c r="O162" s="1381">
        <v>0.35</v>
      </c>
      <c r="P162" s="419"/>
    </row>
    <row r="163" spans="2:16" ht="13.5" customHeight="1">
      <c r="B163" s="418"/>
      <c r="C163" s="598">
        <v>4</v>
      </c>
      <c r="D163" s="112"/>
      <c r="E163" s="844"/>
      <c r="F163" s="218">
        <v>0</v>
      </c>
      <c r="G163" s="218">
        <v>0.2</v>
      </c>
      <c r="H163" s="218">
        <v>0.25</v>
      </c>
      <c r="I163" s="218">
        <v>0.35</v>
      </c>
      <c r="J163" s="218">
        <v>0.4</v>
      </c>
      <c r="K163" s="218">
        <v>0.4</v>
      </c>
      <c r="L163" s="218">
        <v>0.4</v>
      </c>
      <c r="M163" s="218">
        <v>0.4</v>
      </c>
      <c r="N163" s="218">
        <v>0.4</v>
      </c>
      <c r="O163" s="1381">
        <v>0.4</v>
      </c>
      <c r="P163" s="419"/>
    </row>
    <row r="164" spans="2:16" ht="13.5" customHeight="1">
      <c r="B164" s="418"/>
      <c r="C164" s="1359" t="s">
        <v>1061</v>
      </c>
      <c r="D164" s="804"/>
      <c r="E164" s="957"/>
      <c r="F164" s="584">
        <f t="shared" ref="F164:O164" si="47">(INDEX(F$160:F$163,ROUNDDOWN($E$7,0))*(1-MOD($E$7,1)))+(INDEX(F$160:F$163,ROUNDUP($E$7,0))*MOD($E$7,1))</f>
        <v>0</v>
      </c>
      <c r="G164" s="584">
        <f t="shared" si="47"/>
        <v>0.2</v>
      </c>
      <c r="H164" s="584">
        <f t="shared" si="47"/>
        <v>0.1</v>
      </c>
      <c r="I164" s="584">
        <f t="shared" si="47"/>
        <v>0.2</v>
      </c>
      <c r="J164" s="584">
        <f t="shared" si="47"/>
        <v>0.25</v>
      </c>
      <c r="K164" s="584">
        <f t="shared" si="47"/>
        <v>0.25</v>
      </c>
      <c r="L164" s="584">
        <f t="shared" si="47"/>
        <v>0.25</v>
      </c>
      <c r="M164" s="584">
        <f t="shared" si="47"/>
        <v>0.25</v>
      </c>
      <c r="N164" s="584">
        <f t="shared" si="47"/>
        <v>0.25</v>
      </c>
      <c r="O164" s="584">
        <f t="shared" si="47"/>
        <v>0.25</v>
      </c>
      <c r="P164" s="419"/>
    </row>
    <row r="165" spans="2:16" ht="13.5" customHeight="1">
      <c r="B165" s="418"/>
      <c r="C165" s="416"/>
      <c r="D165" s="415"/>
      <c r="E165" s="104"/>
      <c r="F165" s="869"/>
      <c r="G165" s="869"/>
      <c r="H165" s="869"/>
      <c r="I165" s="869"/>
      <c r="J165" s="869"/>
      <c r="K165" s="869"/>
      <c r="L165" s="869"/>
      <c r="M165" s="869"/>
      <c r="N165" s="869"/>
      <c r="O165" s="869"/>
      <c r="P165" s="419"/>
    </row>
    <row r="166" spans="2:16" ht="13.5" customHeight="1">
      <c r="B166" s="418"/>
      <c r="C166" s="416" t="s">
        <v>2313</v>
      </c>
      <c r="D166" s="415"/>
      <c r="E166" s="104"/>
      <c r="F166" s="414">
        <f>270*unit.lpe</f>
        <v>2.4862500000000001E-6</v>
      </c>
      <c r="G166" s="414" t="str">
        <f>preferences.energyunits&amp;"/ton"</f>
        <v>TWh/ton</v>
      </c>
      <c r="H166" s="415"/>
      <c r="I166" s="415"/>
      <c r="J166" s="415"/>
      <c r="K166" s="415"/>
      <c r="L166" s="415"/>
      <c r="M166" s="415"/>
      <c r="N166" s="415"/>
      <c r="O166" s="104"/>
      <c r="P166" s="419"/>
    </row>
    <row r="167" spans="2:16" ht="13.5" customHeight="1">
      <c r="B167" s="418"/>
      <c r="C167" s="416"/>
      <c r="D167" s="415"/>
      <c r="E167" s="104"/>
      <c r="F167" s="415"/>
      <c r="G167" s="415"/>
      <c r="H167" s="415"/>
      <c r="I167" s="415"/>
      <c r="J167" s="415"/>
      <c r="K167" s="415"/>
      <c r="L167" s="415"/>
      <c r="M167" s="415"/>
      <c r="N167" s="415"/>
      <c r="O167" s="104"/>
      <c r="P167" s="419"/>
    </row>
    <row r="168" spans="2:16" ht="13.5" customHeight="1">
      <c r="B168" s="418"/>
      <c r="C168" s="1380" t="s">
        <v>1261</v>
      </c>
      <c r="D168" s="415"/>
      <c r="E168" s="104"/>
      <c r="F168" s="415"/>
      <c r="G168" s="415"/>
      <c r="H168" s="415"/>
      <c r="I168" s="415"/>
      <c r="J168" s="415"/>
      <c r="K168" s="415"/>
      <c r="L168" s="415"/>
      <c r="M168" s="415"/>
      <c r="N168" s="415"/>
      <c r="O168" s="104"/>
      <c r="P168" s="419"/>
    </row>
    <row r="169" spans="2:16" ht="13.5" customHeight="1">
      <c r="B169" s="418"/>
      <c r="C169" s="1380"/>
      <c r="D169" s="415"/>
      <c r="E169" s="104"/>
      <c r="F169" s="415"/>
      <c r="G169" s="415"/>
      <c r="H169" s="415"/>
      <c r="I169" s="415"/>
      <c r="J169" s="415"/>
      <c r="K169" s="415"/>
      <c r="L169" s="415"/>
      <c r="M169" s="415"/>
      <c r="N169" s="415"/>
      <c r="O169" s="104"/>
      <c r="P169" s="419"/>
    </row>
    <row r="170" spans="2:16" ht="13.5" customHeight="1">
      <c r="B170" s="418"/>
      <c r="C170" s="416" t="s">
        <v>1260</v>
      </c>
      <c r="D170" s="415"/>
      <c r="E170" s="104"/>
      <c r="F170" s="415"/>
      <c r="G170" s="415"/>
      <c r="H170" s="415"/>
      <c r="I170" s="415"/>
      <c r="J170" s="415"/>
      <c r="K170" s="415"/>
      <c r="L170" s="415"/>
      <c r="M170" s="415"/>
      <c r="N170" s="415"/>
      <c r="O170" s="104"/>
      <c r="P170" s="419"/>
    </row>
    <row r="171" spans="2:16" ht="13.5" customHeight="1">
      <c r="B171" s="418"/>
      <c r="C171" s="1360" t="s">
        <v>411</v>
      </c>
      <c r="D171" s="786" t="s">
        <v>65</v>
      </c>
      <c r="E171" s="786" t="s">
        <v>870</v>
      </c>
      <c r="F171" s="787">
        <v>2007</v>
      </c>
      <c r="G171" s="788">
        <f t="shared" ref="G171:O171" si="48">F171+5</f>
        <v>2012</v>
      </c>
      <c r="H171" s="788">
        <f t="shared" si="48"/>
        <v>2017</v>
      </c>
      <c r="I171" s="788">
        <f t="shared" si="48"/>
        <v>2022</v>
      </c>
      <c r="J171" s="788">
        <f t="shared" si="48"/>
        <v>2027</v>
      </c>
      <c r="K171" s="788">
        <f t="shared" si="48"/>
        <v>2032</v>
      </c>
      <c r="L171" s="788">
        <f t="shared" si="48"/>
        <v>2037</v>
      </c>
      <c r="M171" s="788">
        <f t="shared" si="48"/>
        <v>2042</v>
      </c>
      <c r="N171" s="788">
        <f t="shared" si="48"/>
        <v>2047</v>
      </c>
      <c r="O171" s="789">
        <f t="shared" si="48"/>
        <v>2052</v>
      </c>
      <c r="P171" s="419"/>
    </row>
    <row r="172" spans="2:16" ht="13.5" customHeight="1">
      <c r="B172" s="418"/>
      <c r="C172" s="824">
        <v>1</v>
      </c>
      <c r="D172" s="414"/>
      <c r="E172" s="218"/>
      <c r="F172" s="218">
        <v>0</v>
      </c>
      <c r="G172" s="218">
        <v>0</v>
      </c>
      <c r="H172" s="218">
        <v>0</v>
      </c>
      <c r="I172" s="218">
        <v>0</v>
      </c>
      <c r="J172" s="218">
        <v>0</v>
      </c>
      <c r="K172" s="218">
        <v>0</v>
      </c>
      <c r="L172" s="218">
        <v>0.1</v>
      </c>
      <c r="M172" s="218">
        <v>0.2</v>
      </c>
      <c r="N172" s="218">
        <v>0.2</v>
      </c>
      <c r="O172" s="1381">
        <v>0.2</v>
      </c>
      <c r="P172" s="419"/>
    </row>
    <row r="173" spans="2:16" ht="13.5" customHeight="1">
      <c r="B173" s="418"/>
      <c r="C173" s="824">
        <v>2</v>
      </c>
      <c r="D173" s="414"/>
      <c r="E173" s="218"/>
      <c r="F173" s="218">
        <v>0</v>
      </c>
      <c r="G173" s="218">
        <v>0</v>
      </c>
      <c r="H173" s="218">
        <v>0.05</v>
      </c>
      <c r="I173" s="218">
        <v>0.05</v>
      </c>
      <c r="J173" s="218">
        <v>0.05</v>
      </c>
      <c r="K173" s="218">
        <v>0.05</v>
      </c>
      <c r="L173" s="218">
        <v>0.15</v>
      </c>
      <c r="M173" s="218">
        <v>0.25</v>
      </c>
      <c r="N173" s="218">
        <v>0.25</v>
      </c>
      <c r="O173" s="1381">
        <v>0.25</v>
      </c>
      <c r="P173" s="419"/>
    </row>
    <row r="174" spans="2:16" ht="13.5" customHeight="1">
      <c r="B174" s="418"/>
      <c r="C174" s="824">
        <v>3</v>
      </c>
      <c r="D174" s="414"/>
      <c r="E174" s="218"/>
      <c r="F174" s="218">
        <v>0</v>
      </c>
      <c r="G174" s="218">
        <v>0</v>
      </c>
      <c r="H174" s="218">
        <v>0.1</v>
      </c>
      <c r="I174" s="218">
        <v>0.1</v>
      </c>
      <c r="J174" s="218">
        <v>0.1</v>
      </c>
      <c r="K174" s="218">
        <v>0.1</v>
      </c>
      <c r="L174" s="218">
        <v>0.2</v>
      </c>
      <c r="M174" s="218">
        <v>0.3</v>
      </c>
      <c r="N174" s="218">
        <v>0.3</v>
      </c>
      <c r="O174" s="1381">
        <v>0.3</v>
      </c>
      <c r="P174" s="419"/>
    </row>
    <row r="175" spans="2:16" ht="13.5" customHeight="1">
      <c r="B175" s="418"/>
      <c r="C175" s="598">
        <v>4</v>
      </c>
      <c r="D175" s="112"/>
      <c r="E175" s="844"/>
      <c r="F175" s="218">
        <v>0</v>
      </c>
      <c r="G175" s="218">
        <v>0</v>
      </c>
      <c r="H175" s="218">
        <v>0.15</v>
      </c>
      <c r="I175" s="218">
        <v>0.15</v>
      </c>
      <c r="J175" s="218">
        <v>0.15</v>
      </c>
      <c r="K175" s="218">
        <v>0.15</v>
      </c>
      <c r="L175" s="218">
        <v>0.25</v>
      </c>
      <c r="M175" s="218">
        <v>0.35</v>
      </c>
      <c r="N175" s="218">
        <v>0.35</v>
      </c>
      <c r="O175" s="1381">
        <v>0.35</v>
      </c>
      <c r="P175" s="419"/>
    </row>
    <row r="176" spans="2:16" ht="13.5" customHeight="1">
      <c r="B176" s="418"/>
      <c r="C176" s="1359" t="s">
        <v>1061</v>
      </c>
      <c r="D176" s="804"/>
      <c r="E176" s="957"/>
      <c r="F176" s="584">
        <f t="shared" ref="F176:O176" si="49">(INDEX(F$172:F$175,ROUNDDOWN($E$7,0))*(1-MOD($E$7,1)))+(INDEX(F$172:F$175,ROUNDUP($E$7,0))*MOD($E$7,1))</f>
        <v>0</v>
      </c>
      <c r="G176" s="584">
        <f t="shared" si="49"/>
        <v>0</v>
      </c>
      <c r="H176" s="584">
        <f t="shared" si="49"/>
        <v>0</v>
      </c>
      <c r="I176" s="584">
        <f t="shared" si="49"/>
        <v>0</v>
      </c>
      <c r="J176" s="584">
        <f t="shared" si="49"/>
        <v>0</v>
      </c>
      <c r="K176" s="584">
        <f t="shared" si="49"/>
        <v>0</v>
      </c>
      <c r="L176" s="584">
        <f t="shared" si="49"/>
        <v>0.1</v>
      </c>
      <c r="M176" s="584">
        <f t="shared" si="49"/>
        <v>0.2</v>
      </c>
      <c r="N176" s="584">
        <f t="shared" si="49"/>
        <v>0.2</v>
      </c>
      <c r="O176" s="584">
        <f t="shared" si="49"/>
        <v>0.2</v>
      </c>
      <c r="P176" s="419"/>
    </row>
    <row r="177" spans="2:16" ht="13.5" customHeight="1">
      <c r="B177" s="418"/>
      <c r="C177" s="416"/>
      <c r="D177" s="415"/>
      <c r="E177" s="104"/>
      <c r="F177" s="415"/>
      <c r="G177" s="415"/>
      <c r="H177" s="415"/>
      <c r="I177" s="415"/>
      <c r="J177" s="415"/>
      <c r="K177" s="415"/>
      <c r="L177" s="415"/>
      <c r="M177" s="415"/>
      <c r="N177" s="415"/>
      <c r="O177" s="104"/>
      <c r="P177" s="419"/>
    </row>
    <row r="178" spans="2:16" ht="13.5" customHeight="1">
      <c r="B178" s="418"/>
      <c r="C178" s="239" t="s">
        <v>2314</v>
      </c>
      <c r="D178" s="415"/>
      <c r="E178" s="414"/>
      <c r="F178" s="414">
        <f>94*unit.lpe</f>
        <v>8.6558333333333332E-7</v>
      </c>
      <c r="G178" s="414" t="str">
        <f>preferences.energyunits&amp;"/ton"</f>
        <v>TWh/ton</v>
      </c>
      <c r="H178" s="415"/>
      <c r="I178" s="415"/>
      <c r="J178" s="415"/>
      <c r="K178" s="415"/>
      <c r="L178" s="415"/>
      <c r="M178" s="415"/>
      <c r="N178" s="415"/>
      <c r="O178" s="104"/>
      <c r="P178" s="419"/>
    </row>
    <row r="179" spans="2:16" ht="13.5" customHeight="1">
      <c r="B179" s="418"/>
      <c r="C179" s="416"/>
      <c r="D179" s="415"/>
      <c r="E179" s="104"/>
      <c r="F179" s="415"/>
      <c r="G179" s="415"/>
      <c r="H179" s="415"/>
      <c r="I179" s="415"/>
      <c r="J179" s="415"/>
      <c r="K179" s="415"/>
      <c r="L179" s="415"/>
      <c r="M179" s="415"/>
      <c r="N179" s="415"/>
      <c r="O179" s="104"/>
      <c r="P179" s="419"/>
    </row>
    <row r="180" spans="2:16" ht="13.5" customHeight="1">
      <c r="B180" s="418"/>
      <c r="C180" s="416"/>
      <c r="D180" s="415"/>
      <c r="E180" s="104"/>
      <c r="F180" s="415"/>
      <c r="G180" s="415"/>
      <c r="H180" s="415"/>
      <c r="I180" s="415"/>
      <c r="J180" s="415"/>
      <c r="K180" s="415"/>
      <c r="L180" s="415"/>
      <c r="M180" s="415"/>
      <c r="N180" s="415"/>
      <c r="O180" s="104"/>
      <c r="P180" s="419"/>
    </row>
    <row r="181" spans="2:16" ht="13.5" customHeight="1">
      <c r="B181" s="418"/>
      <c r="C181" s="1380" t="s">
        <v>1262</v>
      </c>
      <c r="D181" s="415"/>
      <c r="E181" s="104"/>
      <c r="F181" s="415"/>
      <c r="G181" s="415"/>
      <c r="H181" s="415"/>
      <c r="I181" s="415"/>
      <c r="J181" s="415"/>
      <c r="K181" s="415"/>
      <c r="L181" s="415"/>
      <c r="M181" s="415"/>
      <c r="N181" s="415"/>
      <c r="O181" s="104"/>
      <c r="P181" s="419"/>
    </row>
    <row r="182" spans="2:16" ht="13.5" customHeight="1">
      <c r="B182" s="418"/>
      <c r="C182" s="416"/>
      <c r="D182" s="415"/>
      <c r="E182" s="104"/>
      <c r="F182" s="415"/>
      <c r="G182" s="415"/>
      <c r="H182" s="415"/>
      <c r="I182" s="415"/>
      <c r="J182" s="415"/>
      <c r="K182" s="415"/>
      <c r="L182" s="415"/>
      <c r="M182" s="415"/>
      <c r="N182" s="415"/>
      <c r="O182" s="104"/>
      <c r="P182" s="419"/>
    </row>
    <row r="183" spans="2:16" ht="13.5" customHeight="1">
      <c r="B183" s="418"/>
      <c r="C183" s="239" t="s">
        <v>2321</v>
      </c>
      <c r="D183" s="415"/>
      <c r="E183" s="104"/>
      <c r="F183" s="293">
        <f>4%</f>
        <v>0.04</v>
      </c>
      <c r="G183" s="415"/>
      <c r="H183" s="415"/>
      <c r="I183" s="415"/>
      <c r="J183" s="415"/>
      <c r="K183" s="415"/>
      <c r="L183" s="415"/>
      <c r="M183" s="415"/>
      <c r="N183" s="415"/>
      <c r="O183" s="104"/>
      <c r="P183" s="419"/>
    </row>
    <row r="184" spans="2:16" ht="13.5" customHeight="1">
      <c r="B184" s="418"/>
      <c r="C184" s="239"/>
      <c r="D184" s="415"/>
      <c r="E184" s="104"/>
      <c r="F184" s="415"/>
      <c r="G184" s="415"/>
      <c r="H184" s="415"/>
      <c r="I184" s="415"/>
      <c r="J184" s="415"/>
      <c r="K184" s="415"/>
      <c r="L184" s="415"/>
      <c r="M184" s="415"/>
      <c r="N184" s="415"/>
      <c r="O184" s="104"/>
      <c r="P184" s="419"/>
    </row>
    <row r="185" spans="2:16" ht="13.5" customHeight="1">
      <c r="B185" s="418"/>
      <c r="C185" s="239" t="s">
        <v>1450</v>
      </c>
      <c r="D185" s="415"/>
      <c r="E185" s="104"/>
      <c r="F185" s="293">
        <f>85%</f>
        <v>0.85</v>
      </c>
      <c r="G185" s="415"/>
      <c r="H185" s="415"/>
      <c r="I185" s="415"/>
      <c r="J185" s="415"/>
      <c r="K185" s="415"/>
      <c r="L185" s="415"/>
      <c r="M185" s="415"/>
      <c r="N185" s="415"/>
      <c r="O185" s="104"/>
      <c r="P185" s="419"/>
    </row>
    <row r="186" spans="2:16" ht="13.5" customHeight="1">
      <c r="B186" s="418"/>
      <c r="C186" s="416"/>
      <c r="D186" s="415"/>
      <c r="E186" s="104"/>
      <c r="F186" s="415"/>
      <c r="G186" s="415"/>
      <c r="H186" s="415"/>
      <c r="I186" s="415"/>
      <c r="J186" s="415"/>
      <c r="K186" s="415"/>
      <c r="L186" s="415"/>
      <c r="M186" s="415"/>
      <c r="N186" s="415"/>
      <c r="O186" s="104"/>
      <c r="P186" s="419"/>
    </row>
    <row r="187" spans="2:16" ht="13.5" customHeight="1">
      <c r="B187" s="418"/>
      <c r="C187" s="416" t="s">
        <v>1263</v>
      </c>
      <c r="D187" s="415"/>
      <c r="E187" s="104"/>
      <c r="F187" s="415"/>
      <c r="G187" s="415"/>
      <c r="H187" s="415"/>
      <c r="I187" s="415"/>
      <c r="J187" s="415"/>
      <c r="K187" s="415"/>
      <c r="L187" s="415"/>
      <c r="M187" s="415"/>
      <c r="N187" s="415"/>
      <c r="O187" s="104"/>
      <c r="P187" s="419"/>
    </row>
    <row r="188" spans="2:16" ht="13.5" customHeight="1">
      <c r="B188" s="418"/>
      <c r="C188" s="416"/>
      <c r="D188" s="415"/>
      <c r="E188" s="104"/>
      <c r="F188" s="415"/>
      <c r="G188" s="415"/>
      <c r="H188" s="415"/>
      <c r="I188" s="415"/>
      <c r="J188" s="415"/>
      <c r="K188" s="415"/>
      <c r="L188" s="415"/>
      <c r="M188" s="415"/>
      <c r="N188" s="415"/>
      <c r="O188" s="104"/>
      <c r="P188" s="419"/>
    </row>
    <row r="189" spans="2:16" ht="13.5" customHeight="1">
      <c r="B189" s="418"/>
      <c r="C189" s="1360" t="s">
        <v>411</v>
      </c>
      <c r="D189" s="786" t="s">
        <v>65</v>
      </c>
      <c r="E189" s="786" t="s">
        <v>870</v>
      </c>
      <c r="F189" s="787">
        <v>2007</v>
      </c>
      <c r="G189" s="788">
        <f t="shared" ref="G189:O189" si="50">F189+5</f>
        <v>2012</v>
      </c>
      <c r="H189" s="788">
        <f t="shared" si="50"/>
        <v>2017</v>
      </c>
      <c r="I189" s="788">
        <f t="shared" si="50"/>
        <v>2022</v>
      </c>
      <c r="J189" s="788">
        <f t="shared" si="50"/>
        <v>2027</v>
      </c>
      <c r="K189" s="788">
        <f t="shared" si="50"/>
        <v>2032</v>
      </c>
      <c r="L189" s="788">
        <f t="shared" si="50"/>
        <v>2037</v>
      </c>
      <c r="M189" s="788">
        <f t="shared" si="50"/>
        <v>2042</v>
      </c>
      <c r="N189" s="788">
        <f t="shared" si="50"/>
        <v>2047</v>
      </c>
      <c r="O189" s="789">
        <f t="shared" si="50"/>
        <v>2052</v>
      </c>
      <c r="P189" s="419"/>
    </row>
    <row r="190" spans="2:16" ht="13.5" customHeight="1">
      <c r="B190" s="418"/>
      <c r="C190" s="824">
        <v>1</v>
      </c>
      <c r="D190" s="414"/>
      <c r="E190" s="218"/>
      <c r="F190" s="218">
        <v>0</v>
      </c>
      <c r="G190" s="218">
        <v>0</v>
      </c>
      <c r="H190" s="218">
        <v>0.1</v>
      </c>
      <c r="I190" s="218">
        <v>0.2</v>
      </c>
      <c r="J190" s="218">
        <v>0.2</v>
      </c>
      <c r="K190" s="218">
        <v>0.25</v>
      </c>
      <c r="L190" s="218">
        <v>0.25</v>
      </c>
      <c r="M190" s="218">
        <v>0.25</v>
      </c>
      <c r="N190" s="218">
        <v>0.25</v>
      </c>
      <c r="O190" s="1381">
        <v>0.25</v>
      </c>
      <c r="P190" s="419"/>
    </row>
    <row r="191" spans="2:16" ht="13.5" customHeight="1">
      <c r="B191" s="418"/>
      <c r="C191" s="824">
        <v>2</v>
      </c>
      <c r="D191" s="414"/>
      <c r="E191" s="218"/>
      <c r="F191" s="218">
        <v>0</v>
      </c>
      <c r="G191" s="218">
        <v>0</v>
      </c>
      <c r="H191" s="218">
        <v>0.15</v>
      </c>
      <c r="I191" s="218">
        <v>0.25</v>
      </c>
      <c r="J191" s="218">
        <v>0.25</v>
      </c>
      <c r="K191" s="218">
        <v>0.3</v>
      </c>
      <c r="L191" s="218">
        <v>0.3</v>
      </c>
      <c r="M191" s="218">
        <v>0.3</v>
      </c>
      <c r="N191" s="218">
        <v>0.3</v>
      </c>
      <c r="O191" s="1381">
        <v>0.3</v>
      </c>
      <c r="P191" s="419"/>
    </row>
    <row r="192" spans="2:16" ht="13.5" customHeight="1">
      <c r="B192" s="418"/>
      <c r="C192" s="824">
        <v>3</v>
      </c>
      <c r="D192" s="414"/>
      <c r="E192" s="218"/>
      <c r="F192" s="218">
        <v>0</v>
      </c>
      <c r="G192" s="218">
        <v>0</v>
      </c>
      <c r="H192" s="218">
        <v>0.2</v>
      </c>
      <c r="I192" s="218">
        <v>0.3</v>
      </c>
      <c r="J192" s="218">
        <v>0.3</v>
      </c>
      <c r="K192" s="218">
        <v>0.35</v>
      </c>
      <c r="L192" s="218">
        <v>0.35</v>
      </c>
      <c r="M192" s="218">
        <v>0.35</v>
      </c>
      <c r="N192" s="218">
        <v>0.35</v>
      </c>
      <c r="O192" s="1381">
        <v>0.35</v>
      </c>
      <c r="P192" s="419"/>
    </row>
    <row r="193" spans="2:16" ht="13.5" customHeight="1">
      <c r="B193" s="418"/>
      <c r="C193" s="598">
        <v>4</v>
      </c>
      <c r="D193" s="112"/>
      <c r="E193" s="844"/>
      <c r="F193" s="218">
        <v>0</v>
      </c>
      <c r="G193" s="218">
        <v>0</v>
      </c>
      <c r="H193" s="218">
        <v>0.25</v>
      </c>
      <c r="I193" s="218">
        <v>0.35</v>
      </c>
      <c r="J193" s="218">
        <v>0.35</v>
      </c>
      <c r="K193" s="218">
        <v>0.4</v>
      </c>
      <c r="L193" s="218">
        <v>0.4</v>
      </c>
      <c r="M193" s="218">
        <v>0.4</v>
      </c>
      <c r="N193" s="218">
        <v>0.4</v>
      </c>
      <c r="O193" s="1381">
        <v>0.4</v>
      </c>
      <c r="P193" s="419"/>
    </row>
    <row r="194" spans="2:16" ht="13.5" customHeight="1">
      <c r="B194" s="418"/>
      <c r="C194" s="1359" t="s">
        <v>1061</v>
      </c>
      <c r="D194" s="804"/>
      <c r="E194" s="957"/>
      <c r="F194" s="584">
        <f t="shared" ref="F194:O194" si="51">(INDEX(F$190:F$193,ROUNDDOWN($E$7,0))*(1-MOD($E$7,1)))+(INDEX(F$190:F$193,ROUNDUP($E$7,0))*MOD($E$7,1))</f>
        <v>0</v>
      </c>
      <c r="G194" s="584">
        <f t="shared" si="51"/>
        <v>0</v>
      </c>
      <c r="H194" s="584">
        <f t="shared" si="51"/>
        <v>0.1</v>
      </c>
      <c r="I194" s="584">
        <f t="shared" si="51"/>
        <v>0.2</v>
      </c>
      <c r="J194" s="584">
        <f t="shared" si="51"/>
        <v>0.2</v>
      </c>
      <c r="K194" s="584">
        <f t="shared" si="51"/>
        <v>0.25</v>
      </c>
      <c r="L194" s="584">
        <f t="shared" si="51"/>
        <v>0.25</v>
      </c>
      <c r="M194" s="584">
        <f t="shared" si="51"/>
        <v>0.25</v>
      </c>
      <c r="N194" s="584">
        <f t="shared" si="51"/>
        <v>0.25</v>
      </c>
      <c r="O194" s="584">
        <f t="shared" si="51"/>
        <v>0.25</v>
      </c>
      <c r="P194" s="419"/>
    </row>
    <row r="195" spans="2:16" ht="13.5" customHeight="1">
      <c r="B195" s="418"/>
      <c r="C195" s="416"/>
      <c r="D195" s="415"/>
      <c r="E195" s="104"/>
      <c r="F195" s="415"/>
      <c r="G195" s="415"/>
      <c r="H195" s="415"/>
      <c r="I195" s="415"/>
      <c r="J195" s="415"/>
      <c r="K195" s="415"/>
      <c r="L195" s="415"/>
      <c r="M195" s="415"/>
      <c r="N195" s="415"/>
      <c r="O195" s="104"/>
      <c r="P195" s="419"/>
    </row>
    <row r="196" spans="2:16" ht="13.5" customHeight="1">
      <c r="B196" s="418"/>
      <c r="C196" s="416"/>
      <c r="D196" s="415"/>
      <c r="E196" s="104"/>
      <c r="F196" s="415"/>
      <c r="G196" s="415"/>
      <c r="H196" s="415"/>
      <c r="I196" s="415"/>
      <c r="J196" s="415"/>
      <c r="K196" s="415"/>
      <c r="L196" s="415"/>
      <c r="M196" s="415"/>
      <c r="N196" s="415"/>
      <c r="O196" s="104"/>
      <c r="P196" s="419"/>
    </row>
    <row r="197" spans="2:16" ht="13.5" customHeight="1">
      <c r="B197" s="418"/>
      <c r="C197" s="416" t="s">
        <v>2323</v>
      </c>
      <c r="D197" s="415"/>
      <c r="E197" s="104"/>
      <c r="F197" s="415">
        <f>270*unit.lpe</f>
        <v>2.4862500000000001E-6</v>
      </c>
      <c r="G197" s="414" t="str">
        <f>preferences.energyunits&amp;"/ton"</f>
        <v>TWh/ton</v>
      </c>
      <c r="H197" s="415"/>
      <c r="I197" s="415"/>
      <c r="J197" s="415"/>
      <c r="K197" s="415"/>
      <c r="L197" s="415"/>
      <c r="M197" s="415"/>
      <c r="N197" s="415"/>
      <c r="O197" s="104"/>
      <c r="P197" s="419"/>
    </row>
    <row r="198" spans="2:16" ht="13.5" customHeight="1">
      <c r="B198" s="418"/>
      <c r="C198" s="416"/>
      <c r="D198" s="415"/>
      <c r="E198" s="104"/>
      <c r="F198" s="415"/>
      <c r="G198" s="415"/>
      <c r="H198" s="415"/>
      <c r="I198" s="415"/>
      <c r="J198" s="415"/>
      <c r="K198" s="415"/>
      <c r="L198" s="415"/>
      <c r="M198" s="415"/>
      <c r="N198" s="415"/>
      <c r="O198" s="104"/>
      <c r="P198" s="419"/>
    </row>
    <row r="199" spans="2:16" ht="13.5" customHeight="1">
      <c r="B199" s="418"/>
      <c r="C199" s="1380" t="s">
        <v>1264</v>
      </c>
      <c r="D199" s="415"/>
      <c r="E199" s="104"/>
      <c r="F199" s="415"/>
      <c r="G199" s="415"/>
      <c r="H199" s="415"/>
      <c r="I199" s="415"/>
      <c r="J199" s="415"/>
      <c r="K199" s="415"/>
      <c r="L199" s="415"/>
      <c r="M199" s="415"/>
      <c r="N199" s="415"/>
      <c r="O199" s="104"/>
      <c r="P199" s="419"/>
    </row>
    <row r="200" spans="2:16" ht="13.5" customHeight="1">
      <c r="B200" s="418"/>
      <c r="C200" s="416"/>
      <c r="D200" s="415"/>
      <c r="E200" s="104"/>
      <c r="F200" s="415"/>
      <c r="G200" s="415"/>
      <c r="H200" s="415"/>
      <c r="I200" s="415"/>
      <c r="J200" s="415"/>
      <c r="K200" s="415"/>
      <c r="L200" s="415"/>
      <c r="M200" s="415"/>
      <c r="N200" s="415"/>
      <c r="O200" s="104"/>
      <c r="P200" s="419"/>
    </row>
    <row r="201" spans="2:16" ht="13.5" customHeight="1">
      <c r="B201" s="418"/>
      <c r="C201" s="239" t="s">
        <v>2322</v>
      </c>
      <c r="D201" s="415"/>
      <c r="E201" s="104"/>
      <c r="F201" s="415">
        <f>70*unit.lpe</f>
        <v>6.4458333333333334E-7</v>
      </c>
      <c r="G201" s="414" t="str">
        <f>preferences.energyunits&amp;"/ton"</f>
        <v>TWh/ton</v>
      </c>
      <c r="H201" s="415"/>
      <c r="I201" s="415"/>
      <c r="J201" s="415"/>
      <c r="K201" s="415"/>
      <c r="L201" s="415"/>
      <c r="M201" s="415"/>
      <c r="N201" s="415"/>
      <c r="O201" s="104"/>
      <c r="P201" s="419"/>
    </row>
    <row r="202" spans="2:16" ht="13.5" customHeight="1">
      <c r="B202" s="418"/>
      <c r="C202" s="416"/>
      <c r="D202" s="415"/>
      <c r="E202" s="104"/>
      <c r="F202" s="415"/>
      <c r="G202" s="415"/>
      <c r="H202" s="415"/>
      <c r="I202" s="415"/>
      <c r="J202" s="415"/>
      <c r="K202" s="415"/>
      <c r="L202" s="415"/>
      <c r="M202" s="415"/>
      <c r="N202" s="415"/>
      <c r="O202" s="104"/>
      <c r="P202" s="419"/>
    </row>
    <row r="203" spans="2:16" ht="13.5" customHeight="1">
      <c r="B203" s="418"/>
      <c r="C203" s="416"/>
      <c r="D203" s="415"/>
      <c r="E203" s="104"/>
      <c r="F203" s="415"/>
      <c r="G203" s="415"/>
      <c r="H203" s="415"/>
      <c r="I203" s="415"/>
      <c r="J203" s="415"/>
      <c r="K203" s="415"/>
      <c r="L203" s="415"/>
      <c r="M203" s="415"/>
      <c r="N203" s="415"/>
      <c r="O203" s="104"/>
      <c r="P203" s="419"/>
    </row>
    <row r="204" spans="2:16" ht="13.5" customHeight="1">
      <c r="B204" s="418"/>
      <c r="C204" s="416"/>
      <c r="D204" s="415"/>
      <c r="E204" s="104"/>
      <c r="F204" s="415"/>
      <c r="G204" s="415"/>
      <c r="H204" s="415"/>
      <c r="I204" s="415"/>
      <c r="J204" s="415"/>
      <c r="K204" s="415"/>
      <c r="L204" s="415"/>
      <c r="M204" s="415"/>
      <c r="N204" s="415"/>
      <c r="O204" s="104"/>
      <c r="P204" s="419"/>
    </row>
    <row r="205" spans="2:16" ht="13.5" customHeight="1">
      <c r="B205" s="418"/>
      <c r="C205" s="1380" t="s">
        <v>1265</v>
      </c>
      <c r="D205" s="415"/>
      <c r="E205" s="104"/>
      <c r="F205" s="415"/>
      <c r="G205" s="415"/>
      <c r="H205" s="415"/>
      <c r="I205" s="415"/>
      <c r="J205" s="415"/>
      <c r="K205" s="415"/>
      <c r="L205" s="415"/>
      <c r="M205" s="415"/>
      <c r="N205" s="415"/>
      <c r="O205" s="104"/>
      <c r="P205" s="419"/>
    </row>
    <row r="206" spans="2:16" ht="13.5" customHeight="1">
      <c r="B206" s="418"/>
      <c r="C206" s="416"/>
      <c r="D206" s="415"/>
      <c r="E206" s="104"/>
      <c r="F206" s="415"/>
      <c r="G206" s="415"/>
      <c r="H206" s="415"/>
      <c r="I206" s="415"/>
      <c r="J206" s="415"/>
      <c r="K206" s="415"/>
      <c r="L206" s="415"/>
      <c r="M206" s="415"/>
      <c r="N206" s="415"/>
      <c r="O206" s="104"/>
      <c r="P206" s="419"/>
    </row>
    <row r="207" spans="2:16" ht="13.5" customHeight="1">
      <c r="B207" s="418"/>
      <c r="C207" s="239" t="s">
        <v>1266</v>
      </c>
      <c r="D207" s="415"/>
      <c r="E207" s="104"/>
      <c r="F207" s="293">
        <f>60%</f>
        <v>0.6</v>
      </c>
      <c r="G207" s="402"/>
      <c r="H207" s="415"/>
      <c r="I207" s="415"/>
      <c r="J207" s="415"/>
      <c r="K207" s="415"/>
      <c r="L207" s="415"/>
      <c r="M207" s="415"/>
      <c r="N207" s="415"/>
      <c r="O207" s="104"/>
      <c r="P207" s="419"/>
    </row>
    <row r="208" spans="2:16" ht="13.5" customHeight="1">
      <c r="B208" s="418"/>
      <c r="C208" s="416"/>
      <c r="D208" s="415"/>
      <c r="E208" s="104"/>
      <c r="F208" s="415"/>
      <c r="G208" s="415"/>
      <c r="H208" s="415"/>
      <c r="I208" s="415"/>
      <c r="J208" s="415"/>
      <c r="K208" s="415"/>
      <c r="L208" s="415"/>
      <c r="M208" s="415"/>
      <c r="N208" s="415"/>
      <c r="O208" s="104"/>
      <c r="P208" s="419"/>
    </row>
    <row r="209" spans="2:16" ht="13.5" customHeight="1">
      <c r="B209" s="418"/>
      <c r="C209" s="416" t="s">
        <v>1267</v>
      </c>
      <c r="D209" s="415"/>
      <c r="E209" s="104"/>
      <c r="F209" s="415"/>
      <c r="G209" s="415"/>
      <c r="H209" s="415"/>
      <c r="I209" s="415"/>
      <c r="J209" s="415"/>
      <c r="K209" s="415"/>
      <c r="L209" s="415"/>
      <c r="M209" s="415"/>
      <c r="N209" s="415"/>
      <c r="O209" s="104"/>
      <c r="P209" s="419"/>
    </row>
    <row r="210" spans="2:16" ht="13.5" customHeight="1">
      <c r="B210" s="418"/>
      <c r="C210" s="416"/>
      <c r="D210" s="415"/>
      <c r="E210" s="104"/>
      <c r="F210" s="415"/>
      <c r="G210" s="415"/>
      <c r="H210" s="415"/>
      <c r="I210" s="415"/>
      <c r="J210" s="415"/>
      <c r="K210" s="415"/>
      <c r="L210" s="415"/>
      <c r="M210" s="415"/>
      <c r="N210" s="415"/>
      <c r="O210" s="104"/>
      <c r="P210" s="419"/>
    </row>
    <row r="211" spans="2:16" ht="13.5" customHeight="1">
      <c r="B211" s="418"/>
      <c r="C211" s="1360" t="s">
        <v>411</v>
      </c>
      <c r="D211" s="786" t="s">
        <v>65</v>
      </c>
      <c r="E211" s="786" t="s">
        <v>870</v>
      </c>
      <c r="F211" s="787">
        <v>2007</v>
      </c>
      <c r="G211" s="788">
        <f t="shared" ref="G211:O211" si="52">F211+5</f>
        <v>2012</v>
      </c>
      <c r="H211" s="788">
        <f t="shared" si="52"/>
        <v>2017</v>
      </c>
      <c r="I211" s="788">
        <f t="shared" si="52"/>
        <v>2022</v>
      </c>
      <c r="J211" s="788">
        <f t="shared" si="52"/>
        <v>2027</v>
      </c>
      <c r="K211" s="788">
        <f t="shared" si="52"/>
        <v>2032</v>
      </c>
      <c r="L211" s="788">
        <f t="shared" si="52"/>
        <v>2037</v>
      </c>
      <c r="M211" s="788">
        <f t="shared" si="52"/>
        <v>2042</v>
      </c>
      <c r="N211" s="788">
        <f t="shared" si="52"/>
        <v>2047</v>
      </c>
      <c r="O211" s="789">
        <f t="shared" si="52"/>
        <v>2052</v>
      </c>
      <c r="P211" s="419"/>
    </row>
    <row r="212" spans="2:16" ht="13.5" customHeight="1">
      <c r="B212" s="418"/>
      <c r="C212" s="824">
        <v>1</v>
      </c>
      <c r="D212" s="414"/>
      <c r="E212" s="218"/>
      <c r="F212" s="218">
        <v>0.01</v>
      </c>
      <c r="G212" s="218">
        <v>0.02</v>
      </c>
      <c r="H212" s="218">
        <v>0.01</v>
      </c>
      <c r="I212" s="218">
        <v>0.01</v>
      </c>
      <c r="J212" s="218">
        <v>0.01</v>
      </c>
      <c r="K212" s="218">
        <v>0.01</v>
      </c>
      <c r="L212" s="218">
        <v>0.05</v>
      </c>
      <c r="M212" s="218">
        <v>0.1</v>
      </c>
      <c r="N212" s="218">
        <v>0.1</v>
      </c>
      <c r="O212" s="1381">
        <v>0.1</v>
      </c>
      <c r="P212" s="419"/>
    </row>
    <row r="213" spans="2:16" ht="13.5" customHeight="1">
      <c r="B213" s="418"/>
      <c r="C213" s="824">
        <v>2</v>
      </c>
      <c r="D213" s="414"/>
      <c r="E213" s="218"/>
      <c r="F213" s="218">
        <v>0.01</v>
      </c>
      <c r="G213" s="218">
        <v>0.02</v>
      </c>
      <c r="H213" s="218">
        <v>0.02</v>
      </c>
      <c r="I213" s="218">
        <v>0.02</v>
      </c>
      <c r="J213" s="218">
        <v>0.02</v>
      </c>
      <c r="K213" s="218">
        <v>0.02</v>
      </c>
      <c r="L213" s="218">
        <v>7.0000000000000007E-2</v>
      </c>
      <c r="M213" s="218">
        <v>0.12</v>
      </c>
      <c r="N213" s="218">
        <v>0.12</v>
      </c>
      <c r="O213" s="1381">
        <v>0.12</v>
      </c>
      <c r="P213" s="419"/>
    </row>
    <row r="214" spans="2:16" ht="13.5" customHeight="1">
      <c r="B214" s="418"/>
      <c r="C214" s="824">
        <v>3</v>
      </c>
      <c r="D214" s="414"/>
      <c r="E214" s="218"/>
      <c r="F214" s="218">
        <v>0.01</v>
      </c>
      <c r="G214" s="218">
        <v>0.02</v>
      </c>
      <c r="H214" s="218">
        <v>0.03</v>
      </c>
      <c r="I214" s="218">
        <v>0.03</v>
      </c>
      <c r="J214" s="218">
        <v>0.03</v>
      </c>
      <c r="K214" s="218">
        <v>0.03</v>
      </c>
      <c r="L214" s="218">
        <v>0.1</v>
      </c>
      <c r="M214" s="218">
        <v>0.15</v>
      </c>
      <c r="N214" s="218">
        <v>0.15</v>
      </c>
      <c r="O214" s="1381">
        <v>0.15</v>
      </c>
      <c r="P214" s="419"/>
    </row>
    <row r="215" spans="2:16" ht="13.5" customHeight="1">
      <c r="B215" s="418"/>
      <c r="C215" s="598">
        <v>4</v>
      </c>
      <c r="D215" s="112"/>
      <c r="E215" s="844"/>
      <c r="F215" s="218">
        <v>0.01</v>
      </c>
      <c r="G215" s="218">
        <v>0.02</v>
      </c>
      <c r="H215" s="218">
        <v>0.04</v>
      </c>
      <c r="I215" s="218">
        <v>0.04</v>
      </c>
      <c r="J215" s="218">
        <v>0.04</v>
      </c>
      <c r="K215" s="218">
        <v>0.04</v>
      </c>
      <c r="L215" s="218">
        <v>0.12</v>
      </c>
      <c r="M215" s="218">
        <v>0.2</v>
      </c>
      <c r="N215" s="218">
        <v>0.2</v>
      </c>
      <c r="O215" s="1381">
        <v>0.2</v>
      </c>
      <c r="P215" s="419"/>
    </row>
    <row r="216" spans="2:16" ht="13.5" customHeight="1">
      <c r="B216" s="418"/>
      <c r="C216" s="1359" t="s">
        <v>1061</v>
      </c>
      <c r="D216" s="804"/>
      <c r="E216" s="957"/>
      <c r="F216" s="584">
        <f t="shared" ref="F216:O216" si="53">(INDEX(F$212:F$215,ROUNDDOWN($E$7,0))*(1-MOD($E$7,1)))+(INDEX(F$212:F$215,ROUNDUP($E$7,0))*MOD($E$7,1))</f>
        <v>0.01</v>
      </c>
      <c r="G216" s="584">
        <f t="shared" si="53"/>
        <v>0.02</v>
      </c>
      <c r="H216" s="584">
        <f t="shared" si="53"/>
        <v>0.01</v>
      </c>
      <c r="I216" s="584">
        <f t="shared" si="53"/>
        <v>0.01</v>
      </c>
      <c r="J216" s="584">
        <f t="shared" si="53"/>
        <v>0.01</v>
      </c>
      <c r="K216" s="584">
        <f t="shared" si="53"/>
        <v>0.01</v>
      </c>
      <c r="L216" s="584">
        <f t="shared" si="53"/>
        <v>0.05</v>
      </c>
      <c r="M216" s="584">
        <f t="shared" si="53"/>
        <v>0.1</v>
      </c>
      <c r="N216" s="584">
        <f t="shared" si="53"/>
        <v>0.1</v>
      </c>
      <c r="O216" s="584">
        <f t="shared" si="53"/>
        <v>0.1</v>
      </c>
      <c r="P216" s="419"/>
    </row>
    <row r="217" spans="2:16" ht="13.5" customHeight="1">
      <c r="B217" s="418"/>
      <c r="C217" s="416"/>
      <c r="D217" s="415"/>
      <c r="E217" s="104"/>
      <c r="F217" s="415"/>
      <c r="G217" s="415"/>
      <c r="H217" s="415"/>
      <c r="I217" s="415"/>
      <c r="J217" s="415"/>
      <c r="K217" s="415"/>
      <c r="L217" s="415"/>
      <c r="M217" s="415"/>
      <c r="N217" s="415"/>
      <c r="O217" s="104"/>
      <c r="P217" s="419"/>
    </row>
    <row r="218" spans="2:16" ht="13.5" customHeight="1">
      <c r="B218" s="418"/>
      <c r="C218" s="416"/>
      <c r="D218" s="415"/>
      <c r="E218" s="104"/>
      <c r="F218" s="415"/>
      <c r="G218" s="415"/>
      <c r="H218" s="415"/>
      <c r="I218" s="415"/>
      <c r="J218" s="415"/>
      <c r="K218" s="415"/>
      <c r="L218" s="415"/>
      <c r="M218" s="415"/>
      <c r="N218" s="415"/>
      <c r="O218" s="104"/>
      <c r="P218" s="419"/>
    </row>
    <row r="219" spans="2:16" s="2821" customFormat="1" ht="13.5" customHeight="1">
      <c r="B219" s="418"/>
      <c r="C219" s="1360"/>
      <c r="D219" s="786" t="s">
        <v>65</v>
      </c>
      <c r="E219" s="786" t="s">
        <v>870</v>
      </c>
      <c r="F219" s="787">
        <v>2007</v>
      </c>
      <c r="G219" s="788">
        <f t="shared" ref="G219:O219" si="54">F219+5</f>
        <v>2012</v>
      </c>
      <c r="H219" s="788">
        <f t="shared" si="54"/>
        <v>2017</v>
      </c>
      <c r="I219" s="788">
        <f t="shared" si="54"/>
        <v>2022</v>
      </c>
      <c r="J219" s="788">
        <f t="shared" si="54"/>
        <v>2027</v>
      </c>
      <c r="K219" s="788">
        <f t="shared" si="54"/>
        <v>2032</v>
      </c>
      <c r="L219" s="788">
        <f t="shared" si="54"/>
        <v>2037</v>
      </c>
      <c r="M219" s="788">
        <f t="shared" si="54"/>
        <v>2042</v>
      </c>
      <c r="N219" s="788">
        <f t="shared" si="54"/>
        <v>2047</v>
      </c>
      <c r="O219" s="789">
        <f t="shared" si="54"/>
        <v>2052</v>
      </c>
      <c r="P219" s="419"/>
    </row>
    <row r="220" spans="2:16" s="2821" customFormat="1" ht="13.5" customHeight="1">
      <c r="B220" s="418"/>
      <c r="C220" s="1365" t="str">
        <f>"Bioethanol yield from Corn Residue in " &amp;preferences.energyunits &amp;"/Metric Tonne"</f>
        <v>Bioethanol yield from Corn Residue in TWh/Metric Tonne</v>
      </c>
      <c r="D220" s="2666"/>
      <c r="E220" s="2681"/>
      <c r="F220" s="2826">
        <f>285*(unit.lpe)</f>
        <v>2.6243749999999998E-6</v>
      </c>
      <c r="G220" s="2826">
        <f>285*(unit.lpe)</f>
        <v>2.6243749999999998E-6</v>
      </c>
      <c r="H220" s="2826">
        <f>285*(unit.lpe)</f>
        <v>2.6243749999999998E-6</v>
      </c>
      <c r="I220" s="2826">
        <f>290*(unit.lpe)</f>
        <v>2.6704166666666666E-6</v>
      </c>
      <c r="J220" s="2826">
        <f>295*(unit.lpe)</f>
        <v>2.7164583333333334E-6</v>
      </c>
      <c r="K220" s="2826">
        <f>300*(unit.lpe)</f>
        <v>2.7624999999999998E-6</v>
      </c>
      <c r="L220" s="2826">
        <f>305*(unit.lpe)</f>
        <v>2.8085416666666666E-6</v>
      </c>
      <c r="M220" s="2826">
        <f>310*(unit.lpe)</f>
        <v>2.8545833333333335E-6</v>
      </c>
      <c r="N220" s="2826">
        <f>315*(unit.lpe)</f>
        <v>2.9006249999999999E-6</v>
      </c>
      <c r="O220" s="2826">
        <f>320*(unit.lpe)</f>
        <v>2.9466666666666667E-6</v>
      </c>
      <c r="P220" s="419"/>
    </row>
    <row r="221" spans="2:16" s="2821" customFormat="1" ht="13.5" customHeight="1">
      <c r="B221" s="418"/>
      <c r="C221" s="416"/>
      <c r="D221" s="415"/>
      <c r="E221" s="104"/>
      <c r="F221" s="415"/>
      <c r="G221" s="415"/>
      <c r="H221" s="415"/>
      <c r="I221" s="415"/>
      <c r="J221" s="415"/>
      <c r="K221" s="415"/>
      <c r="L221" s="415"/>
      <c r="M221" s="415"/>
      <c r="N221" s="415"/>
      <c r="O221" s="104"/>
      <c r="P221" s="419"/>
    </row>
    <row r="222" spans="2:16" ht="13.5" customHeight="1">
      <c r="B222" s="418"/>
      <c r="C222" s="416"/>
      <c r="D222" s="415"/>
      <c r="E222" s="104"/>
      <c r="F222" s="415"/>
      <c r="G222" s="415"/>
      <c r="H222" s="415"/>
      <c r="I222" s="415"/>
      <c r="J222" s="415"/>
      <c r="K222" s="415"/>
      <c r="L222" s="415"/>
      <c r="M222" s="415"/>
      <c r="N222" s="415"/>
      <c r="O222" s="104"/>
      <c r="P222" s="419"/>
    </row>
    <row r="223" spans="2:16" ht="13.5" customHeight="1">
      <c r="B223" s="418"/>
      <c r="C223" s="1380" t="s">
        <v>1268</v>
      </c>
      <c r="D223" s="415"/>
      <c r="E223" s="104"/>
      <c r="F223" s="415"/>
      <c r="G223" s="415"/>
      <c r="H223" s="415"/>
      <c r="I223" s="415"/>
      <c r="J223" s="415"/>
      <c r="K223" s="415"/>
      <c r="L223" s="415"/>
      <c r="M223" s="415"/>
      <c r="N223" s="415"/>
      <c r="O223" s="104"/>
      <c r="P223" s="419"/>
    </row>
    <row r="224" spans="2:16" ht="13.5" customHeight="1">
      <c r="B224" s="418"/>
      <c r="C224" s="416"/>
      <c r="D224" s="415"/>
      <c r="E224" s="104"/>
      <c r="F224" s="415"/>
      <c r="G224" s="415"/>
      <c r="H224" s="415"/>
      <c r="I224" s="415"/>
      <c r="J224" s="415"/>
      <c r="K224" s="415"/>
      <c r="L224" s="415"/>
      <c r="M224" s="415"/>
      <c r="N224" s="415"/>
      <c r="O224" s="104"/>
      <c r="P224" s="419"/>
    </row>
    <row r="225" spans="2:16" ht="13.5" customHeight="1">
      <c r="B225" s="418"/>
      <c r="C225" s="416" t="s">
        <v>1269</v>
      </c>
      <c r="D225" s="415"/>
      <c r="E225" s="104"/>
      <c r="F225" s="293">
        <f>30%</f>
        <v>0.3</v>
      </c>
      <c r="G225" s="415"/>
      <c r="H225" s="415"/>
      <c r="I225" s="415"/>
      <c r="J225" s="415"/>
      <c r="K225" s="415"/>
      <c r="L225" s="415"/>
      <c r="M225" s="415"/>
      <c r="N225" s="415"/>
      <c r="O225" s="104"/>
      <c r="P225" s="419"/>
    </row>
    <row r="226" spans="2:16" ht="13.5" customHeight="1">
      <c r="B226" s="418"/>
      <c r="C226" s="416"/>
      <c r="D226" s="415"/>
      <c r="E226" s="104"/>
      <c r="F226" s="415"/>
      <c r="G226" s="415"/>
      <c r="H226" s="415"/>
      <c r="I226" s="415"/>
      <c r="J226" s="415"/>
      <c r="K226" s="415"/>
      <c r="L226" s="415"/>
      <c r="M226" s="415"/>
      <c r="N226" s="415"/>
      <c r="O226" s="104"/>
      <c r="P226" s="419"/>
    </row>
    <row r="227" spans="2:16" ht="13.5" customHeight="1">
      <c r="B227" s="418"/>
      <c r="C227" s="416" t="s">
        <v>1270</v>
      </c>
      <c r="D227" s="415"/>
      <c r="E227" s="104"/>
      <c r="F227" s="415"/>
      <c r="G227" s="415"/>
      <c r="H227" s="415"/>
      <c r="I227" s="415"/>
      <c r="J227" s="415"/>
      <c r="K227" s="415"/>
      <c r="L227" s="415"/>
      <c r="M227" s="415"/>
      <c r="N227" s="415"/>
      <c r="O227" s="104"/>
      <c r="P227" s="419"/>
    </row>
    <row r="228" spans="2:16" ht="13.5" customHeight="1">
      <c r="B228" s="418"/>
      <c r="C228" s="1360" t="s">
        <v>411</v>
      </c>
      <c r="D228" s="786" t="s">
        <v>65</v>
      </c>
      <c r="E228" s="786" t="s">
        <v>870</v>
      </c>
      <c r="F228" s="787">
        <v>2007</v>
      </c>
      <c r="G228" s="788">
        <f t="shared" ref="G228:O228" si="55">F228+5</f>
        <v>2012</v>
      </c>
      <c r="H228" s="788">
        <f t="shared" si="55"/>
        <v>2017</v>
      </c>
      <c r="I228" s="788">
        <f t="shared" si="55"/>
        <v>2022</v>
      </c>
      <c r="J228" s="788">
        <f t="shared" si="55"/>
        <v>2027</v>
      </c>
      <c r="K228" s="788">
        <f t="shared" si="55"/>
        <v>2032</v>
      </c>
      <c r="L228" s="788">
        <f t="shared" si="55"/>
        <v>2037</v>
      </c>
      <c r="M228" s="788">
        <f t="shared" si="55"/>
        <v>2042</v>
      </c>
      <c r="N228" s="788">
        <f t="shared" si="55"/>
        <v>2047</v>
      </c>
      <c r="O228" s="789">
        <f t="shared" si="55"/>
        <v>2052</v>
      </c>
      <c r="P228" s="419"/>
    </row>
    <row r="229" spans="2:16" ht="13.5" customHeight="1">
      <c r="B229" s="418"/>
      <c r="C229" s="824">
        <v>1</v>
      </c>
      <c r="D229" s="414"/>
      <c r="E229" s="218"/>
      <c r="F229" s="218">
        <v>0</v>
      </c>
      <c r="G229" s="218">
        <v>0</v>
      </c>
      <c r="H229" s="218">
        <v>0</v>
      </c>
      <c r="I229" s="218">
        <v>0</v>
      </c>
      <c r="J229" s="218">
        <v>0.01</v>
      </c>
      <c r="K229" s="218">
        <v>0.01</v>
      </c>
      <c r="L229" s="218">
        <v>0.04</v>
      </c>
      <c r="M229" s="218">
        <v>0.1</v>
      </c>
      <c r="N229" s="218">
        <v>0.1</v>
      </c>
      <c r="O229" s="1381">
        <v>0.1</v>
      </c>
      <c r="P229" s="419"/>
    </row>
    <row r="230" spans="2:16" ht="13.5" customHeight="1">
      <c r="B230" s="418"/>
      <c r="C230" s="824">
        <v>2</v>
      </c>
      <c r="D230" s="414"/>
      <c r="E230" s="218"/>
      <c r="F230" s="218">
        <v>0</v>
      </c>
      <c r="G230" s="218">
        <v>0</v>
      </c>
      <c r="H230" s="218">
        <v>0.01</v>
      </c>
      <c r="I230" s="218">
        <v>0.01</v>
      </c>
      <c r="J230" s="218">
        <v>0.02</v>
      </c>
      <c r="K230" s="218">
        <v>0.02</v>
      </c>
      <c r="L230" s="218">
        <v>0.06</v>
      </c>
      <c r="M230" s="218">
        <v>0.15</v>
      </c>
      <c r="N230" s="218">
        <v>0.15</v>
      </c>
      <c r="O230" s="1381">
        <v>0.15</v>
      </c>
      <c r="P230" s="419"/>
    </row>
    <row r="231" spans="2:16" ht="13.5" customHeight="1">
      <c r="B231" s="418"/>
      <c r="C231" s="824">
        <v>3</v>
      </c>
      <c r="D231" s="414"/>
      <c r="E231" s="218"/>
      <c r="F231" s="218">
        <v>0</v>
      </c>
      <c r="G231" s="218">
        <v>0</v>
      </c>
      <c r="H231" s="218">
        <v>0.01</v>
      </c>
      <c r="I231" s="218">
        <v>0.01</v>
      </c>
      <c r="J231" s="218">
        <v>0.03</v>
      </c>
      <c r="K231" s="218">
        <v>0.03</v>
      </c>
      <c r="L231" s="218">
        <v>0.08</v>
      </c>
      <c r="M231" s="218">
        <v>0.2</v>
      </c>
      <c r="N231" s="218">
        <v>0.2</v>
      </c>
      <c r="O231" s="1381">
        <v>0.2</v>
      </c>
      <c r="P231" s="419"/>
    </row>
    <row r="232" spans="2:16" ht="13.5" customHeight="1">
      <c r="B232" s="418"/>
      <c r="C232" s="598">
        <v>4</v>
      </c>
      <c r="D232" s="112"/>
      <c r="E232" s="844"/>
      <c r="F232" s="218">
        <v>0</v>
      </c>
      <c r="G232" s="218">
        <v>0</v>
      </c>
      <c r="H232" s="218">
        <v>0.02</v>
      </c>
      <c r="I232" s="218">
        <v>0.02</v>
      </c>
      <c r="J232" s="218">
        <v>0.04</v>
      </c>
      <c r="K232" s="218">
        <v>0.04</v>
      </c>
      <c r="L232" s="218">
        <v>0.1</v>
      </c>
      <c r="M232" s="218">
        <v>0.25</v>
      </c>
      <c r="N232" s="218">
        <v>0.25</v>
      </c>
      <c r="O232" s="1381">
        <v>0.25</v>
      </c>
      <c r="P232" s="419"/>
    </row>
    <row r="233" spans="2:16">
      <c r="B233" s="402"/>
      <c r="C233" s="1359" t="s">
        <v>1061</v>
      </c>
      <c r="D233" s="804"/>
      <c r="E233" s="957"/>
      <c r="F233" s="584">
        <f t="shared" ref="F233:O233" si="56">(INDEX(F$229:F$232,ROUNDDOWN($E$7,0))*(1-MOD($E$7,1)))+(INDEX(F$229:F$232,ROUNDUP($E$7,0))*MOD($E$7,1))</f>
        <v>0</v>
      </c>
      <c r="G233" s="584">
        <f t="shared" si="56"/>
        <v>0</v>
      </c>
      <c r="H233" s="584">
        <f t="shared" si="56"/>
        <v>0</v>
      </c>
      <c r="I233" s="584">
        <f t="shared" si="56"/>
        <v>0</v>
      </c>
      <c r="J233" s="584">
        <f t="shared" si="56"/>
        <v>0.01</v>
      </c>
      <c r="K233" s="584">
        <f t="shared" si="56"/>
        <v>0.01</v>
      </c>
      <c r="L233" s="584">
        <f t="shared" si="56"/>
        <v>0.04</v>
      </c>
      <c r="M233" s="584">
        <f t="shared" si="56"/>
        <v>0.1</v>
      </c>
      <c r="N233" s="584">
        <f t="shared" si="56"/>
        <v>0.1</v>
      </c>
      <c r="O233" s="584">
        <f t="shared" si="56"/>
        <v>0.1</v>
      </c>
    </row>
    <row r="234" spans="2:16">
      <c r="B234" s="402"/>
      <c r="C234" s="416"/>
      <c r="D234" s="415"/>
      <c r="E234" s="104"/>
      <c r="F234" s="869"/>
      <c r="G234" s="869"/>
      <c r="H234" s="869"/>
      <c r="I234" s="869"/>
      <c r="J234" s="869"/>
      <c r="K234" s="869"/>
      <c r="L234" s="869"/>
      <c r="M234" s="869"/>
      <c r="N234" s="869"/>
      <c r="O234" s="869"/>
    </row>
    <row r="235" spans="2:16">
      <c r="B235" s="402"/>
      <c r="C235" s="416"/>
      <c r="D235" s="415"/>
      <c r="E235" s="104"/>
      <c r="F235" s="869"/>
      <c r="G235" s="869"/>
      <c r="H235" s="869"/>
      <c r="I235" s="869"/>
      <c r="J235" s="869"/>
      <c r="K235" s="869"/>
      <c r="L235" s="869"/>
      <c r="M235" s="869"/>
      <c r="N235" s="869"/>
      <c r="O235" s="869"/>
    </row>
    <row r="236" spans="2:16">
      <c r="B236" s="402"/>
      <c r="C236" s="416"/>
      <c r="D236" s="415"/>
      <c r="E236" s="104"/>
      <c r="F236" s="869"/>
      <c r="G236" s="869"/>
      <c r="H236" s="869"/>
      <c r="I236" s="869"/>
      <c r="J236" s="869"/>
      <c r="K236" s="869"/>
      <c r="L236" s="869"/>
      <c r="M236" s="869"/>
      <c r="N236" s="869"/>
      <c r="O236" s="869"/>
    </row>
    <row r="237" spans="2:16" s="2821" customFormat="1">
      <c r="B237" s="402"/>
      <c r="C237" s="1360"/>
      <c r="D237" s="786" t="s">
        <v>65</v>
      </c>
      <c r="E237" s="786" t="s">
        <v>870</v>
      </c>
      <c r="F237" s="787">
        <v>2007</v>
      </c>
      <c r="G237" s="788">
        <f t="shared" ref="G237:O237" si="57">F237+5</f>
        <v>2012</v>
      </c>
      <c r="H237" s="788">
        <f t="shared" si="57"/>
        <v>2017</v>
      </c>
      <c r="I237" s="788">
        <f t="shared" si="57"/>
        <v>2022</v>
      </c>
      <c r="J237" s="788">
        <f t="shared" si="57"/>
        <v>2027</v>
      </c>
      <c r="K237" s="788">
        <f t="shared" si="57"/>
        <v>2032</v>
      </c>
      <c r="L237" s="788">
        <f t="shared" si="57"/>
        <v>2037</v>
      </c>
      <c r="M237" s="788">
        <f t="shared" si="57"/>
        <v>2042</v>
      </c>
      <c r="N237" s="788">
        <f t="shared" si="57"/>
        <v>2047</v>
      </c>
      <c r="O237" s="789">
        <f t="shared" si="57"/>
        <v>2052</v>
      </c>
    </row>
    <row r="238" spans="2:16" s="2821" customFormat="1">
      <c r="B238" s="402"/>
      <c r="C238" s="1365" t="str">
        <f>"Bioethanol yield from Sugarcane baggase in " &amp;preferences.energyunits &amp;"/Metric Tonne"</f>
        <v>Bioethanol yield from Sugarcane baggase in TWh/Metric Tonne</v>
      </c>
      <c r="D238" s="2666"/>
      <c r="E238" s="2681"/>
      <c r="F238" s="2827">
        <f>208*(unit.lpe)</f>
        <v>1.9153333333333331E-6</v>
      </c>
      <c r="G238" s="2827">
        <f>208*(unit.lpe)</f>
        <v>1.9153333333333331E-6</v>
      </c>
      <c r="H238" s="2827">
        <f>208*(unit.lpe)</f>
        <v>1.9153333333333331E-6</v>
      </c>
      <c r="I238" s="2827">
        <f>215*(unit.lpe)</f>
        <v>1.9797916666666667E-6</v>
      </c>
      <c r="J238" s="2827">
        <f>220*(unit.lpe)</f>
        <v>2.0258333333333331E-6</v>
      </c>
      <c r="K238" s="2827">
        <f>225*(unit.lpe)</f>
        <v>2.071875E-6</v>
      </c>
      <c r="L238" s="2827">
        <f>230*(unit.lpe)</f>
        <v>2.1179166666666668E-6</v>
      </c>
      <c r="M238" s="2827">
        <f>235*(unit.lpe)</f>
        <v>2.1639583333333332E-6</v>
      </c>
      <c r="N238" s="2827">
        <f>240*(unit.lpe)</f>
        <v>2.21E-6</v>
      </c>
      <c r="O238" s="2827">
        <f>245*(unit.lpe)</f>
        <v>2.2560416666666664E-6</v>
      </c>
    </row>
    <row r="239" spans="2:16" s="2821" customFormat="1">
      <c r="B239" s="402"/>
      <c r="C239" s="416"/>
      <c r="D239" s="415"/>
      <c r="E239" s="104"/>
      <c r="F239" s="869"/>
      <c r="G239" s="869"/>
      <c r="H239" s="1387"/>
      <c r="I239" s="869"/>
      <c r="J239" s="869"/>
      <c r="K239" s="869"/>
      <c r="L239" s="869"/>
      <c r="M239" s="869"/>
      <c r="N239" s="869"/>
      <c r="O239" s="869"/>
    </row>
    <row r="240" spans="2:16" s="2821" customFormat="1">
      <c r="B240" s="402"/>
      <c r="C240" s="416"/>
      <c r="D240" s="415"/>
      <c r="E240" s="104"/>
      <c r="F240" s="869"/>
      <c r="G240" s="869"/>
      <c r="H240" s="869"/>
      <c r="I240" s="869"/>
      <c r="J240" s="869"/>
      <c r="K240" s="869"/>
      <c r="L240" s="869"/>
      <c r="M240" s="869"/>
      <c r="N240" s="869"/>
      <c r="O240" s="869"/>
    </row>
    <row r="241" spans="2:15">
      <c r="B241" s="402"/>
      <c r="C241" s="416"/>
      <c r="D241" s="415"/>
      <c r="E241" s="104"/>
      <c r="F241" s="869"/>
      <c r="G241" s="869"/>
      <c r="H241" s="869"/>
      <c r="I241" s="869"/>
      <c r="J241" s="869"/>
      <c r="K241" s="869"/>
      <c r="L241" s="869"/>
      <c r="M241" s="869"/>
      <c r="N241" s="869"/>
      <c r="O241" s="869"/>
    </row>
    <row r="242" spans="2:15" ht="15.75">
      <c r="B242" s="402"/>
      <c r="C242" s="1380" t="s">
        <v>1504</v>
      </c>
      <c r="D242" s="415"/>
      <c r="E242" s="104"/>
      <c r="F242" s="869"/>
      <c r="G242" s="869"/>
      <c r="H242" s="869"/>
      <c r="I242" s="869"/>
      <c r="J242" s="869"/>
      <c r="K242" s="869"/>
      <c r="L242" s="869"/>
      <c r="M242" s="869"/>
      <c r="N242" s="869"/>
      <c r="O242" s="869"/>
    </row>
    <row r="243" spans="2:15">
      <c r="B243" s="402"/>
      <c r="C243" s="416"/>
      <c r="D243" s="415"/>
      <c r="E243" s="104"/>
      <c r="F243" s="869"/>
      <c r="G243" s="869"/>
      <c r="H243" s="869"/>
      <c r="I243" s="869"/>
      <c r="J243" s="869"/>
      <c r="K243" s="869"/>
      <c r="L243" s="869"/>
      <c r="M243" s="869"/>
      <c r="N243" s="869"/>
      <c r="O243" s="869"/>
    </row>
    <row r="244" spans="2:15">
      <c r="B244" s="402"/>
      <c r="C244" s="416"/>
      <c r="D244" s="415"/>
      <c r="E244" s="104"/>
      <c r="F244" s="869"/>
      <c r="G244" s="869"/>
      <c r="H244" s="869"/>
      <c r="I244" s="869"/>
      <c r="J244" s="869"/>
      <c r="K244" s="869"/>
      <c r="L244" s="869"/>
      <c r="M244" s="869"/>
      <c r="N244" s="869"/>
      <c r="O244" s="869"/>
    </row>
    <row r="245" spans="2:15" s="2821" customFormat="1">
      <c r="B245" s="402"/>
      <c r="C245" s="1360"/>
      <c r="D245" s="786" t="s">
        <v>65</v>
      </c>
      <c r="E245" s="786" t="s">
        <v>870</v>
      </c>
      <c r="F245" s="787">
        <v>2007</v>
      </c>
      <c r="G245" s="788">
        <f t="shared" ref="G245:O245" si="58">F245+5</f>
        <v>2012</v>
      </c>
      <c r="H245" s="788">
        <f t="shared" si="58"/>
        <v>2017</v>
      </c>
      <c r="I245" s="788">
        <f t="shared" si="58"/>
        <v>2022</v>
      </c>
      <c r="J245" s="788">
        <f t="shared" si="58"/>
        <v>2027</v>
      </c>
      <c r="K245" s="788">
        <f t="shared" si="58"/>
        <v>2032</v>
      </c>
      <c r="L245" s="788">
        <f t="shared" si="58"/>
        <v>2037</v>
      </c>
      <c r="M245" s="788">
        <f t="shared" si="58"/>
        <v>2042</v>
      </c>
      <c r="N245" s="788">
        <f t="shared" si="58"/>
        <v>2047</v>
      </c>
      <c r="O245" s="789">
        <f t="shared" si="58"/>
        <v>2052</v>
      </c>
    </row>
    <row r="246" spans="2:15" s="2821" customFormat="1">
      <c r="B246" s="402"/>
      <c r="C246" s="1365" t="str">
        <f>"Bioethanol yield from General in " &amp;preferences.energyunits &amp;"/Metric Tonne"</f>
        <v>Bioethanol yield from General in TWh/Metric Tonne</v>
      </c>
      <c r="D246" s="2666"/>
      <c r="E246" s="2681"/>
      <c r="F246" s="2827">
        <f>150*(unit.lpe)</f>
        <v>1.3812499999999999E-6</v>
      </c>
      <c r="G246" s="2827">
        <f>150*(unit.lpe)</f>
        <v>1.3812499999999999E-6</v>
      </c>
      <c r="H246" s="2827">
        <f>G246*($O246/$G246)^(5/40)</f>
        <v>1.5614151272386542E-6</v>
      </c>
      <c r="I246" s="2827">
        <f t="shared" ref="I246:N246" si="59">H246*($O246/$G246)^(5/40)</f>
        <v>1.7650803254803278E-6</v>
      </c>
      <c r="J246" s="2827">
        <f t="shared" si="59"/>
        <v>1.9953108568299087E-6</v>
      </c>
      <c r="K246" s="2827">
        <f t="shared" si="59"/>
        <v>2.2555718048128436E-6</v>
      </c>
      <c r="L246" s="2827">
        <f t="shared" si="59"/>
        <v>2.5497802255983833E-6</v>
      </c>
      <c r="M246" s="2827">
        <f t="shared" si="59"/>
        <v>2.8823641016349713E-6</v>
      </c>
      <c r="N246" s="2827">
        <f t="shared" si="59"/>
        <v>3.258328984979184E-6</v>
      </c>
      <c r="O246" s="2827">
        <f>400*unit.lpe</f>
        <v>3.6833333333333334E-6</v>
      </c>
    </row>
    <row r="247" spans="2:15" s="2821" customFormat="1">
      <c r="B247" s="402"/>
      <c r="C247" s="416"/>
      <c r="D247" s="415"/>
      <c r="E247" s="104"/>
      <c r="F247" s="869"/>
      <c r="G247" s="869"/>
      <c r="H247" s="869"/>
      <c r="I247" s="869"/>
      <c r="J247" s="869"/>
      <c r="K247" s="869"/>
      <c r="L247" s="869"/>
      <c r="M247" s="869"/>
      <c r="N247" s="869"/>
      <c r="O247" s="869"/>
    </row>
    <row r="248" spans="2:15" s="2821" customFormat="1">
      <c r="B248" s="402"/>
      <c r="C248" s="416"/>
      <c r="D248" s="415"/>
      <c r="E248" s="104"/>
      <c r="F248" s="869"/>
      <c r="G248" s="869"/>
      <c r="H248" s="869"/>
      <c r="I248" s="869"/>
      <c r="J248" s="869"/>
      <c r="K248" s="869"/>
      <c r="L248" s="869"/>
      <c r="M248" s="869"/>
      <c r="N248" s="869"/>
      <c r="O248" s="869"/>
    </row>
    <row r="249" spans="2:15" s="2821" customFormat="1">
      <c r="B249" s="402"/>
      <c r="C249" s="416"/>
      <c r="D249" s="415"/>
      <c r="E249" s="104"/>
      <c r="F249" s="869"/>
      <c r="G249" s="869"/>
      <c r="H249" s="869"/>
      <c r="I249" s="869"/>
      <c r="J249" s="869"/>
      <c r="K249" s="869"/>
      <c r="L249" s="869"/>
      <c r="M249" s="869"/>
      <c r="N249" s="869"/>
      <c r="O249" s="869"/>
    </row>
    <row r="250" spans="2:15">
      <c r="B250" s="402"/>
      <c r="C250" s="416"/>
      <c r="D250" s="415"/>
      <c r="E250" s="104"/>
      <c r="F250" s="869"/>
      <c r="G250" s="869"/>
      <c r="H250" s="869"/>
      <c r="I250" s="869"/>
      <c r="J250" s="869"/>
      <c r="K250" s="869"/>
      <c r="L250" s="869"/>
      <c r="M250" s="869"/>
      <c r="N250" s="869"/>
      <c r="O250" s="869"/>
    </row>
    <row r="251" spans="2:15" ht="15.75">
      <c r="B251" s="402"/>
      <c r="C251" s="1380" t="s">
        <v>1271</v>
      </c>
      <c r="D251" s="415"/>
      <c r="E251" s="104"/>
      <c r="F251" s="869"/>
      <c r="G251" s="869"/>
      <c r="H251" s="869"/>
      <c r="I251" s="869"/>
      <c r="J251" s="869"/>
      <c r="K251" s="869"/>
      <c r="L251" s="869"/>
      <c r="M251" s="869"/>
      <c r="N251" s="869"/>
      <c r="O251" s="869"/>
    </row>
    <row r="252" spans="2:15">
      <c r="B252" s="402"/>
      <c r="C252" s="416"/>
      <c r="D252" s="415"/>
      <c r="E252" s="104"/>
      <c r="F252" s="869"/>
      <c r="G252" s="869"/>
      <c r="H252" s="869"/>
      <c r="I252" s="869"/>
      <c r="J252" s="869"/>
      <c r="K252" s="869"/>
      <c r="L252" s="869"/>
      <c r="M252" s="869"/>
      <c r="N252" s="869"/>
      <c r="O252" s="869"/>
    </row>
    <row r="253" spans="2:15">
      <c r="B253" s="402"/>
      <c r="C253" s="1365" t="str">
        <f>"Bio Diesel yield from First Generation Bio Diesel feedstock in " &amp;preferences.energyunits &amp;"/Metric Tonne"</f>
        <v>Bio Diesel yield from First Generation Bio Diesel feedstock in TWh/Metric Tonne</v>
      </c>
      <c r="D253" s="415"/>
      <c r="E253" s="104"/>
      <c r="F253" s="1387">
        <f>270*unit.lde</f>
        <v>2.6324999999999998E-6</v>
      </c>
      <c r="G253" s="414" t="str">
        <f>preferences.energyunits&amp;"/ton"</f>
        <v>TWh/ton</v>
      </c>
      <c r="H253" s="869"/>
      <c r="I253" s="869"/>
      <c r="J253" s="869"/>
      <c r="K253" s="869"/>
      <c r="L253" s="869"/>
      <c r="M253" s="869"/>
      <c r="N253" s="869"/>
      <c r="O253" s="869"/>
    </row>
    <row r="254" spans="2:15">
      <c r="B254" s="402"/>
      <c r="C254" s="416"/>
      <c r="D254" s="415"/>
      <c r="E254" s="104"/>
      <c r="F254" s="1387"/>
      <c r="G254" s="869"/>
      <c r="H254" s="869"/>
      <c r="I254" s="869"/>
      <c r="J254" s="869"/>
      <c r="K254" s="869"/>
      <c r="L254" s="869"/>
      <c r="M254" s="869"/>
      <c r="N254" s="869"/>
      <c r="O254" s="869"/>
    </row>
    <row r="255" spans="2:15">
      <c r="B255" s="402"/>
      <c r="C255" s="416"/>
      <c r="D255" s="415"/>
      <c r="E255" s="104"/>
      <c r="F255" s="1387"/>
      <c r="G255" s="869"/>
      <c r="H255" s="869"/>
      <c r="I255" s="869"/>
      <c r="J255" s="869"/>
      <c r="K255" s="869"/>
      <c r="L255" s="869"/>
      <c r="M255" s="869"/>
      <c r="N255" s="869"/>
      <c r="O255" s="869"/>
    </row>
    <row r="256" spans="2:15">
      <c r="B256" s="402"/>
      <c r="C256" s="416"/>
      <c r="D256" s="415"/>
      <c r="E256" s="104"/>
      <c r="F256" s="1387"/>
      <c r="G256" s="869"/>
      <c r="H256" s="869"/>
      <c r="I256" s="869"/>
      <c r="J256" s="869"/>
      <c r="K256" s="869"/>
      <c r="L256" s="869"/>
      <c r="M256" s="869"/>
      <c r="N256" s="869"/>
      <c r="O256" s="869"/>
    </row>
    <row r="257" spans="2:16" ht="15.75">
      <c r="B257" s="421" t="s">
        <v>745</v>
      </c>
      <c r="C257" s="159"/>
      <c r="D257" s="159"/>
      <c r="E257" s="159"/>
      <c r="F257" s="159"/>
      <c r="G257" s="159"/>
      <c r="H257" s="159"/>
      <c r="I257" s="159"/>
      <c r="J257" s="159"/>
      <c r="K257" s="159"/>
      <c r="L257" s="159"/>
      <c r="M257" s="159"/>
      <c r="N257" s="159"/>
      <c r="O257" s="159"/>
      <c r="P257" s="160"/>
    </row>
    <row r="258" spans="2:16">
      <c r="B258" s="623">
        <v>1</v>
      </c>
      <c r="C258" s="961" t="s">
        <v>1457</v>
      </c>
      <c r="D258" s="624"/>
      <c r="E258" s="962"/>
      <c r="F258" s="1709"/>
      <c r="G258" s="1710"/>
      <c r="H258" s="1710"/>
      <c r="I258" s="1710"/>
      <c r="J258" s="1710"/>
      <c r="K258" s="1710"/>
      <c r="L258" s="1710"/>
      <c r="M258" s="1710"/>
      <c r="N258" s="1710"/>
      <c r="O258" s="1710"/>
    </row>
    <row r="259" spans="2:16">
      <c r="E259" s="962"/>
      <c r="F259" s="1709"/>
      <c r="G259" s="1710"/>
      <c r="H259" s="1710"/>
      <c r="I259" s="1710"/>
      <c r="J259" s="1710"/>
      <c r="K259" s="1710"/>
      <c r="L259" s="1710"/>
      <c r="M259" s="1710"/>
      <c r="N259" s="1710"/>
      <c r="O259" s="1710"/>
    </row>
    <row r="260" spans="2:16">
      <c r="B260" s="423">
        <v>1.1000000000000001</v>
      </c>
      <c r="C260" s="1699" t="s">
        <v>1437</v>
      </c>
      <c r="D260" s="624"/>
      <c r="E260" s="1301" t="s">
        <v>404</v>
      </c>
      <c r="F260" s="1711">
        <v>2007</v>
      </c>
      <c r="G260" s="1328">
        <f t="shared" ref="G260:O260" si="60">F260+5</f>
        <v>2012</v>
      </c>
      <c r="H260" s="1328">
        <f t="shared" si="60"/>
        <v>2017</v>
      </c>
      <c r="I260" s="1328">
        <f t="shared" si="60"/>
        <v>2022</v>
      </c>
      <c r="J260" s="1328">
        <f t="shared" si="60"/>
        <v>2027</v>
      </c>
      <c r="K260" s="1328">
        <f t="shared" si="60"/>
        <v>2032</v>
      </c>
      <c r="L260" s="1328">
        <f t="shared" si="60"/>
        <v>2037</v>
      </c>
      <c r="M260" s="1328">
        <f t="shared" si="60"/>
        <v>2042</v>
      </c>
      <c r="N260" s="1328">
        <f t="shared" si="60"/>
        <v>2047</v>
      </c>
      <c r="O260" s="1329">
        <f t="shared" si="60"/>
        <v>2052</v>
      </c>
    </row>
    <row r="261" spans="2:16">
      <c r="B261" s="623"/>
      <c r="C261" s="961"/>
      <c r="D261" s="624"/>
      <c r="E261" s="962"/>
      <c r="F261" s="1709"/>
      <c r="G261" s="1710"/>
      <c r="H261" s="1710"/>
      <c r="I261" s="1710"/>
      <c r="J261" s="1710"/>
      <c r="K261" s="1710"/>
      <c r="L261" s="1710"/>
      <c r="M261" s="1710"/>
      <c r="N261" s="1710"/>
      <c r="O261" s="1710"/>
    </row>
    <row r="262" spans="2:16">
      <c r="B262" s="623"/>
      <c r="C262" s="624" t="s">
        <v>1420</v>
      </c>
      <c r="E262" s="962" t="s">
        <v>1431</v>
      </c>
      <c r="F262" s="1709">
        <f t="shared" ref="F262:O262" si="61">F102</f>
        <v>334815000</v>
      </c>
      <c r="G262" s="1709">
        <f t="shared" si="61"/>
        <v>330590000</v>
      </c>
      <c r="H262" s="1709">
        <f t="shared" si="61"/>
        <v>292500000</v>
      </c>
      <c r="I262" s="1709">
        <f t="shared" si="61"/>
        <v>292500000</v>
      </c>
      <c r="J262" s="1709">
        <f t="shared" si="61"/>
        <v>292500000</v>
      </c>
      <c r="K262" s="1709">
        <f t="shared" si="61"/>
        <v>292500000</v>
      </c>
      <c r="L262" s="1709">
        <f t="shared" si="61"/>
        <v>292500000</v>
      </c>
      <c r="M262" s="1709">
        <f t="shared" si="61"/>
        <v>292500000</v>
      </c>
      <c r="N262" s="1709">
        <f t="shared" si="61"/>
        <v>292500000</v>
      </c>
      <c r="O262" s="1709">
        <f t="shared" si="61"/>
        <v>292500000</v>
      </c>
    </row>
    <row r="263" spans="2:16">
      <c r="B263" s="1719"/>
      <c r="C263" s="974" t="s">
        <v>1422</v>
      </c>
      <c r="D263" s="624"/>
      <c r="E263" s="962" t="s">
        <v>277</v>
      </c>
      <c r="F263" s="1710">
        <f>$D118</f>
        <v>0.85</v>
      </c>
      <c r="G263" s="1710">
        <f t="shared" ref="G263:O263" si="62">$E118</f>
        <v>0.8</v>
      </c>
      <c r="H263" s="1710">
        <f t="shared" si="62"/>
        <v>0.8</v>
      </c>
      <c r="I263" s="1710">
        <f t="shared" si="62"/>
        <v>0.8</v>
      </c>
      <c r="J263" s="1710">
        <f t="shared" si="62"/>
        <v>0.8</v>
      </c>
      <c r="K263" s="1710">
        <f t="shared" si="62"/>
        <v>0.8</v>
      </c>
      <c r="L263" s="1710">
        <f t="shared" si="62"/>
        <v>0.8</v>
      </c>
      <c r="M263" s="1710">
        <f t="shared" si="62"/>
        <v>0.8</v>
      </c>
      <c r="N263" s="1710">
        <f t="shared" si="62"/>
        <v>0.8</v>
      </c>
      <c r="O263" s="1710">
        <f t="shared" si="62"/>
        <v>0.8</v>
      </c>
    </row>
    <row r="264" spans="2:16">
      <c r="B264" s="1719"/>
      <c r="C264" s="974" t="s">
        <v>2311</v>
      </c>
      <c r="D264" s="624"/>
      <c r="E264" s="962" t="s">
        <v>277</v>
      </c>
      <c r="F264" s="1710">
        <f>$H118</f>
        <v>0.1</v>
      </c>
      <c r="G264" s="1710">
        <f>$H118</f>
        <v>0.1</v>
      </c>
      <c r="H264" s="1710">
        <f t="shared" ref="H264:O264" si="63">$I118</f>
        <v>0.1</v>
      </c>
      <c r="I264" s="1710">
        <f t="shared" si="63"/>
        <v>0.1</v>
      </c>
      <c r="J264" s="1710">
        <f t="shared" si="63"/>
        <v>0.1</v>
      </c>
      <c r="K264" s="1710">
        <f t="shared" si="63"/>
        <v>0.1</v>
      </c>
      <c r="L264" s="1710">
        <f t="shared" si="63"/>
        <v>0.1</v>
      </c>
      <c r="M264" s="1710">
        <f t="shared" si="63"/>
        <v>0.1</v>
      </c>
      <c r="N264" s="1710">
        <f t="shared" si="63"/>
        <v>0.1</v>
      </c>
      <c r="O264" s="1710">
        <f t="shared" si="63"/>
        <v>0.1</v>
      </c>
    </row>
    <row r="265" spans="2:16">
      <c r="C265" s="974" t="s">
        <v>1423</v>
      </c>
      <c r="D265" s="624"/>
      <c r="E265" s="962" t="s">
        <v>1431</v>
      </c>
      <c r="F265" s="1709">
        <f>F262*F263*F264</f>
        <v>28459275</v>
      </c>
      <c r="G265" s="1709">
        <f t="shared" ref="G265:O265" si="64">G262*G263*G264</f>
        <v>26447200</v>
      </c>
      <c r="H265" s="1709">
        <f t="shared" si="64"/>
        <v>23400000</v>
      </c>
      <c r="I265" s="1709">
        <f t="shared" si="64"/>
        <v>23400000</v>
      </c>
      <c r="J265" s="1709">
        <f t="shared" si="64"/>
        <v>23400000</v>
      </c>
      <c r="K265" s="1709">
        <f t="shared" si="64"/>
        <v>23400000</v>
      </c>
      <c r="L265" s="1709">
        <f t="shared" si="64"/>
        <v>23400000</v>
      </c>
      <c r="M265" s="1709">
        <f t="shared" si="64"/>
        <v>23400000</v>
      </c>
      <c r="N265" s="1709">
        <f t="shared" si="64"/>
        <v>23400000</v>
      </c>
      <c r="O265" s="1709">
        <f t="shared" si="64"/>
        <v>23400000</v>
      </c>
    </row>
    <row r="266" spans="2:16">
      <c r="B266" s="1719"/>
      <c r="C266" s="974" t="s">
        <v>1250</v>
      </c>
      <c r="D266" s="624"/>
      <c r="E266" s="962" t="s">
        <v>1424</v>
      </c>
      <c r="F266" s="748">
        <f t="shared" ref="F266:O266" si="65">F134</f>
        <v>18.399999999999999</v>
      </c>
      <c r="G266" s="748">
        <f t="shared" si="65"/>
        <v>18.899999999999999</v>
      </c>
      <c r="H266" s="748">
        <f t="shared" si="65"/>
        <v>20</v>
      </c>
      <c r="I266" s="748">
        <f t="shared" si="65"/>
        <v>22</v>
      </c>
      <c r="J266" s="748">
        <f t="shared" si="65"/>
        <v>25</v>
      </c>
      <c r="K266" s="748">
        <f t="shared" si="65"/>
        <v>27</v>
      </c>
      <c r="L266" s="748">
        <f t="shared" si="65"/>
        <v>27</v>
      </c>
      <c r="M266" s="748">
        <f t="shared" si="65"/>
        <v>27</v>
      </c>
      <c r="N266" s="748">
        <f t="shared" si="65"/>
        <v>27</v>
      </c>
      <c r="O266" s="748">
        <f t="shared" si="65"/>
        <v>27</v>
      </c>
    </row>
    <row r="267" spans="2:16">
      <c r="B267" s="1719"/>
      <c r="C267" s="974" t="s">
        <v>1425</v>
      </c>
      <c r="D267" s="624"/>
      <c r="E267" s="962" t="s">
        <v>913</v>
      </c>
      <c r="F267" s="1712">
        <f t="shared" ref="F267:O267" si="66">F124</f>
        <v>1128.8316676633033</v>
      </c>
      <c r="G267" s="1712">
        <f t="shared" si="66"/>
        <v>1216.947696803704</v>
      </c>
      <c r="H267" s="1712">
        <f t="shared" si="66"/>
        <v>1299.7625173437743</v>
      </c>
      <c r="I267" s="1712">
        <f t="shared" si="66"/>
        <v>1370.2017359102683</v>
      </c>
      <c r="J267" s="1712">
        <f t="shared" si="66"/>
        <v>1444.4583314560571</v>
      </c>
      <c r="K267" s="1712">
        <f t="shared" si="66"/>
        <v>1504.0599158015643</v>
      </c>
      <c r="L267" s="1712">
        <f t="shared" si="66"/>
        <v>1566.1207949423142</v>
      </c>
      <c r="M267" s="1712">
        <f t="shared" si="66"/>
        <v>1612.9778804263176</v>
      </c>
      <c r="N267" s="1712">
        <f t="shared" si="66"/>
        <v>1661.2368925478738</v>
      </c>
      <c r="O267" s="1712">
        <f t="shared" si="66"/>
        <v>1764.9961499468282</v>
      </c>
    </row>
    <row r="268" spans="2:16">
      <c r="B268" s="623"/>
      <c r="C268" s="974" t="s">
        <v>1426</v>
      </c>
      <c r="D268" s="624"/>
      <c r="E268" s="962" t="s">
        <v>1431</v>
      </c>
      <c r="F268" s="1715">
        <f>F267*10^6*F266/1000</f>
        <v>20770502.685004778</v>
      </c>
      <c r="G268" s="1715">
        <f t="shared" ref="G268:O268" si="67">G267*10^6*G266/1000</f>
        <v>23000311.469590005</v>
      </c>
      <c r="H268" s="1715">
        <f t="shared" si="67"/>
        <v>25995250.346875489</v>
      </c>
      <c r="I268" s="1715">
        <f t="shared" si="67"/>
        <v>30144438.190025903</v>
      </c>
      <c r="J268" s="1715">
        <f t="shared" si="67"/>
        <v>36111458.286401428</v>
      </c>
      <c r="K268" s="1715">
        <f t="shared" si="67"/>
        <v>40609617.726642236</v>
      </c>
      <c r="L268" s="1715">
        <f t="shared" si="67"/>
        <v>42285261.463442482</v>
      </c>
      <c r="M268" s="1715">
        <f t="shared" si="67"/>
        <v>43550402.771510571</v>
      </c>
      <c r="N268" s="1715">
        <f t="shared" si="67"/>
        <v>44853396.09879259</v>
      </c>
      <c r="O268" s="1715">
        <f t="shared" si="67"/>
        <v>47654896.04856436</v>
      </c>
    </row>
    <row r="269" spans="2:16">
      <c r="B269" s="623"/>
      <c r="C269" s="974" t="s">
        <v>1427</v>
      </c>
      <c r="D269" s="624"/>
      <c r="E269" s="962" t="s">
        <v>1431</v>
      </c>
      <c r="F269" s="748">
        <f t="shared" ref="F269:O269" si="68">F144</f>
        <v>1728000</v>
      </c>
      <c r="G269" s="748">
        <f t="shared" si="68"/>
        <v>3500000</v>
      </c>
      <c r="H269" s="748">
        <f t="shared" si="68"/>
        <v>6728400</v>
      </c>
      <c r="I269" s="748">
        <f t="shared" si="68"/>
        <v>5509000</v>
      </c>
      <c r="J269" s="748">
        <f t="shared" si="68"/>
        <v>1889999.9999999998</v>
      </c>
      <c r="K269" s="748">
        <f t="shared" si="68"/>
        <v>0</v>
      </c>
      <c r="L269" s="748">
        <f t="shared" si="68"/>
        <v>0</v>
      </c>
      <c r="M269" s="748">
        <f t="shared" si="68"/>
        <v>0</v>
      </c>
      <c r="N269" s="748">
        <f t="shared" si="68"/>
        <v>0</v>
      </c>
      <c r="O269" s="748">
        <f t="shared" si="68"/>
        <v>0</v>
      </c>
    </row>
    <row r="270" spans="2:16">
      <c r="B270" s="623"/>
      <c r="C270" s="974" t="s">
        <v>1432</v>
      </c>
      <c r="D270" s="624"/>
      <c r="E270" s="962" t="s">
        <v>1431</v>
      </c>
      <c r="F270" s="1712">
        <f>F265-F268-F269+4300000</f>
        <v>10260772.314995222</v>
      </c>
      <c r="G270" s="1712">
        <f>G265-G268-G269+5500000</f>
        <v>5446888.5304099955</v>
      </c>
      <c r="H270" s="1712">
        <f>MAX(H265-H268-H269,0)</f>
        <v>0</v>
      </c>
      <c r="I270" s="1712">
        <f t="shared" ref="I270:O270" si="69">MAX(I265-I268-I269,0)</f>
        <v>0</v>
      </c>
      <c r="J270" s="1712">
        <f t="shared" si="69"/>
        <v>0</v>
      </c>
      <c r="K270" s="1712">
        <f t="shared" si="69"/>
        <v>0</v>
      </c>
      <c r="L270" s="1712">
        <f t="shared" si="69"/>
        <v>0</v>
      </c>
      <c r="M270" s="1712">
        <f t="shared" si="69"/>
        <v>0</v>
      </c>
      <c r="N270" s="1712">
        <f t="shared" si="69"/>
        <v>0</v>
      </c>
      <c r="O270" s="1712">
        <f t="shared" si="69"/>
        <v>0</v>
      </c>
    </row>
    <row r="271" spans="2:16">
      <c r="B271" s="623"/>
      <c r="C271" s="974" t="s">
        <v>1433</v>
      </c>
      <c r="D271" s="624"/>
      <c r="E271" s="962" t="s">
        <v>1431</v>
      </c>
      <c r="F271" s="1347">
        <f>$F148</f>
        <v>2000000</v>
      </c>
      <c r="G271" s="1347">
        <f>$F148</f>
        <v>2000000</v>
      </c>
      <c r="H271" s="1347">
        <f t="shared" ref="H271:O271" si="70">$G148</f>
        <v>2500000</v>
      </c>
      <c r="I271" s="1347">
        <f t="shared" si="70"/>
        <v>2500000</v>
      </c>
      <c r="J271" s="1347">
        <f t="shared" si="70"/>
        <v>2500000</v>
      </c>
      <c r="K271" s="1347">
        <f t="shared" si="70"/>
        <v>2500000</v>
      </c>
      <c r="L271" s="1347">
        <f t="shared" si="70"/>
        <v>2500000</v>
      </c>
      <c r="M271" s="1347">
        <f t="shared" si="70"/>
        <v>2500000</v>
      </c>
      <c r="N271" s="1347">
        <f t="shared" si="70"/>
        <v>2500000</v>
      </c>
      <c r="O271" s="1347">
        <f t="shared" si="70"/>
        <v>2500000</v>
      </c>
    </row>
    <row r="272" spans="2:16">
      <c r="B272" s="623"/>
      <c r="C272" s="974" t="s">
        <v>1434</v>
      </c>
      <c r="D272" s="624"/>
      <c r="E272" s="962" t="s">
        <v>1431</v>
      </c>
      <c r="F272" s="1709">
        <f>IF(F271&gt;F270,0,F270-F271)</f>
        <v>8260772.3149952218</v>
      </c>
      <c r="G272" s="1709">
        <f t="shared" ref="G272:O272" si="71">IF(G271&gt;G270,0,G270-G271)</f>
        <v>3446888.5304099955</v>
      </c>
      <c r="H272" s="1709">
        <f t="shared" si="71"/>
        <v>0</v>
      </c>
      <c r="I272" s="1709">
        <f t="shared" si="71"/>
        <v>0</v>
      </c>
      <c r="J272" s="1709">
        <f t="shared" si="71"/>
        <v>0</v>
      </c>
      <c r="K272" s="1709">
        <f t="shared" si="71"/>
        <v>0</v>
      </c>
      <c r="L272" s="1709">
        <f t="shared" si="71"/>
        <v>0</v>
      </c>
      <c r="M272" s="1709">
        <f t="shared" si="71"/>
        <v>0</v>
      </c>
      <c r="N272" s="1709">
        <f t="shared" si="71"/>
        <v>0</v>
      </c>
      <c r="O272" s="1709">
        <f t="shared" si="71"/>
        <v>0</v>
      </c>
    </row>
    <row r="273" spans="2:15">
      <c r="B273" s="623"/>
      <c r="C273" s="974" t="s">
        <v>1435</v>
      </c>
      <c r="D273" s="624"/>
      <c r="E273" s="962" t="str">
        <f>preferences.energyunits</f>
        <v>TWh</v>
      </c>
      <c r="F273" s="1713">
        <v>0</v>
      </c>
      <c r="G273" s="1713">
        <v>0</v>
      </c>
      <c r="H273" s="1713">
        <f t="shared" ref="H273:O273" si="72">H272*$F150</f>
        <v>0</v>
      </c>
      <c r="I273" s="1713">
        <f t="shared" si="72"/>
        <v>0</v>
      </c>
      <c r="J273" s="1713">
        <f t="shared" si="72"/>
        <v>0</v>
      </c>
      <c r="K273" s="1713">
        <f t="shared" si="72"/>
        <v>0</v>
      </c>
      <c r="L273" s="1713">
        <f t="shared" si="72"/>
        <v>0</v>
      </c>
      <c r="M273" s="1713">
        <f t="shared" si="72"/>
        <v>0</v>
      </c>
      <c r="N273" s="1713">
        <f t="shared" si="72"/>
        <v>0</v>
      </c>
      <c r="O273" s="1713">
        <f t="shared" si="72"/>
        <v>0</v>
      </c>
    </row>
    <row r="274" spans="2:15">
      <c r="B274" s="623"/>
      <c r="C274" s="961"/>
      <c r="D274" s="624"/>
      <c r="E274" s="962"/>
      <c r="F274" s="1709"/>
      <c r="G274" s="1710"/>
      <c r="H274" s="1710"/>
      <c r="I274" s="1710"/>
      <c r="J274" s="1710"/>
      <c r="K274" s="1710"/>
      <c r="L274" s="1710"/>
      <c r="M274" s="1710"/>
      <c r="N274" s="1710"/>
      <c r="O274" s="1710"/>
    </row>
    <row r="275" spans="2:15">
      <c r="B275" s="1699">
        <v>1.2</v>
      </c>
      <c r="C275" s="961" t="s">
        <v>1436</v>
      </c>
      <c r="D275" s="624"/>
      <c r="E275" s="1301" t="s">
        <v>404</v>
      </c>
      <c r="F275" s="1711">
        <v>2007</v>
      </c>
      <c r="G275" s="1328">
        <f t="shared" ref="G275:O275" si="73">F275+5</f>
        <v>2012</v>
      </c>
      <c r="H275" s="1328">
        <f t="shared" si="73"/>
        <v>2017</v>
      </c>
      <c r="I275" s="1328">
        <f t="shared" si="73"/>
        <v>2022</v>
      </c>
      <c r="J275" s="1328">
        <f t="shared" si="73"/>
        <v>2027</v>
      </c>
      <c r="K275" s="1328">
        <f t="shared" si="73"/>
        <v>2032</v>
      </c>
      <c r="L275" s="1328">
        <f t="shared" si="73"/>
        <v>2037</v>
      </c>
      <c r="M275" s="1328">
        <f t="shared" si="73"/>
        <v>2042</v>
      </c>
      <c r="N275" s="1328">
        <f t="shared" si="73"/>
        <v>2047</v>
      </c>
      <c r="O275" s="1329">
        <f t="shared" si="73"/>
        <v>2052</v>
      </c>
    </row>
    <row r="276" spans="2:15">
      <c r="B276" s="623"/>
      <c r="C276" s="961"/>
      <c r="D276" s="624"/>
      <c r="E276" s="962"/>
      <c r="F276" s="1709"/>
      <c r="G276" s="1710"/>
      <c r="H276" s="1710"/>
      <c r="I276" s="1710"/>
      <c r="J276" s="1710"/>
      <c r="K276" s="1710"/>
      <c r="L276" s="1710"/>
      <c r="M276" s="1710"/>
      <c r="N276" s="1710"/>
      <c r="O276" s="1710"/>
    </row>
    <row r="277" spans="2:15">
      <c r="B277" s="623"/>
      <c r="C277" s="974" t="s">
        <v>1438</v>
      </c>
      <c r="D277" s="624"/>
      <c r="E277" s="962" t="s">
        <v>1431</v>
      </c>
      <c r="F277" s="1709">
        <v>13089000</v>
      </c>
      <c r="G277" s="1709">
        <v>11827000</v>
      </c>
      <c r="H277" s="1709">
        <f t="shared" ref="H277:O277" si="74">H262*$E154</f>
        <v>117000000</v>
      </c>
      <c r="I277" s="1709">
        <f t="shared" si="74"/>
        <v>117000000</v>
      </c>
      <c r="J277" s="1709">
        <f t="shared" si="74"/>
        <v>117000000</v>
      </c>
      <c r="K277" s="1709">
        <f t="shared" si="74"/>
        <v>117000000</v>
      </c>
      <c r="L277" s="1709">
        <f t="shared" si="74"/>
        <v>117000000</v>
      </c>
      <c r="M277" s="1709">
        <f t="shared" si="74"/>
        <v>117000000</v>
      </c>
      <c r="N277" s="1709">
        <f t="shared" si="74"/>
        <v>117000000</v>
      </c>
      <c r="O277" s="1709">
        <f t="shared" si="74"/>
        <v>117000000</v>
      </c>
    </row>
    <row r="278" spans="2:15">
      <c r="B278" s="623"/>
      <c r="C278" s="974" t="s">
        <v>1439</v>
      </c>
      <c r="D278" s="624"/>
      <c r="E278" s="962" t="s">
        <v>1431</v>
      </c>
      <c r="F278" s="1709">
        <f t="shared" ref="F278:O278" si="75">F277*$E155</f>
        <v>11125650</v>
      </c>
      <c r="G278" s="1709">
        <f t="shared" si="75"/>
        <v>10052950</v>
      </c>
      <c r="H278" s="1709">
        <f t="shared" si="75"/>
        <v>99450000</v>
      </c>
      <c r="I278" s="1709">
        <f t="shared" si="75"/>
        <v>99450000</v>
      </c>
      <c r="J278" s="1709">
        <f t="shared" si="75"/>
        <v>99450000</v>
      </c>
      <c r="K278" s="1709">
        <f t="shared" si="75"/>
        <v>99450000</v>
      </c>
      <c r="L278" s="1709">
        <f t="shared" si="75"/>
        <v>99450000</v>
      </c>
      <c r="M278" s="1709">
        <f t="shared" si="75"/>
        <v>99450000</v>
      </c>
      <c r="N278" s="1709">
        <f t="shared" si="75"/>
        <v>99450000</v>
      </c>
      <c r="O278" s="1709">
        <f t="shared" si="75"/>
        <v>99450000</v>
      </c>
    </row>
    <row r="279" spans="2:15">
      <c r="B279" s="623"/>
      <c r="C279" s="974" t="s">
        <v>1440</v>
      </c>
      <c r="D279" s="624"/>
      <c r="E279" s="962" t="s">
        <v>277</v>
      </c>
      <c r="F279" s="1710">
        <f t="shared" ref="F279:O279" si="76">F164</f>
        <v>0</v>
      </c>
      <c r="G279" s="1710">
        <f t="shared" si="76"/>
        <v>0.2</v>
      </c>
      <c r="H279" s="1710">
        <f t="shared" si="76"/>
        <v>0.1</v>
      </c>
      <c r="I279" s="1710">
        <f t="shared" si="76"/>
        <v>0.2</v>
      </c>
      <c r="J279" s="1710">
        <f t="shared" si="76"/>
        <v>0.25</v>
      </c>
      <c r="K279" s="1710">
        <f t="shared" si="76"/>
        <v>0.25</v>
      </c>
      <c r="L279" s="1710">
        <f t="shared" si="76"/>
        <v>0.25</v>
      </c>
      <c r="M279" s="1710">
        <f t="shared" si="76"/>
        <v>0.25</v>
      </c>
      <c r="N279" s="1710">
        <f t="shared" si="76"/>
        <v>0.25</v>
      </c>
      <c r="O279" s="1710">
        <f t="shared" si="76"/>
        <v>0.25</v>
      </c>
    </row>
    <row r="280" spans="2:15">
      <c r="B280" s="623"/>
      <c r="C280" s="974" t="s">
        <v>1442</v>
      </c>
      <c r="D280" s="624"/>
      <c r="E280" s="962" t="str">
        <f>preferences.energyunits</f>
        <v>TWh</v>
      </c>
      <c r="F280" s="1716">
        <f t="shared" ref="F280:O280" si="77">F278*F279*$F150</f>
        <v>0</v>
      </c>
      <c r="G280" s="1716">
        <f t="shared" si="77"/>
        <v>1.2959928041666666E-2</v>
      </c>
      <c r="H280" s="1716">
        <f t="shared" si="77"/>
        <v>6.4103812499999996E-2</v>
      </c>
      <c r="I280" s="1716">
        <f t="shared" si="77"/>
        <v>0.12820762499999999</v>
      </c>
      <c r="J280" s="1716">
        <f t="shared" si="77"/>
        <v>0.16025953125</v>
      </c>
      <c r="K280" s="1716">
        <f t="shared" si="77"/>
        <v>0.16025953125</v>
      </c>
      <c r="L280" s="1716">
        <f t="shared" si="77"/>
        <v>0.16025953125</v>
      </c>
      <c r="M280" s="1716">
        <f t="shared" si="77"/>
        <v>0.16025953125</v>
      </c>
      <c r="N280" s="1716">
        <f t="shared" si="77"/>
        <v>0.16025953125</v>
      </c>
      <c r="O280" s="1716">
        <f t="shared" si="77"/>
        <v>0.16025953125</v>
      </c>
    </row>
    <row r="281" spans="2:15">
      <c r="B281" s="623"/>
      <c r="C281" s="961"/>
      <c r="D281" s="624"/>
      <c r="E281" s="962"/>
      <c r="F281" s="1709"/>
      <c r="G281" s="1710"/>
      <c r="H281" s="1710"/>
      <c r="I281" s="1710"/>
      <c r="J281" s="1710"/>
      <c r="K281" s="1710"/>
      <c r="L281" s="1710"/>
      <c r="M281" s="1710"/>
      <c r="N281" s="1710"/>
      <c r="O281" s="1710"/>
    </row>
    <row r="282" spans="2:15">
      <c r="B282" s="1699">
        <v>1.3</v>
      </c>
      <c r="C282" s="961" t="s">
        <v>1443</v>
      </c>
      <c r="D282" s="624"/>
      <c r="E282" s="1301" t="s">
        <v>404</v>
      </c>
      <c r="F282" s="1711">
        <v>2007</v>
      </c>
      <c r="G282" s="1328">
        <f t="shared" ref="G282:O282" si="78">F282+5</f>
        <v>2012</v>
      </c>
      <c r="H282" s="1328">
        <f t="shared" si="78"/>
        <v>2017</v>
      </c>
      <c r="I282" s="1328">
        <f t="shared" si="78"/>
        <v>2022</v>
      </c>
      <c r="J282" s="1328">
        <f t="shared" si="78"/>
        <v>2027</v>
      </c>
      <c r="K282" s="1328">
        <f t="shared" si="78"/>
        <v>2032</v>
      </c>
      <c r="L282" s="1328">
        <f t="shared" si="78"/>
        <v>2037</v>
      </c>
      <c r="M282" s="1328">
        <f t="shared" si="78"/>
        <v>2042</v>
      </c>
      <c r="N282" s="1328">
        <f t="shared" si="78"/>
        <v>2047</v>
      </c>
      <c r="O282" s="1329">
        <f t="shared" si="78"/>
        <v>2052</v>
      </c>
    </row>
    <row r="283" spans="2:15">
      <c r="B283" s="623"/>
      <c r="C283" s="961"/>
      <c r="D283" s="624"/>
      <c r="E283" s="962"/>
      <c r="F283" s="1709"/>
      <c r="G283" s="1710"/>
      <c r="H283" s="1710"/>
      <c r="I283" s="1710"/>
      <c r="J283" s="1710"/>
      <c r="K283" s="1710"/>
      <c r="L283" s="1710"/>
      <c r="M283" s="1710"/>
      <c r="N283" s="1710"/>
      <c r="O283" s="1710"/>
    </row>
    <row r="284" spans="2:15">
      <c r="B284" s="623"/>
      <c r="C284" s="974" t="s">
        <v>1444</v>
      </c>
      <c r="D284" s="624"/>
      <c r="E284" s="962" t="s">
        <v>1431</v>
      </c>
      <c r="F284" s="1709">
        <f t="shared" ref="F284:O284" si="79">F103</f>
        <v>0</v>
      </c>
      <c r="G284" s="1709">
        <f t="shared" si="79"/>
        <v>10150</v>
      </c>
      <c r="H284" s="1709">
        <f t="shared" si="79"/>
        <v>10000</v>
      </c>
      <c r="I284" s="1709">
        <f t="shared" si="79"/>
        <v>25000</v>
      </c>
      <c r="J284" s="1709">
        <f t="shared" si="79"/>
        <v>35000</v>
      </c>
      <c r="K284" s="1709">
        <f t="shared" si="79"/>
        <v>50000</v>
      </c>
      <c r="L284" s="1709">
        <f t="shared" si="79"/>
        <v>100000</v>
      </c>
      <c r="M284" s="1709">
        <f t="shared" si="79"/>
        <v>250000</v>
      </c>
      <c r="N284" s="1709">
        <f t="shared" si="79"/>
        <v>500000</v>
      </c>
      <c r="O284" s="1709">
        <f t="shared" si="79"/>
        <v>750000</v>
      </c>
    </row>
    <row r="285" spans="2:15">
      <c r="B285" s="623"/>
      <c r="C285" s="974" t="s">
        <v>1445</v>
      </c>
      <c r="D285" s="624"/>
      <c r="E285" s="962" t="s">
        <v>277</v>
      </c>
      <c r="F285" s="1710">
        <f t="shared" ref="F285:O285" si="80">F176</f>
        <v>0</v>
      </c>
      <c r="G285" s="1710">
        <f t="shared" si="80"/>
        <v>0</v>
      </c>
      <c r="H285" s="1710">
        <f t="shared" si="80"/>
        <v>0</v>
      </c>
      <c r="I285" s="1710">
        <f t="shared" si="80"/>
        <v>0</v>
      </c>
      <c r="J285" s="1710">
        <f t="shared" si="80"/>
        <v>0</v>
      </c>
      <c r="K285" s="1710">
        <f t="shared" si="80"/>
        <v>0</v>
      </c>
      <c r="L285" s="1710">
        <f t="shared" si="80"/>
        <v>0.1</v>
      </c>
      <c r="M285" s="1710">
        <f t="shared" si="80"/>
        <v>0.2</v>
      </c>
      <c r="N285" s="1710">
        <f t="shared" si="80"/>
        <v>0.2</v>
      </c>
      <c r="O285" s="1710">
        <f t="shared" si="80"/>
        <v>0.2</v>
      </c>
    </row>
    <row r="286" spans="2:15">
      <c r="B286" s="623"/>
      <c r="C286" s="974" t="s">
        <v>1446</v>
      </c>
      <c r="D286" s="624"/>
      <c r="E286" s="962" t="s">
        <v>1431</v>
      </c>
      <c r="F286" s="1709">
        <f>F284*F285</f>
        <v>0</v>
      </c>
      <c r="G286" s="1709">
        <f t="shared" ref="G286:O286" si="81">G284*G285</f>
        <v>0</v>
      </c>
      <c r="H286" s="1709">
        <f t="shared" si="81"/>
        <v>0</v>
      </c>
      <c r="I286" s="1709">
        <f t="shared" si="81"/>
        <v>0</v>
      </c>
      <c r="J286" s="1709">
        <f t="shared" si="81"/>
        <v>0</v>
      </c>
      <c r="K286" s="1709">
        <f t="shared" si="81"/>
        <v>0</v>
      </c>
      <c r="L286" s="1709">
        <f t="shared" si="81"/>
        <v>10000</v>
      </c>
      <c r="M286" s="1709">
        <f t="shared" si="81"/>
        <v>50000</v>
      </c>
      <c r="N286" s="1709">
        <f t="shared" si="81"/>
        <v>100000</v>
      </c>
      <c r="O286" s="1709">
        <f t="shared" si="81"/>
        <v>150000</v>
      </c>
    </row>
    <row r="287" spans="2:15">
      <c r="B287" s="623"/>
      <c r="C287" s="974" t="s">
        <v>1447</v>
      </c>
      <c r="D287" s="624"/>
      <c r="E287" s="962" t="str">
        <f>preferences.energyunits</f>
        <v>TWh</v>
      </c>
      <c r="F287" s="1715">
        <f t="shared" ref="F287:O287" si="82">F286*$F178</f>
        <v>0</v>
      </c>
      <c r="G287" s="1715">
        <f t="shared" si="82"/>
        <v>0</v>
      </c>
      <c r="H287" s="1715">
        <f t="shared" si="82"/>
        <v>0</v>
      </c>
      <c r="I287" s="1715">
        <f t="shared" si="82"/>
        <v>0</v>
      </c>
      <c r="J287" s="1715">
        <f t="shared" si="82"/>
        <v>0</v>
      </c>
      <c r="K287" s="1715">
        <f t="shared" si="82"/>
        <v>0</v>
      </c>
      <c r="L287" s="1715">
        <f t="shared" si="82"/>
        <v>8.6558333333333331E-3</v>
      </c>
      <c r="M287" s="1715">
        <f t="shared" si="82"/>
        <v>4.3279166666666667E-2</v>
      </c>
      <c r="N287" s="1715">
        <f t="shared" si="82"/>
        <v>8.6558333333333334E-2</v>
      </c>
      <c r="O287" s="1715">
        <f t="shared" si="82"/>
        <v>0.12983749999999999</v>
      </c>
    </row>
    <row r="288" spans="2:15">
      <c r="B288" s="623"/>
      <c r="C288" s="961"/>
      <c r="D288" s="624"/>
      <c r="E288" s="962"/>
      <c r="F288" s="1709"/>
      <c r="G288" s="1710"/>
      <c r="H288" s="1710"/>
      <c r="I288" s="1710"/>
      <c r="J288" s="1710"/>
      <c r="K288" s="1710"/>
      <c r="L288" s="1710"/>
      <c r="M288" s="1710"/>
      <c r="N288" s="1710"/>
      <c r="O288" s="1710"/>
    </row>
    <row r="289" spans="2:16">
      <c r="B289" s="1699">
        <v>1.4</v>
      </c>
      <c r="C289" s="961" t="s">
        <v>1477</v>
      </c>
      <c r="D289" s="624"/>
      <c r="E289" s="1301" t="s">
        <v>404</v>
      </c>
      <c r="F289" s="1711">
        <v>2007</v>
      </c>
      <c r="G289" s="1328">
        <f t="shared" ref="G289:O289" si="83">F289+5</f>
        <v>2012</v>
      </c>
      <c r="H289" s="1328">
        <f t="shared" si="83"/>
        <v>2017</v>
      </c>
      <c r="I289" s="1328">
        <f t="shared" si="83"/>
        <v>2022</v>
      </c>
      <c r="J289" s="1328">
        <f t="shared" si="83"/>
        <v>2027</v>
      </c>
      <c r="K289" s="1328">
        <f t="shared" si="83"/>
        <v>2032</v>
      </c>
      <c r="L289" s="1328">
        <f t="shared" si="83"/>
        <v>2037</v>
      </c>
      <c r="M289" s="1328">
        <f t="shared" si="83"/>
        <v>2042</v>
      </c>
      <c r="N289" s="1328">
        <f t="shared" si="83"/>
        <v>2047</v>
      </c>
      <c r="O289" s="1329">
        <f t="shared" si="83"/>
        <v>2052</v>
      </c>
    </row>
    <row r="290" spans="2:16">
      <c r="B290" s="623"/>
      <c r="C290" s="961"/>
      <c r="D290" s="624"/>
      <c r="E290" s="962"/>
      <c r="F290" s="1710"/>
      <c r="G290" s="1710"/>
      <c r="H290" s="1710"/>
      <c r="I290" s="1710"/>
      <c r="J290" s="1710"/>
      <c r="K290" s="1710"/>
      <c r="L290" s="1710"/>
      <c r="M290" s="1710"/>
      <c r="N290" s="1710"/>
      <c r="O290" s="1710"/>
    </row>
    <row r="291" spans="2:16">
      <c r="B291" s="623"/>
      <c r="C291" s="974" t="s">
        <v>1448</v>
      </c>
      <c r="D291" s="624"/>
      <c r="E291" s="962" t="s">
        <v>1431</v>
      </c>
      <c r="F291" s="1709">
        <f>F284*$F183</f>
        <v>0</v>
      </c>
      <c r="G291" s="1709">
        <f>G284*$F183</f>
        <v>406</v>
      </c>
      <c r="H291" s="1709">
        <f t="shared" ref="H291:O291" si="84">(H284-H286)*$F183</f>
        <v>400</v>
      </c>
      <c r="I291" s="1709">
        <f t="shared" si="84"/>
        <v>1000</v>
      </c>
      <c r="J291" s="1709">
        <f t="shared" si="84"/>
        <v>1400</v>
      </c>
      <c r="K291" s="1709">
        <f t="shared" si="84"/>
        <v>2000</v>
      </c>
      <c r="L291" s="1709">
        <f t="shared" si="84"/>
        <v>3600</v>
      </c>
      <c r="M291" s="1709">
        <f t="shared" si="84"/>
        <v>8000</v>
      </c>
      <c r="N291" s="1709">
        <f t="shared" si="84"/>
        <v>16000</v>
      </c>
      <c r="O291" s="1709">
        <f t="shared" si="84"/>
        <v>24000</v>
      </c>
      <c r="P291" s="1710"/>
    </row>
    <row r="292" spans="2:16">
      <c r="B292" s="623"/>
      <c r="C292" s="974" t="s">
        <v>1449</v>
      </c>
      <c r="D292" s="624"/>
      <c r="E292" s="962" t="s">
        <v>1431</v>
      </c>
      <c r="F292" s="1709">
        <f t="shared" ref="F292:O292" si="85">F291*$F185</f>
        <v>0</v>
      </c>
      <c r="G292" s="1709">
        <f t="shared" si="85"/>
        <v>345.09999999999997</v>
      </c>
      <c r="H292" s="1709">
        <f t="shared" si="85"/>
        <v>340</v>
      </c>
      <c r="I292" s="1709">
        <f t="shared" si="85"/>
        <v>850</v>
      </c>
      <c r="J292" s="1709">
        <f t="shared" si="85"/>
        <v>1190</v>
      </c>
      <c r="K292" s="1709">
        <f t="shared" si="85"/>
        <v>1700</v>
      </c>
      <c r="L292" s="1709">
        <f t="shared" si="85"/>
        <v>3060</v>
      </c>
      <c r="M292" s="1709">
        <f t="shared" si="85"/>
        <v>6800</v>
      </c>
      <c r="N292" s="1709">
        <f t="shared" si="85"/>
        <v>13600</v>
      </c>
      <c r="O292" s="1709">
        <f t="shared" si="85"/>
        <v>20400</v>
      </c>
      <c r="P292" s="1710"/>
    </row>
    <row r="293" spans="2:16">
      <c r="B293" s="623"/>
      <c r="C293" s="974" t="s">
        <v>1451</v>
      </c>
      <c r="D293" s="624"/>
      <c r="E293" s="962" t="s">
        <v>277</v>
      </c>
      <c r="F293" s="1710">
        <f t="shared" ref="F293:O293" si="86">F194</f>
        <v>0</v>
      </c>
      <c r="G293" s="1710">
        <f t="shared" si="86"/>
        <v>0</v>
      </c>
      <c r="H293" s="1710">
        <f t="shared" si="86"/>
        <v>0.1</v>
      </c>
      <c r="I293" s="1710">
        <f t="shared" si="86"/>
        <v>0.2</v>
      </c>
      <c r="J293" s="1710">
        <f t="shared" si="86"/>
        <v>0.2</v>
      </c>
      <c r="K293" s="1710">
        <f t="shared" si="86"/>
        <v>0.25</v>
      </c>
      <c r="L293" s="1710">
        <f t="shared" si="86"/>
        <v>0.25</v>
      </c>
      <c r="M293" s="1710">
        <f t="shared" si="86"/>
        <v>0.25</v>
      </c>
      <c r="N293" s="1710">
        <f t="shared" si="86"/>
        <v>0.25</v>
      </c>
      <c r="O293" s="1710">
        <f t="shared" si="86"/>
        <v>0.25</v>
      </c>
      <c r="P293" s="1710"/>
    </row>
    <row r="294" spans="2:16">
      <c r="B294" s="623"/>
      <c r="C294" s="974" t="s">
        <v>1452</v>
      </c>
      <c r="D294" s="624"/>
      <c r="E294" s="962" t="s">
        <v>1431</v>
      </c>
      <c r="F294" s="1709">
        <f>F292*F293</f>
        <v>0</v>
      </c>
      <c r="G294" s="1709">
        <f t="shared" ref="G294:O294" si="87">G292*G293</f>
        <v>0</v>
      </c>
      <c r="H294" s="1709">
        <f t="shared" si="87"/>
        <v>34</v>
      </c>
      <c r="I294" s="1709">
        <f t="shared" si="87"/>
        <v>170</v>
      </c>
      <c r="J294" s="1709">
        <f t="shared" si="87"/>
        <v>238</v>
      </c>
      <c r="K294" s="1709">
        <f t="shared" si="87"/>
        <v>425</v>
      </c>
      <c r="L294" s="1709">
        <f t="shared" si="87"/>
        <v>765</v>
      </c>
      <c r="M294" s="1709">
        <f t="shared" si="87"/>
        <v>1700</v>
      </c>
      <c r="N294" s="1709">
        <f t="shared" si="87"/>
        <v>3400</v>
      </c>
      <c r="O294" s="1709">
        <f t="shared" si="87"/>
        <v>5100</v>
      </c>
      <c r="P294" s="1710"/>
    </row>
    <row r="295" spans="2:16">
      <c r="B295" s="623"/>
      <c r="C295" s="974" t="s">
        <v>1453</v>
      </c>
      <c r="D295" s="624"/>
      <c r="E295" s="962" t="str">
        <f>preferences.energyunits</f>
        <v>TWh</v>
      </c>
      <c r="F295" s="1715">
        <f t="shared" ref="F295:O295" si="88">$F197*F294</f>
        <v>0</v>
      </c>
      <c r="G295" s="1715">
        <f t="shared" si="88"/>
        <v>0</v>
      </c>
      <c r="H295" s="1715">
        <f t="shared" si="88"/>
        <v>8.4532500000000004E-5</v>
      </c>
      <c r="I295" s="1715">
        <f t="shared" si="88"/>
        <v>4.2266250000000003E-4</v>
      </c>
      <c r="J295" s="1715">
        <f t="shared" si="88"/>
        <v>5.9172750000000007E-4</v>
      </c>
      <c r="K295" s="1715">
        <f t="shared" si="88"/>
        <v>1.0566562500000001E-3</v>
      </c>
      <c r="L295" s="1715">
        <f t="shared" si="88"/>
        <v>1.9019812500000002E-3</v>
      </c>
      <c r="M295" s="1715">
        <f t="shared" si="88"/>
        <v>4.2266250000000003E-3</v>
      </c>
      <c r="N295" s="1715">
        <f t="shared" si="88"/>
        <v>8.4532500000000007E-3</v>
      </c>
      <c r="O295" s="1715">
        <f t="shared" si="88"/>
        <v>1.2679875E-2</v>
      </c>
      <c r="P295" s="1710"/>
    </row>
    <row r="296" spans="2:16">
      <c r="B296" s="623"/>
      <c r="C296" s="961"/>
      <c r="D296" s="624"/>
      <c r="E296" s="962"/>
      <c r="F296" s="1710"/>
      <c r="G296" s="1710"/>
      <c r="H296" s="1710"/>
      <c r="I296" s="1710"/>
      <c r="J296" s="1710"/>
      <c r="K296" s="1710"/>
      <c r="L296" s="1710"/>
      <c r="M296" s="1710"/>
      <c r="N296" s="1710"/>
      <c r="O296" s="1710"/>
      <c r="P296" s="1710"/>
    </row>
    <row r="297" spans="2:16">
      <c r="B297" s="1699">
        <v>1.5</v>
      </c>
      <c r="C297" s="961" t="s">
        <v>1454</v>
      </c>
      <c r="D297" s="624"/>
      <c r="E297" s="1301" t="s">
        <v>404</v>
      </c>
      <c r="F297" s="1711">
        <v>2007</v>
      </c>
      <c r="G297" s="1328">
        <f t="shared" ref="G297:O297" si="89">F297+5</f>
        <v>2012</v>
      </c>
      <c r="H297" s="1328">
        <f t="shared" si="89"/>
        <v>2017</v>
      </c>
      <c r="I297" s="1328">
        <f t="shared" si="89"/>
        <v>2022</v>
      </c>
      <c r="J297" s="1328">
        <f t="shared" si="89"/>
        <v>2027</v>
      </c>
      <c r="K297" s="1328">
        <f t="shared" si="89"/>
        <v>2032</v>
      </c>
      <c r="L297" s="1328">
        <f t="shared" si="89"/>
        <v>2037</v>
      </c>
      <c r="M297" s="1328">
        <f t="shared" si="89"/>
        <v>2042</v>
      </c>
      <c r="N297" s="1328">
        <f t="shared" si="89"/>
        <v>2047</v>
      </c>
      <c r="O297" s="1329">
        <f t="shared" si="89"/>
        <v>2052</v>
      </c>
      <c r="P297" s="1710"/>
    </row>
    <row r="298" spans="2:16">
      <c r="B298" s="623"/>
      <c r="D298" s="624"/>
      <c r="E298" s="962"/>
      <c r="F298" s="1710"/>
      <c r="G298" s="1710"/>
      <c r="H298" s="1710"/>
      <c r="I298" s="1710"/>
      <c r="J298" s="1710"/>
      <c r="K298" s="1710"/>
      <c r="L298" s="1710"/>
      <c r="M298" s="1710"/>
      <c r="N298" s="1710"/>
      <c r="O298" s="1710"/>
      <c r="P298" s="1710"/>
    </row>
    <row r="299" spans="2:16">
      <c r="B299" s="623"/>
      <c r="C299" s="974" t="s">
        <v>1455</v>
      </c>
      <c r="D299" s="624"/>
      <c r="E299" s="962" t="s">
        <v>1431</v>
      </c>
      <c r="F299" s="1709">
        <f t="shared" ref="F299:O299" si="90">F104</f>
        <v>0</v>
      </c>
      <c r="G299" s="1709">
        <f t="shared" si="90"/>
        <v>0</v>
      </c>
      <c r="H299" s="1709">
        <f t="shared" si="90"/>
        <v>12000</v>
      </c>
      <c r="I299" s="1709">
        <f t="shared" si="90"/>
        <v>30000</v>
      </c>
      <c r="J299" s="1709">
        <f t="shared" si="90"/>
        <v>42000</v>
      </c>
      <c r="K299" s="1709">
        <f t="shared" si="90"/>
        <v>60000</v>
      </c>
      <c r="L299" s="1709">
        <f t="shared" si="90"/>
        <v>70000</v>
      </c>
      <c r="M299" s="1709">
        <f t="shared" si="90"/>
        <v>90000</v>
      </c>
      <c r="N299" s="1709">
        <f t="shared" si="90"/>
        <v>90000</v>
      </c>
      <c r="O299" s="1709">
        <f t="shared" si="90"/>
        <v>90000</v>
      </c>
      <c r="P299" s="1710"/>
    </row>
    <row r="300" spans="2:16">
      <c r="B300" s="623"/>
      <c r="C300" s="974" t="s">
        <v>1456</v>
      </c>
      <c r="D300" s="624"/>
      <c r="E300" s="962" t="str">
        <f>preferences.energyunits</f>
        <v>TWh</v>
      </c>
      <c r="F300" s="1714">
        <f t="shared" ref="F300:O300" si="91">F299*$F201</f>
        <v>0</v>
      </c>
      <c r="G300" s="1714">
        <f t="shared" si="91"/>
        <v>0</v>
      </c>
      <c r="H300" s="1714">
        <f t="shared" si="91"/>
        <v>7.7349999999999997E-3</v>
      </c>
      <c r="I300" s="1714">
        <f t="shared" si="91"/>
        <v>1.9337500000000001E-2</v>
      </c>
      <c r="J300" s="1714">
        <f t="shared" si="91"/>
        <v>2.7072499999999999E-2</v>
      </c>
      <c r="K300" s="1714">
        <f t="shared" si="91"/>
        <v>3.8675000000000001E-2</v>
      </c>
      <c r="L300" s="1714">
        <f t="shared" si="91"/>
        <v>4.5120833333333332E-2</v>
      </c>
      <c r="M300" s="1714">
        <f t="shared" si="91"/>
        <v>5.8012500000000002E-2</v>
      </c>
      <c r="N300" s="1714">
        <f t="shared" si="91"/>
        <v>5.8012500000000002E-2</v>
      </c>
      <c r="O300" s="1714">
        <f t="shared" si="91"/>
        <v>5.8012500000000002E-2</v>
      </c>
      <c r="P300" s="1710"/>
    </row>
    <row r="301" spans="2:16">
      <c r="B301" s="623"/>
      <c r="C301" s="961"/>
      <c r="D301" s="624"/>
      <c r="E301" s="962"/>
      <c r="F301" s="1710"/>
      <c r="G301" s="1710"/>
      <c r="H301" s="1710"/>
      <c r="I301" s="1710"/>
      <c r="J301" s="1710"/>
      <c r="K301" s="1710"/>
      <c r="L301" s="1710"/>
      <c r="M301" s="1710"/>
      <c r="N301" s="1710"/>
      <c r="O301" s="1710"/>
      <c r="P301" s="1710"/>
    </row>
    <row r="302" spans="2:16">
      <c r="B302" s="1699">
        <v>1</v>
      </c>
      <c r="C302" s="961" t="s">
        <v>1470</v>
      </c>
      <c r="D302" s="624"/>
      <c r="E302" s="1717" t="str">
        <f>preferences.energyunits</f>
        <v>TWh</v>
      </c>
      <c r="F302" s="3132">
        <f>SUM(F273,F280,F287,F295,F300)</f>
        <v>0</v>
      </c>
      <c r="G302" s="3132">
        <f t="shared" ref="G302:O302" si="92">SUM(G273,G280,G287,G295,G300)</f>
        <v>1.2959928041666666E-2</v>
      </c>
      <c r="H302" s="3132">
        <f t="shared" si="92"/>
        <v>7.1923345E-2</v>
      </c>
      <c r="I302" s="3132">
        <f t="shared" si="92"/>
        <v>0.1479677875</v>
      </c>
      <c r="J302" s="3132">
        <f t="shared" si="92"/>
        <v>0.18792375875</v>
      </c>
      <c r="K302" s="3132">
        <f t="shared" si="92"/>
        <v>0.1999911875</v>
      </c>
      <c r="L302" s="3132">
        <f t="shared" si="92"/>
        <v>0.21593817916666666</v>
      </c>
      <c r="M302" s="3132">
        <f t="shared" si="92"/>
        <v>0.26577782291666668</v>
      </c>
      <c r="N302" s="3132">
        <f t="shared" si="92"/>
        <v>0.31328361458333337</v>
      </c>
      <c r="O302" s="3132">
        <f t="shared" si="92"/>
        <v>0.36078940625</v>
      </c>
      <c r="P302" s="1710"/>
    </row>
    <row r="303" spans="2:16">
      <c r="B303" s="623"/>
      <c r="C303" s="961"/>
      <c r="D303" s="624"/>
      <c r="E303" s="962"/>
      <c r="F303" s="972"/>
      <c r="G303" s="1710"/>
      <c r="H303" s="1710"/>
      <c r="I303" s="1710"/>
      <c r="J303" s="1710"/>
      <c r="K303" s="1710"/>
      <c r="L303" s="1710"/>
      <c r="M303" s="1710"/>
      <c r="N303" s="1710"/>
      <c r="O303" s="1710"/>
      <c r="P303" s="1710"/>
    </row>
    <row r="304" spans="2:16">
      <c r="B304" s="623"/>
      <c r="C304" s="961"/>
      <c r="D304" s="624"/>
      <c r="E304" s="962"/>
      <c r="F304" s="1710"/>
      <c r="G304" s="1710"/>
      <c r="H304" s="1710"/>
      <c r="I304" s="1710"/>
      <c r="J304" s="1710"/>
      <c r="K304" s="1710"/>
      <c r="L304" s="1710"/>
      <c r="M304" s="1710"/>
      <c r="N304" s="1710"/>
      <c r="O304" s="1710"/>
      <c r="P304" s="1710"/>
    </row>
    <row r="305" spans="2:16">
      <c r="B305" s="623"/>
      <c r="C305" s="961"/>
      <c r="D305" s="624"/>
      <c r="E305" s="962"/>
      <c r="F305" s="1710"/>
      <c r="G305" s="1710"/>
      <c r="H305" s="1710"/>
      <c r="I305" s="1710"/>
      <c r="J305" s="1710"/>
      <c r="K305" s="1710"/>
      <c r="L305" s="1710"/>
      <c r="M305" s="1710"/>
      <c r="N305" s="1710"/>
      <c r="O305" s="1710"/>
      <c r="P305" s="1710"/>
    </row>
    <row r="306" spans="2:16">
      <c r="B306" s="1699">
        <v>2</v>
      </c>
      <c r="C306" s="961" t="s">
        <v>1458</v>
      </c>
      <c r="D306" s="624"/>
      <c r="E306" s="962"/>
      <c r="F306" s="1710"/>
      <c r="G306" s="1710"/>
      <c r="H306" s="1710"/>
      <c r="I306" s="1710"/>
      <c r="J306" s="1710"/>
      <c r="K306" s="1710"/>
      <c r="L306" s="1710"/>
      <c r="M306" s="1710"/>
      <c r="N306" s="1710"/>
      <c r="O306" s="1710"/>
      <c r="P306" s="1710"/>
    </row>
    <row r="307" spans="2:16">
      <c r="B307" s="623"/>
      <c r="C307" s="961"/>
      <c r="D307" s="624"/>
      <c r="E307" s="962"/>
      <c r="F307" s="1710"/>
      <c r="G307" s="1710"/>
      <c r="H307" s="1710"/>
      <c r="I307" s="1710"/>
      <c r="J307" s="1710"/>
      <c r="K307" s="1710"/>
      <c r="L307" s="1710"/>
      <c r="M307" s="1710"/>
      <c r="N307" s="1710"/>
      <c r="O307" s="1710"/>
      <c r="P307" s="1710"/>
    </row>
    <row r="308" spans="2:16">
      <c r="B308" s="1699">
        <v>2.1</v>
      </c>
      <c r="C308" s="961" t="s">
        <v>1459</v>
      </c>
      <c r="D308" s="624"/>
      <c r="E308" s="1301" t="s">
        <v>404</v>
      </c>
      <c r="F308" s="1711">
        <v>2007</v>
      </c>
      <c r="G308" s="1328">
        <f t="shared" ref="G308:O308" si="93">F308+5</f>
        <v>2012</v>
      </c>
      <c r="H308" s="1328">
        <f t="shared" si="93"/>
        <v>2017</v>
      </c>
      <c r="I308" s="1328">
        <f t="shared" si="93"/>
        <v>2022</v>
      </c>
      <c r="J308" s="1328">
        <f t="shared" si="93"/>
        <v>2027</v>
      </c>
      <c r="K308" s="1328">
        <f t="shared" si="93"/>
        <v>2032</v>
      </c>
      <c r="L308" s="1328">
        <f t="shared" si="93"/>
        <v>2037</v>
      </c>
      <c r="M308" s="1328">
        <f t="shared" si="93"/>
        <v>2042</v>
      </c>
      <c r="N308" s="1328">
        <f t="shared" si="93"/>
        <v>2047</v>
      </c>
      <c r="O308" s="1329">
        <f t="shared" si="93"/>
        <v>2052</v>
      </c>
      <c r="P308" s="1710"/>
    </row>
    <row r="309" spans="2:16">
      <c r="B309" s="623"/>
      <c r="C309" s="961"/>
      <c r="D309" s="624"/>
      <c r="E309" s="962"/>
      <c r="F309" s="1710"/>
      <c r="G309" s="1710"/>
      <c r="H309" s="1710"/>
      <c r="I309" s="1710"/>
      <c r="J309" s="1710"/>
      <c r="K309" s="1710"/>
      <c r="L309" s="1710"/>
      <c r="M309" s="1710"/>
      <c r="N309" s="1710"/>
      <c r="O309" s="1710"/>
      <c r="P309" s="1710"/>
    </row>
    <row r="310" spans="2:16">
      <c r="B310" s="623"/>
      <c r="C310" s="974" t="s">
        <v>1460</v>
      </c>
      <c r="D310" s="624"/>
      <c r="E310" s="962" t="s">
        <v>1431</v>
      </c>
      <c r="F310" s="1709">
        <f t="shared" ref="F310:O310" si="94">F106</f>
        <v>18960000</v>
      </c>
      <c r="G310" s="1709">
        <f t="shared" si="94"/>
        <v>18851000</v>
      </c>
      <c r="H310" s="1709">
        <f t="shared" si="94"/>
        <v>17000000</v>
      </c>
      <c r="I310" s="1709">
        <f t="shared" si="94"/>
        <v>17000000</v>
      </c>
      <c r="J310" s="1709">
        <f t="shared" si="94"/>
        <v>17000000</v>
      </c>
      <c r="K310" s="1709">
        <f t="shared" si="94"/>
        <v>17000000</v>
      </c>
      <c r="L310" s="1709">
        <f t="shared" si="94"/>
        <v>17000000</v>
      </c>
      <c r="M310" s="1709">
        <f t="shared" si="94"/>
        <v>17000000</v>
      </c>
      <c r="N310" s="1709">
        <f t="shared" si="94"/>
        <v>17000000</v>
      </c>
      <c r="O310" s="1709">
        <f t="shared" si="94"/>
        <v>17000000</v>
      </c>
      <c r="P310" s="1710"/>
    </row>
    <row r="311" spans="2:16">
      <c r="B311" s="623"/>
      <c r="C311" s="974" t="s">
        <v>1461</v>
      </c>
      <c r="D311" s="624"/>
      <c r="E311" s="962" t="s">
        <v>1431</v>
      </c>
      <c r="F311" s="1709">
        <f t="shared" ref="F311:O311" si="95">F310*$F207</f>
        <v>11376000</v>
      </c>
      <c r="G311" s="1709">
        <f t="shared" si="95"/>
        <v>11310600</v>
      </c>
      <c r="H311" s="1709">
        <f t="shared" si="95"/>
        <v>10200000</v>
      </c>
      <c r="I311" s="1709">
        <f t="shared" si="95"/>
        <v>10200000</v>
      </c>
      <c r="J311" s="1709">
        <f t="shared" si="95"/>
        <v>10200000</v>
      </c>
      <c r="K311" s="1709">
        <f t="shared" si="95"/>
        <v>10200000</v>
      </c>
      <c r="L311" s="1709">
        <f t="shared" si="95"/>
        <v>10200000</v>
      </c>
      <c r="M311" s="1709">
        <f t="shared" si="95"/>
        <v>10200000</v>
      </c>
      <c r="N311" s="1709">
        <f t="shared" si="95"/>
        <v>10200000</v>
      </c>
      <c r="O311" s="1709">
        <f t="shared" si="95"/>
        <v>10200000</v>
      </c>
      <c r="P311" s="1710"/>
    </row>
    <row r="312" spans="2:16">
      <c r="B312" s="623"/>
      <c r="C312" s="974" t="s">
        <v>1462</v>
      </c>
      <c r="D312" s="624"/>
      <c r="E312" s="962" t="s">
        <v>277</v>
      </c>
      <c r="F312" s="1710">
        <f t="shared" ref="F312:O312" si="96">F216</f>
        <v>0.01</v>
      </c>
      <c r="G312" s="1710">
        <f t="shared" si="96"/>
        <v>0.02</v>
      </c>
      <c r="H312" s="1710">
        <f t="shared" si="96"/>
        <v>0.01</v>
      </c>
      <c r="I312" s="1710">
        <f t="shared" si="96"/>
        <v>0.01</v>
      </c>
      <c r="J312" s="1710">
        <f t="shared" si="96"/>
        <v>0.01</v>
      </c>
      <c r="K312" s="1710">
        <f t="shared" si="96"/>
        <v>0.01</v>
      </c>
      <c r="L312" s="1710">
        <f t="shared" si="96"/>
        <v>0.05</v>
      </c>
      <c r="M312" s="1710">
        <f t="shared" si="96"/>
        <v>0.1</v>
      </c>
      <c r="N312" s="1710">
        <f t="shared" si="96"/>
        <v>0.1</v>
      </c>
      <c r="O312" s="1710">
        <f t="shared" si="96"/>
        <v>0.1</v>
      </c>
      <c r="P312" s="1710"/>
    </row>
    <row r="313" spans="2:16">
      <c r="B313" s="623"/>
      <c r="C313" s="974" t="s">
        <v>1463</v>
      </c>
      <c r="D313" s="624"/>
      <c r="E313" s="962" t="s">
        <v>1431</v>
      </c>
      <c r="F313" s="1709">
        <f>F311*F312</f>
        <v>113760</v>
      </c>
      <c r="G313" s="1709">
        <v>0</v>
      </c>
      <c r="H313" s="1709">
        <v>0</v>
      </c>
      <c r="I313" s="1709">
        <v>0</v>
      </c>
      <c r="J313" s="1709">
        <v>0</v>
      </c>
      <c r="K313" s="1709">
        <v>0</v>
      </c>
      <c r="L313" s="1709">
        <v>0</v>
      </c>
      <c r="M313" s="1709">
        <v>0</v>
      </c>
      <c r="N313" s="1709">
        <v>0</v>
      </c>
      <c r="O313" s="1709">
        <v>0</v>
      </c>
      <c r="P313" s="1710"/>
    </row>
    <row r="314" spans="2:16">
      <c r="B314" s="623"/>
      <c r="C314" s="974" t="s">
        <v>2315</v>
      </c>
      <c r="D314" s="624"/>
      <c r="E314" s="962" t="str">
        <f>preferences.energyunits&amp;"/metric Tonne"</f>
        <v>TWh/metric Tonne</v>
      </c>
      <c r="F314" s="1718">
        <f>F220</f>
        <v>2.6243749999999998E-6</v>
      </c>
      <c r="G314" s="1718">
        <f t="shared" ref="G314:O314" si="97">G220</f>
        <v>2.6243749999999998E-6</v>
      </c>
      <c r="H314" s="1718">
        <f t="shared" si="97"/>
        <v>2.6243749999999998E-6</v>
      </c>
      <c r="I314" s="1718">
        <f t="shared" si="97"/>
        <v>2.6704166666666666E-6</v>
      </c>
      <c r="J314" s="1718">
        <f t="shared" si="97"/>
        <v>2.7164583333333334E-6</v>
      </c>
      <c r="K314" s="1718">
        <f t="shared" si="97"/>
        <v>2.7624999999999998E-6</v>
      </c>
      <c r="L314" s="1718">
        <f t="shared" si="97"/>
        <v>2.8085416666666666E-6</v>
      </c>
      <c r="M314" s="1718">
        <f t="shared" si="97"/>
        <v>2.8545833333333335E-6</v>
      </c>
      <c r="N314" s="1718">
        <f t="shared" si="97"/>
        <v>2.9006249999999999E-6</v>
      </c>
      <c r="O314" s="1718">
        <f t="shared" si="97"/>
        <v>2.9466666666666667E-6</v>
      </c>
      <c r="P314" s="1710"/>
    </row>
    <row r="315" spans="2:16">
      <c r="B315" s="623"/>
      <c r="C315" s="974" t="s">
        <v>1464</v>
      </c>
      <c r="D315" s="624"/>
      <c r="E315" s="962" t="str">
        <f>preferences.energyunits</f>
        <v>TWh</v>
      </c>
      <c r="F315" s="1714">
        <v>0</v>
      </c>
      <c r="G315" s="1714">
        <v>0</v>
      </c>
      <c r="H315" s="1714">
        <f t="shared" ref="H315:O315" si="98">H313*H314</f>
        <v>0</v>
      </c>
      <c r="I315" s="1714">
        <f t="shared" si="98"/>
        <v>0</v>
      </c>
      <c r="J315" s="1714">
        <f t="shared" si="98"/>
        <v>0</v>
      </c>
      <c r="K315" s="1714">
        <f t="shared" si="98"/>
        <v>0</v>
      </c>
      <c r="L315" s="1714">
        <f t="shared" si="98"/>
        <v>0</v>
      </c>
      <c r="M315" s="1714">
        <f t="shared" si="98"/>
        <v>0</v>
      </c>
      <c r="N315" s="1714">
        <f t="shared" si="98"/>
        <v>0</v>
      </c>
      <c r="O315" s="1714">
        <f t="shared" si="98"/>
        <v>0</v>
      </c>
      <c r="P315" s="1710"/>
    </row>
    <row r="316" spans="2:16">
      <c r="B316" s="623"/>
      <c r="C316" s="961"/>
      <c r="D316" s="624"/>
      <c r="E316" s="962"/>
      <c r="F316" s="1710"/>
      <c r="G316" s="1710"/>
      <c r="H316" s="1710"/>
      <c r="I316" s="1710"/>
      <c r="J316" s="1710"/>
      <c r="K316" s="1710"/>
      <c r="L316" s="1710"/>
      <c r="M316" s="1710"/>
      <c r="N316" s="1710"/>
      <c r="O316" s="1710"/>
      <c r="P316" s="1710"/>
    </row>
    <row r="317" spans="2:16">
      <c r="B317" s="1699">
        <v>2.2000000000000002</v>
      </c>
      <c r="C317" s="961" t="s">
        <v>1465</v>
      </c>
      <c r="D317" s="624"/>
      <c r="E317" s="1301" t="s">
        <v>404</v>
      </c>
      <c r="F317" s="1711">
        <v>2007</v>
      </c>
      <c r="G317" s="1328">
        <f t="shared" ref="G317:O317" si="99">F317+5</f>
        <v>2012</v>
      </c>
      <c r="H317" s="1328">
        <f t="shared" si="99"/>
        <v>2017</v>
      </c>
      <c r="I317" s="1328">
        <f t="shared" si="99"/>
        <v>2022</v>
      </c>
      <c r="J317" s="1328">
        <f t="shared" si="99"/>
        <v>2027</v>
      </c>
      <c r="K317" s="1328">
        <f t="shared" si="99"/>
        <v>2032</v>
      </c>
      <c r="L317" s="1328">
        <f t="shared" si="99"/>
        <v>2037</v>
      </c>
      <c r="M317" s="1328">
        <f t="shared" si="99"/>
        <v>2042</v>
      </c>
      <c r="N317" s="1328">
        <f t="shared" si="99"/>
        <v>2047</v>
      </c>
      <c r="O317" s="1329">
        <f t="shared" si="99"/>
        <v>2052</v>
      </c>
      <c r="P317" s="1710"/>
    </row>
    <row r="318" spans="2:16">
      <c r="B318" s="623"/>
      <c r="C318" s="961"/>
      <c r="D318" s="624"/>
      <c r="E318" s="962"/>
      <c r="F318" s="1710"/>
      <c r="G318" s="1710"/>
      <c r="H318" s="1710"/>
      <c r="I318" s="1710"/>
      <c r="J318" s="1710"/>
      <c r="K318" s="1710"/>
      <c r="L318" s="1710"/>
      <c r="M318" s="1710"/>
      <c r="N318" s="1710"/>
      <c r="O318" s="1710"/>
      <c r="P318" s="1710"/>
    </row>
    <row r="319" spans="2:16">
      <c r="B319" s="623"/>
      <c r="C319" s="974" t="s">
        <v>1466</v>
      </c>
      <c r="D319" s="624"/>
      <c r="E319" s="962" t="s">
        <v>1431</v>
      </c>
      <c r="F319" s="1709">
        <f t="shared" ref="F319:O319" si="100">F262*$F225</f>
        <v>100444500</v>
      </c>
      <c r="G319" s="1709">
        <f t="shared" si="100"/>
        <v>99177000</v>
      </c>
      <c r="H319" s="1709">
        <f t="shared" si="100"/>
        <v>87750000</v>
      </c>
      <c r="I319" s="1709">
        <f t="shared" si="100"/>
        <v>87750000</v>
      </c>
      <c r="J319" s="1709">
        <f t="shared" si="100"/>
        <v>87750000</v>
      </c>
      <c r="K319" s="1709">
        <f t="shared" si="100"/>
        <v>87750000</v>
      </c>
      <c r="L319" s="1709">
        <f t="shared" si="100"/>
        <v>87750000</v>
      </c>
      <c r="M319" s="1709">
        <f t="shared" si="100"/>
        <v>87750000</v>
      </c>
      <c r="N319" s="1709">
        <f t="shared" si="100"/>
        <v>87750000</v>
      </c>
      <c r="O319" s="1709">
        <f t="shared" si="100"/>
        <v>87750000</v>
      </c>
      <c r="P319" s="1710"/>
    </row>
    <row r="320" spans="2:16">
      <c r="B320" s="623"/>
      <c r="C320" s="974" t="s">
        <v>1467</v>
      </c>
      <c r="D320" s="624"/>
      <c r="E320" s="962" t="s">
        <v>277</v>
      </c>
      <c r="F320" s="1710">
        <f t="shared" ref="F320:O320" si="101">F233</f>
        <v>0</v>
      </c>
      <c r="G320" s="1710">
        <f t="shared" si="101"/>
        <v>0</v>
      </c>
      <c r="H320" s="1710">
        <f t="shared" si="101"/>
        <v>0</v>
      </c>
      <c r="I320" s="1710">
        <f t="shared" si="101"/>
        <v>0</v>
      </c>
      <c r="J320" s="1710">
        <f t="shared" si="101"/>
        <v>0.01</v>
      </c>
      <c r="K320" s="1710">
        <f t="shared" si="101"/>
        <v>0.01</v>
      </c>
      <c r="L320" s="1710">
        <f t="shared" si="101"/>
        <v>0.04</v>
      </c>
      <c r="M320" s="1710">
        <f t="shared" si="101"/>
        <v>0.1</v>
      </c>
      <c r="N320" s="1710">
        <f t="shared" si="101"/>
        <v>0.1</v>
      </c>
      <c r="O320" s="1710">
        <f t="shared" si="101"/>
        <v>0.1</v>
      </c>
      <c r="P320" s="1710"/>
    </row>
    <row r="321" spans="2:16">
      <c r="B321" s="623"/>
      <c r="C321" s="974" t="s">
        <v>1468</v>
      </c>
      <c r="D321" s="624"/>
      <c r="E321" s="962" t="s">
        <v>1431</v>
      </c>
      <c r="F321" s="1709">
        <f>F319*F320</f>
        <v>0</v>
      </c>
      <c r="G321" s="1709">
        <f t="shared" ref="G321" si="102">G319*G320</f>
        <v>0</v>
      </c>
      <c r="H321" s="1709">
        <v>0</v>
      </c>
      <c r="I321" s="1709">
        <v>0</v>
      </c>
      <c r="J321" s="1709">
        <v>0</v>
      </c>
      <c r="K321" s="1709">
        <v>0</v>
      </c>
      <c r="L321" s="1709">
        <v>0</v>
      </c>
      <c r="M321" s="1709">
        <v>0</v>
      </c>
      <c r="N321" s="1709">
        <v>0</v>
      </c>
      <c r="O321" s="1709">
        <v>0</v>
      </c>
      <c r="P321" s="1710"/>
    </row>
    <row r="322" spans="2:16">
      <c r="B322" s="623"/>
      <c r="C322" s="974" t="s">
        <v>2316</v>
      </c>
      <c r="D322" s="624"/>
      <c r="E322" s="962" t="str">
        <f>preferences.energyunits&amp;"/metric Tonne"</f>
        <v>TWh/metric Tonne</v>
      </c>
      <c r="F322" s="1709">
        <f>F238</f>
        <v>1.9153333333333331E-6</v>
      </c>
      <c r="G322" s="1709">
        <f t="shared" ref="G322:O322" si="103">G238</f>
        <v>1.9153333333333331E-6</v>
      </c>
      <c r="H322" s="1709">
        <f t="shared" si="103"/>
        <v>1.9153333333333331E-6</v>
      </c>
      <c r="I322" s="1709">
        <f t="shared" si="103"/>
        <v>1.9797916666666667E-6</v>
      </c>
      <c r="J322" s="1709">
        <f t="shared" si="103"/>
        <v>2.0258333333333331E-6</v>
      </c>
      <c r="K322" s="1709">
        <f t="shared" si="103"/>
        <v>2.071875E-6</v>
      </c>
      <c r="L322" s="1709">
        <f t="shared" si="103"/>
        <v>2.1179166666666668E-6</v>
      </c>
      <c r="M322" s="1709">
        <f t="shared" si="103"/>
        <v>2.1639583333333332E-6</v>
      </c>
      <c r="N322" s="1709">
        <f t="shared" si="103"/>
        <v>2.21E-6</v>
      </c>
      <c r="O322" s="1709">
        <f t="shared" si="103"/>
        <v>2.2560416666666664E-6</v>
      </c>
      <c r="P322" s="1710"/>
    </row>
    <row r="323" spans="2:16">
      <c r="B323" s="623"/>
      <c r="C323" s="974" t="s">
        <v>1469</v>
      </c>
      <c r="D323" s="624"/>
      <c r="E323" s="962" t="str">
        <f>preferences.energyunits</f>
        <v>TWh</v>
      </c>
      <c r="F323" s="1715">
        <v>0</v>
      </c>
      <c r="G323" s="1715">
        <v>0</v>
      </c>
      <c r="H323" s="1715">
        <f t="shared" ref="H323:O323" si="104">H321*H322</f>
        <v>0</v>
      </c>
      <c r="I323" s="1715">
        <f t="shared" si="104"/>
        <v>0</v>
      </c>
      <c r="J323" s="1715">
        <f t="shared" si="104"/>
        <v>0</v>
      </c>
      <c r="K323" s="1715">
        <f t="shared" si="104"/>
        <v>0</v>
      </c>
      <c r="L323" s="1715">
        <f t="shared" si="104"/>
        <v>0</v>
      </c>
      <c r="M323" s="1715">
        <f t="shared" si="104"/>
        <v>0</v>
      </c>
      <c r="N323" s="1715">
        <f t="shared" si="104"/>
        <v>0</v>
      </c>
      <c r="O323" s="1715">
        <f t="shared" si="104"/>
        <v>0</v>
      </c>
      <c r="P323" s="1710"/>
    </row>
    <row r="324" spans="2:16">
      <c r="B324" s="623"/>
      <c r="C324" s="974"/>
      <c r="D324" s="624"/>
      <c r="E324" s="962"/>
      <c r="F324" s="1715"/>
      <c r="G324" s="1715"/>
      <c r="H324" s="1715"/>
      <c r="I324" s="1715"/>
      <c r="J324" s="1715"/>
      <c r="K324" s="1715"/>
      <c r="L324" s="1715"/>
      <c r="M324" s="1715"/>
      <c r="N324" s="1715"/>
      <c r="O324" s="1715"/>
      <c r="P324" s="1710"/>
    </row>
    <row r="325" spans="2:16">
      <c r="B325" s="1699">
        <v>2.2999999999999998</v>
      </c>
      <c r="C325" s="961" t="s">
        <v>1505</v>
      </c>
      <c r="D325" s="624"/>
      <c r="E325" s="1301" t="s">
        <v>404</v>
      </c>
      <c r="F325" s="1711">
        <v>2007</v>
      </c>
      <c r="G325" s="1328">
        <f t="shared" ref="G325:O325" si="105">F325+5</f>
        <v>2012</v>
      </c>
      <c r="H325" s="1328">
        <f t="shared" si="105"/>
        <v>2017</v>
      </c>
      <c r="I325" s="1328">
        <f t="shared" si="105"/>
        <v>2022</v>
      </c>
      <c r="J325" s="1328">
        <f t="shared" si="105"/>
        <v>2027</v>
      </c>
      <c r="K325" s="1328">
        <f t="shared" si="105"/>
        <v>2032</v>
      </c>
      <c r="L325" s="1328">
        <f t="shared" si="105"/>
        <v>2037</v>
      </c>
      <c r="M325" s="1328">
        <f t="shared" si="105"/>
        <v>2042</v>
      </c>
      <c r="N325" s="1328">
        <f t="shared" si="105"/>
        <v>2047</v>
      </c>
      <c r="O325" s="1329">
        <f t="shared" si="105"/>
        <v>2052</v>
      </c>
      <c r="P325" s="1710"/>
    </row>
    <row r="326" spans="2:16">
      <c r="B326" s="623"/>
      <c r="C326" s="961"/>
      <c r="D326" s="624"/>
      <c r="E326" s="962"/>
      <c r="F326" s="1710"/>
      <c r="G326" s="1710"/>
      <c r="H326" s="1710"/>
      <c r="I326" s="1710"/>
      <c r="J326" s="1710"/>
      <c r="K326" s="1710"/>
      <c r="L326" s="1710"/>
      <c r="M326" s="1710"/>
      <c r="N326" s="1710"/>
      <c r="O326" s="1710"/>
      <c r="P326" s="1710"/>
    </row>
    <row r="327" spans="2:16">
      <c r="B327" s="623"/>
      <c r="C327" s="974" t="s">
        <v>1506</v>
      </c>
      <c r="D327" s="624"/>
      <c r="E327" s="962" t="s">
        <v>1431</v>
      </c>
      <c r="F327" s="975">
        <f t="shared" ref="F327:O327" si="106">F107</f>
        <v>0</v>
      </c>
      <c r="G327" s="975">
        <f t="shared" si="106"/>
        <v>0</v>
      </c>
      <c r="H327" s="975">
        <f t="shared" si="106"/>
        <v>0</v>
      </c>
      <c r="I327" s="975">
        <f t="shared" si="106"/>
        <v>0</v>
      </c>
      <c r="J327" s="975">
        <f t="shared" si="106"/>
        <v>0</v>
      </c>
      <c r="K327" s="975">
        <f t="shared" si="106"/>
        <v>0</v>
      </c>
      <c r="L327" s="975">
        <f t="shared" si="106"/>
        <v>0</v>
      </c>
      <c r="M327" s="975">
        <f t="shared" si="106"/>
        <v>0</v>
      </c>
      <c r="N327" s="975">
        <f t="shared" si="106"/>
        <v>0</v>
      </c>
      <c r="O327" s="975">
        <f t="shared" si="106"/>
        <v>0</v>
      </c>
      <c r="P327" s="1710"/>
    </row>
    <row r="328" spans="2:16">
      <c r="B328" s="623"/>
      <c r="C328" s="974" t="s">
        <v>1507</v>
      </c>
      <c r="D328" s="624"/>
      <c r="E328" s="962" t="s">
        <v>1431</v>
      </c>
      <c r="F328" s="975">
        <f t="shared" ref="F328:O328" ca="1" si="107">F108</f>
        <v>0</v>
      </c>
      <c r="G328" s="975">
        <f t="shared" ca="1" si="107"/>
        <v>0</v>
      </c>
      <c r="H328" s="975">
        <f t="shared" ca="1" si="107"/>
        <v>1794375.0000000002</v>
      </c>
      <c r="I328" s="975">
        <f t="shared" ca="1" si="107"/>
        <v>3588750.0000000005</v>
      </c>
      <c r="J328" s="975">
        <f t="shared" ca="1" si="107"/>
        <v>5383125.0000000019</v>
      </c>
      <c r="K328" s="975">
        <f t="shared" ca="1" si="107"/>
        <v>7177500.0000000009</v>
      </c>
      <c r="L328" s="975">
        <f t="shared" ca="1" si="107"/>
        <v>8971875</v>
      </c>
      <c r="M328" s="975">
        <f t="shared" ca="1" si="107"/>
        <v>10766250.000000002</v>
      </c>
      <c r="N328" s="975">
        <f t="shared" ca="1" si="107"/>
        <v>12560625</v>
      </c>
      <c r="O328" s="975">
        <f t="shared" ca="1" si="107"/>
        <v>14355000.000000002</v>
      </c>
      <c r="P328" s="1710"/>
    </row>
    <row r="329" spans="2:16">
      <c r="B329" s="623"/>
      <c r="C329" s="974" t="s">
        <v>1508</v>
      </c>
      <c r="D329" s="624"/>
      <c r="E329" s="962" t="s">
        <v>1431</v>
      </c>
      <c r="F329" s="975">
        <f ca="1">MAX(F328-F313-F321,0)</f>
        <v>0</v>
      </c>
      <c r="G329" s="975">
        <f t="shared" ref="G329:O329" ca="1" si="108">MAX(G328-G313-G321,0)</f>
        <v>0</v>
      </c>
      <c r="H329" s="975">
        <f t="shared" ca="1" si="108"/>
        <v>1794375.0000000002</v>
      </c>
      <c r="I329" s="975">
        <f t="shared" ca="1" si="108"/>
        <v>3588750.0000000005</v>
      </c>
      <c r="J329" s="975">
        <f t="shared" ca="1" si="108"/>
        <v>5383125.0000000019</v>
      </c>
      <c r="K329" s="975">
        <f t="shared" ca="1" si="108"/>
        <v>7177500.0000000009</v>
      </c>
      <c r="L329" s="975">
        <f t="shared" ca="1" si="108"/>
        <v>8971875</v>
      </c>
      <c r="M329" s="975">
        <f t="shared" ca="1" si="108"/>
        <v>10766250.000000002</v>
      </c>
      <c r="N329" s="975">
        <f t="shared" ca="1" si="108"/>
        <v>12560625</v>
      </c>
      <c r="O329" s="975">
        <f t="shared" ca="1" si="108"/>
        <v>14355000.000000002</v>
      </c>
      <c r="P329" s="1710"/>
    </row>
    <row r="330" spans="2:16">
      <c r="B330" s="623"/>
      <c r="C330" s="974" t="s">
        <v>1509</v>
      </c>
      <c r="D330" s="624"/>
      <c r="E330" s="962" t="s">
        <v>1431</v>
      </c>
      <c r="F330" s="975">
        <f ca="1">F329+F327</f>
        <v>0</v>
      </c>
      <c r="G330" s="975">
        <f t="shared" ref="G330:O330" ca="1" si="109">G329+G327</f>
        <v>0</v>
      </c>
      <c r="H330" s="975">
        <f t="shared" ca="1" si="109"/>
        <v>1794375.0000000002</v>
      </c>
      <c r="I330" s="975">
        <f t="shared" ca="1" si="109"/>
        <v>3588750.0000000005</v>
      </c>
      <c r="J330" s="975">
        <f t="shared" ca="1" si="109"/>
        <v>5383125.0000000019</v>
      </c>
      <c r="K330" s="975">
        <f t="shared" ca="1" si="109"/>
        <v>7177500.0000000009</v>
      </c>
      <c r="L330" s="975">
        <f t="shared" ca="1" si="109"/>
        <v>8971875</v>
      </c>
      <c r="M330" s="975">
        <f t="shared" ca="1" si="109"/>
        <v>10766250.000000002</v>
      </c>
      <c r="N330" s="975">
        <f t="shared" ca="1" si="109"/>
        <v>12560625</v>
      </c>
      <c r="O330" s="975">
        <f t="shared" ca="1" si="109"/>
        <v>14355000.000000002</v>
      </c>
      <c r="P330" s="1710"/>
    </row>
    <row r="331" spans="2:16">
      <c r="B331" s="623"/>
      <c r="C331" s="974" t="s">
        <v>2317</v>
      </c>
      <c r="D331" s="624"/>
      <c r="E331" s="962" t="str">
        <f>preferences.energyunits&amp;"/metric Tonne"</f>
        <v>TWh/metric Tonne</v>
      </c>
      <c r="F331" s="1709">
        <f>F246</f>
        <v>1.3812499999999999E-6</v>
      </c>
      <c r="G331" s="1709">
        <f t="shared" ref="G331:O331" si="110">G246</f>
        <v>1.3812499999999999E-6</v>
      </c>
      <c r="H331" s="1709">
        <f t="shared" si="110"/>
        <v>1.5614151272386542E-6</v>
      </c>
      <c r="I331" s="1709">
        <f t="shared" si="110"/>
        <v>1.7650803254803278E-6</v>
      </c>
      <c r="J331" s="1709">
        <f t="shared" si="110"/>
        <v>1.9953108568299087E-6</v>
      </c>
      <c r="K331" s="1709">
        <f t="shared" si="110"/>
        <v>2.2555718048128436E-6</v>
      </c>
      <c r="L331" s="1709">
        <f t="shared" si="110"/>
        <v>2.5497802255983833E-6</v>
      </c>
      <c r="M331" s="1709">
        <f t="shared" si="110"/>
        <v>2.8823641016349713E-6</v>
      </c>
      <c r="N331" s="1709">
        <f t="shared" si="110"/>
        <v>3.258328984979184E-6</v>
      </c>
      <c r="O331" s="1709">
        <f t="shared" si="110"/>
        <v>3.6833333333333334E-6</v>
      </c>
      <c r="P331" s="1710"/>
    </row>
    <row r="332" spans="2:16">
      <c r="B332" s="623"/>
      <c r="C332" s="974" t="s">
        <v>1865</v>
      </c>
      <c r="D332" s="624"/>
      <c r="E332" s="962" t="str">
        <f>preferences.energyunits</f>
        <v>TWh</v>
      </c>
      <c r="F332" s="1715">
        <f ca="1">F331*F330</f>
        <v>0</v>
      </c>
      <c r="G332" s="1715">
        <f t="shared" ref="G332:O332" ca="1" si="111">G331*G330</f>
        <v>0</v>
      </c>
      <c r="H332" s="1715">
        <f t="shared" ca="1" si="111"/>
        <v>2.8017642689388604</v>
      </c>
      <c r="I332" s="1715">
        <f t="shared" ca="1" si="111"/>
        <v>6.3344320180675266</v>
      </c>
      <c r="J332" s="1715">
        <f t="shared" ca="1" si="111"/>
        <v>10.741007756172506</v>
      </c>
      <c r="K332" s="1715">
        <f t="shared" ca="1" si="111"/>
        <v>16.189366629044187</v>
      </c>
      <c r="L332" s="1715">
        <f t="shared" ca="1" si="111"/>
        <v>22.876309461540494</v>
      </c>
      <c r="M332" s="1715">
        <f t="shared" ca="1" si="111"/>
        <v>31.032252509227515</v>
      </c>
      <c r="N332" s="1715">
        <f t="shared" ca="1" si="111"/>
        <v>40.926648506954166</v>
      </c>
      <c r="O332" s="1715">
        <f t="shared" ca="1" si="111"/>
        <v>52.874250000000011</v>
      </c>
      <c r="P332" s="1710"/>
    </row>
    <row r="333" spans="2:16">
      <c r="B333" s="623"/>
      <c r="C333" s="974"/>
      <c r="D333" s="624"/>
      <c r="E333" s="962"/>
      <c r="F333" s="1715"/>
      <c r="G333" s="1715"/>
      <c r="H333" s="1715"/>
      <c r="I333" s="1715"/>
      <c r="J333" s="1715"/>
      <c r="K333" s="1715"/>
      <c r="L333" s="1715"/>
      <c r="M333" s="1715"/>
      <c r="N333" s="1715"/>
      <c r="O333" s="1715"/>
      <c r="P333" s="1710"/>
    </row>
    <row r="334" spans="2:16">
      <c r="B334" s="623"/>
      <c r="C334" s="974"/>
      <c r="D334" s="624"/>
      <c r="E334" s="962"/>
      <c r="F334" s="1715"/>
      <c r="G334" s="1715"/>
      <c r="H334" s="1715"/>
      <c r="I334" s="1715"/>
      <c r="J334" s="1715"/>
      <c r="K334" s="1715"/>
      <c r="L334" s="1715"/>
      <c r="M334" s="1715"/>
      <c r="N334" s="1715"/>
      <c r="O334" s="1715"/>
      <c r="P334" s="1710"/>
    </row>
    <row r="335" spans="2:16">
      <c r="B335" s="623"/>
      <c r="C335" s="974"/>
      <c r="D335" s="624"/>
      <c r="E335" s="962"/>
      <c r="F335" s="1715"/>
      <c r="G335" s="1715"/>
      <c r="H335" s="1715"/>
      <c r="I335" s="1715"/>
      <c r="J335" s="1715"/>
      <c r="K335" s="1715"/>
      <c r="L335" s="1715"/>
      <c r="M335" s="1715"/>
      <c r="N335" s="1715"/>
      <c r="O335" s="1715"/>
      <c r="P335" s="1710"/>
    </row>
    <row r="336" spans="2:16">
      <c r="B336" s="623"/>
      <c r="C336" s="974"/>
      <c r="D336" s="624"/>
      <c r="E336" s="962"/>
      <c r="F336" s="1715"/>
      <c r="G336" s="1715"/>
      <c r="H336" s="1715"/>
      <c r="I336" s="1715"/>
      <c r="J336" s="1715"/>
      <c r="K336" s="1715"/>
      <c r="L336" s="1715"/>
      <c r="M336" s="1715"/>
      <c r="N336" s="1715"/>
      <c r="O336" s="1715"/>
      <c r="P336" s="1710"/>
    </row>
    <row r="337" spans="1:16">
      <c r="B337" s="623"/>
      <c r="C337" s="974"/>
      <c r="D337" s="624"/>
      <c r="E337" s="962"/>
      <c r="F337" s="1715"/>
      <c r="G337" s="1715"/>
      <c r="H337" s="1715"/>
      <c r="I337" s="1715"/>
      <c r="J337" s="1715"/>
      <c r="K337" s="1715"/>
      <c r="L337" s="1715"/>
      <c r="M337" s="1715"/>
      <c r="N337" s="1715"/>
      <c r="O337" s="1715"/>
      <c r="P337" s="1710"/>
    </row>
    <row r="338" spans="1:16">
      <c r="B338" s="623"/>
      <c r="C338" s="961"/>
      <c r="D338" s="624"/>
      <c r="E338" s="962"/>
      <c r="F338" s="1710"/>
      <c r="G338" s="1710"/>
      <c r="H338" s="1710"/>
      <c r="I338" s="1710"/>
      <c r="J338" s="1710"/>
      <c r="K338" s="1710"/>
      <c r="L338" s="1710"/>
      <c r="M338" s="1710"/>
      <c r="N338" s="1710"/>
      <c r="O338" s="1710"/>
      <c r="P338" s="1710"/>
    </row>
    <row r="339" spans="1:16">
      <c r="B339" s="1699">
        <v>2</v>
      </c>
      <c r="C339" s="961" t="s">
        <v>1471</v>
      </c>
      <c r="D339" s="624"/>
      <c r="E339" s="962" t="str">
        <f>preferences.energyunits</f>
        <v>TWh</v>
      </c>
      <c r="F339" s="1715">
        <f ca="1">F323+F315+F332</f>
        <v>0</v>
      </c>
      <c r="G339" s="3169">
        <f t="shared" ref="G339:O339" ca="1" si="112">G323+G315+G332</f>
        <v>0</v>
      </c>
      <c r="H339" s="1715">
        <f t="shared" ca="1" si="112"/>
        <v>2.8017642689388604</v>
      </c>
      <c r="I339" s="1715">
        <f t="shared" ca="1" si="112"/>
        <v>6.3344320180675266</v>
      </c>
      <c r="J339" s="1715">
        <f t="shared" ca="1" si="112"/>
        <v>10.741007756172506</v>
      </c>
      <c r="K339" s="1715">
        <f t="shared" ca="1" si="112"/>
        <v>16.189366629044187</v>
      </c>
      <c r="L339" s="1715">
        <f t="shared" ca="1" si="112"/>
        <v>22.876309461540494</v>
      </c>
      <c r="M339" s="1715">
        <f t="shared" ca="1" si="112"/>
        <v>31.032252509227515</v>
      </c>
      <c r="N339" s="1715">
        <f t="shared" ca="1" si="112"/>
        <v>40.926648506954166</v>
      </c>
      <c r="O339" s="1715">
        <f t="shared" ca="1" si="112"/>
        <v>52.874250000000011</v>
      </c>
      <c r="P339" s="1710"/>
    </row>
    <row r="340" spans="1:16">
      <c r="B340" s="623"/>
      <c r="C340" s="961"/>
      <c r="D340" s="624"/>
      <c r="E340" s="962"/>
      <c r="F340" s="1710"/>
      <c r="G340" s="1710"/>
      <c r="H340" s="1710"/>
      <c r="I340" s="1710"/>
      <c r="J340" s="1710"/>
      <c r="K340" s="1710"/>
      <c r="L340" s="1710"/>
      <c r="M340" s="1710"/>
      <c r="N340" s="1710"/>
      <c r="O340" s="1710"/>
      <c r="P340" s="1710"/>
    </row>
    <row r="341" spans="1:16">
      <c r="B341" s="623"/>
      <c r="C341" s="961"/>
      <c r="D341" s="624"/>
      <c r="E341" s="962"/>
      <c r="F341" s="1710"/>
      <c r="G341" s="1710"/>
      <c r="H341" s="1710"/>
      <c r="I341" s="1710"/>
      <c r="J341" s="1710"/>
      <c r="K341" s="1710"/>
      <c r="L341" s="1710"/>
      <c r="M341" s="1710"/>
      <c r="N341" s="1710"/>
      <c r="O341" s="1710"/>
      <c r="P341" s="1710"/>
    </row>
    <row r="342" spans="1:16">
      <c r="B342" s="1699">
        <v>3</v>
      </c>
      <c r="C342" s="961" t="s">
        <v>1472</v>
      </c>
      <c r="D342" s="624"/>
      <c r="E342" s="962"/>
      <c r="F342" s="1710"/>
      <c r="G342" s="1710"/>
      <c r="H342" s="1710"/>
      <c r="I342" s="1710"/>
      <c r="J342" s="1710"/>
      <c r="K342" s="1710"/>
      <c r="L342" s="1710"/>
      <c r="M342" s="1710"/>
      <c r="N342" s="1710"/>
      <c r="O342" s="1710"/>
      <c r="P342" s="1710"/>
    </row>
    <row r="343" spans="1:16">
      <c r="B343" s="623"/>
      <c r="C343" s="961"/>
      <c r="D343" s="624"/>
      <c r="E343" s="962"/>
      <c r="F343" s="1710"/>
      <c r="G343" s="1710"/>
      <c r="H343" s="1710"/>
      <c r="I343" s="1710"/>
      <c r="J343" s="1710"/>
      <c r="K343" s="1710"/>
      <c r="L343" s="1710"/>
      <c r="M343" s="1710"/>
      <c r="N343" s="1710"/>
      <c r="O343" s="1710"/>
      <c r="P343" s="1710"/>
    </row>
    <row r="344" spans="1:16">
      <c r="B344" s="1699">
        <v>3.1</v>
      </c>
      <c r="C344" s="961" t="s">
        <v>1473</v>
      </c>
      <c r="D344" s="624"/>
      <c r="E344" s="1301" t="s">
        <v>404</v>
      </c>
      <c r="F344" s="1711">
        <v>2007</v>
      </c>
      <c r="G344" s="1328">
        <f t="shared" ref="G344:O344" si="113">F344+5</f>
        <v>2012</v>
      </c>
      <c r="H344" s="1328">
        <f t="shared" si="113"/>
        <v>2017</v>
      </c>
      <c r="I344" s="1328">
        <f t="shared" si="113"/>
        <v>2022</v>
      </c>
      <c r="J344" s="1328">
        <f t="shared" si="113"/>
        <v>2027</v>
      </c>
      <c r="K344" s="1328">
        <f t="shared" si="113"/>
        <v>2032</v>
      </c>
      <c r="L344" s="1328">
        <f t="shared" si="113"/>
        <v>2037</v>
      </c>
      <c r="M344" s="1328">
        <f t="shared" si="113"/>
        <v>2042</v>
      </c>
      <c r="N344" s="1328">
        <f t="shared" si="113"/>
        <v>2047</v>
      </c>
      <c r="O344" s="1329">
        <f t="shared" si="113"/>
        <v>2052</v>
      </c>
      <c r="P344" s="1710"/>
    </row>
    <row r="345" spans="1:16">
      <c r="B345" s="623"/>
      <c r="C345" s="961"/>
      <c r="D345" s="624"/>
      <c r="E345" s="962"/>
      <c r="F345" s="1710"/>
      <c r="G345" s="1710"/>
      <c r="H345" s="1710"/>
      <c r="I345" s="1710"/>
      <c r="J345" s="1710"/>
      <c r="K345" s="1710"/>
      <c r="L345" s="1710"/>
      <c r="M345" s="1710"/>
      <c r="N345" s="1710"/>
      <c r="O345" s="1710"/>
      <c r="P345" s="1710"/>
    </row>
    <row r="346" spans="1:16">
      <c r="B346" s="623"/>
      <c r="C346" s="974" t="s">
        <v>1474</v>
      </c>
      <c r="D346" s="624"/>
      <c r="E346" s="962" t="s">
        <v>1431</v>
      </c>
      <c r="F346" s="1709">
        <f t="shared" ref="F346:O346" si="114">F105</f>
        <v>0</v>
      </c>
      <c r="G346" s="1709">
        <f t="shared" si="114"/>
        <v>45000</v>
      </c>
      <c r="H346" s="1709">
        <f t="shared" si="114"/>
        <v>53333.333333333401</v>
      </c>
      <c r="I346" s="1709">
        <f t="shared" si="114"/>
        <v>60000</v>
      </c>
      <c r="J346" s="1709">
        <f t="shared" si="114"/>
        <v>87500</v>
      </c>
      <c r="K346" s="1709">
        <f t="shared" si="114"/>
        <v>120000</v>
      </c>
      <c r="L346" s="1709">
        <f t="shared" si="114"/>
        <v>157500</v>
      </c>
      <c r="M346" s="1709">
        <f t="shared" si="114"/>
        <v>200000</v>
      </c>
      <c r="N346" s="1709">
        <f t="shared" si="114"/>
        <v>225000</v>
      </c>
      <c r="O346" s="1709">
        <f t="shared" si="114"/>
        <v>250000</v>
      </c>
      <c r="P346" s="1710"/>
    </row>
    <row r="347" spans="1:16">
      <c r="B347" s="623"/>
      <c r="C347" s="974" t="s">
        <v>1475</v>
      </c>
      <c r="D347" s="624"/>
      <c r="E347" s="962" t="str">
        <f>preferences.energyunits</f>
        <v>TWh</v>
      </c>
      <c r="F347" s="2843">
        <f t="shared" ref="F347:O347" si="115">F346*$F253</f>
        <v>0</v>
      </c>
      <c r="G347" s="2843">
        <f t="shared" si="115"/>
        <v>0.11846249999999998</v>
      </c>
      <c r="H347" s="2843">
        <f t="shared" si="115"/>
        <v>0.14040000000000016</v>
      </c>
      <c r="I347" s="2843">
        <f t="shared" si="115"/>
        <v>0.15794999999999998</v>
      </c>
      <c r="J347" s="2843">
        <f t="shared" si="115"/>
        <v>0.23034374999999999</v>
      </c>
      <c r="K347" s="2843">
        <f t="shared" si="115"/>
        <v>0.31589999999999996</v>
      </c>
      <c r="L347" s="2843">
        <f t="shared" si="115"/>
        <v>0.41461874999999998</v>
      </c>
      <c r="M347" s="2843">
        <f t="shared" si="115"/>
        <v>0.52649999999999997</v>
      </c>
      <c r="N347" s="2843">
        <f t="shared" si="115"/>
        <v>0.59231249999999991</v>
      </c>
      <c r="O347" s="2843">
        <f t="shared" si="115"/>
        <v>0.65812499999999996</v>
      </c>
      <c r="P347" s="1710"/>
    </row>
    <row r="348" spans="1:16">
      <c r="B348" s="623"/>
      <c r="C348" s="961"/>
      <c r="D348" s="624"/>
      <c r="E348" s="962"/>
      <c r="F348" s="1709"/>
      <c r="G348" s="1709"/>
      <c r="H348" s="1709"/>
      <c r="I348" s="1709"/>
      <c r="J348" s="1709"/>
      <c r="K348" s="1709"/>
      <c r="L348" s="1709"/>
      <c r="M348" s="1709"/>
      <c r="N348" s="1709"/>
      <c r="O348" s="1709"/>
      <c r="P348" s="1710"/>
    </row>
    <row r="349" spans="1:16">
      <c r="B349" s="1699">
        <v>3</v>
      </c>
      <c r="C349" s="961" t="s">
        <v>1476</v>
      </c>
      <c r="D349" s="624"/>
      <c r="E349" s="962" t="str">
        <f>preferences.energyunits</f>
        <v>TWh</v>
      </c>
      <c r="F349" s="1715">
        <f>F347</f>
        <v>0</v>
      </c>
      <c r="G349" s="1715">
        <f t="shared" ref="G349:O349" si="116">G347</f>
        <v>0.11846249999999998</v>
      </c>
      <c r="H349" s="1715">
        <f t="shared" si="116"/>
        <v>0.14040000000000016</v>
      </c>
      <c r="I349" s="1715">
        <f t="shared" si="116"/>
        <v>0.15794999999999998</v>
      </c>
      <c r="J349" s="1715">
        <f t="shared" si="116"/>
        <v>0.23034374999999999</v>
      </c>
      <c r="K349" s="1715">
        <f t="shared" si="116"/>
        <v>0.31589999999999996</v>
      </c>
      <c r="L349" s="1715">
        <f t="shared" si="116"/>
        <v>0.41461874999999998</v>
      </c>
      <c r="M349" s="1715">
        <f t="shared" si="116"/>
        <v>0.52649999999999997</v>
      </c>
      <c r="N349" s="1715">
        <f t="shared" si="116"/>
        <v>0.59231249999999991</v>
      </c>
      <c r="O349" s="1715">
        <f t="shared" si="116"/>
        <v>0.65812499999999996</v>
      </c>
      <c r="P349" s="1710"/>
    </row>
    <row r="350" spans="1:16">
      <c r="B350" s="623"/>
      <c r="C350" s="961"/>
      <c r="D350" s="624"/>
      <c r="E350" s="962"/>
      <c r="F350" s="1709"/>
      <c r="G350" s="1709"/>
      <c r="H350" s="1709"/>
      <c r="I350" s="1709"/>
      <c r="J350" s="1709"/>
      <c r="K350" s="1709"/>
      <c r="L350" s="1709"/>
      <c r="M350" s="1709"/>
      <c r="N350" s="1709"/>
      <c r="O350" s="1709"/>
      <c r="P350" s="1710"/>
    </row>
    <row r="351" spans="1:16" s="2555" customFormat="1">
      <c r="A351" s="2555" t="s">
        <v>1076</v>
      </c>
      <c r="B351" s="623">
        <v>4</v>
      </c>
      <c r="C351" s="961" t="s">
        <v>2065</v>
      </c>
      <c r="D351" s="624"/>
      <c r="E351" s="962"/>
      <c r="F351" s="1709"/>
      <c r="G351" s="1709"/>
      <c r="H351" s="1709"/>
      <c r="I351" s="1709"/>
      <c r="J351" s="1709"/>
      <c r="K351" s="1709"/>
      <c r="L351" s="1709"/>
      <c r="M351" s="1709"/>
      <c r="N351" s="1709"/>
      <c r="O351" s="1709"/>
      <c r="P351" s="1710"/>
    </row>
    <row r="352" spans="1:16" s="2555" customFormat="1">
      <c r="B352" s="623" t="s">
        <v>297</v>
      </c>
      <c r="C352" s="974" t="s">
        <v>2066</v>
      </c>
      <c r="D352" s="624"/>
      <c r="E352" s="962" t="str">
        <f>preferences.energyunits</f>
        <v>TWh</v>
      </c>
      <c r="F352" s="2567">
        <f ca="1">INDEX(INDIRECT($A$351&amp;".outputs["&amp;F$344&amp;"]"),MATCH($B352,INDIRECT($A$351&amp;".outputs[Vector]"),0))</f>
        <v>0</v>
      </c>
      <c r="G352" s="2567">
        <f t="shared" ref="G352:O352" ca="1" si="117">INDEX(INDIRECT($A$351&amp;".outputs["&amp;G$344&amp;"]"),MATCH($B352,INDIRECT($A$351&amp;".outputs[Vector]"),0))</f>
        <v>0</v>
      </c>
      <c r="H352" s="2567">
        <f t="shared" ca="1" si="117"/>
        <v>0</v>
      </c>
      <c r="I352" s="2567">
        <f t="shared" ca="1" si="117"/>
        <v>0</v>
      </c>
      <c r="J352" s="2567">
        <f t="shared" ca="1" si="117"/>
        <v>1.5275390625000003E-2</v>
      </c>
      <c r="K352" s="2567">
        <f t="shared" ca="1" si="117"/>
        <v>0.15275390625000002</v>
      </c>
      <c r="L352" s="2567">
        <f t="shared" ca="1" si="117"/>
        <v>0.30550781250000003</v>
      </c>
      <c r="M352" s="2567">
        <f t="shared" ca="1" si="117"/>
        <v>0.45826171874999999</v>
      </c>
      <c r="N352" s="2567">
        <f t="shared" ca="1" si="117"/>
        <v>0.61101562500000006</v>
      </c>
      <c r="O352" s="2567">
        <f t="shared" ca="1" si="117"/>
        <v>0.76376953125000002</v>
      </c>
      <c r="P352" s="1710"/>
    </row>
    <row r="353" spans="1:16" s="2555" customFormat="1">
      <c r="B353" s="623"/>
      <c r="C353" s="961" t="s">
        <v>2067</v>
      </c>
      <c r="D353" s="624"/>
      <c r="E353" s="962" t="str">
        <f>preferences.energyunits</f>
        <v>TWh</v>
      </c>
      <c r="F353" s="975">
        <f ca="1">F352</f>
        <v>0</v>
      </c>
      <c r="G353" s="975">
        <f t="shared" ref="G353:O353" ca="1" si="118">G352</f>
        <v>0</v>
      </c>
      <c r="H353" s="975">
        <f t="shared" ca="1" si="118"/>
        <v>0</v>
      </c>
      <c r="I353" s="975">
        <f t="shared" ca="1" si="118"/>
        <v>0</v>
      </c>
      <c r="J353" s="975">
        <f t="shared" ca="1" si="118"/>
        <v>1.5275390625000003E-2</v>
      </c>
      <c r="K353" s="975">
        <f t="shared" ca="1" si="118"/>
        <v>0.15275390625000002</v>
      </c>
      <c r="L353" s="975">
        <f t="shared" ca="1" si="118"/>
        <v>0.30550781250000003</v>
      </c>
      <c r="M353" s="975">
        <f t="shared" ca="1" si="118"/>
        <v>0.45826171874999999</v>
      </c>
      <c r="N353" s="748">
        <f t="shared" ca="1" si="118"/>
        <v>0.61101562500000006</v>
      </c>
      <c r="O353" s="975">
        <f t="shared" ca="1" si="118"/>
        <v>0.76376953125000002</v>
      </c>
      <c r="P353" s="1710"/>
    </row>
    <row r="354" spans="1:16" s="2555" customFormat="1">
      <c r="B354" s="623"/>
      <c r="C354" s="961"/>
      <c r="D354" s="624"/>
      <c r="E354" s="962"/>
      <c r="F354" s="1709"/>
      <c r="G354" s="1709"/>
      <c r="H354" s="1709"/>
      <c r="I354" s="1709"/>
      <c r="J354" s="1709"/>
      <c r="K354" s="1709"/>
      <c r="L354" s="1709"/>
      <c r="M354" s="1709"/>
      <c r="N354" s="1709"/>
      <c r="O354" s="1709"/>
      <c r="P354" s="1710"/>
    </row>
    <row r="355" spans="1:16" s="2555" customFormat="1">
      <c r="B355" s="623"/>
      <c r="C355" s="961"/>
      <c r="D355" s="624"/>
      <c r="E355" s="962"/>
      <c r="F355" s="1709"/>
      <c r="G355" s="1709"/>
      <c r="H355" s="1709"/>
      <c r="I355" s="1709"/>
      <c r="J355" s="1709"/>
      <c r="K355" s="1709"/>
      <c r="L355" s="1709"/>
      <c r="M355" s="1709"/>
      <c r="N355" s="1709"/>
      <c r="O355" s="1709"/>
      <c r="P355" s="1710"/>
    </row>
    <row r="356" spans="1:16" s="2555" customFormat="1">
      <c r="B356" s="623"/>
      <c r="C356" s="961"/>
      <c r="D356" s="624"/>
      <c r="E356" s="962"/>
      <c r="F356" s="1709"/>
      <c r="G356" s="1709"/>
      <c r="H356" s="1709"/>
      <c r="I356" s="1709"/>
      <c r="J356" s="1709"/>
      <c r="K356" s="1709"/>
      <c r="L356" s="1709"/>
      <c r="M356" s="1709"/>
      <c r="N356" s="1709"/>
      <c r="O356" s="1709"/>
      <c r="P356" s="1710"/>
    </row>
    <row r="357" spans="1:16" s="2555" customFormat="1">
      <c r="B357" s="961">
        <v>5</v>
      </c>
      <c r="C357" s="943" t="s">
        <v>2390</v>
      </c>
      <c r="D357" s="628"/>
      <c r="E357" s="628"/>
      <c r="F357" s="975"/>
      <c r="G357" s="1347"/>
      <c r="H357" s="1347"/>
      <c r="I357" s="1347"/>
      <c r="J357" s="1347"/>
      <c r="K357" s="1347"/>
      <c r="L357" s="1347"/>
      <c r="M357" s="1347"/>
      <c r="N357" s="1347"/>
      <c r="O357" s="1347"/>
      <c r="P357" s="1710"/>
    </row>
    <row r="358" spans="1:16">
      <c r="B358" s="974"/>
      <c r="C358" s="894"/>
      <c r="D358" s="628"/>
      <c r="E358" s="628"/>
      <c r="F358" s="975"/>
      <c r="G358" s="1347"/>
      <c r="H358" s="1347"/>
      <c r="I358" s="1347"/>
      <c r="J358" s="1347"/>
      <c r="K358" s="1347"/>
      <c r="L358" s="1347"/>
      <c r="M358" s="1347"/>
      <c r="N358" s="1347"/>
      <c r="O358" s="1347"/>
      <c r="P358" s="1710"/>
    </row>
    <row r="359" spans="1:16">
      <c r="B359" s="974"/>
      <c r="C359" s="894" t="s">
        <v>846</v>
      </c>
      <c r="D359" s="628"/>
      <c r="E359" s="628"/>
      <c r="F359" s="975"/>
      <c r="G359" s="1347"/>
      <c r="H359" s="1347"/>
      <c r="I359" s="1347"/>
      <c r="J359" s="1347"/>
      <c r="K359" s="1347"/>
      <c r="L359" s="1347"/>
      <c r="M359" s="1347"/>
      <c r="N359" s="1347"/>
      <c r="O359" s="1347"/>
      <c r="P359" s="1710"/>
    </row>
    <row r="360" spans="1:16">
      <c r="B360" s="974"/>
      <c r="C360" s="894" t="s">
        <v>350</v>
      </c>
      <c r="D360" s="628"/>
      <c r="E360" s="628" t="s">
        <v>367</v>
      </c>
      <c r="F360" s="90">
        <f ca="1">(F353+F339+F302+F349)*INDEX(EF[CO2], MATCH("V.04", EF[Vector], 0))</f>
        <v>0</v>
      </c>
      <c r="G360" s="90">
        <f ca="1">(G353+G339+G302+G349)*INDEX(EF[CO2], MATCH("V.04", EF[Vector], 0))</f>
        <v>3.5053514340950123E-2</v>
      </c>
      <c r="H360" s="90">
        <f ca="1">(H353+H339+H302+H349)*INDEX(EF[CO2], MATCH("V.04", EF[Vector], 0))</f>
        <v>0.80392947364044232</v>
      </c>
      <c r="I360" s="90">
        <f ca="1">(I353+I339+I302+I349)*INDEX(EF[CO2], MATCH("V.04", EF[Vector], 0))</f>
        <v>1.7711405930241155</v>
      </c>
      <c r="J360" s="90">
        <f ca="1">(J353+J339+J302+J349)*INDEX(EF[CO2], MATCH("V.04", EF[Vector], 0))</f>
        <v>2.9805207337496435</v>
      </c>
      <c r="K360" s="90">
        <f ca="1">(K353+K339+K302+K349)*INDEX(EF[CO2], MATCH("V.04", EF[Vector], 0))</f>
        <v>4.4964361448071841</v>
      </c>
      <c r="L360" s="90">
        <f ca="1">(L353+L339+L302+L349)*INDEX(EF[CO2], MATCH("V.04", EF[Vector], 0))</f>
        <v>6.3513314512767494</v>
      </c>
      <c r="M360" s="90">
        <f ca="1">(M353+M339+M302+M349)*INDEX(EF[CO2], MATCH("V.04", EF[Vector], 0))</f>
        <v>8.6105950938842426</v>
      </c>
      <c r="N360" s="90">
        <f ca="1">(N353+N339+N302+N349)*INDEX(EF[CO2], MATCH("V.04", EF[Vector], 0))</f>
        <v>11.320635708061848</v>
      </c>
      <c r="O360" s="90">
        <f ca="1">(O353+O339+O302+O349)*INDEX(EF[CO2], MATCH("V.04", EF[Vector], 0))</f>
        <v>14.578315483587705</v>
      </c>
      <c r="P360" s="1710"/>
    </row>
    <row r="361" spans="1:16">
      <c r="B361" s="623"/>
      <c r="C361" s="961"/>
      <c r="D361" s="624"/>
      <c r="E361" s="962"/>
      <c r="F361" s="1709"/>
      <c r="G361" s="1709"/>
      <c r="H361" s="1709"/>
      <c r="I361" s="1709"/>
      <c r="J361" s="1709"/>
      <c r="K361" s="1709"/>
      <c r="L361" s="1709"/>
      <c r="M361" s="1709"/>
      <c r="N361" s="1709"/>
      <c r="O361" s="1709"/>
      <c r="P361" s="1710"/>
    </row>
    <row r="362" spans="1:16">
      <c r="B362" s="623"/>
      <c r="C362" s="961"/>
      <c r="D362" s="624"/>
      <c r="E362" s="962"/>
      <c r="F362" s="1709"/>
      <c r="G362" s="1709"/>
      <c r="H362" s="1709"/>
      <c r="I362" s="1709"/>
      <c r="J362" s="1709"/>
      <c r="K362" s="1709"/>
      <c r="L362" s="1709"/>
      <c r="M362" s="1709"/>
      <c r="N362" s="1709"/>
      <c r="O362" s="1709"/>
      <c r="P362" s="1710"/>
    </row>
    <row r="363" spans="1:16">
      <c r="B363" s="623"/>
      <c r="C363" s="961"/>
      <c r="D363" s="624"/>
      <c r="E363" s="962"/>
      <c r="F363" s="1710"/>
      <c r="G363" s="1710"/>
      <c r="H363" s="1710"/>
      <c r="I363" s="1710"/>
      <c r="J363" s="1710"/>
      <c r="K363" s="1710"/>
      <c r="L363" s="1710"/>
      <c r="M363" s="1710"/>
      <c r="N363" s="1710"/>
      <c r="O363" s="1710"/>
    </row>
    <row r="364" spans="1:16" ht="22.5" collapsed="1">
      <c r="A364" s="420"/>
      <c r="B364" s="206" t="s">
        <v>202</v>
      </c>
      <c r="C364" s="175"/>
      <c r="D364" s="175"/>
      <c r="E364" s="175"/>
      <c r="F364" s="175"/>
      <c r="G364" s="175"/>
      <c r="H364" s="175"/>
      <c r="I364" s="175"/>
      <c r="J364" s="175"/>
      <c r="K364" s="175"/>
      <c r="L364" s="175"/>
      <c r="M364" s="175"/>
      <c r="N364" s="175"/>
      <c r="O364" s="175"/>
      <c r="P364" s="177"/>
    </row>
    <row r="365" spans="1:16" ht="6.75" customHeight="1">
      <c r="B365" s="164"/>
      <c r="C365" s="166"/>
      <c r="D365" s="166"/>
      <c r="E365" s="166"/>
      <c r="F365" s="166"/>
      <c r="G365" s="166"/>
      <c r="H365" s="166"/>
      <c r="I365" s="166"/>
      <c r="J365" s="166"/>
      <c r="K365" s="166"/>
      <c r="L365" s="166"/>
      <c r="M365" s="166"/>
      <c r="N365" s="166"/>
      <c r="O365" s="166"/>
      <c r="P365" s="168"/>
    </row>
    <row r="366" spans="1:16">
      <c r="B366" s="164"/>
      <c r="C366" s="178" t="s">
        <v>239</v>
      </c>
      <c r="D366" s="166"/>
      <c r="E366" s="167"/>
      <c r="F366" s="166"/>
      <c r="G366" s="167"/>
      <c r="H366" s="166"/>
      <c r="I366" s="166"/>
      <c r="J366" s="166"/>
      <c r="K366" s="166"/>
      <c r="L366" s="166"/>
      <c r="M366" s="166"/>
      <c r="N366" s="166"/>
      <c r="O366" s="167" t="str">
        <f>preferences.energyunits</f>
        <v>TWh</v>
      </c>
      <c r="P366" s="168"/>
    </row>
    <row r="367" spans="1:16" ht="6" customHeight="1">
      <c r="B367" s="164"/>
      <c r="C367" s="166"/>
      <c r="D367" s="166"/>
      <c r="E367" s="166"/>
      <c r="F367" s="166"/>
      <c r="G367" s="166"/>
      <c r="H367" s="166"/>
      <c r="I367" s="166"/>
      <c r="J367" s="166"/>
      <c r="K367" s="166"/>
      <c r="L367" s="166"/>
      <c r="M367" s="166"/>
      <c r="N367" s="166"/>
      <c r="O367" s="166"/>
      <c r="P367" s="168"/>
    </row>
    <row r="368" spans="1:16" ht="15.75">
      <c r="A368" s="3"/>
      <c r="B368" s="169"/>
      <c r="C368" s="180" t="s">
        <v>64</v>
      </c>
      <c r="D368" s="180" t="s">
        <v>137</v>
      </c>
      <c r="E368" s="180" t="s">
        <v>156</v>
      </c>
      <c r="F368" s="790" t="s">
        <v>203</v>
      </c>
      <c r="G368" s="791" t="s">
        <v>712</v>
      </c>
      <c r="H368" s="791" t="s">
        <v>713</v>
      </c>
      <c r="I368" s="791" t="s">
        <v>714</v>
      </c>
      <c r="J368" s="791" t="s">
        <v>715</v>
      </c>
      <c r="K368" s="791" t="s">
        <v>716</v>
      </c>
      <c r="L368" s="791" t="s">
        <v>717</v>
      </c>
      <c r="M368" s="791" t="s">
        <v>718</v>
      </c>
      <c r="N368" s="791" t="s">
        <v>719</v>
      </c>
      <c r="O368" s="792" t="s">
        <v>720</v>
      </c>
      <c r="P368" s="168"/>
    </row>
    <row r="369" spans="1:25" ht="15.75">
      <c r="A369" s="3"/>
      <c r="B369" s="169"/>
      <c r="C369" s="60" t="s">
        <v>38</v>
      </c>
      <c r="D369" s="265" t="str">
        <f>INDEX(Vectors[Description], MATCH([Vector], Vectors[Code], 0))</f>
        <v>Liquid hydrocarbons</v>
      </c>
      <c r="E369" s="60"/>
      <c r="F369" s="129">
        <f t="shared" ref="F369:O369" ca="1" si="119">F302+F339+F349+F353</f>
        <v>0</v>
      </c>
      <c r="G369" s="903">
        <f t="shared" ca="1" si="119"/>
        <v>0.13142242804166665</v>
      </c>
      <c r="H369" s="129">
        <f t="shared" ca="1" si="119"/>
        <v>3.0140876139388606</v>
      </c>
      <c r="I369" s="129">
        <f t="shared" ca="1" si="119"/>
        <v>6.6403498055675261</v>
      </c>
      <c r="J369" s="129">
        <f t="shared" ca="1" si="119"/>
        <v>11.174550655547504</v>
      </c>
      <c r="K369" s="129">
        <f t="shared" ca="1" si="119"/>
        <v>16.858011722794185</v>
      </c>
      <c r="L369" s="129">
        <f t="shared" ca="1" si="119"/>
        <v>23.81237420320716</v>
      </c>
      <c r="M369" s="129">
        <f t="shared" ca="1" si="119"/>
        <v>32.28279205089418</v>
      </c>
      <c r="N369" s="129">
        <f t="shared" ca="1" si="119"/>
        <v>42.443260246537498</v>
      </c>
      <c r="O369" s="129">
        <f t="shared" ca="1" si="119"/>
        <v>54.656933937500007</v>
      </c>
      <c r="P369" s="168"/>
    </row>
    <row r="370" spans="1:25" ht="15.75">
      <c r="A370" s="3"/>
      <c r="B370" s="169"/>
      <c r="C370" s="60" t="s">
        <v>255</v>
      </c>
      <c r="D370" s="265" t="str">
        <f>INDEX(Vectors[Description], MATCH([Vector], Vectors[Code], 0))</f>
        <v>Dry biomass and waste</v>
      </c>
      <c r="E370" s="60"/>
      <c r="F370" s="129">
        <f t="shared" ref="F370:O370" ca="1" si="120">-(F332)</f>
        <v>0</v>
      </c>
      <c r="G370" s="129">
        <f t="shared" ca="1" si="120"/>
        <v>0</v>
      </c>
      <c r="H370" s="129">
        <f t="shared" ca="1" si="120"/>
        <v>-2.8017642689388604</v>
      </c>
      <c r="I370" s="129">
        <f t="shared" ca="1" si="120"/>
        <v>-6.3344320180675266</v>
      </c>
      <c r="J370" s="129">
        <f t="shared" ca="1" si="120"/>
        <v>-10.741007756172506</v>
      </c>
      <c r="K370" s="129">
        <f t="shared" ca="1" si="120"/>
        <v>-16.189366629044187</v>
      </c>
      <c r="L370" s="129">
        <f t="shared" ca="1" si="120"/>
        <v>-22.876309461540494</v>
      </c>
      <c r="M370" s="129">
        <f t="shared" ca="1" si="120"/>
        <v>-31.032252509227515</v>
      </c>
      <c r="N370" s="129">
        <f t="shared" ca="1" si="120"/>
        <v>-40.926648506954166</v>
      </c>
      <c r="O370" s="129">
        <f t="shared" ca="1" si="120"/>
        <v>-52.874250000000011</v>
      </c>
      <c r="P370" s="168"/>
    </row>
    <row r="371" spans="1:25" ht="15.75">
      <c r="A371" s="3"/>
      <c r="B371" s="169"/>
      <c r="C371" s="60" t="s">
        <v>435</v>
      </c>
      <c r="D371" s="265" t="str">
        <f>INDEX(Vectors[Description], MATCH([Vector], Vectors[Code], 0))</f>
        <v>Energy crops (second generation)</v>
      </c>
      <c r="E371" s="60"/>
      <c r="F371" s="129">
        <f t="shared" ref="F371:O371" ca="1" si="121">-(F339-F332)</f>
        <v>0</v>
      </c>
      <c r="G371" s="129">
        <f t="shared" ca="1" si="121"/>
        <v>0</v>
      </c>
      <c r="H371" s="129">
        <f t="shared" ca="1" si="121"/>
        <v>0</v>
      </c>
      <c r="I371" s="129">
        <f t="shared" ca="1" si="121"/>
        <v>0</v>
      </c>
      <c r="J371" s="129">
        <f t="shared" ca="1" si="121"/>
        <v>0</v>
      </c>
      <c r="K371" s="129">
        <f t="shared" ca="1" si="121"/>
        <v>0</v>
      </c>
      <c r="L371" s="129">
        <f t="shared" ca="1" si="121"/>
        <v>0</v>
      </c>
      <c r="M371" s="129">
        <f t="shared" ca="1" si="121"/>
        <v>0</v>
      </c>
      <c r="N371" s="129">
        <f t="shared" ca="1" si="121"/>
        <v>0</v>
      </c>
      <c r="O371" s="129">
        <f t="shared" ca="1" si="121"/>
        <v>0</v>
      </c>
      <c r="P371" s="168"/>
    </row>
    <row r="372" spans="1:25" ht="15.75">
      <c r="A372" s="3"/>
      <c r="B372" s="169"/>
      <c r="C372" s="60" t="s">
        <v>489</v>
      </c>
      <c r="D372" s="265" t="str">
        <f>INDEX(Vectors[Description], MATCH([Vector], Vectors[Code], 0))</f>
        <v>Energy crops (first generation)</v>
      </c>
      <c r="E372" s="60"/>
      <c r="F372" s="129">
        <f t="shared" ref="F372:O372" si="122">-(F349+F302)</f>
        <v>0</v>
      </c>
      <c r="G372" s="129">
        <f t="shared" si="122"/>
        <v>-0.13142242804166665</v>
      </c>
      <c r="H372" s="129">
        <f t="shared" si="122"/>
        <v>-0.21232334500000016</v>
      </c>
      <c r="I372" s="129">
        <f t="shared" si="122"/>
        <v>-0.30591778749999998</v>
      </c>
      <c r="J372" s="129">
        <f t="shared" si="122"/>
        <v>-0.41826750874999996</v>
      </c>
      <c r="K372" s="129">
        <f t="shared" si="122"/>
        <v>-0.51589118749999996</v>
      </c>
      <c r="L372" s="129">
        <f t="shared" si="122"/>
        <v>-0.63055692916666661</v>
      </c>
      <c r="M372" s="129">
        <f t="shared" si="122"/>
        <v>-0.79227782291666671</v>
      </c>
      <c r="N372" s="129">
        <f t="shared" si="122"/>
        <v>-0.90559611458333333</v>
      </c>
      <c r="O372" s="129">
        <f t="shared" si="122"/>
        <v>-1.01891440625</v>
      </c>
      <c r="P372" s="168"/>
      <c r="S372" s="35"/>
      <c r="T372" s="35"/>
      <c r="U372" s="35"/>
      <c r="V372" s="35"/>
      <c r="W372" s="35"/>
      <c r="X372" s="35"/>
      <c r="Y372" s="35"/>
    </row>
    <row r="373" spans="1:25" ht="15.75">
      <c r="A373" s="3"/>
      <c r="B373" s="1942"/>
      <c r="C373" s="60" t="s">
        <v>297</v>
      </c>
      <c r="D373" s="265" t="str">
        <f>INDEX(Vectors[Description], MATCH([Vector], Vectors[Code], 0))</f>
        <v>Wet biomass and waste</v>
      </c>
      <c r="E373" s="60"/>
      <c r="F373" s="129">
        <f t="shared" ref="F373:O373" ca="1" si="123">-F352</f>
        <v>0</v>
      </c>
      <c r="G373" s="129">
        <f t="shared" ca="1" si="123"/>
        <v>0</v>
      </c>
      <c r="H373" s="129">
        <f t="shared" ca="1" si="123"/>
        <v>0</v>
      </c>
      <c r="I373" s="129">
        <f t="shared" ca="1" si="123"/>
        <v>0</v>
      </c>
      <c r="J373" s="129">
        <f t="shared" ca="1" si="123"/>
        <v>-1.5275390625000003E-2</v>
      </c>
      <c r="K373" s="129">
        <f t="shared" ca="1" si="123"/>
        <v>-0.15275390625000002</v>
      </c>
      <c r="L373" s="129">
        <f t="shared" ca="1" si="123"/>
        <v>-0.30550781250000003</v>
      </c>
      <c r="M373" s="129">
        <f t="shared" ca="1" si="123"/>
        <v>-0.45826171874999999</v>
      </c>
      <c r="N373" s="129">
        <f t="shared" ca="1" si="123"/>
        <v>-0.61101562500000006</v>
      </c>
      <c r="O373" s="129">
        <f t="shared" ca="1" si="123"/>
        <v>-0.76376953125000002</v>
      </c>
      <c r="P373" s="166"/>
      <c r="S373" s="35"/>
      <c r="T373" s="35"/>
      <c r="U373" s="35"/>
      <c r="V373" s="35"/>
      <c r="W373" s="35"/>
      <c r="X373" s="35"/>
      <c r="Y373" s="35"/>
    </row>
    <row r="374" spans="1:25" ht="15.75">
      <c r="A374" s="3"/>
      <c r="B374" s="1942"/>
      <c r="C374" s="60"/>
      <c r="D374" s="265"/>
      <c r="E374" s="60"/>
      <c r="F374" s="129"/>
      <c r="G374" s="2393"/>
      <c r="H374" s="2393"/>
      <c r="I374" s="2393"/>
      <c r="J374" s="2393"/>
      <c r="K374" s="2393"/>
      <c r="L374" s="2393"/>
      <c r="M374" s="2393"/>
      <c r="N374" s="2393"/>
      <c r="O374" s="2393"/>
      <c r="P374" s="166"/>
      <c r="S374" s="35"/>
      <c r="T374" s="35"/>
      <c r="U374" s="35"/>
      <c r="V374" s="35"/>
      <c r="W374" s="35"/>
      <c r="X374" s="35"/>
      <c r="Y374" s="35"/>
    </row>
    <row r="375" spans="1:25" ht="15.75">
      <c r="A375" s="3"/>
      <c r="B375" s="1942"/>
      <c r="C375" s="60"/>
      <c r="D375" s="265"/>
      <c r="E375" s="60"/>
      <c r="F375" s="129"/>
      <c r="G375" s="2393"/>
      <c r="H375" s="2393"/>
      <c r="I375" s="2393"/>
      <c r="J375" s="2393"/>
      <c r="K375" s="2393"/>
      <c r="L375" s="2393"/>
      <c r="M375" s="2393"/>
      <c r="N375" s="2393"/>
      <c r="O375" s="2393"/>
      <c r="P375" s="166"/>
      <c r="S375" s="35"/>
      <c r="T375" s="35"/>
      <c r="U375" s="35"/>
      <c r="V375" s="35"/>
      <c r="W375" s="35"/>
      <c r="X375" s="35"/>
      <c r="Y375" s="35"/>
    </row>
    <row r="376" spans="1:25" ht="15.75">
      <c r="A376" s="3"/>
      <c r="B376" s="1942"/>
      <c r="C376" s="60"/>
      <c r="D376" s="265"/>
      <c r="E376" s="60"/>
      <c r="F376" s="129"/>
      <c r="G376" s="129"/>
      <c r="H376" s="129"/>
      <c r="I376" s="129"/>
      <c r="J376" s="129"/>
      <c r="K376" s="129"/>
      <c r="L376" s="129"/>
      <c r="M376" s="129"/>
      <c r="N376" s="129"/>
      <c r="O376" s="129"/>
      <c r="P376" s="166"/>
      <c r="S376" s="35"/>
      <c r="T376" s="35"/>
      <c r="U376" s="35"/>
      <c r="V376" s="35"/>
      <c r="W376" s="35"/>
      <c r="X376" s="35"/>
      <c r="Y376" s="35"/>
    </row>
    <row r="377" spans="1:25" ht="15.75">
      <c r="A377" s="3"/>
      <c r="B377" s="1942"/>
      <c r="C377" s="60" t="s">
        <v>103</v>
      </c>
      <c r="D377" s="60"/>
      <c r="E377" s="60"/>
      <c r="F377" s="231">
        <f ca="1">SUBTOTAL(109,[2007])</f>
        <v>0</v>
      </c>
      <c r="G377" s="231">
        <f ca="1">SUBTOTAL(109,[2012])</f>
        <v>0</v>
      </c>
      <c r="H377" s="231">
        <f ca="1">SUBTOTAL(109,[2017])</f>
        <v>0</v>
      </c>
      <c r="I377" s="231">
        <f ca="1">SUBTOTAL(109,[2022])</f>
        <v>-5.5511151231257827E-16</v>
      </c>
      <c r="J377" s="231">
        <f ca="1">SUBTOTAL(109,[2027])</f>
        <v>-1.3947176746853529E-15</v>
      </c>
      <c r="K377" s="231">
        <f ca="1">SUBTOTAL(109,[2032])</f>
        <v>-2.2759572004815709E-15</v>
      </c>
      <c r="L377" s="231">
        <f ca="1">SUBTOTAL(109,[2037])</f>
        <v>-7.7715611723760958E-16</v>
      </c>
      <c r="M377" s="231">
        <f ca="1">SUBTOTAL(109,[2042])</f>
        <v>-1.5543122344752192E-15</v>
      </c>
      <c r="N377" s="231">
        <f ca="1">SUBTOTAL(109,[2047])</f>
        <v>-8.8817841970012523E-16</v>
      </c>
      <c r="O377" s="231">
        <f ca="1">SUBTOTAL(109,[2052])</f>
        <v>-3.6637359812630166E-15</v>
      </c>
      <c r="P377" s="166"/>
      <c r="S377" s="35"/>
      <c r="T377" s="35"/>
      <c r="U377" s="35"/>
      <c r="V377" s="35"/>
      <c r="W377" s="35"/>
      <c r="X377" s="35"/>
      <c r="Y377" s="35"/>
    </row>
    <row r="378" spans="1:25" ht="15.75">
      <c r="A378" s="3"/>
      <c r="B378" s="1942"/>
      <c r="C378" s="60"/>
      <c r="D378" s="60"/>
      <c r="E378" s="60"/>
      <c r="F378" s="1812"/>
      <c r="G378" s="1812"/>
      <c r="H378" s="1812"/>
      <c r="I378" s="1812"/>
      <c r="J378" s="1812"/>
      <c r="K378" s="1812"/>
      <c r="L378" s="1812"/>
      <c r="M378" s="1812"/>
      <c r="N378" s="1812"/>
      <c r="O378" s="1812"/>
      <c r="P378" s="166"/>
      <c r="S378" s="35"/>
      <c r="T378" s="35"/>
      <c r="U378" s="35"/>
      <c r="V378" s="35"/>
      <c r="W378" s="35"/>
      <c r="X378" s="35"/>
      <c r="Y378" s="35"/>
    </row>
    <row r="379" spans="1:25" ht="15.75">
      <c r="A379" s="3"/>
      <c r="B379" s="1942"/>
      <c r="C379" s="60"/>
      <c r="D379" s="60"/>
      <c r="E379" s="60"/>
      <c r="F379" s="1812"/>
      <c r="G379" s="1812"/>
      <c r="H379" s="1812"/>
      <c r="I379" s="1812"/>
      <c r="J379" s="1812"/>
      <c r="K379" s="1812"/>
      <c r="L379" s="1812"/>
      <c r="M379" s="1812"/>
      <c r="N379" s="1812"/>
      <c r="O379" s="1812"/>
      <c r="P379" s="166"/>
      <c r="S379" s="35"/>
      <c r="T379" s="35"/>
      <c r="U379" s="35"/>
      <c r="V379" s="35"/>
      <c r="W379" s="35"/>
      <c r="X379" s="35"/>
      <c r="Y379" s="35"/>
    </row>
    <row r="380" spans="1:25" ht="15.75">
      <c r="A380" s="3"/>
      <c r="B380" s="1942"/>
      <c r="C380" s="60"/>
      <c r="D380" s="60"/>
      <c r="E380" s="60"/>
      <c r="F380" s="1812"/>
      <c r="G380" s="1812"/>
      <c r="H380" s="1812"/>
      <c r="I380" s="1812"/>
      <c r="J380" s="1812"/>
      <c r="K380" s="1812"/>
      <c r="L380" s="1812"/>
      <c r="M380" s="1812"/>
      <c r="N380" s="1812"/>
      <c r="O380" s="1812"/>
      <c r="P380" s="166"/>
      <c r="S380" s="35"/>
      <c r="T380" s="35"/>
      <c r="U380" s="35"/>
      <c r="V380" s="35"/>
      <c r="W380" s="35"/>
      <c r="X380" s="35"/>
      <c r="Y380" s="35"/>
    </row>
    <row r="381" spans="1:25" ht="15.75">
      <c r="A381" s="3"/>
      <c r="B381" s="1942"/>
      <c r="C381" s="60"/>
      <c r="D381" s="60"/>
      <c r="E381" s="60"/>
      <c r="F381" s="1812"/>
      <c r="G381" s="1812"/>
      <c r="H381" s="1812"/>
      <c r="I381" s="1812"/>
      <c r="J381" s="1812"/>
      <c r="K381" s="1812"/>
      <c r="L381" s="1812"/>
      <c r="M381" s="1812"/>
      <c r="N381" s="1812"/>
      <c r="O381" s="1812"/>
      <c r="P381" s="166"/>
      <c r="S381" s="35"/>
      <c r="T381" s="35"/>
      <c r="U381" s="35"/>
      <c r="V381" s="35"/>
      <c r="W381" s="35"/>
      <c r="X381" s="35"/>
      <c r="Y381" s="35"/>
    </row>
    <row r="382" spans="1:25">
      <c r="C382" s="628"/>
      <c r="D382" s="628"/>
      <c r="E382" s="628"/>
      <c r="F382" s="2650"/>
      <c r="G382" s="2650"/>
      <c r="H382" s="2650"/>
      <c r="I382" s="2650"/>
      <c r="J382" s="2650"/>
      <c r="K382" s="2650"/>
      <c r="L382" s="2650"/>
      <c r="M382" s="2650"/>
      <c r="N382" s="2650"/>
      <c r="O382" s="2650"/>
      <c r="S382" s="35"/>
      <c r="T382" s="35"/>
      <c r="U382" s="35"/>
      <c r="V382" s="35"/>
      <c r="W382" s="35"/>
      <c r="X382" s="35"/>
      <c r="Y382" s="35"/>
    </row>
    <row r="383" spans="1:25" ht="21.75" customHeight="1" collapsed="1">
      <c r="B383" s="424" t="s">
        <v>501</v>
      </c>
      <c r="C383" s="2176"/>
      <c r="D383" s="2176"/>
      <c r="E383" s="2176"/>
      <c r="F383" s="2176"/>
      <c r="G383" s="2176"/>
      <c r="H383" s="2176"/>
      <c r="I383" s="2176"/>
      <c r="J383" s="2176"/>
      <c r="K383" s="2176"/>
      <c r="L383" s="2176"/>
      <c r="M383" s="2176"/>
      <c r="N383" s="2176"/>
      <c r="O383" s="2176"/>
      <c r="P383" s="426"/>
      <c r="S383" s="35"/>
      <c r="T383" s="32"/>
      <c r="U383" s="35"/>
      <c r="V383" s="35"/>
      <c r="W383" s="35"/>
      <c r="X383" s="35"/>
      <c r="Y383" s="35"/>
    </row>
    <row r="384" spans="1:25" ht="6.75" customHeight="1">
      <c r="B384" s="347"/>
      <c r="C384" s="346"/>
      <c r="D384" s="425"/>
      <c r="E384" s="425"/>
      <c r="F384" s="425"/>
      <c r="G384" s="425"/>
      <c r="H384" s="425"/>
      <c r="I384" s="425"/>
      <c r="J384" s="425"/>
      <c r="K384" s="425"/>
      <c r="L384" s="425"/>
      <c r="M384" s="425"/>
      <c r="N384" s="425"/>
      <c r="O384" s="425"/>
      <c r="P384" s="349"/>
      <c r="S384" s="35"/>
      <c r="T384" s="32"/>
      <c r="U384" s="35"/>
      <c r="V384" s="35"/>
      <c r="W384" s="35"/>
      <c r="X384" s="35"/>
      <c r="Y384" s="35"/>
    </row>
    <row r="385" spans="2:25">
      <c r="B385" s="427"/>
      <c r="C385" s="348"/>
      <c r="D385" s="348"/>
      <c r="E385" s="348"/>
      <c r="F385" s="348"/>
      <c r="G385" s="348"/>
      <c r="H385" s="348"/>
      <c r="I385" s="348"/>
      <c r="J385" s="348"/>
      <c r="K385" s="348"/>
      <c r="L385" s="348"/>
      <c r="M385" s="348"/>
      <c r="N385" s="348"/>
      <c r="O385" s="348"/>
      <c r="P385" s="429"/>
      <c r="S385" s="35"/>
      <c r="T385" s="32"/>
      <c r="U385" s="35"/>
      <c r="V385" s="35"/>
      <c r="W385" s="35"/>
      <c r="X385" s="35"/>
      <c r="Y385" s="35"/>
    </row>
    <row r="386" spans="2:25" ht="13.5" customHeight="1">
      <c r="B386" s="427"/>
      <c r="C386" s="350" t="s">
        <v>506</v>
      </c>
      <c r="D386" s="428"/>
      <c r="E386" s="351"/>
      <c r="F386" s="428"/>
      <c r="G386" s="351"/>
      <c r="H386" s="428"/>
      <c r="I386" s="428"/>
      <c r="J386" s="428"/>
      <c r="K386" s="428"/>
      <c r="L386" s="428"/>
      <c r="M386" s="428"/>
      <c r="N386" s="428"/>
      <c r="O386" s="351"/>
      <c r="P386" s="429"/>
      <c r="S386" s="35"/>
      <c r="T386" s="32"/>
      <c r="U386" s="35"/>
      <c r="V386" s="35"/>
      <c r="W386" s="35"/>
      <c r="X386" s="35"/>
      <c r="Y386" s="35"/>
    </row>
    <row r="387" spans="2:25" ht="15.75">
      <c r="B387" s="430"/>
      <c r="C387" s="428"/>
      <c r="D387" s="428"/>
      <c r="E387" s="428"/>
      <c r="F387" s="428"/>
      <c r="G387" s="428"/>
      <c r="H387" s="428"/>
      <c r="I387" s="428"/>
      <c r="J387" s="428"/>
      <c r="K387" s="428"/>
      <c r="L387" s="428"/>
      <c r="M387" s="428"/>
      <c r="N387" s="428"/>
      <c r="O387" s="428"/>
      <c r="P387" s="429"/>
      <c r="S387" s="35"/>
      <c r="T387" s="35"/>
      <c r="U387" s="35"/>
      <c r="V387" s="35"/>
      <c r="W387" s="35"/>
      <c r="X387" s="35"/>
      <c r="Y387" s="35"/>
    </row>
    <row r="388" spans="2:25" ht="15.75">
      <c r="B388" s="430"/>
      <c r="C388" s="431" t="s">
        <v>64</v>
      </c>
      <c r="D388" s="431" t="s">
        <v>502</v>
      </c>
      <c r="E388" s="431" t="s">
        <v>156</v>
      </c>
      <c r="F388" s="790" t="s">
        <v>203</v>
      </c>
      <c r="G388" s="791" t="s">
        <v>712</v>
      </c>
      <c r="H388" s="791" t="s">
        <v>713</v>
      </c>
      <c r="I388" s="791" t="s">
        <v>714</v>
      </c>
      <c r="J388" s="791" t="s">
        <v>715</v>
      </c>
      <c r="K388" s="791" t="s">
        <v>716</v>
      </c>
      <c r="L388" s="791" t="s">
        <v>717</v>
      </c>
      <c r="M388" s="791" t="s">
        <v>718</v>
      </c>
      <c r="N388" s="791" t="s">
        <v>719</v>
      </c>
      <c r="O388" s="792" t="s">
        <v>720</v>
      </c>
      <c r="P388" s="429"/>
      <c r="S388" s="35"/>
      <c r="T388" s="35"/>
      <c r="U388" s="35"/>
      <c r="V388" s="35"/>
      <c r="W388" s="35"/>
      <c r="X388" s="35"/>
      <c r="Y388" s="35"/>
    </row>
    <row r="389" spans="2:25" ht="15.75">
      <c r="B389" s="355"/>
      <c r="C389" s="432" t="s">
        <v>503</v>
      </c>
      <c r="D389" s="265" t="str">
        <f>INDEX(Vectors[Description], MATCH([Vector], Vectors[Code], 0))</f>
        <v>India Land area</v>
      </c>
      <c r="E389" s="433" t="str">
        <f>Preferences.AreaUnits</f>
        <v>ha</v>
      </c>
      <c r="F389" s="354">
        <f>SUM(F45:F46)</f>
        <v>0</v>
      </c>
      <c r="G389" s="354">
        <f t="shared" ref="G389:O389" si="124">SUM(G45:G46)</f>
        <v>150000</v>
      </c>
      <c r="H389" s="354">
        <f t="shared" si="124"/>
        <v>177777.77777777801</v>
      </c>
      <c r="I389" s="354">
        <f t="shared" si="124"/>
        <v>200000</v>
      </c>
      <c r="J389" s="354">
        <f t="shared" si="124"/>
        <v>250000</v>
      </c>
      <c r="K389" s="354">
        <f t="shared" si="124"/>
        <v>300000</v>
      </c>
      <c r="L389" s="354">
        <f t="shared" si="124"/>
        <v>350000</v>
      </c>
      <c r="M389" s="354">
        <f t="shared" si="124"/>
        <v>400000</v>
      </c>
      <c r="N389" s="354">
        <f t="shared" si="124"/>
        <v>450000</v>
      </c>
      <c r="O389" s="354">
        <f t="shared" si="124"/>
        <v>500000</v>
      </c>
      <c r="P389" s="352"/>
    </row>
    <row r="390" spans="2:25">
      <c r="C390" s="2651"/>
      <c r="D390" s="2651"/>
      <c r="E390" s="2651"/>
      <c r="F390" s="2651"/>
      <c r="G390" s="2651"/>
      <c r="H390" s="2651"/>
      <c r="I390" s="2651"/>
      <c r="J390" s="2651"/>
      <c r="K390" s="2651"/>
      <c r="L390" s="2651"/>
      <c r="M390" s="2651"/>
      <c r="N390" s="2651"/>
      <c r="O390" s="2651"/>
    </row>
    <row r="392" spans="2:25" ht="18">
      <c r="C392" s="2177" t="s">
        <v>281</v>
      </c>
      <c r="D392" s="425"/>
      <c r="E392" s="425"/>
      <c r="F392" s="425"/>
      <c r="G392" s="425"/>
      <c r="H392" s="425"/>
      <c r="I392" s="425"/>
      <c r="J392" s="425"/>
      <c r="K392" s="425"/>
      <c r="L392" s="425"/>
      <c r="M392" s="425"/>
      <c r="N392" s="425"/>
      <c r="O392" s="425"/>
    </row>
    <row r="393" spans="2:25" ht="14.25">
      <c r="C393" s="186" t="s">
        <v>2391</v>
      </c>
      <c r="D393" s="187"/>
      <c r="E393" s="188"/>
      <c r="F393" s="187"/>
      <c r="G393" s="188"/>
      <c r="H393" s="187"/>
      <c r="I393" s="187"/>
      <c r="J393" s="187"/>
      <c r="K393" s="187"/>
      <c r="L393" s="187"/>
      <c r="M393" s="187"/>
      <c r="N393" s="187"/>
      <c r="O393" s="188" t="s">
        <v>368</v>
      </c>
    </row>
    <row r="394" spans="2:25">
      <c r="C394" s="187"/>
      <c r="D394" s="187"/>
      <c r="E394" s="187"/>
      <c r="F394" s="187"/>
      <c r="G394" s="187"/>
      <c r="H394" s="187"/>
      <c r="I394" s="187"/>
      <c r="J394" s="187"/>
      <c r="K394" s="187"/>
      <c r="L394" s="187"/>
      <c r="M394" s="187"/>
      <c r="N394" s="187"/>
      <c r="O394" s="187"/>
    </row>
    <row r="395" spans="2:25">
      <c r="C395" s="1836" t="s">
        <v>365</v>
      </c>
      <c r="D395" s="1836" t="s">
        <v>337</v>
      </c>
      <c r="E395" s="1836" t="s">
        <v>156</v>
      </c>
      <c r="F395" s="1331" t="s">
        <v>203</v>
      </c>
      <c r="G395" s="1332" t="s">
        <v>712</v>
      </c>
      <c r="H395" s="1332" t="s">
        <v>713</v>
      </c>
      <c r="I395" s="1332" t="s">
        <v>714</v>
      </c>
      <c r="J395" s="1332" t="s">
        <v>715</v>
      </c>
      <c r="K395" s="1332" t="s">
        <v>716</v>
      </c>
      <c r="L395" s="1332" t="s">
        <v>717</v>
      </c>
      <c r="M395" s="1332" t="s">
        <v>718</v>
      </c>
      <c r="N395" s="1332" t="s">
        <v>719</v>
      </c>
      <c r="O395" s="1332" t="s">
        <v>720</v>
      </c>
    </row>
    <row r="396" spans="2:25">
      <c r="C396" s="1829" t="s">
        <v>350</v>
      </c>
      <c r="D396" s="1830" t="s">
        <v>346</v>
      </c>
      <c r="E396" s="189" t="str">
        <f>INDEX(IPCC[Sector_description], MATCH([IPCC Sector], IPCC[Sector_code], 0))</f>
        <v>Bioenergy credit</v>
      </c>
      <c r="F396" s="1832">
        <f ca="1">-F360</f>
        <v>0</v>
      </c>
      <c r="G396" s="1832">
        <f t="shared" ref="G396:O396" ca="1" si="125">-G360</f>
        <v>-3.5053514340950123E-2</v>
      </c>
      <c r="H396" s="1832">
        <f t="shared" ca="1" si="125"/>
        <v>-0.80392947364044232</v>
      </c>
      <c r="I396" s="1832">
        <f t="shared" ca="1" si="125"/>
        <v>-1.7711405930241155</v>
      </c>
      <c r="J396" s="1832">
        <f t="shared" ca="1" si="125"/>
        <v>-2.9805207337496435</v>
      </c>
      <c r="K396" s="1832">
        <f t="shared" ca="1" si="125"/>
        <v>-4.4964361448071841</v>
      </c>
      <c r="L396" s="1832">
        <f t="shared" ca="1" si="125"/>
        <v>-6.3513314512767494</v>
      </c>
      <c r="M396" s="1832">
        <f t="shared" ca="1" si="125"/>
        <v>-8.6105950938842426</v>
      </c>
      <c r="N396" s="1832">
        <f t="shared" ca="1" si="125"/>
        <v>-11.320635708061848</v>
      </c>
      <c r="O396" s="1832">
        <f t="shared" ca="1" si="125"/>
        <v>-14.578315483587705</v>
      </c>
    </row>
    <row r="397" spans="2:25">
      <c r="C397" s="189"/>
      <c r="D397" s="196"/>
      <c r="E397" s="189"/>
      <c r="F397" s="1832"/>
      <c r="G397" s="1832"/>
      <c r="H397" s="1832"/>
      <c r="I397" s="1832"/>
      <c r="J397" s="1832"/>
      <c r="K397" s="1832"/>
      <c r="L397" s="1832"/>
      <c r="M397" s="1832"/>
      <c r="N397" s="1832"/>
      <c r="O397" s="1832"/>
    </row>
    <row r="398" spans="2:25">
      <c r="C398" s="189"/>
      <c r="D398" s="196"/>
      <c r="E398" s="189"/>
      <c r="F398" s="1832"/>
      <c r="G398" s="1832"/>
      <c r="H398" s="1832"/>
      <c r="I398" s="1832"/>
      <c r="J398" s="1832"/>
      <c r="K398" s="1832"/>
      <c r="L398" s="1832"/>
      <c r="M398" s="1832"/>
      <c r="N398" s="1832"/>
      <c r="O398" s="1832"/>
    </row>
    <row r="399" spans="2:25">
      <c r="C399" s="1833" t="s">
        <v>103</v>
      </c>
      <c r="D399" s="1833"/>
      <c r="E399" s="1833"/>
      <c r="F399" s="1834">
        <f ca="1">F396+F397+F398</f>
        <v>0</v>
      </c>
      <c r="G399" s="1834">
        <f t="shared" ref="G399:O399" ca="1" si="126">G396+G397+G398</f>
        <v>-3.5053514340950123E-2</v>
      </c>
      <c r="H399" s="1834">
        <f t="shared" ca="1" si="126"/>
        <v>-0.80392947364044232</v>
      </c>
      <c r="I399" s="1834">
        <f t="shared" ca="1" si="126"/>
        <v>-1.7711405930241155</v>
      </c>
      <c r="J399" s="1834">
        <f t="shared" ca="1" si="126"/>
        <v>-2.9805207337496435</v>
      </c>
      <c r="K399" s="1834">
        <f t="shared" ca="1" si="126"/>
        <v>-4.4964361448071841</v>
      </c>
      <c r="L399" s="1834">
        <f t="shared" ca="1" si="126"/>
        <v>-6.3513314512767494</v>
      </c>
      <c r="M399" s="1834">
        <f t="shared" ca="1" si="126"/>
        <v>-8.6105950938842426</v>
      </c>
      <c r="N399" s="1834">
        <f t="shared" ca="1" si="126"/>
        <v>-11.320635708061848</v>
      </c>
      <c r="O399" s="1834">
        <f t="shared" ca="1" si="126"/>
        <v>-14.578315483587705</v>
      </c>
    </row>
    <row r="544" spans="19:19">
      <c r="S544" s="780"/>
    </row>
  </sheetData>
  <pageMargins left="0.7" right="0.7" top="0.75" bottom="0.75" header="0.3" footer="0.3"/>
  <pageSetup paperSize="9" orientation="portrait"/>
  <legacyDrawing r:id="rId1"/>
  <tableParts count="4">
    <tablePart r:id="rId2"/>
    <tablePart r:id="rId3"/>
    <tablePart r:id="rId4"/>
    <tablePart r:id="rId5"/>
  </tableParts>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sheetPr>
    <tabColor theme="9"/>
    <outlinePr summaryBelow="0"/>
    <pageSetUpPr autoPageBreaks="0"/>
  </sheetPr>
  <dimension ref="A1:AG295"/>
  <sheetViews>
    <sheetView showGridLines="0" topLeftCell="A149" zoomScale="85" zoomScaleNormal="85" zoomScalePageLayoutView="85" workbookViewId="0">
      <selection activeCell="G164" sqref="G164"/>
    </sheetView>
  </sheetViews>
  <sheetFormatPr defaultColWidth="8.85546875" defaultRowHeight="12.75"/>
  <cols>
    <col min="1" max="1" width="7.7109375" style="605" customWidth="1"/>
    <col min="2" max="2" width="5.85546875" style="605" customWidth="1"/>
    <col min="3" max="3" width="22.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16384" width="8.85546875" style="605"/>
  </cols>
  <sheetData>
    <row r="1" spans="1:18" ht="21">
      <c r="A1" s="77" t="s">
        <v>190</v>
      </c>
      <c r="B1" s="77" t="str">
        <f>INDEX(Workstreams[Workstream], MATCH($A1, Workstreams[Code], 0))</f>
        <v>Bioenergy</v>
      </c>
      <c r="C1" s="77"/>
    </row>
    <row r="2" spans="1:18" s="51" customFormat="1" ht="19.5" customHeight="1">
      <c r="A2" s="6" t="s">
        <v>1076</v>
      </c>
      <c r="B2" s="6" t="str">
        <f>INDEX(Modules[Module], MATCH($A2, Modules[Code], 0))</f>
        <v>Advanced Bio Fuels</v>
      </c>
      <c r="C2" s="6"/>
      <c r="E2" s="404"/>
    </row>
    <row r="4" spans="1:18" ht="22.5" collapsed="1">
      <c r="A4" s="420"/>
      <c r="B4" s="206" t="s">
        <v>416</v>
      </c>
      <c r="C4" s="666"/>
      <c r="D4" s="175"/>
      <c r="E4" s="176"/>
      <c r="F4" s="175"/>
      <c r="G4" s="175"/>
      <c r="H4" s="175"/>
      <c r="I4" s="175"/>
      <c r="J4" s="175"/>
      <c r="K4" s="175"/>
      <c r="L4" s="175"/>
      <c r="M4" s="175"/>
      <c r="N4" s="175"/>
      <c r="O4" s="175"/>
      <c r="P4" s="177"/>
      <c r="R4" s="423"/>
    </row>
    <row r="5" spans="1:18">
      <c r="B5" s="164"/>
      <c r="C5" s="165"/>
      <c r="D5" s="166"/>
      <c r="E5" s="167"/>
      <c r="F5" s="166"/>
      <c r="G5" s="166"/>
      <c r="H5" s="166"/>
      <c r="I5" s="166"/>
      <c r="J5" s="166"/>
      <c r="K5" s="166"/>
      <c r="L5" s="166"/>
      <c r="M5" s="166"/>
      <c r="N5" s="166"/>
      <c r="O5" s="166"/>
      <c r="P5" s="168"/>
    </row>
    <row r="6" spans="1:18" ht="15.75">
      <c r="B6" s="169"/>
      <c r="C6" s="166"/>
      <c r="D6" s="118" t="s">
        <v>274</v>
      </c>
      <c r="E6" s="118" t="s">
        <v>411</v>
      </c>
      <c r="F6" s="166"/>
      <c r="G6" s="166"/>
      <c r="H6" s="166"/>
      <c r="I6" s="166"/>
      <c r="J6" s="166"/>
      <c r="K6" s="166"/>
      <c r="L6" s="166"/>
      <c r="M6" s="166"/>
      <c r="N6" s="166"/>
      <c r="O6" s="166"/>
      <c r="P6" s="168"/>
    </row>
    <row r="7" spans="1:18" ht="15.75">
      <c r="B7" s="169"/>
      <c r="C7" s="166"/>
      <c r="D7" s="127" t="s">
        <v>411</v>
      </c>
      <c r="E7" s="127">
        <f>V.c.scenario</f>
        <v>1</v>
      </c>
      <c r="F7" s="166"/>
      <c r="G7" s="166"/>
      <c r="H7" s="166"/>
      <c r="I7" s="166"/>
      <c r="J7" s="166"/>
      <c r="K7" s="166"/>
      <c r="L7" s="166"/>
      <c r="M7" s="166"/>
      <c r="N7" s="166"/>
      <c r="O7" s="166"/>
      <c r="P7" s="168"/>
    </row>
    <row r="8" spans="1:18" ht="15.75">
      <c r="B8" s="170"/>
      <c r="C8" s="171"/>
      <c r="D8" s="171"/>
      <c r="E8" s="171"/>
      <c r="F8" s="172"/>
      <c r="G8" s="172"/>
      <c r="H8" s="172"/>
      <c r="I8" s="172"/>
      <c r="J8" s="172"/>
      <c r="K8" s="172"/>
      <c r="L8" s="172"/>
      <c r="M8" s="172"/>
      <c r="N8" s="172"/>
      <c r="O8" s="172"/>
      <c r="P8" s="173"/>
    </row>
    <row r="10" spans="1:18" ht="22.5" collapsed="1">
      <c r="A10" s="420"/>
      <c r="B10" s="421" t="s">
        <v>413</v>
      </c>
      <c r="C10" s="159"/>
      <c r="D10" s="159"/>
      <c r="E10" s="159"/>
      <c r="F10" s="159"/>
      <c r="G10" s="159"/>
      <c r="H10" s="159"/>
      <c r="I10" s="159"/>
      <c r="J10" s="159"/>
      <c r="K10" s="159"/>
      <c r="L10" s="159"/>
      <c r="M10" s="159"/>
      <c r="N10" s="159"/>
      <c r="O10" s="159"/>
      <c r="P10" s="160"/>
    </row>
    <row r="11" spans="1:18">
      <c r="B11" s="418"/>
      <c r="C11" s="415"/>
      <c r="D11" s="415"/>
      <c r="E11" s="415"/>
      <c r="F11" s="415"/>
      <c r="G11" s="415"/>
      <c r="H11" s="415"/>
      <c r="I11" s="415"/>
      <c r="J11" s="415"/>
      <c r="K11" s="415"/>
      <c r="L11" s="415"/>
      <c r="M11" s="415"/>
      <c r="N11" s="415"/>
      <c r="O11" s="415"/>
      <c r="P11" s="419"/>
    </row>
    <row r="12" spans="1:18">
      <c r="B12" s="418"/>
      <c r="C12" s="416" t="s">
        <v>857</v>
      </c>
      <c r="D12" s="415"/>
      <c r="E12" s="104"/>
      <c r="F12" s="415"/>
      <c r="G12" s="415"/>
      <c r="H12" s="415"/>
      <c r="I12" s="415"/>
      <c r="J12" s="415"/>
      <c r="K12" s="415"/>
      <c r="L12" s="415"/>
      <c r="M12" s="415"/>
      <c r="N12" s="415"/>
      <c r="O12" s="104" t="str">
        <f>Preferences.AreaUnits</f>
        <v>ha</v>
      </c>
      <c r="P12" s="419"/>
    </row>
    <row r="13" spans="1:18" ht="5.25" customHeight="1">
      <c r="B13" s="418"/>
      <c r="C13" s="415"/>
      <c r="D13" s="415"/>
      <c r="E13" s="415"/>
      <c r="F13" s="415"/>
      <c r="G13" s="415"/>
      <c r="H13" s="415"/>
      <c r="I13" s="415"/>
      <c r="J13" s="415"/>
      <c r="K13" s="415"/>
      <c r="L13" s="415"/>
      <c r="M13" s="415"/>
      <c r="N13" s="415"/>
      <c r="O13" s="415"/>
      <c r="P13" s="419"/>
    </row>
    <row r="14" spans="1:18" ht="15.75">
      <c r="B14" s="152"/>
      <c r="C14" s="61" t="s">
        <v>411</v>
      </c>
      <c r="D14" s="61" t="s">
        <v>65</v>
      </c>
      <c r="E14" s="61" t="s">
        <v>156</v>
      </c>
      <c r="F14" s="234">
        <v>2007</v>
      </c>
      <c r="G14" s="234">
        <f>F14+5</f>
        <v>2012</v>
      </c>
      <c r="H14" s="234">
        <f t="shared" ref="H14:O14" si="0">G14+5</f>
        <v>2017</v>
      </c>
      <c r="I14" s="234">
        <f t="shared" si="0"/>
        <v>2022</v>
      </c>
      <c r="J14" s="234">
        <f t="shared" si="0"/>
        <v>2027</v>
      </c>
      <c r="K14" s="234">
        <f t="shared" si="0"/>
        <v>2032</v>
      </c>
      <c r="L14" s="234">
        <f t="shared" si="0"/>
        <v>2037</v>
      </c>
      <c r="M14" s="234">
        <f t="shared" si="0"/>
        <v>2042</v>
      </c>
      <c r="N14" s="234">
        <f t="shared" si="0"/>
        <v>2047</v>
      </c>
      <c r="O14" s="234">
        <f t="shared" si="0"/>
        <v>2052</v>
      </c>
      <c r="P14" s="419"/>
    </row>
    <row r="15" spans="1:18" ht="15.75">
      <c r="B15" s="153"/>
      <c r="C15" s="413">
        <v>1</v>
      </c>
      <c r="D15" s="414"/>
      <c r="E15" s="96"/>
      <c r="F15" s="415">
        <v>0</v>
      </c>
      <c r="G15" s="415">
        <v>0</v>
      </c>
      <c r="H15" s="415">
        <v>0</v>
      </c>
      <c r="I15" s="415">
        <v>0</v>
      </c>
      <c r="J15" s="415">
        <f>K15*0.1</f>
        <v>8</v>
      </c>
      <c r="K15" s="415">
        <f>($O15)*0.2</f>
        <v>80</v>
      </c>
      <c r="L15" s="415">
        <f>($O15)*0.4</f>
        <v>160</v>
      </c>
      <c r="M15" s="415">
        <f>($O15)*0.6</f>
        <v>240</v>
      </c>
      <c r="N15" s="415">
        <f>($O15)*0.8</f>
        <v>320</v>
      </c>
      <c r="O15" s="415">
        <f>(4)*(Unit.km2)</f>
        <v>400</v>
      </c>
      <c r="P15" s="154"/>
    </row>
    <row r="16" spans="1:18" ht="15.75">
      <c r="B16" s="152"/>
      <c r="C16" s="413">
        <v>2</v>
      </c>
      <c r="D16" s="414"/>
      <c r="E16" s="414"/>
      <c r="F16" s="519">
        <v>0</v>
      </c>
      <c r="G16" s="519">
        <v>0</v>
      </c>
      <c r="H16" s="519">
        <v>0</v>
      </c>
      <c r="I16" s="519">
        <f>J16*0.02</f>
        <v>0.8</v>
      </c>
      <c r="J16" s="519">
        <f>K16*0.1</f>
        <v>40</v>
      </c>
      <c r="K16" s="415">
        <f>($O16)*0.1</f>
        <v>400</v>
      </c>
      <c r="L16" s="415">
        <f>($O16)*0.25</f>
        <v>1000</v>
      </c>
      <c r="M16" s="415">
        <f>($O16)*0.5</f>
        <v>2000</v>
      </c>
      <c r="N16" s="415">
        <f>($O16)*(0.75)</f>
        <v>3000</v>
      </c>
      <c r="O16" s="415">
        <f>40*(Unit.km2)</f>
        <v>4000</v>
      </c>
      <c r="P16" s="419"/>
      <c r="R16" s="315"/>
    </row>
    <row r="17" spans="2:16" ht="15.75">
      <c r="B17" s="152"/>
      <c r="C17" s="413">
        <v>3</v>
      </c>
      <c r="D17" s="414"/>
      <c r="E17" s="414"/>
      <c r="F17" s="519">
        <v>0</v>
      </c>
      <c r="G17" s="519">
        <v>0</v>
      </c>
      <c r="H17" s="519">
        <v>0</v>
      </c>
      <c r="I17" s="519">
        <f>J17*0.05</f>
        <v>100</v>
      </c>
      <c r="J17" s="415">
        <f>($O17)*0.05</f>
        <v>2000</v>
      </c>
      <c r="K17" s="415">
        <f>($O17)*0.125</f>
        <v>5000</v>
      </c>
      <c r="L17" s="415">
        <f>($O17)*0.25</f>
        <v>10000</v>
      </c>
      <c r="M17" s="415">
        <f>($O17)*0.5</f>
        <v>20000</v>
      </c>
      <c r="N17" s="415">
        <f>($O17)*(0.75)</f>
        <v>30000</v>
      </c>
      <c r="O17" s="415">
        <f>400*(Unit.km2)</f>
        <v>40000</v>
      </c>
      <c r="P17" s="419"/>
    </row>
    <row r="18" spans="2:16" ht="15.75">
      <c r="B18" s="152"/>
      <c r="C18" s="411">
        <v>4</v>
      </c>
      <c r="D18" s="65"/>
      <c r="E18" s="65"/>
      <c r="F18" s="519">
        <v>0</v>
      </c>
      <c r="G18" s="519">
        <v>0</v>
      </c>
      <c r="H18" s="519">
        <v>0</v>
      </c>
      <c r="I18" s="519">
        <f>J18*0.05</f>
        <v>200</v>
      </c>
      <c r="J18" s="415">
        <f>($O18)*0.05</f>
        <v>4000</v>
      </c>
      <c r="K18" s="415">
        <f>($O18)*0.125</f>
        <v>10000</v>
      </c>
      <c r="L18" s="415">
        <f>($O18)*0.25</f>
        <v>20000</v>
      </c>
      <c r="M18" s="415">
        <f>($O18)*0.5</f>
        <v>40000</v>
      </c>
      <c r="N18" s="415">
        <f>($O18)*(0.75)</f>
        <v>60000</v>
      </c>
      <c r="O18" s="415">
        <f>800*(Unit.km2)</f>
        <v>80000</v>
      </c>
      <c r="P18" s="419"/>
    </row>
    <row r="19" spans="2:16" ht="15.75">
      <c r="B19" s="152"/>
      <c r="C19" s="406" t="s">
        <v>406</v>
      </c>
      <c r="D19" s="407"/>
      <c r="E19" s="407"/>
      <c r="F19" s="408">
        <f>(INDEX(F$15:F$18,ROUNDDOWN($E$7,0))*(1-MOD($E$7,1)))+(INDEX(F$15:F$18,ROUNDUP($E$7,0))*MOD($E$7,1))</f>
        <v>0</v>
      </c>
      <c r="G19" s="610">
        <f t="shared" ref="G19:O19" si="1">(INDEX(G$15:G$18,ROUNDDOWN($E$7,0))*(1-MOD($E$7,1)))+(INDEX(G$15:G$18,ROUNDUP($E$7,0))*MOD($E$7,1))</f>
        <v>0</v>
      </c>
      <c r="H19" s="408">
        <f t="shared" si="1"/>
        <v>0</v>
      </c>
      <c r="I19" s="408">
        <f t="shared" si="1"/>
        <v>0</v>
      </c>
      <c r="J19" s="408">
        <f t="shared" si="1"/>
        <v>8</v>
      </c>
      <c r="K19" s="408">
        <f t="shared" si="1"/>
        <v>80</v>
      </c>
      <c r="L19" s="408">
        <f t="shared" si="1"/>
        <v>160</v>
      </c>
      <c r="M19" s="408">
        <f t="shared" si="1"/>
        <v>240</v>
      </c>
      <c r="N19" s="408">
        <f t="shared" si="1"/>
        <v>320</v>
      </c>
      <c r="O19" s="408">
        <f t="shared" si="1"/>
        <v>400</v>
      </c>
      <c r="P19" s="419"/>
    </row>
    <row r="20" spans="2:16" ht="15.75">
      <c r="B20" s="152"/>
      <c r="C20" s="509"/>
      <c r="D20" s="414"/>
      <c r="E20" s="414"/>
      <c r="F20" s="222"/>
      <c r="G20" s="222"/>
      <c r="H20" s="222"/>
      <c r="I20" s="222"/>
      <c r="J20" s="222"/>
      <c r="K20" s="222"/>
      <c r="L20" s="222"/>
      <c r="M20" s="222"/>
      <c r="N20" s="222"/>
      <c r="O20" s="222"/>
      <c r="P20" s="419"/>
    </row>
    <row r="21" spans="2:16" ht="15.75">
      <c r="B21" s="152"/>
      <c r="C21" s="416" t="s">
        <v>858</v>
      </c>
      <c r="D21" s="415"/>
      <c r="E21" s="104"/>
      <c r="F21" s="415"/>
      <c r="G21" s="415"/>
      <c r="H21" s="415"/>
      <c r="I21" s="415"/>
      <c r="J21" s="415"/>
      <c r="K21" s="415"/>
      <c r="L21" s="415"/>
      <c r="M21" s="415"/>
      <c r="N21" s="415"/>
      <c r="O21" s="104" t="str">
        <f>Preferences.AreaUnits</f>
        <v>ha</v>
      </c>
      <c r="P21" s="419"/>
    </row>
    <row r="22" spans="2:16" ht="15.75">
      <c r="B22" s="152"/>
      <c r="C22" s="415"/>
      <c r="D22" s="415"/>
      <c r="E22" s="415"/>
      <c r="F22" s="415"/>
      <c r="G22" s="415"/>
      <c r="H22" s="415"/>
      <c r="I22" s="415"/>
      <c r="J22" s="415"/>
      <c r="K22" s="415"/>
      <c r="L22" s="415"/>
      <c r="M22" s="415"/>
      <c r="N22" s="415"/>
      <c r="O22" s="415"/>
      <c r="P22" s="419"/>
    </row>
    <row r="23" spans="2:16" ht="15.75">
      <c r="B23" s="152"/>
      <c r="C23" s="61" t="s">
        <v>411</v>
      </c>
      <c r="D23" s="61" t="s">
        <v>65</v>
      </c>
      <c r="E23" s="61" t="s">
        <v>156</v>
      </c>
      <c r="F23" s="234">
        <v>2007</v>
      </c>
      <c r="G23" s="234">
        <f>F23+5</f>
        <v>2012</v>
      </c>
      <c r="H23" s="234">
        <f t="shared" ref="H23:O23" si="2">G23+5</f>
        <v>2017</v>
      </c>
      <c r="I23" s="234">
        <f t="shared" si="2"/>
        <v>2022</v>
      </c>
      <c r="J23" s="234">
        <f t="shared" si="2"/>
        <v>2027</v>
      </c>
      <c r="K23" s="234">
        <f t="shared" si="2"/>
        <v>2032</v>
      </c>
      <c r="L23" s="234">
        <f t="shared" si="2"/>
        <v>2037</v>
      </c>
      <c r="M23" s="234">
        <f t="shared" si="2"/>
        <v>2042</v>
      </c>
      <c r="N23" s="234">
        <f t="shared" si="2"/>
        <v>2047</v>
      </c>
      <c r="O23" s="234">
        <f t="shared" si="2"/>
        <v>2052</v>
      </c>
      <c r="P23" s="419"/>
    </row>
    <row r="24" spans="2:16" ht="15.75">
      <c r="B24" s="152"/>
      <c r="C24" s="413">
        <v>1</v>
      </c>
      <c r="D24" s="414"/>
      <c r="E24" s="96"/>
      <c r="F24" s="415">
        <f>($O24)*0</f>
        <v>0</v>
      </c>
      <c r="G24" s="415">
        <f>($O24)*0</f>
        <v>0</v>
      </c>
      <c r="H24" s="415">
        <f>($O24)*0</f>
        <v>0</v>
      </c>
      <c r="I24" s="415">
        <f>($O24)*0</f>
        <v>0</v>
      </c>
      <c r="J24" s="415">
        <f>($O24)*0.1</f>
        <v>400</v>
      </c>
      <c r="K24" s="415">
        <f>($O24)*0.2</f>
        <v>800</v>
      </c>
      <c r="L24" s="415">
        <f>($O24)*0.4</f>
        <v>1600</v>
      </c>
      <c r="M24" s="415">
        <f>($O24)*0.6</f>
        <v>2400</v>
      </c>
      <c r="N24" s="415">
        <f>($O24)*0.8</f>
        <v>3200</v>
      </c>
      <c r="O24" s="415">
        <f>40*(Unit.km2)</f>
        <v>4000</v>
      </c>
      <c r="P24" s="419"/>
    </row>
    <row r="25" spans="2:16" ht="15.75">
      <c r="B25" s="152"/>
      <c r="C25" s="413">
        <v>2</v>
      </c>
      <c r="D25" s="414"/>
      <c r="E25" s="414"/>
      <c r="F25" s="519">
        <v>0</v>
      </c>
      <c r="G25" s="519">
        <v>0</v>
      </c>
      <c r="H25" s="519">
        <v>0</v>
      </c>
      <c r="I25" s="519">
        <f>J25*0.02</f>
        <v>16</v>
      </c>
      <c r="J25" s="519">
        <f>K25*0.1</f>
        <v>800</v>
      </c>
      <c r="K25" s="415">
        <f>($O25)*0.1</f>
        <v>8000</v>
      </c>
      <c r="L25" s="415">
        <f>($O25)*0.25</f>
        <v>20000</v>
      </c>
      <c r="M25" s="415">
        <f>($O25)*0.5</f>
        <v>40000</v>
      </c>
      <c r="N25" s="415">
        <f>($O25)*(0.75)</f>
        <v>60000</v>
      </c>
      <c r="O25" s="415">
        <f>800*(Unit.km2)</f>
        <v>80000</v>
      </c>
      <c r="P25" s="419"/>
    </row>
    <row r="26" spans="2:16" ht="15.75">
      <c r="B26" s="152"/>
      <c r="C26" s="413">
        <v>3</v>
      </c>
      <c r="D26" s="414"/>
      <c r="E26" s="414"/>
      <c r="F26" s="519">
        <v>0</v>
      </c>
      <c r="G26" s="519">
        <v>0</v>
      </c>
      <c r="H26" s="519">
        <v>0</v>
      </c>
      <c r="I26" s="519">
        <f>J26*0.05</f>
        <v>1000</v>
      </c>
      <c r="J26" s="415">
        <f>($O26)*0.05</f>
        <v>20000</v>
      </c>
      <c r="K26" s="415">
        <f>($O26)*0.125</f>
        <v>50000</v>
      </c>
      <c r="L26" s="415">
        <f>($O26)*0.25</f>
        <v>100000</v>
      </c>
      <c r="M26" s="415">
        <f>($O26)*0.5</f>
        <v>200000</v>
      </c>
      <c r="N26" s="415">
        <f>($O26)*(0.75)</f>
        <v>300000</v>
      </c>
      <c r="O26" s="415">
        <f>4000*(Unit.km2)</f>
        <v>400000</v>
      </c>
      <c r="P26" s="419"/>
    </row>
    <row r="27" spans="2:16" ht="15.75">
      <c r="B27" s="152"/>
      <c r="C27" s="411">
        <v>4</v>
      </c>
      <c r="D27" s="65"/>
      <c r="E27" s="65"/>
      <c r="F27" s="519">
        <v>0</v>
      </c>
      <c r="G27" s="519">
        <v>0</v>
      </c>
      <c r="H27" s="519">
        <v>0</v>
      </c>
      <c r="I27" s="519">
        <f>J27*0.05</f>
        <v>2500</v>
      </c>
      <c r="J27" s="415">
        <f>($O27)*0.05</f>
        <v>50000</v>
      </c>
      <c r="K27" s="415">
        <f>($O27)*0.125</f>
        <v>125000</v>
      </c>
      <c r="L27" s="415">
        <f>($O27)*0.25</f>
        <v>250000</v>
      </c>
      <c r="M27" s="415">
        <f>($O27)*0.5</f>
        <v>500000</v>
      </c>
      <c r="N27" s="415">
        <f>($O27)*(0.75)</f>
        <v>750000</v>
      </c>
      <c r="O27" s="415">
        <f>10000*(Unit.km2)</f>
        <v>1000000</v>
      </c>
      <c r="P27" s="419"/>
    </row>
    <row r="28" spans="2:16" ht="15.75">
      <c r="B28" s="152"/>
      <c r="C28" s="406" t="s">
        <v>406</v>
      </c>
      <c r="D28" s="407"/>
      <c r="E28" s="407"/>
      <c r="F28" s="408">
        <f>(INDEX(F$24:F$27,ROUNDDOWN($E$7,0))*(1-MOD($E$7,1)))+(INDEX(F$24:F$27,ROUNDUP($E$7,0))*MOD($E$7,1))</f>
        <v>0</v>
      </c>
      <c r="G28" s="408">
        <f t="shared" ref="G28:O28" si="3">(INDEX(G$24:G$27,ROUNDDOWN($E$7,0))*(1-MOD($E$7,1)))+(INDEX(G$24:G$27,ROUNDUP($E$7,0))*MOD($E$7,1))</f>
        <v>0</v>
      </c>
      <c r="H28" s="408">
        <f t="shared" si="3"/>
        <v>0</v>
      </c>
      <c r="I28" s="408">
        <f t="shared" si="3"/>
        <v>0</v>
      </c>
      <c r="J28" s="408">
        <f t="shared" si="3"/>
        <v>400</v>
      </c>
      <c r="K28" s="408">
        <f t="shared" si="3"/>
        <v>800</v>
      </c>
      <c r="L28" s="408">
        <f t="shared" si="3"/>
        <v>1600</v>
      </c>
      <c r="M28" s="408">
        <f t="shared" si="3"/>
        <v>2400</v>
      </c>
      <c r="N28" s="408">
        <f t="shared" si="3"/>
        <v>3200</v>
      </c>
      <c r="O28" s="408">
        <f t="shared" si="3"/>
        <v>4000</v>
      </c>
      <c r="P28" s="408"/>
    </row>
    <row r="29" spans="2:16" ht="15.75">
      <c r="B29" s="152"/>
      <c r="C29" s="509"/>
      <c r="D29" s="414"/>
      <c r="E29" s="414"/>
      <c r="F29" s="222"/>
      <c r="G29" s="222"/>
      <c r="H29" s="222"/>
      <c r="I29" s="222"/>
      <c r="J29" s="222"/>
      <c r="K29" s="222"/>
      <c r="L29" s="222"/>
      <c r="M29" s="222"/>
      <c r="N29" s="222"/>
      <c r="O29" s="222"/>
      <c r="P29" s="419"/>
    </row>
    <row r="30" spans="2:16" ht="15.75">
      <c r="B30" s="152"/>
      <c r="C30" s="509"/>
      <c r="D30" s="414"/>
      <c r="E30" s="414"/>
      <c r="F30" s="222"/>
      <c r="G30" s="222"/>
      <c r="H30" s="222"/>
      <c r="I30" s="222"/>
      <c r="J30" s="222"/>
      <c r="K30" s="222"/>
      <c r="L30" s="222"/>
      <c r="M30" s="222"/>
      <c r="N30" s="222"/>
      <c r="O30" s="222"/>
      <c r="P30" s="419"/>
    </row>
    <row r="31" spans="2:16" ht="15.75">
      <c r="B31" s="152"/>
      <c r="C31" s="509"/>
      <c r="D31" s="414"/>
      <c r="E31" s="414"/>
      <c r="F31" s="222"/>
      <c r="G31" s="222"/>
      <c r="H31" s="222"/>
      <c r="I31" s="222"/>
      <c r="J31" s="222"/>
      <c r="K31" s="222"/>
      <c r="L31" s="222"/>
      <c r="M31" s="222"/>
      <c r="N31" s="222"/>
      <c r="O31" s="222"/>
      <c r="P31" s="419"/>
    </row>
    <row r="32" spans="2:16" ht="15.75">
      <c r="B32" s="152"/>
      <c r="C32" s="509"/>
      <c r="D32" s="414"/>
      <c r="E32" s="414"/>
      <c r="F32" s="222"/>
      <c r="G32" s="222"/>
      <c r="H32" s="222"/>
      <c r="I32" s="222"/>
      <c r="J32" s="222"/>
      <c r="K32" s="222"/>
      <c r="L32" s="222"/>
      <c r="M32" s="222"/>
      <c r="N32" s="222"/>
      <c r="O32" s="222"/>
      <c r="P32" s="419"/>
    </row>
    <row r="33" spans="1:16" ht="15.75">
      <c r="B33" s="152"/>
      <c r="C33" s="509"/>
      <c r="D33" s="414"/>
      <c r="E33" s="414"/>
      <c r="F33" s="222"/>
      <c r="G33" s="222"/>
      <c r="H33" s="222"/>
      <c r="I33" s="222"/>
      <c r="J33" s="222"/>
      <c r="K33" s="222"/>
      <c r="L33" s="222"/>
      <c r="M33" s="222"/>
      <c r="N33" s="222"/>
      <c r="O33" s="222"/>
      <c r="P33" s="419"/>
    </row>
    <row r="34" spans="1:16">
      <c r="B34" s="155"/>
      <c r="C34" s="415"/>
      <c r="D34" s="105"/>
      <c r="E34" s="415"/>
      <c r="F34" s="415"/>
      <c r="G34" s="415"/>
      <c r="H34" s="415"/>
      <c r="I34" s="415"/>
      <c r="J34" s="415"/>
      <c r="K34" s="415"/>
      <c r="L34" s="415"/>
      <c r="M34" s="415"/>
      <c r="N34" s="415"/>
      <c r="O34" s="415"/>
      <c r="P34" s="419"/>
    </row>
    <row r="35" spans="1:16">
      <c r="B35" s="636"/>
      <c r="C35" s="157"/>
      <c r="D35" s="671"/>
      <c r="E35" s="157"/>
      <c r="F35" s="157"/>
      <c r="G35" s="157"/>
      <c r="H35" s="157"/>
      <c r="I35" s="157"/>
      <c r="J35" s="157"/>
      <c r="K35" s="157"/>
      <c r="L35" s="157"/>
      <c r="M35" s="157"/>
      <c r="N35" s="157"/>
      <c r="O35" s="157"/>
      <c r="P35" s="158"/>
    </row>
    <row r="37" spans="1:16" s="51" customFormat="1" ht="22.5" collapsed="1">
      <c r="A37" s="162"/>
      <c r="B37" s="421" t="s">
        <v>859</v>
      </c>
      <c r="C37" s="159"/>
      <c r="D37" s="159"/>
      <c r="E37" s="159"/>
      <c r="F37" s="159"/>
      <c r="G37" s="159"/>
      <c r="H37" s="159"/>
      <c r="I37" s="159"/>
      <c r="J37" s="159"/>
      <c r="K37" s="159"/>
      <c r="L37" s="159"/>
      <c r="M37" s="159"/>
      <c r="N37" s="159"/>
      <c r="O37" s="159"/>
      <c r="P37" s="160"/>
    </row>
    <row r="38" spans="1:16">
      <c r="B38" s="418"/>
      <c r="C38" s="415"/>
      <c r="D38" s="415"/>
      <c r="E38" s="415"/>
      <c r="F38" s="415"/>
      <c r="G38" s="415"/>
      <c r="H38" s="415"/>
      <c r="I38" s="415"/>
      <c r="J38" s="415"/>
      <c r="K38" s="415"/>
      <c r="L38" s="415"/>
      <c r="M38" s="415"/>
      <c r="N38" s="415"/>
      <c r="O38" s="415"/>
      <c r="P38" s="419"/>
    </row>
    <row r="39" spans="1:16">
      <c r="B39" s="418"/>
      <c r="C39" s="416" t="s">
        <v>860</v>
      </c>
      <c r="D39" s="415"/>
      <c r="E39" s="415"/>
      <c r="F39" s="415"/>
      <c r="G39" s="415"/>
      <c r="H39" s="415"/>
      <c r="I39" s="415"/>
      <c r="J39" s="415"/>
      <c r="K39" s="415"/>
      <c r="L39" s="415"/>
      <c r="M39" s="415"/>
      <c r="N39" s="415"/>
      <c r="O39" s="415"/>
      <c r="P39" s="419"/>
    </row>
    <row r="40" spans="1:16">
      <c r="B40" s="418"/>
      <c r="C40" s="415" t="s">
        <v>225</v>
      </c>
      <c r="D40" s="415">
        <v>2052</v>
      </c>
      <c r="E40" s="415"/>
      <c r="F40" s="415"/>
      <c r="G40" s="415"/>
      <c r="H40" s="415"/>
      <c r="I40" s="415"/>
      <c r="J40" s="415"/>
      <c r="K40" s="415"/>
      <c r="L40" s="415"/>
      <c r="M40" s="415"/>
      <c r="N40" s="415"/>
      <c r="O40" s="415"/>
      <c r="P40" s="419"/>
    </row>
    <row r="41" spans="1:16">
      <c r="B41" s="418"/>
      <c r="C41" s="415"/>
      <c r="D41" s="415"/>
      <c r="E41" s="415"/>
      <c r="F41" s="415"/>
      <c r="G41" s="415"/>
      <c r="H41" s="415"/>
      <c r="I41" s="415"/>
      <c r="J41" s="415"/>
      <c r="K41" s="415"/>
      <c r="L41" s="415"/>
      <c r="M41" s="415"/>
      <c r="N41" s="415"/>
      <c r="O41" s="415"/>
      <c r="P41" s="419"/>
    </row>
    <row r="42" spans="1:16">
      <c r="B42" s="418"/>
      <c r="C42" s="415"/>
      <c r="D42" s="415"/>
      <c r="E42" s="415"/>
      <c r="F42" s="415"/>
      <c r="G42" s="415"/>
      <c r="H42" s="415"/>
      <c r="I42" s="415"/>
      <c r="J42" s="415"/>
      <c r="K42" s="415"/>
      <c r="L42" s="415"/>
      <c r="M42" s="415"/>
      <c r="N42" s="415"/>
      <c r="O42" s="415"/>
      <c r="P42" s="419"/>
    </row>
    <row r="43" spans="1:16">
      <c r="B43" s="418"/>
      <c r="C43" s="763" t="s">
        <v>411</v>
      </c>
      <c r="D43" s="764" t="s">
        <v>861</v>
      </c>
      <c r="E43" s="415"/>
      <c r="F43" s="415"/>
      <c r="G43" s="415"/>
      <c r="H43" s="415"/>
      <c r="I43" s="415"/>
      <c r="J43" s="415"/>
      <c r="K43" s="415"/>
      <c r="L43" s="415"/>
      <c r="M43" s="415"/>
      <c r="N43" s="415"/>
      <c r="O43" s="415"/>
      <c r="P43" s="419"/>
    </row>
    <row r="44" spans="1:16">
      <c r="B44" s="418"/>
      <c r="C44" s="765">
        <v>1</v>
      </c>
      <c r="D44" s="766">
        <v>0.35</v>
      </c>
      <c r="E44" s="415"/>
      <c r="F44" s="415"/>
      <c r="G44" s="415"/>
      <c r="H44" s="415"/>
      <c r="I44" s="415"/>
      <c r="J44" s="415"/>
      <c r="K44" s="415"/>
      <c r="L44" s="415"/>
      <c r="M44" s="415"/>
      <c r="N44" s="415"/>
      <c r="O44" s="415"/>
      <c r="P44" s="419"/>
    </row>
    <row r="45" spans="1:16">
      <c r="B45" s="418"/>
      <c r="C45" s="765">
        <v>2</v>
      </c>
      <c r="D45" s="766">
        <v>0.43</v>
      </c>
      <c r="E45" s="415"/>
      <c r="F45" s="415"/>
      <c r="G45" s="415"/>
      <c r="H45" s="415"/>
      <c r="I45" s="415"/>
      <c r="J45" s="415"/>
      <c r="K45" s="415"/>
      <c r="L45" s="415"/>
      <c r="M45" s="415"/>
      <c r="N45" s="415"/>
      <c r="O45" s="415"/>
      <c r="P45" s="419"/>
    </row>
    <row r="46" spans="1:16">
      <c r="B46" s="418"/>
      <c r="C46" s="765">
        <v>3</v>
      </c>
      <c r="D46" s="766">
        <v>0.52</v>
      </c>
      <c r="E46" s="415"/>
      <c r="F46" s="415"/>
      <c r="G46" s="415"/>
      <c r="H46" s="415"/>
      <c r="I46" s="415"/>
      <c r="J46" s="415"/>
      <c r="K46" s="415"/>
      <c r="L46" s="415"/>
      <c r="M46" s="415"/>
      <c r="N46" s="415"/>
      <c r="O46" s="415"/>
      <c r="P46" s="419"/>
    </row>
    <row r="47" spans="1:16">
      <c r="B47" s="418"/>
      <c r="C47" s="765">
        <v>4</v>
      </c>
      <c r="D47" s="766">
        <v>0.6</v>
      </c>
      <c r="E47" s="415"/>
      <c r="F47" s="415"/>
      <c r="G47" s="415"/>
      <c r="H47" s="415"/>
      <c r="I47" s="415"/>
      <c r="J47" s="415"/>
      <c r="K47" s="415"/>
      <c r="L47" s="415"/>
      <c r="M47" s="415"/>
      <c r="N47" s="415"/>
      <c r="O47" s="415"/>
      <c r="P47" s="419"/>
    </row>
    <row r="48" spans="1:16">
      <c r="B48" s="418"/>
      <c r="C48" s="763" t="s">
        <v>406</v>
      </c>
      <c r="D48" s="767">
        <f>(INDEX(D$44:D$47,ROUNDDOWN($E$7,0))*(1-MOD($E$7,1)))+(INDEX(D$44:D$47,ROUNDUP($E$7,0))*MOD($E$7,1))</f>
        <v>0.35</v>
      </c>
      <c r="E48" s="415"/>
      <c r="F48" s="415"/>
      <c r="G48" s="415"/>
      <c r="H48" s="415"/>
      <c r="I48" s="415"/>
      <c r="J48" s="415"/>
      <c r="K48" s="415"/>
      <c r="L48" s="415"/>
      <c r="M48" s="415"/>
      <c r="N48" s="415"/>
      <c r="O48" s="415"/>
      <c r="P48" s="419"/>
    </row>
    <row r="49" spans="2:16">
      <c r="B49" s="418"/>
      <c r="C49" s="415"/>
      <c r="D49" s="415"/>
      <c r="E49" s="415"/>
      <c r="F49" s="415"/>
      <c r="G49" s="415"/>
      <c r="H49" s="415"/>
      <c r="I49" s="415"/>
      <c r="J49" s="415"/>
      <c r="K49" s="415"/>
      <c r="L49" s="415"/>
      <c r="M49" s="415"/>
      <c r="N49" s="415"/>
      <c r="O49" s="415"/>
      <c r="P49" s="419"/>
    </row>
    <row r="50" spans="2:16">
      <c r="B50" s="418"/>
      <c r="C50" s="415"/>
      <c r="D50" s="415"/>
      <c r="E50" s="415"/>
      <c r="F50" s="415"/>
      <c r="G50" s="415"/>
      <c r="H50" s="415"/>
      <c r="I50" s="415"/>
      <c r="J50" s="415"/>
      <c r="K50" s="415"/>
      <c r="L50" s="415"/>
      <c r="M50" s="415"/>
      <c r="N50" s="415"/>
      <c r="O50" s="415"/>
      <c r="P50" s="419"/>
    </row>
    <row r="51" spans="2:16">
      <c r="B51" s="418"/>
      <c r="C51" s="416" t="s">
        <v>862</v>
      </c>
      <c r="D51" s="415"/>
      <c r="E51" s="415"/>
      <c r="F51" s="415"/>
      <c r="G51" s="415"/>
      <c r="H51" s="415"/>
      <c r="I51" s="415"/>
      <c r="J51" s="415"/>
      <c r="K51" s="415"/>
      <c r="L51" s="415"/>
      <c r="M51" s="415"/>
      <c r="N51" s="415"/>
      <c r="O51" s="415"/>
      <c r="P51" s="419"/>
    </row>
    <row r="52" spans="2:16">
      <c r="B52" s="418"/>
      <c r="C52" s="415"/>
      <c r="D52" s="415"/>
      <c r="E52" s="415"/>
      <c r="F52" s="415"/>
      <c r="G52" s="415"/>
      <c r="H52" s="415"/>
      <c r="I52" s="415"/>
      <c r="J52" s="415"/>
      <c r="K52" s="415"/>
      <c r="L52" s="415"/>
      <c r="M52" s="415"/>
      <c r="N52" s="415"/>
      <c r="O52" s="415"/>
      <c r="P52" s="419"/>
    </row>
    <row r="53" spans="2:16">
      <c r="B53" s="418"/>
      <c r="C53" s="415" t="s">
        <v>225</v>
      </c>
      <c r="D53" s="415">
        <v>2052</v>
      </c>
      <c r="E53" s="415"/>
      <c r="F53" s="415"/>
      <c r="G53" s="415"/>
      <c r="H53" s="415"/>
      <c r="I53" s="415"/>
      <c r="J53" s="415"/>
      <c r="K53" s="415"/>
      <c r="L53" s="415"/>
      <c r="M53" s="415"/>
      <c r="N53" s="415"/>
      <c r="O53" s="415"/>
      <c r="P53" s="419"/>
    </row>
    <row r="54" spans="2:16">
      <c r="B54" s="418"/>
      <c r="C54" s="415"/>
      <c r="D54" s="768" t="str">
        <f>preferences.energyunits&amp;"/"&amp;Preferences.AreaUnits&amp;"/day"</f>
        <v>TWh/ha/day</v>
      </c>
      <c r="E54" s="415"/>
      <c r="F54" s="415"/>
      <c r="G54" s="415"/>
      <c r="H54" s="415"/>
      <c r="I54" s="415"/>
      <c r="J54" s="415"/>
      <c r="K54" s="415"/>
      <c r="L54" s="415"/>
      <c r="M54" s="415"/>
      <c r="N54" s="415"/>
      <c r="O54" s="415"/>
      <c r="P54" s="419"/>
    </row>
    <row r="55" spans="2:16">
      <c r="B55" s="418"/>
      <c r="C55" s="763" t="s">
        <v>411</v>
      </c>
      <c r="D55" s="764" t="s">
        <v>861</v>
      </c>
      <c r="E55" s="415"/>
      <c r="F55" s="415"/>
      <c r="G55" s="415"/>
      <c r="H55" s="415"/>
      <c r="I55" s="415"/>
      <c r="J55" s="415"/>
      <c r="K55" s="415"/>
      <c r="L55" s="415"/>
      <c r="M55" s="415"/>
      <c r="N55" s="415"/>
      <c r="O55" s="415"/>
      <c r="P55" s="419"/>
    </row>
    <row r="56" spans="2:16">
      <c r="B56" s="418"/>
      <c r="C56" s="765">
        <v>1</v>
      </c>
      <c r="D56" s="415">
        <f>(25*(unit.mtde/Unit.m2/10^6))*(10^-6)</f>
        <v>2.9296875000000001E-6</v>
      </c>
      <c r="E56" s="415"/>
      <c r="F56" s="415">
        <f>10^-6</f>
        <v>9.9999999999999995E-7</v>
      </c>
      <c r="G56" s="415"/>
      <c r="H56" s="415"/>
      <c r="I56" s="415"/>
      <c r="J56" s="415"/>
      <c r="K56" s="415"/>
      <c r="L56" s="415"/>
      <c r="M56" s="415"/>
      <c r="N56" s="415"/>
      <c r="O56" s="415"/>
      <c r="P56" s="419"/>
    </row>
    <row r="57" spans="2:16">
      <c r="B57" s="418"/>
      <c r="C57" s="765">
        <v>2</v>
      </c>
      <c r="D57" s="415">
        <f>(50*(unit.mtde/Unit.m2/10^6))*(10^-6)</f>
        <v>5.8593750000000001E-6</v>
      </c>
      <c r="E57" s="415"/>
      <c r="F57" s="415"/>
      <c r="G57" s="415"/>
      <c r="H57" s="415"/>
      <c r="I57" s="415"/>
      <c r="J57" s="415"/>
      <c r="K57" s="415"/>
      <c r="L57" s="415"/>
      <c r="M57" s="415"/>
      <c r="N57" s="415"/>
      <c r="O57" s="415"/>
      <c r="P57" s="419"/>
    </row>
    <row r="58" spans="2:16">
      <c r="B58" s="418"/>
      <c r="C58" s="765">
        <v>3</v>
      </c>
      <c r="D58" s="415">
        <f>(75*(unit.mtde/Unit.m2/10^6))*(10^-6)</f>
        <v>8.7890624999999993E-6</v>
      </c>
      <c r="E58" s="415"/>
      <c r="F58" s="415"/>
      <c r="G58" s="415"/>
      <c r="H58" s="415"/>
      <c r="I58" s="415"/>
      <c r="J58" s="415"/>
      <c r="K58" s="415"/>
      <c r="L58" s="415"/>
      <c r="M58" s="415"/>
      <c r="N58" s="415"/>
      <c r="O58" s="415"/>
      <c r="P58" s="419"/>
    </row>
    <row r="59" spans="2:16">
      <c r="B59" s="418"/>
      <c r="C59" s="765">
        <v>4</v>
      </c>
      <c r="D59" s="415">
        <f>(100*(unit.mtde/Unit.m2/10^6))*(10^-6)</f>
        <v>1.171875E-5</v>
      </c>
      <c r="E59" s="415"/>
      <c r="F59" s="415"/>
      <c r="G59" s="415"/>
      <c r="H59" s="415"/>
      <c r="I59" s="415"/>
      <c r="J59" s="415"/>
      <c r="K59" s="415"/>
      <c r="L59" s="415"/>
      <c r="M59" s="415"/>
      <c r="N59" s="415"/>
      <c r="O59" s="415"/>
      <c r="P59" s="419"/>
    </row>
    <row r="60" spans="2:16">
      <c r="B60" s="418"/>
      <c r="C60" s="763" t="s">
        <v>406</v>
      </c>
      <c r="D60" s="770">
        <f>(INDEX(D$56:D$59,ROUNDDOWN($E$7,0))*(1-MOD($E$7,1)))+(INDEX(D$56:D$59,ROUNDUP($E$7,0))*MOD($E$7,1))</f>
        <v>2.9296875000000001E-6</v>
      </c>
      <c r="E60" s="415"/>
      <c r="F60" s="415"/>
      <c r="G60" s="415"/>
      <c r="H60" s="415"/>
      <c r="I60" s="415"/>
      <c r="J60" s="415"/>
      <c r="K60" s="415"/>
      <c r="L60" s="415"/>
      <c r="M60" s="415"/>
      <c r="N60" s="415"/>
      <c r="O60" s="415"/>
      <c r="P60" s="419"/>
    </row>
    <row r="61" spans="2:16">
      <c r="B61" s="418"/>
      <c r="C61" s="415"/>
      <c r="D61" s="769"/>
      <c r="E61" s="415"/>
      <c r="F61" s="415"/>
      <c r="G61" s="415"/>
      <c r="H61" s="415"/>
      <c r="I61" s="415"/>
      <c r="J61" s="415"/>
      <c r="K61" s="415"/>
      <c r="L61" s="415"/>
      <c r="M61" s="415"/>
      <c r="N61" s="415"/>
      <c r="O61" s="415"/>
      <c r="P61" s="419"/>
    </row>
    <row r="62" spans="2:16">
      <c r="B62" s="418"/>
      <c r="C62" s="415"/>
      <c r="D62" s="769"/>
      <c r="E62" s="415"/>
      <c r="F62" s="415"/>
      <c r="G62" s="415"/>
      <c r="H62" s="415"/>
      <c r="I62" s="415"/>
      <c r="J62" s="415"/>
      <c r="K62" s="415"/>
      <c r="L62" s="415"/>
      <c r="M62" s="415"/>
      <c r="N62" s="415"/>
      <c r="O62" s="415"/>
      <c r="P62" s="419"/>
    </row>
    <row r="63" spans="2:16" ht="15.75">
      <c r="B63" s="421" t="s">
        <v>863</v>
      </c>
      <c r="C63" s="159"/>
      <c r="D63" s="159"/>
      <c r="E63" s="159"/>
      <c r="F63" s="159"/>
      <c r="G63" s="159"/>
      <c r="H63" s="159"/>
      <c r="I63" s="159"/>
      <c r="J63" s="159"/>
      <c r="K63" s="159"/>
      <c r="L63" s="159"/>
      <c r="M63" s="159"/>
      <c r="N63" s="159"/>
      <c r="O63" s="159"/>
      <c r="P63" s="160"/>
    </row>
    <row r="64" spans="2:16">
      <c r="B64" s="418"/>
      <c r="C64" s="415"/>
      <c r="D64" s="415"/>
      <c r="E64" s="415"/>
      <c r="F64" s="415"/>
      <c r="G64" s="415"/>
      <c r="H64" s="415"/>
      <c r="I64" s="415"/>
      <c r="J64" s="415"/>
      <c r="K64" s="415"/>
      <c r="L64" s="415"/>
      <c r="M64" s="415"/>
      <c r="N64" s="415"/>
      <c r="O64" s="415"/>
      <c r="P64" s="419"/>
    </row>
    <row r="65" spans="2:16">
      <c r="B65" s="418"/>
      <c r="C65" s="416" t="s">
        <v>864</v>
      </c>
      <c r="D65" s="415"/>
      <c r="E65" s="415"/>
      <c r="F65" s="415"/>
      <c r="G65" s="415"/>
      <c r="H65" s="415"/>
      <c r="I65" s="415"/>
      <c r="J65" s="415"/>
      <c r="K65" s="415"/>
      <c r="L65" s="415"/>
      <c r="M65" s="415"/>
      <c r="N65" s="415"/>
      <c r="O65" s="415"/>
      <c r="P65" s="419"/>
    </row>
    <row r="66" spans="2:16">
      <c r="B66" s="418"/>
      <c r="C66" s="415"/>
      <c r="D66" s="415"/>
      <c r="E66" s="415"/>
      <c r="F66" s="415"/>
      <c r="G66" s="415"/>
      <c r="H66" s="415"/>
      <c r="I66" s="415"/>
      <c r="J66" s="415"/>
      <c r="K66" s="415"/>
      <c r="L66" s="415"/>
      <c r="M66" s="415"/>
      <c r="N66" s="415"/>
      <c r="O66" s="415"/>
      <c r="P66" s="419"/>
    </row>
    <row r="67" spans="2:16">
      <c r="B67" s="418"/>
      <c r="C67" s="415" t="s">
        <v>225</v>
      </c>
      <c r="D67" s="415">
        <v>2052</v>
      </c>
      <c r="E67" s="415"/>
      <c r="F67" s="415"/>
      <c r="G67" s="415"/>
      <c r="H67" s="415"/>
      <c r="I67" s="415"/>
      <c r="J67" s="415"/>
      <c r="K67" s="415"/>
      <c r="L67" s="415"/>
      <c r="M67" s="415"/>
      <c r="N67" s="415"/>
      <c r="O67" s="415"/>
      <c r="P67" s="419"/>
    </row>
    <row r="68" spans="2:16">
      <c r="B68" s="418"/>
      <c r="C68" s="415"/>
      <c r="D68" s="771" t="s">
        <v>865</v>
      </c>
      <c r="E68" s="415"/>
      <c r="F68" s="415"/>
      <c r="G68" s="415"/>
      <c r="H68" s="415"/>
      <c r="I68" s="415"/>
      <c r="J68" s="415"/>
      <c r="K68" s="415"/>
      <c r="L68" s="415"/>
      <c r="M68" s="415"/>
      <c r="N68" s="415"/>
      <c r="O68" s="415"/>
      <c r="P68" s="419"/>
    </row>
    <row r="69" spans="2:16">
      <c r="B69" s="418"/>
      <c r="C69" s="763" t="s">
        <v>411</v>
      </c>
      <c r="D69" s="764" t="s">
        <v>861</v>
      </c>
      <c r="E69" s="415"/>
      <c r="F69" s="415"/>
      <c r="G69" s="415"/>
      <c r="H69" s="415"/>
      <c r="I69" s="415"/>
      <c r="J69" s="415"/>
      <c r="K69" s="415"/>
      <c r="L69" s="415"/>
      <c r="M69" s="415"/>
      <c r="N69" s="415"/>
      <c r="O69" s="415"/>
      <c r="P69" s="419"/>
    </row>
    <row r="70" spans="2:16">
      <c r="B70" s="418"/>
      <c r="C70" s="765">
        <v>1</v>
      </c>
      <c r="D70" s="766">
        <v>0.2</v>
      </c>
      <c r="E70" s="415"/>
      <c r="F70" s="415"/>
      <c r="G70" s="415"/>
      <c r="H70" s="415"/>
      <c r="I70" s="415"/>
      <c r="J70" s="415"/>
      <c r="K70" s="415"/>
      <c r="L70" s="415"/>
      <c r="M70" s="415"/>
      <c r="N70" s="415"/>
      <c r="O70" s="415"/>
      <c r="P70" s="419"/>
    </row>
    <row r="71" spans="2:16">
      <c r="B71" s="418"/>
      <c r="C71" s="765">
        <v>2</v>
      </c>
      <c r="D71" s="766">
        <v>0.27</v>
      </c>
      <c r="E71" s="415"/>
      <c r="F71" s="415"/>
      <c r="G71" s="415"/>
      <c r="H71" s="415"/>
      <c r="I71" s="415"/>
      <c r="J71" s="415"/>
      <c r="K71" s="415"/>
      <c r="L71" s="415"/>
      <c r="M71" s="415"/>
      <c r="N71" s="415"/>
      <c r="O71" s="415"/>
      <c r="P71" s="419"/>
    </row>
    <row r="72" spans="2:16">
      <c r="B72" s="418"/>
      <c r="C72" s="765">
        <v>3</v>
      </c>
      <c r="D72" s="766">
        <v>0.35</v>
      </c>
      <c r="E72" s="415"/>
      <c r="F72" s="415"/>
      <c r="G72" s="415"/>
      <c r="H72" s="415"/>
      <c r="I72" s="415"/>
      <c r="J72" s="415"/>
      <c r="K72" s="415"/>
      <c r="L72" s="415"/>
      <c r="M72" s="415"/>
      <c r="N72" s="415"/>
      <c r="O72" s="415"/>
      <c r="P72" s="419"/>
    </row>
    <row r="73" spans="2:16">
      <c r="B73" s="418"/>
      <c r="C73" s="765">
        <v>4</v>
      </c>
      <c r="D73" s="766">
        <v>0.4</v>
      </c>
      <c r="E73" s="415"/>
      <c r="F73" s="415"/>
      <c r="G73" s="415"/>
      <c r="H73" s="415"/>
      <c r="I73" s="415"/>
      <c r="J73" s="415"/>
      <c r="K73" s="415"/>
      <c r="L73" s="415"/>
      <c r="M73" s="415"/>
      <c r="N73" s="415"/>
      <c r="O73" s="415"/>
      <c r="P73" s="419"/>
    </row>
    <row r="74" spans="2:16">
      <c r="B74" s="418"/>
      <c r="C74" s="763" t="s">
        <v>406</v>
      </c>
      <c r="D74" s="767">
        <f>(INDEX(D$70:D$73,ROUNDDOWN($E$7,0))*(1-MOD($E$7,1)))+(INDEX(D$70:D$73,ROUNDUP($E$7,0))*MOD($E$7,1))</f>
        <v>0.2</v>
      </c>
      <c r="E74" s="415"/>
      <c r="F74" s="415"/>
      <c r="G74" s="415"/>
      <c r="H74" s="415"/>
      <c r="I74" s="415"/>
      <c r="J74" s="415"/>
      <c r="K74" s="415"/>
      <c r="L74" s="415"/>
      <c r="M74" s="415"/>
      <c r="N74" s="415"/>
      <c r="O74" s="415"/>
      <c r="P74" s="419"/>
    </row>
    <row r="75" spans="2:16">
      <c r="B75" s="418"/>
      <c r="C75" s="415"/>
      <c r="D75" s="415"/>
      <c r="E75" s="415"/>
      <c r="F75" s="415"/>
      <c r="G75" s="415"/>
      <c r="H75" s="415"/>
      <c r="I75" s="415"/>
      <c r="J75" s="415"/>
      <c r="K75" s="415"/>
      <c r="L75" s="415"/>
      <c r="M75" s="415"/>
      <c r="N75" s="415"/>
      <c r="O75" s="415"/>
      <c r="P75" s="419"/>
    </row>
    <row r="76" spans="2:16">
      <c r="B76" s="418"/>
      <c r="C76" s="415"/>
      <c r="D76" s="415"/>
      <c r="E76" s="415"/>
      <c r="F76" s="415"/>
      <c r="G76" s="415"/>
      <c r="H76" s="415"/>
      <c r="I76" s="415"/>
      <c r="J76" s="415"/>
      <c r="K76" s="415"/>
      <c r="L76" s="415"/>
      <c r="M76" s="415"/>
      <c r="N76" s="415"/>
      <c r="O76" s="415"/>
      <c r="P76" s="419"/>
    </row>
    <row r="77" spans="2:16">
      <c r="B77" s="418"/>
      <c r="C77" s="416" t="s">
        <v>862</v>
      </c>
      <c r="D77" s="415"/>
      <c r="E77" s="415"/>
      <c r="F77" s="415"/>
      <c r="G77" s="415"/>
      <c r="H77" s="415"/>
      <c r="I77" s="415"/>
      <c r="J77" s="415"/>
      <c r="K77" s="415"/>
      <c r="L77" s="415"/>
      <c r="M77" s="415"/>
      <c r="N77" s="415"/>
      <c r="O77" s="415"/>
      <c r="P77" s="419"/>
    </row>
    <row r="78" spans="2:16">
      <c r="B78" s="418"/>
      <c r="C78" s="415"/>
      <c r="D78" s="415"/>
      <c r="E78" s="415"/>
      <c r="F78" s="415"/>
      <c r="G78" s="415"/>
      <c r="H78" s="415"/>
      <c r="I78" s="415"/>
      <c r="J78" s="415"/>
      <c r="K78" s="415"/>
      <c r="L78" s="415"/>
      <c r="M78" s="415"/>
      <c r="N78" s="415"/>
      <c r="O78" s="415"/>
      <c r="P78" s="419"/>
    </row>
    <row r="79" spans="2:16">
      <c r="B79" s="418"/>
      <c r="C79" s="415" t="s">
        <v>225</v>
      </c>
      <c r="D79" s="415">
        <v>2052</v>
      </c>
      <c r="E79" s="415"/>
      <c r="F79" s="415"/>
      <c r="G79" s="415"/>
      <c r="H79" s="415"/>
      <c r="I79" s="415"/>
      <c r="J79" s="415"/>
      <c r="K79" s="415"/>
      <c r="L79" s="415"/>
      <c r="M79" s="415"/>
      <c r="N79" s="415"/>
      <c r="O79" s="415"/>
      <c r="P79" s="419"/>
    </row>
    <row r="80" spans="2:16">
      <c r="B80" s="418"/>
      <c r="C80" s="415"/>
      <c r="D80" s="768" t="str">
        <f>preferences.energyunits&amp;"/"&amp;Preferences.AreaUnits&amp;"/day"</f>
        <v>TWh/ha/day</v>
      </c>
      <c r="E80" s="415"/>
      <c r="F80" s="415"/>
      <c r="G80" s="415"/>
      <c r="H80" s="415"/>
      <c r="I80" s="415"/>
      <c r="J80" s="415"/>
      <c r="K80" s="415"/>
      <c r="L80" s="415"/>
      <c r="M80" s="415"/>
      <c r="N80" s="415"/>
      <c r="O80" s="415"/>
      <c r="P80" s="419"/>
    </row>
    <row r="81" spans="1:33">
      <c r="B81" s="418"/>
      <c r="C81" s="763" t="s">
        <v>411</v>
      </c>
      <c r="D81" s="764" t="s">
        <v>861</v>
      </c>
      <c r="E81" s="415"/>
      <c r="F81" s="415"/>
      <c r="G81" s="415"/>
      <c r="H81" s="415"/>
      <c r="I81" s="415"/>
      <c r="J81" s="415"/>
      <c r="K81" s="415"/>
      <c r="L81" s="415"/>
      <c r="M81" s="415"/>
      <c r="N81" s="415"/>
      <c r="O81" s="415"/>
      <c r="P81" s="419"/>
    </row>
    <row r="82" spans="1:33">
      <c r="B82" s="418"/>
      <c r="C82" s="765">
        <v>1</v>
      </c>
      <c r="D82" s="415">
        <f>(25*(unit.mtde/Unit.m2/10^6))*(10^-6)</f>
        <v>2.9296875000000001E-6</v>
      </c>
      <c r="E82" s="415"/>
      <c r="F82" s="415"/>
      <c r="G82" s="415"/>
      <c r="H82" s="415"/>
      <c r="I82" s="415"/>
      <c r="J82" s="415"/>
      <c r="K82" s="415"/>
      <c r="L82" s="415"/>
      <c r="M82" s="415"/>
      <c r="N82" s="415"/>
      <c r="O82" s="415"/>
      <c r="P82" s="419"/>
    </row>
    <row r="83" spans="1:33">
      <c r="B83" s="418"/>
      <c r="C83" s="765">
        <v>2</v>
      </c>
      <c r="D83" s="415">
        <f>(55*(unit.mtde/Unit.m2/10^6))*(10^-6)</f>
        <v>6.4453125E-6</v>
      </c>
      <c r="E83" s="415"/>
      <c r="F83" s="415"/>
      <c r="G83" s="415"/>
      <c r="H83" s="415"/>
      <c r="I83" s="415"/>
      <c r="J83" s="415"/>
      <c r="K83" s="415"/>
      <c r="L83" s="415"/>
      <c r="M83" s="415"/>
      <c r="N83" s="415"/>
      <c r="O83" s="415"/>
      <c r="P83" s="419"/>
    </row>
    <row r="84" spans="1:33">
      <c r="B84" s="418"/>
      <c r="C84" s="765">
        <v>3</v>
      </c>
      <c r="D84" s="415">
        <f>(85*(unit.mtde/Unit.m2/10^6))*(10^-6)</f>
        <v>9.960937499999999E-6</v>
      </c>
      <c r="E84" s="415"/>
      <c r="F84" s="415"/>
      <c r="G84" s="415"/>
      <c r="H84" s="415"/>
      <c r="I84" s="415"/>
      <c r="J84" s="415"/>
      <c r="K84" s="415"/>
      <c r="L84" s="415"/>
      <c r="M84" s="415"/>
      <c r="N84" s="415"/>
      <c r="O84" s="415"/>
      <c r="P84" s="419"/>
    </row>
    <row r="85" spans="1:33">
      <c r="B85" s="418"/>
      <c r="C85" s="765">
        <v>4</v>
      </c>
      <c r="D85" s="415">
        <f>(120*(unit.mtde/Unit.m2/10^6))*(10^-6)</f>
        <v>1.40625E-5</v>
      </c>
      <c r="E85" s="415"/>
      <c r="F85" s="415"/>
      <c r="G85" s="415"/>
      <c r="H85" s="415"/>
      <c r="I85" s="415"/>
      <c r="J85" s="415"/>
      <c r="K85" s="415"/>
      <c r="L85" s="415"/>
      <c r="M85" s="415"/>
      <c r="N85" s="415"/>
      <c r="O85" s="415"/>
      <c r="P85" s="419"/>
    </row>
    <row r="86" spans="1:33">
      <c r="B86" s="418"/>
      <c r="C86" s="763" t="s">
        <v>406</v>
      </c>
      <c r="D86" s="770">
        <f>(INDEX(D$82:D$85,ROUNDDOWN($E$7,0))*(1-MOD($E$7,1)))+(INDEX(D$82:D$85,ROUNDUP($E$7,0))*MOD($E$7,1))</f>
        <v>2.9296875000000001E-6</v>
      </c>
      <c r="E86" s="415"/>
      <c r="F86" s="415"/>
      <c r="G86" s="415"/>
      <c r="H86" s="415"/>
      <c r="I86" s="415"/>
      <c r="J86" s="415"/>
      <c r="K86" s="415"/>
      <c r="L86" s="415"/>
      <c r="M86" s="415"/>
      <c r="N86" s="415"/>
      <c r="O86" s="415"/>
      <c r="P86" s="419"/>
    </row>
    <row r="87" spans="1:33">
      <c r="B87" s="418"/>
      <c r="C87" s="415"/>
      <c r="D87" s="769"/>
      <c r="E87" s="415"/>
      <c r="F87" s="415"/>
      <c r="G87" s="415"/>
      <c r="H87" s="415"/>
      <c r="I87" s="415"/>
      <c r="J87" s="415"/>
      <c r="K87" s="415"/>
      <c r="L87" s="415"/>
      <c r="M87" s="415"/>
      <c r="N87" s="415"/>
      <c r="O87" s="415"/>
      <c r="P87" s="419"/>
    </row>
    <row r="88" spans="1:33">
      <c r="B88" s="418"/>
      <c r="C88" s="415"/>
      <c r="D88" s="769"/>
      <c r="E88" s="415"/>
      <c r="F88" s="415"/>
      <c r="G88" s="415"/>
      <c r="H88" s="415"/>
      <c r="I88" s="415"/>
      <c r="J88" s="415"/>
      <c r="K88" s="415"/>
      <c r="L88" s="415"/>
      <c r="M88" s="415"/>
      <c r="N88" s="415"/>
      <c r="O88" s="415"/>
      <c r="P88" s="419"/>
    </row>
    <row r="89" spans="1:33">
      <c r="B89" s="155"/>
      <c r="C89" s="772" t="s">
        <v>866</v>
      </c>
      <c r="E89" s="773">
        <v>0.9</v>
      </c>
      <c r="F89" s="415"/>
      <c r="G89" s="415"/>
      <c r="H89" s="415"/>
      <c r="I89" s="415"/>
      <c r="J89" s="415"/>
      <c r="K89" s="415"/>
      <c r="L89" s="415"/>
      <c r="M89" s="415"/>
      <c r="N89" s="415"/>
      <c r="O89" s="415"/>
      <c r="P89" s="419"/>
    </row>
    <row r="90" spans="1:33" s="410" customFormat="1">
      <c r="B90" s="200"/>
      <c r="C90" s="201"/>
      <c r="D90" s="202"/>
      <c r="E90" s="203"/>
      <c r="F90" s="203"/>
      <c r="G90" s="203"/>
      <c r="H90" s="203"/>
      <c r="I90" s="203"/>
      <c r="J90" s="203"/>
      <c r="K90" s="203"/>
      <c r="L90" s="203"/>
      <c r="M90" s="203"/>
      <c r="N90" s="203"/>
      <c r="O90" s="203"/>
      <c r="P90" s="204"/>
    </row>
    <row r="91" spans="1:33">
      <c r="Q91" s="774"/>
      <c r="R91" s="774"/>
      <c r="S91" s="774"/>
    </row>
    <row r="92" spans="1:33" s="242" customFormat="1">
      <c r="C92" s="776"/>
      <c r="R92" s="42"/>
      <c r="S92" s="42"/>
      <c r="T92" s="42"/>
      <c r="U92" s="529"/>
      <c r="V92" s="35"/>
      <c r="W92" s="35"/>
      <c r="Z92" s="35"/>
      <c r="AA92" s="35"/>
      <c r="AB92" s="35"/>
      <c r="AC92" s="35"/>
      <c r="AD92" s="35"/>
      <c r="AE92" s="35"/>
      <c r="AF92" s="35"/>
      <c r="AG92" s="35"/>
    </row>
    <row r="93" spans="1:33" ht="22.5">
      <c r="A93" s="420"/>
      <c r="B93" s="421" t="s">
        <v>270</v>
      </c>
      <c r="C93" s="159"/>
      <c r="D93" s="159"/>
      <c r="E93" s="159"/>
      <c r="F93" s="159"/>
      <c r="G93" s="159"/>
      <c r="H93" s="159"/>
      <c r="I93" s="159"/>
      <c r="J93" s="159"/>
      <c r="K93" s="159"/>
      <c r="L93" s="159"/>
      <c r="M93" s="159"/>
      <c r="N93" s="159"/>
      <c r="O93" s="159"/>
      <c r="P93" s="160"/>
      <c r="R93" s="42"/>
      <c r="S93" s="42"/>
      <c r="T93" s="42"/>
      <c r="U93" s="529"/>
      <c r="V93" s="35"/>
      <c r="W93" s="35"/>
      <c r="X93" s="242"/>
      <c r="Y93" s="242"/>
      <c r="Z93" s="35"/>
      <c r="AA93" s="35"/>
      <c r="AB93" s="35"/>
      <c r="AC93" s="35"/>
      <c r="AD93" s="35"/>
      <c r="AE93" s="35"/>
      <c r="AF93" s="35"/>
      <c r="AG93" s="35"/>
    </row>
    <row r="94" spans="1:33">
      <c r="B94" s="418"/>
      <c r="C94" s="415"/>
      <c r="D94" s="415"/>
      <c r="E94" s="415"/>
      <c r="F94" s="415"/>
      <c r="G94" s="415"/>
      <c r="H94" s="415"/>
      <c r="I94" s="415"/>
      <c r="J94" s="415"/>
      <c r="K94" s="415"/>
      <c r="L94" s="415"/>
      <c r="M94" s="415"/>
      <c r="N94" s="415"/>
      <c r="O94" s="415"/>
      <c r="P94" s="419"/>
      <c r="R94" s="42"/>
      <c r="S94" s="42"/>
      <c r="T94" s="42"/>
      <c r="U94" s="774"/>
      <c r="X94" s="242"/>
      <c r="Y94" s="242"/>
      <c r="Z94" s="242"/>
      <c r="AA94" s="242"/>
    </row>
    <row r="95" spans="1:33">
      <c r="B95" s="418"/>
      <c r="C95" s="415"/>
      <c r="D95" s="415"/>
      <c r="E95" s="415"/>
      <c r="F95" s="415"/>
      <c r="G95" s="415"/>
      <c r="H95" s="415"/>
      <c r="I95" s="415"/>
      <c r="J95" s="415"/>
      <c r="K95" s="415"/>
      <c r="L95" s="415"/>
      <c r="M95" s="415"/>
      <c r="N95" s="415"/>
      <c r="O95" s="415"/>
      <c r="P95" s="419"/>
      <c r="R95" s="42"/>
      <c r="S95" s="42"/>
      <c r="T95" s="42"/>
      <c r="U95" s="774"/>
      <c r="X95" s="242"/>
      <c r="Y95" s="242"/>
      <c r="Z95" s="242"/>
      <c r="AA95" s="242"/>
    </row>
    <row r="96" spans="1:33">
      <c r="B96" s="419"/>
      <c r="C96" s="416" t="s">
        <v>867</v>
      </c>
      <c r="D96" s="415"/>
      <c r="E96" s="104"/>
      <c r="F96" s="415"/>
      <c r="G96" s="415"/>
      <c r="H96" s="415"/>
      <c r="I96" s="415"/>
      <c r="J96" s="415"/>
      <c r="K96" s="415"/>
      <c r="L96" s="415"/>
      <c r="M96" s="415"/>
      <c r="N96" s="415"/>
      <c r="O96" s="104"/>
      <c r="P96" s="415"/>
      <c r="R96" s="42"/>
      <c r="S96" s="42"/>
      <c r="T96" s="42"/>
      <c r="U96" s="774"/>
      <c r="X96" s="242"/>
      <c r="Y96" s="242"/>
      <c r="Z96" s="242"/>
      <c r="AA96" s="242"/>
    </row>
    <row r="97" spans="2:27">
      <c r="B97" s="419"/>
      <c r="C97" s="415"/>
      <c r="D97" s="415"/>
      <c r="E97" s="415"/>
      <c r="F97" s="415"/>
      <c r="G97" s="415"/>
      <c r="H97" s="415"/>
      <c r="I97" s="415"/>
      <c r="J97" s="415"/>
      <c r="K97" s="415"/>
      <c r="L97" s="415"/>
      <c r="M97" s="415"/>
      <c r="N97" s="415"/>
      <c r="O97" s="104" t="str">
        <f>preferences.energyunits&amp;"/year"</f>
        <v>TWh/year</v>
      </c>
      <c r="P97" s="415"/>
      <c r="R97" s="42"/>
      <c r="S97" s="42"/>
      <c r="T97" s="42"/>
      <c r="U97" s="774"/>
      <c r="X97" s="242"/>
      <c r="Y97" s="242"/>
      <c r="Z97" s="242"/>
      <c r="AA97" s="242"/>
    </row>
    <row r="98" spans="2:27">
      <c r="B98" s="419"/>
      <c r="C98" s="61" t="s">
        <v>411</v>
      </c>
      <c r="D98" s="61" t="s">
        <v>65</v>
      </c>
      <c r="E98" s="61" t="s">
        <v>156</v>
      </c>
      <c r="F98" s="234">
        <v>2007</v>
      </c>
      <c r="G98" s="234">
        <f>F98+5</f>
        <v>2012</v>
      </c>
      <c r="H98" s="234">
        <f t="shared" ref="H98:O98" si="4">G98+5</f>
        <v>2017</v>
      </c>
      <c r="I98" s="234">
        <f t="shared" si="4"/>
        <v>2022</v>
      </c>
      <c r="J98" s="234">
        <f t="shared" si="4"/>
        <v>2027</v>
      </c>
      <c r="K98" s="234">
        <f t="shared" si="4"/>
        <v>2032</v>
      </c>
      <c r="L98" s="234">
        <f t="shared" si="4"/>
        <v>2037</v>
      </c>
      <c r="M98" s="234">
        <f t="shared" si="4"/>
        <v>2042</v>
      </c>
      <c r="N98" s="234">
        <f t="shared" si="4"/>
        <v>2047</v>
      </c>
      <c r="O98" s="234">
        <f t="shared" si="4"/>
        <v>2052</v>
      </c>
      <c r="P98" s="415"/>
      <c r="R98" s="42"/>
      <c r="S98" s="42"/>
      <c r="T98" s="42"/>
      <c r="U98" s="774"/>
      <c r="X98" s="242"/>
      <c r="Y98" s="242"/>
      <c r="Z98" s="242"/>
      <c r="AA98" s="242"/>
    </row>
    <row r="99" spans="2:27">
      <c r="B99" s="419"/>
      <c r="C99" s="777">
        <v>1</v>
      </c>
      <c r="D99" s="412"/>
      <c r="E99" s="412" t="s">
        <v>868</v>
      </c>
      <c r="F99" s="519">
        <v>0</v>
      </c>
      <c r="G99" s="519">
        <v>0</v>
      </c>
      <c r="H99" s="519">
        <v>0</v>
      </c>
      <c r="I99" s="519">
        <v>0</v>
      </c>
      <c r="J99" s="519">
        <f>K99*0.1</f>
        <v>1.3535156250000001E-3</v>
      </c>
      <c r="K99" s="519">
        <f>($O99)*0.2</f>
        <v>1.3535156249999999E-2</v>
      </c>
      <c r="L99" s="519">
        <f>($O99)*0.4</f>
        <v>2.7070312499999999E-2</v>
      </c>
      <c r="M99" s="519">
        <f>($O99)*0.6</f>
        <v>4.0605468749999998E-2</v>
      </c>
      <c r="N99" s="535">
        <f>($O99)*0.8</f>
        <v>5.4140624999999998E-2</v>
      </c>
      <c r="O99" s="519">
        <f>(O15*D44*D56*0.5*330)</f>
        <v>6.7675781249999997E-2</v>
      </c>
      <c r="P99" s="415"/>
      <c r="R99" s="42"/>
      <c r="S99" s="42"/>
      <c r="T99" s="42"/>
      <c r="U99" s="774"/>
      <c r="X99" s="242"/>
      <c r="Y99" s="242"/>
      <c r="Z99" s="242"/>
      <c r="AA99" s="242"/>
    </row>
    <row r="100" spans="2:27">
      <c r="B100" s="419"/>
      <c r="C100" s="777">
        <v>2</v>
      </c>
      <c r="D100" s="412"/>
      <c r="E100" s="412"/>
      <c r="F100" s="519">
        <f>$O100</f>
        <v>1.662890625</v>
      </c>
      <c r="G100" s="519">
        <f>$O100</f>
        <v>1.662890625</v>
      </c>
      <c r="H100" s="519">
        <f>$O100</f>
        <v>1.662890625</v>
      </c>
      <c r="I100" s="519">
        <f>J100*0.02</f>
        <v>3.3257812500000003E-4</v>
      </c>
      <c r="J100" s="519">
        <f>K100*0.1</f>
        <v>1.6628906250000002E-2</v>
      </c>
      <c r="K100" s="519">
        <f>($O100)*0.1</f>
        <v>0.1662890625</v>
      </c>
      <c r="L100" s="519">
        <f>($O100)*0.25</f>
        <v>0.41572265624999999</v>
      </c>
      <c r="M100" s="519">
        <f>($O100)*0.5</f>
        <v>0.83144531249999998</v>
      </c>
      <c r="N100" s="535">
        <f>($O100)*(0.75)</f>
        <v>1.2471679687499999</v>
      </c>
      <c r="O100" s="519">
        <f>(O16*D45*D57*0.5*330)</f>
        <v>1.662890625</v>
      </c>
      <c r="P100" s="415"/>
      <c r="R100" s="42"/>
      <c r="S100" s="42"/>
      <c r="T100" s="42"/>
      <c r="U100" s="774"/>
      <c r="X100" s="242"/>
      <c r="Y100" s="242"/>
      <c r="Z100" s="242"/>
      <c r="AA100" s="242"/>
    </row>
    <row r="101" spans="2:27">
      <c r="B101" s="419"/>
      <c r="C101" s="777">
        <v>3</v>
      </c>
      <c r="D101" s="412"/>
      <c r="E101" s="412"/>
      <c r="F101" s="519">
        <v>0</v>
      </c>
      <c r="G101" s="519">
        <v>0</v>
      </c>
      <c r="H101" s="519">
        <v>0</v>
      </c>
      <c r="I101" s="519">
        <f>J101*0.05</f>
        <v>7.5410156249999999E-2</v>
      </c>
      <c r="J101" s="519">
        <f>($O101)*0.05</f>
        <v>1.5082031249999999</v>
      </c>
      <c r="K101" s="519">
        <f>($O101)*0.125</f>
        <v>3.7705078124999996</v>
      </c>
      <c r="L101" s="519">
        <f>($O101)*0.25</f>
        <v>7.5410156249999991</v>
      </c>
      <c r="M101" s="519">
        <f>($O101)*0.5</f>
        <v>15.082031249999998</v>
      </c>
      <c r="N101" s="535">
        <f>($O101)*(0.75)</f>
        <v>22.623046874999996</v>
      </c>
      <c r="O101" s="519">
        <f>(O17*D46*D58*0.5*330)</f>
        <v>30.164062499999996</v>
      </c>
      <c r="P101" s="415"/>
      <c r="R101" s="42"/>
      <c r="S101" s="42"/>
      <c r="T101" s="42"/>
      <c r="U101" s="774"/>
      <c r="X101" s="242"/>
      <c r="Y101" s="242"/>
      <c r="Z101" s="242"/>
      <c r="AA101" s="242"/>
    </row>
    <row r="102" spans="2:27">
      <c r="B102" s="419"/>
      <c r="C102" s="777">
        <v>4</v>
      </c>
      <c r="D102" s="412"/>
      <c r="E102" s="412"/>
      <c r="F102" s="519">
        <v>0</v>
      </c>
      <c r="G102" s="519">
        <v>0</v>
      </c>
      <c r="H102" s="519">
        <v>0</v>
      </c>
      <c r="I102" s="519">
        <f>J102*0.05</f>
        <v>0.23203125000000002</v>
      </c>
      <c r="J102" s="519">
        <f>($O102)*0.05</f>
        <v>4.640625</v>
      </c>
      <c r="K102" s="519">
        <f>($O102)*0.125</f>
        <v>11.6015625</v>
      </c>
      <c r="L102" s="519">
        <f>($O102)*0.25</f>
        <v>23.203125</v>
      </c>
      <c r="M102" s="519">
        <f>($O102)*0.5</f>
        <v>46.40625</v>
      </c>
      <c r="N102" s="535">
        <f>($O102)*(0.75)</f>
        <v>69.609375</v>
      </c>
      <c r="O102" s="519">
        <f>(O18*D47*D59*0.5*330)</f>
        <v>92.8125</v>
      </c>
      <c r="P102" s="415"/>
      <c r="R102" s="42"/>
      <c r="S102" s="42"/>
      <c r="T102" s="42"/>
      <c r="U102" s="774"/>
      <c r="X102" s="242"/>
      <c r="Y102" s="242"/>
      <c r="Z102" s="242"/>
      <c r="AA102" s="242"/>
    </row>
    <row r="103" spans="2:27">
      <c r="B103" s="419"/>
      <c r="C103" s="406" t="s">
        <v>406</v>
      </c>
      <c r="D103" s="407"/>
      <c r="E103" s="407"/>
      <c r="F103" s="778">
        <f t="shared" ref="F103:O103" si="5">(INDEX(F$99:F$102,ROUNDDOWN($E$7,0))*(1-MOD($E$7,1)))+(INDEX(F$99:F$102,ROUNDUP($E$7,0))*MOD($E$7,1))</f>
        <v>0</v>
      </c>
      <c r="G103" s="778">
        <f t="shared" si="5"/>
        <v>0</v>
      </c>
      <c r="H103" s="778">
        <f t="shared" si="5"/>
        <v>0</v>
      </c>
      <c r="I103" s="778">
        <f t="shared" si="5"/>
        <v>0</v>
      </c>
      <c r="J103" s="778">
        <f t="shared" si="5"/>
        <v>1.3535156250000001E-3</v>
      </c>
      <c r="K103" s="778">
        <f t="shared" si="5"/>
        <v>1.3535156249999999E-2</v>
      </c>
      <c r="L103" s="778">
        <f t="shared" si="5"/>
        <v>2.7070312499999999E-2</v>
      </c>
      <c r="M103" s="778">
        <f t="shared" si="5"/>
        <v>4.0605468749999998E-2</v>
      </c>
      <c r="N103" s="3133">
        <f t="shared" si="5"/>
        <v>5.4140624999999998E-2</v>
      </c>
      <c r="O103" s="778">
        <f t="shared" si="5"/>
        <v>6.7675781249999997E-2</v>
      </c>
      <c r="P103" s="415"/>
      <c r="R103" s="42"/>
      <c r="S103" s="42"/>
      <c r="T103" s="42"/>
      <c r="U103" s="774"/>
      <c r="X103" s="242"/>
      <c r="Y103" s="242"/>
      <c r="Z103" s="242"/>
      <c r="AA103" s="242"/>
    </row>
    <row r="104" spans="2:27">
      <c r="B104" s="419"/>
      <c r="C104" s="412"/>
      <c r="D104" s="412"/>
      <c r="E104" s="412"/>
      <c r="F104" s="779"/>
      <c r="G104" s="779"/>
      <c r="H104" s="779"/>
      <c r="I104" s="779"/>
      <c r="J104" s="779"/>
      <c r="K104" s="779"/>
      <c r="L104" s="779"/>
      <c r="M104" s="779"/>
      <c r="N104" s="3011"/>
      <c r="O104" s="779"/>
      <c r="P104" s="415"/>
      <c r="R104" s="42"/>
      <c r="S104" s="42"/>
      <c r="T104" s="42"/>
      <c r="U104" s="774"/>
      <c r="X104" s="242"/>
      <c r="Y104" s="242"/>
      <c r="Z104" s="242"/>
      <c r="AA104" s="242"/>
    </row>
    <row r="105" spans="2:27">
      <c r="B105" s="419"/>
      <c r="C105" s="412"/>
      <c r="D105" s="412"/>
      <c r="E105" s="412"/>
      <c r="F105" s="779"/>
      <c r="G105" s="779"/>
      <c r="H105" s="779"/>
      <c r="I105" s="779"/>
      <c r="J105" s="779"/>
      <c r="K105" s="779"/>
      <c r="L105" s="779"/>
      <c r="M105" s="779"/>
      <c r="N105" s="3011"/>
      <c r="O105" s="779"/>
      <c r="P105" s="415"/>
      <c r="R105" s="42"/>
      <c r="S105" s="42"/>
      <c r="T105" s="42"/>
      <c r="U105" s="774"/>
      <c r="X105" s="242"/>
      <c r="Y105" s="242"/>
      <c r="Z105" s="242"/>
      <c r="AA105" s="242"/>
    </row>
    <row r="106" spans="2:27">
      <c r="B106" s="419"/>
      <c r="C106" s="416" t="s">
        <v>869</v>
      </c>
      <c r="D106" s="415"/>
      <c r="E106" s="104"/>
      <c r="F106" s="415"/>
      <c r="G106" s="415"/>
      <c r="H106" s="415"/>
      <c r="I106" s="415"/>
      <c r="J106" s="415"/>
      <c r="K106" s="415"/>
      <c r="L106" s="415"/>
      <c r="M106" s="415"/>
      <c r="N106" s="535"/>
      <c r="O106" s="104"/>
      <c r="P106" s="415"/>
      <c r="R106" s="42"/>
      <c r="S106" s="42"/>
      <c r="T106" s="42"/>
      <c r="U106" s="774"/>
      <c r="X106" s="242"/>
      <c r="Y106" s="242"/>
      <c r="Z106" s="242"/>
      <c r="AA106" s="242"/>
    </row>
    <row r="107" spans="2:27">
      <c r="B107" s="419"/>
      <c r="C107" s="415"/>
      <c r="D107" s="415"/>
      <c r="E107" s="415"/>
      <c r="F107" s="415"/>
      <c r="G107" s="415"/>
      <c r="H107" s="415"/>
      <c r="I107" s="415"/>
      <c r="J107" s="415"/>
      <c r="K107" s="415"/>
      <c r="L107" s="415"/>
      <c r="M107" s="415"/>
      <c r="N107" s="535"/>
      <c r="O107" s="104" t="str">
        <f>preferences.energyunits&amp;"/year"</f>
        <v>TWh/year</v>
      </c>
      <c r="P107" s="415"/>
      <c r="R107" s="42"/>
      <c r="S107" s="42"/>
      <c r="T107" s="42"/>
      <c r="U107" s="774"/>
      <c r="X107" s="242"/>
      <c r="Y107" s="242"/>
      <c r="Z107" s="242"/>
      <c r="AA107" s="242"/>
    </row>
    <row r="108" spans="2:27">
      <c r="B108" s="419"/>
      <c r="C108" s="61" t="s">
        <v>411</v>
      </c>
      <c r="D108" s="61" t="s">
        <v>65</v>
      </c>
      <c r="E108" s="61" t="s">
        <v>156</v>
      </c>
      <c r="F108" s="234">
        <v>2007</v>
      </c>
      <c r="G108" s="234">
        <f>F108+5</f>
        <v>2012</v>
      </c>
      <c r="H108" s="234">
        <f t="shared" ref="H108:O108" si="6">G108+5</f>
        <v>2017</v>
      </c>
      <c r="I108" s="234">
        <f t="shared" si="6"/>
        <v>2022</v>
      </c>
      <c r="J108" s="234">
        <f t="shared" si="6"/>
        <v>2027</v>
      </c>
      <c r="K108" s="234">
        <f t="shared" si="6"/>
        <v>2032</v>
      </c>
      <c r="L108" s="234">
        <f t="shared" si="6"/>
        <v>2037</v>
      </c>
      <c r="M108" s="234">
        <f t="shared" si="6"/>
        <v>2042</v>
      </c>
      <c r="N108" s="3134">
        <f t="shared" si="6"/>
        <v>2047</v>
      </c>
      <c r="O108" s="234">
        <f t="shared" si="6"/>
        <v>2052</v>
      </c>
      <c r="P108" s="415"/>
      <c r="R108" s="42"/>
      <c r="S108" s="42"/>
      <c r="T108" s="42"/>
      <c r="U108" s="774"/>
      <c r="X108" s="242"/>
      <c r="Y108" s="242"/>
      <c r="Z108" s="242"/>
      <c r="AA108" s="242"/>
    </row>
    <row r="109" spans="2:27">
      <c r="B109" s="419"/>
      <c r="C109" s="777">
        <v>1</v>
      </c>
      <c r="D109" s="412"/>
      <c r="E109" s="412" t="s">
        <v>868</v>
      </c>
      <c r="F109" s="519">
        <v>0</v>
      </c>
      <c r="G109" s="519">
        <v>0</v>
      </c>
      <c r="H109" s="519">
        <v>0</v>
      </c>
      <c r="I109" s="519">
        <v>0</v>
      </c>
      <c r="J109" s="519">
        <f>K109*0.1</f>
        <v>1.3921875000000004E-2</v>
      </c>
      <c r="K109" s="519">
        <f>($O109)*0.2</f>
        <v>0.13921875000000003</v>
      </c>
      <c r="L109" s="519">
        <f>($O109)*0.4</f>
        <v>0.27843750000000006</v>
      </c>
      <c r="M109" s="519">
        <f>($O109)*0.6</f>
        <v>0.41765625000000001</v>
      </c>
      <c r="N109" s="535">
        <f>($O109)*0.8</f>
        <v>0.55687500000000012</v>
      </c>
      <c r="O109" s="519">
        <f>(O24*D70*D82*330*$E$89)</f>
        <v>0.69609375000000007</v>
      </c>
      <c r="P109" s="415"/>
      <c r="R109" s="42"/>
      <c r="S109" s="42"/>
      <c r="T109" s="42"/>
      <c r="U109" s="774"/>
      <c r="X109" s="242"/>
      <c r="Y109" s="242"/>
      <c r="Z109" s="242"/>
      <c r="AA109" s="242"/>
    </row>
    <row r="110" spans="2:27">
      <c r="B110" s="419"/>
      <c r="C110" s="777">
        <v>2</v>
      </c>
      <c r="D110" s="412"/>
      <c r="E110" s="412"/>
      <c r="F110" s="519">
        <v>0</v>
      </c>
      <c r="G110" s="519">
        <v>0</v>
      </c>
      <c r="H110" s="519">
        <v>0</v>
      </c>
      <c r="I110" s="519">
        <f>J110*0.02</f>
        <v>8.2695937500000035E-3</v>
      </c>
      <c r="J110" s="519">
        <f>K110*0.1</f>
        <v>0.41347968750000014</v>
      </c>
      <c r="K110" s="519">
        <f>($O110)*0.1</f>
        <v>4.134796875000001</v>
      </c>
      <c r="L110" s="519">
        <f>($O110)*0.25</f>
        <v>10.336992187500002</v>
      </c>
      <c r="M110" s="519">
        <f>($O110)*0.5</f>
        <v>20.673984375000003</v>
      </c>
      <c r="N110" s="535">
        <f>($O110)*(0.75)</f>
        <v>31.010976562500005</v>
      </c>
      <c r="O110" s="519">
        <f>(O25*D71*D83*330*$E$89)</f>
        <v>41.347968750000007</v>
      </c>
      <c r="P110" s="415"/>
      <c r="R110" s="42"/>
      <c r="S110" s="42"/>
      <c r="T110" s="42"/>
      <c r="U110" s="774"/>
      <c r="X110" s="242"/>
      <c r="Y110" s="242"/>
      <c r="Z110" s="242"/>
      <c r="AA110" s="242"/>
    </row>
    <row r="111" spans="2:27">
      <c r="B111" s="419"/>
      <c r="C111" s="777">
        <v>3</v>
      </c>
      <c r="D111" s="412"/>
      <c r="E111" s="412"/>
      <c r="F111" s="519">
        <v>0</v>
      </c>
      <c r="G111" s="519">
        <v>0</v>
      </c>
      <c r="H111" s="519">
        <v>0</v>
      </c>
      <c r="I111" s="519">
        <f>J111*0.05</f>
        <v>1.035439453125</v>
      </c>
      <c r="J111" s="519">
        <f>($O111)*0.05</f>
        <v>20.708789062499999</v>
      </c>
      <c r="K111" s="519">
        <f>($O111)*0.125</f>
        <v>51.771972656249993</v>
      </c>
      <c r="L111" s="519">
        <f>($O111)*0.25</f>
        <v>103.54394531249999</v>
      </c>
      <c r="M111" s="519">
        <f>($O111)*0.5</f>
        <v>207.08789062499997</v>
      </c>
      <c r="N111" s="535">
        <f>($O111)*(0.75)</f>
        <v>310.63183593749994</v>
      </c>
      <c r="O111" s="519">
        <f>(O26*D72*D84*330*$E$89)</f>
        <v>414.17578124999994</v>
      </c>
      <c r="P111" s="415"/>
      <c r="R111" s="42"/>
      <c r="S111" s="42"/>
      <c r="T111" s="42"/>
      <c r="U111" s="774"/>
      <c r="X111" s="242"/>
      <c r="Y111" s="242"/>
      <c r="Z111" s="242"/>
      <c r="AA111" s="242"/>
    </row>
    <row r="112" spans="2:27">
      <c r="B112" s="419"/>
      <c r="C112" s="777">
        <v>4</v>
      </c>
      <c r="D112" s="412"/>
      <c r="E112" s="412"/>
      <c r="F112" s="519">
        <v>0</v>
      </c>
      <c r="G112" s="519">
        <v>0</v>
      </c>
      <c r="H112" s="519">
        <v>0</v>
      </c>
      <c r="I112" s="519">
        <f>J112*0.05</f>
        <v>4.1765625000000002</v>
      </c>
      <c r="J112" s="519">
        <f>($O112)*0.05</f>
        <v>83.53125</v>
      </c>
      <c r="K112" s="519">
        <f>($O112)*0.125</f>
        <v>208.828125</v>
      </c>
      <c r="L112" s="519">
        <f>($O112)*0.25</f>
        <v>417.65625</v>
      </c>
      <c r="M112" s="519">
        <f>($O112)*0.5</f>
        <v>835.3125</v>
      </c>
      <c r="N112" s="535">
        <f>($O112)*(0.75)</f>
        <v>1252.96875</v>
      </c>
      <c r="O112" s="519">
        <f>(O27*D73*D85*330*$E$89)</f>
        <v>1670.625</v>
      </c>
      <c r="P112" s="415"/>
      <c r="R112" s="42"/>
      <c r="S112" s="42"/>
      <c r="T112" s="42"/>
      <c r="U112" s="774"/>
      <c r="X112" s="242"/>
      <c r="Y112" s="242"/>
      <c r="Z112" s="242"/>
      <c r="AA112" s="242"/>
    </row>
    <row r="113" spans="2:27">
      <c r="B113" s="419"/>
      <c r="C113" s="406" t="s">
        <v>406</v>
      </c>
      <c r="D113" s="407"/>
      <c r="E113" s="407"/>
      <c r="F113" s="778">
        <f t="shared" ref="F113:O113" si="7">(INDEX(F$109:F$112,ROUNDDOWN($E$7,0))*(1-MOD($E$7,1)))+(INDEX(F$99:F$102,ROUNDUP($E$7,0))*MOD($E$7,1))</f>
        <v>0</v>
      </c>
      <c r="G113" s="778">
        <f t="shared" si="7"/>
        <v>0</v>
      </c>
      <c r="H113" s="778">
        <f t="shared" si="7"/>
        <v>0</v>
      </c>
      <c r="I113" s="778">
        <f t="shared" si="7"/>
        <v>0</v>
      </c>
      <c r="J113" s="778">
        <f t="shared" si="7"/>
        <v>1.3921875000000004E-2</v>
      </c>
      <c r="K113" s="778">
        <f t="shared" si="7"/>
        <v>0.13921875000000003</v>
      </c>
      <c r="L113" s="778">
        <f t="shared" si="7"/>
        <v>0.27843750000000006</v>
      </c>
      <c r="M113" s="778">
        <f t="shared" si="7"/>
        <v>0.41765625000000001</v>
      </c>
      <c r="N113" s="778">
        <f t="shared" si="7"/>
        <v>0.55687500000000012</v>
      </c>
      <c r="O113" s="778">
        <f t="shared" si="7"/>
        <v>0.69609375000000007</v>
      </c>
      <c r="P113" s="415"/>
      <c r="R113" s="42"/>
      <c r="S113" s="42"/>
      <c r="T113" s="42"/>
      <c r="U113" s="774"/>
      <c r="X113" s="242"/>
      <c r="Y113" s="242"/>
      <c r="Z113" s="242"/>
      <c r="AA113" s="242"/>
    </row>
    <row r="114" spans="2:27">
      <c r="B114" s="419"/>
      <c r="C114" s="412"/>
      <c r="D114" s="412"/>
      <c r="E114" s="412"/>
      <c r="F114" s="779"/>
      <c r="G114" s="779"/>
      <c r="H114" s="779"/>
      <c r="I114" s="779"/>
      <c r="J114" s="779"/>
      <c r="K114" s="779"/>
      <c r="L114" s="779"/>
      <c r="M114" s="779"/>
      <c r="N114" s="779"/>
      <c r="O114" s="779"/>
      <c r="P114" s="415"/>
      <c r="R114" s="42"/>
      <c r="S114" s="42"/>
      <c r="T114" s="42"/>
      <c r="U114" s="774"/>
      <c r="X114" s="242"/>
      <c r="Y114" s="242"/>
      <c r="Z114" s="242"/>
      <c r="AA114" s="242"/>
    </row>
    <row r="115" spans="2:27">
      <c r="B115" s="418"/>
      <c r="C115" s="415"/>
      <c r="D115" s="415"/>
      <c r="E115" s="415"/>
      <c r="F115" s="415"/>
      <c r="G115" s="415"/>
      <c r="H115" s="415"/>
      <c r="I115" s="415"/>
      <c r="J115" s="415"/>
      <c r="K115" s="415"/>
      <c r="L115" s="415"/>
      <c r="M115" s="415"/>
      <c r="N115" s="415"/>
      <c r="O115" s="415"/>
      <c r="P115" s="419"/>
      <c r="R115" s="42"/>
      <c r="S115" s="42"/>
      <c r="T115" s="42"/>
      <c r="U115" s="774"/>
      <c r="X115" s="242"/>
      <c r="Y115" s="242"/>
      <c r="Z115" s="242"/>
      <c r="AA115" s="242"/>
    </row>
    <row r="116" spans="2:27">
      <c r="B116" s="973"/>
      <c r="C116" s="624"/>
      <c r="D116" s="624"/>
      <c r="E116" s="624"/>
      <c r="F116" s="624"/>
      <c r="G116" s="624"/>
      <c r="H116" s="624"/>
      <c r="I116" s="624"/>
      <c r="J116" s="624"/>
      <c r="K116" s="624"/>
      <c r="L116" s="624"/>
      <c r="M116" s="624"/>
      <c r="N116" s="624"/>
      <c r="O116" s="624"/>
      <c r="P116" s="969"/>
      <c r="R116" s="42"/>
      <c r="S116" s="42"/>
      <c r="T116" s="42"/>
      <c r="U116" s="774"/>
      <c r="X116" s="242"/>
      <c r="Y116" s="242"/>
      <c r="Z116" s="242"/>
      <c r="AA116" s="242"/>
    </row>
    <row r="117" spans="2:27">
      <c r="B117" s="970" t="s">
        <v>1216</v>
      </c>
      <c r="C117" s="624"/>
      <c r="D117" s="624"/>
      <c r="E117" s="624"/>
      <c r="F117" s="624"/>
      <c r="G117" s="624"/>
      <c r="H117" s="624"/>
      <c r="I117" s="624"/>
      <c r="J117" s="624"/>
      <c r="K117" s="624"/>
      <c r="L117" s="624"/>
      <c r="M117" s="624"/>
      <c r="N117" s="624"/>
      <c r="O117" s="624"/>
      <c r="P117" s="969"/>
      <c r="R117" s="42"/>
      <c r="S117" s="42"/>
      <c r="T117" s="42"/>
      <c r="U117" s="774"/>
      <c r="X117" s="242"/>
      <c r="Y117" s="242"/>
      <c r="Z117" s="242"/>
      <c r="AA117" s="242"/>
    </row>
    <row r="118" spans="2:27">
      <c r="B118" s="970">
        <v>1</v>
      </c>
      <c r="C118" s="624" t="s">
        <v>1227</v>
      </c>
      <c r="D118" s="624"/>
      <c r="E118" s="624"/>
      <c r="F118" s="624"/>
      <c r="G118" s="624"/>
      <c r="H118" s="624"/>
      <c r="I118" s="624"/>
      <c r="J118" s="624"/>
      <c r="K118" s="624"/>
      <c r="L118" s="624"/>
      <c r="M118" s="624"/>
      <c r="N118" s="624"/>
      <c r="O118" s="624"/>
      <c r="P118" s="969"/>
      <c r="R118" s="42"/>
      <c r="S118" s="42"/>
      <c r="T118" s="42"/>
      <c r="U118" s="774"/>
      <c r="X118" s="242"/>
      <c r="Y118" s="242"/>
      <c r="Z118" s="242"/>
      <c r="AA118" s="242"/>
    </row>
    <row r="119" spans="2:27">
      <c r="B119" s="970">
        <v>2</v>
      </c>
      <c r="C119" s="624" t="s">
        <v>1228</v>
      </c>
      <c r="D119" s="624"/>
      <c r="E119" s="624"/>
      <c r="F119" s="624"/>
      <c r="G119" s="624"/>
      <c r="H119" s="624"/>
      <c r="I119" s="624"/>
      <c r="J119" s="624"/>
      <c r="K119" s="624"/>
      <c r="L119" s="624"/>
      <c r="M119" s="624"/>
      <c r="N119" s="624"/>
      <c r="O119" s="624"/>
      <c r="P119" s="969"/>
      <c r="R119" s="42"/>
      <c r="S119" s="42"/>
      <c r="T119" s="42"/>
      <c r="U119" s="774"/>
      <c r="X119" s="242"/>
      <c r="Y119" s="242"/>
      <c r="Z119" s="242"/>
      <c r="AA119" s="242"/>
    </row>
    <row r="120" spans="2:27">
      <c r="B120" s="970"/>
      <c r="C120" s="624"/>
      <c r="D120" s="624"/>
      <c r="E120" s="624"/>
      <c r="F120" s="624"/>
      <c r="G120" s="624"/>
      <c r="H120" s="624"/>
      <c r="I120" s="624"/>
      <c r="J120" s="624"/>
      <c r="K120" s="624"/>
      <c r="L120" s="624"/>
      <c r="M120" s="624"/>
      <c r="N120" s="624"/>
      <c r="O120" s="624"/>
      <c r="P120" s="969"/>
      <c r="R120" s="42"/>
      <c r="S120" s="42"/>
      <c r="T120" s="42"/>
      <c r="U120" s="774"/>
      <c r="X120" s="242"/>
      <c r="Y120" s="242"/>
      <c r="Z120" s="242"/>
      <c r="AA120" s="242"/>
    </row>
    <row r="121" spans="2:27">
      <c r="B121" s="970"/>
      <c r="C121" s="624"/>
      <c r="D121" s="624"/>
      <c r="E121" s="624"/>
      <c r="F121" s="624"/>
      <c r="G121" s="624"/>
      <c r="H121" s="624"/>
      <c r="I121" s="624"/>
      <c r="J121" s="624"/>
      <c r="K121" s="624"/>
      <c r="L121" s="624"/>
      <c r="M121" s="624"/>
      <c r="N121" s="624"/>
      <c r="O121" s="624"/>
      <c r="P121" s="969"/>
      <c r="R121" s="42"/>
      <c r="S121" s="42"/>
      <c r="T121" s="42"/>
      <c r="U121" s="774"/>
      <c r="X121" s="242"/>
      <c r="Y121" s="242"/>
      <c r="Z121" s="242"/>
      <c r="AA121" s="242"/>
    </row>
    <row r="122" spans="2:27">
      <c r="B122" s="970"/>
      <c r="C122" s="624"/>
      <c r="D122" s="624"/>
      <c r="E122" s="624"/>
      <c r="F122" s="624"/>
      <c r="G122" s="624"/>
      <c r="H122" s="624"/>
      <c r="I122" s="624"/>
      <c r="J122" s="624"/>
      <c r="K122" s="624"/>
      <c r="L122" s="624"/>
      <c r="M122" s="624"/>
      <c r="N122" s="624"/>
      <c r="O122" s="624"/>
      <c r="P122" s="969"/>
      <c r="R122" s="42"/>
      <c r="S122" s="42"/>
      <c r="T122" s="42"/>
      <c r="U122" s="774"/>
      <c r="X122" s="242"/>
      <c r="Y122" s="242"/>
      <c r="Z122" s="242"/>
      <c r="AA122" s="242"/>
    </row>
    <row r="123" spans="2:27">
      <c r="B123" s="970"/>
      <c r="C123" s="624"/>
      <c r="D123" s="624"/>
      <c r="E123" s="624"/>
      <c r="F123" s="624"/>
      <c r="G123" s="624"/>
      <c r="H123" s="624"/>
      <c r="I123" s="624"/>
      <c r="J123" s="624"/>
      <c r="K123" s="624"/>
      <c r="L123" s="624"/>
      <c r="M123" s="624"/>
      <c r="N123" s="624"/>
      <c r="O123" s="624"/>
      <c r="P123" s="969"/>
      <c r="R123" s="42"/>
      <c r="S123" s="42"/>
      <c r="T123" s="42"/>
      <c r="U123" s="774"/>
      <c r="X123" s="242"/>
      <c r="Y123" s="242"/>
      <c r="Z123" s="242"/>
      <c r="AA123" s="242"/>
    </row>
    <row r="124" spans="2:27">
      <c r="B124" s="970"/>
      <c r="C124" s="624"/>
      <c r="D124" s="624"/>
      <c r="E124" s="624"/>
      <c r="F124" s="624"/>
      <c r="G124" s="624"/>
      <c r="H124" s="624"/>
      <c r="I124" s="624"/>
      <c r="J124" s="624"/>
      <c r="K124" s="624"/>
      <c r="L124" s="624"/>
      <c r="M124" s="624"/>
      <c r="N124" s="624"/>
      <c r="O124" s="624"/>
      <c r="P124" s="969"/>
      <c r="R124" s="42"/>
      <c r="S124" s="42"/>
      <c r="T124" s="42"/>
      <c r="U124" s="774"/>
      <c r="X124" s="242"/>
      <c r="Y124" s="242"/>
      <c r="Z124" s="242"/>
      <c r="AA124" s="242"/>
    </row>
    <row r="125" spans="2:27">
      <c r="B125" s="970" t="s">
        <v>1229</v>
      </c>
      <c r="C125" s="961" t="s">
        <v>64</v>
      </c>
      <c r="D125" s="961" t="s">
        <v>65</v>
      </c>
      <c r="E125" s="961" t="s">
        <v>404</v>
      </c>
      <c r="F125" s="1345">
        <v>2007</v>
      </c>
      <c r="G125" s="1345">
        <f t="shared" ref="G125:O125" si="8">F125+5</f>
        <v>2012</v>
      </c>
      <c r="H125" s="1345">
        <f t="shared" si="8"/>
        <v>2017</v>
      </c>
      <c r="I125" s="1345">
        <f t="shared" si="8"/>
        <v>2022</v>
      </c>
      <c r="J125" s="1345">
        <f t="shared" si="8"/>
        <v>2027</v>
      </c>
      <c r="K125" s="1345">
        <f t="shared" si="8"/>
        <v>2032</v>
      </c>
      <c r="L125" s="1345">
        <f t="shared" si="8"/>
        <v>2037</v>
      </c>
      <c r="M125" s="1345">
        <f t="shared" si="8"/>
        <v>2042</v>
      </c>
      <c r="N125" s="1345">
        <f t="shared" si="8"/>
        <v>2047</v>
      </c>
      <c r="O125" s="1345">
        <f t="shared" si="8"/>
        <v>2052</v>
      </c>
      <c r="P125" s="969"/>
      <c r="R125" s="42"/>
      <c r="S125" s="42"/>
      <c r="T125" s="42"/>
      <c r="U125" s="774"/>
      <c r="X125" s="242"/>
      <c r="Y125" s="242"/>
      <c r="Z125" s="242"/>
      <c r="AA125" s="242"/>
    </row>
    <row r="126" spans="2:27">
      <c r="B126" s="973"/>
      <c r="C126" s="624" t="s">
        <v>1221</v>
      </c>
      <c r="D126" s="624" t="s">
        <v>1222</v>
      </c>
      <c r="E126" s="1300" t="str">
        <f>preferences.energyunits&amp;"/year"</f>
        <v>TWh/year</v>
      </c>
      <c r="F126" s="942">
        <f>F103</f>
        <v>0</v>
      </c>
      <c r="G126" s="942">
        <f t="shared" ref="G126:O126" si="9">G103</f>
        <v>0</v>
      </c>
      <c r="H126" s="942">
        <f t="shared" si="9"/>
        <v>0</v>
      </c>
      <c r="I126" s="942">
        <f t="shared" si="9"/>
        <v>0</v>
      </c>
      <c r="J126" s="942">
        <f t="shared" si="9"/>
        <v>1.3535156250000001E-3</v>
      </c>
      <c r="K126" s="942">
        <f t="shared" si="9"/>
        <v>1.3535156249999999E-2</v>
      </c>
      <c r="L126" s="942">
        <f t="shared" si="9"/>
        <v>2.7070312499999999E-2</v>
      </c>
      <c r="M126" s="942">
        <f t="shared" si="9"/>
        <v>4.0605468749999998E-2</v>
      </c>
      <c r="N126" s="942">
        <f t="shared" si="9"/>
        <v>5.4140624999999998E-2</v>
      </c>
      <c r="O126" s="942">
        <f t="shared" si="9"/>
        <v>6.7675781249999997E-2</v>
      </c>
      <c r="P126" s="969"/>
      <c r="R126" s="42"/>
      <c r="S126" s="42"/>
      <c r="T126" s="42"/>
      <c r="U126" s="774"/>
      <c r="X126" s="242"/>
      <c r="Y126" s="242"/>
      <c r="Z126" s="242"/>
      <c r="AA126" s="242"/>
    </row>
    <row r="127" spans="2:27">
      <c r="B127" s="973"/>
      <c r="C127" s="624"/>
      <c r="D127" s="624" t="s">
        <v>1223</v>
      </c>
      <c r="E127" s="1300" t="str">
        <f>preferences.energyunits&amp;"/year"</f>
        <v>TWh/year</v>
      </c>
      <c r="F127" s="624"/>
      <c r="G127" s="942">
        <f>MAX(G126-F126,0)</f>
        <v>0</v>
      </c>
      <c r="H127" s="942">
        <f t="shared" ref="H127:O127" si="10">MAX(H126-G126,0)</f>
        <v>0</v>
      </c>
      <c r="I127" s="942">
        <f t="shared" si="10"/>
        <v>0</v>
      </c>
      <c r="J127" s="942">
        <f t="shared" si="10"/>
        <v>1.3535156250000001E-3</v>
      </c>
      <c r="K127" s="942">
        <f t="shared" si="10"/>
        <v>1.2181640625E-2</v>
      </c>
      <c r="L127" s="942">
        <f t="shared" si="10"/>
        <v>1.3535156249999999E-2</v>
      </c>
      <c r="M127" s="942">
        <f t="shared" si="10"/>
        <v>1.3535156249999999E-2</v>
      </c>
      <c r="N127" s="942">
        <f t="shared" si="10"/>
        <v>1.3535156249999999E-2</v>
      </c>
      <c r="O127" s="942">
        <f t="shared" si="10"/>
        <v>1.3535156249999999E-2</v>
      </c>
      <c r="P127" s="969"/>
      <c r="R127" s="42"/>
      <c r="S127" s="42"/>
      <c r="T127" s="42"/>
      <c r="U127" s="774"/>
      <c r="X127" s="242"/>
      <c r="Y127" s="242"/>
      <c r="Z127" s="242"/>
      <c r="AA127" s="242"/>
    </row>
    <row r="128" spans="2:27" ht="15" customHeight="1">
      <c r="B128" s="1346"/>
      <c r="C128" s="894"/>
      <c r="D128" s="628"/>
      <c r="E128" s="1348"/>
      <c r="F128" s="975"/>
      <c r="G128" s="1347"/>
      <c r="H128" s="1347"/>
      <c r="I128" s="1347"/>
      <c r="J128" s="1347"/>
      <c r="K128" s="1347"/>
      <c r="L128" s="1347"/>
      <c r="M128" s="1347"/>
      <c r="N128" s="1347"/>
      <c r="O128" s="1347"/>
      <c r="P128" s="969"/>
      <c r="R128" s="42"/>
      <c r="S128" s="42"/>
      <c r="T128" s="42"/>
      <c r="U128" s="774"/>
      <c r="X128" s="242"/>
      <c r="Y128" s="242"/>
      <c r="Z128" s="242"/>
      <c r="AA128" s="242"/>
    </row>
    <row r="129" spans="1:27" ht="15" customHeight="1">
      <c r="B129" s="961" t="s">
        <v>1230</v>
      </c>
      <c r="C129" s="894" t="s">
        <v>1224</v>
      </c>
      <c r="D129" s="624" t="s">
        <v>1225</v>
      </c>
      <c r="E129" s="1300" t="str">
        <f>preferences.energyunits&amp;"/year"</f>
        <v>TWh/year</v>
      </c>
      <c r="F129" s="975">
        <f>F113</f>
        <v>0</v>
      </c>
      <c r="G129" s="975">
        <f t="shared" ref="G129:O129" si="11">G113</f>
        <v>0</v>
      </c>
      <c r="H129" s="975">
        <f t="shared" si="11"/>
        <v>0</v>
      </c>
      <c r="I129" s="975">
        <f t="shared" si="11"/>
        <v>0</v>
      </c>
      <c r="J129" s="975">
        <f t="shared" si="11"/>
        <v>1.3921875000000004E-2</v>
      </c>
      <c r="K129" s="975">
        <f t="shared" si="11"/>
        <v>0.13921875000000003</v>
      </c>
      <c r="L129" s="975">
        <f t="shared" si="11"/>
        <v>0.27843750000000006</v>
      </c>
      <c r="M129" s="975">
        <f t="shared" si="11"/>
        <v>0.41765625000000001</v>
      </c>
      <c r="N129" s="975">
        <f t="shared" si="11"/>
        <v>0.55687500000000012</v>
      </c>
      <c r="O129" s="975">
        <f t="shared" si="11"/>
        <v>0.69609375000000007</v>
      </c>
      <c r="P129" s="624"/>
      <c r="R129" s="42"/>
      <c r="S129" s="42"/>
      <c r="T129" s="42"/>
      <c r="U129" s="774"/>
      <c r="X129" s="242"/>
      <c r="Y129" s="242"/>
      <c r="Z129" s="242"/>
      <c r="AA129" s="242"/>
    </row>
    <row r="130" spans="1:27" ht="15" customHeight="1">
      <c r="B130" s="974"/>
      <c r="C130" s="894"/>
      <c r="D130" s="624" t="s">
        <v>1226</v>
      </c>
      <c r="E130" s="1300" t="str">
        <f>preferences.energyunits&amp;"/year"</f>
        <v>TWh/year</v>
      </c>
      <c r="F130" s="975"/>
      <c r="G130" s="1347">
        <f>MAX(G129-F129,0)</f>
        <v>0</v>
      </c>
      <c r="H130" s="1347">
        <f t="shared" ref="H130:O130" si="12">MAX(H129-G129,0)</f>
        <v>0</v>
      </c>
      <c r="I130" s="1347">
        <f t="shared" si="12"/>
        <v>0</v>
      </c>
      <c r="J130" s="1347">
        <f t="shared" si="12"/>
        <v>1.3921875000000004E-2</v>
      </c>
      <c r="K130" s="1347">
        <f t="shared" si="12"/>
        <v>0.12529687500000003</v>
      </c>
      <c r="L130" s="1347">
        <f t="shared" si="12"/>
        <v>0.13921875000000003</v>
      </c>
      <c r="M130" s="1347">
        <f t="shared" si="12"/>
        <v>0.13921874999999995</v>
      </c>
      <c r="N130" s="1347">
        <f t="shared" si="12"/>
        <v>0.13921875000000011</v>
      </c>
      <c r="O130" s="1347">
        <f t="shared" si="12"/>
        <v>0.13921874999999995</v>
      </c>
      <c r="P130" s="624"/>
      <c r="R130" s="42"/>
      <c r="S130" s="42"/>
      <c r="T130" s="42"/>
      <c r="U130" s="774"/>
      <c r="X130" s="242"/>
      <c r="Y130" s="242"/>
      <c r="Z130" s="242"/>
      <c r="AA130" s="242"/>
    </row>
    <row r="131" spans="1:27" ht="15" customHeight="1">
      <c r="B131" s="974"/>
      <c r="C131" s="894"/>
      <c r="D131" s="628"/>
      <c r="E131" s="628"/>
      <c r="F131" s="975"/>
      <c r="G131" s="1347"/>
      <c r="H131" s="1347"/>
      <c r="I131" s="1347"/>
      <c r="J131" s="1347"/>
      <c r="K131" s="1347"/>
      <c r="L131" s="1347"/>
      <c r="M131" s="1347"/>
      <c r="N131" s="1347"/>
      <c r="O131" s="1347"/>
      <c r="P131" s="624"/>
      <c r="R131" s="42"/>
      <c r="S131" s="42"/>
      <c r="T131" s="42"/>
      <c r="U131" s="774"/>
      <c r="X131" s="242"/>
      <c r="Y131" s="242"/>
      <c r="Z131" s="242"/>
      <c r="AA131" s="242"/>
    </row>
    <row r="132" spans="1:27" s="3071" customFormat="1" ht="15" customHeight="1">
      <c r="B132" s="974">
        <v>4</v>
      </c>
      <c r="C132" s="894" t="s">
        <v>1532</v>
      </c>
      <c r="D132" s="628"/>
      <c r="E132" s="628"/>
      <c r="F132" s="975"/>
      <c r="G132" s="1347"/>
      <c r="H132" s="1347"/>
      <c r="I132" s="1347"/>
      <c r="J132" s="1347"/>
      <c r="K132" s="1347"/>
      <c r="L132" s="1347"/>
      <c r="M132" s="1347"/>
      <c r="N132" s="1347"/>
      <c r="O132" s="1347"/>
      <c r="P132" s="624"/>
      <c r="R132" s="42"/>
      <c r="S132" s="42"/>
      <c r="T132" s="42"/>
      <c r="U132" s="774"/>
      <c r="X132" s="242"/>
      <c r="Y132" s="242"/>
      <c r="Z132" s="242"/>
      <c r="AA132" s="242"/>
    </row>
    <row r="133" spans="1:27" s="3071" customFormat="1" ht="15" customHeight="1">
      <c r="B133" s="974"/>
      <c r="C133" s="894"/>
      <c r="D133" s="628"/>
      <c r="E133" s="628"/>
      <c r="F133" s="975"/>
      <c r="G133" s="1347"/>
      <c r="H133" s="1347"/>
      <c r="I133" s="1347"/>
      <c r="J133" s="1347"/>
      <c r="K133" s="1347"/>
      <c r="L133" s="1347"/>
      <c r="M133" s="1347"/>
      <c r="N133" s="1347"/>
      <c r="O133" s="1347"/>
      <c r="P133" s="624"/>
      <c r="R133" s="42"/>
      <c r="S133" s="42"/>
      <c r="T133" s="42"/>
      <c r="U133" s="774"/>
      <c r="X133" s="242"/>
      <c r="Y133" s="242"/>
      <c r="Z133" s="242"/>
      <c r="AA133" s="242"/>
    </row>
    <row r="134" spans="1:27" s="3071" customFormat="1" ht="15" customHeight="1">
      <c r="B134" s="974"/>
      <c r="C134" s="894" t="s">
        <v>846</v>
      </c>
      <c r="D134" s="628"/>
      <c r="E134" s="628"/>
      <c r="F134" s="975"/>
      <c r="G134" s="1347"/>
      <c r="H134" s="1347"/>
      <c r="I134" s="1347"/>
      <c r="J134" s="1347"/>
      <c r="K134" s="1347"/>
      <c r="L134" s="1347"/>
      <c r="M134" s="1347"/>
      <c r="N134" s="1347"/>
      <c r="O134" s="1347"/>
      <c r="P134" s="624"/>
      <c r="R134" s="42"/>
      <c r="S134" s="42"/>
      <c r="T134" s="42"/>
      <c r="U134" s="774"/>
      <c r="X134" s="242"/>
      <c r="Y134" s="242"/>
      <c r="Z134" s="242"/>
      <c r="AA134" s="242"/>
    </row>
    <row r="135" spans="1:27" s="3071" customFormat="1" ht="15" customHeight="1">
      <c r="B135" s="974"/>
      <c r="C135" s="894" t="s">
        <v>350</v>
      </c>
      <c r="D135" s="628"/>
      <c r="E135" s="628" t="s">
        <v>367</v>
      </c>
      <c r="F135" s="975">
        <v>147.57407708633576</v>
      </c>
      <c r="G135" s="1347">
        <v>147.57407708633579</v>
      </c>
      <c r="H135" s="1347">
        <v>217.97051700661913</v>
      </c>
      <c r="I135" s="1347">
        <v>312.04596952025145</v>
      </c>
      <c r="J135" s="1347">
        <v>420.82669507621193</v>
      </c>
      <c r="K135" s="1347">
        <v>548.82938187453124</v>
      </c>
      <c r="L135" s="1347">
        <v>693.82494217617</v>
      </c>
      <c r="M135" s="1347">
        <v>842.37692698862145</v>
      </c>
      <c r="N135" s="1347">
        <v>1005.9707139825038</v>
      </c>
      <c r="O135" s="1347">
        <v>1197.5583917148772</v>
      </c>
      <c r="P135" s="624"/>
      <c r="R135" s="42"/>
      <c r="S135" s="42"/>
      <c r="T135" s="42"/>
      <c r="U135" s="774"/>
      <c r="X135" s="242"/>
      <c r="Y135" s="242"/>
      <c r="Z135" s="242"/>
      <c r="AA135" s="242"/>
    </row>
    <row r="136" spans="1:27" ht="15" customHeight="1">
      <c r="B136" s="974"/>
      <c r="C136" s="894"/>
      <c r="D136" s="628"/>
      <c r="E136" s="628"/>
      <c r="F136" s="975"/>
      <c r="G136" s="1347"/>
      <c r="H136" s="1347"/>
      <c r="I136" s="1347"/>
      <c r="J136" s="1347"/>
      <c r="K136" s="1347"/>
      <c r="L136" s="1347"/>
      <c r="M136" s="1347"/>
      <c r="N136" s="1347"/>
      <c r="O136" s="1347"/>
      <c r="P136" s="624"/>
      <c r="R136" s="42"/>
      <c r="S136" s="42"/>
      <c r="T136" s="42"/>
      <c r="U136" s="774"/>
      <c r="X136" s="242"/>
      <c r="Y136" s="242"/>
      <c r="Z136" s="242"/>
      <c r="AA136" s="242"/>
    </row>
    <row r="138" spans="1:27" ht="22.5" collapsed="1">
      <c r="A138" s="420"/>
      <c r="B138" s="206" t="s">
        <v>202</v>
      </c>
      <c r="C138" s="175"/>
      <c r="D138" s="175"/>
      <c r="E138" s="175"/>
      <c r="F138" s="175"/>
      <c r="G138" s="175"/>
      <c r="H138" s="175"/>
      <c r="I138" s="175"/>
      <c r="J138" s="175"/>
      <c r="K138" s="175"/>
      <c r="L138" s="175"/>
      <c r="M138" s="175"/>
      <c r="N138" s="175"/>
      <c r="O138" s="175"/>
      <c r="P138" s="177"/>
    </row>
    <row r="139" spans="1:27" ht="6.75" customHeight="1">
      <c r="B139" s="1201"/>
      <c r="C139" s="268"/>
      <c r="D139" s="268"/>
      <c r="E139" s="268"/>
      <c r="F139" s="268"/>
      <c r="G139" s="268"/>
      <c r="H139" s="268"/>
      <c r="I139" s="268"/>
      <c r="J139" s="268"/>
      <c r="K139" s="268"/>
      <c r="L139" s="268"/>
      <c r="M139" s="268"/>
      <c r="N139" s="268"/>
      <c r="O139" s="268"/>
      <c r="P139" s="1202"/>
    </row>
    <row r="140" spans="1:27">
      <c r="B140" s="1201"/>
      <c r="C140" s="1206" t="s">
        <v>239</v>
      </c>
      <c r="D140" s="268"/>
      <c r="E140" s="1338"/>
      <c r="F140" s="268"/>
      <c r="G140" s="1338"/>
      <c r="H140" s="268"/>
      <c r="I140" s="268"/>
      <c r="J140" s="268"/>
      <c r="K140" s="268"/>
      <c r="L140" s="268"/>
      <c r="M140" s="268"/>
      <c r="N140" s="268"/>
      <c r="O140" s="1338" t="str">
        <f>preferences.energyunits</f>
        <v>TWh</v>
      </c>
      <c r="P140" s="1202"/>
    </row>
    <row r="141" spans="1:27" ht="6" customHeight="1">
      <c r="B141" s="1201"/>
      <c r="C141" s="268"/>
      <c r="D141" s="268"/>
      <c r="E141" s="268"/>
      <c r="F141" s="268"/>
      <c r="G141" s="268"/>
      <c r="H141" s="268"/>
      <c r="I141" s="268"/>
      <c r="J141" s="268"/>
      <c r="K141" s="268"/>
      <c r="L141" s="268"/>
      <c r="M141" s="268"/>
      <c r="N141" s="268"/>
      <c r="O141" s="268"/>
      <c r="P141" s="1202"/>
    </row>
    <row r="142" spans="1:27" ht="15.75">
      <c r="A142" s="3"/>
      <c r="B142" s="1339"/>
      <c r="C142" s="1333" t="s">
        <v>64</v>
      </c>
      <c r="D142" s="1333" t="s">
        <v>137</v>
      </c>
      <c r="E142" s="1333" t="s">
        <v>156</v>
      </c>
      <c r="F142" s="1334" t="s">
        <v>203</v>
      </c>
      <c r="G142" s="1334" t="s">
        <v>712</v>
      </c>
      <c r="H142" s="1334" t="s">
        <v>713</v>
      </c>
      <c r="I142" s="1334" t="s">
        <v>714</v>
      </c>
      <c r="J142" s="1334" t="s">
        <v>715</v>
      </c>
      <c r="K142" s="1334" t="s">
        <v>716</v>
      </c>
      <c r="L142" s="1334" t="s">
        <v>717</v>
      </c>
      <c r="M142" s="1334" t="s">
        <v>718</v>
      </c>
      <c r="N142" s="1334" t="s">
        <v>719</v>
      </c>
      <c r="O142" s="1334" t="s">
        <v>720</v>
      </c>
      <c r="P142" s="1202"/>
    </row>
    <row r="143" spans="1:27" ht="15.75">
      <c r="A143" s="3"/>
      <c r="B143" s="1339"/>
      <c r="C143" s="265" t="s">
        <v>297</v>
      </c>
      <c r="D143" s="265" t="str">
        <f>INDEX(Vectors[Description], MATCH([Vector], Vectors[Code], 0))</f>
        <v>Wet biomass and waste</v>
      </c>
      <c r="E143" s="265"/>
      <c r="F143" s="1335">
        <f t="shared" ref="F143:O143" si="13">F113+F103</f>
        <v>0</v>
      </c>
      <c r="G143" s="1335">
        <f t="shared" si="13"/>
        <v>0</v>
      </c>
      <c r="H143" s="1335">
        <f t="shared" si="13"/>
        <v>0</v>
      </c>
      <c r="I143" s="1335">
        <f t="shared" si="13"/>
        <v>0</v>
      </c>
      <c r="J143" s="1335">
        <f t="shared" si="13"/>
        <v>1.5275390625000003E-2</v>
      </c>
      <c r="K143" s="1335">
        <f t="shared" si="13"/>
        <v>0.15275390625000002</v>
      </c>
      <c r="L143" s="1335">
        <f t="shared" si="13"/>
        <v>0.30550781250000003</v>
      </c>
      <c r="M143" s="1335">
        <f t="shared" si="13"/>
        <v>0.45826171874999999</v>
      </c>
      <c r="N143" s="1335">
        <f t="shared" si="13"/>
        <v>0.61101562500000006</v>
      </c>
      <c r="O143" s="1335">
        <f t="shared" si="13"/>
        <v>0.76376953125000002</v>
      </c>
      <c r="P143" s="1202"/>
    </row>
    <row r="144" spans="1:27" ht="15.75">
      <c r="A144" s="3"/>
      <c r="B144" s="1339"/>
      <c r="C144" s="265" t="s">
        <v>42</v>
      </c>
      <c r="D144" s="265" t="str">
        <f>INDEX(Vectors[Description], MATCH([Vector], Vectors[Code], 0))</f>
        <v>Waste</v>
      </c>
      <c r="E144" s="265"/>
      <c r="F144" s="1335">
        <f>-F143</f>
        <v>0</v>
      </c>
      <c r="G144" s="1335">
        <f t="shared" ref="G144:O144" si="14">-G143</f>
        <v>0</v>
      </c>
      <c r="H144" s="1335">
        <f t="shared" si="14"/>
        <v>0</v>
      </c>
      <c r="I144" s="1335">
        <f t="shared" si="14"/>
        <v>0</v>
      </c>
      <c r="J144" s="1335">
        <f t="shared" si="14"/>
        <v>-1.5275390625000003E-2</v>
      </c>
      <c r="K144" s="1335">
        <f t="shared" si="14"/>
        <v>-0.15275390625000002</v>
      </c>
      <c r="L144" s="1335">
        <f t="shared" si="14"/>
        <v>-0.30550781250000003</v>
      </c>
      <c r="M144" s="1335">
        <f t="shared" si="14"/>
        <v>-0.45826171874999999</v>
      </c>
      <c r="N144" s="1335">
        <f t="shared" si="14"/>
        <v>-0.61101562500000006</v>
      </c>
      <c r="O144" s="1335">
        <f t="shared" si="14"/>
        <v>-0.76376953125000002</v>
      </c>
      <c r="P144" s="1202"/>
    </row>
    <row r="145" spans="1:25" ht="15.75">
      <c r="A145" s="3"/>
      <c r="B145" s="1339"/>
      <c r="C145" s="265" t="s">
        <v>103</v>
      </c>
      <c r="D145" s="265"/>
      <c r="E145" s="265"/>
      <c r="F145" s="2175">
        <f>SUBTOTAL(109,[2007])</f>
        <v>0</v>
      </c>
      <c r="G145" s="2175">
        <f>SUBTOTAL(109,[2012])</f>
        <v>0</v>
      </c>
      <c r="H145" s="2175">
        <f>SUBTOTAL(109,[2017])</f>
        <v>0</v>
      </c>
      <c r="I145" s="2175">
        <f>SUBTOTAL(109,[2022])</f>
        <v>0</v>
      </c>
      <c r="J145" s="2175">
        <f>SUBTOTAL(109,[2027])</f>
        <v>0</v>
      </c>
      <c r="K145" s="2175">
        <f>SUBTOTAL(109,[2032])</f>
        <v>0</v>
      </c>
      <c r="L145" s="2175">
        <f>SUBTOTAL(109,[2037])</f>
        <v>0</v>
      </c>
      <c r="M145" s="2175">
        <f>SUBTOTAL(109,[2042])</f>
        <v>0</v>
      </c>
      <c r="N145" s="2175">
        <f>SUBTOTAL(109,[2047])</f>
        <v>0</v>
      </c>
      <c r="O145" s="2175">
        <f>SUBTOTAL(109,[2052])</f>
        <v>0</v>
      </c>
      <c r="P145" s="1202"/>
    </row>
    <row r="146" spans="1:25" ht="15.75">
      <c r="A146" s="3"/>
      <c r="B146" s="1339"/>
      <c r="C146" s="1340"/>
      <c r="D146" s="1340"/>
      <c r="E146" s="1340"/>
      <c r="F146" s="1340"/>
      <c r="G146" s="1340"/>
      <c r="H146" s="1340"/>
      <c r="I146" s="1340"/>
      <c r="J146" s="1340"/>
      <c r="K146" s="1340"/>
      <c r="L146" s="1340"/>
      <c r="M146" s="1340"/>
      <c r="N146" s="1340"/>
      <c r="O146" s="1340"/>
      <c r="P146" s="1202"/>
      <c r="S146" s="35"/>
      <c r="T146" s="35"/>
      <c r="U146" s="35"/>
      <c r="V146" s="35"/>
      <c r="W146" s="35"/>
      <c r="X146" s="35"/>
      <c r="Y146" s="35"/>
    </row>
    <row r="147" spans="1:25">
      <c r="S147" s="35"/>
      <c r="T147" s="35"/>
      <c r="U147" s="35"/>
      <c r="V147" s="35"/>
      <c r="W147" s="35"/>
      <c r="X147" s="35"/>
      <c r="Y147" s="35"/>
    </row>
    <row r="148" spans="1:25" ht="21.75" customHeight="1" collapsed="1">
      <c r="B148" s="424" t="s">
        <v>501</v>
      </c>
      <c r="C148" s="346"/>
      <c r="D148" s="425"/>
      <c r="E148" s="425"/>
      <c r="F148" s="425"/>
      <c r="G148" s="425"/>
      <c r="H148" s="425"/>
      <c r="I148" s="425"/>
      <c r="J148" s="425"/>
      <c r="K148" s="425"/>
      <c r="L148" s="425"/>
      <c r="M148" s="425"/>
      <c r="N148" s="425"/>
      <c r="O148" s="425"/>
      <c r="P148" s="426"/>
      <c r="S148" s="35"/>
      <c r="T148" s="32"/>
      <c r="U148" s="35"/>
      <c r="V148" s="35"/>
      <c r="W148" s="35"/>
      <c r="X148" s="35"/>
      <c r="Y148" s="35"/>
    </row>
    <row r="149" spans="1:25" ht="6.75" customHeight="1">
      <c r="B149" s="1199"/>
      <c r="C149" s="1200"/>
      <c r="D149" s="1200"/>
      <c r="E149" s="1200"/>
      <c r="F149" s="1200"/>
      <c r="G149" s="1200"/>
      <c r="H149" s="1200"/>
      <c r="I149" s="1200"/>
      <c r="J149" s="1200"/>
      <c r="K149" s="1200"/>
      <c r="L149" s="1200"/>
      <c r="M149" s="1200"/>
      <c r="N149" s="1200"/>
      <c r="O149" s="1200"/>
      <c r="P149" s="1341"/>
      <c r="S149" s="35"/>
      <c r="T149" s="32"/>
      <c r="U149" s="35"/>
      <c r="V149" s="35"/>
      <c r="W149" s="35"/>
      <c r="X149" s="35"/>
      <c r="Y149" s="35"/>
    </row>
    <row r="150" spans="1:25">
      <c r="B150" s="1201"/>
      <c r="C150" s="1206" t="s">
        <v>506</v>
      </c>
      <c r="D150" s="268"/>
      <c r="E150" s="1338"/>
      <c r="F150" s="268"/>
      <c r="G150" s="1338"/>
      <c r="H150" s="268"/>
      <c r="I150" s="268"/>
      <c r="J150" s="268"/>
      <c r="K150" s="268"/>
      <c r="L150" s="268"/>
      <c r="M150" s="268"/>
      <c r="N150" s="268"/>
      <c r="O150" s="1338"/>
      <c r="P150" s="1202"/>
      <c r="S150" s="35"/>
      <c r="T150" s="32"/>
      <c r="U150" s="35"/>
      <c r="V150" s="35"/>
      <c r="W150" s="35"/>
      <c r="X150" s="35"/>
      <c r="Y150" s="35"/>
    </row>
    <row r="151" spans="1:25" ht="4.5" customHeight="1">
      <c r="B151" s="1201"/>
      <c r="C151" s="268"/>
      <c r="D151" s="268"/>
      <c r="E151" s="268"/>
      <c r="F151" s="268"/>
      <c r="G151" s="268"/>
      <c r="H151" s="268"/>
      <c r="I151" s="268"/>
      <c r="J151" s="268"/>
      <c r="K151" s="268"/>
      <c r="L151" s="268"/>
      <c r="M151" s="268"/>
      <c r="N151" s="268"/>
      <c r="O151" s="268"/>
      <c r="P151" s="1202"/>
      <c r="S151" s="35"/>
      <c r="T151" s="32"/>
      <c r="U151" s="35"/>
      <c r="V151" s="35"/>
      <c r="W151" s="35"/>
      <c r="X151" s="35"/>
      <c r="Y151" s="35"/>
    </row>
    <row r="152" spans="1:25" ht="15.75">
      <c r="B152" s="1339"/>
      <c r="C152" s="1353" t="s">
        <v>64</v>
      </c>
      <c r="D152" s="1353" t="s">
        <v>502</v>
      </c>
      <c r="E152" s="1353" t="s">
        <v>156</v>
      </c>
      <c r="F152" s="1354" t="s">
        <v>203</v>
      </c>
      <c r="G152" s="1355" t="s">
        <v>712</v>
      </c>
      <c r="H152" s="1355" t="s">
        <v>713</v>
      </c>
      <c r="I152" s="1355" t="s">
        <v>714</v>
      </c>
      <c r="J152" s="1355" t="s">
        <v>715</v>
      </c>
      <c r="K152" s="1355" t="s">
        <v>716</v>
      </c>
      <c r="L152" s="1355" t="s">
        <v>717</v>
      </c>
      <c r="M152" s="1355" t="s">
        <v>718</v>
      </c>
      <c r="N152" s="1355" t="s">
        <v>719</v>
      </c>
      <c r="O152" s="1355" t="s">
        <v>720</v>
      </c>
      <c r="P152" s="1350"/>
      <c r="S152" s="35"/>
      <c r="T152" s="35"/>
      <c r="U152" s="35"/>
      <c r="V152" s="35"/>
      <c r="W152" s="35"/>
      <c r="X152" s="35"/>
      <c r="Y152" s="35"/>
    </row>
    <row r="153" spans="1:25" ht="15.75">
      <c r="B153" s="1339"/>
      <c r="C153" s="277" t="s">
        <v>503</v>
      </c>
      <c r="D153" s="277" t="str">
        <f>INDEX(Vectors[Description], MATCH(V.c!$C$153:$C$154, Vectors[Code], 0))</f>
        <v>India Land area</v>
      </c>
      <c r="E153" s="1351" t="str">
        <f>Preferences.AreaUnits</f>
        <v>ha</v>
      </c>
      <c r="F153" s="1352">
        <f>F19</f>
        <v>0</v>
      </c>
      <c r="G153" s="1352">
        <f t="shared" ref="G153:O153" si="15">G19</f>
        <v>0</v>
      </c>
      <c r="H153" s="1352">
        <f t="shared" si="15"/>
        <v>0</v>
      </c>
      <c r="I153" s="1352">
        <f t="shared" si="15"/>
        <v>0</v>
      </c>
      <c r="J153" s="1352">
        <f t="shared" si="15"/>
        <v>8</v>
      </c>
      <c r="K153" s="1352">
        <f t="shared" si="15"/>
        <v>80</v>
      </c>
      <c r="L153" s="1352">
        <f t="shared" si="15"/>
        <v>160</v>
      </c>
      <c r="M153" s="1352">
        <f t="shared" si="15"/>
        <v>240</v>
      </c>
      <c r="N153" s="1352">
        <f t="shared" si="15"/>
        <v>320</v>
      </c>
      <c r="O153" s="1352">
        <f t="shared" si="15"/>
        <v>400</v>
      </c>
      <c r="P153" s="1352"/>
      <c r="S153" s="35"/>
      <c r="T153" s="35"/>
      <c r="U153" s="35"/>
      <c r="V153" s="35"/>
      <c r="W153" s="35"/>
      <c r="X153" s="35"/>
      <c r="Y153" s="35"/>
    </row>
    <row r="154" spans="1:25" ht="15.75">
      <c r="B154" s="1342"/>
      <c r="C154" s="265" t="s">
        <v>511</v>
      </c>
      <c r="D154" s="265" t="str">
        <f>INDEX(Vectors[Description], MATCH(V.c!$C$153:$C$154, Vectors[Code], 0))</f>
        <v>India Sea area</v>
      </c>
      <c r="E154" s="1337" t="str">
        <f>Preferences.AreaUnits</f>
        <v>ha</v>
      </c>
      <c r="F154" s="1336">
        <f>F28</f>
        <v>0</v>
      </c>
      <c r="G154" s="1336">
        <f t="shared" ref="G154:O154" si="16">G28</f>
        <v>0</v>
      </c>
      <c r="H154" s="1336">
        <f t="shared" si="16"/>
        <v>0</v>
      </c>
      <c r="I154" s="1336">
        <f t="shared" si="16"/>
        <v>0</v>
      </c>
      <c r="J154" s="1336">
        <f t="shared" si="16"/>
        <v>400</v>
      </c>
      <c r="K154" s="1336">
        <f t="shared" si="16"/>
        <v>800</v>
      </c>
      <c r="L154" s="1336">
        <f t="shared" si="16"/>
        <v>1600</v>
      </c>
      <c r="M154" s="1336">
        <f t="shared" si="16"/>
        <v>2400</v>
      </c>
      <c r="N154" s="1336">
        <f t="shared" si="16"/>
        <v>3200</v>
      </c>
      <c r="O154" s="1336">
        <f t="shared" si="16"/>
        <v>4000</v>
      </c>
      <c r="P154" s="1344"/>
    </row>
    <row r="155" spans="1:25">
      <c r="B155" s="271"/>
      <c r="C155" s="1343"/>
      <c r="D155" s="1343"/>
      <c r="E155" s="1343"/>
      <c r="F155" s="1343"/>
      <c r="G155" s="1343"/>
      <c r="H155" s="1343"/>
      <c r="I155" s="1343"/>
      <c r="J155" s="1343"/>
      <c r="K155" s="1343"/>
      <c r="L155" s="1343"/>
      <c r="M155" s="1343"/>
      <c r="N155" s="1343"/>
      <c r="O155" s="1343"/>
      <c r="P155" s="271"/>
    </row>
    <row r="295" spans="19:19">
      <c r="S295" s="780"/>
    </row>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sheetPr>
    <tabColor theme="9"/>
    <outlinePr summaryBelow="0"/>
    <pageSetUpPr autoPageBreaks="0"/>
  </sheetPr>
  <dimension ref="A1:R132"/>
  <sheetViews>
    <sheetView showGridLines="0" topLeftCell="B1" zoomScale="85" zoomScaleNormal="85" zoomScalePageLayoutView="85" workbookViewId="0">
      <selection activeCell="F18" sqref="F18"/>
    </sheetView>
  </sheetViews>
  <sheetFormatPr defaultColWidth="8.85546875" defaultRowHeight="12.75"/>
  <cols>
    <col min="1" max="1" width="7.7109375" style="2555" customWidth="1"/>
    <col min="2" max="2" width="12.42578125" style="2555" customWidth="1"/>
    <col min="3" max="3" width="20.42578125" style="2555" customWidth="1"/>
    <col min="4" max="4" width="30.7109375" style="2555" customWidth="1"/>
    <col min="5" max="5" width="20.7109375" style="2555" customWidth="1"/>
    <col min="6" max="15" width="17.7109375" style="2555" customWidth="1"/>
    <col min="16" max="16" width="10.42578125" style="2555" customWidth="1"/>
    <col min="17" max="17" width="10.85546875" style="2555" customWidth="1"/>
    <col min="18" max="18" width="44.7109375" style="2555" customWidth="1"/>
    <col min="19" max="16384" width="8.85546875" style="2555"/>
  </cols>
  <sheetData>
    <row r="1" spans="1:16" ht="21">
      <c r="A1" s="77" t="s">
        <v>190</v>
      </c>
      <c r="B1" s="77" t="str">
        <f>INDEX(Workstreams[Workstream], MATCH($A1, Workstreams[Code], 0))</f>
        <v>Bioenergy</v>
      </c>
      <c r="C1" s="77"/>
    </row>
    <row r="2" spans="1:16" s="51" customFormat="1" ht="19.5" customHeight="1">
      <c r="A2" s="6" t="s">
        <v>2059</v>
      </c>
      <c r="B2" s="6" t="str">
        <f>INDEX(Modules[Module], MATCH($A2, Modules[Code], 0))</f>
        <v>Bio-feedstock prodctn &amp; bio-conversion</v>
      </c>
      <c r="C2" s="6"/>
      <c r="E2" s="404"/>
    </row>
    <row r="3" spans="1:16" ht="3.75" customHeight="1"/>
    <row r="4" spans="1:16" ht="22.5" collapsed="1">
      <c r="A4" s="420"/>
      <c r="B4" s="206" t="s">
        <v>416</v>
      </c>
      <c r="C4" s="174"/>
      <c r="D4" s="175"/>
      <c r="E4" s="176"/>
      <c r="F4" s="175"/>
      <c r="G4" s="175"/>
      <c r="H4" s="175"/>
      <c r="I4" s="175"/>
      <c r="J4" s="175"/>
      <c r="K4" s="175"/>
      <c r="L4" s="175"/>
      <c r="M4" s="175"/>
      <c r="N4" s="175"/>
      <c r="O4" s="175"/>
      <c r="P4" s="177"/>
    </row>
    <row r="5" spans="1:16">
      <c r="B5" s="164"/>
      <c r="C5" s="165"/>
      <c r="D5" s="166"/>
      <c r="E5" s="167"/>
      <c r="F5" s="166"/>
      <c r="G5" s="166"/>
      <c r="H5" s="166"/>
      <c r="I5" s="166"/>
      <c r="J5" s="166"/>
      <c r="K5" s="166"/>
      <c r="L5" s="166"/>
      <c r="M5" s="166"/>
      <c r="N5" s="166"/>
      <c r="O5" s="166"/>
      <c r="P5" s="168"/>
    </row>
    <row r="6" spans="1:16" ht="15.75">
      <c r="B6" s="169"/>
      <c r="C6" s="166"/>
      <c r="D6" s="118" t="s">
        <v>274</v>
      </c>
      <c r="E6" s="118" t="s">
        <v>411</v>
      </c>
      <c r="F6" s="166"/>
      <c r="G6" s="166"/>
      <c r="H6" s="166"/>
      <c r="I6" s="166"/>
      <c r="J6" s="166"/>
      <c r="K6" s="166"/>
      <c r="L6" s="166"/>
      <c r="M6" s="166"/>
      <c r="N6" s="166"/>
      <c r="O6" s="166"/>
      <c r="P6" s="168"/>
    </row>
    <row r="7" spans="1:16" ht="15.75">
      <c r="B7" s="169"/>
      <c r="C7" s="166"/>
      <c r="D7" s="128" t="s">
        <v>2063</v>
      </c>
      <c r="E7" s="266">
        <f>V.a.scnenario</f>
        <v>1</v>
      </c>
      <c r="F7" s="166"/>
      <c r="G7" s="166"/>
      <c r="H7" s="166"/>
      <c r="I7" s="166"/>
      <c r="J7" s="166"/>
      <c r="K7" s="166"/>
      <c r="L7" s="166"/>
      <c r="M7" s="166"/>
      <c r="N7" s="166"/>
      <c r="O7" s="166"/>
      <c r="P7" s="168"/>
    </row>
    <row r="8" spans="1:16" ht="15.75">
      <c r="B8" s="169"/>
      <c r="C8" s="166"/>
      <c r="D8" s="127" t="s">
        <v>1517</v>
      </c>
      <c r="E8" s="127">
        <f>V.a.fuelsplit</f>
        <v>1</v>
      </c>
      <c r="F8" s="166"/>
      <c r="G8" s="166"/>
      <c r="H8" s="166"/>
      <c r="I8" s="166"/>
      <c r="J8" s="166"/>
      <c r="K8" s="166"/>
      <c r="L8" s="166"/>
      <c r="M8" s="166"/>
      <c r="N8" s="166"/>
      <c r="O8" s="166"/>
      <c r="P8" s="168"/>
    </row>
    <row r="9" spans="1:16" ht="15.75">
      <c r="B9" s="169"/>
      <c r="C9" s="166"/>
      <c r="D9" s="60"/>
      <c r="E9" s="60"/>
      <c r="F9" s="166"/>
      <c r="G9" s="166"/>
      <c r="H9" s="166"/>
      <c r="I9" s="166"/>
      <c r="J9" s="166"/>
      <c r="K9" s="166"/>
      <c r="L9" s="166"/>
      <c r="M9" s="166"/>
      <c r="N9" s="166"/>
      <c r="O9" s="166"/>
      <c r="P9" s="168"/>
    </row>
    <row r="10" spans="1:16" ht="15.75">
      <c r="B10" s="169"/>
      <c r="C10" s="166"/>
      <c r="D10" s="60"/>
      <c r="E10" s="60"/>
      <c r="F10" s="166"/>
      <c r="G10" s="166"/>
      <c r="H10" s="166"/>
      <c r="I10" s="166"/>
      <c r="J10" s="166"/>
      <c r="K10" s="166"/>
      <c r="L10" s="166"/>
      <c r="M10" s="166"/>
      <c r="N10" s="166"/>
      <c r="O10" s="166"/>
      <c r="P10" s="168"/>
    </row>
    <row r="11" spans="1:16" ht="21" customHeight="1">
      <c r="B11" s="206" t="s">
        <v>1272</v>
      </c>
      <c r="C11" s="174"/>
      <c r="D11" s="175"/>
      <c r="E11" s="176"/>
      <c r="F11" s="175"/>
      <c r="G11" s="175"/>
      <c r="H11" s="175"/>
      <c r="I11" s="175"/>
      <c r="J11" s="175"/>
      <c r="K11" s="175"/>
      <c r="L11" s="175"/>
      <c r="M11" s="175"/>
      <c r="N11" s="175"/>
      <c r="O11" s="175"/>
      <c r="P11" s="177"/>
    </row>
    <row r="12" spans="1:16" ht="15.75">
      <c r="B12" s="195"/>
      <c r="C12" s="187"/>
      <c r="D12" s="189"/>
      <c r="E12" s="189"/>
      <c r="F12" s="187"/>
      <c r="G12" s="187"/>
      <c r="H12" s="187"/>
      <c r="I12" s="187"/>
      <c r="J12" s="187"/>
      <c r="K12" s="187"/>
      <c r="L12" s="187"/>
      <c r="M12" s="187"/>
      <c r="N12" s="187"/>
      <c r="O12" s="187"/>
      <c r="P12" s="194"/>
    </row>
    <row r="13" spans="1:16" ht="15.75">
      <c r="B13" s="195"/>
      <c r="C13" s="186" t="s">
        <v>1273</v>
      </c>
      <c r="D13" s="187"/>
      <c r="E13" s="188"/>
      <c r="F13" s="187"/>
      <c r="G13" s="187"/>
      <c r="H13" s="187"/>
      <c r="I13" s="187"/>
      <c r="J13" s="187"/>
      <c r="K13" s="187"/>
      <c r="L13" s="187"/>
      <c r="M13" s="187"/>
      <c r="N13" s="187"/>
      <c r="O13" s="188" t="s">
        <v>1253</v>
      </c>
      <c r="P13" s="194"/>
    </row>
    <row r="14" spans="1:16" ht="15.75">
      <c r="B14" s="195"/>
      <c r="C14" s="187"/>
      <c r="D14" s="187"/>
      <c r="E14" s="187"/>
      <c r="F14" s="187"/>
      <c r="G14" s="187"/>
      <c r="H14" s="187"/>
      <c r="I14" s="187"/>
      <c r="J14" s="187"/>
      <c r="K14" s="187"/>
      <c r="L14" s="187"/>
      <c r="M14" s="187"/>
      <c r="N14" s="187"/>
      <c r="O14" s="187"/>
      <c r="P14" s="194"/>
    </row>
    <row r="15" spans="1:16" ht="15.75">
      <c r="B15" s="195"/>
      <c r="C15" s="1706" t="s">
        <v>411</v>
      </c>
      <c r="D15" s="1706" t="s">
        <v>66</v>
      </c>
      <c r="E15" s="1706" t="s">
        <v>156</v>
      </c>
      <c r="F15" s="1721">
        <v>2007</v>
      </c>
      <c r="G15" s="1722">
        <f>F15+5</f>
        <v>2012</v>
      </c>
      <c r="H15" s="1722">
        <f t="shared" ref="H15:O15" si="0">G15+5</f>
        <v>2017</v>
      </c>
      <c r="I15" s="1722">
        <f t="shared" si="0"/>
        <v>2022</v>
      </c>
      <c r="J15" s="1722">
        <f t="shared" si="0"/>
        <v>2027</v>
      </c>
      <c r="K15" s="1722">
        <f t="shared" si="0"/>
        <v>2032</v>
      </c>
      <c r="L15" s="1722">
        <f t="shared" si="0"/>
        <v>2037</v>
      </c>
      <c r="M15" s="1722">
        <f t="shared" si="0"/>
        <v>2042</v>
      </c>
      <c r="N15" s="1722">
        <f t="shared" si="0"/>
        <v>2047</v>
      </c>
      <c r="O15" s="1722">
        <f t="shared" si="0"/>
        <v>2052</v>
      </c>
      <c r="P15" s="194"/>
    </row>
    <row r="16" spans="1:16" ht="15.75">
      <c r="B16" s="195"/>
      <c r="C16" s="196">
        <v>1</v>
      </c>
      <c r="D16" s="189"/>
      <c r="E16" s="1723"/>
      <c r="F16" s="1724">
        <v>281</v>
      </c>
      <c r="G16" s="1725">
        <v>287.10000000000002</v>
      </c>
      <c r="H16" s="1725">
        <v>287.10000000000002</v>
      </c>
      <c r="I16" s="1725">
        <v>287.10000000000002</v>
      </c>
      <c r="J16" s="1725">
        <v>287.10000000000002</v>
      </c>
      <c r="K16" s="1725">
        <v>287.10000000000002</v>
      </c>
      <c r="L16" s="1725">
        <v>287.10000000000002</v>
      </c>
      <c r="M16" s="1725">
        <v>287.10000000000002</v>
      </c>
      <c r="N16" s="1725">
        <v>287.10000000000002</v>
      </c>
      <c r="O16" s="1725">
        <v>287.10000000000002</v>
      </c>
      <c r="P16" s="194"/>
    </row>
    <row r="17" spans="2:16" ht="15.75">
      <c r="B17" s="195"/>
      <c r="C17" s="196">
        <v>2</v>
      </c>
      <c r="D17" s="189"/>
      <c r="E17" s="1723"/>
      <c r="F17" s="1724">
        <v>281</v>
      </c>
      <c r="G17" s="1726">
        <v>287.10000000000002</v>
      </c>
      <c r="H17" s="1726">
        <v>290.70673866547725</v>
      </c>
      <c r="I17" s="1726">
        <v>294.35878754969724</v>
      </c>
      <c r="J17" s="1726">
        <v>298.05671586937149</v>
      </c>
      <c r="K17" s="1726">
        <v>301.8010999920856</v>
      </c>
      <c r="L17" s="1726">
        <v>305.59252352613299</v>
      </c>
      <c r="M17" s="1726">
        <v>309.43157741147769</v>
      </c>
      <c r="N17" s="1726">
        <v>313.31886001185939</v>
      </c>
      <c r="O17" s="1726">
        <v>317.25497720805589</v>
      </c>
      <c r="P17" s="194"/>
    </row>
    <row r="18" spans="2:16" ht="15.75">
      <c r="B18" s="195"/>
      <c r="C18" s="196">
        <v>3</v>
      </c>
      <c r="D18" s="189"/>
      <c r="E18" s="1723"/>
      <c r="F18" s="1724">
        <v>281</v>
      </c>
      <c r="G18" s="1727">
        <v>287.10000000000002</v>
      </c>
      <c r="H18" s="1726">
        <v>294.34963477308446</v>
      </c>
      <c r="I18" s="1726">
        <v>301.78233190891052</v>
      </c>
      <c r="J18" s="1726">
        <v>309.40271396153798</v>
      </c>
      <c r="K18" s="1726">
        <v>317.21552021030936</v>
      </c>
      <c r="L18" s="1726">
        <v>325.22560960730948</v>
      </c>
      <c r="M18" s="1726">
        <v>333.43796379925215</v>
      </c>
      <c r="N18" s="1726">
        <v>341.85769022567337</v>
      </c>
      <c r="O18" s="1726">
        <v>350.49002529535773</v>
      </c>
      <c r="P18" s="194"/>
    </row>
    <row r="19" spans="2:16" ht="15.75">
      <c r="B19" s="195"/>
      <c r="C19" s="1728">
        <v>4</v>
      </c>
      <c r="D19" s="1729"/>
      <c r="E19" s="1729"/>
      <c r="F19" s="1724">
        <v>281</v>
      </c>
      <c r="G19" s="1727">
        <v>287.10000000000002</v>
      </c>
      <c r="H19" s="1726">
        <f>G19*(1+0.01)^5</f>
        <v>301.74498538371</v>
      </c>
      <c r="I19" s="1726">
        <f t="shared" ref="I19:O19" si="1">H19*(1+0.01)^5</f>
        <v>317.1370122055568</v>
      </c>
      <c r="J19" s="1726">
        <f t="shared" si="1"/>
        <v>333.31418708672652</v>
      </c>
      <c r="K19" s="1726">
        <f t="shared" si="1"/>
        <v>350.31656046906119</v>
      </c>
      <c r="L19" s="1726">
        <f t="shared" si="1"/>
        <v>368.18622576944767</v>
      </c>
      <c r="M19" s="1726">
        <f t="shared" si="1"/>
        <v>386.96742359207707</v>
      </c>
      <c r="N19" s="1726">
        <f t="shared" si="1"/>
        <v>406.70665125657683</v>
      </c>
      <c r="O19" s="1726">
        <f t="shared" si="1"/>
        <v>427.45277791317801</v>
      </c>
      <c r="P19" s="194"/>
    </row>
    <row r="20" spans="2:16" ht="15.75">
      <c r="B20" s="195"/>
      <c r="C20" s="1730" t="s">
        <v>406</v>
      </c>
      <c r="D20" s="1731"/>
      <c r="E20" s="1731"/>
      <c r="F20" s="1732">
        <f>(INDEX(F$16:F$19,ROUNDDOWN($E$7,0))*(1-MOD($E$7,1)))+(INDEX(F$16:F$19,ROUNDUP($E$7,0))*MOD($E$7,1))</f>
        <v>281</v>
      </c>
      <c r="G20" s="1732">
        <f t="shared" ref="G20:O20" si="2">(INDEX(G$16:G$19,ROUNDDOWN($E$7,0))*(1-MOD($E$7,1)))+(INDEX(G$16:G$19,ROUNDUP($E$7,0))*MOD($E$7,1))</f>
        <v>287.10000000000002</v>
      </c>
      <c r="H20" s="1732">
        <f t="shared" si="2"/>
        <v>287.10000000000002</v>
      </c>
      <c r="I20" s="1732">
        <f t="shared" si="2"/>
        <v>287.10000000000002</v>
      </c>
      <c r="J20" s="1732">
        <f t="shared" si="2"/>
        <v>287.10000000000002</v>
      </c>
      <c r="K20" s="1732">
        <f t="shared" si="2"/>
        <v>287.10000000000002</v>
      </c>
      <c r="L20" s="1732">
        <f t="shared" si="2"/>
        <v>287.10000000000002</v>
      </c>
      <c r="M20" s="1732">
        <f t="shared" si="2"/>
        <v>287.10000000000002</v>
      </c>
      <c r="N20" s="1732">
        <f t="shared" si="2"/>
        <v>287.10000000000002</v>
      </c>
      <c r="O20" s="1732">
        <f t="shared" si="2"/>
        <v>287.10000000000002</v>
      </c>
      <c r="P20" s="194"/>
    </row>
    <row r="21" spans="2:16" ht="15.75">
      <c r="B21" s="195"/>
      <c r="C21" s="187"/>
      <c r="D21" s="189"/>
      <c r="E21" s="189"/>
      <c r="F21" s="187"/>
      <c r="G21" s="187"/>
      <c r="H21" s="187"/>
      <c r="I21" s="187"/>
      <c r="J21" s="187"/>
      <c r="K21" s="187"/>
      <c r="L21" s="187"/>
      <c r="M21" s="187"/>
      <c r="N21" s="187"/>
      <c r="O21" s="187"/>
      <c r="P21" s="194"/>
    </row>
    <row r="22" spans="2:16" ht="15.75">
      <c r="B22" s="195"/>
      <c r="C22" s="186" t="s">
        <v>1478</v>
      </c>
      <c r="D22" s="187"/>
      <c r="E22" s="188"/>
      <c r="F22" s="187"/>
      <c r="G22" s="187"/>
      <c r="H22" s="187"/>
      <c r="I22" s="187"/>
      <c r="J22" s="187"/>
      <c r="K22" s="187"/>
      <c r="L22" s="187"/>
      <c r="M22" s="187"/>
      <c r="N22" s="187"/>
      <c r="O22" s="188" t="s">
        <v>1253</v>
      </c>
      <c r="P22" s="194"/>
    </row>
    <row r="23" spans="2:16" ht="15.75">
      <c r="B23" s="195"/>
      <c r="C23" s="187"/>
      <c r="D23" s="187"/>
      <c r="E23" s="187"/>
      <c r="F23" s="187"/>
      <c r="G23" s="187"/>
      <c r="H23" s="187"/>
      <c r="I23" s="187"/>
      <c r="J23" s="187"/>
      <c r="K23" s="187"/>
      <c r="L23" s="187"/>
      <c r="M23" s="187"/>
      <c r="N23" s="187"/>
      <c r="O23" s="187"/>
      <c r="P23" s="194"/>
    </row>
    <row r="24" spans="2:16" ht="15.75">
      <c r="B24" s="195"/>
      <c r="C24" s="1706" t="s">
        <v>411</v>
      </c>
      <c r="D24" s="1706" t="s">
        <v>66</v>
      </c>
      <c r="E24" s="1706" t="s">
        <v>156</v>
      </c>
      <c r="F24" s="1721">
        <v>2007</v>
      </c>
      <c r="G24" s="1722">
        <f t="shared" ref="G24:O24" si="3">F24+5</f>
        <v>2012</v>
      </c>
      <c r="H24" s="1722">
        <f t="shared" si="3"/>
        <v>2017</v>
      </c>
      <c r="I24" s="1722">
        <f t="shared" si="3"/>
        <v>2022</v>
      </c>
      <c r="J24" s="1722">
        <f t="shared" si="3"/>
        <v>2027</v>
      </c>
      <c r="K24" s="1722">
        <f t="shared" si="3"/>
        <v>2032</v>
      </c>
      <c r="L24" s="1722">
        <f t="shared" si="3"/>
        <v>2037</v>
      </c>
      <c r="M24" s="1722">
        <f t="shared" si="3"/>
        <v>2042</v>
      </c>
      <c r="N24" s="1722">
        <f t="shared" si="3"/>
        <v>2047</v>
      </c>
      <c r="O24" s="1722">
        <f t="shared" si="3"/>
        <v>2052</v>
      </c>
      <c r="P24" s="194"/>
    </row>
    <row r="25" spans="2:16" ht="15.75">
      <c r="B25" s="195"/>
      <c r="C25" s="196">
        <v>1</v>
      </c>
      <c r="D25" s="189"/>
      <c r="E25" s="1723"/>
      <c r="F25" s="1724">
        <f>137</f>
        <v>137</v>
      </c>
      <c r="G25" s="1724">
        <v>136.80000000000001</v>
      </c>
      <c r="H25" s="1733">
        <v>138.17348295494838</v>
      </c>
      <c r="I25" s="1734">
        <v>139.560755788753</v>
      </c>
      <c r="J25" s="1734">
        <v>140.96195695290186</v>
      </c>
      <c r="K25" s="1734">
        <v>142.37722628894701</v>
      </c>
      <c r="L25" s="1734">
        <v>143.80670504246089</v>
      </c>
      <c r="M25" s="1734">
        <v>144</v>
      </c>
      <c r="N25" s="1734">
        <v>144</v>
      </c>
      <c r="O25" s="1734">
        <v>144</v>
      </c>
      <c r="P25" s="194"/>
    </row>
    <row r="26" spans="2:16" ht="15.75">
      <c r="B26" s="195"/>
      <c r="C26" s="196">
        <v>2</v>
      </c>
      <c r="D26" s="189"/>
      <c r="E26" s="1723"/>
      <c r="F26" s="1724">
        <f>137</f>
        <v>137</v>
      </c>
      <c r="G26" s="1724">
        <v>136.80000000000001</v>
      </c>
      <c r="H26" s="1735">
        <v>140.2543714279274</v>
      </c>
      <c r="I26" s="1736">
        <v>143.79597006317994</v>
      </c>
      <c r="J26" s="1734">
        <v>147.42699850204946</v>
      </c>
      <c r="K26" s="1736">
        <v>151.14971495914429</v>
      </c>
      <c r="L26" s="1734">
        <v>154.96643467182145</v>
      </c>
      <c r="M26" s="1736">
        <v>157.5</v>
      </c>
      <c r="N26" s="1734">
        <v>157.5</v>
      </c>
      <c r="O26" s="1734">
        <v>157.5</v>
      </c>
      <c r="P26" s="194"/>
    </row>
    <row r="27" spans="2:16" ht="15.75">
      <c r="B27" s="195"/>
      <c r="C27" s="196">
        <v>3</v>
      </c>
      <c r="D27" s="189"/>
      <c r="E27" s="1723"/>
      <c r="F27" s="1724">
        <f>137</f>
        <v>137</v>
      </c>
      <c r="G27" s="1724">
        <v>136.80000000000001</v>
      </c>
      <c r="H27" s="1735">
        <v>141.65550286858314</v>
      </c>
      <c r="I27" s="1736">
        <v>146.68334424671903</v>
      </c>
      <c r="J27" s="1736">
        <v>151.88964102130464</v>
      </c>
      <c r="K27" s="1736">
        <v>157.28072718860733</v>
      </c>
      <c r="L27" s="1736">
        <v>162.86316156022372</v>
      </c>
      <c r="M27" s="1736">
        <v>168.64373574254961</v>
      </c>
      <c r="N27" s="1736">
        <v>171</v>
      </c>
      <c r="O27" s="1736">
        <v>171</v>
      </c>
      <c r="P27" s="194"/>
    </row>
    <row r="28" spans="2:16" ht="15.75">
      <c r="B28" s="195"/>
      <c r="C28" s="1728">
        <v>4</v>
      </c>
      <c r="D28" s="1729"/>
      <c r="E28" s="1729"/>
      <c r="F28" s="1724">
        <f>137</f>
        <v>137</v>
      </c>
      <c r="G28" s="1737">
        <v>136.80000000000001</v>
      </c>
      <c r="H28" s="1738">
        <v>141.65550286858314</v>
      </c>
      <c r="I28" s="1739">
        <v>146.68334424671903</v>
      </c>
      <c r="J28" s="1739">
        <v>154.16566898557971</v>
      </c>
      <c r="K28" s="1739">
        <v>162.02966748423415</v>
      </c>
      <c r="L28" s="1739">
        <v>170.29480894029126</v>
      </c>
      <c r="M28" s="1739">
        <v>178.98155567610544</v>
      </c>
      <c r="N28" s="1739">
        <v>180</v>
      </c>
      <c r="O28" s="1739">
        <v>180</v>
      </c>
      <c r="P28" s="194"/>
    </row>
    <row r="29" spans="2:16" ht="15.75">
      <c r="B29" s="1637"/>
      <c r="C29" s="1730" t="s">
        <v>406</v>
      </c>
      <c r="D29" s="1731"/>
      <c r="E29" s="1731"/>
      <c r="F29" s="1732">
        <f>(INDEX(F$25:F$28,ROUNDDOWN($E$7,0))*(1-MOD($E$7,1)))+(INDEX(F$25:F$28,ROUNDUP($E$7,0))*MOD($E$7,1))</f>
        <v>137</v>
      </c>
      <c r="G29" s="1732">
        <f t="shared" ref="G29:O29" si="4">(INDEX(G$25:G$28,ROUNDDOWN($E$7,0))*(1-MOD($E$7,1)))+(INDEX(G$25:G$28,ROUNDUP($E$7,0))*MOD($E$7,1))</f>
        <v>136.80000000000001</v>
      </c>
      <c r="H29" s="1732">
        <f t="shared" si="4"/>
        <v>138.17348295494838</v>
      </c>
      <c r="I29" s="1732">
        <f t="shared" si="4"/>
        <v>139.560755788753</v>
      </c>
      <c r="J29" s="1732">
        <f t="shared" si="4"/>
        <v>140.96195695290186</v>
      </c>
      <c r="K29" s="1732">
        <f t="shared" si="4"/>
        <v>142.37722628894701</v>
      </c>
      <c r="L29" s="1732">
        <f t="shared" si="4"/>
        <v>143.80670504246089</v>
      </c>
      <c r="M29" s="1732">
        <f t="shared" si="4"/>
        <v>144</v>
      </c>
      <c r="N29" s="1732">
        <f t="shared" si="4"/>
        <v>144</v>
      </c>
      <c r="O29" s="1732">
        <f t="shared" si="4"/>
        <v>144</v>
      </c>
      <c r="P29" s="1408"/>
    </row>
    <row r="30" spans="2:16" ht="15.75">
      <c r="B30" s="1626"/>
      <c r="C30" s="1740"/>
      <c r="D30" s="189"/>
      <c r="E30" s="189"/>
      <c r="F30" s="1741"/>
      <c r="G30" s="1741"/>
      <c r="H30" s="1741"/>
      <c r="I30" s="1741"/>
      <c r="J30" s="1741"/>
      <c r="K30" s="1741"/>
      <c r="L30" s="1741"/>
      <c r="M30" s="1741"/>
      <c r="N30" s="1741"/>
      <c r="O30" s="1741"/>
      <c r="P30" s="187"/>
    </row>
    <row r="31" spans="2:16" ht="15.75">
      <c r="B31" s="1626"/>
      <c r="C31" s="1740"/>
      <c r="D31" s="189"/>
      <c r="E31" s="189"/>
      <c r="F31" s="1741"/>
      <c r="G31" s="1741"/>
      <c r="H31" s="1741"/>
      <c r="I31" s="1741"/>
      <c r="J31" s="1741"/>
      <c r="K31" s="1741"/>
      <c r="L31" s="1741"/>
      <c r="M31" s="1741"/>
      <c r="N31" s="1741"/>
      <c r="O31" s="1741"/>
      <c r="P31" s="187"/>
    </row>
    <row r="32" spans="2:16" ht="15.75">
      <c r="B32" s="1626"/>
      <c r="C32" s="1742" t="s">
        <v>1276</v>
      </c>
      <c r="D32" s="189"/>
      <c r="E32" s="189"/>
      <c r="F32" s="1741"/>
      <c r="G32" s="1741"/>
      <c r="H32" s="1741"/>
      <c r="I32" s="1741"/>
      <c r="J32" s="1741"/>
      <c r="K32" s="1741"/>
      <c r="L32" s="1741"/>
      <c r="M32" s="1741"/>
      <c r="N32" s="1741"/>
      <c r="O32" s="1741"/>
      <c r="P32" s="187"/>
    </row>
    <row r="33" spans="2:16" ht="15.75">
      <c r="B33" s="1626"/>
      <c r="C33" s="1740"/>
      <c r="D33" s="189"/>
      <c r="E33" s="189"/>
      <c r="F33" s="1741"/>
      <c r="G33" s="1741"/>
      <c r="H33" s="1741"/>
      <c r="I33" s="1741"/>
      <c r="J33" s="1741"/>
      <c r="K33" s="1741"/>
      <c r="L33" s="1741"/>
      <c r="M33" s="1741"/>
      <c r="N33" s="1741"/>
      <c r="O33" s="1741"/>
      <c r="P33" s="187"/>
    </row>
    <row r="34" spans="2:16" ht="15.75">
      <c r="B34" s="1626"/>
      <c r="C34" s="1743" t="s">
        <v>411</v>
      </c>
      <c r="D34" s="1770" t="s">
        <v>1484</v>
      </c>
      <c r="E34" s="1770" t="s">
        <v>1274</v>
      </c>
      <c r="F34" s="1744" t="s">
        <v>1275</v>
      </c>
      <c r="G34" s="1745" t="s">
        <v>1345</v>
      </c>
      <c r="H34" s="1741"/>
      <c r="I34" s="1741"/>
      <c r="J34" s="1741"/>
      <c r="K34" s="1741"/>
      <c r="L34" s="1741"/>
      <c r="M34" s="1741"/>
      <c r="N34" s="1741"/>
      <c r="O34" s="1741"/>
      <c r="P34" s="187"/>
    </row>
    <row r="35" spans="2:16" ht="15.75">
      <c r="B35" s="1626"/>
      <c r="C35" s="1746">
        <v>1</v>
      </c>
      <c r="D35" s="1747">
        <v>0.52</v>
      </c>
      <c r="E35" s="1748">
        <v>0.1</v>
      </c>
      <c r="F35" s="1749">
        <v>0.05</v>
      </c>
      <c r="G35" s="1750">
        <f>100%-SUM(D35:F35)</f>
        <v>0.32999999999999996</v>
      </c>
      <c r="H35" s="1741"/>
      <c r="I35" s="1741"/>
      <c r="J35" s="1741"/>
      <c r="K35" s="1741"/>
      <c r="L35" s="1741"/>
      <c r="M35" s="1741"/>
      <c r="N35" s="1741"/>
      <c r="O35" s="1741"/>
      <c r="P35" s="187"/>
    </row>
    <row r="36" spans="2:16" ht="15.75">
      <c r="B36" s="1626"/>
      <c r="C36" s="1746">
        <v>2</v>
      </c>
      <c r="D36" s="1747">
        <v>0.39</v>
      </c>
      <c r="E36" s="1748">
        <v>0.18</v>
      </c>
      <c r="F36" s="1749">
        <v>0.1</v>
      </c>
      <c r="G36" s="1750">
        <f>100%-SUM(D36:F36)</f>
        <v>0.32999999999999996</v>
      </c>
      <c r="H36" s="1741"/>
      <c r="I36" s="1741"/>
      <c r="J36" s="1741"/>
      <c r="K36" s="1741"/>
      <c r="L36" s="1741"/>
      <c r="M36" s="1741"/>
      <c r="N36" s="1741"/>
      <c r="O36" s="1741"/>
      <c r="P36" s="187"/>
    </row>
    <row r="37" spans="2:16" ht="15.75">
      <c r="B37" s="1626"/>
      <c r="C37" s="1746">
        <v>3</v>
      </c>
      <c r="D37" s="1747">
        <v>0.15</v>
      </c>
      <c r="E37" s="1748">
        <v>0.3</v>
      </c>
      <c r="F37" s="1749">
        <v>0.22</v>
      </c>
      <c r="G37" s="1750">
        <f>100%-SUM(D37:F37)</f>
        <v>0.33000000000000007</v>
      </c>
      <c r="H37" s="1741"/>
      <c r="I37" s="1741"/>
      <c r="J37" s="1741"/>
      <c r="K37" s="1741"/>
      <c r="L37" s="1741"/>
      <c r="M37" s="1741"/>
      <c r="N37" s="1741"/>
      <c r="O37" s="1741"/>
      <c r="P37" s="187"/>
    </row>
    <row r="38" spans="2:16" ht="16.5" thickBot="1">
      <c r="B38" s="1626"/>
      <c r="C38" s="1746">
        <v>4</v>
      </c>
      <c r="D38" s="1747">
        <v>0.05</v>
      </c>
      <c r="E38" s="1748">
        <v>0.24</v>
      </c>
      <c r="F38" s="1749">
        <v>0.38</v>
      </c>
      <c r="G38" s="1750">
        <f>100%-SUM(D38:F38)</f>
        <v>0.33000000000000007</v>
      </c>
      <c r="H38" s="1741"/>
      <c r="I38" s="1741"/>
      <c r="J38" s="1741"/>
      <c r="K38" s="1741"/>
      <c r="L38" s="1741"/>
      <c r="M38" s="1741"/>
      <c r="N38" s="1741"/>
      <c r="O38" s="1741"/>
      <c r="P38" s="187"/>
    </row>
    <row r="39" spans="2:16" ht="16.5" thickBot="1">
      <c r="B39" s="1626"/>
      <c r="C39" s="1751" t="s">
        <v>875</v>
      </c>
      <c r="D39" s="1752">
        <f>(INDEX(D$35:D$38,ROUNDDOWN($E$8,0))*(1-MOD($E$8,1)))+(INDEX(D$35:D$38,ROUNDUP($E$8,0))*MOD($E$8,1))</f>
        <v>0.52</v>
      </c>
      <c r="E39" s="1752">
        <f>(INDEX(E$35:E$38,ROUNDDOWN($E$8,0))*(1-MOD($E$8,1)))+(INDEX(E$35:E$38,ROUNDUP($E$8,0))*MOD($E$8,1))</f>
        <v>0.1</v>
      </c>
      <c r="F39" s="1752">
        <f>(INDEX(F$35:F$38,ROUNDDOWN($E$8,0))*(1-MOD($E$8,1)))+(INDEX(F$35:F$38,ROUNDUP($E$8,0))*MOD($E$8,1))</f>
        <v>0.05</v>
      </c>
      <c r="G39" s="1753">
        <f>(INDEX(G$35:G$38,ROUNDDOWN($E$8,0))*(1-MOD($E$8,1)))+(INDEX(G$35:G$38,ROUNDUP($E$8,0))*MOD($E$8,1))</f>
        <v>0.32999999999999996</v>
      </c>
      <c r="H39" s="1741"/>
      <c r="I39" s="1741"/>
      <c r="J39" s="1741"/>
      <c r="K39" s="1741"/>
      <c r="L39" s="1741"/>
      <c r="M39" s="1741"/>
      <c r="N39" s="1741"/>
      <c r="O39" s="1741"/>
      <c r="P39" s="187"/>
    </row>
    <row r="40" spans="2:16" ht="15.75">
      <c r="B40" s="1626"/>
      <c r="C40" s="1740"/>
      <c r="D40" s="189"/>
      <c r="E40" s="189"/>
      <c r="F40" s="1741"/>
      <c r="G40" s="1741"/>
      <c r="H40" s="1741"/>
      <c r="I40" s="1741"/>
      <c r="J40" s="1741"/>
      <c r="K40" s="1741"/>
      <c r="L40" s="1741"/>
      <c r="M40" s="1741"/>
      <c r="N40" s="1741"/>
      <c r="O40" s="1741"/>
      <c r="P40" s="187"/>
    </row>
    <row r="41" spans="2:16" ht="15.75">
      <c r="B41" s="1626"/>
      <c r="C41" s="1740"/>
      <c r="D41" s="189"/>
      <c r="E41" s="189"/>
      <c r="F41" s="1741"/>
      <c r="G41" s="1741"/>
      <c r="H41" s="1741"/>
      <c r="I41" s="1741"/>
      <c r="J41" s="1741"/>
      <c r="K41" s="1741"/>
      <c r="L41" s="1741"/>
      <c r="M41" s="1741"/>
      <c r="N41" s="1741"/>
      <c r="O41" s="1741"/>
      <c r="P41" s="187"/>
    </row>
    <row r="42" spans="2:16" ht="15.75">
      <c r="B42" s="1626"/>
      <c r="C42" s="1742" t="s">
        <v>1515</v>
      </c>
      <c r="D42" s="189"/>
      <c r="E42" s="189"/>
      <c r="F42" s="1741"/>
      <c r="G42" s="1813"/>
      <c r="H42" s="1741"/>
      <c r="I42" s="1741"/>
      <c r="J42" s="1741"/>
      <c r="K42" s="1741"/>
      <c r="L42" s="1741"/>
      <c r="M42" s="1741"/>
      <c r="N42" s="1741"/>
      <c r="O42" s="1741" t="str">
        <f>preferences.energyunits</f>
        <v>TWh</v>
      </c>
      <c r="P42" s="187"/>
    </row>
    <row r="43" spans="2:16" ht="15.75">
      <c r="B43" s="1626"/>
      <c r="C43" s="1740"/>
      <c r="D43" s="189"/>
      <c r="E43" s="189"/>
      <c r="F43" s="1741"/>
      <c r="G43" s="1741"/>
      <c r="H43" s="1741"/>
      <c r="I43" s="1741"/>
      <c r="J43" s="1741"/>
      <c r="K43" s="1741"/>
      <c r="L43" s="1741"/>
      <c r="M43" s="1741"/>
      <c r="N43" s="1741"/>
      <c r="O43" s="1741"/>
      <c r="P43" s="187"/>
    </row>
    <row r="44" spans="2:16" ht="15.75">
      <c r="B44" s="1626"/>
      <c r="C44" s="1706" t="s">
        <v>411</v>
      </c>
      <c r="D44" s="1706" t="s">
        <v>66</v>
      </c>
      <c r="E44" s="1706" t="s">
        <v>156</v>
      </c>
      <c r="F44" s="1721">
        <v>2007</v>
      </c>
      <c r="G44" s="1722">
        <f t="shared" ref="G44:O44" si="5">F44+5</f>
        <v>2012</v>
      </c>
      <c r="H44" s="1722">
        <f t="shared" si="5"/>
        <v>2017</v>
      </c>
      <c r="I44" s="1722">
        <f t="shared" si="5"/>
        <v>2022</v>
      </c>
      <c r="J44" s="1722">
        <f t="shared" si="5"/>
        <v>2027</v>
      </c>
      <c r="K44" s="1722">
        <f t="shared" si="5"/>
        <v>2032</v>
      </c>
      <c r="L44" s="1722">
        <f t="shared" si="5"/>
        <v>2037</v>
      </c>
      <c r="M44" s="1722">
        <f t="shared" si="5"/>
        <v>2042</v>
      </c>
      <c r="N44" s="1722">
        <f t="shared" si="5"/>
        <v>2047</v>
      </c>
      <c r="O44" s="1722">
        <f t="shared" si="5"/>
        <v>2052</v>
      </c>
      <c r="P44" s="187"/>
    </row>
    <row r="45" spans="2:16" ht="15.75">
      <c r="B45" s="1626"/>
      <c r="C45" s="196">
        <v>1</v>
      </c>
      <c r="D45" s="189"/>
      <c r="E45" s="1723"/>
      <c r="F45" s="1813">
        <f>0.59*(unit.mtbe)</f>
        <v>9.1777777777777771</v>
      </c>
      <c r="G45" s="1813">
        <f>0.662514285714286*(unit.mtbe)</f>
        <v>10.305777777777783</v>
      </c>
      <c r="H45" s="1813">
        <f>0.729386785714286*(unit.mtbe)</f>
        <v>11.346016666666671</v>
      </c>
      <c r="I45" s="1813">
        <f>0.796259285714286*(unit.mtbe)</f>
        <v>12.386255555555559</v>
      </c>
      <c r="J45" s="1813">
        <f>0.863131785714286*(unit.mtbe)</f>
        <v>13.426494444444447</v>
      </c>
      <c r="K45" s="1813">
        <f>0.930004285714286*(unit.mtbe)</f>
        <v>14.466733333333337</v>
      </c>
      <c r="L45" s="1813">
        <f>0.953488059343098*(unit.mtbe)</f>
        <v>14.832036478670412</v>
      </c>
      <c r="M45" s="1813">
        <f>0.977564827684214*(unit.mtbe)</f>
        <v>15.206563986198885</v>
      </c>
      <c r="N45" s="1813">
        <f>1.00224956459722*(unit.mtbe)</f>
        <v>15.590548782623422</v>
      </c>
      <c r="O45" s="1813">
        <f>1.02755762205042*(unit.mtbe)</f>
        <v>15.984229676339865</v>
      </c>
      <c r="P45" s="187"/>
    </row>
    <row r="46" spans="2:16" ht="15.75">
      <c r="B46" s="1626"/>
      <c r="C46" s="196">
        <v>2</v>
      </c>
      <c r="D46" s="189"/>
      <c r="E46" s="1723"/>
      <c r="F46" s="1813">
        <f>0.59*(unit.mtbe)</f>
        <v>9.1777777777777771</v>
      </c>
      <c r="G46" s="1813">
        <f>0.662514285714286*(unit.mtbe)</f>
        <v>10.305777777777783</v>
      </c>
      <c r="H46" s="1813">
        <f>1.19438892857143*(unit.mtbe)</f>
        <v>18.579383333333354</v>
      </c>
      <c r="I46" s="1813">
        <f>1.72626357142857*(unit.mtbe)</f>
        <v>26.852988888888866</v>
      </c>
      <c r="J46" s="1813">
        <f>2.25813821428571*(unit.mtbe)</f>
        <v>35.126594444444372</v>
      </c>
      <c r="K46" s="1813">
        <f>2.79001285714286*(unit.mtbe)</f>
        <v>43.400200000000048</v>
      </c>
      <c r="L46" s="1813">
        <f>2.93233155276536*(unit.mtbe)</f>
        <v>45.614046376350046</v>
      </c>
      <c r="M46" s="1813">
        <f>3.08190993218173*(unit.mtbe)</f>
        <v>47.940821167271352</v>
      </c>
      <c r="N46" s="1813">
        <f>3.23911831222601*(unit.mtbe)</f>
        <v>50.386284856849045</v>
      </c>
      <c r="O46" s="1813">
        <f>3.40434589961248*(unit.mtbe)</f>
        <v>52.956491771749683</v>
      </c>
      <c r="P46" s="187"/>
    </row>
    <row r="47" spans="2:16" ht="15.75">
      <c r="B47" s="1626"/>
      <c r="C47" s="196">
        <v>3</v>
      </c>
      <c r="D47" s="189"/>
      <c r="E47" s="1723"/>
      <c r="F47" s="1813">
        <f>0.59*(unit.mtbe)</f>
        <v>9.1777777777777771</v>
      </c>
      <c r="G47" s="1813">
        <f>0.662514285714286*(unit.mtbe)</f>
        <v>10.305777777777783</v>
      </c>
      <c r="H47" s="1813">
        <f>1.65939107142857*(unit.mtbe)</f>
        <v>25.812749999999976</v>
      </c>
      <c r="I47" s="1813">
        <f>2.65626785714286*(unit.mtbe)</f>
        <v>41.319722222222268</v>
      </c>
      <c r="J47" s="1813">
        <f>3.65314464285714*(unit.mtbe)</f>
        <v>56.826694444444399</v>
      </c>
      <c r="K47" s="1813">
        <f>4.65002142857143*(unit.mtbe)</f>
        <v>72.333666666666687</v>
      </c>
      <c r="L47" s="1813">
        <f>5.05894221595592*(unit.mtbe)</f>
        <v>78.694656692647641</v>
      </c>
      <c r="M47" s="1813">
        <f>5.44991752582468*(unit.mtbe)</f>
        <v>84.776494846161683</v>
      </c>
      <c r="N47" s="1813">
        <f>5.87110897306004*(unit.mtbe)</f>
        <v>91.328361803156184</v>
      </c>
      <c r="O47" s="1813">
        <f>6.32485178173959*(unit.mtbe)</f>
        <v>98.386583271504733</v>
      </c>
      <c r="P47" s="187"/>
    </row>
    <row r="48" spans="2:16" ht="15.75">
      <c r="B48" s="1626"/>
      <c r="C48" s="1728">
        <v>4</v>
      </c>
      <c r="D48" s="1729"/>
      <c r="E48" s="1729"/>
      <c r="F48" s="1813">
        <f>0.59*(unit.mtbe)</f>
        <v>9.1777777777777771</v>
      </c>
      <c r="G48" s="1813">
        <f>0.662514285714286*(unit.mtbe)</f>
        <v>10.305777777777783</v>
      </c>
      <c r="H48" s="1813">
        <f>2.12439321428571*(unit.mtbe)</f>
        <v>33.046116666666599</v>
      </c>
      <c r="I48" s="1813">
        <f>3.58627214285714*(unit.mtbe)</f>
        <v>55.786455555555513</v>
      </c>
      <c r="J48" s="1813">
        <f>5.04815107142857*(unit.mtbe)</f>
        <v>78.52679444444442</v>
      </c>
      <c r="K48" s="1813">
        <f>6.51003*(unit.mtbe)</f>
        <v>101.26713333333333</v>
      </c>
      <c r="L48" s="1813">
        <f>7.01315118380739*(unit.mtbe)</f>
        <v>109.09346285922607</v>
      </c>
      <c r="M48" s="1813">
        <f>7.37089237705228*(unit.mtbe)</f>
        <v>114.65832586525768</v>
      </c>
      <c r="N48" s="1813">
        <f>7.74688196648743*(unit.mtbe)</f>
        <v>120.50705281202669</v>
      </c>
      <c r="O48" s="1813">
        <f>8.14205080371674*(unit.mtbe)</f>
        <v>126.65412361337151</v>
      </c>
      <c r="P48" s="187"/>
    </row>
    <row r="49" spans="1:18" ht="15.75">
      <c r="B49" s="1626"/>
      <c r="C49" s="1730" t="s">
        <v>406</v>
      </c>
      <c r="D49" s="1731"/>
      <c r="E49" s="1731"/>
      <c r="F49" s="1814">
        <f>(INDEX(F$45:F$48,ROUNDDOWN($E$7,0))*(1-MOD($E$7,1)))+(INDEX(F$45:F$48,ROUNDUP($E$7,0))*MOD($E$7,1))</f>
        <v>9.1777777777777771</v>
      </c>
      <c r="G49" s="1814">
        <f>(INDEX(G$45:G$48,ROUNDDOWN($E$7,0))*(1-MOD($E$7,1)))+(INDEX(G$45:G$48,ROUNDUP($E$7,0))*MOD($E$7,1))</f>
        <v>10.305777777777783</v>
      </c>
      <c r="H49" s="1814">
        <f t="shared" ref="H49:O49" si="6">(INDEX(H$45:H$48,ROUNDDOWN($E$7,0))*(1-MOD($E$7,1)))+(INDEX(H$45:H$48,ROUNDUP($E$7,0))*MOD($E$7,1))</f>
        <v>11.346016666666671</v>
      </c>
      <c r="I49" s="1814">
        <f t="shared" si="6"/>
        <v>12.386255555555559</v>
      </c>
      <c r="J49" s="1814">
        <f t="shared" si="6"/>
        <v>13.426494444444447</v>
      </c>
      <c r="K49" s="1814">
        <f t="shared" si="6"/>
        <v>14.466733333333337</v>
      </c>
      <c r="L49" s="1814">
        <f t="shared" si="6"/>
        <v>14.832036478670412</v>
      </c>
      <c r="M49" s="1814">
        <f t="shared" si="6"/>
        <v>15.206563986198885</v>
      </c>
      <c r="N49" s="1814">
        <f t="shared" si="6"/>
        <v>15.590548782623422</v>
      </c>
      <c r="O49" s="1814">
        <f t="shared" si="6"/>
        <v>15.984229676339865</v>
      </c>
      <c r="P49" s="187"/>
    </row>
    <row r="50" spans="1:18" ht="15.75">
      <c r="B50" s="1626"/>
      <c r="C50" s="1740"/>
      <c r="D50" s="189"/>
      <c r="E50" s="189"/>
      <c r="F50" s="1741"/>
      <c r="G50" s="1741"/>
      <c r="H50" s="1741"/>
      <c r="I50" s="1741"/>
      <c r="J50" s="1741"/>
      <c r="K50" s="1741"/>
      <c r="L50" s="1741"/>
      <c r="M50" s="1741"/>
      <c r="N50" s="1741"/>
      <c r="O50" s="1741"/>
      <c r="P50" s="187"/>
    </row>
    <row r="51" spans="1:18" ht="15.75">
      <c r="B51" s="1626"/>
      <c r="C51" s="1740"/>
      <c r="D51" s="189"/>
      <c r="E51" s="189"/>
      <c r="F51" s="1741"/>
      <c r="G51" s="1741"/>
      <c r="H51" s="1741"/>
      <c r="I51" s="1741"/>
      <c r="J51" s="1741"/>
      <c r="K51" s="1741"/>
      <c r="L51" s="1741"/>
      <c r="M51" s="1741"/>
      <c r="N51" s="1741"/>
      <c r="O51" s="1741"/>
      <c r="P51" s="187"/>
    </row>
    <row r="52" spans="1:18" ht="15.75">
      <c r="B52" s="1626"/>
      <c r="C52" s="1740"/>
      <c r="D52" s="189"/>
      <c r="E52" s="189"/>
      <c r="F52" s="1741"/>
      <c r="G52" s="1741"/>
      <c r="H52" s="1741"/>
      <c r="I52" s="1741"/>
      <c r="J52" s="1741"/>
      <c r="K52" s="1741"/>
      <c r="L52" s="1741"/>
      <c r="M52" s="1741"/>
      <c r="N52" s="1741"/>
      <c r="O52" s="1741"/>
      <c r="P52" s="187"/>
    </row>
    <row r="53" spans="1:18" s="51" customFormat="1" ht="15.75">
      <c r="A53" s="53"/>
      <c r="B53" s="1759"/>
      <c r="C53" s="189"/>
      <c r="D53" s="189"/>
      <c r="E53" s="189"/>
      <c r="F53" s="197"/>
      <c r="G53" s="197"/>
      <c r="H53" s="197"/>
      <c r="I53" s="197"/>
      <c r="J53" s="197"/>
      <c r="K53" s="197"/>
      <c r="L53" s="197"/>
      <c r="M53" s="197"/>
      <c r="N53" s="197"/>
      <c r="O53" s="197"/>
      <c r="P53" s="189"/>
    </row>
    <row r="54" spans="1:18" s="51" customFormat="1" ht="15.75">
      <c r="A54" s="53"/>
      <c r="B54" s="1759"/>
      <c r="C54" s="189"/>
      <c r="D54" s="189"/>
      <c r="E54" s="189"/>
      <c r="F54" s="197"/>
      <c r="G54" s="197"/>
      <c r="H54" s="197"/>
      <c r="I54" s="197"/>
      <c r="J54" s="197"/>
      <c r="K54" s="197"/>
      <c r="L54" s="197"/>
      <c r="M54" s="197"/>
      <c r="N54" s="197"/>
      <c r="O54" s="197"/>
      <c r="P54" s="189"/>
    </row>
    <row r="55" spans="1:18" s="51" customFormat="1" ht="15.75">
      <c r="A55" s="53"/>
      <c r="B55" s="1759"/>
      <c r="C55" s="189"/>
      <c r="D55" s="189"/>
      <c r="E55" s="189"/>
      <c r="F55" s="197"/>
      <c r="G55" s="197"/>
      <c r="H55" s="197"/>
      <c r="I55" s="197"/>
      <c r="J55" s="197"/>
      <c r="K55" s="197"/>
      <c r="L55" s="197"/>
      <c r="M55" s="197"/>
      <c r="N55" s="197"/>
      <c r="O55" s="197"/>
      <c r="P55" s="189"/>
    </row>
    <row r="56" spans="1:18" s="51" customFormat="1" ht="15.75">
      <c r="A56" s="53"/>
      <c r="B56" s="1759"/>
      <c r="C56" s="189"/>
      <c r="D56" s="189"/>
      <c r="E56" s="189"/>
      <c r="F56" s="197"/>
      <c r="G56" s="197"/>
      <c r="H56" s="197"/>
      <c r="I56" s="197"/>
      <c r="J56" s="197"/>
      <c r="K56" s="197"/>
      <c r="L56" s="197"/>
      <c r="M56" s="197"/>
      <c r="N56" s="197"/>
      <c r="O56" s="197"/>
      <c r="P56" s="189"/>
    </row>
    <row r="57" spans="1:18">
      <c r="B57" s="208"/>
    </row>
    <row r="58" spans="1:18" ht="22.5" collapsed="1">
      <c r="A58" s="420"/>
      <c r="B58" s="421" t="s">
        <v>270</v>
      </c>
      <c r="C58" s="159"/>
      <c r="D58" s="159"/>
      <c r="E58" s="159"/>
      <c r="F58" s="159"/>
      <c r="G58" s="159"/>
      <c r="H58" s="159"/>
      <c r="I58" s="159"/>
      <c r="J58" s="159"/>
      <c r="K58" s="159"/>
      <c r="L58" s="159"/>
      <c r="M58" s="159"/>
      <c r="N58" s="159"/>
      <c r="O58" s="159"/>
      <c r="P58" s="160"/>
      <c r="R58" s="859"/>
    </row>
    <row r="59" spans="1:18">
      <c r="B59" s="210"/>
      <c r="C59" s="198"/>
      <c r="D59" s="198"/>
      <c r="E59" s="198"/>
      <c r="F59" s="198"/>
      <c r="G59" s="198"/>
      <c r="H59" s="198"/>
      <c r="I59" s="198"/>
      <c r="J59" s="198"/>
      <c r="K59" s="198"/>
      <c r="L59" s="198"/>
      <c r="M59" s="198"/>
      <c r="N59" s="198"/>
      <c r="O59" s="198"/>
      <c r="P59" s="199"/>
    </row>
    <row r="60" spans="1:18">
      <c r="B60" s="214"/>
      <c r="C60" s="1742" t="s">
        <v>1482</v>
      </c>
      <c r="D60" s="189"/>
      <c r="E60" s="189"/>
      <c r="F60" s="1741"/>
      <c r="G60" s="1741"/>
      <c r="H60" s="1741"/>
      <c r="I60" s="1741"/>
      <c r="J60" s="1741"/>
      <c r="K60" s="1741"/>
      <c r="L60" s="1741"/>
      <c r="M60" s="1741"/>
      <c r="N60" s="1741"/>
      <c r="O60" s="1741" t="s">
        <v>277</v>
      </c>
      <c r="P60" s="419"/>
    </row>
    <row r="61" spans="1:18" ht="5.25" customHeight="1">
      <c r="B61" s="214"/>
      <c r="C61" s="1740"/>
      <c r="D61" s="189"/>
      <c r="E61" s="189"/>
      <c r="F61" s="1741"/>
      <c r="G61" s="1741"/>
      <c r="H61" s="1741"/>
      <c r="I61" s="1741"/>
      <c r="J61" s="1741"/>
      <c r="K61" s="1741"/>
      <c r="L61" s="1741"/>
      <c r="M61" s="1741"/>
      <c r="N61" s="1741"/>
      <c r="O61" s="1741"/>
      <c r="P61" s="419"/>
    </row>
    <row r="62" spans="1:18" ht="15.75">
      <c r="B62" s="212"/>
      <c r="C62" s="1706" t="s">
        <v>870</v>
      </c>
      <c r="D62" s="1706"/>
      <c r="E62" s="1706" t="s">
        <v>533</v>
      </c>
      <c r="F62" s="1721">
        <v>2007</v>
      </c>
      <c r="G62" s="1722">
        <f t="shared" ref="G62:O62" si="7">F62+5</f>
        <v>2012</v>
      </c>
      <c r="H62" s="1722">
        <f t="shared" si="7"/>
        <v>2017</v>
      </c>
      <c r="I62" s="1722">
        <f t="shared" si="7"/>
        <v>2022</v>
      </c>
      <c r="J62" s="1722">
        <f t="shared" si="7"/>
        <v>2027</v>
      </c>
      <c r="K62" s="1722">
        <f t="shared" si="7"/>
        <v>2032</v>
      </c>
      <c r="L62" s="1722">
        <f t="shared" si="7"/>
        <v>2037</v>
      </c>
      <c r="M62" s="1722">
        <f t="shared" si="7"/>
        <v>2042</v>
      </c>
      <c r="N62" s="1722">
        <f t="shared" si="7"/>
        <v>2047</v>
      </c>
      <c r="O62" s="1722">
        <f t="shared" si="7"/>
        <v>2052</v>
      </c>
      <c r="P62" s="419"/>
    </row>
    <row r="63" spans="1:18" ht="15.75">
      <c r="B63" s="212"/>
      <c r="C63" s="196" t="s">
        <v>1479</v>
      </c>
      <c r="D63" s="189"/>
      <c r="E63" s="1764">
        <f>(O63-G63)/40</f>
        <v>-2.4999999999999996E-3</v>
      </c>
      <c r="F63" s="1765">
        <f>G63</f>
        <v>0.62</v>
      </c>
      <c r="G63" s="1765">
        <v>0.62</v>
      </c>
      <c r="H63" s="1763">
        <f>G63+$E63*5</f>
        <v>0.60750000000000004</v>
      </c>
      <c r="I63" s="1763">
        <f t="shared" ref="I63:N63" si="8">H63+$E63*5</f>
        <v>0.59500000000000008</v>
      </c>
      <c r="J63" s="1763">
        <f t="shared" si="8"/>
        <v>0.58250000000000013</v>
      </c>
      <c r="K63" s="1763">
        <f t="shared" si="8"/>
        <v>0.57000000000000017</v>
      </c>
      <c r="L63" s="1763">
        <f t="shared" si="8"/>
        <v>0.55750000000000022</v>
      </c>
      <c r="M63" s="1763">
        <f t="shared" si="8"/>
        <v>0.54500000000000026</v>
      </c>
      <c r="N63" s="1763">
        <f t="shared" si="8"/>
        <v>0.53250000000000031</v>
      </c>
      <c r="O63" s="1755">
        <f>D39</f>
        <v>0.52</v>
      </c>
      <c r="P63" s="419"/>
    </row>
    <row r="64" spans="1:18" ht="15.75">
      <c r="B64" s="212"/>
      <c r="C64" s="196" t="s">
        <v>1480</v>
      </c>
      <c r="D64" s="189"/>
      <c r="E64" s="1764">
        <f>(O64-G64)/40</f>
        <v>1.3250000000000002E-3</v>
      </c>
      <c r="F64" s="1765">
        <f>G64</f>
        <v>4.7E-2</v>
      </c>
      <c r="G64" s="1765">
        <v>4.7E-2</v>
      </c>
      <c r="H64" s="1763">
        <f t="shared" ref="H64:N65" si="9">G64+$E64*5</f>
        <v>5.3624999999999999E-2</v>
      </c>
      <c r="I64" s="1763">
        <f t="shared" si="9"/>
        <v>6.0249999999999998E-2</v>
      </c>
      <c r="J64" s="1763">
        <f t="shared" si="9"/>
        <v>6.6875000000000004E-2</v>
      </c>
      <c r="K64" s="1763">
        <f t="shared" si="9"/>
        <v>7.350000000000001E-2</v>
      </c>
      <c r="L64" s="1763">
        <f t="shared" si="9"/>
        <v>8.0125000000000016E-2</v>
      </c>
      <c r="M64" s="1763">
        <f t="shared" si="9"/>
        <v>8.6750000000000022E-2</v>
      </c>
      <c r="N64" s="1763">
        <f t="shared" si="9"/>
        <v>9.3375000000000027E-2</v>
      </c>
      <c r="O64" s="1755">
        <f>E39</f>
        <v>0.1</v>
      </c>
      <c r="P64" s="419"/>
    </row>
    <row r="65" spans="2:16" ht="15.75">
      <c r="B65" s="212"/>
      <c r="C65" s="196" t="s">
        <v>1481</v>
      </c>
      <c r="D65" s="189"/>
      <c r="E65" s="1764">
        <f>(O65-G65)/40</f>
        <v>1.25E-3</v>
      </c>
      <c r="F65" s="1765">
        <f>G65</f>
        <v>0</v>
      </c>
      <c r="G65" s="1765">
        <v>0</v>
      </c>
      <c r="H65" s="1763">
        <f t="shared" si="9"/>
        <v>6.2500000000000003E-3</v>
      </c>
      <c r="I65" s="1763">
        <f t="shared" si="9"/>
        <v>1.2500000000000001E-2</v>
      </c>
      <c r="J65" s="1763">
        <f t="shared" si="9"/>
        <v>1.8750000000000003E-2</v>
      </c>
      <c r="K65" s="1763">
        <f t="shared" si="9"/>
        <v>2.5000000000000001E-2</v>
      </c>
      <c r="L65" s="1763">
        <f t="shared" si="9"/>
        <v>3.125E-2</v>
      </c>
      <c r="M65" s="1763">
        <f t="shared" si="9"/>
        <v>3.7499999999999999E-2</v>
      </c>
      <c r="N65" s="1763">
        <f t="shared" si="9"/>
        <v>4.3749999999999997E-2</v>
      </c>
      <c r="O65" s="1756">
        <f>F39</f>
        <v>0.05</v>
      </c>
      <c r="P65" s="419"/>
    </row>
    <row r="66" spans="2:16" ht="15.75">
      <c r="B66" s="212"/>
      <c r="C66" s="1760" t="s">
        <v>1345</v>
      </c>
      <c r="D66" s="1761"/>
      <c r="E66" s="1766">
        <f>(O66-G66)/40</f>
        <v>-7.5000000000000061E-5</v>
      </c>
      <c r="F66" s="1762">
        <f t="shared" ref="F66:N66" si="10">100%-SUM(F63:F65)</f>
        <v>0.33299999999999996</v>
      </c>
      <c r="G66" s="1762">
        <f t="shared" si="10"/>
        <v>0.33299999999999996</v>
      </c>
      <c r="H66" s="1762">
        <f t="shared" si="10"/>
        <v>0.33262499999999995</v>
      </c>
      <c r="I66" s="1762">
        <f t="shared" si="10"/>
        <v>0.33224999999999993</v>
      </c>
      <c r="J66" s="1762">
        <f t="shared" si="10"/>
        <v>0.33187499999999981</v>
      </c>
      <c r="K66" s="1762">
        <f t="shared" si="10"/>
        <v>0.33149999999999979</v>
      </c>
      <c r="L66" s="1762">
        <f t="shared" si="10"/>
        <v>0.33112499999999978</v>
      </c>
      <c r="M66" s="1762">
        <f t="shared" si="10"/>
        <v>0.33074999999999977</v>
      </c>
      <c r="N66" s="1762">
        <f t="shared" si="10"/>
        <v>0.33037499999999975</v>
      </c>
      <c r="O66" s="1762">
        <f>100%-SUM(O63:O65)</f>
        <v>0.32999999999999996</v>
      </c>
      <c r="P66" s="419"/>
    </row>
    <row r="67" spans="2:16" ht="15.75">
      <c r="B67" s="212"/>
      <c r="C67" s="126"/>
      <c r="D67" s="414"/>
      <c r="E67" s="414"/>
      <c r="F67" s="611"/>
      <c r="G67" s="611"/>
      <c r="H67" s="611"/>
      <c r="I67" s="611"/>
      <c r="J67" s="415"/>
      <c r="K67" s="415"/>
      <c r="L67" s="415"/>
      <c r="M67" s="415"/>
      <c r="N67" s="415"/>
      <c r="O67" s="415"/>
      <c r="P67" s="419"/>
    </row>
    <row r="68" spans="2:16" ht="15.75">
      <c r="B68" s="212"/>
      <c r="C68" s="1742" t="s">
        <v>1483</v>
      </c>
      <c r="D68" s="189"/>
      <c r="E68" s="189"/>
      <c r="F68" s="1741"/>
      <c r="G68" s="1741"/>
      <c r="H68" s="1741"/>
      <c r="I68" s="1741"/>
      <c r="J68" s="1741"/>
      <c r="K68" s="1741"/>
      <c r="L68" s="1741"/>
      <c r="M68" s="1741"/>
      <c r="N68" s="1741"/>
      <c r="O68" s="1741" t="s">
        <v>1421</v>
      </c>
      <c r="P68" s="419"/>
    </row>
    <row r="69" spans="2:16" ht="15.75">
      <c r="B69" s="212"/>
      <c r="C69" s="1740"/>
      <c r="D69" s="189"/>
      <c r="E69" s="189"/>
      <c r="F69" s="1741"/>
      <c r="G69" s="1741"/>
      <c r="H69" s="1741"/>
      <c r="I69" s="1741"/>
      <c r="J69" s="1741"/>
      <c r="K69" s="1741"/>
      <c r="L69" s="1741"/>
      <c r="M69" s="1741"/>
      <c r="N69" s="1741"/>
      <c r="O69" s="1741"/>
      <c r="P69" s="419"/>
    </row>
    <row r="70" spans="2:16" ht="15.75">
      <c r="B70" s="212"/>
      <c r="C70" s="2838" t="s">
        <v>870</v>
      </c>
      <c r="D70" s="2838" t="s">
        <v>1188</v>
      </c>
      <c r="E70" s="2838" t="s">
        <v>64</v>
      </c>
      <c r="F70" s="2839" t="s">
        <v>203</v>
      </c>
      <c r="G70" s="2840" t="s">
        <v>712</v>
      </c>
      <c r="H70" s="2840" t="s">
        <v>713</v>
      </c>
      <c r="I70" s="2840" t="s">
        <v>714</v>
      </c>
      <c r="J70" s="2840" t="s">
        <v>715</v>
      </c>
      <c r="K70" s="2840" t="s">
        <v>716</v>
      </c>
      <c r="L70" s="2840" t="s">
        <v>717</v>
      </c>
      <c r="M70" s="2840" t="s">
        <v>718</v>
      </c>
      <c r="N70" s="2840" t="s">
        <v>719</v>
      </c>
      <c r="O70" s="2841" t="s">
        <v>720</v>
      </c>
      <c r="P70" s="419"/>
    </row>
    <row r="71" spans="2:16" ht="15.75">
      <c r="B71" s="212"/>
      <c r="C71" s="2836" t="s">
        <v>1479</v>
      </c>
      <c r="D71" s="2828"/>
      <c r="E71" s="2829" t="s">
        <v>1496</v>
      </c>
      <c r="F71" s="2830">
        <f t="shared" ref="F71:O71" si="11">F$20*F63+F29</f>
        <v>311.22000000000003</v>
      </c>
      <c r="G71" s="2830">
        <f t="shared" si="11"/>
        <v>314.80200000000002</v>
      </c>
      <c r="H71" s="2830">
        <f t="shared" si="11"/>
        <v>312.58673295494839</v>
      </c>
      <c r="I71" s="2830">
        <f t="shared" si="11"/>
        <v>310.38525578875306</v>
      </c>
      <c r="J71" s="2830">
        <f t="shared" si="11"/>
        <v>308.19770695290191</v>
      </c>
      <c r="K71" s="2830">
        <f t="shared" si="11"/>
        <v>306.02422628894709</v>
      </c>
      <c r="L71" s="2830">
        <f t="shared" si="11"/>
        <v>303.86495504246096</v>
      </c>
      <c r="M71" s="2830">
        <f t="shared" si="11"/>
        <v>300.4695000000001</v>
      </c>
      <c r="N71" s="2830">
        <f t="shared" si="11"/>
        <v>296.88075000000009</v>
      </c>
      <c r="O71" s="2830">
        <f t="shared" si="11"/>
        <v>293.29200000000003</v>
      </c>
      <c r="P71" s="419"/>
    </row>
    <row r="72" spans="2:16" ht="15.75">
      <c r="B72" s="212"/>
      <c r="C72" s="2837" t="s">
        <v>1480</v>
      </c>
      <c r="D72" s="2832"/>
      <c r="E72" s="2833" t="s">
        <v>1497</v>
      </c>
      <c r="F72" s="2834">
        <f t="shared" ref="F72:O72" si="12">F$20*F64</f>
        <v>13.207000000000001</v>
      </c>
      <c r="G72" s="2834">
        <f t="shared" si="12"/>
        <v>13.4937</v>
      </c>
      <c r="H72" s="2834">
        <f t="shared" si="12"/>
        <v>15.395737500000001</v>
      </c>
      <c r="I72" s="2834">
        <f t="shared" si="12"/>
        <v>17.297775000000001</v>
      </c>
      <c r="J72" s="2834">
        <f t="shared" si="12"/>
        <v>19.199812500000004</v>
      </c>
      <c r="K72" s="2834">
        <f t="shared" si="12"/>
        <v>21.101850000000006</v>
      </c>
      <c r="L72" s="2834">
        <f t="shared" si="12"/>
        <v>23.003887500000005</v>
      </c>
      <c r="M72" s="2834">
        <f t="shared" si="12"/>
        <v>24.905925000000007</v>
      </c>
      <c r="N72" s="2834">
        <f t="shared" si="12"/>
        <v>26.807962500000009</v>
      </c>
      <c r="O72" s="2835">
        <f t="shared" si="12"/>
        <v>28.710000000000004</v>
      </c>
      <c r="P72" s="419"/>
    </row>
    <row r="73" spans="2:16" ht="15.75">
      <c r="B73" s="212"/>
      <c r="C73" s="2837" t="s">
        <v>1481</v>
      </c>
      <c r="D73" s="2832"/>
      <c r="E73" s="2833" t="s">
        <v>1498</v>
      </c>
      <c r="F73" s="2834">
        <f t="shared" ref="F73:O73" si="13">F$20*F65</f>
        <v>0</v>
      </c>
      <c r="G73" s="2834">
        <f t="shared" si="13"/>
        <v>0</v>
      </c>
      <c r="H73" s="2834">
        <f t="shared" si="13"/>
        <v>1.7943750000000003</v>
      </c>
      <c r="I73" s="2834">
        <f t="shared" si="13"/>
        <v>3.5887500000000006</v>
      </c>
      <c r="J73" s="2834">
        <f t="shared" si="13"/>
        <v>5.3831250000000015</v>
      </c>
      <c r="K73" s="2834">
        <f t="shared" si="13"/>
        <v>7.1775000000000011</v>
      </c>
      <c r="L73" s="2834">
        <f t="shared" si="13"/>
        <v>8.9718750000000007</v>
      </c>
      <c r="M73" s="2834">
        <f t="shared" si="13"/>
        <v>10.766250000000001</v>
      </c>
      <c r="N73" s="2834">
        <f t="shared" si="13"/>
        <v>12.560625</v>
      </c>
      <c r="O73" s="2835">
        <f t="shared" si="13"/>
        <v>14.355000000000002</v>
      </c>
      <c r="P73" s="419"/>
    </row>
    <row r="74" spans="2:16" ht="15.75">
      <c r="B74" s="212"/>
      <c r="C74" s="2837" t="s">
        <v>1345</v>
      </c>
      <c r="D74" s="2832"/>
      <c r="E74" s="2833" t="s">
        <v>1499</v>
      </c>
      <c r="F74" s="2834">
        <f t="shared" ref="F74:O74" si="14">F$20*F66</f>
        <v>93.572999999999993</v>
      </c>
      <c r="G74" s="2834">
        <f t="shared" si="14"/>
        <v>95.604299999999995</v>
      </c>
      <c r="H74" s="2834">
        <f t="shared" si="14"/>
        <v>95.496637499999991</v>
      </c>
      <c r="I74" s="2834">
        <f t="shared" si="14"/>
        <v>95.388974999999988</v>
      </c>
      <c r="J74" s="2834">
        <f t="shared" si="14"/>
        <v>95.281312499999956</v>
      </c>
      <c r="K74" s="2834">
        <f t="shared" si="14"/>
        <v>95.173649999999952</v>
      </c>
      <c r="L74" s="2834">
        <f t="shared" si="14"/>
        <v>95.065987499999949</v>
      </c>
      <c r="M74" s="2834">
        <f t="shared" si="14"/>
        <v>94.958324999999945</v>
      </c>
      <c r="N74" s="2834">
        <f t="shared" si="14"/>
        <v>94.850662499999942</v>
      </c>
      <c r="O74" s="2835">
        <f t="shared" si="14"/>
        <v>94.742999999999995</v>
      </c>
      <c r="P74" s="419"/>
    </row>
    <row r="75" spans="2:16" ht="15.75">
      <c r="B75" s="212"/>
      <c r="C75" s="126"/>
      <c r="D75" s="414"/>
      <c r="E75" s="414"/>
      <c r="F75" s="611"/>
      <c r="G75" s="611"/>
      <c r="H75" s="611"/>
      <c r="I75" s="611"/>
      <c r="J75" s="415"/>
      <c r="K75" s="415"/>
      <c r="L75" s="415"/>
      <c r="M75" s="415"/>
      <c r="N75" s="415"/>
      <c r="O75" s="415"/>
      <c r="P75" s="419"/>
    </row>
    <row r="76" spans="2:16" ht="15.75">
      <c r="B76" s="212"/>
      <c r="C76" s="1742" t="s">
        <v>1483</v>
      </c>
      <c r="D76" s="189"/>
      <c r="E76" s="189"/>
      <c r="F76" s="1741"/>
      <c r="G76" s="1741"/>
      <c r="H76" s="1741"/>
      <c r="I76" s="1741"/>
      <c r="J76" s="1741"/>
      <c r="K76" s="1741"/>
      <c r="L76" s="1741"/>
      <c r="M76" s="1741"/>
      <c r="N76" s="1741"/>
      <c r="O76" s="1741" t="str">
        <f>preferences.energyunits</f>
        <v>TWh</v>
      </c>
      <c r="P76" s="419"/>
    </row>
    <row r="77" spans="2:16" ht="15.75">
      <c r="B77" s="212"/>
      <c r="C77" s="1740"/>
      <c r="D77" s="189"/>
      <c r="E77" s="189"/>
      <c r="F77" s="1741"/>
      <c r="G77" s="1741"/>
      <c r="H77" s="1741"/>
      <c r="I77" s="1741"/>
      <c r="J77" s="1741"/>
      <c r="K77" s="1741"/>
      <c r="L77" s="1741"/>
      <c r="M77" s="1741"/>
      <c r="N77" s="1741"/>
      <c r="O77" s="1741"/>
      <c r="P77" s="419"/>
    </row>
    <row r="78" spans="2:16">
      <c r="B78" s="214"/>
      <c r="C78" s="2838" t="s">
        <v>870</v>
      </c>
      <c r="D78" s="2838" t="s">
        <v>1188</v>
      </c>
      <c r="E78" s="2838" t="s">
        <v>64</v>
      </c>
      <c r="F78" s="2839" t="s">
        <v>203</v>
      </c>
      <c r="G78" s="2840" t="s">
        <v>712</v>
      </c>
      <c r="H78" s="2840" t="s">
        <v>713</v>
      </c>
      <c r="I78" s="2840" t="s">
        <v>714</v>
      </c>
      <c r="J78" s="2840" t="s">
        <v>715</v>
      </c>
      <c r="K78" s="2840" t="s">
        <v>716</v>
      </c>
      <c r="L78" s="2840" t="s">
        <v>717</v>
      </c>
      <c r="M78" s="2840" t="s">
        <v>718</v>
      </c>
      <c r="N78" s="2840" t="s">
        <v>719</v>
      </c>
      <c r="O78" s="2841" t="s">
        <v>720</v>
      </c>
      <c r="P78" s="419"/>
    </row>
    <row r="79" spans="2:16">
      <c r="B79" s="214"/>
      <c r="C79" s="2836" t="s">
        <v>1479</v>
      </c>
      <c r="D79" s="2828"/>
      <c r="E79" s="2829" t="s">
        <v>255</v>
      </c>
      <c r="F79" s="2830">
        <f t="shared" ref="F79:O80" si="15">F71*10^9*unit.kgb</f>
        <v>899.08</v>
      </c>
      <c r="G79" s="2830">
        <f t="shared" si="15"/>
        <v>909.428</v>
      </c>
      <c r="H79" s="2830">
        <f t="shared" si="15"/>
        <v>903.02833964762863</v>
      </c>
      <c r="I79" s="2830">
        <f t="shared" si="15"/>
        <v>896.66851672306439</v>
      </c>
      <c r="J79" s="2830">
        <f t="shared" si="15"/>
        <v>890.34893119727224</v>
      </c>
      <c r="K79" s="2830">
        <f t="shared" si="15"/>
        <v>884.06998705695821</v>
      </c>
      <c r="L79" s="2830">
        <f t="shared" si="15"/>
        <v>877.8320923448872</v>
      </c>
      <c r="M79" s="2830">
        <f t="shared" si="15"/>
        <v>868.02300000000037</v>
      </c>
      <c r="N79" s="2830">
        <f t="shared" si="15"/>
        <v>857.65550000000019</v>
      </c>
      <c r="O79" s="2831">
        <f t="shared" si="15"/>
        <v>847.28800000000001</v>
      </c>
      <c r="P79" s="419"/>
    </row>
    <row r="80" spans="2:16">
      <c r="B80" s="214"/>
      <c r="C80" s="2837" t="s">
        <v>1480</v>
      </c>
      <c r="D80" s="2832"/>
      <c r="E80" s="2833" t="s">
        <v>1496</v>
      </c>
      <c r="F80" s="2834">
        <f t="shared" si="15"/>
        <v>38.153555555555556</v>
      </c>
      <c r="G80" s="2834">
        <f t="shared" si="15"/>
        <v>38.9818</v>
      </c>
      <c r="H80" s="2834">
        <f t="shared" si="15"/>
        <v>44.476575000000004</v>
      </c>
      <c r="I80" s="2834">
        <f t="shared" si="15"/>
        <v>49.971350000000001</v>
      </c>
      <c r="J80" s="2834">
        <f t="shared" si="15"/>
        <v>55.466125000000012</v>
      </c>
      <c r="K80" s="2834">
        <f t="shared" si="15"/>
        <v>60.960900000000024</v>
      </c>
      <c r="L80" s="2834">
        <f t="shared" si="15"/>
        <v>66.455675000000014</v>
      </c>
      <c r="M80" s="2834">
        <f t="shared" si="15"/>
        <v>71.950450000000018</v>
      </c>
      <c r="N80" s="2834">
        <f t="shared" si="15"/>
        <v>77.445225000000022</v>
      </c>
      <c r="O80" s="2835">
        <f t="shared" si="15"/>
        <v>82.940000000000012</v>
      </c>
      <c r="P80" s="419"/>
    </row>
    <row r="81" spans="1:18">
      <c r="B81" s="214"/>
      <c r="C81" s="2837" t="s">
        <v>1847</v>
      </c>
      <c r="D81" s="2832"/>
      <c r="E81" s="2833" t="s">
        <v>1497</v>
      </c>
      <c r="F81" s="2834">
        <f>F49</f>
        <v>9.1777777777777771</v>
      </c>
      <c r="G81" s="2834">
        <f t="shared" ref="G81:O81" si="16">G49</f>
        <v>10.305777777777783</v>
      </c>
      <c r="H81" s="2834">
        <f t="shared" si="16"/>
        <v>11.346016666666671</v>
      </c>
      <c r="I81" s="2834">
        <f t="shared" si="16"/>
        <v>12.386255555555559</v>
      </c>
      <c r="J81" s="2834">
        <f t="shared" si="16"/>
        <v>13.426494444444447</v>
      </c>
      <c r="K81" s="2834">
        <f t="shared" si="16"/>
        <v>14.466733333333337</v>
      </c>
      <c r="L81" s="2834">
        <f t="shared" si="16"/>
        <v>14.832036478670412</v>
      </c>
      <c r="M81" s="2834">
        <f t="shared" si="16"/>
        <v>15.206563986198885</v>
      </c>
      <c r="N81" s="2834">
        <f t="shared" si="16"/>
        <v>15.590548782623422</v>
      </c>
      <c r="O81" s="2834">
        <f t="shared" si="16"/>
        <v>15.984229676339865</v>
      </c>
      <c r="P81" s="419"/>
    </row>
    <row r="82" spans="1:18">
      <c r="B82" s="214"/>
      <c r="C82" s="2837" t="s">
        <v>1481</v>
      </c>
      <c r="D82" s="2832"/>
      <c r="E82" s="2833" t="s">
        <v>1498</v>
      </c>
      <c r="F82" s="2834">
        <f t="shared" ref="F82:O83" si="17">F73*10^9*unit.kgb</f>
        <v>0</v>
      </c>
      <c r="G82" s="2834">
        <f t="shared" si="17"/>
        <v>0</v>
      </c>
      <c r="H82" s="2834">
        <f t="shared" si="17"/>
        <v>5.1837500000000007</v>
      </c>
      <c r="I82" s="2834">
        <f t="shared" si="17"/>
        <v>10.367500000000001</v>
      </c>
      <c r="J82" s="2834">
        <f t="shared" si="17"/>
        <v>15.551250000000007</v>
      </c>
      <c r="K82" s="2834">
        <f t="shared" si="17"/>
        <v>20.735000000000003</v>
      </c>
      <c r="L82" s="2834">
        <f t="shared" si="17"/>
        <v>25.918749999999999</v>
      </c>
      <c r="M82" s="2834">
        <f t="shared" si="17"/>
        <v>31.102500000000006</v>
      </c>
      <c r="N82" s="2834">
        <f t="shared" si="17"/>
        <v>36.286250000000003</v>
      </c>
      <c r="O82" s="2835">
        <f t="shared" si="17"/>
        <v>41.470000000000006</v>
      </c>
      <c r="P82" s="419"/>
    </row>
    <row r="83" spans="1:18">
      <c r="B83" s="1771"/>
      <c r="C83" s="2837" t="s">
        <v>1345</v>
      </c>
      <c r="D83" s="2832"/>
      <c r="E83" s="2833"/>
      <c r="F83" s="2834">
        <f t="shared" si="17"/>
        <v>270.322</v>
      </c>
      <c r="G83" s="2834">
        <f t="shared" si="17"/>
        <v>276.1902</v>
      </c>
      <c r="H83" s="2834">
        <f t="shared" si="17"/>
        <v>275.87917499999998</v>
      </c>
      <c r="I83" s="2834">
        <f t="shared" si="17"/>
        <v>275.56814999999995</v>
      </c>
      <c r="J83" s="2834">
        <f t="shared" si="17"/>
        <v>275.25712499999986</v>
      </c>
      <c r="K83" s="2834">
        <f t="shared" si="17"/>
        <v>274.94609999999989</v>
      </c>
      <c r="L83" s="2834">
        <f t="shared" si="17"/>
        <v>274.63507499999986</v>
      </c>
      <c r="M83" s="2834">
        <f t="shared" si="17"/>
        <v>274.32404999999983</v>
      </c>
      <c r="N83" s="2834">
        <f t="shared" si="17"/>
        <v>274.01302499999986</v>
      </c>
      <c r="O83" s="2835">
        <f t="shared" si="17"/>
        <v>273.702</v>
      </c>
      <c r="P83" s="624"/>
    </row>
    <row r="84" spans="1:18" s="51" customFormat="1" ht="22.5" collapsed="1">
      <c r="A84" s="162"/>
      <c r="B84" s="1772" t="s">
        <v>432</v>
      </c>
      <c r="C84" s="961" t="s">
        <v>2058</v>
      </c>
      <c r="D84" s="624"/>
      <c r="E84" s="624"/>
      <c r="F84" s="624"/>
      <c r="G84" s="624"/>
      <c r="H84" s="624"/>
      <c r="I84" s="624"/>
      <c r="J84" s="624"/>
      <c r="K84" s="624"/>
      <c r="L84" s="624"/>
      <c r="M84" s="624"/>
      <c r="N84" s="624"/>
      <c r="O84" s="624"/>
      <c r="P84" s="628"/>
    </row>
    <row r="85" spans="1:18">
      <c r="B85" s="1779"/>
      <c r="C85" s="1779"/>
      <c r="D85" s="1779"/>
      <c r="E85" s="1779"/>
      <c r="F85" s="1789"/>
      <c r="G85" s="1789"/>
      <c r="H85" s="1789"/>
      <c r="I85" s="1789"/>
      <c r="J85" s="1789"/>
      <c r="K85" s="1789"/>
      <c r="L85" s="1789"/>
      <c r="M85" s="624"/>
      <c r="N85" s="624"/>
      <c r="O85" s="624"/>
      <c r="P85" s="624"/>
      <c r="R85" s="35"/>
    </row>
    <row r="86" spans="1:18">
      <c r="A86" s="539"/>
      <c r="B86" s="1395"/>
      <c r="C86" s="1815" t="s">
        <v>1854</v>
      </c>
      <c r="D86" s="1779"/>
      <c r="E86" s="1815" t="s">
        <v>255</v>
      </c>
      <c r="F86" s="2561">
        <f ca="1">-INDEX(INDIRECT($B$84&amp;".outputs["&amp;F$78&amp;"]"),MATCH($E86,INDIRECT($B$84&amp;".outputs[Vector]"),0))</f>
        <v>0</v>
      </c>
      <c r="G86" s="2561">
        <f t="shared" ref="G86:O88" ca="1" si="18">-INDEX(INDIRECT($B$84&amp;".outputs["&amp;G$78&amp;"]"),MATCH($E86,INDIRECT($B$84&amp;".outputs[Vector]"),0))</f>
        <v>0</v>
      </c>
      <c r="H86" s="2561">
        <f t="shared" ca="1" si="18"/>
        <v>2.8017642689388604</v>
      </c>
      <c r="I86" s="2561">
        <f t="shared" ca="1" si="18"/>
        <v>6.3344320180675266</v>
      </c>
      <c r="J86" s="2561">
        <f t="shared" ca="1" si="18"/>
        <v>10.741007756172506</v>
      </c>
      <c r="K86" s="2561">
        <f t="shared" ca="1" si="18"/>
        <v>16.189366629044187</v>
      </c>
      <c r="L86" s="2561">
        <f t="shared" ca="1" si="18"/>
        <v>22.876309461540494</v>
      </c>
      <c r="M86" s="2561">
        <f t="shared" ca="1" si="18"/>
        <v>31.032252509227515</v>
      </c>
      <c r="N86" s="2561">
        <f t="shared" ca="1" si="18"/>
        <v>40.926648506954166</v>
      </c>
      <c r="O86" s="2561">
        <f t="shared" ca="1" si="18"/>
        <v>52.874250000000011</v>
      </c>
      <c r="P86" s="539"/>
      <c r="Q86" s="539"/>
      <c r="R86" s="35"/>
    </row>
    <row r="87" spans="1:18">
      <c r="A87" s="539"/>
      <c r="B87" s="1395"/>
      <c r="C87" s="1815" t="s">
        <v>488</v>
      </c>
      <c r="D87" s="1779"/>
      <c r="E87" s="1815" t="s">
        <v>435</v>
      </c>
      <c r="F87" s="2561">
        <f ca="1">-INDEX(INDIRECT($B$84&amp;".outputs["&amp;F$78&amp;"]"),MATCH($E87,INDIRECT($B$84&amp;".outputs[Vector]"),0))</f>
        <v>0</v>
      </c>
      <c r="G87" s="2561">
        <f t="shared" ca="1" si="18"/>
        <v>0</v>
      </c>
      <c r="H87" s="2561">
        <f t="shared" ca="1" si="18"/>
        <v>0</v>
      </c>
      <c r="I87" s="2561">
        <f t="shared" ca="1" si="18"/>
        <v>0</v>
      </c>
      <c r="J87" s="2561">
        <f t="shared" ca="1" si="18"/>
        <v>0</v>
      </c>
      <c r="K87" s="2561">
        <f t="shared" ca="1" si="18"/>
        <v>0</v>
      </c>
      <c r="L87" s="2561">
        <f t="shared" ca="1" si="18"/>
        <v>0</v>
      </c>
      <c r="M87" s="2561">
        <f t="shared" ca="1" si="18"/>
        <v>0</v>
      </c>
      <c r="N87" s="2561">
        <f t="shared" ca="1" si="18"/>
        <v>0</v>
      </c>
      <c r="O87" s="2561">
        <f t="shared" ca="1" si="18"/>
        <v>0</v>
      </c>
      <c r="P87" s="539"/>
      <c r="Q87" s="539"/>
      <c r="R87" s="35"/>
    </row>
    <row r="88" spans="1:18">
      <c r="A88" s="539"/>
      <c r="B88" s="1395"/>
      <c r="C88" s="1815" t="s">
        <v>491</v>
      </c>
      <c r="D88" s="1779"/>
      <c r="E88" s="1815" t="s">
        <v>489</v>
      </c>
      <c r="F88" s="2561">
        <f ca="1">-INDEX(INDIRECT($B$84&amp;".outputs["&amp;F$78&amp;"]"),MATCH($E88,INDIRECT($B$84&amp;".outputs[Vector]"),0))</f>
        <v>0</v>
      </c>
      <c r="G88" s="2561">
        <f t="shared" ca="1" si="18"/>
        <v>0.13142242804166665</v>
      </c>
      <c r="H88" s="2561">
        <f t="shared" ca="1" si="18"/>
        <v>0.21232334500000016</v>
      </c>
      <c r="I88" s="2561">
        <f t="shared" ca="1" si="18"/>
        <v>0.30591778749999998</v>
      </c>
      <c r="J88" s="2561">
        <f t="shared" ca="1" si="18"/>
        <v>0.41826750874999996</v>
      </c>
      <c r="K88" s="2561">
        <f t="shared" ca="1" si="18"/>
        <v>0.51589118749999996</v>
      </c>
      <c r="L88" s="2561">
        <f t="shared" ca="1" si="18"/>
        <v>0.63055692916666661</v>
      </c>
      <c r="M88" s="2561">
        <f t="shared" ca="1" si="18"/>
        <v>0.79227782291666671</v>
      </c>
      <c r="N88" s="2561">
        <f t="shared" ca="1" si="18"/>
        <v>0.90559611458333333</v>
      </c>
      <c r="O88" s="2561">
        <f t="shared" ca="1" si="18"/>
        <v>1.01891440625</v>
      </c>
      <c r="P88" s="539"/>
      <c r="Q88" s="539"/>
      <c r="R88" s="35"/>
    </row>
    <row r="89" spans="1:18">
      <c r="A89" s="539"/>
      <c r="B89" s="1395"/>
      <c r="C89" s="1779"/>
      <c r="D89" s="1779"/>
      <c r="E89" s="1779"/>
      <c r="F89" s="1789"/>
      <c r="G89" s="1789"/>
      <c r="H89" s="1789"/>
      <c r="I89" s="1789"/>
      <c r="J89" s="1789"/>
      <c r="K89" s="1789"/>
      <c r="L89" s="1789"/>
      <c r="M89" s="624"/>
      <c r="N89" s="624"/>
      <c r="O89" s="624"/>
      <c r="P89" s="539"/>
      <c r="Q89" s="539"/>
      <c r="R89" s="35"/>
    </row>
    <row r="90" spans="1:18">
      <c r="A90" s="539"/>
      <c r="B90" s="961">
        <v>1</v>
      </c>
      <c r="C90" s="943" t="s">
        <v>2390</v>
      </c>
      <c r="D90" s="628"/>
      <c r="E90" s="628"/>
      <c r="F90" s="975"/>
      <c r="G90" s="1347"/>
      <c r="H90" s="1347"/>
      <c r="I90" s="1347"/>
      <c r="J90" s="1347"/>
      <c r="K90" s="1347"/>
      <c r="L90" s="1347"/>
      <c r="M90" s="1347"/>
      <c r="N90" s="1347"/>
      <c r="O90" s="1347"/>
      <c r="P90" s="539"/>
      <c r="Q90" s="539"/>
      <c r="R90" s="35"/>
    </row>
    <row r="91" spans="1:18">
      <c r="A91" s="539"/>
      <c r="B91" s="974"/>
      <c r="C91" s="894"/>
      <c r="D91" s="628"/>
      <c r="E91" s="628"/>
      <c r="F91" s="975"/>
      <c r="G91" s="1347"/>
      <c r="H91" s="1347"/>
      <c r="I91" s="1347"/>
      <c r="J91" s="1347"/>
      <c r="K91" s="1347"/>
      <c r="L91" s="1347"/>
      <c r="M91" s="1347"/>
      <c r="N91" s="1347"/>
      <c r="O91" s="1347"/>
      <c r="P91" s="539"/>
      <c r="Q91" s="539"/>
      <c r="R91" s="35"/>
    </row>
    <row r="92" spans="1:18">
      <c r="A92" s="539"/>
      <c r="B92" s="974"/>
      <c r="C92" s="894" t="s">
        <v>2393</v>
      </c>
      <c r="D92" s="628"/>
      <c r="E92" s="628"/>
      <c r="F92" s="975"/>
      <c r="G92" s="1347"/>
      <c r="H92" s="1347"/>
      <c r="I92" s="1347"/>
      <c r="J92" s="1347"/>
      <c r="K92" s="1347"/>
      <c r="L92" s="1347"/>
      <c r="M92" s="1347"/>
      <c r="N92" s="1347"/>
      <c r="O92" s="1347"/>
      <c r="P92" s="539"/>
      <c r="Q92" s="539"/>
      <c r="R92" s="35"/>
    </row>
    <row r="93" spans="1:18">
      <c r="A93" s="539"/>
      <c r="B93" s="974"/>
      <c r="C93" s="894" t="s">
        <v>350</v>
      </c>
      <c r="D93" s="628"/>
      <c r="E93" s="1348" t="s">
        <v>367</v>
      </c>
      <c r="F93" s="90">
        <f>F80*INDEX(EF[CO2],MATCH("V.03",EF[Vector],0))</f>
        <v>13.24297605734767</v>
      </c>
      <c r="G93" s="90">
        <f>G80*INDEX(EF[CO2],MATCH("V.03",EF[Vector],0))</f>
        <v>13.530457032258065</v>
      </c>
      <c r="H93" s="90">
        <f>H80*INDEX(EF[CO2],MATCH("V.03",EF[Vector],0))</f>
        <v>15.437675709677421</v>
      </c>
      <c r="I93" s="90">
        <f>I80*INDEX(EF[CO2],MATCH("V.03",EF[Vector],0))</f>
        <v>17.344894387096776</v>
      </c>
      <c r="J93" s="90">
        <f>J80*INDEX(EF[CO2],MATCH("V.03",EF[Vector],0))</f>
        <v>19.252113064516134</v>
      </c>
      <c r="K93" s="90">
        <f>K80*INDEX(EF[CO2],MATCH("V.03",EF[Vector],0))</f>
        <v>21.159331741935492</v>
      </c>
      <c r="L93" s="90">
        <f>L80*INDEX(EF[CO2],MATCH("V.03",EF[Vector],0))</f>
        <v>23.066550419354844</v>
      </c>
      <c r="M93" s="90">
        <f>M80*INDEX(EF[CO2],MATCH("V.03",EF[Vector],0))</f>
        <v>24.973769096774202</v>
      </c>
      <c r="N93" s="90">
        <f>N80*INDEX(EF[CO2],MATCH("V.03",EF[Vector],0))</f>
        <v>26.880987774193557</v>
      </c>
      <c r="O93" s="90">
        <f>O80*INDEX(EF[CO2],MATCH("V.03",EF[Vector],0))</f>
        <v>28.788206451612908</v>
      </c>
      <c r="P93" s="539"/>
      <c r="Q93" s="539"/>
      <c r="R93" s="35"/>
    </row>
    <row r="94" spans="1:18">
      <c r="A94" s="539"/>
      <c r="B94" s="1395"/>
      <c r="C94" s="1779"/>
      <c r="D94" s="1779"/>
      <c r="E94" s="1779"/>
      <c r="F94" s="1789"/>
      <c r="G94" s="1789"/>
      <c r="H94" s="1789"/>
      <c r="I94" s="1789"/>
      <c r="J94" s="1789"/>
      <c r="K94" s="1789"/>
      <c r="L94" s="1789"/>
      <c r="M94" s="624"/>
      <c r="N94" s="624"/>
      <c r="O94" s="624"/>
      <c r="P94" s="539"/>
      <c r="Q94" s="539"/>
      <c r="R94" s="35"/>
    </row>
    <row r="95" spans="1:18">
      <c r="C95" s="1395"/>
      <c r="D95" s="1395"/>
      <c r="E95" s="1395"/>
      <c r="F95" s="1395"/>
      <c r="G95" s="1395"/>
      <c r="H95" s="1396"/>
      <c r="I95" s="1396"/>
      <c r="J95" s="1396"/>
      <c r="K95" s="1396"/>
      <c r="L95" s="1396"/>
      <c r="M95" s="539"/>
      <c r="N95" s="539"/>
      <c r="O95" s="539"/>
    </row>
    <row r="97" spans="2:17">
      <c r="P97" s="177"/>
      <c r="Q97" s="310"/>
    </row>
    <row r="98" spans="2:17" ht="15.75">
      <c r="B98" s="206" t="s">
        <v>202</v>
      </c>
      <c r="C98" s="175"/>
      <c r="D98" s="175"/>
      <c r="E98" s="175"/>
      <c r="F98" s="175"/>
      <c r="G98" s="175"/>
      <c r="H98" s="175"/>
      <c r="I98" s="175"/>
      <c r="J98" s="175"/>
      <c r="K98" s="175"/>
      <c r="L98" s="175"/>
      <c r="M98" s="175"/>
      <c r="N98" s="175"/>
      <c r="O98" s="175"/>
      <c r="P98" s="168"/>
      <c r="Q98" s="310"/>
    </row>
    <row r="99" spans="2:17">
      <c r="B99" s="164"/>
      <c r="C99" s="166"/>
      <c r="D99" s="166"/>
      <c r="E99" s="166"/>
      <c r="F99" s="166"/>
      <c r="G99" s="166"/>
      <c r="H99" s="166"/>
      <c r="I99" s="166"/>
      <c r="J99" s="166"/>
      <c r="K99" s="166"/>
      <c r="L99" s="166"/>
      <c r="M99" s="166"/>
      <c r="N99" s="166"/>
      <c r="O99" s="166"/>
      <c r="P99" s="168"/>
      <c r="Q99" s="310"/>
    </row>
    <row r="100" spans="2:17">
      <c r="B100" s="164"/>
      <c r="C100" s="178" t="s">
        <v>239</v>
      </c>
      <c r="D100" s="166"/>
      <c r="E100" s="167"/>
      <c r="F100" s="166"/>
      <c r="G100" s="167"/>
      <c r="H100" s="166"/>
      <c r="I100" s="166"/>
      <c r="J100" s="166"/>
      <c r="K100" s="166"/>
      <c r="L100" s="166"/>
      <c r="M100" s="166"/>
      <c r="N100" s="166"/>
      <c r="O100" s="167" t="str">
        <f>preferences.energyunits</f>
        <v>TWh</v>
      </c>
      <c r="P100" s="168"/>
    </row>
    <row r="101" spans="2:17" ht="15.75">
      <c r="B101" s="169"/>
      <c r="C101" s="166"/>
      <c r="D101" s="166"/>
      <c r="E101" s="166"/>
      <c r="F101" s="166"/>
      <c r="G101" s="166"/>
      <c r="H101" s="166"/>
      <c r="I101" s="166"/>
      <c r="J101" s="166"/>
      <c r="K101" s="166"/>
      <c r="L101" s="166"/>
      <c r="M101" s="166"/>
      <c r="N101" s="166"/>
      <c r="O101" s="166"/>
      <c r="P101" s="168"/>
    </row>
    <row r="102" spans="2:17" ht="15.75">
      <c r="B102" s="169" t="s">
        <v>1188</v>
      </c>
      <c r="C102" s="2566" t="s">
        <v>64</v>
      </c>
      <c r="D102" s="2566" t="s">
        <v>137</v>
      </c>
      <c r="E102" s="2566" t="s">
        <v>156</v>
      </c>
      <c r="F102" s="2563" t="s">
        <v>203</v>
      </c>
      <c r="G102" s="2564" t="s">
        <v>712</v>
      </c>
      <c r="H102" s="2564" t="s">
        <v>713</v>
      </c>
      <c r="I102" s="2564" t="s">
        <v>714</v>
      </c>
      <c r="J102" s="2564" t="s">
        <v>715</v>
      </c>
      <c r="K102" s="2564" t="s">
        <v>716</v>
      </c>
      <c r="L102" s="2564" t="s">
        <v>717</v>
      </c>
      <c r="M102" s="2564" t="s">
        <v>718</v>
      </c>
      <c r="N102" s="2564" t="s">
        <v>719</v>
      </c>
      <c r="O102" s="2565" t="s">
        <v>720</v>
      </c>
      <c r="P102" s="168"/>
    </row>
    <row r="103" spans="2:17" ht="15.75">
      <c r="B103" s="169"/>
      <c r="C103" s="1523" t="s">
        <v>255</v>
      </c>
      <c r="D103" s="1523" t="str">
        <f>INDEX(Vectors[Description], MATCH(V.d!$C$103:$C$108, Vectors[Code], 0))</f>
        <v>Dry biomass and waste</v>
      </c>
      <c r="E103" s="1523"/>
      <c r="F103" s="2562">
        <f ca="1">F79+F80+F86</f>
        <v>937.23355555555554</v>
      </c>
      <c r="G103" s="2562">
        <f t="shared" ref="G103:O103" ca="1" si="19">G79+G80+G86</f>
        <v>948.40980000000002</v>
      </c>
      <c r="H103" s="2562">
        <f t="shared" ca="1" si="19"/>
        <v>950.30667891656753</v>
      </c>
      <c r="I103" s="2562">
        <f t="shared" ca="1" si="19"/>
        <v>952.97429874113197</v>
      </c>
      <c r="J103" s="2562">
        <f t="shared" ca="1" si="19"/>
        <v>956.55606395344478</v>
      </c>
      <c r="K103" s="2562">
        <f t="shared" ca="1" si="19"/>
        <v>961.22025368600248</v>
      </c>
      <c r="L103" s="2562">
        <f t="shared" ca="1" si="19"/>
        <v>967.16407680642772</v>
      </c>
      <c r="M103" s="2562">
        <f t="shared" ca="1" si="19"/>
        <v>971.00570250922794</v>
      </c>
      <c r="N103" s="2562">
        <f t="shared" ca="1" si="19"/>
        <v>976.0273735069544</v>
      </c>
      <c r="O103" s="2562">
        <f t="shared" ca="1" si="19"/>
        <v>983.10225000000003</v>
      </c>
      <c r="P103" s="168"/>
    </row>
    <row r="104" spans="2:17" ht="15.75">
      <c r="B104" s="169"/>
      <c r="C104" s="60" t="s">
        <v>297</v>
      </c>
      <c r="D104" s="60" t="str">
        <f>INDEX(Vectors[Description], MATCH(V.d!$C$103:$C$108, Vectors[Code], 0))</f>
        <v>Wet biomass and waste</v>
      </c>
      <c r="E104" s="60"/>
      <c r="F104" s="892">
        <f>F81</f>
        <v>9.1777777777777771</v>
      </c>
      <c r="G104" s="892">
        <f t="shared" ref="G104:O104" si="20">G81</f>
        <v>10.305777777777783</v>
      </c>
      <c r="H104" s="892">
        <f t="shared" si="20"/>
        <v>11.346016666666671</v>
      </c>
      <c r="I104" s="892">
        <f t="shared" si="20"/>
        <v>12.386255555555559</v>
      </c>
      <c r="J104" s="892">
        <f t="shared" si="20"/>
        <v>13.426494444444447</v>
      </c>
      <c r="K104" s="892">
        <f t="shared" si="20"/>
        <v>14.466733333333337</v>
      </c>
      <c r="L104" s="892">
        <f t="shared" si="20"/>
        <v>14.832036478670412</v>
      </c>
      <c r="M104" s="892">
        <f t="shared" si="20"/>
        <v>15.206563986198885</v>
      </c>
      <c r="N104" s="892">
        <f t="shared" si="20"/>
        <v>15.590548782623422</v>
      </c>
      <c r="O104" s="892">
        <f t="shared" si="20"/>
        <v>15.984229676339865</v>
      </c>
      <c r="P104" s="168"/>
    </row>
    <row r="105" spans="2:17" ht="15.75">
      <c r="B105" s="169"/>
      <c r="C105" s="60" t="s">
        <v>435</v>
      </c>
      <c r="D105" s="60" t="str">
        <f>INDEX(Vectors[Description], MATCH(V.d!$C$103:$C$108, Vectors[Code], 0))</f>
        <v>Energy crops (second generation)</v>
      </c>
      <c r="E105" s="60"/>
      <c r="F105" s="892">
        <f ca="1">F87</f>
        <v>0</v>
      </c>
      <c r="G105" s="892">
        <f t="shared" ref="G105:O105" ca="1" si="21">G87</f>
        <v>0</v>
      </c>
      <c r="H105" s="892">
        <f t="shared" ca="1" si="21"/>
        <v>0</v>
      </c>
      <c r="I105" s="892">
        <f t="shared" ca="1" si="21"/>
        <v>0</v>
      </c>
      <c r="J105" s="892">
        <f t="shared" ca="1" si="21"/>
        <v>0</v>
      </c>
      <c r="K105" s="892">
        <f t="shared" ca="1" si="21"/>
        <v>0</v>
      </c>
      <c r="L105" s="892">
        <f t="shared" ca="1" si="21"/>
        <v>0</v>
      </c>
      <c r="M105" s="892">
        <f t="shared" ca="1" si="21"/>
        <v>0</v>
      </c>
      <c r="N105" s="892">
        <f t="shared" ca="1" si="21"/>
        <v>0</v>
      </c>
      <c r="O105" s="892">
        <f t="shared" ca="1" si="21"/>
        <v>0</v>
      </c>
      <c r="P105" s="168"/>
    </row>
    <row r="106" spans="2:17" ht="15.75">
      <c r="B106" s="169"/>
      <c r="C106" s="60" t="s">
        <v>489</v>
      </c>
      <c r="D106" s="60" t="str">
        <f>INDEX(Vectors[Description], MATCH(V.d!$C$103:$C$108, Vectors[Code], 0))</f>
        <v>Energy crops (first generation)</v>
      </c>
      <c r="E106" s="60"/>
      <c r="F106" s="892">
        <f ca="1">F88</f>
        <v>0</v>
      </c>
      <c r="G106" s="892">
        <f t="shared" ref="G106:O106" ca="1" si="22">G88</f>
        <v>0.13142242804166665</v>
      </c>
      <c r="H106" s="892">
        <f t="shared" ca="1" si="22"/>
        <v>0.21232334500000016</v>
      </c>
      <c r="I106" s="892">
        <f t="shared" ca="1" si="22"/>
        <v>0.30591778749999998</v>
      </c>
      <c r="J106" s="892">
        <f t="shared" ca="1" si="22"/>
        <v>0.41826750874999996</v>
      </c>
      <c r="K106" s="892">
        <f t="shared" ca="1" si="22"/>
        <v>0.51589118749999996</v>
      </c>
      <c r="L106" s="892">
        <f t="shared" ca="1" si="22"/>
        <v>0.63055692916666661</v>
      </c>
      <c r="M106" s="892">
        <f t="shared" ca="1" si="22"/>
        <v>0.79227782291666671</v>
      </c>
      <c r="N106" s="892">
        <f t="shared" ca="1" si="22"/>
        <v>0.90559611458333333</v>
      </c>
      <c r="O106" s="892">
        <f t="shared" ca="1" si="22"/>
        <v>1.01891440625</v>
      </c>
      <c r="P106" s="168"/>
    </row>
    <row r="107" spans="2:17" ht="15.75">
      <c r="B107" s="169"/>
      <c r="C107" s="60" t="s">
        <v>42</v>
      </c>
      <c r="D107" s="60" t="str">
        <f>INDEX(Vectors[Description], MATCH(V.d!$C$103:$C$108, Vectors[Code], 0))</f>
        <v>Waste</v>
      </c>
      <c r="E107" s="60"/>
      <c r="F107" s="892">
        <f ca="1">-(F86+F79+F80+F81)</f>
        <v>-946.41133333333335</v>
      </c>
      <c r="G107" s="892">
        <f t="shared" ref="G107:O107" ca="1" si="23">-(G86+G79+G80+G81)</f>
        <v>-958.71557777777775</v>
      </c>
      <c r="H107" s="892">
        <f t="shared" ca="1" si="23"/>
        <v>-961.65269558323416</v>
      </c>
      <c r="I107" s="892">
        <f t="shared" ca="1" si="23"/>
        <v>-965.3605542966875</v>
      </c>
      <c r="J107" s="892">
        <f t="shared" ca="1" si="23"/>
        <v>-969.98255839788919</v>
      </c>
      <c r="K107" s="892">
        <f t="shared" ca="1" si="23"/>
        <v>-975.68698701933579</v>
      </c>
      <c r="L107" s="892">
        <f t="shared" ca="1" si="23"/>
        <v>-981.99611328509809</v>
      </c>
      <c r="M107" s="892">
        <f t="shared" ca="1" si="23"/>
        <v>-986.21226649542677</v>
      </c>
      <c r="N107" s="892">
        <f t="shared" ca="1" si="23"/>
        <v>-991.61792228957779</v>
      </c>
      <c r="O107" s="892">
        <f t="shared" ca="1" si="23"/>
        <v>-999.08647967633988</v>
      </c>
      <c r="P107" s="168"/>
    </row>
    <row r="108" spans="2:17" ht="15.75">
      <c r="B108" s="1942"/>
      <c r="C108" s="60" t="s">
        <v>334</v>
      </c>
      <c r="D108" s="60" t="str">
        <f>INDEX(Vectors[Description], MATCH(V.d!$C$103:$C$108, Vectors[Code], 0))</f>
        <v>Agriculture</v>
      </c>
      <c r="E108" s="60"/>
      <c r="F108" s="892">
        <f ca="1">-(F88+F87)</f>
        <v>0</v>
      </c>
      <c r="G108" s="892">
        <f t="shared" ref="G108:O108" ca="1" si="24">-(G88+G87)</f>
        <v>-0.13142242804166665</v>
      </c>
      <c r="H108" s="892">
        <f t="shared" ca="1" si="24"/>
        <v>-0.21232334500000016</v>
      </c>
      <c r="I108" s="892">
        <f t="shared" ca="1" si="24"/>
        <v>-0.30591778749999998</v>
      </c>
      <c r="J108" s="892">
        <f t="shared" ca="1" si="24"/>
        <v>-0.41826750874999996</v>
      </c>
      <c r="K108" s="892">
        <f t="shared" ca="1" si="24"/>
        <v>-0.51589118749999996</v>
      </c>
      <c r="L108" s="892">
        <f t="shared" ca="1" si="24"/>
        <v>-0.63055692916666661</v>
      </c>
      <c r="M108" s="892">
        <f t="shared" ca="1" si="24"/>
        <v>-0.79227782291666671</v>
      </c>
      <c r="N108" s="892">
        <f t="shared" ca="1" si="24"/>
        <v>-0.90559611458333333</v>
      </c>
      <c r="O108" s="892">
        <f t="shared" ca="1" si="24"/>
        <v>-1.01891440625</v>
      </c>
      <c r="P108" s="166"/>
    </row>
    <row r="109" spans="2:17">
      <c r="C109" s="2276" t="s">
        <v>103</v>
      </c>
      <c r="D109" s="2276"/>
      <c r="E109" s="2276"/>
      <c r="F109" s="2277">
        <f ca="1">SUBTOTAL(109,V.d!$F$103:$F$108)</f>
        <v>0</v>
      </c>
      <c r="G109" s="2277">
        <f ca="1">SUBTOTAL(109,V.d!$G$103:$G$108)</f>
        <v>7.1609385088322597E-15</v>
      </c>
      <c r="H109" s="2277">
        <f ca="1">SUBTOTAL(109,V.d!$H$103:$H$108)</f>
        <v>-4.1300296516055823E-14</v>
      </c>
      <c r="I109" s="2277">
        <f ca="1">SUBTOTAL(109,V.d!$I$103:$I$108)</f>
        <v>-6.7723604502134549E-15</v>
      </c>
      <c r="J109" s="2277">
        <f ca="1">SUBTOTAL(109,V.d!$J$103:$J$108)</f>
        <v>-2.2537527399890678E-14</v>
      </c>
      <c r="K109" s="2277">
        <f ca="1">SUBTOTAL(109,V.d!$K$103:$K$108)</f>
        <v>-3.9634961979118088E-14</v>
      </c>
      <c r="L109" s="2277">
        <f ca="1">SUBTOTAL(109,V.d!$L$103:$L$108)</f>
        <v>2.042810365310288E-14</v>
      </c>
      <c r="M109" s="2277">
        <f ca="1">SUBTOTAL(109,V.d!$M$103:$M$108)</f>
        <v>-4.9737991503207013E-14</v>
      </c>
      <c r="N109" s="2277">
        <f ca="1">SUBTOTAL(109,V.d!$N$103:$N$108)</f>
        <v>-1.532107773982716E-14</v>
      </c>
      <c r="O109" s="2277">
        <f ca="1">SUBTOTAL(109,V.d!$O$103:$O$108)</f>
        <v>1.9095836023552692E-14</v>
      </c>
    </row>
    <row r="110" spans="2:17" ht="15.75">
      <c r="B110" s="2859"/>
      <c r="C110" s="60"/>
      <c r="D110" s="60"/>
      <c r="E110" s="60"/>
      <c r="F110" s="60"/>
      <c r="G110" s="60"/>
      <c r="H110" s="60"/>
      <c r="I110" s="60"/>
      <c r="J110" s="60"/>
      <c r="K110" s="60"/>
      <c r="L110" s="60"/>
      <c r="M110" s="60"/>
      <c r="N110" s="60"/>
      <c r="O110" s="60"/>
      <c r="P110" s="185"/>
    </row>
    <row r="111" spans="2:17">
      <c r="B111" s="190"/>
      <c r="P111" s="192"/>
    </row>
    <row r="112" spans="2:17" ht="15.75">
      <c r="B112" s="216" t="s">
        <v>281</v>
      </c>
      <c r="C112" s="183"/>
      <c r="D112" s="184"/>
      <c r="E112" s="184"/>
      <c r="F112" s="184"/>
      <c r="G112" s="184"/>
      <c r="H112" s="184"/>
      <c r="I112" s="184"/>
      <c r="J112" s="184"/>
      <c r="K112" s="184"/>
      <c r="L112" s="184"/>
      <c r="M112" s="184"/>
      <c r="N112" s="184"/>
      <c r="O112" s="184"/>
      <c r="P112" s="194"/>
    </row>
    <row r="113" spans="2:16">
      <c r="B113" s="193"/>
      <c r="C113" s="191"/>
      <c r="D113" s="191"/>
      <c r="E113" s="191"/>
      <c r="F113" s="191"/>
      <c r="G113" s="191"/>
      <c r="H113" s="191"/>
      <c r="I113" s="191"/>
      <c r="J113" s="191"/>
      <c r="K113" s="191"/>
      <c r="L113" s="191"/>
      <c r="M113" s="191"/>
      <c r="N113" s="191"/>
      <c r="O113" s="191"/>
      <c r="P113" s="194"/>
    </row>
    <row r="114" spans="2:16" ht="15.75">
      <c r="B114" s="195"/>
      <c r="C114" s="186" t="s">
        <v>366</v>
      </c>
      <c r="D114" s="187"/>
      <c r="E114" s="188"/>
      <c r="F114" s="187"/>
      <c r="G114" s="188"/>
      <c r="H114" s="187"/>
      <c r="I114" s="187"/>
      <c r="J114" s="187"/>
      <c r="K114" s="187"/>
      <c r="L114" s="187"/>
      <c r="M114" s="187"/>
      <c r="N114" s="187"/>
      <c r="O114" s="188" t="s">
        <v>368</v>
      </c>
      <c r="P114" s="194"/>
    </row>
    <row r="115" spans="2:16" ht="15.75">
      <c r="B115" s="195"/>
      <c r="C115" s="187"/>
      <c r="D115" s="187"/>
      <c r="E115" s="187"/>
      <c r="F115" s="187"/>
      <c r="G115" s="187"/>
      <c r="H115" s="187"/>
      <c r="I115" s="187"/>
      <c r="J115" s="187"/>
      <c r="K115" s="187"/>
      <c r="L115" s="187"/>
      <c r="M115" s="187"/>
      <c r="N115" s="187"/>
      <c r="O115" s="187"/>
      <c r="P115" s="194"/>
    </row>
    <row r="116" spans="2:16" ht="15.75">
      <c r="B116" s="195"/>
      <c r="C116" s="221" t="s">
        <v>365</v>
      </c>
      <c r="D116" s="221" t="s">
        <v>337</v>
      </c>
      <c r="E116" s="221" t="s">
        <v>156</v>
      </c>
      <c r="F116" s="2394" t="s">
        <v>203</v>
      </c>
      <c r="G116" s="2395" t="s">
        <v>712</v>
      </c>
      <c r="H116" s="2395" t="s">
        <v>713</v>
      </c>
      <c r="I116" s="2395" t="s">
        <v>714</v>
      </c>
      <c r="J116" s="2395" t="s">
        <v>715</v>
      </c>
      <c r="K116" s="2395" t="s">
        <v>716</v>
      </c>
      <c r="L116" s="2395" t="s">
        <v>717</v>
      </c>
      <c r="M116" s="2395" t="s">
        <v>718</v>
      </c>
      <c r="N116" s="2395" t="s">
        <v>719</v>
      </c>
      <c r="O116" s="2396" t="s">
        <v>720</v>
      </c>
      <c r="P116" s="194"/>
    </row>
    <row r="117" spans="2:16">
      <c r="B117" s="1406"/>
      <c r="C117" s="1402" t="s">
        <v>350</v>
      </c>
      <c r="D117" s="1403" t="s">
        <v>346</v>
      </c>
      <c r="E117" s="1404"/>
      <c r="F117" s="1404">
        <f>-F93</f>
        <v>-13.24297605734767</v>
      </c>
      <c r="G117" s="1404">
        <f t="shared" ref="G117:O117" si="25">-G93</f>
        <v>-13.530457032258065</v>
      </c>
      <c r="H117" s="1404">
        <f t="shared" si="25"/>
        <v>-15.437675709677421</v>
      </c>
      <c r="I117" s="1404">
        <f t="shared" si="25"/>
        <v>-17.344894387096776</v>
      </c>
      <c r="J117" s="1404">
        <f t="shared" si="25"/>
        <v>-19.252113064516134</v>
      </c>
      <c r="K117" s="1404">
        <f t="shared" si="25"/>
        <v>-21.159331741935492</v>
      </c>
      <c r="L117" s="1404">
        <f t="shared" si="25"/>
        <v>-23.066550419354844</v>
      </c>
      <c r="M117" s="1404">
        <f t="shared" si="25"/>
        <v>-24.973769096774202</v>
      </c>
      <c r="N117" s="1404">
        <f t="shared" si="25"/>
        <v>-26.880987774193557</v>
      </c>
      <c r="O117" s="1404">
        <f t="shared" si="25"/>
        <v>-28.788206451612908</v>
      </c>
      <c r="P117" s="1408"/>
    </row>
    <row r="118" spans="2:16">
      <c r="C118" s="189" t="s">
        <v>103</v>
      </c>
      <c r="D118" s="1405"/>
      <c r="E118" s="189"/>
      <c r="F118" s="3094">
        <f>SUBTOTAL(109,[2007])</f>
        <v>-13.24297605734767</v>
      </c>
      <c r="G118" s="3094">
        <f>SUBTOTAL(109,[2012])</f>
        <v>-13.530457032258065</v>
      </c>
      <c r="H118" s="3094">
        <f>SUBTOTAL(109,[2017])</f>
        <v>-15.437675709677421</v>
      </c>
      <c r="I118" s="3094">
        <f>SUBTOTAL(109,[2022])</f>
        <v>-17.344894387096776</v>
      </c>
      <c r="J118" s="3094">
        <f>SUBTOTAL(109,[2027])</f>
        <v>-19.252113064516134</v>
      </c>
      <c r="K118" s="3094">
        <f>SUBTOTAL(109,[2032])</f>
        <v>-21.159331741935492</v>
      </c>
      <c r="L118" s="3094">
        <f>SUBTOTAL(109,[2037])</f>
        <v>-23.066550419354844</v>
      </c>
      <c r="M118" s="3094">
        <f>SUBTOTAL(109,[2042])</f>
        <v>-24.973769096774202</v>
      </c>
      <c r="N118" s="3094">
        <f>SUBTOTAL(109,[2047])</f>
        <v>-26.880987774193557</v>
      </c>
      <c r="O118" s="3094">
        <f>SUBTOTAL(109,[2052])</f>
        <v>-28.788206451612908</v>
      </c>
    </row>
    <row r="119" spans="2:16">
      <c r="C119" s="1407"/>
      <c r="D119" s="1407"/>
      <c r="E119" s="1407"/>
      <c r="F119" s="1407"/>
      <c r="G119" s="1407"/>
      <c r="H119" s="1407"/>
      <c r="I119" s="1407"/>
      <c r="J119" s="1407"/>
      <c r="K119" s="1407"/>
      <c r="L119" s="1407"/>
      <c r="M119" s="1407"/>
      <c r="N119" s="1407"/>
      <c r="O119" s="1407"/>
      <c r="P119" s="426"/>
    </row>
    <row r="120" spans="2:16">
      <c r="B120" s="347"/>
      <c r="P120" s="349"/>
    </row>
    <row r="121" spans="2:16" ht="15.75">
      <c r="B121" s="424" t="s">
        <v>501</v>
      </c>
      <c r="C121" s="346"/>
      <c r="D121" s="425"/>
      <c r="E121" s="425"/>
      <c r="F121" s="425"/>
      <c r="G121" s="425"/>
      <c r="H121" s="425"/>
      <c r="I121" s="425"/>
      <c r="J121" s="425"/>
      <c r="K121" s="425"/>
      <c r="L121" s="425"/>
      <c r="M121" s="425"/>
      <c r="N121" s="425"/>
      <c r="O121" s="425"/>
      <c r="P121" s="429"/>
    </row>
    <row r="122" spans="2:16">
      <c r="B122" s="427"/>
      <c r="C122" s="348"/>
      <c r="D122" s="348"/>
      <c r="E122" s="348"/>
      <c r="F122" s="348"/>
      <c r="G122" s="348"/>
      <c r="H122" s="348"/>
      <c r="I122" s="348"/>
      <c r="J122" s="348"/>
      <c r="K122" s="348"/>
      <c r="L122" s="348"/>
      <c r="M122" s="348"/>
      <c r="N122" s="348"/>
      <c r="O122" s="348"/>
      <c r="P122" s="429"/>
    </row>
    <row r="123" spans="2:16" ht="15.75">
      <c r="B123" s="430"/>
      <c r="C123" s="350" t="s">
        <v>506</v>
      </c>
      <c r="D123" s="428"/>
      <c r="E123" s="351"/>
      <c r="F123" s="428"/>
      <c r="G123" s="351"/>
      <c r="H123" s="428"/>
      <c r="I123" s="428"/>
      <c r="J123" s="428"/>
      <c r="K123" s="428"/>
      <c r="L123" s="428"/>
      <c r="M123" s="428"/>
      <c r="N123" s="428"/>
      <c r="O123" s="351"/>
      <c r="P123" s="429"/>
    </row>
    <row r="124" spans="2:16" ht="15.75">
      <c r="B124" s="430"/>
      <c r="C124" s="428"/>
      <c r="D124" s="428"/>
      <c r="E124" s="428"/>
      <c r="F124" s="428"/>
      <c r="G124" s="428"/>
      <c r="H124" s="428"/>
      <c r="I124" s="428"/>
      <c r="J124" s="428"/>
      <c r="K124" s="428"/>
      <c r="L124" s="428"/>
      <c r="M124" s="428"/>
      <c r="N124" s="428"/>
      <c r="O124" s="428"/>
      <c r="P124" s="429"/>
    </row>
    <row r="125" spans="2:16" ht="15.75">
      <c r="B125" s="430" t="s">
        <v>1188</v>
      </c>
      <c r="C125" s="2494" t="s">
        <v>64</v>
      </c>
      <c r="D125" s="2494" t="s">
        <v>502</v>
      </c>
      <c r="E125" s="2494" t="s">
        <v>156</v>
      </c>
      <c r="F125" s="2495" t="s">
        <v>203</v>
      </c>
      <c r="G125" s="2496" t="s">
        <v>712</v>
      </c>
      <c r="H125" s="2496" t="s">
        <v>713</v>
      </c>
      <c r="I125" s="2496" t="s">
        <v>714</v>
      </c>
      <c r="J125" s="2496" t="s">
        <v>715</v>
      </c>
      <c r="K125" s="2496" t="s">
        <v>716</v>
      </c>
      <c r="L125" s="2496" t="s">
        <v>717</v>
      </c>
      <c r="M125" s="2496" t="s">
        <v>718</v>
      </c>
      <c r="N125" s="2496" t="s">
        <v>719</v>
      </c>
      <c r="O125" s="2497" t="s">
        <v>720</v>
      </c>
      <c r="P125" s="429"/>
    </row>
    <row r="126" spans="2:16" ht="15.75">
      <c r="B126" s="355"/>
      <c r="C126" s="2397" t="s">
        <v>503</v>
      </c>
      <c r="D126" s="2397" t="str">
        <f>INDEX(Vectors[Description], MATCH(V.d!$C126, Vectors[Code], 0))</f>
        <v>India Land area</v>
      </c>
      <c r="E126" s="1349" t="str">
        <f>Preferences.AreaUnits</f>
        <v>ha</v>
      </c>
      <c r="F126" s="2398"/>
      <c r="G126" s="2398"/>
      <c r="H126" s="2398"/>
      <c r="I126" s="2398"/>
      <c r="J126" s="2398"/>
      <c r="K126" s="2398"/>
      <c r="L126" s="2398"/>
      <c r="M126" s="2398"/>
      <c r="N126" s="2398"/>
      <c r="O126" s="2398"/>
      <c r="P126" s="352"/>
    </row>
    <row r="127" spans="2:16">
      <c r="C127" s="514" t="s">
        <v>508</v>
      </c>
      <c r="D127" s="2397" t="str">
        <f>INDEX(Vectors[Description], MATCH(V.d!$C127, Vectors[Code], 0))</f>
        <v xml:space="preserve">Installed Capacity </v>
      </c>
      <c r="E127" s="515" t="str">
        <f>Preferences.PowerUnits</f>
        <v>GW</v>
      </c>
      <c r="F127" s="2399"/>
      <c r="G127" s="2399"/>
      <c r="H127" s="2399"/>
      <c r="I127" s="2399"/>
      <c r="J127" s="2399"/>
      <c r="K127" s="2399"/>
      <c r="L127" s="2399"/>
      <c r="M127" s="2399"/>
      <c r="N127" s="2399"/>
      <c r="O127" s="2399"/>
    </row>
    <row r="128" spans="2:16" ht="15.75">
      <c r="B128" s="2493"/>
      <c r="C128" s="428"/>
      <c r="D128" s="428"/>
      <c r="E128" s="428"/>
      <c r="F128" s="428"/>
      <c r="G128" s="428"/>
      <c r="H128" s="428"/>
      <c r="I128" s="428"/>
      <c r="J128" s="428"/>
      <c r="K128" s="428"/>
      <c r="L128" s="428"/>
      <c r="M128" s="428"/>
      <c r="N128" s="428"/>
      <c r="O128" s="428"/>
      <c r="P128" s="426"/>
    </row>
    <row r="129" spans="2:17">
      <c r="B129" s="427"/>
      <c r="P129" s="429"/>
    </row>
    <row r="130" spans="2:17">
      <c r="Q130" s="242"/>
    </row>
    <row r="131" spans="2:17">
      <c r="Q131" s="242"/>
    </row>
    <row r="132" spans="2:17">
      <c r="Q132" s="242"/>
    </row>
  </sheetData>
  <pageMargins left="0.7" right="0.7" top="0.75" bottom="0.75" header="0.3" footer="0.3"/>
  <pageSetup paperSize="9" orientation="portrait"/>
  <legacyDrawing r:id="rId1"/>
  <tableParts count="5">
    <tablePart r:id="rId2"/>
    <tablePart r:id="rId3"/>
    <tablePart r:id="rId4"/>
    <tablePart r:id="rId5"/>
    <tablePart r:id="rId6"/>
  </tableParts>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sheetPr>
    <tabColor theme="9"/>
    <outlinePr summaryBelow="0"/>
    <pageSetUpPr autoPageBreaks="0"/>
  </sheetPr>
  <dimension ref="A1:R42"/>
  <sheetViews>
    <sheetView showGridLines="0" topLeftCell="E11" zoomScale="85" zoomScaleNormal="85" zoomScalePageLayoutView="85" workbookViewId="0">
      <selection activeCell="K37" sqref="K37"/>
    </sheetView>
  </sheetViews>
  <sheetFormatPr defaultColWidth="8.85546875" defaultRowHeight="12.75"/>
  <cols>
    <col min="1" max="1" width="7.7109375" style="2555" customWidth="1"/>
    <col min="2" max="2" width="12.42578125" style="2555" customWidth="1"/>
    <col min="3" max="3" width="20.42578125" style="2555" customWidth="1"/>
    <col min="4" max="4" width="30.7109375" style="2555" customWidth="1"/>
    <col min="5" max="5" width="20.7109375" style="2555" customWidth="1"/>
    <col min="6" max="15" width="17.7109375" style="2555" customWidth="1"/>
    <col min="16" max="16" width="10.42578125" style="2555" customWidth="1"/>
    <col min="17" max="17" width="10.85546875" style="2555" customWidth="1"/>
    <col min="18" max="18" width="44.7109375" style="2555" customWidth="1"/>
    <col min="19" max="16384" width="8.85546875" style="2555"/>
  </cols>
  <sheetData>
    <row r="1" spans="1:18" ht="21">
      <c r="A1" s="77" t="s">
        <v>190</v>
      </c>
      <c r="B1" s="77" t="str">
        <f>INDEX(Workstreams[Workstream], MATCH($A1, Workstreams[Code], 0))</f>
        <v>Bioenergy</v>
      </c>
      <c r="C1" s="77"/>
    </row>
    <row r="2" spans="1:18" s="51" customFormat="1" ht="19.5" customHeight="1">
      <c r="A2" s="6" t="s">
        <v>2068</v>
      </c>
      <c r="B2" s="6" t="str">
        <f>INDEX(Modules[Module], MATCH($A2, Modules[Code], 0))</f>
        <v>Fuel For Cooking</v>
      </c>
      <c r="C2" s="6"/>
      <c r="E2" s="404"/>
    </row>
    <row r="3" spans="1:18" ht="3.75" customHeight="1"/>
    <row r="4" spans="1:18" ht="3.75" customHeight="1"/>
    <row r="5" spans="1:18" ht="3.75" customHeight="1"/>
    <row r="6" spans="1:18" ht="3.75" customHeight="1"/>
    <row r="7" spans="1:18" ht="3.75" customHeight="1"/>
    <row r="8" spans="1:18" ht="15.75">
      <c r="A8" s="53"/>
      <c r="B8" s="208"/>
    </row>
    <row r="9" spans="1:18" ht="15.75" collapsed="1">
      <c r="A9" s="53"/>
      <c r="B9" s="421" t="s">
        <v>270</v>
      </c>
      <c r="C9" s="159"/>
      <c r="D9" s="159"/>
      <c r="E9" s="159"/>
      <c r="F9" s="159"/>
      <c r="G9" s="159"/>
      <c r="H9" s="159"/>
      <c r="I9" s="159"/>
      <c r="J9" s="159"/>
      <c r="K9" s="159"/>
      <c r="L9" s="159"/>
      <c r="M9" s="159"/>
      <c r="N9" s="159"/>
      <c r="O9" s="159"/>
      <c r="P9" s="160"/>
      <c r="R9" s="859"/>
    </row>
    <row r="10" spans="1:18">
      <c r="B10" s="210"/>
      <c r="C10" s="198"/>
      <c r="D10" s="198"/>
      <c r="E10" s="198"/>
      <c r="F10" s="198"/>
      <c r="G10" s="198"/>
      <c r="H10" s="198"/>
      <c r="I10" s="198"/>
      <c r="J10" s="198"/>
      <c r="K10" s="198"/>
      <c r="L10" s="198"/>
      <c r="M10" s="198"/>
      <c r="N10" s="198"/>
      <c r="O10" s="198"/>
      <c r="P10" s="199"/>
    </row>
    <row r="11" spans="1:18" ht="22.5">
      <c r="A11" s="420"/>
      <c r="B11" s="212"/>
      <c r="C11" s="126"/>
      <c r="D11" s="414"/>
      <c r="E11" s="414"/>
      <c r="F11" s="611"/>
      <c r="G11" s="611"/>
      <c r="H11" s="611"/>
      <c r="I11" s="611"/>
      <c r="J11" s="415"/>
      <c r="K11" s="415"/>
      <c r="L11" s="415"/>
      <c r="M11" s="415"/>
      <c r="N11" s="415"/>
      <c r="O11" s="415"/>
      <c r="P11" s="419"/>
    </row>
    <row r="12" spans="1:18" ht="15.75">
      <c r="B12" s="212" t="s">
        <v>2059</v>
      </c>
      <c r="C12" s="1742" t="s">
        <v>2071</v>
      </c>
      <c r="D12" s="189"/>
      <c r="E12" s="189"/>
      <c r="F12" s="1741"/>
      <c r="G12" s="1741"/>
      <c r="H12" s="1741"/>
      <c r="I12" s="1741"/>
      <c r="J12" s="1741"/>
      <c r="K12" s="1741"/>
      <c r="L12" s="1741"/>
      <c r="M12" s="1741"/>
      <c r="N12" s="1741"/>
      <c r="O12" s="1741" t="str">
        <f>preferences.energyunits</f>
        <v>TWh</v>
      </c>
      <c r="P12" s="419"/>
    </row>
    <row r="13" spans="1:18" ht="15.75">
      <c r="B13" s="212"/>
      <c r="C13" s="1740"/>
      <c r="D13" s="189"/>
      <c r="E13" s="189"/>
      <c r="F13" s="1741"/>
      <c r="G13" s="1741"/>
      <c r="H13" s="1741"/>
      <c r="I13" s="1741"/>
      <c r="J13" s="1741"/>
      <c r="K13" s="1741"/>
      <c r="L13" s="1741"/>
      <c r="M13" s="1741"/>
      <c r="N13" s="1741"/>
      <c r="O13" s="1741"/>
      <c r="P13" s="419"/>
    </row>
    <row r="14" spans="1:18">
      <c r="B14" s="214"/>
      <c r="C14" s="1767" t="s">
        <v>870</v>
      </c>
      <c r="D14" s="1767" t="s">
        <v>1188</v>
      </c>
      <c r="E14" s="1767" t="s">
        <v>64</v>
      </c>
      <c r="F14" s="1768" t="s">
        <v>203</v>
      </c>
      <c r="G14" s="1769" t="s">
        <v>712</v>
      </c>
      <c r="H14" s="1769" t="s">
        <v>713</v>
      </c>
      <c r="I14" s="1769" t="s">
        <v>714</v>
      </c>
      <c r="J14" s="1769" t="s">
        <v>715</v>
      </c>
      <c r="K14" s="1769" t="s">
        <v>716</v>
      </c>
      <c r="L14" s="1769" t="s">
        <v>717</v>
      </c>
      <c r="M14" s="1769" t="s">
        <v>718</v>
      </c>
      <c r="N14" s="1769" t="s">
        <v>719</v>
      </c>
      <c r="O14" s="1769" t="s">
        <v>720</v>
      </c>
      <c r="P14" s="419"/>
    </row>
    <row r="15" spans="1:18">
      <c r="B15" s="214"/>
      <c r="C15" s="196" t="s">
        <v>2072</v>
      </c>
      <c r="D15" s="189"/>
      <c r="E15" s="1764" t="s">
        <v>255</v>
      </c>
      <c r="F15" s="1327">
        <f ca="1">INDEX(INDIRECT($B$12&amp;".feedstock["&amp;F$14&amp;"]"),MATCH($E15,INDIRECT($B$12&amp;".feedstock[Vector]"),0))</f>
        <v>899.08</v>
      </c>
      <c r="G15" s="1327">
        <f t="shared" ref="G15:O16" ca="1" si="0">INDEX(INDIRECT($B$12&amp;".feedstock["&amp;G$14&amp;"]"),MATCH($E15,INDIRECT($B$12&amp;".feedstock[Vector]"),0))</f>
        <v>909.428</v>
      </c>
      <c r="H15" s="1327">
        <f t="shared" ca="1" si="0"/>
        <v>903.02833964762863</v>
      </c>
      <c r="I15" s="1327">
        <f t="shared" ca="1" si="0"/>
        <v>896.66851672306439</v>
      </c>
      <c r="J15" s="1327">
        <f t="shared" ca="1" si="0"/>
        <v>890.34893119727224</v>
      </c>
      <c r="K15" s="1327">
        <f t="shared" ca="1" si="0"/>
        <v>884.06998705695821</v>
      </c>
      <c r="L15" s="1327">
        <f t="shared" ca="1" si="0"/>
        <v>877.8320923448872</v>
      </c>
      <c r="M15" s="1327">
        <f t="shared" ca="1" si="0"/>
        <v>868.02300000000037</v>
      </c>
      <c r="N15" s="1327">
        <f t="shared" ca="1" si="0"/>
        <v>857.65550000000019</v>
      </c>
      <c r="O15" s="1327">
        <f t="shared" ca="1" si="0"/>
        <v>847.28800000000001</v>
      </c>
      <c r="P15" s="419"/>
    </row>
    <row r="16" spans="1:18">
      <c r="B16" s="214"/>
      <c r="C16" s="196" t="s">
        <v>2073</v>
      </c>
      <c r="D16" s="189"/>
      <c r="E16" s="1764" t="s">
        <v>1496</v>
      </c>
      <c r="F16" s="1327">
        <f ca="1">INDEX(INDIRECT($B$12&amp;".feedstock["&amp;F$14&amp;"]"),MATCH($E16,INDIRECT($B$12&amp;".feedstock[Vector]"),0))</f>
        <v>38.153555555555556</v>
      </c>
      <c r="G16" s="1327">
        <f t="shared" ca="1" si="0"/>
        <v>38.9818</v>
      </c>
      <c r="H16" s="1327">
        <f t="shared" ca="1" si="0"/>
        <v>44.476575000000004</v>
      </c>
      <c r="I16" s="1327">
        <f t="shared" ca="1" si="0"/>
        <v>49.971350000000001</v>
      </c>
      <c r="J16" s="1327">
        <f t="shared" ca="1" si="0"/>
        <v>55.466125000000012</v>
      </c>
      <c r="K16" s="1327">
        <f t="shared" ca="1" si="0"/>
        <v>60.960900000000024</v>
      </c>
      <c r="L16" s="1327">
        <f t="shared" ca="1" si="0"/>
        <v>66.455675000000014</v>
      </c>
      <c r="M16" s="1327">
        <f t="shared" ca="1" si="0"/>
        <v>71.950450000000018</v>
      </c>
      <c r="N16" s="1327">
        <f t="shared" ca="1" si="0"/>
        <v>77.445225000000022</v>
      </c>
      <c r="O16" s="1327">
        <f t="shared" ca="1" si="0"/>
        <v>82.940000000000012</v>
      </c>
      <c r="P16" s="419"/>
    </row>
    <row r="17" spans="1:18" s="51" customFormat="1" ht="15.75" collapsed="1">
      <c r="A17" s="2555"/>
      <c r="B17" s="1772"/>
      <c r="C17" s="624"/>
      <c r="D17" s="624"/>
      <c r="E17" s="624"/>
      <c r="F17" s="624"/>
      <c r="G17" s="624"/>
      <c r="H17" s="624"/>
      <c r="I17" s="624"/>
      <c r="J17" s="624"/>
      <c r="K17" s="624"/>
      <c r="L17" s="624"/>
      <c r="M17" s="624"/>
      <c r="N17" s="624"/>
      <c r="O17" s="624"/>
      <c r="P17" s="628"/>
    </row>
    <row r="18" spans="1:18" ht="13.5" customHeight="1">
      <c r="B18" s="961">
        <v>5</v>
      </c>
      <c r="C18" s="943" t="s">
        <v>2390</v>
      </c>
      <c r="D18" s="628"/>
      <c r="E18" s="628"/>
      <c r="F18" s="975"/>
      <c r="G18" s="1347"/>
      <c r="H18" s="1347"/>
      <c r="I18" s="1347"/>
      <c r="J18" s="1347"/>
      <c r="K18" s="1347"/>
      <c r="L18" s="1347"/>
      <c r="M18" s="1347"/>
      <c r="N18" s="1347"/>
      <c r="O18" s="1347"/>
      <c r="P18" s="624"/>
      <c r="R18" s="51"/>
    </row>
    <row r="19" spans="1:18">
      <c r="B19" s="974"/>
      <c r="C19" s="894"/>
      <c r="D19" s="628"/>
      <c r="E19" s="628"/>
      <c r="F19" s="975"/>
      <c r="G19" s="1347"/>
      <c r="H19" s="1347"/>
      <c r="I19" s="1347"/>
      <c r="J19" s="1347"/>
      <c r="K19" s="1347"/>
      <c r="L19" s="1347"/>
      <c r="M19" s="1347"/>
      <c r="N19" s="1347"/>
      <c r="O19" s="1347"/>
      <c r="P19" s="624"/>
      <c r="R19" s="35"/>
    </row>
    <row r="20" spans="1:18">
      <c r="B20" s="974"/>
      <c r="C20" s="894" t="s">
        <v>846</v>
      </c>
      <c r="D20" s="628"/>
      <c r="E20" s="628"/>
      <c r="F20" s="975"/>
      <c r="G20" s="1347"/>
      <c r="H20" s="1347"/>
      <c r="I20" s="1347"/>
      <c r="J20" s="1347"/>
      <c r="K20" s="1347"/>
      <c r="L20" s="1347"/>
      <c r="M20" s="1347"/>
      <c r="N20" s="1347"/>
      <c r="O20" s="1347"/>
      <c r="P20" s="539"/>
      <c r="Q20" s="539"/>
      <c r="R20" s="35"/>
    </row>
    <row r="21" spans="1:18">
      <c r="B21" s="974"/>
      <c r="C21" s="894" t="s">
        <v>350</v>
      </c>
      <c r="D21" s="628"/>
      <c r="E21" s="628" t="s">
        <v>367</v>
      </c>
      <c r="F21" s="90">
        <f ca="1">F15*INDEX(EF[CO2],MATCH("V.03",EF[Vector],0))</f>
        <v>312.06776774193548</v>
      </c>
      <c r="G21" s="90">
        <f ca="1">G15*INDEX(EF[CO2],MATCH("V.03",EF[Vector],0))</f>
        <v>315.65952516129033</v>
      </c>
      <c r="H21" s="90">
        <f ca="1">H15*INDEX(EF[CO2],MATCH("V.03",EF[Vector],0))</f>
        <v>313.43822369704787</v>
      </c>
      <c r="I21" s="90">
        <f ca="1">I15*INDEX(EF[CO2],MATCH("V.03",EF[Vector],0))</f>
        <v>311.23074967548945</v>
      </c>
      <c r="J21" s="90">
        <f ca="1">J15*INDEX(EF[CO2],MATCH("V.03",EF[Vector],0))</f>
        <v>309.03724192524675</v>
      </c>
      <c r="K21" s="90">
        <f ca="1">K15*INDEX(EF[CO2],MATCH("V.03",EF[Vector],0))</f>
        <v>306.85784066880228</v>
      </c>
      <c r="L21" s="90">
        <f ca="1">L15*INDEX(EF[CO2],MATCH("V.03",EF[Vector],0))</f>
        <v>304.69268753648345</v>
      </c>
      <c r="M21" s="90">
        <f ca="1">M15*INDEX(EF[CO2],MATCH("V.03",EF[Vector],0))</f>
        <v>301.28798322580661</v>
      </c>
      <c r="N21" s="90">
        <f ca="1">N15*INDEX(EF[CO2],MATCH("V.03",EF[Vector],0))</f>
        <v>297.68945741935494</v>
      </c>
      <c r="O21" s="90">
        <f ca="1">O15*INDEX(EF[CO2],MATCH("V.03",EF[Vector],0))</f>
        <v>294.09093161290326</v>
      </c>
    </row>
    <row r="22" spans="1:18">
      <c r="A22" s="539"/>
    </row>
    <row r="23" spans="1:18">
      <c r="P23" s="177"/>
      <c r="Q23" s="310"/>
    </row>
    <row r="24" spans="1:18" ht="15.75">
      <c r="B24" s="206" t="s">
        <v>202</v>
      </c>
      <c r="C24" s="175"/>
      <c r="D24" s="175"/>
      <c r="E24" s="175"/>
      <c r="F24" s="175"/>
      <c r="G24" s="175"/>
      <c r="H24" s="175"/>
      <c r="I24" s="175"/>
      <c r="J24" s="175"/>
      <c r="K24" s="175"/>
      <c r="L24" s="175"/>
      <c r="M24" s="175"/>
      <c r="N24" s="175"/>
      <c r="O24" s="175"/>
      <c r="P24" s="168"/>
      <c r="Q24" s="310"/>
    </row>
    <row r="25" spans="1:18">
      <c r="B25" s="164"/>
      <c r="C25" s="166"/>
      <c r="D25" s="166"/>
      <c r="E25" s="166"/>
      <c r="F25" s="166"/>
      <c r="G25" s="166"/>
      <c r="H25" s="166"/>
      <c r="I25" s="166"/>
      <c r="J25" s="166"/>
      <c r="K25" s="166"/>
      <c r="L25" s="166"/>
      <c r="M25" s="166"/>
      <c r="N25" s="166"/>
      <c r="O25" s="166"/>
      <c r="P25" s="168"/>
      <c r="Q25" s="310"/>
    </row>
    <row r="26" spans="1:18">
      <c r="B26" s="164"/>
      <c r="C26" s="178" t="s">
        <v>239</v>
      </c>
      <c r="D26" s="166"/>
      <c r="E26" s="167"/>
      <c r="F26" s="166"/>
      <c r="G26" s="167"/>
      <c r="H26" s="166"/>
      <c r="I26" s="166"/>
      <c r="J26" s="166"/>
      <c r="K26" s="166"/>
      <c r="L26" s="166"/>
      <c r="M26" s="166"/>
      <c r="N26" s="166"/>
      <c r="O26" s="167" t="str">
        <f>preferences.energyunits</f>
        <v>TWh</v>
      </c>
      <c r="P26" s="168"/>
    </row>
    <row r="27" spans="1:18" ht="15.75">
      <c r="B27" s="169"/>
      <c r="C27" s="166"/>
      <c r="D27" s="166"/>
      <c r="E27" s="166"/>
      <c r="F27" s="166"/>
      <c r="G27" s="166"/>
      <c r="H27" s="166"/>
      <c r="I27" s="166"/>
      <c r="J27" s="166"/>
      <c r="K27" s="166"/>
      <c r="L27" s="166"/>
      <c r="M27" s="166"/>
      <c r="N27" s="166"/>
      <c r="O27" s="166"/>
      <c r="P27" s="168"/>
    </row>
    <row r="28" spans="1:18" ht="15.75">
      <c r="B28" s="169"/>
      <c r="C28" s="180" t="s">
        <v>64</v>
      </c>
      <c r="D28" s="180" t="s">
        <v>137</v>
      </c>
      <c r="E28" s="180" t="s">
        <v>156</v>
      </c>
      <c r="F28" s="2394" t="s">
        <v>203</v>
      </c>
      <c r="G28" s="2395" t="s">
        <v>712</v>
      </c>
      <c r="H28" s="2395" t="s">
        <v>713</v>
      </c>
      <c r="I28" s="2395" t="s">
        <v>714</v>
      </c>
      <c r="J28" s="2395" t="s">
        <v>715</v>
      </c>
      <c r="K28" s="2395" t="s">
        <v>716</v>
      </c>
      <c r="L28" s="2395" t="s">
        <v>717</v>
      </c>
      <c r="M28" s="2395" t="s">
        <v>718</v>
      </c>
      <c r="N28" s="2395" t="s">
        <v>719</v>
      </c>
      <c r="O28" s="2396" t="s">
        <v>720</v>
      </c>
      <c r="P28" s="168"/>
    </row>
    <row r="29" spans="1:18" ht="15.75">
      <c r="B29" s="169"/>
      <c r="C29" s="60" t="s">
        <v>36</v>
      </c>
      <c r="D29" s="60" t="str">
        <f>INDEX(Vectors[Description], MATCH([Vector], Vectors[Code], 0))</f>
        <v>Solid hydrocarbons</v>
      </c>
      <c r="E29" s="60"/>
      <c r="F29" s="129">
        <f ca="1">F15+F16</f>
        <v>937.23355555555554</v>
      </c>
      <c r="G29" s="129">
        <f t="shared" ref="G29:O29" ca="1" si="1">G15+G16</f>
        <v>948.40980000000002</v>
      </c>
      <c r="H29" s="129">
        <f t="shared" ca="1" si="1"/>
        <v>947.50491464762865</v>
      </c>
      <c r="I29" s="129">
        <f t="shared" ca="1" si="1"/>
        <v>946.63986672306442</v>
      </c>
      <c r="J29" s="129">
        <f t="shared" ca="1" si="1"/>
        <v>945.81505619727227</v>
      </c>
      <c r="K29" s="129">
        <f t="shared" ca="1" si="1"/>
        <v>945.03088705695825</v>
      </c>
      <c r="L29" s="129">
        <f t="shared" ca="1" si="1"/>
        <v>944.28776734488724</v>
      </c>
      <c r="M29" s="129">
        <f t="shared" ca="1" si="1"/>
        <v>939.97345000000041</v>
      </c>
      <c r="N29" s="129">
        <f t="shared" ca="1" si="1"/>
        <v>935.10072500000024</v>
      </c>
      <c r="O29" s="129">
        <f t="shared" ca="1" si="1"/>
        <v>930.22800000000007</v>
      </c>
      <c r="P29" s="168"/>
    </row>
    <row r="30" spans="1:18" ht="15.75">
      <c r="B30" s="169"/>
      <c r="C30" s="60" t="s">
        <v>255</v>
      </c>
      <c r="D30" s="60" t="str">
        <f>INDEX(Vectors[Description], MATCH([Vector], Vectors[Code], 0))</f>
        <v>Dry biomass and waste</v>
      </c>
      <c r="E30" s="60"/>
      <c r="F30" s="129">
        <f ca="1">-(F15+F16)</f>
        <v>-937.23355555555554</v>
      </c>
      <c r="G30" s="129">
        <f t="shared" ref="G30:O30" ca="1" si="2">-(G15+G16)</f>
        <v>-948.40980000000002</v>
      </c>
      <c r="H30" s="129">
        <f t="shared" ca="1" si="2"/>
        <v>-947.50491464762865</v>
      </c>
      <c r="I30" s="129">
        <f t="shared" ca="1" si="2"/>
        <v>-946.63986672306442</v>
      </c>
      <c r="J30" s="129">
        <f t="shared" ca="1" si="2"/>
        <v>-945.81505619727227</v>
      </c>
      <c r="K30" s="129">
        <f t="shared" ca="1" si="2"/>
        <v>-945.03088705695825</v>
      </c>
      <c r="L30" s="129">
        <f t="shared" ca="1" si="2"/>
        <v>-944.28776734488724</v>
      </c>
      <c r="M30" s="129">
        <f t="shared" ca="1" si="2"/>
        <v>-939.97345000000041</v>
      </c>
      <c r="N30" s="129">
        <f t="shared" ca="1" si="2"/>
        <v>-935.10072500000024</v>
      </c>
      <c r="O30" s="129">
        <f t="shared" ca="1" si="2"/>
        <v>-930.22800000000007</v>
      </c>
      <c r="P30" s="168"/>
    </row>
    <row r="31" spans="1:18" ht="15.75">
      <c r="B31" s="170"/>
      <c r="C31" s="60"/>
      <c r="D31" s="60"/>
      <c r="E31" s="60"/>
      <c r="F31" s="129"/>
      <c r="G31" s="129"/>
      <c r="H31" s="129"/>
      <c r="I31" s="129"/>
      <c r="J31" s="129"/>
      <c r="K31" s="129"/>
      <c r="L31" s="129"/>
      <c r="M31" s="129"/>
      <c r="N31" s="129"/>
      <c r="O31" s="129"/>
      <c r="P31" s="173"/>
    </row>
    <row r="32" spans="1:18">
      <c r="C32" s="2560" t="s">
        <v>103</v>
      </c>
      <c r="D32" s="2560"/>
      <c r="E32" s="2560"/>
      <c r="F32" s="2551">
        <f ca="1">SUBTOTAL(109,[2007])</f>
        <v>0</v>
      </c>
      <c r="G32" s="2551">
        <f ca="1">SUBTOTAL(109,[2012])</f>
        <v>0</v>
      </c>
      <c r="H32" s="2551">
        <f ca="1">SUBTOTAL(109,[2017])</f>
        <v>0</v>
      </c>
      <c r="I32" s="2551">
        <f ca="1">SUBTOTAL(109,[2022])</f>
        <v>0</v>
      </c>
      <c r="J32" s="2551">
        <f ca="1">SUBTOTAL(109,[2027])</f>
        <v>0</v>
      </c>
      <c r="K32" s="2551">
        <f ca="1">SUBTOTAL(109,[2032])</f>
        <v>0</v>
      </c>
      <c r="L32" s="2551">
        <f ca="1">SUBTOTAL(109,[2037])</f>
        <v>0</v>
      </c>
      <c r="M32" s="2551">
        <f ca="1">SUBTOTAL(109,[2042])</f>
        <v>0</v>
      </c>
      <c r="N32" s="2551">
        <f ca="1">SUBTOTAL(109,[2047])</f>
        <v>0</v>
      </c>
      <c r="O32" s="2551">
        <f ca="1">SUBTOTAL(109,[2052])</f>
        <v>0</v>
      </c>
    </row>
    <row r="33" spans="3:17">
      <c r="Q33" s="242"/>
    </row>
    <row r="34" spans="3:17">
      <c r="Q34" s="242"/>
    </row>
    <row r="35" spans="3:17" ht="18">
      <c r="C35" s="2177" t="s">
        <v>281</v>
      </c>
      <c r="D35" s="425"/>
      <c r="E35" s="425"/>
      <c r="F35" s="425"/>
      <c r="G35" s="425"/>
      <c r="H35" s="425"/>
      <c r="I35" s="425"/>
      <c r="J35" s="425"/>
      <c r="K35" s="425"/>
      <c r="L35" s="425"/>
      <c r="M35" s="425"/>
      <c r="N35" s="425"/>
      <c r="O35" s="425"/>
      <c r="Q35" s="242"/>
    </row>
    <row r="36" spans="3:17" ht="14.25">
      <c r="C36" s="186" t="s">
        <v>2391</v>
      </c>
      <c r="D36" s="187"/>
      <c r="E36" s="188"/>
      <c r="F36" s="187"/>
      <c r="G36" s="188"/>
      <c r="H36" s="187"/>
      <c r="I36" s="187"/>
      <c r="J36" s="187"/>
      <c r="K36" s="187"/>
      <c r="L36" s="187"/>
      <c r="M36" s="187"/>
      <c r="N36" s="187"/>
      <c r="O36" s="188" t="s">
        <v>368</v>
      </c>
    </row>
    <row r="37" spans="3:17">
      <c r="C37" s="187"/>
      <c r="D37" s="187"/>
      <c r="E37" s="187"/>
      <c r="F37" s="187"/>
      <c r="G37" s="187"/>
      <c r="H37" s="187"/>
      <c r="I37" s="187"/>
      <c r="J37" s="187"/>
      <c r="K37" s="187"/>
      <c r="L37" s="187"/>
      <c r="M37" s="187"/>
      <c r="N37" s="187"/>
      <c r="O37" s="187"/>
    </row>
    <row r="38" spans="3:17">
      <c r="C38" s="1836" t="s">
        <v>365</v>
      </c>
      <c r="D38" s="1836" t="s">
        <v>337</v>
      </c>
      <c r="E38" s="1836" t="s">
        <v>156</v>
      </c>
      <c r="F38" s="1331" t="s">
        <v>203</v>
      </c>
      <c r="G38" s="1332" t="s">
        <v>712</v>
      </c>
      <c r="H38" s="1332" t="s">
        <v>713</v>
      </c>
      <c r="I38" s="1332" t="s">
        <v>714</v>
      </c>
      <c r="J38" s="1332" t="s">
        <v>715</v>
      </c>
      <c r="K38" s="1332" t="s">
        <v>716</v>
      </c>
      <c r="L38" s="1332" t="s">
        <v>717</v>
      </c>
      <c r="M38" s="1332" t="s">
        <v>718</v>
      </c>
      <c r="N38" s="1332" t="s">
        <v>719</v>
      </c>
      <c r="O38" s="1332" t="s">
        <v>720</v>
      </c>
    </row>
    <row r="39" spans="3:17">
      <c r="C39" s="1829" t="s">
        <v>350</v>
      </c>
      <c r="D39" s="1830" t="s">
        <v>346</v>
      </c>
      <c r="E39" s="189" t="str">
        <f>INDEX(IPCC[Sector_description], MATCH([IPCC Sector], IPCC[Sector_code], 0))</f>
        <v>Bioenergy credit</v>
      </c>
      <c r="F39" s="1832">
        <f ca="1">-F21</f>
        <v>-312.06776774193548</v>
      </c>
      <c r="G39" s="1832">
        <f t="shared" ref="G39:O39" ca="1" si="3">-G21</f>
        <v>-315.65952516129033</v>
      </c>
      <c r="H39" s="1832">
        <f t="shared" ca="1" si="3"/>
        <v>-313.43822369704787</v>
      </c>
      <c r="I39" s="1832">
        <f t="shared" ca="1" si="3"/>
        <v>-311.23074967548945</v>
      </c>
      <c r="J39" s="1832">
        <f t="shared" ca="1" si="3"/>
        <v>-309.03724192524675</v>
      </c>
      <c r="K39" s="1832">
        <f t="shared" ca="1" si="3"/>
        <v>-306.85784066880228</v>
      </c>
      <c r="L39" s="1832">
        <f t="shared" ca="1" si="3"/>
        <v>-304.69268753648345</v>
      </c>
      <c r="M39" s="1832">
        <f t="shared" ca="1" si="3"/>
        <v>-301.28798322580661</v>
      </c>
      <c r="N39" s="1832">
        <f t="shared" ca="1" si="3"/>
        <v>-297.68945741935494</v>
      </c>
      <c r="O39" s="1832">
        <f t="shared" ca="1" si="3"/>
        <v>-294.09093161290326</v>
      </c>
    </row>
    <row r="40" spans="3:17">
      <c r="C40" s="189"/>
      <c r="D40" s="196"/>
      <c r="E40" s="189"/>
      <c r="F40" s="1832"/>
      <c r="G40" s="1832"/>
      <c r="H40" s="1832"/>
      <c r="I40" s="1832"/>
      <c r="J40" s="1832"/>
      <c r="K40" s="1832"/>
      <c r="L40" s="1832"/>
      <c r="M40" s="1832"/>
      <c r="N40" s="1832"/>
      <c r="O40" s="1832"/>
    </row>
    <row r="41" spans="3:17">
      <c r="C41" s="189"/>
      <c r="D41" s="196"/>
      <c r="E41" s="189"/>
      <c r="F41" s="1832"/>
      <c r="G41" s="1832"/>
      <c r="H41" s="1832"/>
      <c r="I41" s="1832"/>
      <c r="J41" s="1832"/>
      <c r="K41" s="1832"/>
      <c r="L41" s="1832"/>
      <c r="M41" s="1832"/>
      <c r="N41" s="1832"/>
      <c r="O41" s="1832"/>
    </row>
    <row r="42" spans="3:17">
      <c r="C42" s="1833" t="s">
        <v>103</v>
      </c>
      <c r="D42" s="1833"/>
      <c r="E42" s="1833"/>
      <c r="F42" s="1834">
        <f ca="1">F39+F40+F41</f>
        <v>-312.06776774193548</v>
      </c>
      <c r="G42" s="1834">
        <f t="shared" ref="G42:O42" ca="1" si="4">G39+G40+G41</f>
        <v>-315.65952516129033</v>
      </c>
      <c r="H42" s="1834">
        <f t="shared" ca="1" si="4"/>
        <v>-313.43822369704787</v>
      </c>
      <c r="I42" s="1834">
        <f t="shared" ca="1" si="4"/>
        <v>-311.23074967548945</v>
      </c>
      <c r="J42" s="1834">
        <f t="shared" ca="1" si="4"/>
        <v>-309.03724192524675</v>
      </c>
      <c r="K42" s="1834">
        <f t="shared" ca="1" si="4"/>
        <v>-306.85784066880228</v>
      </c>
      <c r="L42" s="1834">
        <f t="shared" ca="1" si="4"/>
        <v>-304.69268753648345</v>
      </c>
      <c r="M42" s="1834">
        <f t="shared" ca="1" si="4"/>
        <v>-301.28798322580661</v>
      </c>
      <c r="N42" s="1834">
        <f t="shared" ca="1" si="4"/>
        <v>-297.68945741935494</v>
      </c>
      <c r="O42" s="1834">
        <f t="shared" ca="1" si="4"/>
        <v>-294.09093161290326</v>
      </c>
    </row>
  </sheetData>
  <pageMargins left="0.7" right="0.7" top="0.75" bottom="0.75" header="0.3" footer="0.3"/>
  <pageSetup paperSize="9" orientation="portrait"/>
  <tableParts count="3">
    <tablePart r:id="rId1"/>
    <tablePart r:id="rId2"/>
    <tablePart r:id="rId3"/>
  </tableParts>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sheetPr>
    <tabColor theme="9"/>
    <outlinePr summaryBelow="0"/>
    <pageSetUpPr autoPageBreaks="0"/>
  </sheetPr>
  <dimension ref="A1:R332"/>
  <sheetViews>
    <sheetView showGridLines="0" zoomScale="85" zoomScaleNormal="85" zoomScalePageLayoutView="85" workbookViewId="0">
      <selection activeCell="E7" sqref="E7"/>
    </sheetView>
  </sheetViews>
  <sheetFormatPr defaultColWidth="8.85546875" defaultRowHeight="12.75"/>
  <cols>
    <col min="1" max="1" width="7.7109375" style="2331" customWidth="1"/>
    <col min="2" max="2" width="5.85546875" style="2331" customWidth="1"/>
    <col min="3" max="3" width="20.42578125" style="2331" customWidth="1"/>
    <col min="4" max="4" width="30.7109375" style="2331" customWidth="1"/>
    <col min="5" max="5" width="20.7109375" style="2331" customWidth="1"/>
    <col min="6" max="15" width="17.7109375" style="2331" customWidth="1"/>
    <col min="16" max="16" width="10.7109375" style="2331" customWidth="1"/>
    <col min="17" max="17" width="10.85546875" style="2331" customWidth="1"/>
    <col min="18" max="16384" width="8.85546875" style="2331"/>
  </cols>
  <sheetData>
    <row r="1" spans="1:16" ht="21">
      <c r="A1" s="77" t="s">
        <v>191</v>
      </c>
      <c r="B1" s="77" t="str">
        <f>INDEX(Workstreams[Workstream], MATCH($A1, Workstreams[Code], 0))</f>
        <v>Waste</v>
      </c>
      <c r="C1" s="77"/>
    </row>
    <row r="2" spans="1:16" s="51" customFormat="1" ht="19.5" customHeight="1">
      <c r="A2" s="6" t="s">
        <v>296</v>
      </c>
      <c r="B2" s="6" t="str">
        <f>INDEX(Modules[Module], MATCH($A2, Modules[Code], 0))</f>
        <v>Waste to Electricity</v>
      </c>
      <c r="C2" s="6"/>
      <c r="E2" s="404"/>
    </row>
    <row r="4" spans="1:16" ht="22.5">
      <c r="A4" s="420"/>
      <c r="B4" s="206" t="s">
        <v>416</v>
      </c>
      <c r="C4" s="174"/>
      <c r="D4" s="175"/>
      <c r="E4" s="176"/>
      <c r="F4" s="175"/>
      <c r="G4" s="175"/>
      <c r="H4" s="175"/>
      <c r="I4" s="175"/>
      <c r="J4" s="175"/>
      <c r="K4" s="175"/>
      <c r="L4" s="175"/>
      <c r="M4" s="175"/>
      <c r="N4" s="175"/>
      <c r="O4" s="175"/>
      <c r="P4" s="177"/>
    </row>
    <row r="5" spans="1:16">
      <c r="B5" s="164"/>
      <c r="C5" s="165"/>
      <c r="D5" s="166"/>
      <c r="E5" s="167"/>
      <c r="F5" s="166"/>
      <c r="G5" s="166"/>
      <c r="H5" s="166"/>
      <c r="I5" s="166"/>
      <c r="J5" s="166"/>
      <c r="K5" s="166"/>
      <c r="L5" s="166"/>
      <c r="M5" s="166"/>
      <c r="N5" s="166"/>
      <c r="O5" s="166"/>
      <c r="P5" s="168"/>
    </row>
    <row r="6" spans="1:16" ht="15.75">
      <c r="B6" s="169"/>
      <c r="C6" s="166"/>
      <c r="D6" s="1700" t="s">
        <v>274</v>
      </c>
      <c r="E6" s="1700" t="s">
        <v>411</v>
      </c>
      <c r="F6" s="166"/>
      <c r="G6" s="166"/>
      <c r="H6" s="166"/>
      <c r="I6" s="166"/>
      <c r="J6" s="166"/>
      <c r="K6" s="166"/>
      <c r="L6" s="166"/>
      <c r="M6" s="166"/>
      <c r="N6" s="166"/>
      <c r="O6" s="166"/>
      <c r="P6" s="168"/>
    </row>
    <row r="7" spans="1:16" ht="15.75">
      <c r="B7" s="169"/>
      <c r="C7" s="166"/>
      <c r="D7" s="226" t="s">
        <v>414</v>
      </c>
      <c r="E7" s="226">
        <f>VI.a.scenario</f>
        <v>1</v>
      </c>
      <c r="F7" s="166"/>
      <c r="G7" s="166"/>
      <c r="H7" s="166"/>
      <c r="I7" s="166"/>
      <c r="J7" s="166"/>
      <c r="K7" s="166"/>
      <c r="L7" s="166"/>
      <c r="M7" s="166"/>
      <c r="N7" s="166"/>
      <c r="O7" s="166"/>
      <c r="P7" s="168"/>
    </row>
    <row r="8" spans="1:16" ht="15.75">
      <c r="B8" s="170"/>
      <c r="C8" s="171"/>
      <c r="D8" s="171"/>
      <c r="E8" s="171"/>
      <c r="F8" s="172"/>
      <c r="G8" s="172"/>
      <c r="H8" s="172"/>
      <c r="I8" s="172"/>
      <c r="J8" s="172"/>
      <c r="K8" s="172"/>
      <c r="L8" s="172"/>
      <c r="M8" s="172"/>
      <c r="N8" s="172"/>
      <c r="O8" s="172"/>
      <c r="P8" s="173"/>
    </row>
    <row r="10" spans="1:16">
      <c r="B10" s="208"/>
    </row>
    <row r="11" spans="1:16" ht="22.5">
      <c r="A11" s="420"/>
      <c r="B11" s="421" t="s">
        <v>413</v>
      </c>
      <c r="C11" s="159"/>
      <c r="D11" s="159"/>
      <c r="E11" s="159"/>
      <c r="F11" s="159"/>
      <c r="G11" s="159"/>
      <c r="H11" s="159"/>
      <c r="I11" s="159"/>
      <c r="J11" s="159"/>
      <c r="K11" s="159"/>
      <c r="L11" s="159"/>
      <c r="M11" s="159"/>
      <c r="N11" s="159"/>
      <c r="O11" s="159"/>
      <c r="P11" s="160"/>
    </row>
    <row r="12" spans="1:16">
      <c r="B12" s="210"/>
      <c r="C12" s="198"/>
      <c r="D12" s="198"/>
      <c r="E12" s="198"/>
      <c r="F12" s="198"/>
      <c r="G12" s="198"/>
      <c r="H12" s="198"/>
      <c r="I12" s="198"/>
      <c r="J12" s="198"/>
      <c r="K12" s="198"/>
      <c r="L12" s="198"/>
      <c r="M12" s="198"/>
      <c r="N12" s="198"/>
      <c r="O12" s="198"/>
      <c r="P12" s="199"/>
    </row>
    <row r="13" spans="1:16">
      <c r="B13" s="211"/>
      <c r="C13" s="2448" t="s">
        <v>1832</v>
      </c>
      <c r="D13" s="415"/>
      <c r="E13" s="104"/>
      <c r="F13" s="415"/>
      <c r="G13" s="415"/>
      <c r="H13" s="415"/>
      <c r="I13" s="415"/>
      <c r="J13" s="415"/>
      <c r="K13" s="415"/>
      <c r="L13" s="415"/>
      <c r="M13" s="415"/>
      <c r="N13" s="415"/>
      <c r="O13" s="104" t="s">
        <v>277</v>
      </c>
      <c r="P13" s="419"/>
    </row>
    <row r="14" spans="1:16" ht="5.25" customHeight="1">
      <c r="B14" s="211"/>
      <c r="C14" s="415"/>
      <c r="D14" s="415"/>
      <c r="E14" s="415"/>
      <c r="F14" s="415"/>
      <c r="G14" s="415"/>
      <c r="H14" s="415"/>
      <c r="I14" s="415"/>
      <c r="J14" s="415"/>
      <c r="K14" s="415"/>
      <c r="L14" s="415"/>
      <c r="M14" s="415"/>
      <c r="N14" s="415"/>
      <c r="O14" s="415"/>
      <c r="P14" s="419"/>
    </row>
    <row r="15" spans="1:16" ht="15.75">
      <c r="B15" s="212"/>
      <c r="C15" s="61" t="s">
        <v>411</v>
      </c>
      <c r="D15" s="61" t="s">
        <v>65</v>
      </c>
      <c r="E15" s="61" t="s">
        <v>156</v>
      </c>
      <c r="F15" s="238">
        <v>2007</v>
      </c>
      <c r="G15" s="119">
        <v>2012</v>
      </c>
      <c r="H15" s="119">
        <v>2017</v>
      </c>
      <c r="I15" s="119">
        <v>2022</v>
      </c>
      <c r="J15" s="119">
        <v>2027</v>
      </c>
      <c r="K15" s="119">
        <v>2032</v>
      </c>
      <c r="L15" s="119">
        <v>2037</v>
      </c>
      <c r="M15" s="119">
        <v>2042</v>
      </c>
      <c r="N15" s="119">
        <v>2047</v>
      </c>
      <c r="O15" s="119">
        <v>2052</v>
      </c>
      <c r="P15" s="2449"/>
    </row>
    <row r="16" spans="1:16" ht="15.75">
      <c r="B16" s="213"/>
      <c r="C16" s="413">
        <v>1</v>
      </c>
      <c r="D16" s="414"/>
      <c r="E16" s="96"/>
      <c r="F16" s="2375">
        <v>0</v>
      </c>
      <c r="G16" s="2375">
        <v>0</v>
      </c>
      <c r="H16" s="2375">
        <v>0</v>
      </c>
      <c r="I16" s="2375">
        <v>0</v>
      </c>
      <c r="J16" s="2375">
        <v>0</v>
      </c>
      <c r="K16" s="2375">
        <v>0</v>
      </c>
      <c r="L16" s="2375">
        <v>0</v>
      </c>
      <c r="M16" s="2375">
        <v>0</v>
      </c>
      <c r="N16" s="2375">
        <v>0</v>
      </c>
      <c r="O16" s="2375">
        <v>0</v>
      </c>
      <c r="P16" s="154"/>
    </row>
    <row r="17" spans="2:16" ht="15.75">
      <c r="B17" s="212"/>
      <c r="C17" s="413">
        <v>2</v>
      </c>
      <c r="D17" s="414"/>
      <c r="E17" s="414"/>
      <c r="F17" s="2375">
        <v>0</v>
      </c>
      <c r="G17" s="2375">
        <v>0</v>
      </c>
      <c r="H17" s="2376">
        <v>6.2500000000000003E-3</v>
      </c>
      <c r="I17" s="2376">
        <v>1.2500000000000001E-2</v>
      </c>
      <c r="J17" s="2376">
        <v>2.5000000000000001E-2</v>
      </c>
      <c r="K17" s="2375">
        <v>0.05</v>
      </c>
      <c r="L17" s="2375">
        <v>0.1</v>
      </c>
      <c r="M17" s="2375">
        <v>0.15</v>
      </c>
      <c r="N17" s="2375">
        <v>0.25</v>
      </c>
      <c r="O17" s="2375">
        <v>0.5</v>
      </c>
      <c r="P17" s="419"/>
    </row>
    <row r="18" spans="2:16" ht="15.75">
      <c r="B18" s="212"/>
      <c r="C18" s="413">
        <v>3</v>
      </c>
      <c r="D18" s="414"/>
      <c r="E18" s="414"/>
      <c r="F18" s="2375">
        <v>0</v>
      </c>
      <c r="G18" s="2375">
        <v>0</v>
      </c>
      <c r="H18" s="2375">
        <v>0.01</v>
      </c>
      <c r="I18" s="2376">
        <v>2.5000000000000001E-2</v>
      </c>
      <c r="J18" s="2376">
        <v>7.4999999999999997E-2</v>
      </c>
      <c r="K18" s="2375">
        <v>0.15</v>
      </c>
      <c r="L18" s="2375">
        <v>0.25</v>
      </c>
      <c r="M18" s="2376">
        <v>0.375</v>
      </c>
      <c r="N18" s="2375">
        <v>0.5</v>
      </c>
      <c r="O18" s="2375">
        <v>0.75</v>
      </c>
      <c r="P18" s="419"/>
    </row>
    <row r="19" spans="2:16" ht="15.75">
      <c r="B19" s="212"/>
      <c r="C19" s="411">
        <v>4</v>
      </c>
      <c r="D19" s="65"/>
      <c r="E19" s="65"/>
      <c r="F19" s="2375">
        <v>0</v>
      </c>
      <c r="G19" s="2375">
        <v>0</v>
      </c>
      <c r="H19" s="2375">
        <v>0.01</v>
      </c>
      <c r="I19" s="2376">
        <v>3.5000000000000003E-2</v>
      </c>
      <c r="J19" s="2376">
        <v>8.5000000000000006E-2</v>
      </c>
      <c r="K19" s="2376">
        <v>0.185</v>
      </c>
      <c r="L19" s="2375">
        <v>0.36</v>
      </c>
      <c r="M19" s="2375">
        <v>0.56000000000000005</v>
      </c>
      <c r="N19" s="2375">
        <v>0.76</v>
      </c>
      <c r="O19" s="2375">
        <v>1</v>
      </c>
      <c r="P19" s="419"/>
    </row>
    <row r="20" spans="2:16" ht="15.75">
      <c r="B20" s="152"/>
      <c r="C20" s="542" t="s">
        <v>406</v>
      </c>
      <c r="D20" s="407"/>
      <c r="E20" s="407"/>
      <c r="F20" s="2377">
        <f t="shared" ref="F20:O20" si="0">(INDEX(F$16:F$19,ROUNDDOWN($E$7,0))*(1-MOD($E$7,1)))+(INDEX(F$16:F$19,ROUNDUP($E$7,0))*MOD($E$7,1))</f>
        <v>0</v>
      </c>
      <c r="G20" s="2378">
        <f t="shared" si="0"/>
        <v>0</v>
      </c>
      <c r="H20" s="2377">
        <f t="shared" si="0"/>
        <v>0</v>
      </c>
      <c r="I20" s="2377">
        <f t="shared" si="0"/>
        <v>0</v>
      </c>
      <c r="J20" s="2377">
        <f t="shared" si="0"/>
        <v>0</v>
      </c>
      <c r="K20" s="2377">
        <f t="shared" si="0"/>
        <v>0</v>
      </c>
      <c r="L20" s="2377">
        <f t="shared" si="0"/>
        <v>0</v>
      </c>
      <c r="M20" s="2377">
        <f t="shared" si="0"/>
        <v>0</v>
      </c>
      <c r="N20" s="2377">
        <f t="shared" si="0"/>
        <v>0</v>
      </c>
      <c r="O20" s="2379">
        <f t="shared" si="0"/>
        <v>0</v>
      </c>
      <c r="P20" s="419"/>
    </row>
    <row r="21" spans="2:16">
      <c r="B21" s="214"/>
      <c r="C21" s="415"/>
      <c r="D21" s="105"/>
      <c r="E21" s="415"/>
      <c r="F21" s="415"/>
      <c r="G21" s="415"/>
      <c r="H21" s="415"/>
      <c r="I21" s="415"/>
      <c r="J21" s="415"/>
      <c r="K21" s="415"/>
      <c r="L21" s="415"/>
      <c r="M21" s="415"/>
      <c r="N21" s="415"/>
      <c r="O21" s="415"/>
      <c r="P21" s="419"/>
    </row>
    <row r="22" spans="2:16">
      <c r="B22" s="214"/>
      <c r="C22" s="2448" t="s">
        <v>1833</v>
      </c>
      <c r="D22" s="415"/>
      <c r="E22" s="104"/>
      <c r="F22" s="415"/>
      <c r="G22" s="415"/>
      <c r="H22" s="415"/>
      <c r="I22" s="415"/>
      <c r="J22" s="415"/>
      <c r="K22" s="415"/>
      <c r="L22" s="415"/>
      <c r="M22" s="415"/>
      <c r="N22" s="415"/>
      <c r="O22" s="104" t="s">
        <v>277</v>
      </c>
      <c r="P22" s="419"/>
    </row>
    <row r="23" spans="2:16" ht="5.25" customHeight="1">
      <c r="B23" s="214"/>
      <c r="C23" s="415"/>
      <c r="D23" s="415"/>
      <c r="E23" s="415"/>
      <c r="F23" s="415"/>
      <c r="G23" s="415"/>
      <c r="H23" s="415"/>
      <c r="I23" s="415"/>
      <c r="J23" s="415"/>
      <c r="K23" s="415"/>
      <c r="L23" s="415"/>
      <c r="M23" s="415"/>
      <c r="N23" s="415"/>
      <c r="O23" s="415"/>
      <c r="P23" s="419"/>
    </row>
    <row r="24" spans="2:16" ht="15.75">
      <c r="B24" s="212"/>
      <c r="C24" s="61" t="s">
        <v>411</v>
      </c>
      <c r="D24" s="61" t="s">
        <v>65</v>
      </c>
      <c r="E24" s="61" t="s">
        <v>156</v>
      </c>
      <c r="F24" s="238">
        <v>2007</v>
      </c>
      <c r="G24" s="119">
        <v>2012</v>
      </c>
      <c r="H24" s="119">
        <v>2017</v>
      </c>
      <c r="I24" s="119">
        <v>2022</v>
      </c>
      <c r="J24" s="119">
        <v>2027</v>
      </c>
      <c r="K24" s="119">
        <v>2032</v>
      </c>
      <c r="L24" s="119">
        <v>2037</v>
      </c>
      <c r="M24" s="119">
        <v>2042</v>
      </c>
      <c r="N24" s="119">
        <v>2047</v>
      </c>
      <c r="O24" s="119">
        <v>2052</v>
      </c>
      <c r="P24" s="419"/>
    </row>
    <row r="25" spans="2:16" ht="15.75">
      <c r="B25" s="212"/>
      <c r="C25" s="413">
        <v>1</v>
      </c>
      <c r="D25" s="414"/>
      <c r="E25" s="96"/>
      <c r="F25" s="2375">
        <v>0</v>
      </c>
      <c r="G25" s="2375">
        <v>0</v>
      </c>
      <c r="H25" s="2375">
        <v>0</v>
      </c>
      <c r="I25" s="2375">
        <v>0</v>
      </c>
      <c r="J25" s="2375">
        <v>0</v>
      </c>
      <c r="K25" s="2375">
        <v>0</v>
      </c>
      <c r="L25" s="2375">
        <v>0</v>
      </c>
      <c r="M25" s="2375">
        <v>0</v>
      </c>
      <c r="N25" s="2375">
        <v>0</v>
      </c>
      <c r="O25" s="2375">
        <v>0</v>
      </c>
      <c r="P25" s="419"/>
    </row>
    <row r="26" spans="2:16" ht="15.75">
      <c r="B26" s="212"/>
      <c r="C26" s="413">
        <v>2</v>
      </c>
      <c r="D26" s="414"/>
      <c r="E26" s="414"/>
      <c r="F26" s="2375">
        <v>0</v>
      </c>
      <c r="G26" s="2375">
        <v>0</v>
      </c>
      <c r="H26" s="2376">
        <v>2.5000000000000001E-2</v>
      </c>
      <c r="I26" s="2375">
        <v>0.05</v>
      </c>
      <c r="J26" s="2376">
        <v>7.4999999999999997E-2</v>
      </c>
      <c r="K26" s="2375">
        <v>0.1</v>
      </c>
      <c r="L26" s="2376">
        <v>0.125</v>
      </c>
      <c r="M26" s="2375">
        <v>0.15</v>
      </c>
      <c r="N26" s="2376">
        <v>0.17499999999999999</v>
      </c>
      <c r="O26" s="2375">
        <v>0.2</v>
      </c>
      <c r="P26" s="419"/>
    </row>
    <row r="27" spans="2:16" ht="15.75">
      <c r="B27" s="212"/>
      <c r="C27" s="413">
        <v>3</v>
      </c>
      <c r="D27" s="414"/>
      <c r="E27" s="414"/>
      <c r="F27" s="2375">
        <v>0</v>
      </c>
      <c r="G27" s="2375">
        <v>0</v>
      </c>
      <c r="H27" s="2376">
        <v>2.5000000000000001E-2</v>
      </c>
      <c r="I27" s="2376">
        <v>7.4999999999999997E-2</v>
      </c>
      <c r="J27" s="2376">
        <v>0.125</v>
      </c>
      <c r="K27" s="2376">
        <v>0.17499999999999999</v>
      </c>
      <c r="L27" s="2376">
        <v>0.22500000000000001</v>
      </c>
      <c r="M27" s="2376">
        <v>0.27500000000000002</v>
      </c>
      <c r="N27" s="2376">
        <v>0.32500000000000001</v>
      </c>
      <c r="O27" s="2376">
        <v>0.375</v>
      </c>
      <c r="P27" s="419"/>
    </row>
    <row r="28" spans="2:16" ht="15.75">
      <c r="B28" s="212"/>
      <c r="C28" s="411">
        <v>4</v>
      </c>
      <c r="D28" s="65"/>
      <c r="E28" s="65"/>
      <c r="F28" s="2375">
        <v>0</v>
      </c>
      <c r="G28" s="2375">
        <v>0</v>
      </c>
      <c r="H28" s="2376">
        <v>2.5000000000000001E-2</v>
      </c>
      <c r="I28" s="2376">
        <v>0.125</v>
      </c>
      <c r="J28" s="2376">
        <v>0.22500000000000001</v>
      </c>
      <c r="K28" s="2376">
        <v>0.32500000000000001</v>
      </c>
      <c r="L28" s="2376">
        <v>0.42499999999999999</v>
      </c>
      <c r="M28" s="2376">
        <v>0.52500000000000002</v>
      </c>
      <c r="N28" s="2376">
        <v>0.625</v>
      </c>
      <c r="O28" s="2376">
        <v>0.72499999999999998</v>
      </c>
      <c r="P28" s="419"/>
    </row>
    <row r="29" spans="2:16" ht="15.75">
      <c r="B29" s="152"/>
      <c r="C29" s="542" t="s">
        <v>406</v>
      </c>
      <c r="D29" s="407"/>
      <c r="E29" s="407"/>
      <c r="F29" s="408">
        <f t="shared" ref="F29:O29" si="1">(INDEX(F$25:F$28,ROUNDDOWN($E$7,0))*(1-MOD($E$7,1)))+(INDEX(F$25:F$28,ROUNDUP($E$7,0))*MOD($E$7,1))</f>
        <v>0</v>
      </c>
      <c r="G29" s="610">
        <f t="shared" si="1"/>
        <v>0</v>
      </c>
      <c r="H29" s="408">
        <f t="shared" si="1"/>
        <v>0</v>
      </c>
      <c r="I29" s="408">
        <f t="shared" si="1"/>
        <v>0</v>
      </c>
      <c r="J29" s="408">
        <f t="shared" si="1"/>
        <v>0</v>
      </c>
      <c r="K29" s="408">
        <f t="shared" si="1"/>
        <v>0</v>
      </c>
      <c r="L29" s="408">
        <f t="shared" si="1"/>
        <v>0</v>
      </c>
      <c r="M29" s="408">
        <f t="shared" si="1"/>
        <v>0</v>
      </c>
      <c r="N29" s="408">
        <f t="shared" si="1"/>
        <v>0</v>
      </c>
      <c r="O29" s="654">
        <f t="shared" si="1"/>
        <v>0</v>
      </c>
      <c r="P29" s="419"/>
    </row>
    <row r="30" spans="2:16" ht="15.75">
      <c r="B30" s="152"/>
      <c r="C30" s="126"/>
      <c r="D30" s="414"/>
      <c r="E30" s="414"/>
      <c r="F30" s="222"/>
      <c r="G30" s="222"/>
      <c r="H30" s="222"/>
      <c r="I30" s="222"/>
      <c r="J30" s="222"/>
      <c r="K30" s="222"/>
      <c r="L30" s="222"/>
      <c r="M30" s="222"/>
      <c r="N30" s="222"/>
      <c r="O30" s="137"/>
      <c r="P30" s="419"/>
    </row>
    <row r="31" spans="2:16" ht="15.75">
      <c r="B31" s="152"/>
      <c r="C31" s="416" t="s">
        <v>1834</v>
      </c>
      <c r="D31" s="415"/>
      <c r="E31" s="104"/>
      <c r="F31" s="415"/>
      <c r="G31" s="415"/>
      <c r="H31" s="415"/>
      <c r="I31" s="415"/>
      <c r="J31" s="415"/>
      <c r="K31" s="415"/>
      <c r="L31" s="415"/>
      <c r="M31" s="415"/>
      <c r="N31" s="415"/>
      <c r="O31" s="104" t="s">
        <v>277</v>
      </c>
      <c r="P31" s="419"/>
    </row>
    <row r="32" spans="2:16" ht="15.75">
      <c r="B32" s="152"/>
      <c r="C32" s="415"/>
      <c r="D32" s="415"/>
      <c r="E32" s="415"/>
      <c r="F32" s="415"/>
      <c r="G32" s="415"/>
      <c r="H32" s="415"/>
      <c r="I32" s="415"/>
      <c r="J32" s="415"/>
      <c r="K32" s="415"/>
      <c r="L32" s="415"/>
      <c r="M32" s="415"/>
      <c r="N32" s="415"/>
      <c r="O32" s="415"/>
      <c r="P32" s="419"/>
    </row>
    <row r="33" spans="2:16" ht="15.75">
      <c r="B33" s="152"/>
      <c r="C33" s="61" t="s">
        <v>411</v>
      </c>
      <c r="D33" s="61" t="s">
        <v>65</v>
      </c>
      <c r="E33" s="61" t="s">
        <v>156</v>
      </c>
      <c r="F33" s="238">
        <v>2007</v>
      </c>
      <c r="G33" s="119">
        <v>2012</v>
      </c>
      <c r="H33" s="119">
        <v>2017</v>
      </c>
      <c r="I33" s="119">
        <v>2022</v>
      </c>
      <c r="J33" s="119">
        <v>2027</v>
      </c>
      <c r="K33" s="119">
        <v>2032</v>
      </c>
      <c r="L33" s="119">
        <v>2037</v>
      </c>
      <c r="M33" s="119">
        <v>2042</v>
      </c>
      <c r="N33" s="119">
        <v>2047</v>
      </c>
      <c r="O33" s="119">
        <v>2052</v>
      </c>
      <c r="P33" s="419"/>
    </row>
    <row r="34" spans="2:16" ht="15.75">
      <c r="B34" s="152"/>
      <c r="C34" s="413">
        <v>1</v>
      </c>
      <c r="D34" s="414"/>
      <c r="E34" s="96"/>
      <c r="F34" s="2380">
        <v>0</v>
      </c>
      <c r="G34" s="2380">
        <v>0</v>
      </c>
      <c r="H34" s="2380">
        <v>0</v>
      </c>
      <c r="I34" s="2380">
        <v>0</v>
      </c>
      <c r="J34" s="2380">
        <v>0</v>
      </c>
      <c r="K34" s="2380">
        <v>0</v>
      </c>
      <c r="L34" s="2380">
        <v>0</v>
      </c>
      <c r="M34" s="2380">
        <v>0</v>
      </c>
      <c r="N34" s="2380">
        <v>0</v>
      </c>
      <c r="O34" s="2380">
        <v>0</v>
      </c>
      <c r="P34" s="419"/>
    </row>
    <row r="35" spans="2:16" ht="15.75">
      <c r="B35" s="152"/>
      <c r="C35" s="413">
        <v>2</v>
      </c>
      <c r="D35" s="414"/>
      <c r="E35" s="414"/>
      <c r="F35" s="2380">
        <v>0</v>
      </c>
      <c r="G35" s="1525">
        <v>6.0499999999999998E-2</v>
      </c>
      <c r="H35" s="1525">
        <v>6.4250000000000002E-2</v>
      </c>
      <c r="I35" s="1525">
        <v>8.4250000000000005E-2</v>
      </c>
      <c r="J35" s="1525">
        <v>0.10425</v>
      </c>
      <c r="K35" s="1525">
        <v>0.12425</v>
      </c>
      <c r="L35" s="1525">
        <v>0.14424999999999999</v>
      </c>
      <c r="M35" s="1525">
        <v>0.16425000000000001</v>
      </c>
      <c r="N35" s="1525">
        <v>0.18425</v>
      </c>
      <c r="O35" s="1525">
        <v>0.20424999999999999</v>
      </c>
      <c r="P35" s="419"/>
    </row>
    <row r="36" spans="2:16" ht="15.75">
      <c r="B36" s="152"/>
      <c r="C36" s="413">
        <v>3</v>
      </c>
      <c r="D36" s="414"/>
      <c r="E36" s="414"/>
      <c r="F36" s="2380">
        <v>0</v>
      </c>
      <c r="G36" s="1525">
        <v>6.0499999999999998E-2</v>
      </c>
      <c r="H36" s="1525">
        <v>6.4250000000000002E-2</v>
      </c>
      <c r="I36" s="1525">
        <v>0.10425</v>
      </c>
      <c r="J36" s="1525">
        <v>0.14424999999999999</v>
      </c>
      <c r="K36" s="1525">
        <v>0.18425</v>
      </c>
      <c r="L36" s="1525">
        <v>0.22425</v>
      </c>
      <c r="M36" s="1525">
        <v>0.26424999999999998</v>
      </c>
      <c r="N36" s="1525">
        <v>0.30425000000000002</v>
      </c>
      <c r="O36" s="1525">
        <v>0.34425</v>
      </c>
      <c r="P36" s="419"/>
    </row>
    <row r="37" spans="2:16" ht="15.75">
      <c r="B37" s="152"/>
      <c r="C37" s="411">
        <v>4</v>
      </c>
      <c r="D37" s="65"/>
      <c r="E37" s="65"/>
      <c r="F37" s="2380">
        <v>0</v>
      </c>
      <c r="G37" s="1525">
        <v>6.0499999999999998E-2</v>
      </c>
      <c r="H37" s="1525">
        <v>6.4250000000000002E-2</v>
      </c>
      <c r="I37" s="1525">
        <v>0.10425</v>
      </c>
      <c r="J37" s="1525">
        <v>0.14424999999999999</v>
      </c>
      <c r="K37" s="1525">
        <v>0.18425</v>
      </c>
      <c r="L37" s="1525">
        <v>0.22425</v>
      </c>
      <c r="M37" s="1525">
        <v>0.26424999999999998</v>
      </c>
      <c r="N37" s="1525">
        <v>0.30425000000000002</v>
      </c>
      <c r="O37" s="1525">
        <v>0.34425</v>
      </c>
      <c r="P37" s="419"/>
    </row>
    <row r="38" spans="2:16" ht="15.75">
      <c r="B38" s="152"/>
      <c r="C38" s="542" t="s">
        <v>406</v>
      </c>
      <c r="D38" s="407"/>
      <c r="E38" s="407"/>
      <c r="F38" s="408">
        <f t="shared" ref="F38:O38" si="2">(INDEX(F$34:F$37,ROUNDDOWN($E$7,0))*(1-MOD($E$7,1)))+(INDEX(F$34:F$37,ROUNDUP($E$7,0))*MOD($E$7,1))</f>
        <v>0</v>
      </c>
      <c r="G38" s="408">
        <f t="shared" si="2"/>
        <v>0</v>
      </c>
      <c r="H38" s="408">
        <f t="shared" si="2"/>
        <v>0</v>
      </c>
      <c r="I38" s="408">
        <f t="shared" si="2"/>
        <v>0</v>
      </c>
      <c r="J38" s="408">
        <f t="shared" si="2"/>
        <v>0</v>
      </c>
      <c r="K38" s="408">
        <f t="shared" si="2"/>
        <v>0</v>
      </c>
      <c r="L38" s="408">
        <f t="shared" si="2"/>
        <v>0</v>
      </c>
      <c r="M38" s="408">
        <f t="shared" si="2"/>
        <v>0</v>
      </c>
      <c r="N38" s="408">
        <f t="shared" si="2"/>
        <v>0</v>
      </c>
      <c r="O38" s="408">
        <f t="shared" si="2"/>
        <v>0</v>
      </c>
      <c r="P38" s="419"/>
    </row>
    <row r="39" spans="2:16">
      <c r="B39" s="214"/>
      <c r="C39" s="413"/>
      <c r="D39" s="414"/>
      <c r="E39" s="414"/>
      <c r="F39" s="98"/>
      <c r="G39" s="137"/>
      <c r="H39" s="137"/>
      <c r="I39" s="137"/>
      <c r="J39" s="137"/>
      <c r="K39" s="137"/>
      <c r="L39" s="137"/>
      <c r="M39" s="137"/>
      <c r="N39" s="137"/>
      <c r="O39" s="137"/>
      <c r="P39" s="419"/>
    </row>
    <row r="40" spans="2:16" ht="15.75">
      <c r="B40" s="152"/>
      <c r="C40" s="416" t="s">
        <v>1835</v>
      </c>
      <c r="D40" s="415"/>
      <c r="E40" s="104"/>
      <c r="F40" s="415"/>
      <c r="G40" s="415"/>
      <c r="H40" s="415"/>
      <c r="I40" s="415"/>
      <c r="J40" s="415"/>
      <c r="K40" s="415"/>
      <c r="L40" s="415"/>
      <c r="M40" s="415"/>
      <c r="N40" s="415"/>
      <c r="O40" s="104" t="s">
        <v>277</v>
      </c>
      <c r="P40" s="419"/>
    </row>
    <row r="41" spans="2:16" ht="15.75">
      <c r="B41" s="152"/>
      <c r="C41" s="415"/>
      <c r="D41" s="415"/>
      <c r="E41" s="415"/>
      <c r="F41" s="415"/>
      <c r="G41" s="415"/>
      <c r="H41" s="415"/>
      <c r="I41" s="415"/>
      <c r="J41" s="415"/>
      <c r="K41" s="415"/>
      <c r="L41" s="415"/>
      <c r="M41" s="415"/>
      <c r="N41" s="415"/>
      <c r="O41" s="415"/>
      <c r="P41" s="419"/>
    </row>
    <row r="42" spans="2:16" ht="15.75">
      <c r="B42" s="152"/>
      <c r="C42" s="61" t="s">
        <v>411</v>
      </c>
      <c r="D42" s="61" t="s">
        <v>65</v>
      </c>
      <c r="E42" s="61" t="s">
        <v>156</v>
      </c>
      <c r="F42" s="238">
        <v>2007</v>
      </c>
      <c r="G42" s="119">
        <v>2012</v>
      </c>
      <c r="H42" s="119">
        <v>2017</v>
      </c>
      <c r="I42" s="119">
        <v>2022</v>
      </c>
      <c r="J42" s="119">
        <v>2027</v>
      </c>
      <c r="K42" s="119">
        <v>2032</v>
      </c>
      <c r="L42" s="119">
        <v>2037</v>
      </c>
      <c r="M42" s="119">
        <v>2042</v>
      </c>
      <c r="N42" s="119">
        <v>2047</v>
      </c>
      <c r="O42" s="119">
        <v>2052</v>
      </c>
      <c r="P42" s="419"/>
    </row>
    <row r="43" spans="2:16" ht="15.75">
      <c r="B43" s="152"/>
      <c r="C43" s="413">
        <v>1</v>
      </c>
      <c r="D43" s="414"/>
      <c r="E43" s="96"/>
      <c r="F43" s="2381">
        <v>0</v>
      </c>
      <c r="G43" s="2381">
        <v>0</v>
      </c>
      <c r="H43" s="2381">
        <v>0</v>
      </c>
      <c r="I43" s="2381">
        <v>0</v>
      </c>
      <c r="J43" s="2381">
        <v>0</v>
      </c>
      <c r="K43" s="2381">
        <v>0</v>
      </c>
      <c r="L43" s="2381">
        <v>0</v>
      </c>
      <c r="M43" s="2381">
        <v>0</v>
      </c>
      <c r="N43" s="2381">
        <v>0</v>
      </c>
      <c r="O43" s="2381">
        <v>0</v>
      </c>
      <c r="P43" s="419"/>
    </row>
    <row r="44" spans="2:16" ht="15.75">
      <c r="B44" s="152"/>
      <c r="C44" s="413">
        <v>2</v>
      </c>
      <c r="D44" s="414"/>
      <c r="E44" s="414"/>
      <c r="F44" s="2381">
        <v>0</v>
      </c>
      <c r="G44" s="2381">
        <v>0</v>
      </c>
      <c r="H44" s="2381">
        <v>0</v>
      </c>
      <c r="I44" s="2381">
        <v>0</v>
      </c>
      <c r="J44" s="2381">
        <v>0</v>
      </c>
      <c r="K44" s="2381">
        <v>0</v>
      </c>
      <c r="L44" s="2381">
        <v>0</v>
      </c>
      <c r="M44" s="2381">
        <v>0</v>
      </c>
      <c r="N44" s="2381">
        <v>0</v>
      </c>
      <c r="O44" s="2381">
        <v>0</v>
      </c>
      <c r="P44" s="419"/>
    </row>
    <row r="45" spans="2:16" ht="15.75">
      <c r="B45" s="152"/>
      <c r="C45" s="413">
        <v>3</v>
      </c>
      <c r="D45" s="414"/>
      <c r="E45" s="414"/>
      <c r="F45" s="2381">
        <v>0</v>
      </c>
      <c r="G45" s="2381">
        <v>0</v>
      </c>
      <c r="H45" s="2381">
        <v>0</v>
      </c>
      <c r="I45" s="2381">
        <v>0</v>
      </c>
      <c r="J45" s="2381">
        <v>0</v>
      </c>
      <c r="K45" s="2381">
        <v>0</v>
      </c>
      <c r="L45" s="2381">
        <v>0</v>
      </c>
      <c r="M45" s="2381">
        <v>0</v>
      </c>
      <c r="N45" s="2381">
        <v>0</v>
      </c>
      <c r="O45" s="2381">
        <v>0</v>
      </c>
      <c r="P45" s="419"/>
    </row>
    <row r="46" spans="2:16" ht="15.75">
      <c r="B46" s="152"/>
      <c r="C46" s="411">
        <v>4</v>
      </c>
      <c r="D46" s="65"/>
      <c r="E46" s="65"/>
      <c r="F46" s="2381">
        <v>0</v>
      </c>
      <c r="G46" s="2381">
        <v>0</v>
      </c>
      <c r="H46" s="2381">
        <v>0</v>
      </c>
      <c r="I46" s="869">
        <v>0.05</v>
      </c>
      <c r="J46" s="869">
        <v>0.1</v>
      </c>
      <c r="K46" s="869">
        <v>0.15</v>
      </c>
      <c r="L46" s="869">
        <v>0.2</v>
      </c>
      <c r="M46" s="869">
        <v>0.25</v>
      </c>
      <c r="N46" s="869">
        <v>0.3</v>
      </c>
      <c r="O46" s="869">
        <v>0.35</v>
      </c>
      <c r="P46" s="419"/>
    </row>
    <row r="47" spans="2:16" ht="15.75">
      <c r="B47" s="152"/>
      <c r="C47" s="542" t="s">
        <v>406</v>
      </c>
      <c r="D47" s="407"/>
      <c r="E47" s="407"/>
      <c r="F47" s="408">
        <f t="shared" ref="F47:O47" si="3">(INDEX(F$43:F$46,ROUNDDOWN($E$7,0))*(1-MOD($E$7,1)))+(INDEX(F$43:F$46,ROUNDUP($E$7,0))*MOD($E$7,1))</f>
        <v>0</v>
      </c>
      <c r="G47" s="408">
        <f t="shared" si="3"/>
        <v>0</v>
      </c>
      <c r="H47" s="408">
        <f t="shared" si="3"/>
        <v>0</v>
      </c>
      <c r="I47" s="408">
        <f t="shared" si="3"/>
        <v>0</v>
      </c>
      <c r="J47" s="408">
        <f t="shared" si="3"/>
        <v>0</v>
      </c>
      <c r="K47" s="408">
        <f t="shared" si="3"/>
        <v>0</v>
      </c>
      <c r="L47" s="408">
        <f t="shared" si="3"/>
        <v>0</v>
      </c>
      <c r="M47" s="408">
        <f t="shared" si="3"/>
        <v>0</v>
      </c>
      <c r="N47" s="408">
        <f t="shared" si="3"/>
        <v>0</v>
      </c>
      <c r="O47" s="408">
        <f t="shared" si="3"/>
        <v>0</v>
      </c>
      <c r="P47" s="419"/>
    </row>
    <row r="48" spans="2:16">
      <c r="B48" s="214"/>
      <c r="C48" s="413"/>
      <c r="D48" s="414"/>
      <c r="E48" s="414"/>
      <c r="F48" s="98"/>
      <c r="G48" s="137"/>
      <c r="H48" s="137"/>
      <c r="I48" s="137"/>
      <c r="J48" s="137"/>
      <c r="K48" s="137"/>
      <c r="L48" s="137"/>
      <c r="M48" s="137"/>
      <c r="N48" s="137"/>
      <c r="O48" s="137"/>
      <c r="P48" s="419"/>
    </row>
    <row r="49" spans="2:16" ht="15.75">
      <c r="B49" s="152"/>
      <c r="C49" s="416" t="s">
        <v>1836</v>
      </c>
      <c r="D49" s="415"/>
      <c r="E49" s="104"/>
      <c r="F49" s="415"/>
      <c r="G49" s="415"/>
      <c r="H49" s="415"/>
      <c r="I49" s="415"/>
      <c r="J49" s="415"/>
      <c r="K49" s="415"/>
      <c r="L49" s="415"/>
      <c r="M49" s="415"/>
      <c r="N49" s="415"/>
      <c r="O49" s="104" t="str">
        <f>Preferences.PowerUnits</f>
        <v>GW</v>
      </c>
      <c r="P49" s="419"/>
    </row>
    <row r="50" spans="2:16" ht="15.75">
      <c r="B50" s="152"/>
      <c r="C50" s="415"/>
      <c r="D50" s="415"/>
      <c r="E50" s="415"/>
      <c r="F50" s="415"/>
      <c r="G50" s="415"/>
      <c r="H50" s="415"/>
      <c r="I50" s="415"/>
      <c r="J50" s="415"/>
      <c r="K50" s="415"/>
      <c r="L50" s="415"/>
      <c r="M50" s="415"/>
      <c r="N50" s="415"/>
      <c r="O50" s="415"/>
      <c r="P50" s="419"/>
    </row>
    <row r="51" spans="2:16" ht="15.75">
      <c r="B51" s="152"/>
      <c r="C51" s="61" t="s">
        <v>411</v>
      </c>
      <c r="D51" s="61" t="s">
        <v>65</v>
      </c>
      <c r="E51" s="61" t="s">
        <v>156</v>
      </c>
      <c r="F51" s="238">
        <v>2007</v>
      </c>
      <c r="G51" s="119">
        <v>2012</v>
      </c>
      <c r="H51" s="119">
        <v>2017</v>
      </c>
      <c r="I51" s="119">
        <v>2022</v>
      </c>
      <c r="J51" s="119">
        <v>2027</v>
      </c>
      <c r="K51" s="119">
        <v>2032</v>
      </c>
      <c r="L51" s="119">
        <v>2037</v>
      </c>
      <c r="M51" s="119">
        <v>2042</v>
      </c>
      <c r="N51" s="119">
        <v>2047</v>
      </c>
      <c r="O51" s="119">
        <v>2052</v>
      </c>
      <c r="P51" s="419"/>
    </row>
    <row r="52" spans="2:16" ht="15.75">
      <c r="B52" s="152"/>
      <c r="C52" s="413">
        <v>1</v>
      </c>
      <c r="D52" s="414"/>
      <c r="E52" s="96"/>
      <c r="F52" s="657">
        <v>0</v>
      </c>
      <c r="G52" s="415">
        <f t="shared" ref="G52:O52" si="4">96.03579*(Unit.MW)</f>
        <v>9.603579000000001E-2</v>
      </c>
      <c r="H52" s="415">
        <f t="shared" si="4"/>
        <v>9.603579000000001E-2</v>
      </c>
      <c r="I52" s="415">
        <f t="shared" si="4"/>
        <v>9.603579000000001E-2</v>
      </c>
      <c r="J52" s="415">
        <f t="shared" si="4"/>
        <v>9.603579000000001E-2</v>
      </c>
      <c r="K52" s="415">
        <f t="shared" si="4"/>
        <v>9.603579000000001E-2</v>
      </c>
      <c r="L52" s="415">
        <f t="shared" si="4"/>
        <v>9.603579000000001E-2</v>
      </c>
      <c r="M52" s="415">
        <f t="shared" si="4"/>
        <v>9.603579000000001E-2</v>
      </c>
      <c r="N52" s="415">
        <f t="shared" si="4"/>
        <v>9.603579000000001E-2</v>
      </c>
      <c r="O52" s="415">
        <f t="shared" si="4"/>
        <v>9.603579000000001E-2</v>
      </c>
      <c r="P52" s="419"/>
    </row>
    <row r="53" spans="2:16" ht="15.75">
      <c r="B53" s="152"/>
      <c r="C53" s="413">
        <v>2</v>
      </c>
      <c r="D53" s="414"/>
      <c r="E53" s="414"/>
      <c r="F53" s="656">
        <v>0</v>
      </c>
      <c r="G53" s="415">
        <f>96.03579*(Unit.MW)</f>
        <v>9.603579000000001E-2</v>
      </c>
      <c r="H53" s="415">
        <f>153.2403*(Unit.MW)</f>
        <v>0.1532403</v>
      </c>
      <c r="I53" s="415">
        <f>291.4749*(Unit.MW)</f>
        <v>0.29147489999999998</v>
      </c>
      <c r="J53" s="415">
        <f>521.2289*(Unit.MW)</f>
        <v>0.52122889999999999</v>
      </c>
      <c r="K53" s="415">
        <f>917.5333*(Unit.MW)</f>
        <v>0.91753330000000011</v>
      </c>
      <c r="L53" s="415">
        <f>1662.909*(Unit.MW)</f>
        <v>1.6629090000000002</v>
      </c>
      <c r="M53" s="415">
        <f>2474.212*(Unit.MW)</f>
        <v>2.4742120000000001</v>
      </c>
      <c r="N53" s="415">
        <f>3545.316*(Unit.MW)</f>
        <v>3.5453159999999997</v>
      </c>
      <c r="O53" s="415">
        <f>4956.347*(Unit.MW)</f>
        <v>4.9563470000000001</v>
      </c>
      <c r="P53" s="419"/>
    </row>
    <row r="54" spans="2:16" ht="15.75">
      <c r="B54" s="152"/>
      <c r="C54" s="413">
        <v>3</v>
      </c>
      <c r="D54" s="414"/>
      <c r="E54" s="414"/>
      <c r="F54" s="656">
        <v>0</v>
      </c>
      <c r="G54" s="415">
        <f>96.03579*(Unit.MW)</f>
        <v>9.603579000000001E-2</v>
      </c>
      <c r="H54" s="415">
        <f>153.2403*(Unit.MW)</f>
        <v>0.1532403</v>
      </c>
      <c r="I54" s="415">
        <f>360.6678*(Unit.MW)</f>
        <v>0.36066779999999998</v>
      </c>
      <c r="J54" s="415">
        <f>721.2208*(Unit.MW)</f>
        <v>0.72122080000000011</v>
      </c>
      <c r="K54" s="415">
        <f>1360.608*(Unit.MW)</f>
        <v>1.360608</v>
      </c>
      <c r="L54" s="415">
        <f>2585.146*(Unit.MW)</f>
        <v>2.5851460000000004</v>
      </c>
      <c r="M54" s="415">
        <f>3980.581*(Unit.MW)</f>
        <v>3.9805810000000004</v>
      </c>
      <c r="N54" s="415">
        <f>5854.342*(Unit.MW)</f>
        <v>5.8543419999999999</v>
      </c>
      <c r="O54" s="415">
        <f>8353.598*(Unit.MW)</f>
        <v>8.3535979999999999</v>
      </c>
      <c r="P54" s="419"/>
    </row>
    <row r="55" spans="2:16" ht="15.75">
      <c r="B55" s="152"/>
      <c r="C55" s="411">
        <v>4</v>
      </c>
      <c r="D55" s="65"/>
      <c r="E55" s="65"/>
      <c r="F55" s="655">
        <v>0</v>
      </c>
      <c r="G55" s="415">
        <f>96.03579*(Unit.MW)</f>
        <v>9.603579000000001E-2</v>
      </c>
      <c r="H55" s="415">
        <f>153.2403*(Unit.MW)</f>
        <v>0.1532403</v>
      </c>
      <c r="I55" s="415">
        <f>360.6678*(Unit.MW)</f>
        <v>0.36066779999999998</v>
      </c>
      <c r="J55" s="415">
        <f>721.2208*(Unit.MW)</f>
        <v>0.72122080000000011</v>
      </c>
      <c r="K55" s="415">
        <f>1360.608*(Unit.MW)</f>
        <v>1.360608</v>
      </c>
      <c r="L55" s="415">
        <f>2585.146*(Unit.MW)</f>
        <v>2.5851460000000004</v>
      </c>
      <c r="M55" s="415">
        <f>3980.581*(Unit.MW)</f>
        <v>3.9805810000000004</v>
      </c>
      <c r="N55" s="415">
        <f>5854.342*(Unit.MW)</f>
        <v>5.8543419999999999</v>
      </c>
      <c r="O55" s="415">
        <f>8353.598*(Unit.MW)</f>
        <v>8.3535979999999999</v>
      </c>
      <c r="P55" s="419"/>
    </row>
    <row r="56" spans="2:16" ht="15.75">
      <c r="B56" s="152"/>
      <c r="C56" s="542" t="s">
        <v>406</v>
      </c>
      <c r="D56" s="407"/>
      <c r="E56" s="407"/>
      <c r="F56" s="408">
        <f t="shared" ref="F56:O56" si="5">(INDEX(F$52:F$55,ROUNDDOWN($E$7,0))*(1-MOD($E$7,1)))+(INDEX(F$52:F$55,ROUNDUP($E$7,0))*MOD($E$7,1))</f>
        <v>0</v>
      </c>
      <c r="G56" s="408">
        <f t="shared" si="5"/>
        <v>9.603579000000001E-2</v>
      </c>
      <c r="H56" s="408">
        <f t="shared" si="5"/>
        <v>9.603579000000001E-2</v>
      </c>
      <c r="I56" s="408">
        <f t="shared" si="5"/>
        <v>9.603579000000001E-2</v>
      </c>
      <c r="J56" s="408">
        <f t="shared" si="5"/>
        <v>9.603579000000001E-2</v>
      </c>
      <c r="K56" s="408">
        <f t="shared" si="5"/>
        <v>9.603579000000001E-2</v>
      </c>
      <c r="L56" s="408">
        <f t="shared" si="5"/>
        <v>9.603579000000001E-2</v>
      </c>
      <c r="M56" s="408">
        <f t="shared" si="5"/>
        <v>9.603579000000001E-2</v>
      </c>
      <c r="N56" s="408">
        <f t="shared" si="5"/>
        <v>9.603579000000001E-2</v>
      </c>
      <c r="O56" s="408">
        <f t="shared" si="5"/>
        <v>9.603579000000001E-2</v>
      </c>
      <c r="P56" s="419"/>
    </row>
    <row r="57" spans="2:16">
      <c r="B57" s="214"/>
      <c r="C57" s="413"/>
      <c r="D57" s="414"/>
      <c r="E57" s="414"/>
      <c r="F57" s="98"/>
      <c r="G57" s="137"/>
      <c r="H57" s="137"/>
      <c r="I57" s="137"/>
      <c r="J57" s="137"/>
      <c r="K57" s="137"/>
      <c r="L57" s="137"/>
      <c r="M57" s="137"/>
      <c r="N57" s="137"/>
      <c r="O57" s="137"/>
      <c r="P57" s="419"/>
    </row>
    <row r="58" spans="2:16" ht="15.75">
      <c r="B58" s="152"/>
      <c r="C58" s="416" t="s">
        <v>1837</v>
      </c>
      <c r="D58" s="415"/>
      <c r="E58" s="104"/>
      <c r="F58" s="415"/>
      <c r="G58" s="415"/>
      <c r="H58" s="415"/>
      <c r="I58" s="415"/>
      <c r="J58" s="415"/>
      <c r="K58" s="415"/>
      <c r="L58" s="415"/>
      <c r="M58" s="415"/>
      <c r="N58" s="415"/>
      <c r="O58" s="104" t="s">
        <v>277</v>
      </c>
      <c r="P58" s="419"/>
    </row>
    <row r="59" spans="2:16" ht="15.75">
      <c r="B59" s="152"/>
      <c r="C59" s="415"/>
      <c r="D59" s="415"/>
      <c r="E59" s="415"/>
      <c r="F59" s="415"/>
      <c r="G59" s="415"/>
      <c r="H59" s="415"/>
      <c r="I59" s="415"/>
      <c r="J59" s="415"/>
      <c r="K59" s="415"/>
      <c r="L59" s="415"/>
      <c r="M59" s="415"/>
      <c r="N59" s="415"/>
      <c r="O59" s="415"/>
      <c r="P59" s="419"/>
    </row>
    <row r="60" spans="2:16" ht="15.75">
      <c r="B60" s="152"/>
      <c r="C60" s="61" t="s">
        <v>411</v>
      </c>
      <c r="D60" s="61" t="s">
        <v>65</v>
      </c>
      <c r="E60" s="61" t="s">
        <v>156</v>
      </c>
      <c r="F60" s="238">
        <v>2007</v>
      </c>
      <c r="G60" s="119">
        <v>2012</v>
      </c>
      <c r="H60" s="119">
        <v>2017</v>
      </c>
      <c r="I60" s="119">
        <v>2022</v>
      </c>
      <c r="J60" s="119">
        <v>2027</v>
      </c>
      <c r="K60" s="119">
        <v>2032</v>
      </c>
      <c r="L60" s="119">
        <v>2037</v>
      </c>
      <c r="M60" s="119">
        <v>2042</v>
      </c>
      <c r="N60" s="119">
        <v>2047</v>
      </c>
      <c r="O60" s="119">
        <v>2052</v>
      </c>
      <c r="P60" s="419"/>
    </row>
    <row r="61" spans="2:16" ht="15.75">
      <c r="B61" s="152"/>
      <c r="C61" s="413">
        <v>1</v>
      </c>
      <c r="D61" s="414"/>
      <c r="E61" s="96"/>
      <c r="F61" s="2382">
        <v>0</v>
      </c>
      <c r="G61" s="2382">
        <v>0</v>
      </c>
      <c r="H61" s="2382">
        <v>0</v>
      </c>
      <c r="I61" s="2382">
        <v>0</v>
      </c>
      <c r="J61" s="2382">
        <v>0</v>
      </c>
      <c r="K61" s="2382">
        <v>0</v>
      </c>
      <c r="L61" s="2382">
        <v>0</v>
      </c>
      <c r="M61" s="2382">
        <v>0</v>
      </c>
      <c r="N61" s="2382">
        <v>0</v>
      </c>
      <c r="O61" s="2382">
        <v>0</v>
      </c>
      <c r="P61" s="419"/>
    </row>
    <row r="62" spans="2:16" ht="15.75">
      <c r="B62" s="152"/>
      <c r="C62" s="413">
        <v>2</v>
      </c>
      <c r="D62" s="414"/>
      <c r="E62" s="414"/>
      <c r="F62" s="2382">
        <v>0</v>
      </c>
      <c r="G62" s="2382">
        <v>0</v>
      </c>
      <c r="H62" s="1525">
        <v>1.347921E-3</v>
      </c>
      <c r="I62" s="1525">
        <v>2.8433186793281199E-3</v>
      </c>
      <c r="J62" s="1525">
        <v>5.9977262111178603E-3</v>
      </c>
      <c r="K62" s="1525">
        <v>1.26516665068407E-2</v>
      </c>
      <c r="L62" s="1525">
        <v>2.6687557878785299E-2</v>
      </c>
      <c r="M62" s="1525">
        <v>5.6295014190297997E-2</v>
      </c>
      <c r="N62" s="1525">
        <v>0.118749292725847</v>
      </c>
      <c r="O62" s="1525">
        <v>0.25049100219108</v>
      </c>
      <c r="P62" s="419"/>
    </row>
    <row r="63" spans="2:16" ht="15.75">
      <c r="B63" s="152"/>
      <c r="C63" s="413">
        <v>3</v>
      </c>
      <c r="D63" s="414"/>
      <c r="E63" s="414"/>
      <c r="F63" s="2382">
        <v>0</v>
      </c>
      <c r="G63" s="2382">
        <v>0</v>
      </c>
      <c r="H63" s="1525">
        <v>1.3994890000000001E-3</v>
      </c>
      <c r="I63" s="1525">
        <v>3.2425987608079498E-3</v>
      </c>
      <c r="J63" s="1525">
        <v>7.5130613556757203E-3</v>
      </c>
      <c r="K63" s="1525">
        <v>1.7407670543882901E-2</v>
      </c>
      <c r="L63" s="1525">
        <v>4.0333358057225099E-2</v>
      </c>
      <c r="M63" s="1525">
        <v>9.3451893409366799E-2</v>
      </c>
      <c r="N63" s="1525">
        <v>0.21652688500186101</v>
      </c>
      <c r="O63" s="1525">
        <v>0.50169012331546703</v>
      </c>
      <c r="P63" s="419"/>
    </row>
    <row r="64" spans="2:16" ht="15.75">
      <c r="B64" s="152"/>
      <c r="C64" s="411">
        <v>4</v>
      </c>
      <c r="D64" s="65"/>
      <c r="E64" s="65"/>
      <c r="F64" s="2382">
        <v>0</v>
      </c>
      <c r="G64" s="2382">
        <v>0</v>
      </c>
      <c r="H64" s="1525">
        <v>1.4304159999999999E-3</v>
      </c>
      <c r="I64" s="1525">
        <v>3.5004046941079499E-3</v>
      </c>
      <c r="J64" s="1525">
        <v>8.5659227962585401E-3</v>
      </c>
      <c r="K64" s="1525">
        <v>2.0961871487308398E-2</v>
      </c>
      <c r="L64" s="1525">
        <v>5.1296289576921499E-2</v>
      </c>
      <c r="M64" s="1525">
        <v>0.12552835876093099</v>
      </c>
      <c r="N64" s="1525">
        <v>0.30718340416384499</v>
      </c>
      <c r="O64" s="1525">
        <v>0.75171574555037401</v>
      </c>
      <c r="P64" s="419"/>
    </row>
    <row r="65" spans="1:16" ht="15.75">
      <c r="B65" s="152"/>
      <c r="C65" s="542" t="s">
        <v>406</v>
      </c>
      <c r="D65" s="407"/>
      <c r="E65" s="407"/>
      <c r="F65" s="408">
        <f t="shared" ref="F65:O65" si="6">(INDEX(F$61:F$64,ROUNDDOWN($E$7,0))*(1-MOD($E$7,1)))+(INDEX(F$61:F$64,ROUNDUP($E$7,0))*MOD($E$7,1))</f>
        <v>0</v>
      </c>
      <c r="G65" s="408">
        <f t="shared" si="6"/>
        <v>0</v>
      </c>
      <c r="H65" s="408">
        <f t="shared" si="6"/>
        <v>0</v>
      </c>
      <c r="I65" s="408">
        <f t="shared" si="6"/>
        <v>0</v>
      </c>
      <c r="J65" s="408">
        <f t="shared" si="6"/>
        <v>0</v>
      </c>
      <c r="K65" s="408">
        <f t="shared" si="6"/>
        <v>0</v>
      </c>
      <c r="L65" s="408">
        <f t="shared" si="6"/>
        <v>0</v>
      </c>
      <c r="M65" s="408">
        <f t="shared" si="6"/>
        <v>0</v>
      </c>
      <c r="N65" s="408">
        <f t="shared" si="6"/>
        <v>0</v>
      </c>
      <c r="O65" s="408">
        <f t="shared" si="6"/>
        <v>0</v>
      </c>
      <c r="P65" s="419"/>
    </row>
    <row r="66" spans="1:16">
      <c r="B66" s="214"/>
      <c r="C66" s="413"/>
      <c r="D66" s="414"/>
      <c r="E66" s="414"/>
      <c r="F66" s="98"/>
      <c r="G66" s="137"/>
      <c r="H66" s="137"/>
      <c r="I66" s="137"/>
      <c r="J66" s="137"/>
      <c r="K66" s="137"/>
      <c r="L66" s="137"/>
      <c r="M66" s="137"/>
      <c r="N66" s="137"/>
      <c r="O66" s="137"/>
      <c r="P66" s="419"/>
    </row>
    <row r="67" spans="1:16">
      <c r="B67" s="208"/>
    </row>
    <row r="68" spans="1:16" s="51" customFormat="1" ht="22.5">
      <c r="A68" s="162"/>
      <c r="B68" s="421" t="s">
        <v>265</v>
      </c>
      <c r="C68" s="159"/>
      <c r="D68" s="159"/>
      <c r="E68" s="159"/>
      <c r="F68" s="159"/>
      <c r="G68" s="159"/>
      <c r="H68" s="159"/>
      <c r="I68" s="159"/>
      <c r="J68" s="159"/>
      <c r="K68" s="159"/>
      <c r="L68" s="159"/>
      <c r="M68" s="159"/>
      <c r="N68" s="159"/>
      <c r="O68" s="159"/>
      <c r="P68" s="160"/>
    </row>
    <row r="69" spans="1:16">
      <c r="B69" s="418"/>
      <c r="C69" s="415"/>
      <c r="D69" s="415"/>
      <c r="E69" s="415"/>
      <c r="F69" s="415"/>
      <c r="G69" s="415"/>
      <c r="H69" s="415"/>
      <c r="I69" s="415"/>
      <c r="J69" s="415"/>
      <c r="K69" s="415"/>
      <c r="L69" s="415"/>
      <c r="M69" s="415"/>
      <c r="N69" s="415"/>
      <c r="O69" s="415"/>
      <c r="P69" s="419"/>
    </row>
    <row r="70" spans="1:16">
      <c r="B70" s="214"/>
      <c r="C70" s="416" t="s">
        <v>1874</v>
      </c>
      <c r="D70" s="415"/>
      <c r="E70" s="415"/>
      <c r="F70" s="415"/>
      <c r="G70" s="415"/>
      <c r="H70" s="415"/>
      <c r="I70" s="415"/>
      <c r="J70" s="415"/>
      <c r="K70" s="415"/>
      <c r="L70" s="415"/>
      <c r="M70" s="415"/>
      <c r="N70" s="415"/>
      <c r="O70" s="415"/>
      <c r="P70" s="419"/>
    </row>
    <row r="71" spans="1:16" s="410" customFormat="1" ht="4.5" customHeight="1">
      <c r="B71" s="662"/>
      <c r="C71" s="201"/>
      <c r="D71" s="202"/>
      <c r="E71" s="203"/>
      <c r="F71" s="203"/>
      <c r="G71" s="203"/>
      <c r="H71" s="203"/>
      <c r="I71" s="203"/>
      <c r="J71" s="203"/>
      <c r="K71" s="203"/>
      <c r="L71" s="203"/>
      <c r="M71" s="203"/>
      <c r="N71" s="203"/>
      <c r="O71" s="203"/>
      <c r="P71" s="204"/>
    </row>
    <row r="72" spans="1:16" s="410" customFormat="1">
      <c r="B72" s="662"/>
      <c r="C72" s="3373" t="s">
        <v>65</v>
      </c>
      <c r="D72" s="3373"/>
      <c r="E72" s="61" t="s">
        <v>156</v>
      </c>
      <c r="F72" s="238">
        <v>2007</v>
      </c>
      <c r="G72" s="119">
        <v>2012</v>
      </c>
      <c r="H72" s="119">
        <v>2017</v>
      </c>
      <c r="I72" s="119">
        <v>2022</v>
      </c>
      <c r="J72" s="119">
        <v>2027</v>
      </c>
      <c r="K72" s="119">
        <v>2032</v>
      </c>
      <c r="L72" s="119">
        <v>2037</v>
      </c>
      <c r="M72" s="119">
        <v>2042</v>
      </c>
      <c r="N72" s="119">
        <v>2047</v>
      </c>
      <c r="O72" s="119">
        <v>2052</v>
      </c>
      <c r="P72" s="204"/>
    </row>
    <row r="73" spans="1:16" s="410" customFormat="1">
      <c r="B73" s="662"/>
      <c r="C73" s="2450" t="s">
        <v>1875</v>
      </c>
      <c r="D73" s="2450"/>
      <c r="E73" s="96"/>
      <c r="F73" s="657">
        <v>1131790.2972800001</v>
      </c>
      <c r="G73" s="415">
        <v>1218452.6668799999</v>
      </c>
      <c r="H73" s="415">
        <v>1303727.7204800001</v>
      </c>
      <c r="I73" s="415">
        <v>1386030.87308</v>
      </c>
      <c r="J73" s="415">
        <v>1464020.2396800001</v>
      </c>
      <c r="K73" s="415">
        <v>1536596.63528</v>
      </c>
      <c r="L73" s="415">
        <v>1602903.57488</v>
      </c>
      <c r="M73" s="415">
        <v>1662327.27348</v>
      </c>
      <c r="N73" s="415">
        <v>1714496.6460799999</v>
      </c>
      <c r="O73" s="415">
        <v>1759283.3076800001</v>
      </c>
      <c r="P73" s="204"/>
    </row>
    <row r="74" spans="1:16" s="410" customFormat="1">
      <c r="B74" s="662"/>
      <c r="C74" s="1976" t="s">
        <v>1876</v>
      </c>
      <c r="D74" s="1976"/>
      <c r="E74" s="414"/>
      <c r="F74" s="656">
        <v>328418.68872959999</v>
      </c>
      <c r="G74" s="415">
        <v>365976.38411910005</v>
      </c>
      <c r="H74" s="415">
        <v>404920.08091360005</v>
      </c>
      <c r="I74" s="415">
        <v>444642.25166310003</v>
      </c>
      <c r="J74" s="415">
        <v>484589.23541760002</v>
      </c>
      <c r="K74" s="415">
        <v>524261.23772710003</v>
      </c>
      <c r="L74" s="415">
        <v>563212.33064159995</v>
      </c>
      <c r="M74" s="415">
        <v>601050.45271109999</v>
      </c>
      <c r="N74" s="415">
        <v>637437.40898559999</v>
      </c>
      <c r="O74" s="415">
        <v>672088.87101510004</v>
      </c>
      <c r="P74" s="204"/>
    </row>
    <row r="75" spans="1:16" s="410" customFormat="1">
      <c r="B75" s="662"/>
      <c r="C75" s="1976" t="s">
        <v>1877</v>
      </c>
      <c r="D75" s="1976"/>
      <c r="E75" s="414"/>
      <c r="F75" s="656">
        <v>803371.60855040001</v>
      </c>
      <c r="G75" s="415">
        <v>852476.28276089986</v>
      </c>
      <c r="H75" s="415">
        <v>898807.63956640009</v>
      </c>
      <c r="I75" s="415">
        <v>941388.62141690007</v>
      </c>
      <c r="J75" s="415">
        <v>979431.00426240009</v>
      </c>
      <c r="K75" s="415">
        <v>1012335.3975529</v>
      </c>
      <c r="L75" s="415">
        <v>1039691.2442384</v>
      </c>
      <c r="M75" s="415">
        <v>1061276.8207689</v>
      </c>
      <c r="N75" s="415">
        <v>1077059.2370944</v>
      </c>
      <c r="O75" s="415">
        <v>1087194.4366649</v>
      </c>
      <c r="P75" s="204"/>
    </row>
    <row r="76" spans="1:16">
      <c r="B76" s="418"/>
      <c r="C76" s="762" t="s">
        <v>1878</v>
      </c>
      <c r="D76" s="762"/>
      <c r="E76" s="65"/>
      <c r="F76" s="655">
        <v>29.017627162812708</v>
      </c>
      <c r="G76" s="2451">
        <v>30.036159308200972</v>
      </c>
      <c r="H76" s="228">
        <v>31.058638590925913</v>
      </c>
      <c r="I76" s="228">
        <v>32.080255952382082</v>
      </c>
      <c r="J76" s="228">
        <v>33.099900007087314</v>
      </c>
      <c r="K76" s="228">
        <v>34.118338260682748</v>
      </c>
      <c r="L76" s="228">
        <v>35.137006334505458</v>
      </c>
      <c r="M76" s="228">
        <v>36.15716726182508</v>
      </c>
      <c r="N76" s="228">
        <v>37.179274187734784</v>
      </c>
      <c r="O76" s="228">
        <v>38.202424139486453</v>
      </c>
      <c r="P76" s="419"/>
    </row>
    <row r="77" spans="1:16">
      <c r="B77" s="214"/>
      <c r="C77" s="415"/>
      <c r="D77" s="415"/>
      <c r="E77" s="415"/>
      <c r="F77" s="415"/>
      <c r="G77" s="415"/>
      <c r="H77" s="415"/>
      <c r="I77" s="415"/>
      <c r="J77" s="415"/>
      <c r="K77" s="415"/>
      <c r="L77" s="415"/>
      <c r="M77" s="415"/>
      <c r="N77" s="415"/>
      <c r="O77" s="415"/>
      <c r="P77" s="419"/>
    </row>
    <row r="78" spans="1:16" s="410" customFormat="1">
      <c r="B78" s="662"/>
      <c r="C78" s="1560" t="s">
        <v>1879</v>
      </c>
      <c r="D78" s="202"/>
      <c r="E78" s="203"/>
      <c r="F78" s="203"/>
      <c r="G78" s="203"/>
      <c r="H78" s="203"/>
      <c r="I78" s="203"/>
      <c r="J78" s="203"/>
      <c r="K78" s="203"/>
      <c r="L78" s="203"/>
      <c r="M78" s="203"/>
      <c r="N78" s="203"/>
      <c r="O78" s="203"/>
      <c r="P78" s="204"/>
    </row>
    <row r="79" spans="1:16" s="410" customFormat="1" ht="6" customHeight="1">
      <c r="B79" s="662"/>
      <c r="C79" s="201"/>
      <c r="D79" s="205"/>
      <c r="E79" s="203"/>
      <c r="F79" s="203"/>
      <c r="G79" s="203"/>
      <c r="H79" s="203"/>
      <c r="I79" s="203"/>
      <c r="J79" s="203"/>
      <c r="K79" s="203"/>
      <c r="L79" s="203"/>
      <c r="M79" s="203"/>
      <c r="N79" s="203"/>
      <c r="O79" s="203"/>
      <c r="P79" s="204"/>
    </row>
    <row r="80" spans="1:16" s="410" customFormat="1">
      <c r="B80" s="662"/>
      <c r="C80" s="924"/>
      <c r="D80" s="924"/>
      <c r="E80" s="924" t="s">
        <v>156</v>
      </c>
      <c r="F80" s="2264">
        <v>2007</v>
      </c>
      <c r="G80" s="121">
        <v>2012</v>
      </c>
      <c r="H80" s="121">
        <v>2017</v>
      </c>
      <c r="I80" s="121">
        <v>2022</v>
      </c>
      <c r="J80" s="121">
        <v>2027</v>
      </c>
      <c r="K80" s="121">
        <v>2032</v>
      </c>
      <c r="L80" s="121">
        <v>2037</v>
      </c>
      <c r="M80" s="121">
        <v>2042</v>
      </c>
      <c r="N80" s="121">
        <v>2047</v>
      </c>
      <c r="O80" s="121">
        <v>2052</v>
      </c>
      <c r="P80" s="204"/>
    </row>
    <row r="81" spans="2:16" s="410" customFormat="1">
      <c r="B81" s="662"/>
      <c r="C81" s="1854" t="s">
        <v>1879</v>
      </c>
      <c r="D81" s="108"/>
      <c r="E81" s="2452"/>
      <c r="F81" s="1384">
        <v>0.3378487257792</v>
      </c>
      <c r="G81" s="1384">
        <v>0.37301229251839574</v>
      </c>
      <c r="H81" s="1384">
        <v>0.41183571152718373</v>
      </c>
      <c r="I81" s="1384">
        <v>0.45469990316937658</v>
      </c>
      <c r="J81" s="1384">
        <v>0.50202543430620761</v>
      </c>
      <c r="K81" s="1384">
        <v>0.55427664473562654</v>
      </c>
      <c r="L81" s="1384">
        <v>0.61196620311471173</v>
      </c>
      <c r="M81" s="1384">
        <v>0.67566013706614536</v>
      </c>
      <c r="N81" s="1384">
        <v>0.74598338682221188</v>
      </c>
      <c r="O81" s="1384">
        <v>0.82362593689652419</v>
      </c>
      <c r="P81" s="204"/>
    </row>
    <row r="82" spans="2:16" s="410" customFormat="1">
      <c r="B82" s="662"/>
      <c r="C82" s="126"/>
      <c r="D82" s="205"/>
      <c r="E82" s="203"/>
      <c r="F82" s="203"/>
      <c r="G82" s="203"/>
      <c r="H82" s="203"/>
      <c r="I82" s="203"/>
      <c r="J82" s="203"/>
      <c r="K82" s="203"/>
      <c r="L82" s="203"/>
      <c r="M82" s="203"/>
      <c r="N82" s="203"/>
      <c r="O82" s="203"/>
      <c r="P82" s="204"/>
    </row>
    <row r="83" spans="2:16">
      <c r="B83" s="418"/>
      <c r="C83" s="416" t="s">
        <v>1880</v>
      </c>
      <c r="D83" s="415"/>
      <c r="E83" s="415"/>
      <c r="F83" s="415"/>
      <c r="G83" s="415"/>
      <c r="H83" s="415"/>
      <c r="I83" s="415"/>
      <c r="J83" s="415"/>
      <c r="K83" s="415"/>
      <c r="L83" s="415"/>
      <c r="M83" s="415"/>
      <c r="N83" s="415"/>
      <c r="O83" s="415"/>
      <c r="P83" s="419"/>
    </row>
    <row r="84" spans="2:16" ht="4.5" customHeight="1">
      <c r="B84" s="214"/>
      <c r="C84" s="415"/>
      <c r="D84" s="415"/>
      <c r="E84" s="415"/>
      <c r="F84" s="415"/>
      <c r="G84" s="415"/>
      <c r="H84" s="415"/>
      <c r="I84" s="415"/>
      <c r="J84" s="415"/>
      <c r="K84" s="415"/>
      <c r="L84" s="415"/>
      <c r="M84" s="415"/>
      <c r="N84" s="415"/>
      <c r="O84" s="415"/>
      <c r="P84" s="419"/>
    </row>
    <row r="85" spans="2:16" s="410" customFormat="1">
      <c r="B85" s="662"/>
      <c r="C85" s="924"/>
      <c r="D85" s="924"/>
      <c r="E85" s="924" t="s">
        <v>156</v>
      </c>
      <c r="F85" s="2264">
        <v>2007</v>
      </c>
      <c r="G85" s="121">
        <v>2012</v>
      </c>
      <c r="H85" s="121">
        <v>2017</v>
      </c>
      <c r="I85" s="121">
        <v>2022</v>
      </c>
      <c r="J85" s="121">
        <v>2027</v>
      </c>
      <c r="K85" s="121">
        <v>2032</v>
      </c>
      <c r="L85" s="121">
        <v>2037</v>
      </c>
      <c r="M85" s="121">
        <v>2042</v>
      </c>
      <c r="N85" s="121">
        <v>2047</v>
      </c>
      <c r="O85" s="121">
        <v>2052</v>
      </c>
      <c r="P85" s="204"/>
    </row>
    <row r="86" spans="2:16" s="410" customFormat="1">
      <c r="B86" s="662"/>
      <c r="C86" s="1854" t="s">
        <v>1880</v>
      </c>
      <c r="D86" s="108"/>
      <c r="E86" s="2452"/>
      <c r="F86" s="1384">
        <f>F74*F81</f>
        <v>110955.83550937107</v>
      </c>
      <c r="G86" s="1384">
        <f t="shared" ref="G86:O86" si="7">G74*G81</f>
        <v>136513.69004785852</v>
      </c>
      <c r="H86" s="1384">
        <f t="shared" si="7"/>
        <v>166760.54963469729</v>
      </c>
      <c r="I86" s="1384">
        <f t="shared" si="7"/>
        <v>202178.78877622515</v>
      </c>
      <c r="J86" s="1384">
        <f t="shared" si="7"/>
        <v>243276.12137063374</v>
      </c>
      <c r="K86" s="1384">
        <f t="shared" si="7"/>
        <v>290585.75981232367</v>
      </c>
      <c r="L86" s="1384">
        <f t="shared" si="7"/>
        <v>344666.91153012752</v>
      </c>
      <c r="M86" s="1384">
        <f t="shared" si="7"/>
        <v>406105.83126245055</v>
      </c>
      <c r="N86" s="1384">
        <f t="shared" si="7"/>
        <v>475517.7172422533</v>
      </c>
      <c r="O86" s="1384">
        <f t="shared" si="7"/>
        <v>553549.82606753893</v>
      </c>
      <c r="P86" s="204"/>
    </row>
    <row r="87" spans="2:16" s="410" customFormat="1">
      <c r="B87" s="662"/>
      <c r="C87" s="126"/>
      <c r="D87" s="205"/>
      <c r="E87" s="203"/>
      <c r="F87" s="203"/>
      <c r="G87" s="203"/>
      <c r="H87" s="203"/>
      <c r="I87" s="203"/>
      <c r="J87" s="203"/>
      <c r="K87" s="203"/>
      <c r="L87" s="203"/>
      <c r="M87" s="203"/>
      <c r="N87" s="203"/>
      <c r="O87" s="203"/>
      <c r="P87" s="204"/>
    </row>
    <row r="88" spans="2:16" s="410" customFormat="1">
      <c r="B88" s="662"/>
      <c r="C88" s="416" t="s">
        <v>1881</v>
      </c>
      <c r="D88" s="415"/>
      <c r="E88" s="415"/>
      <c r="F88" s="415"/>
      <c r="G88" s="415"/>
      <c r="H88" s="415"/>
      <c r="I88" s="415"/>
      <c r="J88" s="415"/>
      <c r="K88" s="415"/>
      <c r="L88" s="415"/>
      <c r="M88" s="415"/>
      <c r="N88" s="415"/>
      <c r="O88" s="415"/>
      <c r="P88" s="204"/>
    </row>
    <row r="89" spans="2:16" s="410" customFormat="1" ht="4.5" customHeight="1">
      <c r="B89" s="662"/>
      <c r="C89" s="415"/>
      <c r="D89" s="415"/>
      <c r="E89" s="415"/>
      <c r="F89" s="415"/>
      <c r="G89" s="415"/>
      <c r="H89" s="415"/>
      <c r="I89" s="415"/>
      <c r="J89" s="415"/>
      <c r="K89" s="415"/>
      <c r="L89" s="415"/>
      <c r="M89" s="415"/>
      <c r="N89" s="415"/>
      <c r="O89" s="415"/>
      <c r="P89" s="204"/>
    </row>
    <row r="90" spans="2:16">
      <c r="B90" s="418"/>
      <c r="C90" s="924"/>
      <c r="D90" s="924"/>
      <c r="E90" s="924" t="s">
        <v>156</v>
      </c>
      <c r="F90" s="2264">
        <v>2007</v>
      </c>
      <c r="G90" s="121">
        <v>2012</v>
      </c>
      <c r="H90" s="121">
        <v>2017</v>
      </c>
      <c r="I90" s="121">
        <v>2022</v>
      </c>
      <c r="J90" s="121">
        <v>2027</v>
      </c>
      <c r="K90" s="121">
        <v>2032</v>
      </c>
      <c r="L90" s="121">
        <v>2037</v>
      </c>
      <c r="M90" s="121">
        <v>2042</v>
      </c>
      <c r="N90" s="121">
        <v>2047</v>
      </c>
      <c r="O90" s="121">
        <v>2052</v>
      </c>
      <c r="P90" s="419"/>
    </row>
    <row r="91" spans="2:16">
      <c r="B91" s="214"/>
      <c r="C91" s="1854" t="s">
        <v>1881</v>
      </c>
      <c r="D91" s="108"/>
      <c r="E91" s="2452"/>
      <c r="F91" s="1384">
        <v>0</v>
      </c>
      <c r="G91" s="1384">
        <v>7.460245850367915E-2</v>
      </c>
      <c r="H91" s="1384">
        <v>9.2663035093616369E-2</v>
      </c>
      <c r="I91" s="1384">
        <v>0.11651685018715278</v>
      </c>
      <c r="J91" s="1384">
        <v>0.14881468231219733</v>
      </c>
      <c r="K91" s="1384">
        <v>0.19399682565746942</v>
      </c>
      <c r="L91" s="1384">
        <v>0.2600856363237527</v>
      </c>
      <c r="M91" s="1384">
        <v>0.2905338589384428</v>
      </c>
      <c r="N91" s="1384">
        <v>0.32450277326766253</v>
      </c>
      <c r="O91" s="1384">
        <v>0.36239541223447108</v>
      </c>
      <c r="P91" s="419"/>
    </row>
    <row r="92" spans="2:16" s="410" customFormat="1">
      <c r="B92" s="662"/>
      <c r="C92" s="201"/>
      <c r="D92" s="202"/>
      <c r="E92" s="203"/>
      <c r="F92" s="203"/>
      <c r="G92" s="203"/>
      <c r="H92" s="203"/>
      <c r="I92" s="203"/>
      <c r="J92" s="203"/>
      <c r="K92" s="203"/>
      <c r="L92" s="203"/>
      <c r="M92" s="203"/>
      <c r="N92" s="203"/>
      <c r="O92" s="203"/>
      <c r="P92" s="204"/>
    </row>
    <row r="93" spans="2:16" s="410" customFormat="1">
      <c r="B93" s="662"/>
      <c r="C93" s="416" t="s">
        <v>1882</v>
      </c>
      <c r="D93" s="415"/>
      <c r="E93" s="415"/>
      <c r="F93" s="415"/>
      <c r="G93" s="415"/>
      <c r="H93" s="415"/>
      <c r="I93" s="415"/>
      <c r="J93" s="415"/>
      <c r="K93" s="415"/>
      <c r="L93" s="415"/>
      <c r="M93" s="415"/>
      <c r="N93" s="415"/>
      <c r="O93" s="415"/>
      <c r="P93" s="204"/>
    </row>
    <row r="94" spans="2:16" s="410" customFormat="1" ht="4.5" customHeight="1">
      <c r="B94" s="662"/>
      <c r="C94" s="415"/>
      <c r="D94" s="415"/>
      <c r="E94" s="415"/>
      <c r="F94" s="415"/>
      <c r="G94" s="415"/>
      <c r="H94" s="415"/>
      <c r="I94" s="415"/>
      <c r="J94" s="415"/>
      <c r="K94" s="415"/>
      <c r="L94" s="415"/>
      <c r="M94" s="415"/>
      <c r="N94" s="415"/>
      <c r="O94" s="415"/>
      <c r="P94" s="204"/>
    </row>
    <row r="95" spans="2:16" s="410" customFormat="1">
      <c r="B95" s="662"/>
      <c r="C95" s="924"/>
      <c r="D95" s="924"/>
      <c r="E95" s="924" t="s">
        <v>156</v>
      </c>
      <c r="F95" s="2264">
        <v>2007</v>
      </c>
      <c r="G95" s="121">
        <v>2012</v>
      </c>
      <c r="H95" s="121">
        <v>2017</v>
      </c>
      <c r="I95" s="121">
        <v>2022</v>
      </c>
      <c r="J95" s="121">
        <v>2027</v>
      </c>
      <c r="K95" s="121">
        <v>2032</v>
      </c>
      <c r="L95" s="121">
        <v>2037</v>
      </c>
      <c r="M95" s="121">
        <v>2042</v>
      </c>
      <c r="N95" s="121">
        <v>2047</v>
      </c>
      <c r="O95" s="121">
        <v>2052</v>
      </c>
      <c r="P95" s="204"/>
    </row>
    <row r="96" spans="2:16" s="410" customFormat="1">
      <c r="B96" s="662"/>
      <c r="C96" s="1854" t="s">
        <v>1882</v>
      </c>
      <c r="D96" s="108"/>
      <c r="E96" s="2452"/>
      <c r="F96" s="1384">
        <f>F75*F91</f>
        <v>0</v>
      </c>
      <c r="G96" s="1384">
        <f t="shared" ref="G96:O96" si="8">G75*G91</f>
        <v>63596.826510040686</v>
      </c>
      <c r="H96" s="1384">
        <f t="shared" si="8"/>
        <v>83286.243847551828</v>
      </c>
      <c r="I96" s="1384">
        <f t="shared" si="8"/>
        <v>109687.63696952324</v>
      </c>
      <c r="J96" s="1384">
        <f t="shared" si="8"/>
        <v>145753.71374602546</v>
      </c>
      <c r="K96" s="1384">
        <f t="shared" si="8"/>
        <v>196389.85362595494</v>
      </c>
      <c r="L96" s="1384">
        <f t="shared" si="8"/>
        <v>270408.75883797847</v>
      </c>
      <c r="M96" s="1384">
        <f t="shared" si="8"/>
        <v>308336.85013991065</v>
      </c>
      <c r="N96" s="1384">
        <f t="shared" si="8"/>
        <v>349508.70941068564</v>
      </c>
      <c r="O96" s="1384">
        <f t="shared" si="8"/>
        <v>393994.27605420002</v>
      </c>
      <c r="P96" s="204"/>
    </row>
    <row r="97" spans="2:16">
      <c r="B97" s="418"/>
      <c r="C97" s="415"/>
      <c r="D97" s="415"/>
      <c r="E97" s="415"/>
      <c r="F97" s="415"/>
      <c r="G97" s="415"/>
      <c r="H97" s="415"/>
      <c r="I97" s="415"/>
      <c r="J97" s="415"/>
      <c r="K97" s="415"/>
      <c r="L97" s="415"/>
      <c r="M97" s="415"/>
      <c r="N97" s="415"/>
      <c r="O97" s="415"/>
      <c r="P97" s="419"/>
    </row>
    <row r="98" spans="2:16">
      <c r="B98" s="214"/>
      <c r="C98" s="416" t="s">
        <v>1883</v>
      </c>
      <c r="D98" s="415"/>
      <c r="E98" s="415"/>
      <c r="F98" s="415"/>
      <c r="G98" s="415"/>
      <c r="H98" s="415"/>
      <c r="I98" s="415"/>
      <c r="J98" s="415"/>
      <c r="K98" s="415"/>
      <c r="L98" s="415"/>
      <c r="M98" s="415"/>
      <c r="N98" s="415"/>
      <c r="O98" s="415"/>
      <c r="P98" s="419"/>
    </row>
    <row r="99" spans="2:16" s="410" customFormat="1" ht="3.75" customHeight="1">
      <c r="B99" s="662"/>
      <c r="C99" s="415"/>
      <c r="D99" s="415"/>
      <c r="E99" s="415"/>
      <c r="F99" s="415"/>
      <c r="G99" s="415"/>
      <c r="H99" s="415"/>
      <c r="I99" s="415"/>
      <c r="J99" s="415"/>
      <c r="K99" s="415"/>
      <c r="L99" s="415"/>
      <c r="M99" s="415"/>
      <c r="N99" s="415"/>
      <c r="O99" s="415"/>
      <c r="P99" s="204"/>
    </row>
    <row r="100" spans="2:16" s="410" customFormat="1">
      <c r="B100" s="662"/>
      <c r="C100" s="924"/>
      <c r="D100" s="924"/>
      <c r="E100" s="924" t="s">
        <v>156</v>
      </c>
      <c r="F100" s="2264">
        <v>2007</v>
      </c>
      <c r="G100" s="121">
        <v>2012</v>
      </c>
      <c r="H100" s="121">
        <v>2017</v>
      </c>
      <c r="I100" s="121">
        <v>2022</v>
      </c>
      <c r="J100" s="121">
        <v>2027</v>
      </c>
      <c r="K100" s="121">
        <v>2032</v>
      </c>
      <c r="L100" s="121">
        <v>2037</v>
      </c>
      <c r="M100" s="121">
        <v>2042</v>
      </c>
      <c r="N100" s="121">
        <v>2047</v>
      </c>
      <c r="O100" s="121">
        <v>2052</v>
      </c>
      <c r="P100" s="204"/>
    </row>
    <row r="101" spans="2:16" s="410" customFormat="1">
      <c r="B101" s="662"/>
      <c r="C101" s="1854" t="s">
        <v>1883</v>
      </c>
      <c r="D101" s="108"/>
      <c r="E101" s="2452"/>
      <c r="F101" s="1986">
        <v>0</v>
      </c>
      <c r="G101" s="1986">
        <v>0.7</v>
      </c>
      <c r="H101" s="1986">
        <v>0.7357070350699999</v>
      </c>
      <c r="I101" s="1986">
        <v>0.77323548778784301</v>
      </c>
      <c r="J101" s="1986">
        <v>0.81267826875899885</v>
      </c>
      <c r="K101" s="1986">
        <v>0.85413302796357671</v>
      </c>
      <c r="L101" s="1986">
        <v>0.89770239651206341</v>
      </c>
      <c r="M101" s="1986">
        <v>0.94349424073303401</v>
      </c>
      <c r="N101" s="1986">
        <v>0.99162192922188752</v>
      </c>
      <c r="O101" s="1986">
        <v>1</v>
      </c>
      <c r="P101" s="204"/>
    </row>
    <row r="102" spans="2:16" s="410" customFormat="1">
      <c r="B102" s="662"/>
      <c r="C102" s="126"/>
      <c r="D102" s="205"/>
      <c r="E102" s="203"/>
      <c r="F102" s="463"/>
      <c r="G102" s="203"/>
      <c r="H102" s="203"/>
      <c r="I102" s="203"/>
      <c r="J102" s="203"/>
      <c r="K102" s="203"/>
      <c r="L102" s="203"/>
      <c r="M102" s="203"/>
      <c r="N102" s="203"/>
      <c r="O102" s="203"/>
      <c r="P102" s="204"/>
    </row>
    <row r="103" spans="2:16" s="410" customFormat="1">
      <c r="B103" s="662"/>
      <c r="C103" s="877" t="s">
        <v>1884</v>
      </c>
      <c r="D103" s="205"/>
      <c r="E103" s="203"/>
      <c r="F103" s="203"/>
      <c r="G103" s="203"/>
      <c r="H103" s="203"/>
      <c r="I103" s="203"/>
      <c r="J103" s="203"/>
      <c r="K103" s="203"/>
      <c r="L103" s="203"/>
      <c r="M103" s="203"/>
      <c r="N103" s="203"/>
      <c r="O103" s="203"/>
      <c r="P103" s="204"/>
    </row>
    <row r="104" spans="2:16" ht="3.75" customHeight="1">
      <c r="B104" s="418"/>
      <c r="C104" s="415"/>
      <c r="D104" s="415"/>
      <c r="E104" s="415"/>
      <c r="F104" s="415"/>
      <c r="G104" s="415"/>
      <c r="H104" s="415"/>
      <c r="I104" s="415"/>
      <c r="J104" s="415"/>
      <c r="K104" s="415"/>
      <c r="L104" s="415"/>
      <c r="M104" s="415"/>
      <c r="N104" s="415"/>
      <c r="O104" s="415"/>
      <c r="P104" s="419"/>
    </row>
    <row r="105" spans="2:16">
      <c r="B105" s="214"/>
      <c r="C105" s="924"/>
      <c r="D105" s="924"/>
      <c r="E105" s="924" t="s">
        <v>156</v>
      </c>
      <c r="F105" s="2264">
        <v>2007</v>
      </c>
      <c r="G105" s="121">
        <v>2012</v>
      </c>
      <c r="H105" s="121">
        <v>2017</v>
      </c>
      <c r="I105" s="121">
        <v>2022</v>
      </c>
      <c r="J105" s="121">
        <v>2027</v>
      </c>
      <c r="K105" s="121">
        <v>2032</v>
      </c>
      <c r="L105" s="121">
        <v>2037</v>
      </c>
      <c r="M105" s="121">
        <v>2042</v>
      </c>
      <c r="N105" s="121">
        <v>2047</v>
      </c>
      <c r="O105" s="121">
        <v>2052</v>
      </c>
      <c r="P105" s="419"/>
    </row>
    <row r="106" spans="2:16" s="410" customFormat="1">
      <c r="B106" s="662"/>
      <c r="C106" s="2453" t="s">
        <v>1884</v>
      </c>
      <c r="D106" s="108"/>
      <c r="E106" s="2452"/>
      <c r="F106" s="2454">
        <f>F101*F86</f>
        <v>0</v>
      </c>
      <c r="G106" s="2454">
        <f t="shared" ref="G106:O106" si="9">G101*G86</f>
        <v>95559.583033500952</v>
      </c>
      <c r="H106" s="2454">
        <f t="shared" si="9"/>
        <v>122686.9095383867</v>
      </c>
      <c r="I106" s="2454">
        <f t="shared" si="9"/>
        <v>156331.81435973974</v>
      </c>
      <c r="J106" s="2454">
        <f t="shared" si="9"/>
        <v>197705.21714589073</v>
      </c>
      <c r="K106" s="2454">
        <f t="shared" si="9"/>
        <v>248198.89491159664</v>
      </c>
      <c r="L106" s="2454">
        <f t="shared" si="9"/>
        <v>309408.31247900683</v>
      </c>
      <c r="M106" s="2454">
        <f t="shared" si="9"/>
        <v>383158.51292422338</v>
      </c>
      <c r="N106" s="2454">
        <f t="shared" si="9"/>
        <v>471533.79615095124</v>
      </c>
      <c r="O106" s="2454">
        <f t="shared" si="9"/>
        <v>553549.82606753893</v>
      </c>
      <c r="P106" s="204"/>
    </row>
    <row r="107" spans="2:16" s="410" customFormat="1">
      <c r="B107" s="662"/>
      <c r="C107" s="201"/>
      <c r="D107" s="205"/>
      <c r="E107" s="203"/>
      <c r="F107" s="203"/>
      <c r="G107" s="203"/>
      <c r="H107" s="203"/>
      <c r="I107" s="203"/>
      <c r="J107" s="203"/>
      <c r="K107" s="203"/>
      <c r="L107" s="203"/>
      <c r="M107" s="203"/>
      <c r="N107" s="203"/>
      <c r="O107" s="203"/>
      <c r="P107" s="204"/>
    </row>
    <row r="108" spans="2:16" s="410" customFormat="1">
      <c r="B108" s="662"/>
      <c r="C108" s="416" t="s">
        <v>1885</v>
      </c>
      <c r="D108" s="415"/>
      <c r="E108" s="415"/>
      <c r="F108" s="415"/>
      <c r="G108" s="415"/>
      <c r="H108" s="415"/>
      <c r="I108" s="415"/>
      <c r="J108" s="415"/>
      <c r="K108" s="415"/>
      <c r="L108" s="415"/>
      <c r="M108" s="415"/>
      <c r="N108" s="415"/>
      <c r="O108" s="415"/>
      <c r="P108" s="204"/>
    </row>
    <row r="109" spans="2:16" s="410" customFormat="1" ht="4.5" customHeight="1">
      <c r="B109" s="662"/>
      <c r="C109" s="415"/>
      <c r="D109" s="415"/>
      <c r="E109" s="415"/>
      <c r="F109" s="415"/>
      <c r="G109" s="415"/>
      <c r="H109" s="415"/>
      <c r="I109" s="415"/>
      <c r="J109" s="415"/>
      <c r="K109" s="415"/>
      <c r="L109" s="415"/>
      <c r="M109" s="415"/>
      <c r="N109" s="415"/>
      <c r="O109" s="415"/>
      <c r="P109" s="204"/>
    </row>
    <row r="110" spans="2:16" s="410" customFormat="1">
      <c r="B110" s="662"/>
      <c r="C110" s="924"/>
      <c r="D110" s="924"/>
      <c r="E110" s="924" t="s">
        <v>156</v>
      </c>
      <c r="F110" s="2264">
        <v>2007</v>
      </c>
      <c r="G110" s="121">
        <v>2012</v>
      </c>
      <c r="H110" s="121">
        <v>2017</v>
      </c>
      <c r="I110" s="121">
        <v>2022</v>
      </c>
      <c r="J110" s="121">
        <v>2027</v>
      </c>
      <c r="K110" s="121">
        <v>2032</v>
      </c>
      <c r="L110" s="121">
        <v>2037</v>
      </c>
      <c r="M110" s="121">
        <v>2042</v>
      </c>
      <c r="N110" s="121">
        <v>2047</v>
      </c>
      <c r="O110" s="121">
        <v>2052</v>
      </c>
      <c r="P110" s="204"/>
    </row>
    <row r="111" spans="2:16">
      <c r="B111" s="418"/>
      <c r="C111" s="2455" t="s">
        <v>1885</v>
      </c>
      <c r="D111" s="108"/>
      <c r="E111" s="2452"/>
      <c r="F111" s="2456">
        <v>0</v>
      </c>
      <c r="G111" s="2456">
        <v>0</v>
      </c>
      <c r="H111" s="2456">
        <v>0.05</v>
      </c>
      <c r="I111" s="2456">
        <v>0.10230690859576</v>
      </c>
      <c r="J111" s="2456">
        <v>0.20933407092842399</v>
      </c>
      <c r="K111" s="2456">
        <v>0.428326433209053</v>
      </c>
      <c r="L111" s="2456">
        <v>0.87641506502933098</v>
      </c>
      <c r="M111" s="2456">
        <v>0.9</v>
      </c>
      <c r="N111" s="2456">
        <v>0.9</v>
      </c>
      <c r="O111" s="2456">
        <v>0.9</v>
      </c>
      <c r="P111" s="419"/>
    </row>
    <row r="112" spans="2:16">
      <c r="B112" s="214"/>
      <c r="C112" s="415"/>
      <c r="D112" s="415"/>
      <c r="E112" s="415"/>
      <c r="F112" s="415"/>
      <c r="G112" s="415"/>
      <c r="H112" s="415"/>
      <c r="I112" s="415"/>
      <c r="J112" s="415"/>
      <c r="K112" s="415"/>
      <c r="L112" s="415"/>
      <c r="M112" s="415"/>
      <c r="N112" s="415"/>
      <c r="O112" s="415"/>
      <c r="P112" s="419"/>
    </row>
    <row r="113" spans="2:16" s="410" customFormat="1">
      <c r="B113" s="662"/>
      <c r="C113" s="416" t="s">
        <v>1886</v>
      </c>
      <c r="D113" s="415"/>
      <c r="E113" s="415"/>
      <c r="F113" s="415"/>
      <c r="G113" s="415"/>
      <c r="H113" s="415"/>
      <c r="I113" s="415"/>
      <c r="J113" s="415"/>
      <c r="K113" s="415"/>
      <c r="L113" s="415"/>
      <c r="M113" s="415"/>
      <c r="N113" s="415"/>
      <c r="O113" s="415"/>
      <c r="P113" s="204"/>
    </row>
    <row r="114" spans="2:16" s="410" customFormat="1" ht="6.75" customHeight="1">
      <c r="B114" s="662"/>
      <c r="C114" s="415"/>
      <c r="D114" s="415"/>
      <c r="E114" s="415"/>
      <c r="F114" s="415"/>
      <c r="G114" s="415"/>
      <c r="H114" s="415"/>
      <c r="I114" s="415"/>
      <c r="J114" s="415"/>
      <c r="K114" s="415"/>
      <c r="L114" s="415"/>
      <c r="M114" s="415"/>
      <c r="N114" s="415"/>
      <c r="O114" s="415"/>
      <c r="P114" s="204"/>
    </row>
    <row r="115" spans="2:16" s="410" customFormat="1">
      <c r="B115" s="662"/>
      <c r="C115" s="924"/>
      <c r="D115" s="924"/>
      <c r="E115" s="924" t="s">
        <v>156</v>
      </c>
      <c r="F115" s="2264">
        <v>2007</v>
      </c>
      <c r="G115" s="121">
        <v>2012</v>
      </c>
      <c r="H115" s="121">
        <v>2017</v>
      </c>
      <c r="I115" s="121">
        <v>2022</v>
      </c>
      <c r="J115" s="121">
        <v>2027</v>
      </c>
      <c r="K115" s="121">
        <v>2032</v>
      </c>
      <c r="L115" s="121">
        <v>2037</v>
      </c>
      <c r="M115" s="121">
        <v>2042</v>
      </c>
      <c r="N115" s="121">
        <v>2047</v>
      </c>
      <c r="O115" s="121">
        <v>2052</v>
      </c>
      <c r="P115" s="204"/>
    </row>
    <row r="116" spans="2:16" s="410" customFormat="1">
      <c r="B116" s="662"/>
      <c r="C116" s="2455" t="s">
        <v>1886</v>
      </c>
      <c r="D116" s="108"/>
      <c r="E116" s="2452"/>
      <c r="F116" s="1986">
        <v>0</v>
      </c>
      <c r="G116" s="1986">
        <v>0</v>
      </c>
      <c r="H116" s="1986">
        <v>2.6629704199999998E-3</v>
      </c>
      <c r="I116" s="1986">
        <v>5.4476250610696201E-3</v>
      </c>
      <c r="J116" s="1986">
        <v>1.1144178915060501E-2</v>
      </c>
      <c r="K116" s="1986">
        <v>2.27975901973132E-2</v>
      </c>
      <c r="L116" s="1986">
        <v>4.6636914461437598E-2</v>
      </c>
      <c r="M116" s="1986">
        <v>9.5404899011641203E-2</v>
      </c>
      <c r="N116" s="1986">
        <v>0.195169317278647</v>
      </c>
      <c r="O116" s="1986">
        <v>0.39925688095289003</v>
      </c>
      <c r="P116" s="204"/>
    </row>
    <row r="117" spans="2:16" s="410" customFormat="1">
      <c r="B117" s="662"/>
      <c r="C117" s="126"/>
      <c r="D117" s="205"/>
      <c r="E117" s="203"/>
      <c r="F117" s="203"/>
      <c r="G117" s="203"/>
      <c r="H117" s="203"/>
      <c r="I117" s="203"/>
      <c r="J117" s="203"/>
      <c r="K117" s="203"/>
      <c r="L117" s="203"/>
      <c r="M117" s="203"/>
      <c r="N117" s="203"/>
      <c r="O117" s="203"/>
      <c r="P117" s="204"/>
    </row>
    <row r="118" spans="2:16">
      <c r="B118" s="418"/>
      <c r="C118" s="416" t="s">
        <v>1887</v>
      </c>
      <c r="D118" s="415"/>
      <c r="E118" s="415"/>
      <c r="F118" s="415"/>
      <c r="G118" s="415"/>
      <c r="H118" s="415"/>
      <c r="I118" s="415"/>
      <c r="J118" s="415"/>
      <c r="K118" s="415"/>
      <c r="L118" s="415"/>
      <c r="M118" s="415"/>
      <c r="N118" s="415"/>
      <c r="O118" s="415"/>
      <c r="P118" s="419"/>
    </row>
    <row r="119" spans="2:16" ht="6" customHeight="1">
      <c r="B119" s="214"/>
      <c r="C119" s="415"/>
      <c r="D119" s="415"/>
      <c r="E119" s="415"/>
      <c r="F119" s="415"/>
      <c r="G119" s="415"/>
      <c r="H119" s="415"/>
      <c r="I119" s="415"/>
      <c r="J119" s="415"/>
      <c r="K119" s="415"/>
      <c r="L119" s="415"/>
      <c r="M119" s="415"/>
      <c r="N119" s="415"/>
      <c r="O119" s="415"/>
      <c r="P119" s="419"/>
    </row>
    <row r="120" spans="2:16" s="410" customFormat="1">
      <c r="B120" s="662"/>
      <c r="C120" s="924"/>
      <c r="D120" s="924"/>
      <c r="E120" s="924" t="s">
        <v>156</v>
      </c>
      <c r="F120" s="2264">
        <v>2007</v>
      </c>
      <c r="G120" s="121">
        <v>2012</v>
      </c>
      <c r="H120" s="121">
        <v>2017</v>
      </c>
      <c r="I120" s="121">
        <v>2022</v>
      </c>
      <c r="J120" s="121">
        <v>2027</v>
      </c>
      <c r="K120" s="121">
        <v>2032</v>
      </c>
      <c r="L120" s="121">
        <v>2037</v>
      </c>
      <c r="M120" s="121">
        <v>2042</v>
      </c>
      <c r="N120" s="121">
        <v>2047</v>
      </c>
      <c r="O120" s="121">
        <v>2052</v>
      </c>
      <c r="P120" s="204"/>
    </row>
    <row r="121" spans="2:16" s="410" customFormat="1">
      <c r="B121" s="662"/>
      <c r="C121" s="2455" t="s">
        <v>1887</v>
      </c>
      <c r="D121" s="108"/>
      <c r="E121" s="2452"/>
      <c r="F121" s="2454">
        <f>F111*F86</f>
        <v>0</v>
      </c>
      <c r="G121" s="2454">
        <f t="shared" ref="G121:O121" si="10">G111*G86</f>
        <v>0</v>
      </c>
      <c r="H121" s="2454">
        <f t="shared" si="10"/>
        <v>8338.0274817348654</v>
      </c>
      <c r="I121" s="2454">
        <f t="shared" si="10"/>
        <v>20684.286863330733</v>
      </c>
      <c r="J121" s="2454">
        <f t="shared" si="10"/>
        <v>50925.980846192128</v>
      </c>
      <c r="K121" s="2454">
        <f t="shared" si="10"/>
        <v>124465.56204175517</v>
      </c>
      <c r="L121" s="2454">
        <f t="shared" si="10"/>
        <v>302071.27368213539</v>
      </c>
      <c r="M121" s="2454">
        <f t="shared" si="10"/>
        <v>365495.24813620548</v>
      </c>
      <c r="N121" s="2454">
        <f t="shared" si="10"/>
        <v>427965.94551802799</v>
      </c>
      <c r="O121" s="2454">
        <f t="shared" si="10"/>
        <v>498194.84346078505</v>
      </c>
      <c r="P121" s="204"/>
    </row>
    <row r="122" spans="2:16" s="410" customFormat="1">
      <c r="B122" s="662"/>
      <c r="C122" s="126"/>
      <c r="D122" s="205"/>
      <c r="E122" s="203"/>
      <c r="F122" s="203"/>
      <c r="G122" s="203"/>
      <c r="H122" s="203"/>
      <c r="I122" s="203"/>
      <c r="J122" s="203"/>
      <c r="K122" s="203"/>
      <c r="L122" s="203"/>
      <c r="M122" s="203"/>
      <c r="N122" s="203"/>
      <c r="O122" s="203"/>
      <c r="P122" s="204"/>
    </row>
    <row r="123" spans="2:16" s="410" customFormat="1">
      <c r="B123" s="662"/>
      <c r="C123" s="416" t="s">
        <v>1888</v>
      </c>
      <c r="D123" s="415"/>
      <c r="E123" s="415"/>
      <c r="F123" s="415"/>
      <c r="G123" s="415"/>
      <c r="H123" s="415"/>
      <c r="I123" s="415"/>
      <c r="J123" s="415"/>
      <c r="K123" s="415"/>
      <c r="L123" s="415"/>
      <c r="M123" s="415"/>
      <c r="N123" s="415"/>
      <c r="O123" s="415"/>
      <c r="P123" s="204"/>
    </row>
    <row r="124" spans="2:16" s="410" customFormat="1" ht="6" customHeight="1">
      <c r="B124" s="662"/>
      <c r="C124" s="415"/>
      <c r="D124" s="415"/>
      <c r="E124" s="415"/>
      <c r="F124" s="415"/>
      <c r="G124" s="415"/>
      <c r="H124" s="415"/>
      <c r="I124" s="415"/>
      <c r="J124" s="415"/>
      <c r="K124" s="415"/>
      <c r="L124" s="415"/>
      <c r="M124" s="415"/>
      <c r="N124" s="415"/>
      <c r="O124" s="415"/>
      <c r="P124" s="204"/>
    </row>
    <row r="125" spans="2:16" s="410" customFormat="1">
      <c r="B125" s="662"/>
      <c r="C125" s="924"/>
      <c r="D125" s="924"/>
      <c r="E125" s="924" t="s">
        <v>156</v>
      </c>
      <c r="F125" s="2264">
        <v>2007</v>
      </c>
      <c r="G125" s="121">
        <v>2012</v>
      </c>
      <c r="H125" s="121">
        <v>2017</v>
      </c>
      <c r="I125" s="121">
        <v>2022</v>
      </c>
      <c r="J125" s="121">
        <v>2027</v>
      </c>
      <c r="K125" s="121">
        <v>2032</v>
      </c>
      <c r="L125" s="121">
        <v>2037</v>
      </c>
      <c r="M125" s="121">
        <v>2042</v>
      </c>
      <c r="N125" s="121">
        <v>2047</v>
      </c>
      <c r="O125" s="121">
        <v>2052</v>
      </c>
      <c r="P125" s="204"/>
    </row>
    <row r="126" spans="2:16" s="410" customFormat="1">
      <c r="B126" s="662"/>
      <c r="C126" s="2455" t="s">
        <v>1888</v>
      </c>
      <c r="D126" s="108"/>
      <c r="E126" s="2452"/>
      <c r="F126" s="2454">
        <f>F86-F121</f>
        <v>110955.83550937107</v>
      </c>
      <c r="G126" s="2454">
        <f t="shared" ref="G126:O126" si="11">G86-G121</f>
        <v>136513.69004785852</v>
      </c>
      <c r="H126" s="2454">
        <f t="shared" si="11"/>
        <v>158422.52215296243</v>
      </c>
      <c r="I126" s="2454">
        <f t="shared" si="11"/>
        <v>181494.50191289443</v>
      </c>
      <c r="J126" s="2454">
        <f t="shared" si="11"/>
        <v>192350.14052444161</v>
      </c>
      <c r="K126" s="2454">
        <f t="shared" si="11"/>
        <v>166120.19777056848</v>
      </c>
      <c r="L126" s="2454">
        <f t="shared" si="11"/>
        <v>42595.637847992126</v>
      </c>
      <c r="M126" s="2454">
        <f t="shared" si="11"/>
        <v>40610.583126245067</v>
      </c>
      <c r="N126" s="2454">
        <f t="shared" si="11"/>
        <v>47551.771724225313</v>
      </c>
      <c r="O126" s="2454">
        <f t="shared" si="11"/>
        <v>55354.982606753882</v>
      </c>
      <c r="P126" s="204"/>
    </row>
    <row r="127" spans="2:16">
      <c r="B127" s="418"/>
      <c r="C127" s="415"/>
      <c r="D127" s="415"/>
      <c r="E127" s="415"/>
      <c r="F127" s="415"/>
      <c r="G127" s="415"/>
      <c r="H127" s="415"/>
      <c r="I127" s="415"/>
      <c r="J127" s="415"/>
      <c r="K127" s="415"/>
      <c r="L127" s="415"/>
      <c r="M127" s="415"/>
      <c r="N127" s="415"/>
      <c r="O127" s="415"/>
      <c r="P127" s="419"/>
    </row>
    <row r="128" spans="2:16">
      <c r="B128" s="214"/>
      <c r="C128" s="416" t="s">
        <v>1889</v>
      </c>
      <c r="D128" s="415"/>
      <c r="E128" s="415"/>
      <c r="F128" s="415"/>
      <c r="G128" s="415"/>
      <c r="H128" s="415"/>
      <c r="I128" s="415"/>
      <c r="J128" s="415"/>
      <c r="K128" s="415"/>
      <c r="L128" s="415"/>
      <c r="M128" s="415"/>
      <c r="N128" s="415"/>
      <c r="O128" s="415"/>
      <c r="P128" s="419"/>
    </row>
    <row r="129" spans="2:16" s="410" customFormat="1" ht="7.5" customHeight="1">
      <c r="B129" s="662"/>
      <c r="C129" s="415"/>
      <c r="D129" s="415"/>
      <c r="E129" s="415"/>
      <c r="F129" s="415"/>
      <c r="G129" s="415"/>
      <c r="H129" s="415"/>
      <c r="I129" s="415"/>
      <c r="J129" s="415"/>
      <c r="K129" s="415"/>
      <c r="L129" s="415"/>
      <c r="M129" s="415"/>
      <c r="N129" s="415"/>
      <c r="O129" s="415"/>
      <c r="P129" s="204"/>
    </row>
    <row r="130" spans="2:16" s="410" customFormat="1">
      <c r="B130" s="662"/>
      <c r="C130" s="924"/>
      <c r="D130" s="924"/>
      <c r="E130" s="924" t="s">
        <v>156</v>
      </c>
      <c r="F130" s="2264">
        <v>2007</v>
      </c>
      <c r="G130" s="121">
        <v>2012</v>
      </c>
      <c r="H130" s="121">
        <v>2017</v>
      </c>
      <c r="I130" s="121">
        <v>2022</v>
      </c>
      <c r="J130" s="121">
        <v>2027</v>
      </c>
      <c r="K130" s="121">
        <v>2032</v>
      </c>
      <c r="L130" s="121">
        <v>2037</v>
      </c>
      <c r="M130" s="121">
        <v>2042</v>
      </c>
      <c r="N130" s="121">
        <v>2047</v>
      </c>
      <c r="O130" s="121">
        <v>2052</v>
      </c>
      <c r="P130" s="204"/>
    </row>
    <row r="131" spans="2:16" s="410" customFormat="1">
      <c r="B131" s="662"/>
      <c r="C131" s="2455" t="s">
        <v>1889</v>
      </c>
      <c r="D131" s="108"/>
      <c r="E131" s="2452"/>
      <c r="F131" s="2454">
        <f>F116*F96</f>
        <v>0</v>
      </c>
      <c r="G131" s="2454">
        <f t="shared" ref="G131:O131" si="12">G116*G96</f>
        <v>0</v>
      </c>
      <c r="H131" s="2454">
        <f t="shared" si="12"/>
        <v>221.78880375893749</v>
      </c>
      <c r="I131" s="2454">
        <f t="shared" si="12"/>
        <v>597.53712004468139</v>
      </c>
      <c r="J131" s="2454">
        <f t="shared" si="12"/>
        <v>1624.3054635202209</v>
      </c>
      <c r="K131" s="2454">
        <f t="shared" si="12"/>
        <v>4477.2154018748442</v>
      </c>
      <c r="L131" s="2454">
        <f t="shared" si="12"/>
        <v>12611.03015555031</v>
      </c>
      <c r="M131" s="2454">
        <f t="shared" si="12"/>
        <v>29416.846049165724</v>
      </c>
      <c r="N131" s="2454">
        <f t="shared" si="12"/>
        <v>68213.376198624537</v>
      </c>
      <c r="O131" s="2454">
        <f t="shared" si="12"/>
        <v>157304.92577069183</v>
      </c>
      <c r="P131" s="204"/>
    </row>
    <row r="132" spans="2:16" s="410" customFormat="1">
      <c r="B132" s="662"/>
      <c r="C132" s="126"/>
      <c r="D132" s="205"/>
      <c r="E132" s="203"/>
      <c r="F132" s="463"/>
      <c r="G132" s="203"/>
      <c r="H132" s="203"/>
      <c r="I132" s="203"/>
      <c r="J132" s="203"/>
      <c r="K132" s="203"/>
      <c r="L132" s="203"/>
      <c r="M132" s="203"/>
      <c r="N132" s="203"/>
      <c r="O132" s="203"/>
      <c r="P132" s="204"/>
    </row>
    <row r="133" spans="2:16" s="410" customFormat="1">
      <c r="B133" s="662"/>
      <c r="C133" s="416" t="s">
        <v>1890</v>
      </c>
      <c r="D133" s="415"/>
      <c r="E133" s="415"/>
      <c r="F133" s="415"/>
      <c r="G133" s="415"/>
      <c r="H133" s="415"/>
      <c r="I133" s="415"/>
      <c r="J133" s="415"/>
      <c r="K133" s="415"/>
      <c r="L133" s="415"/>
      <c r="M133" s="415"/>
      <c r="N133" s="415"/>
      <c r="O133" s="415"/>
      <c r="P133" s="204"/>
    </row>
    <row r="134" spans="2:16">
      <c r="B134" s="418"/>
      <c r="C134" s="201"/>
      <c r="D134" s="202"/>
      <c r="E134" s="203"/>
      <c r="F134" s="203"/>
      <c r="G134" s="203"/>
      <c r="H134" s="203"/>
      <c r="I134" s="203"/>
      <c r="J134" s="203"/>
      <c r="K134" s="203"/>
      <c r="L134" s="203"/>
      <c r="M134" s="203"/>
      <c r="N134" s="203"/>
      <c r="O134" s="203"/>
      <c r="P134" s="419"/>
    </row>
    <row r="135" spans="2:16">
      <c r="B135" s="214"/>
      <c r="C135" s="3373" t="s">
        <v>65</v>
      </c>
      <c r="D135" s="3373"/>
      <c r="E135" s="61" t="s">
        <v>156</v>
      </c>
      <c r="F135" s="238">
        <v>2007</v>
      </c>
      <c r="G135" s="119">
        <v>2012</v>
      </c>
      <c r="H135" s="119">
        <v>2017</v>
      </c>
      <c r="I135" s="119">
        <v>2022</v>
      </c>
      <c r="J135" s="119">
        <v>2027</v>
      </c>
      <c r="K135" s="119">
        <v>2032</v>
      </c>
      <c r="L135" s="119">
        <v>2037</v>
      </c>
      <c r="M135" s="119">
        <v>2042</v>
      </c>
      <c r="N135" s="119">
        <v>2047</v>
      </c>
      <c r="O135" s="119">
        <v>2052</v>
      </c>
      <c r="P135" s="419"/>
    </row>
    <row r="136" spans="2:16" s="410" customFormat="1">
      <c r="B136" s="662"/>
      <c r="C136" s="2457" t="s">
        <v>1891</v>
      </c>
      <c r="D136" s="2450"/>
      <c r="E136" s="96"/>
      <c r="F136" s="2458">
        <v>0</v>
      </c>
      <c r="G136" s="293">
        <v>0.4</v>
      </c>
      <c r="H136" s="1528">
        <v>0.40500000000000003</v>
      </c>
      <c r="I136" s="293">
        <v>0.41</v>
      </c>
      <c r="J136" s="1528">
        <v>0.41499999999999998</v>
      </c>
      <c r="K136" s="293">
        <v>0.42</v>
      </c>
      <c r="L136" s="1528">
        <v>0.42499999999999999</v>
      </c>
      <c r="M136" s="293">
        <v>0.43</v>
      </c>
      <c r="N136" s="1528">
        <v>0.435</v>
      </c>
      <c r="O136" s="1528">
        <v>0.440000000000001</v>
      </c>
      <c r="P136" s="204"/>
    </row>
    <row r="137" spans="2:16" s="410" customFormat="1">
      <c r="B137" s="662"/>
      <c r="C137" s="2459" t="s">
        <v>1892</v>
      </c>
      <c r="D137" s="1976"/>
      <c r="E137" s="414"/>
      <c r="F137" s="657">
        <v>0</v>
      </c>
      <c r="G137" s="293">
        <v>0.1</v>
      </c>
      <c r="H137" s="293">
        <v>0.12</v>
      </c>
      <c r="I137" s="293">
        <v>0.14000000000000001</v>
      </c>
      <c r="J137" s="293">
        <v>0.16</v>
      </c>
      <c r="K137" s="293">
        <v>0.18</v>
      </c>
      <c r="L137" s="293">
        <v>0.2</v>
      </c>
      <c r="M137" s="293">
        <v>0.22</v>
      </c>
      <c r="N137" s="293">
        <v>0.24</v>
      </c>
      <c r="O137" s="293">
        <v>0.26</v>
      </c>
      <c r="P137" s="204"/>
    </row>
    <row r="138" spans="2:16" s="410" customFormat="1">
      <c r="B138" s="662"/>
      <c r="C138" s="2459" t="s">
        <v>1893</v>
      </c>
      <c r="D138" s="1976"/>
      <c r="E138" s="414"/>
      <c r="F138" s="657">
        <v>0</v>
      </c>
      <c r="G138" s="293">
        <v>0.05</v>
      </c>
      <c r="H138" s="1528">
        <v>5.5E-2</v>
      </c>
      <c r="I138" s="293">
        <v>0.06</v>
      </c>
      <c r="J138" s="1528">
        <v>6.4999999999999905E-2</v>
      </c>
      <c r="K138" s="1528">
        <v>6.9999999999999896E-2</v>
      </c>
      <c r="L138" s="1528">
        <v>7.49999999999999E-2</v>
      </c>
      <c r="M138" s="1528">
        <v>7.9999999999999905E-2</v>
      </c>
      <c r="N138" s="1528">
        <v>8.4999999999999895E-2</v>
      </c>
      <c r="O138" s="1528">
        <v>8.99999999999999E-2</v>
      </c>
      <c r="P138" s="204"/>
    </row>
    <row r="139" spans="2:16" s="410" customFormat="1">
      <c r="B139" s="662"/>
      <c r="C139" s="2460" t="s">
        <v>1894</v>
      </c>
      <c r="D139" s="762"/>
      <c r="E139" s="65"/>
      <c r="F139" s="2304">
        <v>0</v>
      </c>
      <c r="G139" s="2461">
        <v>0.45</v>
      </c>
      <c r="H139" s="1647">
        <v>0.42</v>
      </c>
      <c r="I139" s="1647">
        <v>0.39</v>
      </c>
      <c r="J139" s="1647">
        <v>0.36</v>
      </c>
      <c r="K139" s="1647">
        <v>0.33</v>
      </c>
      <c r="L139" s="1647">
        <v>0.3</v>
      </c>
      <c r="M139" s="1647">
        <v>0.27</v>
      </c>
      <c r="N139" s="1647">
        <v>0.24</v>
      </c>
      <c r="O139" s="1615">
        <v>0.20999999999999899</v>
      </c>
      <c r="P139" s="204"/>
    </row>
    <row r="140" spans="2:16" s="410" customFormat="1">
      <c r="B140" s="662"/>
      <c r="C140" s="126"/>
      <c r="D140" s="205"/>
      <c r="E140" s="203"/>
      <c r="F140" s="203"/>
      <c r="G140" s="203"/>
      <c r="H140" s="203"/>
      <c r="I140" s="203"/>
      <c r="J140" s="203"/>
      <c r="K140" s="203"/>
      <c r="L140" s="203"/>
      <c r="M140" s="203"/>
      <c r="N140" s="203"/>
      <c r="O140" s="203"/>
      <c r="P140" s="204"/>
    </row>
    <row r="141" spans="2:16">
      <c r="B141" s="418"/>
      <c r="C141" s="415"/>
      <c r="D141" s="415"/>
      <c r="E141" s="415"/>
      <c r="F141" s="415"/>
      <c r="G141" s="415"/>
      <c r="H141" s="415"/>
      <c r="I141" s="415"/>
      <c r="J141" s="415"/>
      <c r="K141" s="415"/>
      <c r="L141" s="415"/>
      <c r="M141" s="415"/>
      <c r="N141" s="415"/>
      <c r="O141" s="415"/>
      <c r="P141" s="419"/>
    </row>
    <row r="142" spans="2:16">
      <c r="B142" s="214"/>
      <c r="C142" s="416" t="s">
        <v>1895</v>
      </c>
      <c r="D142" s="415"/>
      <c r="E142" s="415"/>
      <c r="F142" s="415"/>
      <c r="G142" s="415"/>
      <c r="H142" s="415"/>
      <c r="I142" s="415"/>
      <c r="J142" s="415"/>
      <c r="K142" s="415"/>
      <c r="L142" s="415"/>
      <c r="M142" s="415"/>
      <c r="N142" s="415"/>
      <c r="O142" s="415"/>
      <c r="P142" s="419"/>
    </row>
    <row r="143" spans="2:16" s="410" customFormat="1">
      <c r="B143" s="662"/>
      <c r="C143" s="201"/>
      <c r="D143" s="202"/>
      <c r="E143" s="203"/>
      <c r="F143" s="203"/>
      <c r="G143" s="203"/>
      <c r="H143" s="203"/>
      <c r="I143" s="203"/>
      <c r="J143" s="203"/>
      <c r="K143" s="203"/>
      <c r="L143" s="203"/>
      <c r="M143" s="203"/>
      <c r="N143" s="203"/>
      <c r="O143" s="203"/>
      <c r="P143" s="204"/>
    </row>
    <row r="144" spans="2:16" s="410" customFormat="1">
      <c r="B144" s="662"/>
      <c r="C144" s="3373" t="s">
        <v>65</v>
      </c>
      <c r="D144" s="3373"/>
      <c r="E144" s="61" t="s">
        <v>156</v>
      </c>
      <c r="F144" s="238" t="s">
        <v>923</v>
      </c>
      <c r="G144" s="119" t="s">
        <v>922</v>
      </c>
      <c r="H144" s="203"/>
      <c r="I144" s="203"/>
      <c r="J144" s="203"/>
      <c r="K144" s="203"/>
      <c r="L144" s="203"/>
      <c r="M144" s="203"/>
      <c r="N144" s="203"/>
      <c r="O144" s="203"/>
      <c r="P144" s="204"/>
    </row>
    <row r="145" spans="2:16" s="410" customFormat="1">
      <c r="B145" s="662"/>
      <c r="C145" s="2450" t="s">
        <v>1896</v>
      </c>
      <c r="D145" s="2450"/>
      <c r="E145" s="96"/>
      <c r="F145" s="2462">
        <v>0.15</v>
      </c>
      <c r="G145" s="2462">
        <v>0.15</v>
      </c>
      <c r="H145" s="203"/>
      <c r="I145" s="203"/>
      <c r="J145" s="203"/>
      <c r="K145" s="203"/>
      <c r="L145" s="203"/>
      <c r="M145" s="203"/>
      <c r="N145" s="203"/>
      <c r="O145" s="203"/>
      <c r="P145" s="204"/>
    </row>
    <row r="146" spans="2:16" s="410" customFormat="1">
      <c r="B146" s="662"/>
      <c r="C146" s="1976" t="s">
        <v>1897</v>
      </c>
      <c r="D146" s="1976"/>
      <c r="E146" s="414" t="s">
        <v>1898</v>
      </c>
      <c r="F146" s="2463">
        <v>0.78</v>
      </c>
      <c r="G146" s="2463">
        <v>0.78</v>
      </c>
      <c r="H146" s="203"/>
      <c r="I146" s="203"/>
      <c r="J146" s="203"/>
      <c r="K146" s="203"/>
      <c r="L146" s="203"/>
      <c r="M146" s="203"/>
      <c r="N146" s="203"/>
      <c r="O146" s="203"/>
      <c r="P146" s="204"/>
    </row>
    <row r="147" spans="2:16" s="410" customFormat="1">
      <c r="B147" s="662"/>
      <c r="C147" s="2459" t="s">
        <v>1899</v>
      </c>
      <c r="D147" s="1976"/>
      <c r="E147" s="414" t="s">
        <v>1900</v>
      </c>
      <c r="F147" s="2463">
        <v>0.6</v>
      </c>
      <c r="G147" s="669">
        <v>0.45</v>
      </c>
      <c r="H147" s="203"/>
      <c r="I147" s="203"/>
      <c r="J147" s="203"/>
      <c r="K147" s="203"/>
      <c r="L147" s="203"/>
      <c r="M147" s="203"/>
      <c r="N147" s="203"/>
      <c r="O147" s="203"/>
      <c r="P147" s="204"/>
    </row>
    <row r="148" spans="2:16" s="410" customFormat="1">
      <c r="B148" s="662"/>
      <c r="C148" s="1976" t="s">
        <v>1901</v>
      </c>
      <c r="D148" s="1976"/>
      <c r="E148" s="414" t="s">
        <v>1902</v>
      </c>
      <c r="F148" s="2463">
        <v>0.6</v>
      </c>
      <c r="G148" s="2463">
        <v>0.6</v>
      </c>
      <c r="H148" s="203"/>
      <c r="I148" s="203"/>
      <c r="J148" s="203"/>
      <c r="K148" s="203"/>
      <c r="L148" s="203"/>
      <c r="M148" s="203"/>
      <c r="N148" s="203"/>
      <c r="O148" s="203"/>
      <c r="P148" s="204"/>
    </row>
    <row r="149" spans="2:16" ht="13.5" customHeight="1">
      <c r="B149" s="418"/>
      <c r="C149" s="2464" t="s">
        <v>1903</v>
      </c>
      <c r="D149" s="1976"/>
      <c r="E149" s="414" t="s">
        <v>1904</v>
      </c>
      <c r="F149" s="656">
        <v>5000</v>
      </c>
      <c r="G149" s="656">
        <v>5000</v>
      </c>
      <c r="H149" s="415"/>
      <c r="I149" s="415"/>
      <c r="J149" s="415"/>
      <c r="K149" s="415"/>
      <c r="L149" s="415"/>
      <c r="M149" s="415"/>
      <c r="N149" s="415"/>
      <c r="O149" s="415"/>
      <c r="P149" s="419"/>
    </row>
    <row r="150" spans="2:16" ht="13.5" customHeight="1">
      <c r="B150" s="418"/>
      <c r="C150" s="2465"/>
      <c r="D150" s="2466"/>
      <c r="E150" s="1956" t="s">
        <v>1905</v>
      </c>
      <c r="F150" s="2467">
        <f>F145*F146*F147*F148*F149</f>
        <v>210.6</v>
      </c>
      <c r="G150" s="1384">
        <f>G145*G146*G147*G148*G149</f>
        <v>157.94999999999996</v>
      </c>
      <c r="H150" s="415"/>
      <c r="I150" s="415"/>
      <c r="J150" s="415"/>
      <c r="K150" s="415"/>
      <c r="L150" s="415"/>
      <c r="M150" s="415"/>
      <c r="N150" s="415"/>
      <c r="O150" s="415"/>
      <c r="P150" s="419"/>
    </row>
    <row r="151" spans="2:16">
      <c r="B151" s="214"/>
      <c r="C151" s="415"/>
      <c r="D151" s="415"/>
      <c r="E151" s="415"/>
      <c r="F151" s="415"/>
      <c r="G151" s="415"/>
      <c r="H151" s="415"/>
      <c r="I151" s="415"/>
      <c r="J151" s="415"/>
      <c r="K151" s="415"/>
      <c r="L151" s="415"/>
      <c r="M151" s="415"/>
      <c r="N151" s="415"/>
      <c r="O151" s="415"/>
      <c r="P151" s="419"/>
    </row>
    <row r="152" spans="2:16" s="410" customFormat="1">
      <c r="B152" s="662"/>
      <c r="C152" s="201"/>
      <c r="D152" s="202"/>
      <c r="E152" s="203"/>
      <c r="F152" s="203"/>
      <c r="G152" s="203"/>
      <c r="H152" s="203"/>
      <c r="I152" s="203"/>
      <c r="J152" s="203"/>
      <c r="K152" s="203"/>
      <c r="L152" s="203"/>
      <c r="M152" s="203"/>
      <c r="N152" s="203"/>
      <c r="O152" s="203"/>
      <c r="P152" s="204"/>
    </row>
    <row r="153" spans="2:16" s="410" customFormat="1">
      <c r="B153" s="662"/>
      <c r="C153" s="416" t="s">
        <v>1906</v>
      </c>
      <c r="D153" s="415"/>
      <c r="E153" s="415"/>
      <c r="F153" s="415"/>
      <c r="G153" s="415"/>
      <c r="H153" s="203"/>
      <c r="I153" s="203"/>
      <c r="J153" s="203"/>
      <c r="K153" s="203"/>
      <c r="L153" s="203"/>
      <c r="M153" s="203"/>
      <c r="N153" s="203"/>
      <c r="O153" s="203"/>
      <c r="P153" s="204"/>
    </row>
    <row r="154" spans="2:16" s="410" customFormat="1">
      <c r="B154" s="662"/>
      <c r="C154" s="201"/>
      <c r="D154" s="202"/>
      <c r="E154" s="203"/>
      <c r="F154" s="203"/>
      <c r="G154" s="203"/>
      <c r="H154" s="203"/>
      <c r="I154" s="203"/>
      <c r="J154" s="203"/>
      <c r="K154" s="203"/>
      <c r="L154" s="203"/>
      <c r="M154" s="203"/>
      <c r="N154" s="203"/>
      <c r="O154" s="203"/>
      <c r="P154" s="204"/>
    </row>
    <row r="155" spans="2:16" s="410" customFormat="1">
      <c r="B155" s="662"/>
      <c r="C155" s="3373" t="s">
        <v>65</v>
      </c>
      <c r="D155" s="3373"/>
      <c r="E155" s="61" t="s">
        <v>156</v>
      </c>
      <c r="F155" s="119" t="s">
        <v>405</v>
      </c>
      <c r="G155" s="227"/>
      <c r="H155" s="203"/>
      <c r="I155" s="203"/>
      <c r="J155" s="203"/>
      <c r="K155" s="203"/>
      <c r="L155" s="203"/>
      <c r="M155" s="203"/>
      <c r="N155" s="203"/>
      <c r="O155" s="203"/>
      <c r="P155" s="204"/>
    </row>
    <row r="156" spans="2:16">
      <c r="B156" s="418"/>
      <c r="C156" s="2457" t="s">
        <v>1907</v>
      </c>
      <c r="D156" s="2450"/>
      <c r="E156" s="96" t="s">
        <v>1908</v>
      </c>
      <c r="F156" s="98">
        <f>3600</f>
        <v>3600</v>
      </c>
      <c r="G156" s="98"/>
      <c r="H156" s="415"/>
      <c r="I156" s="415"/>
      <c r="J156" s="415"/>
      <c r="K156" s="415"/>
      <c r="L156" s="415"/>
      <c r="M156" s="415"/>
      <c r="N156" s="415"/>
      <c r="O156" s="415"/>
      <c r="P156" s="419"/>
    </row>
    <row r="157" spans="2:16">
      <c r="B157" s="214"/>
      <c r="C157" s="2459" t="str">
        <f>"Conversion effficiency of 1"&amp;Preferences.PowerUnits&amp;"waste to electricity plant"</f>
        <v>Conversion effficiency of 1GWwaste to electricity plant</v>
      </c>
      <c r="D157" s="1976"/>
      <c r="E157" s="414"/>
      <c r="F157" s="137">
        <v>0.25</v>
      </c>
      <c r="G157" s="137"/>
      <c r="H157" s="415"/>
      <c r="I157" s="415"/>
      <c r="J157" s="415"/>
      <c r="K157" s="415"/>
      <c r="L157" s="415"/>
      <c r="M157" s="415"/>
      <c r="N157" s="415"/>
      <c r="O157" s="415"/>
      <c r="P157" s="419"/>
    </row>
    <row r="158" spans="2:16" s="410" customFormat="1">
      <c r="B158" s="662"/>
      <c r="C158" s="2459" t="str">
        <f>"Energy Equivalent of a 1"&amp;Preferences.PowerUnits&amp;"waste to electricity plant"</f>
        <v>Energy Equivalent of a 1GWwaste to electricity plant</v>
      </c>
      <c r="D158" s="1976"/>
      <c r="E158" s="414" t="str">
        <f>preferences.energyunits&amp;"/day"</f>
        <v>TWh/day</v>
      </c>
      <c r="F158" s="137">
        <f>860*24*Unit.calorie*1000/Unit.kW</f>
        <v>2.3988266666666671E-2</v>
      </c>
      <c r="G158" s="415"/>
      <c r="H158" s="203"/>
      <c r="I158" s="203"/>
      <c r="J158" s="203"/>
      <c r="K158" s="203"/>
      <c r="L158" s="203"/>
      <c r="M158" s="203"/>
      <c r="N158" s="203"/>
      <c r="O158" s="203"/>
      <c r="P158" s="204"/>
    </row>
    <row r="159" spans="2:16" s="410" customFormat="1">
      <c r="B159" s="662"/>
      <c r="C159" s="2459" t="s">
        <v>1909</v>
      </c>
      <c r="D159" s="1976"/>
      <c r="E159" s="414" t="s">
        <v>1908</v>
      </c>
      <c r="F159" s="137">
        <v>2400</v>
      </c>
      <c r="G159" s="137"/>
      <c r="H159" s="203"/>
      <c r="I159" s="203"/>
      <c r="J159" s="203"/>
      <c r="K159" s="203"/>
      <c r="L159" s="203"/>
      <c r="M159" s="203"/>
      <c r="N159" s="203"/>
      <c r="O159" s="203"/>
      <c r="P159" s="204"/>
    </row>
    <row r="160" spans="2:16" s="410" customFormat="1">
      <c r="B160" s="662"/>
      <c r="C160" s="2468"/>
      <c r="D160" s="2469"/>
      <c r="E160" s="1392"/>
      <c r="F160" s="2470"/>
      <c r="G160" s="137"/>
      <c r="H160" s="203"/>
      <c r="I160" s="203"/>
      <c r="J160" s="203"/>
      <c r="K160" s="203"/>
      <c r="L160" s="203"/>
      <c r="M160" s="203"/>
      <c r="N160" s="203"/>
      <c r="O160" s="203"/>
      <c r="P160" s="204"/>
    </row>
    <row r="161" spans="2:16" s="410" customFormat="1">
      <c r="B161" s="662"/>
      <c r="C161" s="126"/>
      <c r="D161" s="205"/>
      <c r="E161" s="203"/>
      <c r="F161" s="463"/>
      <c r="G161" s="203"/>
      <c r="H161" s="203"/>
      <c r="I161" s="203"/>
      <c r="J161" s="203"/>
      <c r="K161" s="203"/>
      <c r="L161" s="203"/>
      <c r="M161" s="203"/>
      <c r="N161" s="203"/>
      <c r="O161" s="203"/>
      <c r="P161" s="204"/>
    </row>
    <row r="162" spans="2:16" s="410" customFormat="1">
      <c r="B162" s="662"/>
      <c r="C162" s="126"/>
      <c r="D162" s="205"/>
      <c r="E162" s="203"/>
      <c r="F162" s="203"/>
      <c r="G162" s="203"/>
      <c r="H162" s="203"/>
      <c r="I162" s="203"/>
      <c r="J162" s="203"/>
      <c r="K162" s="203"/>
      <c r="L162" s="203"/>
      <c r="M162" s="203"/>
      <c r="N162" s="203"/>
      <c r="O162" s="203"/>
      <c r="P162" s="204"/>
    </row>
    <row r="163" spans="2:16" s="410" customFormat="1">
      <c r="B163" s="662"/>
      <c r="C163" s="126"/>
      <c r="D163" s="205"/>
      <c r="E163" s="203"/>
      <c r="F163" s="203"/>
      <c r="G163" s="203"/>
      <c r="H163" s="203"/>
      <c r="I163" s="203"/>
      <c r="J163" s="203"/>
      <c r="K163" s="203"/>
      <c r="L163" s="203"/>
      <c r="M163" s="203"/>
      <c r="N163" s="203"/>
      <c r="O163" s="203"/>
      <c r="P163" s="204"/>
    </row>
    <row r="164" spans="2:16">
      <c r="B164" s="211"/>
      <c r="C164" s="415"/>
      <c r="D164" s="415"/>
      <c r="E164" s="415"/>
      <c r="F164" s="415"/>
      <c r="G164" s="415"/>
      <c r="H164" s="415"/>
      <c r="I164" s="415"/>
      <c r="J164" s="415"/>
      <c r="K164" s="415"/>
      <c r="L164" s="415"/>
      <c r="M164" s="415"/>
      <c r="N164" s="415"/>
      <c r="O164" s="415"/>
      <c r="P164" s="419"/>
    </row>
    <row r="165" spans="2:16">
      <c r="B165" s="211"/>
      <c r="C165" s="416" t="s">
        <v>1838</v>
      </c>
      <c r="D165" s="415"/>
      <c r="E165" s="415"/>
      <c r="F165" s="415"/>
      <c r="G165" s="104"/>
      <c r="H165" s="415"/>
      <c r="I165" s="415"/>
      <c r="J165" s="415"/>
      <c r="K165" s="415"/>
      <c r="L165" s="415"/>
      <c r="M165" s="415"/>
      <c r="N165" s="415"/>
      <c r="O165" s="415"/>
      <c r="P165" s="419"/>
    </row>
    <row r="166" spans="2:16" ht="5.25" customHeight="1">
      <c r="B166" s="211"/>
      <c r="C166" s="415"/>
      <c r="D166" s="415"/>
      <c r="E166" s="415"/>
      <c r="F166" s="415"/>
      <c r="G166" s="415"/>
      <c r="H166" s="415"/>
      <c r="I166" s="415"/>
      <c r="J166" s="415"/>
      <c r="K166" s="415"/>
      <c r="L166" s="415"/>
      <c r="M166" s="415"/>
      <c r="N166" s="415"/>
      <c r="O166" s="415"/>
      <c r="P166" s="419"/>
    </row>
    <row r="167" spans="2:16" ht="15.75">
      <c r="B167" s="212"/>
      <c r="C167" s="61"/>
      <c r="D167" s="61"/>
      <c r="E167" s="61" t="s">
        <v>156</v>
      </c>
      <c r="F167" s="238">
        <v>2007</v>
      </c>
      <c r="G167" s="119">
        <v>2012</v>
      </c>
      <c r="H167" s="119">
        <v>2017</v>
      </c>
      <c r="I167" s="119">
        <v>2022</v>
      </c>
      <c r="J167" s="119">
        <v>2027</v>
      </c>
      <c r="K167" s="119">
        <v>2032</v>
      </c>
      <c r="L167" s="119">
        <v>2037</v>
      </c>
      <c r="M167" s="119">
        <v>2042</v>
      </c>
      <c r="N167" s="119">
        <v>2047</v>
      </c>
      <c r="O167" s="119">
        <v>2052</v>
      </c>
      <c r="P167" s="419"/>
    </row>
    <row r="168" spans="2:16" ht="15.75">
      <c r="B168" s="212"/>
      <c r="C168" s="2385" t="s">
        <v>1838</v>
      </c>
      <c r="D168" s="81"/>
      <c r="E168" s="82"/>
      <c r="F168" s="2385">
        <f>0*((Unit.calorie*1000))</f>
        <v>0</v>
      </c>
      <c r="G168" s="2385">
        <f>711175377.999612*((Unit.calorie*1000))</f>
        <v>8.2654382820843792E-4</v>
      </c>
      <c r="H168" s="2385">
        <f>1786005433.50116*((Unit.calorie*1000))</f>
        <v>2.0757352038246815E-3</v>
      </c>
      <c r="I168" s="2385">
        <f>4450879799.97635*((Unit.calorie*1000))</f>
        <v>5.1729114119725131E-3</v>
      </c>
      <c r="J168" s="2385">
        <f>11009227893.7173*((Unit.calorie*1000))</f>
        <v>1.2795169307586996E-2</v>
      </c>
      <c r="K168" s="2385">
        <f>27036889350.9196*((Unit.calorie*1000))</f>
        <v>3.1422873623402112E-2</v>
      </c>
      <c r="L168" s="2385">
        <f>33098518680.7185*((Unit.calorie*1000))</f>
        <v>3.8467833933368389E-2</v>
      </c>
      <c r="M168" s="2385">
        <f>39206388234.8521*((Unit.calorie*1000))</f>
        <v>4.5566535659616991E-2</v>
      </c>
      <c r="N168" s="2385">
        <f>46164726974.4502*((Unit.calorie*1000))</f>
        <v>5.3653671572527678E-2</v>
      </c>
      <c r="O168" s="2385">
        <f>(((O121*O136*1000)/$F$150))*((Unit.calorie*1000))</f>
        <v>1.2097140168533938E-6</v>
      </c>
      <c r="P168" s="419"/>
    </row>
    <row r="169" spans="2:16">
      <c r="B169" s="211"/>
      <c r="C169" s="415"/>
      <c r="D169" s="415"/>
      <c r="E169" s="415"/>
      <c r="F169" s="415"/>
      <c r="G169" s="415"/>
      <c r="H169" s="415"/>
      <c r="I169" s="415"/>
      <c r="J169" s="415"/>
      <c r="K169" s="415"/>
      <c r="L169" s="415"/>
      <c r="M169" s="415"/>
      <c r="N169" s="415"/>
      <c r="O169" s="415"/>
      <c r="P169" s="419"/>
    </row>
    <row r="170" spans="2:16">
      <c r="B170" s="215"/>
      <c r="C170" s="416" t="s">
        <v>1839</v>
      </c>
      <c r="D170" s="415"/>
      <c r="E170" s="415"/>
      <c r="F170" s="136"/>
      <c r="G170" s="104"/>
      <c r="H170" s="415"/>
      <c r="I170" s="415"/>
      <c r="J170" s="415"/>
      <c r="K170" s="415"/>
      <c r="L170" s="415"/>
      <c r="M170" s="415"/>
      <c r="N170" s="415"/>
      <c r="O170" s="415"/>
      <c r="P170" s="419"/>
    </row>
    <row r="171" spans="2:16">
      <c r="B171" s="211"/>
      <c r="C171" s="415"/>
      <c r="D171" s="415"/>
      <c r="E171" s="415"/>
      <c r="F171" s="136"/>
      <c r="G171" s="415"/>
      <c r="H171" s="415"/>
      <c r="I171" s="415"/>
      <c r="J171" s="415"/>
      <c r="K171" s="415"/>
      <c r="L171" s="415"/>
      <c r="M171" s="415"/>
      <c r="N171" s="415"/>
      <c r="O171" s="415"/>
      <c r="P171" s="419"/>
    </row>
    <row r="172" spans="2:16" ht="15.75">
      <c r="B172" s="212"/>
      <c r="C172" s="61"/>
      <c r="D172" s="61"/>
      <c r="E172" s="61" t="s">
        <v>156</v>
      </c>
      <c r="F172" s="238">
        <v>2007</v>
      </c>
      <c r="G172" s="119">
        <v>2012</v>
      </c>
      <c r="H172" s="119">
        <v>2017</v>
      </c>
      <c r="I172" s="119">
        <v>2022</v>
      </c>
      <c r="J172" s="119">
        <v>2027</v>
      </c>
      <c r="K172" s="119">
        <v>2032</v>
      </c>
      <c r="L172" s="119">
        <v>2037</v>
      </c>
      <c r="M172" s="119">
        <v>2042</v>
      </c>
      <c r="N172" s="119">
        <v>2047</v>
      </c>
      <c r="O172" s="119">
        <v>2052</v>
      </c>
      <c r="P172" s="419"/>
    </row>
    <row r="173" spans="2:16" s="51" customFormat="1" ht="27" customHeight="1">
      <c r="B173" s="213"/>
      <c r="C173" s="2618" t="s">
        <v>2088</v>
      </c>
      <c r="D173" s="79"/>
      <c r="E173" s="79" t="str">
        <f>preferences.energyunits&amp;"/day"</f>
        <v>TWh/day</v>
      </c>
      <c r="F173" s="1697">
        <f>0*((Unit.calorie*1000))</f>
        <v>0</v>
      </c>
      <c r="G173" s="1697">
        <f>32763286*((Unit.calorie*1000))</f>
        <v>3.8078219062222223E-5</v>
      </c>
      <c r="H173" s="1697">
        <f>49227714*((Unit.calorie*1000))</f>
        <v>5.7213543159999998E-5</v>
      </c>
      <c r="I173" s="1697">
        <f>71407033*((Unit.calorie*1000))</f>
        <v>8.2990840575555562E-5</v>
      </c>
      <c r="J173" s="1697">
        <f>103000000*((Unit.calorie*1000))</f>
        <v>1.1970888888888889E-4</v>
      </c>
      <c r="K173" s="1697">
        <f>152000000*((Unit.calorie*1000))</f>
        <v>1.7665777777777777E-4</v>
      </c>
      <c r="L173" s="1697">
        <f>238000000*((Unit.calorie*1000))</f>
        <v>2.7660888888888889E-4</v>
      </c>
      <c r="M173" s="1697">
        <f>311000000*((Unit.calorie*1000))</f>
        <v>3.6145111111111114E-4</v>
      </c>
      <c r="N173" s="1697">
        <f>397000000*((Unit.calorie*1000))</f>
        <v>4.614022222222222E-4</v>
      </c>
      <c r="O173" s="1697">
        <f>501000000*((Unit.calorie*1000))</f>
        <v>5.8227333333333339E-4</v>
      </c>
      <c r="P173" s="154"/>
    </row>
    <row r="174" spans="2:16">
      <c r="B174" s="211"/>
      <c r="C174" s="415"/>
      <c r="D174" s="415"/>
      <c r="E174" s="415"/>
      <c r="F174" s="415"/>
      <c r="G174" s="415"/>
      <c r="H174" s="415"/>
      <c r="I174" s="415"/>
      <c r="J174" s="415"/>
      <c r="K174" s="415"/>
      <c r="L174" s="415"/>
      <c r="M174" s="415"/>
      <c r="N174" s="415"/>
      <c r="O174" s="415"/>
      <c r="P174" s="419"/>
    </row>
    <row r="175" spans="2:16">
      <c r="B175" s="211"/>
      <c r="C175" s="416" t="s">
        <v>1840</v>
      </c>
      <c r="D175" s="415"/>
      <c r="E175" s="415"/>
      <c r="F175" s="415"/>
      <c r="G175" s="104"/>
      <c r="H175" s="415"/>
      <c r="I175" s="415"/>
      <c r="J175" s="415"/>
      <c r="K175" s="415"/>
      <c r="L175" s="415"/>
      <c r="M175" s="415"/>
      <c r="N175" s="415"/>
      <c r="O175" s="415"/>
      <c r="P175" s="419"/>
    </row>
    <row r="176" spans="2:16" ht="6" customHeight="1">
      <c r="B176" s="211"/>
      <c r="C176" s="415"/>
      <c r="D176" s="415"/>
      <c r="E176" s="415"/>
      <c r="F176" s="415"/>
      <c r="G176" s="415"/>
      <c r="H176" s="415"/>
      <c r="I176" s="415"/>
      <c r="J176" s="415"/>
      <c r="K176" s="415"/>
      <c r="L176" s="415"/>
      <c r="M176" s="415"/>
      <c r="N176" s="415"/>
      <c r="O176" s="415"/>
      <c r="P176" s="419"/>
    </row>
    <row r="177" spans="2:16" ht="15.75">
      <c r="B177" s="212"/>
      <c r="C177" s="61"/>
      <c r="D177" s="61"/>
      <c r="E177" s="61" t="s">
        <v>156</v>
      </c>
      <c r="F177" s="238">
        <v>2007</v>
      </c>
      <c r="G177" s="119">
        <v>2012</v>
      </c>
      <c r="H177" s="119">
        <v>2017</v>
      </c>
      <c r="I177" s="119">
        <v>2022</v>
      </c>
      <c r="J177" s="119">
        <v>2027</v>
      </c>
      <c r="K177" s="119">
        <v>2032</v>
      </c>
      <c r="L177" s="119">
        <v>2037</v>
      </c>
      <c r="M177" s="119">
        <v>2042</v>
      </c>
      <c r="N177" s="119">
        <v>2047</v>
      </c>
      <c r="O177" s="119">
        <v>2052</v>
      </c>
      <c r="P177" s="419"/>
    </row>
    <row r="178" spans="2:16" ht="15.75">
      <c r="B178" s="212"/>
      <c r="C178" s="2385" t="s">
        <v>1840</v>
      </c>
      <c r="D178" s="65"/>
      <c r="E178" s="65" t="str">
        <f>Preferences.PowerUnits</f>
        <v>GW</v>
      </c>
      <c r="F178" s="2619">
        <f>F173/($F$158)</f>
        <v>0</v>
      </c>
      <c r="G178" s="2619">
        <f t="shared" ref="G178:O178" si="13">G173/($F$158)</f>
        <v>1.5873685077519377E-3</v>
      </c>
      <c r="H178" s="2619">
        <f t="shared" si="13"/>
        <v>2.3850636627906971E-3</v>
      </c>
      <c r="I178" s="2619">
        <f t="shared" si="13"/>
        <v>3.459643071705426E-3</v>
      </c>
      <c r="J178" s="2619">
        <f t="shared" si="13"/>
        <v>4.9903100775193785E-3</v>
      </c>
      <c r="K178" s="2619">
        <f t="shared" si="13"/>
        <v>7.364341085271316E-3</v>
      </c>
      <c r="L178" s="2619">
        <f t="shared" si="13"/>
        <v>1.1531007751937982E-2</v>
      </c>
      <c r="M178" s="2619">
        <f t="shared" si="13"/>
        <v>1.5067829457364339E-2</v>
      </c>
      <c r="N178" s="2619">
        <f t="shared" si="13"/>
        <v>1.9234496124031004E-2</v>
      </c>
      <c r="O178" s="2619">
        <f t="shared" si="13"/>
        <v>2.4273255813953485E-2</v>
      </c>
      <c r="P178" s="419"/>
    </row>
    <row r="179" spans="2:16">
      <c r="B179" s="211"/>
      <c r="C179" s="415"/>
      <c r="D179" s="415"/>
      <c r="E179" s="415"/>
      <c r="F179" s="415"/>
      <c r="G179" s="415"/>
      <c r="H179" s="415"/>
      <c r="I179" s="415"/>
      <c r="J179" s="415"/>
      <c r="K179" s="415"/>
      <c r="L179" s="415"/>
      <c r="M179" s="415"/>
      <c r="N179" s="415"/>
      <c r="O179" s="415"/>
      <c r="P179" s="419"/>
    </row>
    <row r="180" spans="2:16">
      <c r="B180" s="211"/>
      <c r="C180" s="416" t="s">
        <v>1842</v>
      </c>
      <c r="D180" s="415"/>
      <c r="E180" s="104"/>
      <c r="F180" s="104"/>
      <c r="G180" s="415"/>
      <c r="H180" s="415"/>
      <c r="I180" s="415"/>
      <c r="J180" s="415"/>
      <c r="K180" s="415"/>
      <c r="L180" s="415"/>
      <c r="M180" s="415"/>
      <c r="N180" s="415"/>
      <c r="O180" s="104"/>
      <c r="P180" s="419"/>
    </row>
    <row r="181" spans="2:16" ht="5.25" customHeight="1">
      <c r="B181" s="211"/>
      <c r="C181" s="415"/>
      <c r="D181" s="415"/>
      <c r="E181" s="415"/>
      <c r="F181" s="415"/>
      <c r="G181" s="415"/>
      <c r="H181" s="415"/>
      <c r="I181" s="415"/>
      <c r="J181" s="415"/>
      <c r="K181" s="415"/>
      <c r="L181" s="415"/>
      <c r="M181" s="415"/>
      <c r="N181" s="415"/>
      <c r="O181" s="415"/>
      <c r="P181" s="419"/>
    </row>
    <row r="182" spans="2:16" ht="15.75">
      <c r="B182" s="212"/>
      <c r="C182" s="61"/>
      <c r="D182" s="61"/>
      <c r="E182" s="61" t="s">
        <v>156</v>
      </c>
      <c r="F182" s="66">
        <v>2007</v>
      </c>
      <c r="G182" s="119">
        <v>2012</v>
      </c>
      <c r="H182" s="119">
        <v>2017</v>
      </c>
      <c r="I182" s="119">
        <v>2022</v>
      </c>
      <c r="J182" s="119">
        <v>2027</v>
      </c>
      <c r="K182" s="119">
        <v>2032</v>
      </c>
      <c r="L182" s="119">
        <v>2037</v>
      </c>
      <c r="M182" s="119">
        <v>2042</v>
      </c>
      <c r="N182" s="119">
        <v>2047</v>
      </c>
      <c r="O182" s="119">
        <v>2052</v>
      </c>
      <c r="P182" s="419"/>
    </row>
    <row r="183" spans="2:16" ht="15.75">
      <c r="B183" s="212"/>
      <c r="C183" s="2385" t="s">
        <v>1842</v>
      </c>
      <c r="D183" s="65"/>
      <c r="E183" s="79" t="s">
        <v>1841</v>
      </c>
      <c r="F183" s="80">
        <v>0</v>
      </c>
      <c r="G183" s="2383">
        <v>0</v>
      </c>
      <c r="H183" s="2384">
        <v>1000.563</v>
      </c>
      <c r="I183" s="2384">
        <v>2895.8</v>
      </c>
      <c r="J183" s="2384">
        <v>8148.1570000000002</v>
      </c>
      <c r="K183" s="2384">
        <v>22403.8</v>
      </c>
      <c r="L183" s="2384">
        <v>60414.25</v>
      </c>
      <c r="M183" s="2384">
        <v>80408.95</v>
      </c>
      <c r="N183" s="2384">
        <v>102711.8</v>
      </c>
      <c r="O183" s="2384">
        <v>129530.7</v>
      </c>
      <c r="P183" s="419"/>
    </row>
    <row r="184" spans="2:16">
      <c r="B184" s="211"/>
      <c r="C184" s="415"/>
      <c r="D184" s="415"/>
      <c r="E184" s="415"/>
      <c r="F184" s="415"/>
      <c r="G184" s="415"/>
      <c r="H184" s="415"/>
      <c r="I184" s="415"/>
      <c r="J184" s="415"/>
      <c r="K184" s="415"/>
      <c r="L184" s="415"/>
      <c r="M184" s="415"/>
      <c r="N184" s="415"/>
      <c r="O184" s="415"/>
      <c r="P184" s="419"/>
    </row>
    <row r="185" spans="2:16">
      <c r="B185" s="211"/>
      <c r="C185" s="1884" t="s">
        <v>1843</v>
      </c>
      <c r="D185" s="415"/>
      <c r="E185" s="104"/>
      <c r="F185" s="415"/>
      <c r="G185" s="415"/>
      <c r="H185" s="415"/>
      <c r="I185" s="415"/>
      <c r="J185" s="415"/>
      <c r="K185" s="415"/>
      <c r="L185" s="415"/>
      <c r="M185" s="415"/>
      <c r="N185" s="415"/>
      <c r="O185" s="104"/>
      <c r="P185" s="419"/>
    </row>
    <row r="186" spans="2:16" ht="5.25" customHeight="1">
      <c r="B186" s="211"/>
      <c r="C186" s="415"/>
      <c r="D186" s="415"/>
      <c r="E186" s="415"/>
      <c r="F186" s="415"/>
      <c r="G186" s="415"/>
      <c r="H186" s="415"/>
      <c r="I186" s="415"/>
      <c r="J186" s="415"/>
      <c r="K186" s="415"/>
      <c r="L186" s="415"/>
      <c r="M186" s="415"/>
      <c r="N186" s="415"/>
      <c r="O186" s="415"/>
      <c r="P186" s="419"/>
    </row>
    <row r="187" spans="2:16" ht="15.75">
      <c r="B187" s="212"/>
      <c r="C187" s="61"/>
      <c r="D187" s="61"/>
      <c r="E187" s="61" t="s">
        <v>156</v>
      </c>
      <c r="F187" s="238">
        <v>2007</v>
      </c>
      <c r="G187" s="119">
        <v>2012</v>
      </c>
      <c r="H187" s="119">
        <v>2017</v>
      </c>
      <c r="I187" s="119">
        <v>2022</v>
      </c>
      <c r="J187" s="119">
        <v>2027</v>
      </c>
      <c r="K187" s="119">
        <v>2032</v>
      </c>
      <c r="L187" s="119">
        <v>2037</v>
      </c>
      <c r="M187" s="119">
        <v>2042</v>
      </c>
      <c r="N187" s="119">
        <v>2047</v>
      </c>
      <c r="O187" s="119">
        <v>2052</v>
      </c>
      <c r="P187" s="419"/>
    </row>
    <row r="188" spans="2:16" ht="15.75">
      <c r="B188" s="212"/>
      <c r="C188" s="2385" t="s">
        <v>1843</v>
      </c>
      <c r="D188" s="79"/>
      <c r="E188" s="79"/>
      <c r="F188" s="2616">
        <f t="shared" ref="F188:O188" si="14">F183*$F$156*1000*1000*Unit.calorie</f>
        <v>0</v>
      </c>
      <c r="G188" s="2616">
        <f t="shared" si="14"/>
        <v>0</v>
      </c>
      <c r="H188" s="2616">
        <f t="shared" si="14"/>
        <v>4.1863555920000003E-3</v>
      </c>
      <c r="I188" s="2616">
        <f t="shared" si="14"/>
        <v>1.2116027200000001E-2</v>
      </c>
      <c r="J188" s="2616">
        <f t="shared" si="14"/>
        <v>3.4091888888000001E-2</v>
      </c>
      <c r="K188" s="2616">
        <f t="shared" si="14"/>
        <v>9.3737499200000005E-2</v>
      </c>
      <c r="L188" s="2616">
        <f t="shared" si="14"/>
        <v>0.25277322200000002</v>
      </c>
      <c r="M188" s="2616">
        <f t="shared" si="14"/>
        <v>0.33643104680000002</v>
      </c>
      <c r="N188" s="2616">
        <f t="shared" si="14"/>
        <v>0.42974617120000003</v>
      </c>
      <c r="O188" s="2616">
        <f t="shared" si="14"/>
        <v>0.54195644880000005</v>
      </c>
      <c r="P188" s="419"/>
    </row>
    <row r="189" spans="2:16">
      <c r="B189" s="211"/>
      <c r="C189" s="415"/>
      <c r="D189" s="415"/>
      <c r="E189" s="415"/>
      <c r="F189" s="415"/>
      <c r="G189" s="415"/>
      <c r="H189" s="415"/>
      <c r="I189" s="415"/>
      <c r="J189" s="415"/>
      <c r="K189" s="415"/>
      <c r="L189" s="415"/>
      <c r="M189" s="415"/>
      <c r="N189" s="415"/>
      <c r="O189" s="415"/>
      <c r="P189" s="419"/>
    </row>
    <row r="190" spans="2:16" ht="15.75">
      <c r="B190" s="152"/>
      <c r="C190" s="416" t="s">
        <v>1844</v>
      </c>
      <c r="D190" s="415"/>
      <c r="E190" s="415"/>
      <c r="F190" s="415"/>
      <c r="G190" s="104"/>
      <c r="H190" s="415"/>
      <c r="I190" s="415"/>
      <c r="J190" s="415"/>
      <c r="K190" s="415"/>
      <c r="L190" s="415"/>
      <c r="M190" s="415"/>
      <c r="N190" s="415"/>
      <c r="O190" s="415"/>
      <c r="P190" s="419"/>
    </row>
    <row r="191" spans="2:16" ht="4.5" customHeight="1">
      <c r="B191" s="152"/>
      <c r="C191" s="415"/>
      <c r="D191" s="415"/>
      <c r="E191" s="415"/>
      <c r="F191" s="415"/>
      <c r="G191" s="415"/>
      <c r="H191" s="415"/>
      <c r="I191" s="415"/>
      <c r="J191" s="415"/>
      <c r="K191" s="415"/>
      <c r="L191" s="415"/>
      <c r="M191" s="415"/>
      <c r="N191" s="415"/>
      <c r="O191" s="415"/>
      <c r="P191" s="419"/>
    </row>
    <row r="192" spans="2:16" ht="15.75">
      <c r="B192" s="152"/>
      <c r="C192" s="61"/>
      <c r="D192" s="61"/>
      <c r="E192" s="61" t="s">
        <v>156</v>
      </c>
      <c r="F192" s="2264">
        <v>2007</v>
      </c>
      <c r="G192" s="121">
        <v>2012</v>
      </c>
      <c r="H192" s="121">
        <v>2017</v>
      </c>
      <c r="I192" s="121">
        <v>2022</v>
      </c>
      <c r="J192" s="121">
        <v>2027</v>
      </c>
      <c r="K192" s="121">
        <v>2032</v>
      </c>
      <c r="L192" s="121">
        <v>2037</v>
      </c>
      <c r="M192" s="121">
        <v>2042</v>
      </c>
      <c r="N192" s="121">
        <v>2047</v>
      </c>
      <c r="O192" s="121">
        <v>2052</v>
      </c>
      <c r="P192" s="419"/>
    </row>
    <row r="193" spans="1:18" ht="15.75">
      <c r="B193" s="152"/>
      <c r="C193" s="2385" t="s">
        <v>1844</v>
      </c>
      <c r="D193" s="81"/>
      <c r="E193" s="82"/>
      <c r="F193" s="1384">
        <f>0*((Unit.calorie*1000))</f>
        <v>0</v>
      </c>
      <c r="G193" s="1384">
        <f>0*((Unit.calorie*1000))</f>
        <v>0</v>
      </c>
      <c r="H193" s="1384">
        <f>35031542*((Unit.calorie*1000))</f>
        <v>4.0714436591111113E-5</v>
      </c>
      <c r="I193" s="1384">
        <f>94380988*((Unit.calorie*1000))</f>
        <v>1.096916816088889E-4</v>
      </c>
      <c r="J193" s="1384">
        <f>257000000*((Unit.calorie*1000))</f>
        <v>2.9869111111111111E-4</v>
      </c>
      <c r="K193" s="1384">
        <f>707000000*((Unit.calorie*1000))</f>
        <v>8.2169111111111113E-4</v>
      </c>
      <c r="L193" s="1384">
        <f>1990000000*((Unit.calorie*1000))</f>
        <v>2.3128222222222224E-3</v>
      </c>
      <c r="M193" s="1384">
        <f>4650000000*((Unit.calorie*1000))</f>
        <v>5.404333333333333E-3</v>
      </c>
      <c r="N193" s="1384">
        <f>10800000000*((Unit.calorie*1000))</f>
        <v>1.2552000000000001E-2</v>
      </c>
      <c r="O193" s="1384">
        <f>24800000000*((Unit.calorie*1000))</f>
        <v>2.8823111111111112E-2</v>
      </c>
      <c r="P193" s="419"/>
    </row>
    <row r="194" spans="1:18">
      <c r="B194" s="418"/>
      <c r="C194" s="415"/>
      <c r="D194" s="415"/>
      <c r="E194" s="415"/>
      <c r="F194" s="415"/>
      <c r="G194" s="415"/>
      <c r="H194" s="415"/>
      <c r="I194" s="415"/>
      <c r="J194" s="415"/>
      <c r="K194" s="415"/>
      <c r="L194" s="415"/>
      <c r="M194" s="415"/>
      <c r="N194" s="415"/>
      <c r="O194" s="415"/>
      <c r="P194" s="419"/>
    </row>
    <row r="195" spans="1:18">
      <c r="B195" s="214"/>
      <c r="C195" s="415"/>
      <c r="D195" s="415"/>
      <c r="E195" s="415"/>
      <c r="F195" s="415"/>
      <c r="G195" s="415"/>
      <c r="H195" s="415"/>
      <c r="I195" s="415"/>
      <c r="J195" s="415"/>
      <c r="K195" s="415"/>
      <c r="L195" s="415"/>
      <c r="M195" s="415"/>
      <c r="N195" s="415"/>
      <c r="O195" s="415"/>
      <c r="P195" s="419"/>
    </row>
    <row r="196" spans="1:18" s="410" customFormat="1">
      <c r="B196" s="662"/>
      <c r="C196" s="201"/>
      <c r="D196" s="202"/>
      <c r="E196" s="203"/>
      <c r="F196" s="203"/>
      <c r="G196" s="203"/>
      <c r="H196" s="203"/>
      <c r="I196" s="203"/>
      <c r="J196" s="203"/>
      <c r="K196" s="203"/>
      <c r="L196" s="203"/>
      <c r="M196" s="203"/>
      <c r="N196" s="203"/>
      <c r="O196" s="203"/>
      <c r="P196" s="204"/>
    </row>
    <row r="197" spans="1:18" s="410" customFormat="1">
      <c r="B197" s="662"/>
      <c r="C197" s="201"/>
      <c r="D197" s="205"/>
      <c r="E197" s="203"/>
      <c r="F197" s="203"/>
      <c r="G197" s="203"/>
      <c r="H197" s="203"/>
      <c r="I197" s="203"/>
      <c r="J197" s="203"/>
      <c r="K197" s="203"/>
      <c r="L197" s="203"/>
      <c r="M197" s="203"/>
      <c r="N197" s="203"/>
      <c r="O197" s="203"/>
      <c r="P197" s="204"/>
    </row>
    <row r="198" spans="1:18" s="410" customFormat="1">
      <c r="B198" s="662"/>
      <c r="C198" s="126"/>
      <c r="D198" s="205"/>
      <c r="E198" s="203"/>
      <c r="F198" s="203"/>
      <c r="G198" s="203"/>
      <c r="H198" s="203"/>
      <c r="I198" s="203"/>
      <c r="J198" s="203"/>
      <c r="K198" s="203"/>
      <c r="L198" s="203"/>
      <c r="M198" s="203"/>
      <c r="N198" s="203"/>
      <c r="O198" s="203"/>
      <c r="P198" s="204"/>
    </row>
    <row r="199" spans="1:18" s="410" customFormat="1">
      <c r="B199" s="662"/>
      <c r="C199" s="126"/>
      <c r="D199" s="205"/>
      <c r="E199" s="203"/>
      <c r="F199" s="463"/>
      <c r="G199" s="203"/>
      <c r="H199" s="203"/>
      <c r="I199" s="203"/>
      <c r="J199" s="203"/>
      <c r="K199" s="203"/>
      <c r="L199" s="203"/>
      <c r="M199" s="203"/>
      <c r="N199" s="203"/>
      <c r="O199" s="203"/>
      <c r="P199" s="204"/>
    </row>
    <row r="200" spans="1:18" s="410" customFormat="1">
      <c r="B200" s="662"/>
      <c r="C200" s="126"/>
      <c r="D200" s="205"/>
      <c r="E200" s="203"/>
      <c r="F200" s="203"/>
      <c r="G200" s="203"/>
      <c r="H200" s="203"/>
      <c r="I200" s="203"/>
      <c r="J200" s="203"/>
      <c r="K200" s="203"/>
      <c r="L200" s="203"/>
      <c r="M200" s="203"/>
      <c r="N200" s="203"/>
      <c r="O200" s="203"/>
      <c r="P200" s="204"/>
    </row>
    <row r="201" spans="1:18">
      <c r="B201" s="211"/>
      <c r="C201" s="415"/>
      <c r="D201" s="415"/>
      <c r="E201" s="415"/>
      <c r="F201" s="415"/>
      <c r="G201" s="415"/>
      <c r="H201" s="415"/>
      <c r="I201" s="415"/>
      <c r="J201" s="415"/>
      <c r="K201" s="415"/>
      <c r="L201" s="415"/>
      <c r="M201" s="415"/>
      <c r="N201" s="415"/>
      <c r="O201" s="415"/>
      <c r="P201" s="419"/>
    </row>
    <row r="202" spans="1:18">
      <c r="A202" s="539"/>
      <c r="B202" s="539"/>
      <c r="C202" s="539"/>
      <c r="D202" s="539"/>
      <c r="E202" s="539"/>
      <c r="F202" s="539"/>
      <c r="G202" s="539"/>
      <c r="H202" s="539"/>
      <c r="I202" s="539"/>
      <c r="J202" s="539"/>
      <c r="K202" s="539"/>
      <c r="L202" s="539"/>
      <c r="M202" s="539"/>
      <c r="N202" s="539"/>
      <c r="O202" s="539"/>
      <c r="P202" s="539"/>
      <c r="Q202" s="539"/>
      <c r="R202" s="539"/>
    </row>
    <row r="203" spans="1:18">
      <c r="B203" s="208"/>
    </row>
    <row r="204" spans="1:18" ht="15.75">
      <c r="B204" s="421" t="s">
        <v>270</v>
      </c>
      <c r="C204" s="159"/>
      <c r="D204" s="159"/>
      <c r="E204" s="159"/>
      <c r="F204" s="159"/>
      <c r="G204" s="159"/>
      <c r="H204" s="159"/>
      <c r="I204" s="159"/>
      <c r="J204" s="159"/>
      <c r="K204" s="159"/>
      <c r="L204" s="159"/>
      <c r="M204" s="159"/>
      <c r="N204" s="159"/>
      <c r="O204" s="159"/>
      <c r="P204" s="160"/>
    </row>
    <row r="205" spans="1:18">
      <c r="B205" s="210"/>
      <c r="C205" s="198"/>
      <c r="D205" s="198"/>
      <c r="E205" s="198"/>
      <c r="F205" s="198"/>
      <c r="G205" s="198"/>
      <c r="H205" s="198"/>
      <c r="I205" s="198"/>
      <c r="J205" s="198"/>
      <c r="K205" s="198"/>
      <c r="L205" s="198"/>
      <c r="M205" s="198"/>
      <c r="N205" s="198"/>
      <c r="O205" s="198"/>
      <c r="P205" s="199"/>
    </row>
    <row r="206" spans="1:18">
      <c r="B206" s="211"/>
      <c r="C206" s="416" t="s">
        <v>228</v>
      </c>
      <c r="D206" s="415"/>
      <c r="E206" s="104"/>
      <c r="F206" s="415"/>
      <c r="G206" s="415"/>
      <c r="H206" s="415"/>
      <c r="I206" s="415"/>
      <c r="J206" s="415"/>
      <c r="K206" s="415"/>
      <c r="L206" s="415"/>
      <c r="M206" s="415"/>
      <c r="N206" s="415"/>
      <c r="O206" s="104" t="str">
        <f>Preferences.PowerUnits</f>
        <v>GW</v>
      </c>
      <c r="P206" s="419"/>
    </row>
    <row r="207" spans="1:18" ht="4.5" customHeight="1">
      <c r="A207" s="420"/>
      <c r="B207" s="211"/>
      <c r="C207" s="415"/>
      <c r="D207" s="415"/>
      <c r="E207" s="415"/>
      <c r="F207" s="415"/>
      <c r="G207" s="415"/>
      <c r="H207" s="415"/>
      <c r="I207" s="415"/>
      <c r="J207" s="415"/>
      <c r="K207" s="415"/>
      <c r="L207" s="415"/>
      <c r="M207" s="415"/>
      <c r="N207" s="415"/>
      <c r="O207" s="415"/>
      <c r="P207" s="419"/>
    </row>
    <row r="208" spans="1:18" ht="15.75">
      <c r="B208" s="212"/>
      <c r="C208" s="61" t="s">
        <v>227</v>
      </c>
      <c r="D208" s="61" t="s">
        <v>240</v>
      </c>
      <c r="E208" s="1701"/>
      <c r="F208" s="238">
        <v>2007</v>
      </c>
      <c r="G208" s="119">
        <v>2012</v>
      </c>
      <c r="H208" s="119">
        <v>2017</v>
      </c>
      <c r="I208" s="119">
        <v>2022</v>
      </c>
      <c r="J208" s="119">
        <v>2027</v>
      </c>
      <c r="K208" s="119">
        <v>2032</v>
      </c>
      <c r="L208" s="119">
        <v>2037</v>
      </c>
      <c r="M208" s="119">
        <v>2042</v>
      </c>
      <c r="N208" s="119">
        <v>2047</v>
      </c>
      <c r="O208" s="119">
        <v>2052</v>
      </c>
      <c r="P208" s="419"/>
    </row>
    <row r="209" spans="2:16" ht="15.75">
      <c r="B209" s="213"/>
      <c r="C209" s="78" t="s">
        <v>508</v>
      </c>
      <c r="D209" s="79" t="str">
        <f>INDEX(Vectors[Description], MATCH($C209, Vectors[Code], 0))</f>
        <v xml:space="preserve">Installed Capacity </v>
      </c>
      <c r="E209" s="79"/>
      <c r="F209" s="237">
        <f t="shared" ref="F209:O209" si="15">F56</f>
        <v>0</v>
      </c>
      <c r="G209" s="237">
        <f t="shared" si="15"/>
        <v>9.603579000000001E-2</v>
      </c>
      <c r="H209" s="237">
        <f t="shared" si="15"/>
        <v>9.603579000000001E-2</v>
      </c>
      <c r="I209" s="237">
        <f t="shared" si="15"/>
        <v>9.603579000000001E-2</v>
      </c>
      <c r="J209" s="237">
        <f t="shared" si="15"/>
        <v>9.603579000000001E-2</v>
      </c>
      <c r="K209" s="237">
        <f t="shared" si="15"/>
        <v>9.603579000000001E-2</v>
      </c>
      <c r="L209" s="237">
        <f t="shared" si="15"/>
        <v>9.603579000000001E-2</v>
      </c>
      <c r="M209" s="237">
        <f t="shared" si="15"/>
        <v>9.603579000000001E-2</v>
      </c>
      <c r="N209" s="237">
        <f t="shared" si="15"/>
        <v>9.603579000000001E-2</v>
      </c>
      <c r="O209" s="237">
        <f t="shared" si="15"/>
        <v>9.603579000000001E-2</v>
      </c>
      <c r="P209" s="154"/>
    </row>
    <row r="210" spans="2:16">
      <c r="B210" s="214"/>
      <c r="C210" s="415"/>
      <c r="D210" s="105"/>
      <c r="E210" s="415"/>
      <c r="F210" s="415"/>
      <c r="G210" s="415"/>
      <c r="H210" s="415"/>
      <c r="I210" s="415"/>
      <c r="J210" s="415"/>
      <c r="K210" s="415"/>
      <c r="L210" s="415"/>
      <c r="M210" s="415"/>
      <c r="N210" s="415"/>
      <c r="O210" s="415"/>
      <c r="P210" s="419"/>
    </row>
    <row r="211" spans="2:16">
      <c r="B211" s="208"/>
    </row>
    <row r="212" spans="2:16">
      <c r="C212" s="423" t="s">
        <v>1845</v>
      </c>
      <c r="D212" s="88"/>
      <c r="F212" s="940">
        <v>2007</v>
      </c>
      <c r="G212" s="940">
        <v>2012</v>
      </c>
      <c r="H212" s="940">
        <v>2017</v>
      </c>
      <c r="I212" s="940">
        <v>2022</v>
      </c>
      <c r="J212" s="940">
        <v>2027</v>
      </c>
      <c r="K212" s="940">
        <v>2032</v>
      </c>
      <c r="L212" s="940">
        <v>2037</v>
      </c>
      <c r="M212" s="940">
        <v>2042</v>
      </c>
      <c r="N212" s="940">
        <v>2047</v>
      </c>
      <c r="O212" s="940">
        <v>2052</v>
      </c>
    </row>
    <row r="213" spans="2:16">
      <c r="C213" s="423"/>
      <c r="D213" s="88"/>
      <c r="F213" s="940"/>
      <c r="G213" s="940"/>
      <c r="H213" s="940"/>
      <c r="I213" s="940"/>
      <c r="J213" s="940"/>
      <c r="K213" s="940"/>
      <c r="L213" s="940"/>
      <c r="M213" s="940"/>
      <c r="N213" s="940"/>
      <c r="O213" s="940"/>
    </row>
    <row r="214" spans="2:16">
      <c r="C214" s="2471" t="s">
        <v>1910</v>
      </c>
      <c r="D214" s="88"/>
      <c r="F214" s="940"/>
      <c r="G214" s="940"/>
      <c r="H214" s="940"/>
      <c r="I214" s="940"/>
      <c r="J214" s="940"/>
      <c r="K214" s="940"/>
      <c r="L214" s="940"/>
      <c r="M214" s="940"/>
      <c r="N214" s="940"/>
      <c r="O214" s="940"/>
    </row>
    <row r="215" spans="2:16">
      <c r="C215" s="423"/>
      <c r="D215" s="88"/>
      <c r="F215" s="940"/>
      <c r="G215" s="940"/>
      <c r="H215" s="940"/>
      <c r="I215" s="940"/>
      <c r="J215" s="940"/>
      <c r="K215" s="940"/>
      <c r="L215" s="940"/>
      <c r="M215" s="940"/>
      <c r="N215" s="940"/>
      <c r="O215" s="940"/>
    </row>
    <row r="216" spans="2:16">
      <c r="C216" s="423" t="s">
        <v>923</v>
      </c>
      <c r="D216" s="88"/>
      <c r="F216" s="940"/>
      <c r="G216" s="940"/>
      <c r="H216" s="940"/>
      <c r="I216" s="940"/>
      <c r="J216" s="940"/>
      <c r="K216" s="940"/>
      <c r="L216" s="940"/>
      <c r="M216" s="940"/>
      <c r="N216" s="940"/>
      <c r="O216" s="940"/>
    </row>
    <row r="217" spans="2:16" ht="6" customHeight="1">
      <c r="C217" s="423"/>
      <c r="F217" s="22"/>
      <c r="G217" s="22"/>
      <c r="H217" s="22"/>
      <c r="I217" s="22"/>
      <c r="J217" s="22"/>
      <c r="K217" s="22"/>
      <c r="L217" s="22"/>
      <c r="M217" s="22"/>
      <c r="N217" s="22"/>
      <c r="O217" s="22"/>
    </row>
    <row r="218" spans="2:16">
      <c r="B218" s="422"/>
      <c r="C218" s="2331" t="s">
        <v>2082</v>
      </c>
      <c r="E218" s="422" t="str">
        <f>preferences.energyunits&amp;"/day"</f>
        <v>TWh/day</v>
      </c>
      <c r="F218" s="2386">
        <f t="shared" ref="F218:O218" si="16">F168</f>
        <v>0</v>
      </c>
      <c r="G218" s="2386">
        <f t="shared" si="16"/>
        <v>8.2654382820843792E-4</v>
      </c>
      <c r="H218" s="2386">
        <f t="shared" si="16"/>
        <v>2.0757352038246815E-3</v>
      </c>
      <c r="I218" s="2386">
        <f t="shared" si="16"/>
        <v>5.1729114119725131E-3</v>
      </c>
      <c r="J218" s="2386">
        <f t="shared" si="16"/>
        <v>1.2795169307586996E-2</v>
      </c>
      <c r="K218" s="2386">
        <f t="shared" si="16"/>
        <v>3.1422873623402112E-2</v>
      </c>
      <c r="L218" s="2386">
        <f t="shared" si="16"/>
        <v>3.8467833933368389E-2</v>
      </c>
      <c r="M218" s="2386">
        <f t="shared" si="16"/>
        <v>4.5566535659616991E-2</v>
      </c>
      <c r="N218" s="2386">
        <f t="shared" si="16"/>
        <v>5.3653671572527678E-2</v>
      </c>
      <c r="O218" s="2386">
        <f t="shared" si="16"/>
        <v>1.2097140168533938E-6</v>
      </c>
    </row>
    <row r="219" spans="2:16" s="19" customFormat="1">
      <c r="B219" s="1401" t="s">
        <v>1117</v>
      </c>
      <c r="C219" s="110" t="s">
        <v>1832</v>
      </c>
      <c r="F219" s="2472">
        <f t="shared" ref="F219:O219" si="17">F20</f>
        <v>0</v>
      </c>
      <c r="G219" s="2472">
        <f t="shared" si="17"/>
        <v>0</v>
      </c>
      <c r="H219" s="2472">
        <f t="shared" si="17"/>
        <v>0</v>
      </c>
      <c r="I219" s="2472">
        <f t="shared" si="17"/>
        <v>0</v>
      </c>
      <c r="J219" s="2472">
        <f t="shared" si="17"/>
        <v>0</v>
      </c>
      <c r="K219" s="2472">
        <f t="shared" si="17"/>
        <v>0</v>
      </c>
      <c r="L219" s="2472">
        <f t="shared" si="17"/>
        <v>0</v>
      </c>
      <c r="M219" s="2472">
        <f t="shared" si="17"/>
        <v>0</v>
      </c>
      <c r="N219" s="2472">
        <f t="shared" si="17"/>
        <v>0</v>
      </c>
      <c r="O219" s="2472">
        <f t="shared" si="17"/>
        <v>0</v>
      </c>
      <c r="P219" s="1477"/>
    </row>
    <row r="220" spans="2:16">
      <c r="B220" s="422" t="s">
        <v>276</v>
      </c>
      <c r="C220" s="423" t="s">
        <v>1911</v>
      </c>
      <c r="E220" s="422" t="str">
        <f>preferences.energyunits&amp;"/day"</f>
        <v>TWh/day</v>
      </c>
      <c r="F220" s="73">
        <f>F218*F219</f>
        <v>0</v>
      </c>
      <c r="G220" s="73">
        <f t="shared" ref="G220:O220" si="18">G218*G219</f>
        <v>0</v>
      </c>
      <c r="H220" s="73">
        <f t="shared" si="18"/>
        <v>0</v>
      </c>
      <c r="I220" s="73">
        <f t="shared" si="18"/>
        <v>0</v>
      </c>
      <c r="J220" s="73">
        <f t="shared" si="18"/>
        <v>0</v>
      </c>
      <c r="K220" s="73">
        <f t="shared" si="18"/>
        <v>0</v>
      </c>
      <c r="L220" s="73">
        <f t="shared" si="18"/>
        <v>0</v>
      </c>
      <c r="M220" s="73">
        <f t="shared" si="18"/>
        <v>0</v>
      </c>
      <c r="N220" s="73">
        <f t="shared" si="18"/>
        <v>0</v>
      </c>
      <c r="O220" s="73">
        <f t="shared" si="18"/>
        <v>0</v>
      </c>
    </row>
    <row r="221" spans="2:16">
      <c r="B221" s="422"/>
      <c r="C221" s="423"/>
      <c r="E221" s="422"/>
      <c r="F221" s="73"/>
      <c r="G221" s="73"/>
      <c r="H221" s="73"/>
      <c r="I221" s="73"/>
      <c r="J221" s="73"/>
      <c r="K221" s="73"/>
      <c r="L221" s="73"/>
      <c r="M221" s="73"/>
      <c r="N221" s="73"/>
      <c r="O221" s="73"/>
    </row>
    <row r="222" spans="2:16">
      <c r="B222" s="422"/>
      <c r="C222" s="423" t="s">
        <v>922</v>
      </c>
      <c r="E222" s="422"/>
      <c r="F222" s="73"/>
      <c r="G222" s="73"/>
      <c r="H222" s="73"/>
      <c r="I222" s="73"/>
      <c r="J222" s="73"/>
      <c r="K222" s="73"/>
      <c r="L222" s="73"/>
      <c r="M222" s="73"/>
      <c r="N222" s="73"/>
      <c r="O222" s="73"/>
    </row>
    <row r="223" spans="2:16" ht="6.75" customHeight="1">
      <c r="B223" s="422"/>
      <c r="C223" s="423"/>
      <c r="E223" s="422"/>
      <c r="F223" s="73"/>
      <c r="G223" s="73"/>
      <c r="H223" s="73"/>
      <c r="I223" s="73"/>
      <c r="J223" s="73"/>
      <c r="K223" s="73"/>
      <c r="L223" s="73"/>
      <c r="M223" s="73"/>
      <c r="N223" s="73"/>
      <c r="O223" s="73"/>
    </row>
    <row r="224" spans="2:16" s="19" customFormat="1">
      <c r="B224" s="1401"/>
      <c r="C224" s="19" t="s">
        <v>2083</v>
      </c>
      <c r="E224" s="1401" t="str">
        <f>preferences.energyunits&amp;"/day"</f>
        <v>TWh/day</v>
      </c>
      <c r="F224" s="90">
        <f t="shared" ref="F224:O224" si="19">F193</f>
        <v>0</v>
      </c>
      <c r="G224" s="90">
        <f t="shared" si="19"/>
        <v>0</v>
      </c>
      <c r="H224" s="90">
        <f t="shared" si="19"/>
        <v>4.0714436591111113E-5</v>
      </c>
      <c r="I224" s="90">
        <f t="shared" si="19"/>
        <v>1.096916816088889E-4</v>
      </c>
      <c r="J224" s="90">
        <f t="shared" si="19"/>
        <v>2.9869111111111111E-4</v>
      </c>
      <c r="K224" s="90">
        <f t="shared" si="19"/>
        <v>8.2169111111111113E-4</v>
      </c>
      <c r="L224" s="90">
        <f t="shared" si="19"/>
        <v>2.3128222222222224E-3</v>
      </c>
      <c r="M224" s="90">
        <f t="shared" si="19"/>
        <v>5.404333333333333E-3</v>
      </c>
      <c r="N224" s="90">
        <f t="shared" si="19"/>
        <v>1.2552000000000001E-2</v>
      </c>
      <c r="O224" s="90">
        <f t="shared" si="19"/>
        <v>2.8823111111111112E-2</v>
      </c>
      <c r="P224" s="1477"/>
    </row>
    <row r="225" spans="1:16">
      <c r="B225" s="422" t="s">
        <v>1117</v>
      </c>
      <c r="C225" s="2331" t="s">
        <v>1837</v>
      </c>
      <c r="F225" s="90">
        <f t="shared" ref="F225:O225" si="20">F65</f>
        <v>0</v>
      </c>
      <c r="G225" s="90">
        <f t="shared" si="20"/>
        <v>0</v>
      </c>
      <c r="H225" s="90">
        <f t="shared" si="20"/>
        <v>0</v>
      </c>
      <c r="I225" s="90">
        <f t="shared" si="20"/>
        <v>0</v>
      </c>
      <c r="J225" s="90">
        <f t="shared" si="20"/>
        <v>0</v>
      </c>
      <c r="K225" s="90">
        <f t="shared" si="20"/>
        <v>0</v>
      </c>
      <c r="L225" s="90">
        <f t="shared" si="20"/>
        <v>0</v>
      </c>
      <c r="M225" s="90">
        <f t="shared" si="20"/>
        <v>0</v>
      </c>
      <c r="N225" s="90">
        <f t="shared" si="20"/>
        <v>0</v>
      </c>
      <c r="O225" s="90">
        <f t="shared" si="20"/>
        <v>0</v>
      </c>
    </row>
    <row r="226" spans="1:16" s="423" customFormat="1">
      <c r="B226" s="856" t="s">
        <v>276</v>
      </c>
      <c r="C226" s="423" t="s">
        <v>1912</v>
      </c>
      <c r="E226" s="856" t="str">
        <f>preferences.energyunits&amp;"/day"</f>
        <v>TWh/day</v>
      </c>
      <c r="F226" s="593">
        <f>F225*F224</f>
        <v>0</v>
      </c>
      <c r="G226" s="593">
        <f t="shared" ref="G226:O226" si="21">G225*G224</f>
        <v>0</v>
      </c>
      <c r="H226" s="593">
        <f t="shared" si="21"/>
        <v>0</v>
      </c>
      <c r="I226" s="593">
        <f t="shared" si="21"/>
        <v>0</v>
      </c>
      <c r="J226" s="593">
        <f t="shared" si="21"/>
        <v>0</v>
      </c>
      <c r="K226" s="593">
        <f t="shared" si="21"/>
        <v>0</v>
      </c>
      <c r="L226" s="593">
        <f t="shared" si="21"/>
        <v>0</v>
      </c>
      <c r="M226" s="593">
        <f t="shared" si="21"/>
        <v>0</v>
      </c>
      <c r="N226" s="593">
        <f t="shared" si="21"/>
        <v>0</v>
      </c>
      <c r="O226" s="593">
        <f t="shared" si="21"/>
        <v>0</v>
      </c>
      <c r="P226" s="856"/>
    </row>
    <row r="227" spans="1:16">
      <c r="B227" s="422" t="s">
        <v>39</v>
      </c>
      <c r="C227" s="423" t="s">
        <v>2084</v>
      </c>
      <c r="E227" s="422" t="str">
        <f>preferences.energyunits</f>
        <v>TWh</v>
      </c>
      <c r="F227" s="365">
        <f>(F226+F220)*365</f>
        <v>0</v>
      </c>
      <c r="G227" s="365">
        <f t="shared" ref="G227:O227" si="22">(G226+G220)*365</f>
        <v>0</v>
      </c>
      <c r="H227" s="311">
        <f t="shared" si="22"/>
        <v>0</v>
      </c>
      <c r="I227" s="365">
        <f t="shared" si="22"/>
        <v>0</v>
      </c>
      <c r="J227" s="365">
        <f t="shared" si="22"/>
        <v>0</v>
      </c>
      <c r="K227" s="365">
        <f t="shared" si="22"/>
        <v>0</v>
      </c>
      <c r="L227" s="365">
        <f t="shared" si="22"/>
        <v>0</v>
      </c>
      <c r="M227" s="365">
        <f t="shared" si="22"/>
        <v>0</v>
      </c>
      <c r="N227" s="365">
        <f t="shared" si="22"/>
        <v>0</v>
      </c>
      <c r="O227" s="365">
        <f t="shared" si="22"/>
        <v>0</v>
      </c>
      <c r="P227" s="422"/>
    </row>
    <row r="228" spans="1:16">
      <c r="B228" s="422"/>
      <c r="C228" s="2471" t="s">
        <v>1913</v>
      </c>
      <c r="E228" s="422"/>
      <c r="F228" s="365"/>
      <c r="G228" s="365"/>
      <c r="H228" s="365"/>
      <c r="I228" s="365"/>
      <c r="J228" s="365"/>
      <c r="K228" s="365"/>
      <c r="L228" s="365"/>
      <c r="M228" s="365"/>
      <c r="N228" s="365"/>
      <c r="O228" s="365"/>
      <c r="P228" s="422"/>
    </row>
    <row r="229" spans="1:16">
      <c r="B229" s="422"/>
      <c r="C229" s="423"/>
      <c r="F229" s="73"/>
      <c r="G229" s="73"/>
      <c r="H229" s="73"/>
      <c r="I229" s="73"/>
      <c r="J229" s="73"/>
      <c r="K229" s="73"/>
      <c r="L229" s="73"/>
      <c r="M229" s="73"/>
      <c r="N229" s="73"/>
      <c r="O229" s="73"/>
    </row>
    <row r="230" spans="1:16" s="19" customFormat="1">
      <c r="B230" s="1401"/>
      <c r="C230" s="110" t="s">
        <v>1839</v>
      </c>
      <c r="E230" s="1401" t="str">
        <f>preferences.energyunits&amp;"/day"</f>
        <v>TWh/day</v>
      </c>
      <c r="F230" s="90">
        <f t="shared" ref="F230:O230" si="23">F173</f>
        <v>0</v>
      </c>
      <c r="G230" s="90">
        <f t="shared" si="23"/>
        <v>3.8078219062222223E-5</v>
      </c>
      <c r="H230" s="90">
        <f t="shared" si="23"/>
        <v>5.7213543159999998E-5</v>
      </c>
      <c r="I230" s="90">
        <f t="shared" si="23"/>
        <v>8.2990840575555562E-5</v>
      </c>
      <c r="J230" s="90">
        <f t="shared" si="23"/>
        <v>1.1970888888888889E-4</v>
      </c>
      <c r="K230" s="90">
        <f t="shared" si="23"/>
        <v>1.7665777777777777E-4</v>
      </c>
      <c r="L230" s="90">
        <f t="shared" si="23"/>
        <v>2.7660888888888889E-4</v>
      </c>
      <c r="M230" s="90">
        <f t="shared" si="23"/>
        <v>3.6145111111111114E-4</v>
      </c>
      <c r="N230" s="90">
        <f t="shared" si="23"/>
        <v>4.614022222222222E-4</v>
      </c>
      <c r="O230" s="90">
        <f t="shared" si="23"/>
        <v>5.8227333333333339E-4</v>
      </c>
    </row>
    <row r="231" spans="1:16">
      <c r="B231" s="1400"/>
      <c r="C231" s="37" t="s">
        <v>1840</v>
      </c>
      <c r="D231" s="37"/>
      <c r="E231" s="37"/>
      <c r="F231" s="141">
        <f t="shared" ref="F231:O231" si="24">F178</f>
        <v>0</v>
      </c>
      <c r="G231" s="141">
        <f t="shared" si="24"/>
        <v>1.5873685077519377E-3</v>
      </c>
      <c r="H231" s="141">
        <f t="shared" si="24"/>
        <v>2.3850636627906971E-3</v>
      </c>
      <c r="I231" s="141">
        <f t="shared" si="24"/>
        <v>3.459643071705426E-3</v>
      </c>
      <c r="J231" s="141">
        <f t="shared" si="24"/>
        <v>4.9903100775193785E-3</v>
      </c>
      <c r="K231" s="141">
        <f t="shared" si="24"/>
        <v>7.364341085271316E-3</v>
      </c>
      <c r="L231" s="141">
        <f t="shared" si="24"/>
        <v>1.1531007751937982E-2</v>
      </c>
      <c r="M231" s="141">
        <f t="shared" si="24"/>
        <v>1.5067829457364339E-2</v>
      </c>
      <c r="N231" s="141">
        <f t="shared" si="24"/>
        <v>1.9234496124031004E-2</v>
      </c>
      <c r="O231" s="141">
        <f t="shared" si="24"/>
        <v>2.4273255813953485E-2</v>
      </c>
      <c r="P231" s="22"/>
    </row>
    <row r="232" spans="1:16">
      <c r="B232" s="1400"/>
      <c r="C232" s="113" t="s">
        <v>2086</v>
      </c>
      <c r="D232" s="37"/>
      <c r="E232" s="1400" t="s">
        <v>2085</v>
      </c>
      <c r="F232" s="141">
        <f t="shared" ref="F232:O232" si="25">F183</f>
        <v>0</v>
      </c>
      <c r="G232" s="141">
        <f t="shared" si="25"/>
        <v>0</v>
      </c>
      <c r="H232" s="141">
        <f t="shared" si="25"/>
        <v>1000.563</v>
      </c>
      <c r="I232" s="141">
        <f t="shared" si="25"/>
        <v>2895.8</v>
      </c>
      <c r="J232" s="141">
        <f t="shared" si="25"/>
        <v>8148.1570000000002</v>
      </c>
      <c r="K232" s="141">
        <f t="shared" si="25"/>
        <v>22403.8</v>
      </c>
      <c r="L232" s="141">
        <f t="shared" si="25"/>
        <v>60414.25</v>
      </c>
      <c r="M232" s="141">
        <f t="shared" si="25"/>
        <v>80408.95</v>
      </c>
      <c r="N232" s="141">
        <f t="shared" si="25"/>
        <v>102711.8</v>
      </c>
      <c r="O232" s="141">
        <f t="shared" si="25"/>
        <v>129530.7</v>
      </c>
    </row>
    <row r="233" spans="1:16">
      <c r="B233" s="422"/>
      <c r="C233" s="2331" t="s">
        <v>1843</v>
      </c>
      <c r="E233" s="422" t="str">
        <f>preferences.energyunits&amp;"/day"</f>
        <v>TWh/day</v>
      </c>
      <c r="F233" s="22">
        <f t="shared" ref="F233:O233" si="26">F188</f>
        <v>0</v>
      </c>
      <c r="G233" s="22">
        <f t="shared" si="26"/>
        <v>0</v>
      </c>
      <c r="H233" s="22">
        <f t="shared" si="26"/>
        <v>4.1863555920000003E-3</v>
      </c>
      <c r="I233" s="22">
        <f t="shared" si="26"/>
        <v>1.2116027200000001E-2</v>
      </c>
      <c r="J233" s="22">
        <f t="shared" si="26"/>
        <v>3.4091888888000001E-2</v>
      </c>
      <c r="K233" s="22">
        <f t="shared" si="26"/>
        <v>9.3737499200000005E-2</v>
      </c>
      <c r="L233" s="22">
        <f t="shared" si="26"/>
        <v>0.25277322200000002</v>
      </c>
      <c r="M233" s="22">
        <f t="shared" si="26"/>
        <v>0.33643104680000002</v>
      </c>
      <c r="N233" s="22">
        <f t="shared" si="26"/>
        <v>0.42974617120000003</v>
      </c>
      <c r="O233" s="22">
        <f t="shared" si="26"/>
        <v>0.54195644880000005</v>
      </c>
      <c r="P233" s="141"/>
    </row>
    <row r="234" spans="1:16" s="19" customFormat="1">
      <c r="A234" s="37"/>
      <c r="B234" s="1401" t="s">
        <v>1117</v>
      </c>
      <c r="C234" s="19" t="s">
        <v>1833</v>
      </c>
      <c r="F234" s="2476">
        <f t="shared" ref="F234:O234" si="27">F29</f>
        <v>0</v>
      </c>
      <c r="G234" s="2476">
        <f t="shared" si="27"/>
        <v>0</v>
      </c>
      <c r="H234" s="2476">
        <f t="shared" si="27"/>
        <v>0</v>
      </c>
      <c r="I234" s="2476">
        <f t="shared" si="27"/>
        <v>0</v>
      </c>
      <c r="J234" s="2476">
        <f t="shared" si="27"/>
        <v>0</v>
      </c>
      <c r="K234" s="2476">
        <f t="shared" si="27"/>
        <v>0</v>
      </c>
      <c r="L234" s="2476">
        <f t="shared" si="27"/>
        <v>0</v>
      </c>
      <c r="M234" s="2476">
        <f t="shared" si="27"/>
        <v>0</v>
      </c>
      <c r="N234" s="2476">
        <f t="shared" si="27"/>
        <v>0</v>
      </c>
      <c r="O234" s="2476">
        <f t="shared" si="27"/>
        <v>0</v>
      </c>
      <c r="P234" s="37"/>
    </row>
    <row r="235" spans="1:16" s="423" customFormat="1">
      <c r="A235" s="2473"/>
      <c r="B235" s="2474" t="s">
        <v>36</v>
      </c>
      <c r="C235" s="2473" t="s">
        <v>2087</v>
      </c>
      <c r="D235" s="2473"/>
      <c r="E235" s="856" t="str">
        <f>preferences.energyunits</f>
        <v>TWh</v>
      </c>
      <c r="F235" s="2475">
        <f>F234*F233*365</f>
        <v>0</v>
      </c>
      <c r="G235" s="2475">
        <f t="shared" ref="G235:O235" si="28">G234*G233*365</f>
        <v>0</v>
      </c>
      <c r="H235" s="2475">
        <f t="shared" si="28"/>
        <v>0</v>
      </c>
      <c r="I235" s="2475">
        <f t="shared" si="28"/>
        <v>0</v>
      </c>
      <c r="J235" s="2475">
        <f t="shared" si="28"/>
        <v>0</v>
      </c>
      <c r="K235" s="2475">
        <f t="shared" si="28"/>
        <v>0</v>
      </c>
      <c r="L235" s="2475">
        <f t="shared" si="28"/>
        <v>0</v>
      </c>
      <c r="M235" s="2475">
        <f t="shared" si="28"/>
        <v>0</v>
      </c>
      <c r="N235" s="2475">
        <f t="shared" si="28"/>
        <v>0</v>
      </c>
      <c r="O235" s="2475">
        <f t="shared" si="28"/>
        <v>0</v>
      </c>
    </row>
    <row r="236" spans="1:16" s="423" customFormat="1">
      <c r="B236" s="856"/>
      <c r="E236" s="856"/>
      <c r="F236" s="2475"/>
      <c r="G236" s="2475"/>
      <c r="H236" s="2475"/>
      <c r="I236" s="2475"/>
      <c r="J236" s="2475"/>
      <c r="K236" s="2475"/>
      <c r="L236" s="2475"/>
      <c r="M236" s="2475"/>
      <c r="N236" s="2475"/>
      <c r="O236" s="2475"/>
    </row>
    <row r="237" spans="1:16" s="423" customFormat="1">
      <c r="B237" s="856"/>
      <c r="C237" s="2471" t="s">
        <v>1914</v>
      </c>
      <c r="E237" s="856"/>
      <c r="F237" s="2475"/>
      <c r="G237" s="2475"/>
      <c r="H237" s="2475"/>
      <c r="I237" s="2475"/>
      <c r="J237" s="2475"/>
      <c r="K237" s="2475"/>
      <c r="L237" s="2475"/>
      <c r="M237" s="2475"/>
      <c r="N237" s="2475"/>
      <c r="O237" s="2475"/>
    </row>
    <row r="238" spans="1:16" s="19" customFormat="1">
      <c r="A238" s="37"/>
      <c r="B238" s="1401"/>
      <c r="F238" s="2472"/>
      <c r="G238" s="2472"/>
      <c r="H238" s="2472"/>
      <c r="I238" s="2472"/>
      <c r="J238" s="2472"/>
      <c r="K238" s="2472"/>
      <c r="L238" s="2472"/>
      <c r="M238" s="2472"/>
      <c r="N238" s="2472"/>
      <c r="O238" s="2472"/>
      <c r="P238" s="37"/>
    </row>
    <row r="239" spans="1:16" ht="14.25" customHeight="1">
      <c r="A239" s="37"/>
      <c r="B239" s="422"/>
      <c r="C239" s="87" t="s">
        <v>1834</v>
      </c>
      <c r="F239" s="2617">
        <f t="shared" ref="F239:O239" si="29">F38</f>
        <v>0</v>
      </c>
      <c r="G239" s="2617">
        <f t="shared" si="29"/>
        <v>0</v>
      </c>
      <c r="H239" s="2617">
        <f t="shared" si="29"/>
        <v>0</v>
      </c>
      <c r="I239" s="2617">
        <f t="shared" si="29"/>
        <v>0</v>
      </c>
      <c r="J239" s="2617">
        <f t="shared" si="29"/>
        <v>0</v>
      </c>
      <c r="K239" s="2617">
        <f t="shared" si="29"/>
        <v>0</v>
      </c>
      <c r="L239" s="2617">
        <f t="shared" si="29"/>
        <v>0</v>
      </c>
      <c r="M239" s="2617">
        <f t="shared" si="29"/>
        <v>0</v>
      </c>
      <c r="N239" s="2617">
        <f t="shared" si="29"/>
        <v>0</v>
      </c>
      <c r="O239" s="2617">
        <f t="shared" si="29"/>
        <v>0</v>
      </c>
    </row>
    <row r="240" spans="1:16" s="19" customFormat="1">
      <c r="B240" s="1401"/>
      <c r="C240" s="110" t="s">
        <v>1835</v>
      </c>
      <c r="F240" s="90">
        <f t="shared" ref="F240:O240" si="30">F47</f>
        <v>0</v>
      </c>
      <c r="G240" s="90">
        <f t="shared" si="30"/>
        <v>0</v>
      </c>
      <c r="H240" s="90">
        <f t="shared" si="30"/>
        <v>0</v>
      </c>
      <c r="I240" s="90">
        <f t="shared" si="30"/>
        <v>0</v>
      </c>
      <c r="J240" s="90">
        <f t="shared" si="30"/>
        <v>0</v>
      </c>
      <c r="K240" s="90">
        <f t="shared" si="30"/>
        <v>0</v>
      </c>
      <c r="L240" s="90">
        <f t="shared" si="30"/>
        <v>0</v>
      </c>
      <c r="M240" s="90">
        <f t="shared" si="30"/>
        <v>0</v>
      </c>
      <c r="N240" s="90">
        <f t="shared" si="30"/>
        <v>0</v>
      </c>
      <c r="O240" s="90">
        <f t="shared" si="30"/>
        <v>0</v>
      </c>
      <c r="P240" s="1477"/>
    </row>
    <row r="241" spans="2:16" s="423" customFormat="1">
      <c r="B241" s="856"/>
      <c r="E241" s="856"/>
      <c r="F241" s="2475"/>
      <c r="G241" s="2475"/>
      <c r="H241" s="2475"/>
      <c r="I241" s="2475"/>
      <c r="J241" s="2475"/>
      <c r="K241" s="2475"/>
      <c r="L241" s="2475"/>
      <c r="M241" s="2475"/>
      <c r="N241" s="2475"/>
      <c r="O241" s="2475"/>
    </row>
    <row r="242" spans="2:16" s="19" customFormat="1">
      <c r="B242" s="1401"/>
      <c r="C242" s="110" t="s">
        <v>2089</v>
      </c>
      <c r="E242" s="1401" t="str">
        <f>Preferences.PowerUnits</f>
        <v>GW</v>
      </c>
      <c r="F242" s="2472">
        <f t="shared" ref="F242:O242" si="31">F239*F231</f>
        <v>0</v>
      </c>
      <c r="G242" s="2472">
        <f t="shared" si="31"/>
        <v>0</v>
      </c>
      <c r="H242" s="2472">
        <f t="shared" si="31"/>
        <v>0</v>
      </c>
      <c r="I242" s="2472">
        <f t="shared" si="31"/>
        <v>0</v>
      </c>
      <c r="J242" s="2472">
        <f t="shared" si="31"/>
        <v>0</v>
      </c>
      <c r="K242" s="2472">
        <f t="shared" si="31"/>
        <v>0</v>
      </c>
      <c r="L242" s="2472">
        <f t="shared" si="31"/>
        <v>0</v>
      </c>
      <c r="M242" s="2472">
        <f t="shared" si="31"/>
        <v>0</v>
      </c>
      <c r="N242" s="2472">
        <f t="shared" si="31"/>
        <v>0</v>
      </c>
      <c r="O242" s="2472">
        <f t="shared" si="31"/>
        <v>0</v>
      </c>
      <c r="P242" s="1477"/>
    </row>
    <row r="243" spans="2:16">
      <c r="B243" s="422" t="s">
        <v>1117</v>
      </c>
      <c r="C243" s="19" t="s">
        <v>1915</v>
      </c>
      <c r="F243" s="2476">
        <v>1</v>
      </c>
      <c r="G243" s="2476">
        <v>1</v>
      </c>
      <c r="H243" s="2476">
        <v>1</v>
      </c>
      <c r="I243" s="2476">
        <v>1</v>
      </c>
      <c r="J243" s="2476">
        <v>1</v>
      </c>
      <c r="K243" s="2476">
        <v>1</v>
      </c>
      <c r="L243" s="2476">
        <v>1</v>
      </c>
      <c r="M243" s="2476">
        <v>1</v>
      </c>
      <c r="N243" s="2476">
        <v>1</v>
      </c>
      <c r="O243" s="2476">
        <v>1</v>
      </c>
      <c r="P243" s="90"/>
    </row>
    <row r="244" spans="2:16">
      <c r="B244" s="422" t="s">
        <v>276</v>
      </c>
      <c r="C244" s="19" t="s">
        <v>1916</v>
      </c>
      <c r="E244" s="1401" t="str">
        <f>Preferences.PowerUnits</f>
        <v>GW</v>
      </c>
      <c r="F244" s="365">
        <f>F242*F243</f>
        <v>0</v>
      </c>
      <c r="G244" s="365">
        <f t="shared" ref="G244:O244" si="32">G242*G243</f>
        <v>0</v>
      </c>
      <c r="H244" s="365">
        <f t="shared" si="32"/>
        <v>0</v>
      </c>
      <c r="I244" s="365">
        <f t="shared" si="32"/>
        <v>0</v>
      </c>
      <c r="J244" s="365">
        <f t="shared" si="32"/>
        <v>0</v>
      </c>
      <c r="K244" s="365">
        <f t="shared" si="32"/>
        <v>0</v>
      </c>
      <c r="L244" s="365">
        <f t="shared" si="32"/>
        <v>0</v>
      </c>
      <c r="M244" s="365">
        <f t="shared" si="32"/>
        <v>0</v>
      </c>
      <c r="N244" s="365">
        <f t="shared" si="32"/>
        <v>0</v>
      </c>
      <c r="O244" s="365">
        <f t="shared" si="32"/>
        <v>0</v>
      </c>
      <c r="P244" s="359"/>
    </row>
    <row r="245" spans="2:16">
      <c r="B245" s="422"/>
    </row>
    <row r="246" spans="2:16" s="423" customFormat="1">
      <c r="B246" s="856"/>
      <c r="C246" s="423" t="s">
        <v>799</v>
      </c>
      <c r="E246" s="856" t="str">
        <f>preferences.energyunits</f>
        <v>TWh</v>
      </c>
      <c r="F246" s="2620">
        <f t="shared" ref="F246:O246" si="33">(F244)*(Preferences.Unit.Power*Unit.year/Preferences.Unit.Energy)</f>
        <v>0</v>
      </c>
      <c r="G246" s="2620">
        <f t="shared" si="33"/>
        <v>0</v>
      </c>
      <c r="H246" s="2620">
        <f t="shared" si="33"/>
        <v>0</v>
      </c>
      <c r="I246" s="2620">
        <f t="shared" si="33"/>
        <v>0</v>
      </c>
      <c r="J246" s="2620">
        <f t="shared" si="33"/>
        <v>0</v>
      </c>
      <c r="K246" s="2620">
        <f t="shared" si="33"/>
        <v>0</v>
      </c>
      <c r="L246" s="2620">
        <f t="shared" si="33"/>
        <v>0</v>
      </c>
      <c r="M246" s="2620">
        <f t="shared" si="33"/>
        <v>0</v>
      </c>
      <c r="N246" s="2620">
        <f t="shared" si="33"/>
        <v>0</v>
      </c>
      <c r="O246" s="2620">
        <f t="shared" si="33"/>
        <v>0</v>
      </c>
    </row>
    <row r="247" spans="2:16">
      <c r="B247" s="422"/>
      <c r="C247" s="2331" t="s">
        <v>2090</v>
      </c>
      <c r="E247" s="856" t="str">
        <f>preferences.energyunits</f>
        <v>TWh</v>
      </c>
      <c r="F247" s="497">
        <f>F246/$F$157</f>
        <v>0</v>
      </c>
      <c r="G247" s="497">
        <f t="shared" ref="G247:O247" si="34">G246/$F$157</f>
        <v>0</v>
      </c>
      <c r="H247" s="497">
        <f t="shared" si="34"/>
        <v>0</v>
      </c>
      <c r="I247" s="497">
        <f t="shared" si="34"/>
        <v>0</v>
      </c>
      <c r="J247" s="497">
        <f t="shared" si="34"/>
        <v>0</v>
      </c>
      <c r="K247" s="497">
        <f t="shared" si="34"/>
        <v>0</v>
      </c>
      <c r="L247" s="497">
        <f t="shared" si="34"/>
        <v>0</v>
      </c>
      <c r="M247" s="497">
        <f t="shared" si="34"/>
        <v>0</v>
      </c>
      <c r="N247" s="497">
        <f t="shared" si="34"/>
        <v>0</v>
      </c>
      <c r="O247" s="497">
        <f t="shared" si="34"/>
        <v>0</v>
      </c>
    </row>
    <row r="248" spans="2:16">
      <c r="B248" s="422"/>
    </row>
    <row r="249" spans="2:16">
      <c r="B249" s="422"/>
    </row>
    <row r="251" spans="2:16">
      <c r="F251" s="365"/>
      <c r="G251" s="365"/>
      <c r="H251" s="365"/>
      <c r="I251" s="365"/>
      <c r="J251" s="365"/>
      <c r="K251" s="365"/>
      <c r="L251" s="365"/>
      <c r="M251" s="365"/>
      <c r="N251" s="365"/>
      <c r="O251" s="365"/>
      <c r="P251" s="365"/>
    </row>
    <row r="252" spans="2:16">
      <c r="C252" s="423" t="s">
        <v>1806</v>
      </c>
      <c r="F252" s="755">
        <v>2007</v>
      </c>
      <c r="G252" s="755">
        <f>F252+5</f>
        <v>2012</v>
      </c>
      <c r="H252" s="755">
        <f t="shared" ref="H252:O252" si="35">G252+5</f>
        <v>2017</v>
      </c>
      <c r="I252" s="755">
        <f t="shared" si="35"/>
        <v>2022</v>
      </c>
      <c r="J252" s="755">
        <f t="shared" si="35"/>
        <v>2027</v>
      </c>
      <c r="K252" s="755">
        <f t="shared" si="35"/>
        <v>2032</v>
      </c>
      <c r="L252" s="755">
        <f t="shared" si="35"/>
        <v>2037</v>
      </c>
      <c r="M252" s="755">
        <f t="shared" si="35"/>
        <v>2042</v>
      </c>
      <c r="N252" s="755">
        <f t="shared" si="35"/>
        <v>2047</v>
      </c>
      <c r="O252" s="755">
        <f t="shared" si="35"/>
        <v>2052</v>
      </c>
      <c r="P252" s="311"/>
    </row>
    <row r="253" spans="2:16" s="37" customFormat="1">
      <c r="B253" s="2331"/>
      <c r="C253" s="2331"/>
      <c r="D253" s="2331"/>
      <c r="E253" s="2331"/>
      <c r="F253" s="365"/>
      <c r="G253" s="365"/>
      <c r="H253" s="365"/>
      <c r="I253" s="365"/>
      <c r="J253" s="365"/>
      <c r="K253" s="365"/>
      <c r="L253" s="365"/>
      <c r="M253" s="365"/>
      <c r="N253" s="365"/>
      <c r="O253" s="365"/>
    </row>
    <row r="254" spans="2:16" s="37" customFormat="1">
      <c r="B254" s="2331"/>
      <c r="C254" s="2331"/>
      <c r="D254" s="2331"/>
      <c r="E254" s="2331"/>
      <c r="F254" s="365"/>
      <c r="G254" s="365"/>
      <c r="H254" s="365"/>
      <c r="I254" s="365"/>
      <c r="J254" s="365"/>
      <c r="K254" s="365"/>
      <c r="L254" s="365"/>
      <c r="M254" s="365"/>
      <c r="N254" s="365"/>
      <c r="O254" s="365"/>
    </row>
    <row r="255" spans="2:16">
      <c r="B255" s="2331" t="s">
        <v>350</v>
      </c>
      <c r="C255" s="19" t="s">
        <v>846</v>
      </c>
      <c r="E255" s="2331" t="s">
        <v>367</v>
      </c>
      <c r="F255" s="365"/>
      <c r="G255" s="365"/>
      <c r="H255" s="365"/>
      <c r="I255" s="365"/>
      <c r="J255" s="365"/>
      <c r="K255" s="365"/>
      <c r="L255" s="365"/>
      <c r="M255" s="365"/>
      <c r="N255" s="365"/>
      <c r="O255" s="365"/>
    </row>
    <row r="256" spans="2:16">
      <c r="B256" s="2331" t="s">
        <v>351</v>
      </c>
      <c r="C256" s="2331" t="s">
        <v>846</v>
      </c>
      <c r="E256" s="2331" t="s">
        <v>367</v>
      </c>
      <c r="F256" s="365"/>
      <c r="G256" s="365"/>
      <c r="H256" s="365"/>
      <c r="I256" s="365"/>
      <c r="J256" s="365"/>
      <c r="K256" s="365"/>
      <c r="L256" s="365"/>
      <c r="M256" s="365"/>
      <c r="N256" s="365"/>
      <c r="O256" s="365"/>
    </row>
    <row r="257" spans="1:16">
      <c r="B257" s="365" t="s">
        <v>352</v>
      </c>
      <c r="C257" s="2331" t="s">
        <v>846</v>
      </c>
      <c r="E257" s="2331" t="s">
        <v>367</v>
      </c>
    </row>
    <row r="258" spans="1:16">
      <c r="F258" s="365"/>
      <c r="G258" s="365"/>
      <c r="H258" s="365"/>
      <c r="I258" s="365"/>
      <c r="J258" s="365"/>
      <c r="K258" s="365"/>
      <c r="L258" s="365"/>
      <c r="M258" s="365"/>
      <c r="N258" s="365"/>
      <c r="O258" s="365"/>
      <c r="P258" s="260"/>
    </row>
    <row r="259" spans="1:16">
      <c r="F259" s="365"/>
      <c r="G259" s="365"/>
      <c r="H259" s="365"/>
      <c r="I259" s="365"/>
      <c r="J259" s="365"/>
      <c r="K259" s="365"/>
      <c r="L259" s="365"/>
      <c r="M259" s="365"/>
      <c r="N259" s="365"/>
      <c r="O259" s="365"/>
    </row>
    <row r="260" spans="1:16">
      <c r="C260" s="19"/>
      <c r="F260" s="365"/>
      <c r="G260" s="365"/>
      <c r="H260" s="365"/>
      <c r="I260" s="365"/>
      <c r="J260" s="365"/>
      <c r="K260" s="365"/>
      <c r="L260" s="365"/>
      <c r="M260" s="365"/>
      <c r="N260" s="365"/>
      <c r="O260" s="365"/>
      <c r="P260" s="365"/>
    </row>
    <row r="261" spans="1:16">
      <c r="F261" s="365"/>
      <c r="G261" s="365"/>
      <c r="H261" s="365"/>
      <c r="I261" s="365"/>
      <c r="J261" s="365"/>
      <c r="K261" s="365"/>
      <c r="L261" s="365"/>
      <c r="M261" s="365"/>
      <c r="N261" s="365"/>
      <c r="O261" s="365"/>
      <c r="P261" s="365"/>
    </row>
    <row r="262" spans="1:16">
      <c r="F262" s="365"/>
      <c r="G262" s="365"/>
      <c r="H262" s="365"/>
      <c r="I262" s="365"/>
      <c r="J262" s="365"/>
      <c r="K262" s="365"/>
      <c r="L262" s="365"/>
      <c r="M262" s="365"/>
      <c r="N262" s="365"/>
      <c r="O262" s="365"/>
    </row>
    <row r="263" spans="1:16" ht="15.75">
      <c r="B263" s="206" t="s">
        <v>202</v>
      </c>
      <c r="C263" s="175"/>
      <c r="D263" s="175"/>
      <c r="E263" s="175"/>
      <c r="F263" s="175"/>
      <c r="G263" s="175"/>
      <c r="H263" s="175"/>
      <c r="I263" s="175"/>
      <c r="J263" s="175"/>
      <c r="K263" s="175"/>
      <c r="L263" s="175"/>
      <c r="M263" s="175"/>
      <c r="N263" s="175"/>
      <c r="O263" s="175"/>
      <c r="P263" s="177"/>
    </row>
    <row r="264" spans="1:16">
      <c r="B264" s="164"/>
      <c r="C264" s="166"/>
      <c r="D264" s="166"/>
      <c r="E264" s="166"/>
      <c r="F264" s="166"/>
      <c r="G264" s="166"/>
      <c r="H264" s="166"/>
      <c r="I264" s="166"/>
      <c r="J264" s="166"/>
      <c r="K264" s="166"/>
      <c r="L264" s="166"/>
      <c r="M264" s="166"/>
      <c r="N264" s="166"/>
      <c r="O264" s="166"/>
      <c r="P264" s="168"/>
    </row>
    <row r="265" spans="1:16">
      <c r="B265" s="164"/>
      <c r="C265" s="178" t="s">
        <v>239</v>
      </c>
      <c r="D265" s="166"/>
      <c r="E265" s="167"/>
      <c r="F265" s="166"/>
      <c r="G265" s="167"/>
      <c r="H265" s="166"/>
      <c r="I265" s="166"/>
      <c r="J265" s="166"/>
      <c r="K265" s="166"/>
      <c r="L265" s="166"/>
      <c r="M265" s="166"/>
      <c r="N265" s="166"/>
      <c r="O265" s="167" t="str">
        <f>preferences.energyunits</f>
        <v>TWh</v>
      </c>
      <c r="P265" s="168"/>
    </row>
    <row r="266" spans="1:16" ht="22.5">
      <c r="A266" s="420"/>
      <c r="B266" s="164"/>
      <c r="C266" s="166"/>
      <c r="D266" s="166"/>
      <c r="E266" s="166"/>
      <c r="F266" s="166"/>
      <c r="G266" s="166"/>
      <c r="H266" s="166"/>
      <c r="I266" s="166"/>
      <c r="J266" s="166"/>
      <c r="K266" s="166"/>
      <c r="L266" s="166"/>
      <c r="M266" s="166"/>
      <c r="N266" s="166"/>
      <c r="O266" s="166"/>
      <c r="P266" s="168"/>
    </row>
    <row r="267" spans="1:16" ht="15.75">
      <c r="B267" s="169"/>
      <c r="C267" s="180" t="s">
        <v>64</v>
      </c>
      <c r="D267" s="180" t="s">
        <v>137</v>
      </c>
      <c r="E267" s="180" t="s">
        <v>156</v>
      </c>
      <c r="F267" s="2387" t="s">
        <v>203</v>
      </c>
      <c r="G267" s="2388" t="s">
        <v>712</v>
      </c>
      <c r="H267" s="2388" t="s">
        <v>713</v>
      </c>
      <c r="I267" s="2388" t="s">
        <v>714</v>
      </c>
      <c r="J267" s="2388" t="s">
        <v>715</v>
      </c>
      <c r="K267" s="2388" t="s">
        <v>716</v>
      </c>
      <c r="L267" s="2388" t="s">
        <v>717</v>
      </c>
      <c r="M267" s="2388" t="s">
        <v>718</v>
      </c>
      <c r="N267" s="2388" t="s">
        <v>719</v>
      </c>
      <c r="O267" s="2388" t="s">
        <v>720</v>
      </c>
      <c r="P267" s="168"/>
    </row>
    <row r="268" spans="1:16" ht="15.75">
      <c r="B268" s="169"/>
      <c r="C268" s="60" t="s">
        <v>35</v>
      </c>
      <c r="D268" s="60" t="str">
        <f>INDEX(Vectors[Description], MATCH([Vector], Vectors[Code], 0))</f>
        <v>Electricity (supplied to grid)</v>
      </c>
      <c r="E268" s="60"/>
      <c r="F268" s="129">
        <f>F246</f>
        <v>0</v>
      </c>
      <c r="G268" s="129">
        <f t="shared" ref="G268:O268" si="36">G246</f>
        <v>0</v>
      </c>
      <c r="H268" s="129">
        <f t="shared" si="36"/>
        <v>0</v>
      </c>
      <c r="I268" s="129">
        <f t="shared" si="36"/>
        <v>0</v>
      </c>
      <c r="J268" s="129">
        <f t="shared" si="36"/>
        <v>0</v>
      </c>
      <c r="K268" s="129">
        <f t="shared" si="36"/>
        <v>0</v>
      </c>
      <c r="L268" s="129">
        <f t="shared" si="36"/>
        <v>0</v>
      </c>
      <c r="M268" s="129">
        <f t="shared" si="36"/>
        <v>0</v>
      </c>
      <c r="N268" s="129">
        <f t="shared" si="36"/>
        <v>0</v>
      </c>
      <c r="O268" s="129">
        <f t="shared" si="36"/>
        <v>0</v>
      </c>
      <c r="P268" s="168"/>
    </row>
    <row r="269" spans="1:16" ht="15.75">
      <c r="B269" s="169"/>
      <c r="C269" s="60" t="s">
        <v>36</v>
      </c>
      <c r="D269" s="60" t="str">
        <f>INDEX(Vectors[Description], MATCH([Vector], Vectors[Code], 0))</f>
        <v>Solid hydrocarbons</v>
      </c>
      <c r="E269" s="60"/>
      <c r="F269" s="129">
        <f>F235</f>
        <v>0</v>
      </c>
      <c r="G269" s="129">
        <f t="shared" ref="G269:O269" si="37">G235</f>
        <v>0</v>
      </c>
      <c r="H269" s="129">
        <f t="shared" si="37"/>
        <v>0</v>
      </c>
      <c r="I269" s="129">
        <f t="shared" si="37"/>
        <v>0</v>
      </c>
      <c r="J269" s="129">
        <f t="shared" si="37"/>
        <v>0</v>
      </c>
      <c r="K269" s="129">
        <f t="shared" si="37"/>
        <v>0</v>
      </c>
      <c r="L269" s="129">
        <f t="shared" si="37"/>
        <v>0</v>
      </c>
      <c r="M269" s="129">
        <f t="shared" si="37"/>
        <v>0</v>
      </c>
      <c r="N269" s="129">
        <f t="shared" si="37"/>
        <v>0</v>
      </c>
      <c r="O269" s="129">
        <f t="shared" si="37"/>
        <v>0</v>
      </c>
      <c r="P269" s="168"/>
    </row>
    <row r="270" spans="1:16" ht="15.75">
      <c r="B270" s="169"/>
      <c r="C270" s="60" t="s">
        <v>39</v>
      </c>
      <c r="D270" s="60" t="str">
        <f>INDEX(Vectors[Description], MATCH([Vector], Vectors[Code], 0))</f>
        <v>Gaseous hydrocarbons</v>
      </c>
      <c r="E270" s="60"/>
      <c r="F270" s="129">
        <f>F227</f>
        <v>0</v>
      </c>
      <c r="G270" s="129">
        <f t="shared" ref="G270:O270" si="38">G227</f>
        <v>0</v>
      </c>
      <c r="H270" s="129">
        <f t="shared" si="38"/>
        <v>0</v>
      </c>
      <c r="I270" s="129">
        <f t="shared" si="38"/>
        <v>0</v>
      </c>
      <c r="J270" s="129">
        <f t="shared" si="38"/>
        <v>0</v>
      </c>
      <c r="K270" s="129">
        <f t="shared" si="38"/>
        <v>0</v>
      </c>
      <c r="L270" s="129">
        <f t="shared" si="38"/>
        <v>0</v>
      </c>
      <c r="M270" s="129">
        <f t="shared" si="38"/>
        <v>0</v>
      </c>
      <c r="N270" s="129">
        <f t="shared" si="38"/>
        <v>0</v>
      </c>
      <c r="O270" s="129">
        <f t="shared" si="38"/>
        <v>0</v>
      </c>
      <c r="P270" s="168"/>
    </row>
    <row r="271" spans="1:16" ht="15.75">
      <c r="B271" s="169"/>
      <c r="C271" s="60" t="s">
        <v>25</v>
      </c>
      <c r="D271" s="60" t="str">
        <f>INDEX(Vectors[Description], MATCH([Vector], Vectors[Code], 0))</f>
        <v>Conversion losses</v>
      </c>
      <c r="E271" s="60"/>
      <c r="F271" s="129">
        <f>F247-F246</f>
        <v>0</v>
      </c>
      <c r="G271" s="129">
        <f t="shared" ref="G271:O271" si="39">G247-G246</f>
        <v>0</v>
      </c>
      <c r="H271" s="129">
        <f t="shared" si="39"/>
        <v>0</v>
      </c>
      <c r="I271" s="129">
        <f t="shared" si="39"/>
        <v>0</v>
      </c>
      <c r="J271" s="129">
        <f t="shared" si="39"/>
        <v>0</v>
      </c>
      <c r="K271" s="129">
        <f t="shared" si="39"/>
        <v>0</v>
      </c>
      <c r="L271" s="129">
        <f t="shared" si="39"/>
        <v>0</v>
      </c>
      <c r="M271" s="129">
        <f t="shared" si="39"/>
        <v>0</v>
      </c>
      <c r="N271" s="129">
        <f t="shared" si="39"/>
        <v>0</v>
      </c>
      <c r="O271" s="129">
        <f t="shared" si="39"/>
        <v>0</v>
      </c>
      <c r="P271" s="168"/>
    </row>
    <row r="272" spans="1:16" ht="15.75">
      <c r="A272" s="3"/>
      <c r="B272" s="169"/>
      <c r="C272" s="60" t="s">
        <v>42</v>
      </c>
      <c r="D272" s="60" t="str">
        <f>INDEX(Vectors[Description], MATCH([Vector], Vectors[Code], 0))</f>
        <v>Waste</v>
      </c>
      <c r="E272" s="60"/>
      <c r="F272" s="129">
        <f>-(F247+F235+F227)</f>
        <v>0</v>
      </c>
      <c r="G272" s="129">
        <f t="shared" ref="G272:O272" si="40">-(G247+G235+G227)</f>
        <v>0</v>
      </c>
      <c r="H272" s="129">
        <f t="shared" si="40"/>
        <v>0</v>
      </c>
      <c r="I272" s="129">
        <f t="shared" si="40"/>
        <v>0</v>
      </c>
      <c r="J272" s="129">
        <f t="shared" si="40"/>
        <v>0</v>
      </c>
      <c r="K272" s="129">
        <f t="shared" si="40"/>
        <v>0</v>
      </c>
      <c r="L272" s="129">
        <f t="shared" si="40"/>
        <v>0</v>
      </c>
      <c r="M272" s="129">
        <f t="shared" si="40"/>
        <v>0</v>
      </c>
      <c r="N272" s="129">
        <f t="shared" si="40"/>
        <v>0</v>
      </c>
      <c r="O272" s="129">
        <f t="shared" si="40"/>
        <v>0</v>
      </c>
      <c r="P272" s="168"/>
    </row>
    <row r="273" spans="1:16" ht="15.75">
      <c r="A273" s="3"/>
      <c r="B273" s="170"/>
      <c r="C273" s="60" t="s">
        <v>103</v>
      </c>
      <c r="D273" s="60"/>
      <c r="E273" s="60"/>
      <c r="F273" s="2551">
        <f>SUBTOTAL(109,[2007])</f>
        <v>0</v>
      </c>
      <c r="G273" s="2551">
        <f>SUBTOTAL(109,[2012])</f>
        <v>0</v>
      </c>
      <c r="H273" s="2551">
        <f>SUBTOTAL(109,[2017])</f>
        <v>0</v>
      </c>
      <c r="I273" s="2551">
        <f>SUBTOTAL(109,[2022])</f>
        <v>0</v>
      </c>
      <c r="J273" s="2551">
        <f>SUBTOTAL(109,[2027])</f>
        <v>0</v>
      </c>
      <c r="K273" s="2551">
        <f>SUBTOTAL(109,[2032])</f>
        <v>0</v>
      </c>
      <c r="L273" s="2551">
        <f>SUBTOTAL(109,[2037])</f>
        <v>0</v>
      </c>
      <c r="M273" s="2551">
        <f>SUBTOTAL(109,[2042])</f>
        <v>0</v>
      </c>
      <c r="N273" s="2551">
        <f>SUBTOTAL(109,[2047])</f>
        <v>0</v>
      </c>
      <c r="O273" s="2551">
        <f>SUBTOTAL(109,[2052])</f>
        <v>0</v>
      </c>
      <c r="P273" s="173"/>
    </row>
    <row r="274" spans="1:16" ht="15.75">
      <c r="A274" s="3"/>
      <c r="C274" s="171"/>
      <c r="D274" s="171"/>
      <c r="E274" s="171"/>
      <c r="F274" s="171"/>
      <c r="G274" s="171"/>
      <c r="H274" s="171"/>
      <c r="I274" s="171"/>
      <c r="J274" s="171"/>
      <c r="K274" s="171"/>
      <c r="L274" s="171"/>
      <c r="M274" s="171"/>
      <c r="N274" s="171"/>
      <c r="O274" s="171"/>
    </row>
    <row r="275" spans="1:16" ht="15.75">
      <c r="A275" s="3"/>
      <c r="P275" s="426"/>
    </row>
    <row r="276" spans="1:16" ht="7.5" customHeight="1">
      <c r="A276" s="3"/>
      <c r="B276" s="424" t="s">
        <v>501</v>
      </c>
      <c r="C276" s="346"/>
      <c r="D276" s="425"/>
      <c r="E276" s="425"/>
      <c r="F276" s="425"/>
      <c r="G276" s="425"/>
      <c r="H276" s="425"/>
      <c r="I276" s="425"/>
      <c r="J276" s="425"/>
      <c r="K276" s="425"/>
      <c r="L276" s="425"/>
      <c r="M276" s="425"/>
      <c r="N276" s="425"/>
      <c r="O276" s="425"/>
      <c r="P276" s="349"/>
    </row>
    <row r="277" spans="1:16" collapsed="1">
      <c r="B277" s="427"/>
      <c r="C277" s="348"/>
      <c r="D277" s="348"/>
      <c r="E277" s="348"/>
      <c r="F277" s="348"/>
      <c r="G277" s="348"/>
      <c r="H277" s="348"/>
      <c r="I277" s="348"/>
      <c r="J277" s="348"/>
      <c r="K277" s="348"/>
      <c r="L277" s="348"/>
      <c r="M277" s="348"/>
      <c r="N277" s="348"/>
      <c r="O277" s="348"/>
      <c r="P277" s="429"/>
    </row>
    <row r="278" spans="1:16" ht="15.75" customHeight="1">
      <c r="B278" s="427"/>
      <c r="C278" s="350" t="s">
        <v>506</v>
      </c>
      <c r="D278" s="428"/>
      <c r="E278" s="351"/>
      <c r="F278" s="428"/>
      <c r="G278" s="351"/>
      <c r="H278" s="428"/>
      <c r="I278" s="428"/>
      <c r="J278" s="428"/>
      <c r="K278" s="428"/>
      <c r="L278" s="428"/>
      <c r="M278" s="428"/>
      <c r="N278" s="428"/>
      <c r="O278" s="351"/>
      <c r="P278" s="429"/>
    </row>
    <row r="279" spans="1:16" ht="15.75">
      <c r="B279" s="430"/>
      <c r="C279" s="428"/>
      <c r="D279" s="428"/>
      <c r="E279" s="428"/>
      <c r="F279" s="428"/>
      <c r="G279" s="428"/>
      <c r="H279" s="428"/>
      <c r="I279" s="428"/>
      <c r="J279" s="428"/>
      <c r="K279" s="428"/>
      <c r="L279" s="428"/>
      <c r="M279" s="428"/>
      <c r="N279" s="428"/>
      <c r="O279" s="428"/>
      <c r="P279" s="429"/>
    </row>
    <row r="280" spans="1:16" ht="15.75" customHeight="1">
      <c r="B280" s="430"/>
      <c r="C280" s="431" t="s">
        <v>64</v>
      </c>
      <c r="D280" s="431" t="s">
        <v>502</v>
      </c>
      <c r="E280" s="431" t="s">
        <v>156</v>
      </c>
      <c r="F280" s="2389" t="s">
        <v>203</v>
      </c>
      <c r="G280" s="364" t="s">
        <v>712</v>
      </c>
      <c r="H280" s="364" t="s">
        <v>713</v>
      </c>
      <c r="I280" s="364" t="s">
        <v>714</v>
      </c>
      <c r="J280" s="364" t="s">
        <v>715</v>
      </c>
      <c r="K280" s="364" t="s">
        <v>716</v>
      </c>
      <c r="L280" s="364" t="s">
        <v>717</v>
      </c>
      <c r="M280" s="364" t="s">
        <v>718</v>
      </c>
      <c r="N280" s="364" t="s">
        <v>719</v>
      </c>
      <c r="O280" s="364" t="s">
        <v>720</v>
      </c>
      <c r="P280" s="429"/>
    </row>
    <row r="281" spans="1:16" ht="15.75">
      <c r="B281" s="430"/>
      <c r="C281" s="432" t="s">
        <v>508</v>
      </c>
      <c r="D281" s="433" t="str">
        <f>INDEX(Vectors[Description], MATCH([Vector], Vectors[Code], 0))</f>
        <v xml:space="preserve">Installed Capacity </v>
      </c>
      <c r="E281" s="433" t="str">
        <f>Preferences.PowerUnits</f>
        <v>GW</v>
      </c>
      <c r="F281" s="354">
        <f t="shared" ref="F281:O281" si="41">F242</f>
        <v>0</v>
      </c>
      <c r="G281" s="354">
        <f t="shared" si="41"/>
        <v>0</v>
      </c>
      <c r="H281" s="354">
        <f t="shared" si="41"/>
        <v>0</v>
      </c>
      <c r="I281" s="354">
        <f t="shared" si="41"/>
        <v>0</v>
      </c>
      <c r="J281" s="354">
        <f t="shared" si="41"/>
        <v>0</v>
      </c>
      <c r="K281" s="354">
        <f t="shared" si="41"/>
        <v>0</v>
      </c>
      <c r="L281" s="354">
        <f t="shared" si="41"/>
        <v>0</v>
      </c>
      <c r="M281" s="354">
        <f t="shared" si="41"/>
        <v>0</v>
      </c>
      <c r="N281" s="354">
        <f t="shared" si="41"/>
        <v>0</v>
      </c>
      <c r="O281" s="354">
        <f t="shared" si="41"/>
        <v>0</v>
      </c>
      <c r="P281" s="429"/>
    </row>
    <row r="282" spans="1:16" ht="15.75">
      <c r="B282" s="355"/>
      <c r="C282" s="432" t="s">
        <v>503</v>
      </c>
      <c r="D282" s="433" t="str">
        <f>INDEX(Vectors[Description], MATCH([Vector], Vectors[Code], 0))</f>
        <v>India Land area</v>
      </c>
      <c r="E282" s="432" t="str">
        <f>Preferences.AreaUnits</f>
        <v>ha</v>
      </c>
      <c r="F282" s="443">
        <f>0</f>
        <v>0</v>
      </c>
      <c r="G282" s="443">
        <f>0</f>
        <v>0</v>
      </c>
      <c r="H282" s="443">
        <f>0</f>
        <v>0</v>
      </c>
      <c r="I282" s="443">
        <f>0</f>
        <v>0</v>
      </c>
      <c r="J282" s="443">
        <f>0</f>
        <v>0</v>
      </c>
      <c r="K282" s="443">
        <f>0</f>
        <v>0</v>
      </c>
      <c r="L282" s="443">
        <f>0</f>
        <v>0</v>
      </c>
      <c r="M282" s="443">
        <f>0</f>
        <v>0</v>
      </c>
      <c r="N282" s="443">
        <f>0</f>
        <v>0</v>
      </c>
      <c r="O282" s="443">
        <f>0</f>
        <v>0</v>
      </c>
      <c r="P282" s="352"/>
    </row>
    <row r="283" spans="1:16">
      <c r="C283" s="434"/>
      <c r="D283" s="434"/>
      <c r="E283" s="434"/>
      <c r="F283" s="434"/>
      <c r="G283" s="434"/>
      <c r="H283" s="434"/>
      <c r="I283" s="434"/>
      <c r="J283" s="434"/>
      <c r="K283" s="434"/>
      <c r="L283" s="434"/>
      <c r="M283" s="434"/>
      <c r="N283" s="434"/>
      <c r="O283" s="434"/>
    </row>
    <row r="284" spans="1:16">
      <c r="A284" s="2331" t="s">
        <v>120</v>
      </c>
    </row>
    <row r="285" spans="1:16">
      <c r="P285" s="185"/>
    </row>
    <row r="286" spans="1:16" ht="15.75">
      <c r="B286" s="216" t="s">
        <v>281</v>
      </c>
      <c r="C286" s="183"/>
      <c r="D286" s="184"/>
      <c r="E286" s="184"/>
      <c r="F286" s="184"/>
      <c r="G286" s="184"/>
      <c r="H286" s="184"/>
      <c r="I286" s="184"/>
      <c r="J286" s="184"/>
      <c r="K286" s="184"/>
      <c r="L286" s="184"/>
      <c r="M286" s="184"/>
      <c r="N286" s="184"/>
      <c r="O286" s="184"/>
      <c r="P286" s="192"/>
    </row>
    <row r="287" spans="1:16">
      <c r="B287" s="193"/>
      <c r="C287" s="191"/>
      <c r="D287" s="191"/>
      <c r="E287" s="191"/>
      <c r="F287" s="191"/>
      <c r="G287" s="191"/>
      <c r="H287" s="191"/>
      <c r="I287" s="191"/>
      <c r="J287" s="191"/>
      <c r="K287" s="191"/>
      <c r="L287" s="191"/>
      <c r="M287" s="191"/>
      <c r="N287" s="191"/>
      <c r="O287" s="191"/>
      <c r="P287" s="194"/>
    </row>
    <row r="288" spans="1:16" ht="14.25">
      <c r="B288" s="193"/>
      <c r="C288" s="186" t="s">
        <v>366</v>
      </c>
      <c r="D288" s="187"/>
      <c r="E288" s="188"/>
      <c r="F288" s="187"/>
      <c r="G288" s="188"/>
      <c r="H288" s="187"/>
      <c r="I288" s="187"/>
      <c r="J288" s="187"/>
      <c r="K288" s="187"/>
      <c r="L288" s="187"/>
      <c r="M288" s="187"/>
      <c r="N288" s="187"/>
      <c r="O288" s="188" t="s">
        <v>368</v>
      </c>
      <c r="P288" s="194"/>
    </row>
    <row r="289" spans="2:16" ht="15.75">
      <c r="B289" s="195"/>
      <c r="C289" s="187"/>
      <c r="D289" s="187"/>
      <c r="E289" s="187"/>
      <c r="F289" s="187"/>
      <c r="G289" s="187"/>
      <c r="H289" s="187"/>
      <c r="I289" s="187"/>
      <c r="J289" s="187"/>
      <c r="K289" s="187"/>
      <c r="L289" s="187"/>
      <c r="M289" s="187"/>
      <c r="N289" s="187"/>
      <c r="O289" s="187"/>
      <c r="P289" s="194"/>
    </row>
    <row r="290" spans="2:16" ht="15.75">
      <c r="B290" s="195"/>
      <c r="C290" s="221" t="s">
        <v>365</v>
      </c>
      <c r="D290" s="221" t="s">
        <v>337</v>
      </c>
      <c r="E290" s="221" t="s">
        <v>156</v>
      </c>
      <c r="F290" s="901" t="s">
        <v>203</v>
      </c>
      <c r="G290" s="902" t="s">
        <v>712</v>
      </c>
      <c r="H290" s="902" t="s">
        <v>713</v>
      </c>
      <c r="I290" s="902" t="s">
        <v>714</v>
      </c>
      <c r="J290" s="902" t="s">
        <v>715</v>
      </c>
      <c r="K290" s="902" t="s">
        <v>716</v>
      </c>
      <c r="L290" s="902" t="s">
        <v>717</v>
      </c>
      <c r="M290" s="902" t="s">
        <v>718</v>
      </c>
      <c r="N290" s="902" t="s">
        <v>719</v>
      </c>
      <c r="O290" s="902" t="s">
        <v>720</v>
      </c>
      <c r="P290" s="194"/>
    </row>
    <row r="291" spans="2:16" ht="15.75">
      <c r="B291" s="195"/>
      <c r="C291" s="189" t="s">
        <v>350</v>
      </c>
      <c r="D291" s="196" t="s">
        <v>359</v>
      </c>
      <c r="E291" s="189" t="str">
        <f>INDEX(IPCC[Sector_description], MATCH([IPCC Sector], IPCC[Sector_code], 0))</f>
        <v>Fuel Combustion</v>
      </c>
      <c r="F291" s="197">
        <f>F255</f>
        <v>0</v>
      </c>
      <c r="G291" s="197">
        <f t="shared" ref="G291:O291" si="42">G255</f>
        <v>0</v>
      </c>
      <c r="H291" s="197">
        <f t="shared" si="42"/>
        <v>0</v>
      </c>
      <c r="I291" s="197">
        <f t="shared" si="42"/>
        <v>0</v>
      </c>
      <c r="J291" s="197">
        <f t="shared" si="42"/>
        <v>0</v>
      </c>
      <c r="K291" s="197">
        <f t="shared" si="42"/>
        <v>0</v>
      </c>
      <c r="L291" s="197">
        <f t="shared" si="42"/>
        <v>0</v>
      </c>
      <c r="M291" s="197">
        <f t="shared" si="42"/>
        <v>0</v>
      </c>
      <c r="N291" s="197">
        <f t="shared" si="42"/>
        <v>0</v>
      </c>
      <c r="O291" s="197">
        <f t="shared" si="42"/>
        <v>0</v>
      </c>
      <c r="P291" s="194"/>
    </row>
    <row r="292" spans="2:16" ht="15.75">
      <c r="B292" s="195"/>
      <c r="C292" s="189" t="s">
        <v>351</v>
      </c>
      <c r="D292" s="196" t="s">
        <v>359</v>
      </c>
      <c r="E292" s="189" t="str">
        <f>INDEX(IPCC[Sector_description], MATCH([IPCC Sector], IPCC[Sector_code], 0))</f>
        <v>Fuel Combustion</v>
      </c>
      <c r="F292" s="197">
        <f t="shared" ref="F292:O293" si="43">F256</f>
        <v>0</v>
      </c>
      <c r="G292" s="197">
        <f t="shared" si="43"/>
        <v>0</v>
      </c>
      <c r="H292" s="197">
        <f t="shared" si="43"/>
        <v>0</v>
      </c>
      <c r="I292" s="197">
        <f t="shared" si="43"/>
        <v>0</v>
      </c>
      <c r="J292" s="197">
        <f t="shared" si="43"/>
        <v>0</v>
      </c>
      <c r="K292" s="197">
        <f t="shared" si="43"/>
        <v>0</v>
      </c>
      <c r="L292" s="197">
        <f t="shared" si="43"/>
        <v>0</v>
      </c>
      <c r="M292" s="197">
        <f t="shared" si="43"/>
        <v>0</v>
      </c>
      <c r="N292" s="197">
        <f t="shared" si="43"/>
        <v>0</v>
      </c>
      <c r="O292" s="197">
        <f t="shared" si="43"/>
        <v>0</v>
      </c>
      <c r="P292" s="194"/>
    </row>
    <row r="293" spans="2:16" ht="15.75">
      <c r="B293" s="195"/>
      <c r="C293" s="189" t="s">
        <v>352</v>
      </c>
      <c r="D293" s="196" t="s">
        <v>359</v>
      </c>
      <c r="E293" s="189" t="str">
        <f>INDEX(IPCC[Sector_description], MATCH([IPCC Sector], IPCC[Sector_code], 0))</f>
        <v>Fuel Combustion</v>
      </c>
      <c r="F293" s="197">
        <f t="shared" si="43"/>
        <v>0</v>
      </c>
      <c r="G293" s="197">
        <f t="shared" si="43"/>
        <v>0</v>
      </c>
      <c r="H293" s="197">
        <f t="shared" si="43"/>
        <v>0</v>
      </c>
      <c r="I293" s="197">
        <f t="shared" si="43"/>
        <v>0</v>
      </c>
      <c r="J293" s="197">
        <f t="shared" si="43"/>
        <v>0</v>
      </c>
      <c r="K293" s="197">
        <f t="shared" si="43"/>
        <v>0</v>
      </c>
      <c r="L293" s="197">
        <f t="shared" si="43"/>
        <v>0</v>
      </c>
      <c r="M293" s="197">
        <f t="shared" si="43"/>
        <v>0</v>
      </c>
      <c r="N293" s="197">
        <f t="shared" si="43"/>
        <v>0</v>
      </c>
      <c r="O293" s="197">
        <f t="shared" si="43"/>
        <v>0</v>
      </c>
      <c r="P293" s="194"/>
    </row>
    <row r="294" spans="2:16" ht="15.75">
      <c r="B294" s="195"/>
      <c r="C294" s="189" t="s">
        <v>103</v>
      </c>
      <c r="D294" s="189"/>
      <c r="E294" s="189"/>
      <c r="F294" s="223">
        <f>SUBTOTAL(109,[2007])</f>
        <v>0</v>
      </c>
      <c r="G294" s="223">
        <f>SUBTOTAL(109,[2012])</f>
        <v>0</v>
      </c>
      <c r="H294" s="223">
        <f>SUBTOTAL(109,[2017])</f>
        <v>0</v>
      </c>
      <c r="I294" s="223">
        <f>SUBTOTAL(109,[2022])</f>
        <v>0</v>
      </c>
      <c r="J294" s="223">
        <f>SUBTOTAL(109,[2027])</f>
        <v>0</v>
      </c>
      <c r="K294" s="223">
        <f>SUBTOTAL(109,[2032])</f>
        <v>0</v>
      </c>
      <c r="L294" s="223">
        <f>SUBTOTAL(109,[2037])</f>
        <v>0</v>
      </c>
      <c r="M294" s="223">
        <f>SUBTOTAL(109,[2042])</f>
        <v>0</v>
      </c>
      <c r="N294" s="223">
        <f>SUBTOTAL(109,[2047])</f>
        <v>0</v>
      </c>
      <c r="O294" s="223">
        <f>SUBTOTAL(109,[2052])</f>
        <v>0</v>
      </c>
      <c r="P294" s="194"/>
    </row>
    <row r="295" spans="2:16">
      <c r="C295" s="189"/>
      <c r="D295" s="189"/>
      <c r="E295" s="189"/>
      <c r="F295" s="223"/>
      <c r="G295" s="223"/>
      <c r="H295" s="223"/>
      <c r="I295" s="223"/>
      <c r="J295" s="223"/>
      <c r="K295" s="223"/>
      <c r="L295" s="223"/>
      <c r="M295" s="223"/>
      <c r="N295" s="223"/>
      <c r="O295" s="223"/>
    </row>
    <row r="296" spans="2:16" ht="22.5" customHeight="1"/>
    <row r="298" spans="2:16" ht="15.75" customHeight="1">
      <c r="B298" s="423"/>
    </row>
    <row r="299" spans="2:16" ht="5.25" customHeight="1"/>
    <row r="315" spans="2:2">
      <c r="B315" s="423"/>
    </row>
    <row r="320" spans="2:2">
      <c r="B320" s="423"/>
    </row>
    <row r="323" spans="2:3">
      <c r="B323" s="423"/>
    </row>
    <row r="326" spans="2:3">
      <c r="C326" s="423"/>
    </row>
    <row r="327" spans="2:3">
      <c r="C327" s="423"/>
    </row>
    <row r="328" spans="2:3">
      <c r="C328" s="423"/>
    </row>
    <row r="329" spans="2:3">
      <c r="C329" s="423"/>
    </row>
    <row r="332" spans="2:3">
      <c r="C332" s="423"/>
    </row>
  </sheetData>
  <mergeCells count="4">
    <mergeCell ref="C72:D72"/>
    <mergeCell ref="C135:D135"/>
    <mergeCell ref="C144:D144"/>
    <mergeCell ref="C155:D155"/>
  </mergeCells>
  <pageMargins left="0.7" right="0.7" top="0.75" bottom="0.75" header="0.3" footer="0.3"/>
  <pageSetup paperSize="9" orientation="portrait"/>
  <tableParts count="3">
    <tablePart r:id="rId1"/>
    <tablePart r:id="rId2"/>
    <tablePart r:id="rId3"/>
  </tableParts>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sheetPr>
    <tabColor theme="9"/>
    <outlinePr summaryBelow="0"/>
    <pageSetUpPr autoPageBreaks="0"/>
  </sheetPr>
  <dimension ref="A1:AA116"/>
  <sheetViews>
    <sheetView showGridLines="0" zoomScale="85" zoomScaleNormal="85" zoomScalePageLayoutView="85" workbookViewId="0">
      <selection activeCell="E7" sqref="E7"/>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16384" width="8.85546875" style="605"/>
  </cols>
  <sheetData>
    <row r="1" spans="1:19" ht="21">
      <c r="A1" s="77" t="s">
        <v>192</v>
      </c>
      <c r="B1" s="77" t="str">
        <f>INDEX(Workstreams[Workstream], MATCH($A1, Workstreams[Code], 0))</f>
        <v>Electricity distribution, storage, and balancing</v>
      </c>
      <c r="C1" s="77"/>
    </row>
    <row r="2" spans="1:19" s="51" customFormat="1" ht="19.5" customHeight="1">
      <c r="A2" s="6" t="s">
        <v>263</v>
      </c>
      <c r="B2" s="6" t="str">
        <f>INDEX(Modules[Module], MATCH($A2,Modules[Code], 0))</f>
        <v>Electricity imports</v>
      </c>
      <c r="C2" s="6"/>
      <c r="E2" s="404"/>
    </row>
    <row r="4" spans="1:19" ht="22.5" collapsed="1">
      <c r="A4" s="420"/>
      <c r="B4" s="206" t="s">
        <v>416</v>
      </c>
      <c r="C4" s="174"/>
      <c r="D4" s="175"/>
      <c r="E4" s="176"/>
      <c r="F4" s="175"/>
      <c r="G4" s="175"/>
      <c r="H4" s="175"/>
      <c r="I4" s="175"/>
      <c r="J4" s="175"/>
      <c r="K4" s="175"/>
      <c r="L4" s="175"/>
      <c r="M4" s="175"/>
      <c r="N4" s="175"/>
      <c r="O4" s="175"/>
      <c r="P4" s="177"/>
    </row>
    <row r="5" spans="1:19">
      <c r="B5" s="164"/>
      <c r="C5" s="165"/>
      <c r="D5" s="166"/>
      <c r="E5" s="167"/>
      <c r="F5" s="166"/>
      <c r="G5" s="166"/>
      <c r="H5" s="166"/>
      <c r="I5" s="166"/>
      <c r="J5" s="166"/>
      <c r="K5" s="166"/>
      <c r="L5" s="166"/>
      <c r="M5" s="166"/>
      <c r="N5" s="166"/>
      <c r="O5" s="166"/>
      <c r="P5" s="168"/>
    </row>
    <row r="6" spans="1:19" ht="15.75">
      <c r="B6" s="169"/>
      <c r="C6" s="166"/>
      <c r="D6" s="118" t="s">
        <v>274</v>
      </c>
      <c r="E6" s="118" t="s">
        <v>411</v>
      </c>
      <c r="F6" s="166"/>
      <c r="G6" s="166"/>
      <c r="H6" s="166"/>
      <c r="I6" s="166"/>
      <c r="J6" s="166"/>
      <c r="K6" s="166"/>
      <c r="L6" s="166"/>
      <c r="M6" s="166"/>
      <c r="N6" s="166"/>
      <c r="O6" s="166"/>
      <c r="P6" s="168"/>
    </row>
    <row r="7" spans="1:19" ht="15.75">
      <c r="B7" s="169"/>
      <c r="C7" s="166"/>
      <c r="D7" s="127" t="s">
        <v>831</v>
      </c>
      <c r="E7" s="127">
        <f>VII.a.scenario</f>
        <v>1</v>
      </c>
      <c r="F7" s="166"/>
      <c r="G7" s="166"/>
      <c r="H7" s="166"/>
      <c r="I7" s="166"/>
      <c r="J7" s="166"/>
      <c r="K7" s="166"/>
      <c r="L7" s="166"/>
      <c r="M7" s="166"/>
      <c r="N7" s="166"/>
      <c r="O7" s="166"/>
      <c r="P7" s="168"/>
    </row>
    <row r="8" spans="1:19" ht="15.75">
      <c r="B8" s="170"/>
      <c r="C8" s="171"/>
      <c r="D8" s="171"/>
      <c r="E8" s="171"/>
      <c r="F8" s="172"/>
      <c r="G8" s="172"/>
      <c r="H8" s="172"/>
      <c r="I8" s="172"/>
      <c r="J8" s="172"/>
      <c r="K8" s="172"/>
      <c r="L8" s="172"/>
      <c r="M8" s="172"/>
      <c r="N8" s="172"/>
      <c r="O8" s="172"/>
      <c r="P8" s="173"/>
    </row>
    <row r="10" spans="1:19" ht="22.5" hidden="1" collapsed="1">
      <c r="A10" s="420"/>
      <c r="B10" s="206" t="s">
        <v>201</v>
      </c>
      <c r="C10" s="175"/>
      <c r="D10" s="175"/>
      <c r="E10" s="175"/>
      <c r="F10" s="175"/>
      <c r="G10" s="175"/>
      <c r="H10" s="175"/>
      <c r="I10" s="175"/>
      <c r="J10" s="175"/>
      <c r="K10" s="175"/>
      <c r="L10" s="175"/>
      <c r="M10" s="175"/>
      <c r="N10" s="175"/>
      <c r="O10" s="175"/>
      <c r="P10" s="177"/>
    </row>
    <row r="11" spans="1:19" hidden="1">
      <c r="B11" s="164"/>
      <c r="C11" s="166"/>
      <c r="D11" s="166"/>
      <c r="E11" s="166"/>
      <c r="F11" s="166"/>
      <c r="G11" s="166"/>
      <c r="H11" s="166"/>
      <c r="I11" s="166"/>
      <c r="J11" s="166"/>
      <c r="K11" s="166"/>
      <c r="L11" s="166"/>
      <c r="M11" s="166"/>
      <c r="N11" s="166"/>
      <c r="O11" s="166"/>
      <c r="P11" s="168"/>
    </row>
    <row r="12" spans="1:19" ht="15.75" hidden="1">
      <c r="A12" s="705"/>
      <c r="B12" s="706"/>
      <c r="C12" s="961"/>
      <c r="D12" s="2945"/>
      <c r="E12" s="1777"/>
      <c r="F12" s="2946"/>
      <c r="G12" s="2946"/>
      <c r="H12" s="2946"/>
      <c r="I12" s="2946"/>
      <c r="J12" s="2946"/>
      <c r="K12" s="2946"/>
      <c r="L12" s="2946"/>
      <c r="M12" s="2946"/>
      <c r="N12" s="2946"/>
      <c r="O12" s="2947"/>
      <c r="P12" s="960"/>
      <c r="Q12" s="623"/>
      <c r="R12" s="623"/>
    </row>
    <row r="13" spans="1:19" ht="6" hidden="1" customHeight="1">
      <c r="A13" s="705"/>
      <c r="B13" s="706"/>
      <c r="C13" s="1777"/>
      <c r="D13" s="2945"/>
      <c r="E13" s="1777"/>
      <c r="F13" s="2946"/>
      <c r="G13" s="2946"/>
      <c r="H13" s="2946"/>
      <c r="I13" s="2946"/>
      <c r="J13" s="2946"/>
      <c r="K13" s="2946"/>
      <c r="L13" s="2946"/>
      <c r="M13" s="2946"/>
      <c r="N13" s="2946"/>
      <c r="O13" s="2946"/>
      <c r="P13" s="960"/>
      <c r="Q13" s="623"/>
      <c r="R13" s="623"/>
    </row>
    <row r="14" spans="1:19" ht="15.75" hidden="1">
      <c r="A14" s="705"/>
      <c r="B14" s="706"/>
      <c r="C14" s="893"/>
      <c r="D14" s="893"/>
      <c r="E14" s="893"/>
      <c r="F14" s="641"/>
      <c r="G14" s="642"/>
      <c r="H14" s="641"/>
      <c r="I14" s="641"/>
      <c r="J14" s="641"/>
      <c r="K14" s="641"/>
      <c r="L14" s="641"/>
      <c r="M14" s="641"/>
      <c r="N14" s="641"/>
      <c r="O14" s="641"/>
      <c r="P14" s="960"/>
      <c r="Q14" s="623"/>
      <c r="R14" s="623"/>
    </row>
    <row r="15" spans="1:19" ht="15.75" hidden="1">
      <c r="A15" s="705"/>
      <c r="B15" s="706"/>
      <c r="C15" s="966"/>
      <c r="D15" s="2948"/>
      <c r="E15" s="2948"/>
      <c r="F15" s="2949"/>
      <c r="G15" s="2949"/>
      <c r="H15" s="2949"/>
      <c r="I15" s="2949"/>
      <c r="J15" s="2949"/>
      <c r="K15" s="2949"/>
      <c r="L15" s="2949"/>
      <c r="M15" s="2949"/>
      <c r="N15" s="2949"/>
      <c r="O15" s="2949"/>
      <c r="P15" s="960"/>
      <c r="Q15" s="623"/>
      <c r="R15" s="623"/>
      <c r="S15" s="685"/>
    </row>
    <row r="16" spans="1:19" hidden="1">
      <c r="B16" s="164"/>
      <c r="C16" s="961"/>
      <c r="D16" s="624"/>
      <c r="E16" s="624"/>
      <c r="F16" s="624"/>
      <c r="G16" s="624"/>
      <c r="H16" s="624"/>
      <c r="I16" s="624"/>
      <c r="J16" s="624"/>
      <c r="K16" s="624"/>
      <c r="L16" s="624"/>
      <c r="M16" s="624"/>
      <c r="N16" s="962"/>
      <c r="O16" s="2950"/>
      <c r="P16" s="969"/>
      <c r="Q16" s="623"/>
      <c r="R16" s="623"/>
    </row>
    <row r="17" spans="1:18" ht="15.75" hidden="1">
      <c r="A17" s="705"/>
      <c r="B17" s="706"/>
      <c r="C17" s="964"/>
      <c r="D17" s="2945"/>
      <c r="E17" s="1777"/>
      <c r="F17" s="2946"/>
      <c r="G17" s="2946"/>
      <c r="H17" s="2946"/>
      <c r="I17" s="2946"/>
      <c r="J17" s="2946"/>
      <c r="K17" s="2946"/>
      <c r="L17" s="2946"/>
      <c r="M17" s="2946"/>
      <c r="N17" s="2951"/>
      <c r="O17" s="2951"/>
      <c r="P17" s="960"/>
      <c r="Q17" s="623"/>
      <c r="R17" s="623"/>
    </row>
    <row r="18" spans="1:18" ht="5.25" hidden="1" customHeight="1">
      <c r="A18" s="705"/>
      <c r="B18" s="706"/>
      <c r="C18" s="964"/>
      <c r="D18" s="2945"/>
      <c r="E18" s="1777"/>
      <c r="F18" s="2946"/>
      <c r="G18" s="2946"/>
      <c r="H18" s="2946"/>
      <c r="I18" s="2946"/>
      <c r="J18" s="2946"/>
      <c r="K18" s="2946"/>
      <c r="L18" s="2946"/>
      <c r="M18" s="2946"/>
      <c r="N18" s="2946"/>
      <c r="O18" s="2951"/>
      <c r="P18" s="960"/>
      <c r="Q18" s="623"/>
      <c r="R18" s="623"/>
    </row>
    <row r="19" spans="1:18" ht="15.75" hidden="1">
      <c r="A19" s="705"/>
      <c r="B19" s="706"/>
      <c r="C19" s="893"/>
      <c r="D19" s="893"/>
      <c r="E19" s="893"/>
      <c r="F19" s="641"/>
      <c r="G19" s="642"/>
      <c r="H19" s="641"/>
      <c r="I19" s="641"/>
      <c r="J19" s="641"/>
      <c r="K19" s="641"/>
      <c r="L19" s="641"/>
      <c r="M19" s="641"/>
      <c r="N19" s="641"/>
      <c r="O19" s="641"/>
      <c r="P19" s="960"/>
      <c r="Q19" s="623"/>
      <c r="R19" s="623"/>
    </row>
    <row r="20" spans="1:18" ht="15.75" hidden="1">
      <c r="A20" s="705"/>
      <c r="B20" s="706"/>
      <c r="C20" s="966"/>
      <c r="D20" s="2948"/>
      <c r="E20" s="2948"/>
      <c r="F20" s="2952"/>
      <c r="G20" s="2953"/>
      <c r="H20" s="2952"/>
      <c r="I20" s="2952"/>
      <c r="J20" s="2952"/>
      <c r="K20" s="2952"/>
      <c r="L20" s="2952"/>
      <c r="M20" s="2952"/>
      <c r="N20" s="2952"/>
      <c r="O20" s="2952"/>
      <c r="P20" s="960"/>
      <c r="Q20" s="623"/>
      <c r="R20" s="623"/>
    </row>
    <row r="21" spans="1:18" hidden="1">
      <c r="B21" s="166"/>
      <c r="C21" s="624"/>
      <c r="D21" s="624"/>
      <c r="E21" s="624"/>
      <c r="F21" s="624"/>
      <c r="G21" s="624"/>
      <c r="H21" s="624"/>
      <c r="I21" s="624"/>
      <c r="J21" s="624"/>
      <c r="K21" s="624"/>
      <c r="L21" s="624"/>
      <c r="M21" s="624"/>
      <c r="N21" s="962"/>
      <c r="O21" s="2950"/>
      <c r="P21" s="624"/>
      <c r="Q21" s="623"/>
      <c r="R21" s="623"/>
    </row>
    <row r="22" spans="1:18" hidden="1">
      <c r="B22" s="166"/>
      <c r="C22" s="178"/>
      <c r="D22" s="166"/>
      <c r="E22" s="166"/>
      <c r="F22" s="166"/>
      <c r="G22" s="166"/>
      <c r="H22" s="166"/>
      <c r="I22" s="166"/>
      <c r="J22" s="166"/>
      <c r="K22" s="166"/>
      <c r="L22" s="166"/>
      <c r="M22" s="166"/>
      <c r="N22" s="167"/>
      <c r="O22" s="707"/>
      <c r="P22" s="166"/>
    </row>
    <row r="24" spans="1:18" ht="22.5" collapsed="1">
      <c r="A24" s="420"/>
      <c r="B24" s="421" t="s">
        <v>413</v>
      </c>
      <c r="C24" s="159"/>
      <c r="D24" s="159"/>
      <c r="E24" s="159"/>
      <c r="F24" s="159"/>
      <c r="G24" s="159"/>
      <c r="H24" s="159"/>
      <c r="I24" s="159"/>
      <c r="J24" s="159"/>
      <c r="K24" s="159"/>
      <c r="L24" s="159"/>
      <c r="M24" s="159"/>
      <c r="N24" s="159"/>
      <c r="O24" s="159"/>
      <c r="P24" s="160"/>
    </row>
    <row r="25" spans="1:18">
      <c r="B25" s="210"/>
      <c r="C25" s="198"/>
      <c r="D25" s="198"/>
      <c r="E25" s="198"/>
      <c r="F25" s="198"/>
      <c r="G25" s="198"/>
      <c r="H25" s="198"/>
      <c r="I25" s="198"/>
      <c r="J25" s="198"/>
      <c r="K25" s="198"/>
      <c r="L25" s="198"/>
      <c r="M25" s="198"/>
      <c r="N25" s="198"/>
      <c r="O25" s="198"/>
      <c r="P25" s="199"/>
    </row>
    <row r="26" spans="1:18">
      <c r="B26" s="211"/>
      <c r="C26" s="416" t="s">
        <v>4</v>
      </c>
      <c r="D26" s="415"/>
      <c r="E26" s="104"/>
      <c r="F26" s="104"/>
      <c r="G26" s="415"/>
      <c r="H26" s="415"/>
      <c r="I26" s="415"/>
      <c r="J26" s="415"/>
      <c r="K26" s="415"/>
      <c r="L26" s="415"/>
      <c r="M26" s="415"/>
      <c r="N26" s="415"/>
      <c r="O26" s="361" t="str">
        <f>preferences.energyunits</f>
        <v>TWh</v>
      </c>
      <c r="P26" s="419"/>
    </row>
    <row r="27" spans="1:18" ht="5.25" customHeight="1">
      <c r="B27" s="211"/>
      <c r="C27" s="415"/>
      <c r="D27" s="415"/>
      <c r="E27" s="415"/>
      <c r="F27" s="415"/>
      <c r="G27" s="415"/>
      <c r="H27" s="415"/>
      <c r="I27" s="415"/>
      <c r="J27" s="415"/>
      <c r="K27" s="415"/>
      <c r="L27" s="415"/>
      <c r="M27" s="415"/>
      <c r="N27" s="415"/>
      <c r="O27" s="415"/>
      <c r="P27" s="419"/>
    </row>
    <row r="28" spans="1:18" ht="15.75">
      <c r="B28" s="212"/>
      <c r="C28" s="61" t="s">
        <v>411</v>
      </c>
      <c r="D28" s="61" t="s">
        <v>65</v>
      </c>
      <c r="E28" s="61"/>
      <c r="F28" s="234">
        <v>2007</v>
      </c>
      <c r="G28" s="120">
        <f>F28+5</f>
        <v>2012</v>
      </c>
      <c r="H28" s="120">
        <f t="shared" ref="H28:O28" si="0">G28+5</f>
        <v>2017</v>
      </c>
      <c r="I28" s="120">
        <f t="shared" si="0"/>
        <v>2022</v>
      </c>
      <c r="J28" s="120">
        <f t="shared" si="0"/>
        <v>2027</v>
      </c>
      <c r="K28" s="120">
        <f t="shared" si="0"/>
        <v>2032</v>
      </c>
      <c r="L28" s="120">
        <f t="shared" si="0"/>
        <v>2037</v>
      </c>
      <c r="M28" s="120">
        <f t="shared" si="0"/>
        <v>2042</v>
      </c>
      <c r="N28" s="120">
        <f t="shared" si="0"/>
        <v>2047</v>
      </c>
      <c r="O28" s="120">
        <f t="shared" si="0"/>
        <v>2052</v>
      </c>
      <c r="P28" s="120"/>
    </row>
    <row r="29" spans="1:18" ht="15.75">
      <c r="B29" s="213"/>
      <c r="C29" s="413">
        <v>1</v>
      </c>
      <c r="D29" s="414" t="s">
        <v>538</v>
      </c>
      <c r="E29" s="96"/>
      <c r="F29" s="2815">
        <f>1*(Unit.TWh)</f>
        <v>1</v>
      </c>
      <c r="G29" s="317">
        <f>4*(Unit.TWh)</f>
        <v>4</v>
      </c>
      <c r="H29" s="317">
        <f>14*Unit.TWh</f>
        <v>14</v>
      </c>
      <c r="I29" s="317">
        <f>21*(Unit.TWh)</f>
        <v>21</v>
      </c>
      <c r="J29" s="317">
        <f>31*(Unit.TWh)</f>
        <v>31</v>
      </c>
      <c r="K29" s="317">
        <f>40*(Unit.TWh)</f>
        <v>40</v>
      </c>
      <c r="L29" s="317">
        <f>49*(Unit.TWh)</f>
        <v>49</v>
      </c>
      <c r="M29" s="317">
        <f>55*(Unit.TWh)</f>
        <v>55</v>
      </c>
      <c r="N29" s="317">
        <f>55*(Unit.TWh)</f>
        <v>55</v>
      </c>
      <c r="O29" s="317">
        <f>55*(Unit.TWh)</f>
        <v>55</v>
      </c>
      <c r="P29" s="154"/>
    </row>
    <row r="30" spans="1:18" ht="15.75">
      <c r="B30" s="213"/>
      <c r="C30" s="413">
        <v>2</v>
      </c>
      <c r="D30" s="414" t="s">
        <v>538</v>
      </c>
      <c r="E30" s="414"/>
      <c r="F30" s="2816">
        <f>1*(Unit.TWh)</f>
        <v>1</v>
      </c>
      <c r="G30" s="317">
        <f>4*(Unit.TWh)</f>
        <v>4</v>
      </c>
      <c r="H30" s="317">
        <f>14*Unit.TWh</f>
        <v>14</v>
      </c>
      <c r="I30" s="317">
        <f>29*(Unit.TWh)</f>
        <v>29</v>
      </c>
      <c r="J30" s="317">
        <f>44*(Unit.TWh)</f>
        <v>44</v>
      </c>
      <c r="K30" s="317">
        <f>60*(Unit.TWh)</f>
        <v>60</v>
      </c>
      <c r="L30" s="317">
        <f>75*(Unit.TWh)</f>
        <v>75</v>
      </c>
      <c r="M30" s="317">
        <f>75*(Unit.TWh)</f>
        <v>75</v>
      </c>
      <c r="N30" s="317">
        <f>75*(Unit.TWh)</f>
        <v>75</v>
      </c>
      <c r="O30" s="317">
        <f>75*(Unit.TWh)</f>
        <v>75</v>
      </c>
      <c r="P30" s="317"/>
    </row>
    <row r="31" spans="1:18" ht="15.75">
      <c r="B31" s="213"/>
      <c r="C31" s="413">
        <v>3</v>
      </c>
      <c r="D31" s="414" t="s">
        <v>538</v>
      </c>
      <c r="E31" s="414"/>
      <c r="F31" s="2816">
        <f>1*(Unit.TWh)</f>
        <v>1</v>
      </c>
      <c r="G31" s="317">
        <f>4*(Unit.TWh)</f>
        <v>4</v>
      </c>
      <c r="H31" s="317">
        <f>14*Unit.TWh</f>
        <v>14</v>
      </c>
      <c r="I31" s="317">
        <f>35*(Unit.TWh)</f>
        <v>35</v>
      </c>
      <c r="J31" s="317">
        <f>57*(Unit.TWh)</f>
        <v>57</v>
      </c>
      <c r="K31" s="317">
        <f>78*(Unit.TWh)</f>
        <v>78</v>
      </c>
      <c r="L31" s="317">
        <f>92*(Unit.TWh)</f>
        <v>92</v>
      </c>
      <c r="M31" s="317">
        <f t="shared" ref="M31:O32" si="1">75*(Unit.TWh)</f>
        <v>75</v>
      </c>
      <c r="N31" s="317">
        <f t="shared" si="1"/>
        <v>75</v>
      </c>
      <c r="O31" s="317">
        <f t="shared" si="1"/>
        <v>75</v>
      </c>
      <c r="P31" s="317"/>
    </row>
    <row r="32" spans="1:18" ht="15.75">
      <c r="B32" s="212"/>
      <c r="C32" s="411">
        <v>4</v>
      </c>
      <c r="D32" s="414" t="s">
        <v>538</v>
      </c>
      <c r="E32" s="65"/>
      <c r="F32" s="2817">
        <f>1*(Unit.TWh)</f>
        <v>1</v>
      </c>
      <c r="G32" s="318">
        <f>4*(Unit.TWh)</f>
        <v>4</v>
      </c>
      <c r="H32" s="317">
        <f>14*Unit.TWh</f>
        <v>14</v>
      </c>
      <c r="I32" s="318">
        <f>41*(Unit.TWh)</f>
        <v>41</v>
      </c>
      <c r="J32" s="318">
        <f>61*(Unit.TWh)</f>
        <v>61</v>
      </c>
      <c r="K32" s="318">
        <f>86*(Unit.TWh)</f>
        <v>86</v>
      </c>
      <c r="L32" s="318">
        <f>98*(Unit.TWh)</f>
        <v>98</v>
      </c>
      <c r="M32" s="317">
        <f t="shared" si="1"/>
        <v>75</v>
      </c>
      <c r="N32" s="317">
        <f t="shared" si="1"/>
        <v>75</v>
      </c>
      <c r="O32" s="317">
        <f t="shared" si="1"/>
        <v>75</v>
      </c>
      <c r="P32" s="317"/>
    </row>
    <row r="33" spans="2:27" ht="15.75">
      <c r="B33" s="152"/>
      <c r="C33" s="406" t="s">
        <v>406</v>
      </c>
      <c r="D33" s="407"/>
      <c r="E33" s="407"/>
      <c r="F33" s="408">
        <f t="shared" ref="F33:O33" si="2">(INDEX(F$29:F$32,ROUNDDOWN($E$7,0))*(1-MOD($E$7,1)))+(INDEX(F$29:F$32,ROUNDUP($E$7,0))*MOD($E$7,1))</f>
        <v>1</v>
      </c>
      <c r="G33" s="610">
        <f t="shared" si="2"/>
        <v>4</v>
      </c>
      <c r="H33" s="408">
        <f t="shared" si="2"/>
        <v>14</v>
      </c>
      <c r="I33" s="408">
        <f t="shared" si="2"/>
        <v>21</v>
      </c>
      <c r="J33" s="408">
        <f t="shared" si="2"/>
        <v>31</v>
      </c>
      <c r="K33" s="408">
        <f t="shared" si="2"/>
        <v>40</v>
      </c>
      <c r="L33" s="408">
        <f t="shared" si="2"/>
        <v>49</v>
      </c>
      <c r="M33" s="408">
        <f t="shared" si="2"/>
        <v>55</v>
      </c>
      <c r="N33" s="408">
        <f t="shared" si="2"/>
        <v>55</v>
      </c>
      <c r="O33" s="408">
        <f t="shared" si="2"/>
        <v>55</v>
      </c>
      <c r="P33" s="419"/>
    </row>
    <row r="34" spans="2:27">
      <c r="B34" s="214"/>
      <c r="C34" s="415"/>
      <c r="D34" s="105"/>
      <c r="E34" s="415"/>
      <c r="F34" s="415"/>
      <c r="G34" s="415"/>
      <c r="H34" s="415"/>
      <c r="I34" s="415"/>
      <c r="J34" s="415"/>
      <c r="K34" s="415"/>
      <c r="L34" s="415"/>
      <c r="M34" s="415"/>
      <c r="N34" s="415"/>
      <c r="O34" s="415"/>
      <c r="P34" s="419"/>
    </row>
    <row r="35" spans="2:27">
      <c r="B35" s="214"/>
      <c r="C35" s="415"/>
      <c r="D35" s="105"/>
      <c r="E35" s="415"/>
      <c r="F35" s="415"/>
      <c r="G35" s="415"/>
      <c r="H35" s="415"/>
      <c r="I35" s="415"/>
      <c r="J35" s="415"/>
      <c r="K35" s="415"/>
      <c r="L35" s="415"/>
      <c r="M35" s="415"/>
      <c r="N35" s="415"/>
      <c r="O35" s="415"/>
      <c r="P35" s="419"/>
    </row>
    <row r="37" spans="2:27">
      <c r="B37" s="35"/>
      <c r="C37" s="35"/>
      <c r="D37" s="35"/>
      <c r="E37" s="35"/>
      <c r="F37" s="35"/>
      <c r="G37" s="35"/>
      <c r="H37" s="35"/>
      <c r="I37" s="35"/>
      <c r="J37" s="35"/>
      <c r="K37" s="35"/>
      <c r="L37" s="35"/>
      <c r="M37" s="35"/>
      <c r="N37" s="35"/>
      <c r="O37" s="35"/>
      <c r="P37" s="35"/>
      <c r="X37" s="35"/>
      <c r="Y37" s="35"/>
      <c r="Z37" s="242"/>
      <c r="AA37" s="242"/>
    </row>
    <row r="38" spans="2:27" ht="5.25" customHeight="1">
      <c r="Q38" s="242"/>
    </row>
    <row r="39" spans="2:27" ht="15.75">
      <c r="B39" s="421" t="s">
        <v>270</v>
      </c>
      <c r="C39" s="159"/>
      <c r="D39" s="159"/>
      <c r="E39" s="159"/>
      <c r="F39" s="159"/>
      <c r="G39" s="159"/>
      <c r="H39" s="159"/>
      <c r="I39" s="159"/>
      <c r="J39" s="159"/>
      <c r="K39" s="159"/>
      <c r="L39" s="159"/>
      <c r="M39" s="159"/>
      <c r="N39" s="159"/>
      <c r="O39" s="159"/>
      <c r="P39" s="160"/>
      <c r="Q39" s="242"/>
    </row>
    <row r="40" spans="2:27">
      <c r="B40" s="418"/>
      <c r="C40" s="415"/>
      <c r="D40" s="415"/>
      <c r="E40" s="415"/>
      <c r="F40" s="415"/>
      <c r="G40" s="415"/>
      <c r="H40" s="415"/>
      <c r="I40" s="415"/>
      <c r="J40" s="415"/>
      <c r="K40" s="415"/>
      <c r="L40" s="415"/>
      <c r="M40" s="415"/>
      <c r="N40" s="415"/>
      <c r="O40" s="415"/>
      <c r="P40" s="419"/>
      <c r="Q40" s="242"/>
    </row>
    <row r="41" spans="2:27">
      <c r="B41" s="418"/>
      <c r="C41" s="416" t="s">
        <v>2247</v>
      </c>
      <c r="D41" s="415"/>
      <c r="E41" s="104"/>
      <c r="F41" s="415"/>
      <c r="G41" s="415"/>
      <c r="H41" s="415"/>
      <c r="I41" s="415"/>
      <c r="J41" s="415"/>
      <c r="K41" s="415"/>
      <c r="L41" s="415"/>
      <c r="M41" s="415"/>
      <c r="N41" s="415"/>
      <c r="O41" s="104" t="str">
        <f>preferences.energyunits</f>
        <v>TWh</v>
      </c>
      <c r="P41" s="419"/>
      <c r="Q41" s="242"/>
    </row>
    <row r="42" spans="2:27" ht="4.5" customHeight="1">
      <c r="B42" s="418"/>
      <c r="C42" s="415"/>
      <c r="D42" s="415"/>
      <c r="E42" s="415"/>
      <c r="F42" s="415"/>
      <c r="G42" s="415"/>
      <c r="H42" s="415"/>
      <c r="I42" s="415"/>
      <c r="J42" s="415"/>
      <c r="K42" s="415"/>
      <c r="L42" s="415"/>
      <c r="M42" s="415"/>
      <c r="N42" s="415"/>
      <c r="O42" s="415"/>
      <c r="P42" s="419"/>
      <c r="Q42" s="242"/>
    </row>
    <row r="43" spans="2:27" ht="12" customHeight="1">
      <c r="B43" s="152"/>
      <c r="C43" s="61" t="s">
        <v>227</v>
      </c>
      <c r="D43" s="61" t="s">
        <v>65</v>
      </c>
      <c r="E43" s="61" t="s">
        <v>156</v>
      </c>
      <c r="F43" s="1436">
        <v>2007</v>
      </c>
      <c r="G43" s="1437">
        <f t="shared" ref="G43:O43" si="3">F43+5</f>
        <v>2012</v>
      </c>
      <c r="H43" s="1437">
        <f t="shared" si="3"/>
        <v>2017</v>
      </c>
      <c r="I43" s="1437">
        <f t="shared" si="3"/>
        <v>2022</v>
      </c>
      <c r="J43" s="1437">
        <f t="shared" si="3"/>
        <v>2027</v>
      </c>
      <c r="K43" s="1437">
        <f t="shared" si="3"/>
        <v>2032</v>
      </c>
      <c r="L43" s="1437">
        <f t="shared" si="3"/>
        <v>2037</v>
      </c>
      <c r="M43" s="1437">
        <f t="shared" si="3"/>
        <v>2042</v>
      </c>
      <c r="N43" s="1437">
        <f t="shared" si="3"/>
        <v>2047</v>
      </c>
      <c r="O43" s="1437">
        <f t="shared" si="3"/>
        <v>2052</v>
      </c>
      <c r="P43" s="419"/>
      <c r="Q43" s="242"/>
    </row>
    <row r="44" spans="2:27" ht="15.75">
      <c r="B44" s="153"/>
      <c r="C44" s="78" t="s">
        <v>8</v>
      </c>
      <c r="D44" s="79" t="s">
        <v>1870</v>
      </c>
      <c r="E44" s="79"/>
      <c r="F44" s="80">
        <f t="shared" ref="F44:O44" si="4">F33</f>
        <v>1</v>
      </c>
      <c r="G44" s="80">
        <f t="shared" si="4"/>
        <v>4</v>
      </c>
      <c r="H44" s="80">
        <f t="shared" si="4"/>
        <v>14</v>
      </c>
      <c r="I44" s="80">
        <f t="shared" si="4"/>
        <v>21</v>
      </c>
      <c r="J44" s="80">
        <f t="shared" si="4"/>
        <v>31</v>
      </c>
      <c r="K44" s="80">
        <f t="shared" si="4"/>
        <v>40</v>
      </c>
      <c r="L44" s="80">
        <f t="shared" si="4"/>
        <v>49</v>
      </c>
      <c r="M44" s="80">
        <f t="shared" si="4"/>
        <v>55</v>
      </c>
      <c r="N44" s="80">
        <f t="shared" si="4"/>
        <v>55</v>
      </c>
      <c r="O44" s="80">
        <f t="shared" si="4"/>
        <v>55</v>
      </c>
      <c r="P44" s="154"/>
      <c r="Q44" s="242"/>
    </row>
    <row r="45" spans="2:27">
      <c r="Q45" s="242"/>
    </row>
    <row r="46" spans="2:27">
      <c r="B46" s="423">
        <v>1</v>
      </c>
      <c r="C46" s="423" t="s">
        <v>832</v>
      </c>
      <c r="E46" s="605" t="str">
        <f>preferences.energyunits</f>
        <v>TWh</v>
      </c>
      <c r="F46" s="73">
        <f>F33</f>
        <v>1</v>
      </c>
      <c r="G46" s="73">
        <f t="shared" ref="G46:O46" si="5">G33</f>
        <v>4</v>
      </c>
      <c r="H46" s="73">
        <f t="shared" si="5"/>
        <v>14</v>
      </c>
      <c r="I46" s="73">
        <f t="shared" si="5"/>
        <v>21</v>
      </c>
      <c r="J46" s="73">
        <f t="shared" si="5"/>
        <v>31</v>
      </c>
      <c r="K46" s="73">
        <f t="shared" si="5"/>
        <v>40</v>
      </c>
      <c r="L46" s="73">
        <f t="shared" si="5"/>
        <v>49</v>
      </c>
      <c r="M46" s="73">
        <f t="shared" si="5"/>
        <v>55</v>
      </c>
      <c r="N46" s="73">
        <f t="shared" si="5"/>
        <v>55</v>
      </c>
      <c r="O46" s="73">
        <f t="shared" si="5"/>
        <v>55</v>
      </c>
      <c r="Q46" s="242"/>
    </row>
    <row r="47" spans="2:27">
      <c r="F47" s="365"/>
      <c r="G47" s="365"/>
      <c r="H47" s="365"/>
      <c r="I47" s="365"/>
      <c r="J47" s="365"/>
      <c r="K47" s="365"/>
      <c r="L47" s="365"/>
      <c r="M47" s="365"/>
      <c r="N47" s="365"/>
      <c r="O47" s="365"/>
      <c r="Q47" s="242"/>
    </row>
    <row r="48" spans="2:27">
      <c r="F48" s="365"/>
      <c r="G48" s="365"/>
      <c r="H48" s="365"/>
      <c r="I48" s="365"/>
      <c r="J48" s="365"/>
      <c r="K48" s="365"/>
      <c r="L48" s="365"/>
      <c r="M48" s="365"/>
      <c r="N48" s="365"/>
      <c r="O48" s="365"/>
      <c r="Q48" s="242"/>
    </row>
    <row r="49" spans="1:22" ht="6" customHeight="1">
      <c r="Q49" s="242"/>
    </row>
    <row r="50" spans="1:22" ht="22.5">
      <c r="A50" s="420"/>
      <c r="B50" s="206" t="s">
        <v>202</v>
      </c>
      <c r="C50" s="175"/>
      <c r="D50" s="175"/>
      <c r="E50" s="175"/>
      <c r="F50" s="175"/>
      <c r="G50" s="175"/>
      <c r="H50" s="175"/>
      <c r="I50" s="175"/>
      <c r="J50" s="175"/>
      <c r="K50" s="175"/>
      <c r="L50" s="175"/>
      <c r="M50" s="175"/>
      <c r="N50" s="175"/>
      <c r="O50" s="175"/>
      <c r="P50" s="177"/>
      <c r="Q50" s="242"/>
    </row>
    <row r="51" spans="1:22">
      <c r="B51" s="164"/>
      <c r="C51" s="166"/>
      <c r="D51" s="166"/>
      <c r="E51" s="166"/>
      <c r="F51" s="166"/>
      <c r="G51" s="166"/>
      <c r="H51" s="166"/>
      <c r="I51" s="166"/>
      <c r="J51" s="166"/>
      <c r="K51" s="166"/>
      <c r="L51" s="166"/>
      <c r="M51" s="166"/>
      <c r="N51" s="166"/>
      <c r="O51" s="166"/>
      <c r="P51" s="168"/>
      <c r="Q51" s="242"/>
    </row>
    <row r="52" spans="1:22">
      <c r="B52" s="164"/>
      <c r="C52" s="178" t="s">
        <v>239</v>
      </c>
      <c r="D52" s="166"/>
      <c r="E52" s="167"/>
      <c r="F52" s="166"/>
      <c r="G52" s="167"/>
      <c r="H52" s="166"/>
      <c r="I52" s="166"/>
      <c r="J52" s="166"/>
      <c r="K52" s="166"/>
      <c r="L52" s="166"/>
      <c r="M52" s="166"/>
      <c r="N52" s="166"/>
      <c r="O52" s="167" t="str">
        <f>preferences.energyunits</f>
        <v>TWh</v>
      </c>
      <c r="P52" s="168"/>
      <c r="Q52" s="242"/>
    </row>
    <row r="53" spans="1:22">
      <c r="B53" s="164"/>
      <c r="C53" s="166"/>
      <c r="D53" s="166"/>
      <c r="E53" s="166"/>
      <c r="F53" s="166"/>
      <c r="G53" s="166"/>
      <c r="H53" s="166"/>
      <c r="I53" s="166"/>
      <c r="J53" s="166"/>
      <c r="K53" s="166"/>
      <c r="L53" s="166"/>
      <c r="M53" s="166"/>
      <c r="N53" s="166"/>
      <c r="O53" s="166"/>
      <c r="P53" s="168"/>
      <c r="Q53" s="242"/>
    </row>
    <row r="54" spans="1:22" ht="15.75">
      <c r="A54" s="3"/>
      <c r="B54" s="169"/>
      <c r="C54" s="180" t="s">
        <v>64</v>
      </c>
      <c r="D54" s="180" t="s">
        <v>137</v>
      </c>
      <c r="E54" s="180" t="s">
        <v>156</v>
      </c>
      <c r="F54" s="1436" t="s">
        <v>203</v>
      </c>
      <c r="G54" s="1437" t="s">
        <v>712</v>
      </c>
      <c r="H54" s="1437" t="s">
        <v>713</v>
      </c>
      <c r="I54" s="1437" t="s">
        <v>714</v>
      </c>
      <c r="J54" s="1437" t="s">
        <v>715</v>
      </c>
      <c r="K54" s="1437" t="s">
        <v>716</v>
      </c>
      <c r="L54" s="1437" t="s">
        <v>717</v>
      </c>
      <c r="M54" s="1437" t="s">
        <v>718</v>
      </c>
      <c r="N54" s="1437" t="s">
        <v>719</v>
      </c>
      <c r="O54" s="1437" t="s">
        <v>720</v>
      </c>
      <c r="P54" s="168"/>
      <c r="Q54" s="242"/>
    </row>
    <row r="55" spans="1:22" ht="15.75">
      <c r="A55" s="3"/>
      <c r="B55" s="169"/>
      <c r="C55" s="60" t="s">
        <v>35</v>
      </c>
      <c r="D55" s="60" t="str">
        <f>INDEX(Vectors[Description], MATCH([Vector], Vectors[Code], 0))</f>
        <v>Electricity (supplied to grid)</v>
      </c>
      <c r="E55" s="60"/>
      <c r="F55" s="129">
        <f t="shared" ref="F55:O55" si="6">F$46</f>
        <v>1</v>
      </c>
      <c r="G55" s="129">
        <f t="shared" si="6"/>
        <v>4</v>
      </c>
      <c r="H55" s="129">
        <f t="shared" si="6"/>
        <v>14</v>
      </c>
      <c r="I55" s="129">
        <f t="shared" si="6"/>
        <v>21</v>
      </c>
      <c r="J55" s="129">
        <f t="shared" si="6"/>
        <v>31</v>
      </c>
      <c r="K55" s="129">
        <f t="shared" si="6"/>
        <v>40</v>
      </c>
      <c r="L55" s="129">
        <f t="shared" si="6"/>
        <v>49</v>
      </c>
      <c r="M55" s="129">
        <f t="shared" si="6"/>
        <v>55</v>
      </c>
      <c r="N55" s="129">
        <f t="shared" si="6"/>
        <v>55</v>
      </c>
      <c r="O55" s="129">
        <f t="shared" si="6"/>
        <v>55</v>
      </c>
      <c r="P55" s="168"/>
      <c r="Q55" s="242"/>
    </row>
    <row r="56" spans="1:22" ht="21.75" customHeight="1" collapsed="1">
      <c r="A56" s="3"/>
      <c r="B56" s="169"/>
      <c r="C56" s="60" t="s">
        <v>47</v>
      </c>
      <c r="D56" s="60" t="str">
        <f>INDEX(Vectors[Description], MATCH([Vector], Vectors[Code], 0))</f>
        <v>Electricity oversupply (imports)</v>
      </c>
      <c r="E56" s="60"/>
      <c r="F56" s="129">
        <f t="shared" ref="F56:O56" si="7">-F$46</f>
        <v>-1</v>
      </c>
      <c r="G56" s="129">
        <f t="shared" si="7"/>
        <v>-4</v>
      </c>
      <c r="H56" s="129">
        <f t="shared" si="7"/>
        <v>-14</v>
      </c>
      <c r="I56" s="129">
        <f t="shared" si="7"/>
        <v>-21</v>
      </c>
      <c r="J56" s="129">
        <f t="shared" si="7"/>
        <v>-31</v>
      </c>
      <c r="K56" s="129">
        <f t="shared" si="7"/>
        <v>-40</v>
      </c>
      <c r="L56" s="129">
        <f t="shared" si="7"/>
        <v>-49</v>
      </c>
      <c r="M56" s="129">
        <f t="shared" si="7"/>
        <v>-55</v>
      </c>
      <c r="N56" s="129">
        <f t="shared" si="7"/>
        <v>-55</v>
      </c>
      <c r="O56" s="129">
        <f t="shared" si="7"/>
        <v>-55</v>
      </c>
      <c r="P56" s="168"/>
      <c r="Q56" s="242"/>
      <c r="S56" s="623"/>
      <c r="T56" s="630"/>
      <c r="U56" s="623"/>
      <c r="V56" s="623"/>
    </row>
    <row r="57" spans="1:22" ht="15.75">
      <c r="A57" s="3"/>
      <c r="B57" s="169"/>
      <c r="C57" s="60" t="s">
        <v>103</v>
      </c>
      <c r="D57" s="60"/>
      <c r="E57" s="60"/>
      <c r="F57" s="1812">
        <f>SUBTOTAL(109,[2007])</f>
        <v>0</v>
      </c>
      <c r="G57" s="1812">
        <f>SUBTOTAL(109,[2012])</f>
        <v>0</v>
      </c>
      <c r="H57" s="1812">
        <f>SUBTOTAL(109,[2017])</f>
        <v>0</v>
      </c>
      <c r="I57" s="1812">
        <f>SUBTOTAL(109,[2022])</f>
        <v>0</v>
      </c>
      <c r="J57" s="1812">
        <f>SUBTOTAL(109,[2027])</f>
        <v>0</v>
      </c>
      <c r="K57" s="1812">
        <f>SUBTOTAL(109,[2032])</f>
        <v>0</v>
      </c>
      <c r="L57" s="1812">
        <f>SUBTOTAL(109,[2037])</f>
        <v>0</v>
      </c>
      <c r="M57" s="1812">
        <f>SUBTOTAL(109,[2042])</f>
        <v>0</v>
      </c>
      <c r="N57" s="1812">
        <f>SUBTOTAL(109,[2047])</f>
        <v>0</v>
      </c>
      <c r="O57" s="1812">
        <f>SUBTOTAL(109,[2052])</f>
        <v>0</v>
      </c>
      <c r="P57" s="168"/>
      <c r="Q57" s="242"/>
      <c r="T57" s="51"/>
    </row>
    <row r="58" spans="1:22" ht="15.75">
      <c r="A58" s="3"/>
      <c r="B58" s="170"/>
      <c r="C58" s="224"/>
      <c r="D58" s="225"/>
      <c r="E58" s="225"/>
      <c r="F58" s="225"/>
      <c r="G58" s="225"/>
      <c r="H58" s="225"/>
      <c r="I58" s="225"/>
      <c r="J58" s="225"/>
      <c r="K58" s="225"/>
      <c r="L58" s="225"/>
      <c r="M58" s="225"/>
      <c r="N58" s="225"/>
      <c r="O58" s="225"/>
      <c r="P58" s="173"/>
      <c r="Q58" s="242"/>
      <c r="T58" s="51"/>
    </row>
    <row r="59" spans="1:22" ht="6" customHeight="1">
      <c r="Q59" s="242"/>
      <c r="T59" s="51"/>
    </row>
    <row r="60" spans="1:22" ht="15.75">
      <c r="B60" s="424" t="s">
        <v>501</v>
      </c>
      <c r="C60" s="346"/>
      <c r="D60" s="425"/>
      <c r="E60" s="425"/>
      <c r="F60" s="425"/>
      <c r="G60" s="425"/>
      <c r="H60" s="425"/>
      <c r="I60" s="425"/>
      <c r="J60" s="425"/>
      <c r="K60" s="425"/>
      <c r="L60" s="425"/>
      <c r="M60" s="425"/>
      <c r="N60" s="425"/>
      <c r="O60" s="425"/>
      <c r="P60" s="426"/>
      <c r="Q60" s="242"/>
    </row>
    <row r="61" spans="1:22">
      <c r="B61" s="347"/>
      <c r="C61" s="348"/>
      <c r="D61" s="348"/>
      <c r="E61" s="348"/>
      <c r="F61" s="348"/>
      <c r="G61" s="348"/>
      <c r="H61" s="348"/>
      <c r="I61" s="348"/>
      <c r="J61" s="348"/>
      <c r="K61" s="348"/>
      <c r="L61" s="348"/>
      <c r="M61" s="348"/>
      <c r="N61" s="348"/>
      <c r="O61" s="348"/>
      <c r="P61" s="349"/>
      <c r="Q61" s="242"/>
    </row>
    <row r="62" spans="1:22">
      <c r="B62" s="427"/>
      <c r="C62" s="350" t="s">
        <v>506</v>
      </c>
      <c r="D62" s="428"/>
      <c r="E62" s="351"/>
      <c r="F62" s="428"/>
      <c r="G62" s="351"/>
      <c r="H62" s="428"/>
      <c r="I62" s="428"/>
      <c r="J62" s="428"/>
      <c r="K62" s="428"/>
      <c r="L62" s="428"/>
      <c r="M62" s="428"/>
      <c r="N62" s="428"/>
      <c r="O62" s="351"/>
      <c r="P62" s="429"/>
      <c r="Q62" s="242"/>
    </row>
    <row r="63" spans="1:22">
      <c r="B63" s="427"/>
      <c r="C63" s="428"/>
      <c r="D63" s="428"/>
      <c r="E63" s="428"/>
      <c r="F63" s="428"/>
      <c r="G63" s="428"/>
      <c r="H63" s="428"/>
      <c r="I63" s="428"/>
      <c r="J63" s="428"/>
      <c r="K63" s="428"/>
      <c r="L63" s="428"/>
      <c r="M63" s="428"/>
      <c r="N63" s="428"/>
      <c r="O63" s="428"/>
      <c r="P63" s="429"/>
      <c r="Q63" s="242"/>
    </row>
    <row r="64" spans="1:22" ht="15.75">
      <c r="B64" s="430"/>
      <c r="C64" s="431" t="s">
        <v>64</v>
      </c>
      <c r="D64" s="431" t="s">
        <v>502</v>
      </c>
      <c r="E64" s="431" t="s">
        <v>156</v>
      </c>
      <c r="F64" s="1436" t="s">
        <v>203</v>
      </c>
      <c r="G64" s="1437" t="s">
        <v>712</v>
      </c>
      <c r="H64" s="1437" t="s">
        <v>713</v>
      </c>
      <c r="I64" s="1437" t="s">
        <v>714</v>
      </c>
      <c r="J64" s="1437" t="s">
        <v>715</v>
      </c>
      <c r="K64" s="1437" t="s">
        <v>716</v>
      </c>
      <c r="L64" s="1437" t="s">
        <v>717</v>
      </c>
      <c r="M64" s="1437" t="s">
        <v>718</v>
      </c>
      <c r="N64" s="1437" t="s">
        <v>719</v>
      </c>
      <c r="O64" s="1437" t="s">
        <v>720</v>
      </c>
      <c r="P64" s="429"/>
      <c r="Q64" s="242"/>
    </row>
    <row r="65" spans="2:17" ht="15.75">
      <c r="B65" s="430"/>
      <c r="C65" s="432"/>
      <c r="D65" s="432"/>
      <c r="E65" s="433"/>
      <c r="F65" s="354"/>
      <c r="G65" s="354"/>
      <c r="H65" s="354"/>
      <c r="I65" s="354"/>
      <c r="J65" s="354"/>
      <c r="K65" s="354"/>
      <c r="L65" s="354"/>
      <c r="M65" s="354"/>
      <c r="N65" s="354"/>
      <c r="O65" s="354"/>
      <c r="P65" s="429"/>
      <c r="Q65" s="242"/>
    </row>
    <row r="66" spans="2:17" ht="15.75">
      <c r="B66" s="430"/>
      <c r="C66" s="432"/>
      <c r="D66" s="433"/>
      <c r="E66" s="433"/>
      <c r="F66" s="354"/>
      <c r="G66" s="354"/>
      <c r="H66" s="354"/>
      <c r="I66" s="354"/>
      <c r="J66" s="354"/>
      <c r="K66" s="354"/>
      <c r="L66" s="354"/>
      <c r="M66" s="354"/>
      <c r="N66" s="354"/>
      <c r="O66" s="354"/>
      <c r="P66" s="429"/>
      <c r="Q66" s="242"/>
    </row>
    <row r="67" spans="2:17" ht="15.75">
      <c r="B67" s="355"/>
      <c r="C67" s="434"/>
      <c r="D67" s="434"/>
      <c r="E67" s="434"/>
      <c r="F67" s="434"/>
      <c r="G67" s="434"/>
      <c r="H67" s="434"/>
      <c r="I67" s="434"/>
      <c r="J67" s="434"/>
      <c r="K67" s="434"/>
      <c r="L67" s="434"/>
      <c r="M67" s="434"/>
      <c r="N67" s="434"/>
      <c r="O67" s="434"/>
      <c r="P67" s="352"/>
      <c r="Q67" s="242"/>
    </row>
    <row r="68" spans="2:17" ht="4.5" customHeight="1">
      <c r="Q68" s="242"/>
    </row>
    <row r="116" spans="19:20">
      <c r="S116" s="35"/>
      <c r="T116" s="35"/>
    </row>
  </sheetData>
  <pageMargins left="0.7" right="0.7" top="0.75" bottom="0.75" header="0.3" footer="0.3"/>
  <pageSetup paperSize="9" orientation="portrait"/>
  <legacyDrawing r:id="rId1"/>
  <tableParts count="2">
    <tablePart r:id="rId2"/>
    <tablePart r:id="rId3"/>
  </tableParts>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sheetPr>
    <tabColor theme="9"/>
    <outlinePr summaryBelow="0"/>
    <pageSetUpPr autoPageBreaks="0"/>
  </sheetPr>
  <dimension ref="A1:AG198"/>
  <sheetViews>
    <sheetView showGridLines="0" topLeftCell="A48" zoomScale="85" zoomScaleNormal="85" zoomScalePageLayoutView="85" workbookViewId="0">
      <selection activeCell="B58" sqref="B58"/>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18" width="8.85546875" style="605"/>
    <col min="19" max="27" width="5" style="605" bestFit="1" customWidth="1"/>
    <col min="28" max="28" width="7.42578125" style="605" bestFit="1" customWidth="1"/>
    <col min="29" max="16384" width="8.85546875" style="605"/>
  </cols>
  <sheetData>
    <row r="1" spans="1:16" ht="21">
      <c r="A1" s="77" t="s">
        <v>192</v>
      </c>
      <c r="B1" s="77" t="str">
        <f>INDEX(Workstreams[Workstream], MATCH($A1, Workstreams[Code], 0))</f>
        <v>Electricity distribution, storage, and balancing</v>
      </c>
      <c r="C1" s="77"/>
    </row>
    <row r="2" spans="1:16" s="51" customFormat="1" ht="19.5" customHeight="1">
      <c r="A2" s="6" t="s">
        <v>264</v>
      </c>
      <c r="B2" s="6" t="str">
        <f>INDEX(Modules[Module], MATCH($A2,Modules[Code], 0))</f>
        <v>T&amp;D Losses</v>
      </c>
      <c r="C2" s="6"/>
      <c r="E2" s="404"/>
    </row>
    <row r="4" spans="1:16" ht="15.75">
      <c r="B4" s="206" t="s">
        <v>416</v>
      </c>
      <c r="C4" s="174"/>
      <c r="D4" s="175"/>
      <c r="E4" s="176"/>
      <c r="F4" s="175"/>
      <c r="G4" s="175"/>
      <c r="H4" s="175"/>
      <c r="I4" s="175"/>
      <c r="J4" s="175"/>
      <c r="K4" s="175"/>
      <c r="L4" s="175"/>
      <c r="M4" s="175"/>
      <c r="N4" s="175"/>
      <c r="O4" s="175"/>
      <c r="P4" s="177"/>
    </row>
    <row r="5" spans="1:16">
      <c r="B5" s="164"/>
      <c r="C5" s="165"/>
      <c r="D5" s="166"/>
      <c r="E5" s="167"/>
      <c r="F5" s="166"/>
      <c r="G5" s="166"/>
      <c r="H5" s="166"/>
      <c r="I5" s="166"/>
      <c r="J5" s="166"/>
      <c r="K5" s="166"/>
      <c r="L5" s="166"/>
      <c r="M5" s="166"/>
      <c r="N5" s="166"/>
      <c r="O5" s="166"/>
      <c r="P5" s="168"/>
    </row>
    <row r="6" spans="1:16" ht="15.75">
      <c r="B6" s="169"/>
      <c r="C6" s="166"/>
      <c r="D6" s="118" t="s">
        <v>274</v>
      </c>
      <c r="E6" s="118" t="s">
        <v>411</v>
      </c>
      <c r="F6" s="166"/>
      <c r="G6" s="166"/>
      <c r="H6" s="166"/>
      <c r="I6" s="166"/>
      <c r="J6" s="166"/>
      <c r="K6" s="166"/>
      <c r="L6" s="166"/>
      <c r="M6" s="166"/>
      <c r="N6" s="166"/>
      <c r="O6" s="166"/>
      <c r="P6" s="168"/>
    </row>
    <row r="7" spans="1:16" ht="15.75">
      <c r="B7" s="169"/>
      <c r="C7" s="166"/>
      <c r="D7" s="127" t="s">
        <v>831</v>
      </c>
      <c r="E7" s="127">
        <f>VII.b.scenario</f>
        <v>1</v>
      </c>
      <c r="F7" s="166"/>
      <c r="G7" s="166"/>
      <c r="H7" s="166"/>
      <c r="I7" s="166"/>
      <c r="J7" s="166"/>
      <c r="K7" s="166"/>
      <c r="L7" s="166"/>
      <c r="M7" s="166"/>
      <c r="N7" s="166"/>
      <c r="O7" s="166"/>
      <c r="P7" s="168"/>
    </row>
    <row r="8" spans="1:16" ht="15.75">
      <c r="B8" s="170"/>
      <c r="C8" s="171"/>
      <c r="D8" s="171"/>
      <c r="E8" s="171"/>
      <c r="F8" s="172"/>
      <c r="G8" s="172"/>
      <c r="H8" s="172"/>
      <c r="I8" s="172"/>
      <c r="J8" s="172"/>
      <c r="K8" s="172"/>
      <c r="L8" s="172"/>
      <c r="M8" s="172"/>
      <c r="N8" s="172"/>
      <c r="O8" s="172"/>
      <c r="P8" s="173"/>
    </row>
    <row r="10" spans="1:16" ht="22.5" collapsed="1">
      <c r="A10" s="420"/>
      <c r="B10" s="206" t="s">
        <v>201</v>
      </c>
      <c r="C10" s="175"/>
      <c r="D10" s="175"/>
      <c r="E10" s="175"/>
      <c r="F10" s="175"/>
      <c r="G10" s="175"/>
      <c r="H10" s="175"/>
      <c r="I10" s="175"/>
      <c r="J10" s="175"/>
      <c r="K10" s="175"/>
      <c r="L10" s="175"/>
      <c r="M10" s="175"/>
      <c r="N10" s="175"/>
      <c r="O10" s="175"/>
      <c r="P10" s="177"/>
    </row>
    <row r="11" spans="1:16">
      <c r="B11" s="164"/>
      <c r="C11" s="166"/>
      <c r="D11" s="166"/>
      <c r="E11" s="166"/>
      <c r="F11" s="166"/>
      <c r="G11" s="166"/>
      <c r="H11" s="166"/>
      <c r="I11" s="166"/>
      <c r="J11" s="166"/>
      <c r="K11" s="166"/>
      <c r="L11" s="166"/>
      <c r="M11" s="166"/>
      <c r="N11" s="166"/>
      <c r="O11" s="166"/>
      <c r="P11" s="168"/>
    </row>
    <row r="12" spans="1:16">
      <c r="B12" s="164"/>
      <c r="C12" s="178" t="s">
        <v>1740</v>
      </c>
      <c r="D12" s="166"/>
      <c r="E12" s="167"/>
      <c r="F12" s="166"/>
      <c r="G12" s="166"/>
      <c r="H12" s="166"/>
      <c r="I12" s="166"/>
      <c r="J12" s="166"/>
      <c r="K12" s="166"/>
      <c r="L12" s="166"/>
      <c r="M12" s="166"/>
      <c r="N12" s="166"/>
      <c r="O12" s="167" t="str">
        <f>preferences.energyunits</f>
        <v>TWh</v>
      </c>
      <c r="P12" s="168"/>
    </row>
    <row r="13" spans="1:16" ht="6" customHeight="1">
      <c r="B13" s="164"/>
      <c r="C13" s="165"/>
      <c r="D13" s="166"/>
      <c r="E13" s="167"/>
      <c r="F13" s="166"/>
      <c r="G13" s="166"/>
      <c r="H13" s="166"/>
      <c r="I13" s="166"/>
      <c r="J13" s="166"/>
      <c r="K13" s="166"/>
      <c r="L13" s="166"/>
      <c r="M13" s="166"/>
      <c r="N13" s="166"/>
      <c r="O13" s="166"/>
      <c r="P13" s="168"/>
    </row>
    <row r="14" spans="1:16" s="51" customFormat="1" ht="15.75">
      <c r="A14" s="53"/>
      <c r="B14" s="179"/>
      <c r="C14" s="180" t="s">
        <v>64</v>
      </c>
      <c r="D14" s="180" t="s">
        <v>137</v>
      </c>
      <c r="E14" s="180" t="s">
        <v>156</v>
      </c>
      <c r="F14" s="230" t="s">
        <v>203</v>
      </c>
      <c r="G14" s="566" t="s">
        <v>712</v>
      </c>
      <c r="H14" s="566" t="s">
        <v>713</v>
      </c>
      <c r="I14" s="566" t="s">
        <v>714</v>
      </c>
      <c r="J14" s="566" t="s">
        <v>715</v>
      </c>
      <c r="K14" s="566" t="s">
        <v>716</v>
      </c>
      <c r="L14" s="566" t="s">
        <v>717</v>
      </c>
      <c r="M14" s="566" t="s">
        <v>718</v>
      </c>
      <c r="N14" s="566" t="s">
        <v>719</v>
      </c>
      <c r="O14" s="566" t="s">
        <v>720</v>
      </c>
      <c r="P14" s="154"/>
    </row>
    <row r="15" spans="1:16" s="51" customFormat="1" ht="18" customHeight="1">
      <c r="A15" s="53"/>
      <c r="B15" s="179"/>
      <c r="C15" s="60" t="s">
        <v>34</v>
      </c>
      <c r="D15" s="60" t="str">
        <f>INDEX(Vectors[Description], MATCH([Vector], Vectors[Code], 0))</f>
        <v>Electricity (delivered to end user)</v>
      </c>
      <c r="E15" s="60"/>
      <c r="F15" s="220">
        <f ca="1">INDEX(INDIRECT("'"&amp;VII.b.Inputs[#Headers]&amp;"'!Year.Matrix"), MATCH("Subtotal."&amp;$A$2, INDIRECT("'"&amp;VII.b.Inputs[#Headers]&amp;"'!Year.Modules"), 0), MATCH([Vector], INDIRECT("'"&amp;VII.b.Inputs[#Headers]&amp;"'!Year.Vectors"), 0))</f>
        <v>-595.68681516482502</v>
      </c>
      <c r="G15" s="220">
        <f ca="1">INDEX(INDIRECT("'"&amp;VII.b.Inputs[#Headers]&amp;"'!Year.Matrix"), MATCH("Subtotal."&amp;$A$2, INDIRECT("'"&amp;VII.b.Inputs[#Headers]&amp;"'!Year.Modules"), 0), MATCH([Vector], INDIRECT("'"&amp;VII.b.Inputs[#Headers]&amp;"'!Year.Vectors"), 0))</f>
        <v>-798.39296177664801</v>
      </c>
      <c r="H15" s="220">
        <f ca="1">INDEX(INDIRECT("'"&amp;VII.b.Inputs[#Headers]&amp;"'!Year.Matrix"), MATCH("Subtotal."&amp;$A$2, INDIRECT("'"&amp;VII.b.Inputs[#Headers]&amp;"'!Year.Modules"), 0), MATCH([Vector], INDIRECT("'"&amp;VII.b.Inputs[#Headers]&amp;"'!Year.Vectors"), 0))</f>
        <v>-1142.8498773739643</v>
      </c>
      <c r="I15" s="220">
        <f ca="1">INDEX(INDIRECT("'"&amp;VII.b.Inputs[#Headers]&amp;"'!Year.Matrix"), MATCH("Subtotal."&amp;$A$2, INDIRECT("'"&amp;VII.b.Inputs[#Headers]&amp;"'!Year.Modules"), 0), MATCH([Vector], INDIRECT("'"&amp;VII.b.Inputs[#Headers]&amp;"'!Year.Vectors"), 0))</f>
        <v>-1640.0251055308779</v>
      </c>
      <c r="J15" s="220">
        <f ca="1">INDEX(INDIRECT("'"&amp;VII.b.Inputs[#Headers]&amp;"'!Year.Matrix"), MATCH("Subtotal."&amp;$A$2, INDIRECT("'"&amp;VII.b.Inputs[#Headers]&amp;"'!Year.Modules"), 0), MATCH([Vector], INDIRECT("'"&amp;VII.b.Inputs[#Headers]&amp;"'!Year.Vectors"), 0))</f>
        <v>-2290.662235710573</v>
      </c>
      <c r="K15" s="220">
        <f ca="1">INDEX(INDIRECT("'"&amp;VII.b.Inputs[#Headers]&amp;"'!Year.Matrix"), MATCH("Subtotal."&amp;$A$2, INDIRECT("'"&amp;VII.b.Inputs[#Headers]&amp;"'!Year.Modules"), 0), MATCH([Vector], INDIRECT("'"&amp;VII.b.Inputs[#Headers]&amp;"'!Year.Vectors"), 0))</f>
        <v>-3170.4883780648101</v>
      </c>
      <c r="L15" s="220">
        <f ca="1">INDEX(INDIRECT("'"&amp;VII.b.Inputs[#Headers]&amp;"'!Year.Matrix"), MATCH("Subtotal."&amp;$A$2, INDIRECT("'"&amp;VII.b.Inputs[#Headers]&amp;"'!Year.Modules"), 0), MATCH([Vector], INDIRECT("'"&amp;VII.b.Inputs[#Headers]&amp;"'!Year.Vectors"), 0))</f>
        <v>-3970.4133793283249</v>
      </c>
      <c r="M15" s="220">
        <f ca="1">INDEX(INDIRECT("'"&amp;VII.b.Inputs[#Headers]&amp;"'!Year.Matrix"), MATCH("Subtotal."&amp;$A$2, INDIRECT("'"&amp;VII.b.Inputs[#Headers]&amp;"'!Year.Modules"), 0), MATCH([Vector], INDIRECT("'"&amp;VII.b.Inputs[#Headers]&amp;"'!Year.Vectors"), 0))</f>
        <v>-4914.3042732371441</v>
      </c>
      <c r="N15" s="220">
        <f ca="1">INDEX(INDIRECT("'"&amp;VII.b.Inputs[#Headers]&amp;"'!Year.Matrix"), MATCH("Subtotal."&amp;$A$2, INDIRECT("'"&amp;VII.b.Inputs[#Headers]&amp;"'!Year.Modules"), 0), MATCH([Vector], INDIRECT("'"&amp;VII.b.Inputs[#Headers]&amp;"'!Year.Vectors"), 0))</f>
        <v>-5747.5586114860871</v>
      </c>
      <c r="O15" s="220">
        <f ca="1">INDEX(INDIRECT("'"&amp;VII.b.Inputs[#Headers]&amp;"'!Year.Matrix"), MATCH("Subtotal."&amp;$A$2, INDIRECT("'"&amp;VII.b.Inputs[#Headers]&amp;"'!Year.Modules"), 0), MATCH([Vector], INDIRECT("'"&amp;VII.b.Inputs[#Headers]&amp;"'!Year.Vectors"), 0))</f>
        <v>-6680.5573002001365</v>
      </c>
      <c r="P15" s="181"/>
    </row>
    <row r="16" spans="1:16" s="51" customFormat="1" ht="18" customHeight="1">
      <c r="A16" s="53"/>
      <c r="B16" s="179"/>
      <c r="C16" s="226"/>
      <c r="D16" s="226"/>
      <c r="E16" s="226"/>
      <c r="F16" s="2178"/>
      <c r="G16" s="2178"/>
      <c r="H16" s="2178"/>
      <c r="I16" s="2178"/>
      <c r="J16" s="2178"/>
      <c r="K16" s="2178"/>
      <c r="L16" s="2178"/>
      <c r="M16" s="2178"/>
      <c r="N16" s="2178"/>
      <c r="O16" s="2178"/>
      <c r="P16" s="181"/>
    </row>
    <row r="17" spans="1:16">
      <c r="B17" s="182"/>
      <c r="C17" s="172"/>
      <c r="D17" s="172"/>
      <c r="E17" s="172"/>
      <c r="F17" s="172"/>
      <c r="G17" s="172"/>
      <c r="H17" s="172"/>
      <c r="I17" s="172"/>
      <c r="J17" s="172"/>
      <c r="K17" s="172"/>
      <c r="L17" s="172"/>
      <c r="M17" s="172"/>
      <c r="N17" s="172"/>
      <c r="O17" s="172"/>
      <c r="P17" s="173"/>
    </row>
    <row r="19" spans="1:16" s="51" customFormat="1" ht="22.5" collapsed="1">
      <c r="A19" s="162"/>
      <c r="B19" s="421" t="s">
        <v>413</v>
      </c>
      <c r="C19" s="159"/>
      <c r="D19" s="159"/>
      <c r="E19" s="159"/>
      <c r="F19" s="159"/>
      <c r="G19" s="159"/>
      <c r="H19" s="159"/>
      <c r="I19" s="159"/>
      <c r="J19" s="159"/>
      <c r="K19" s="159"/>
      <c r="L19" s="159"/>
      <c r="M19" s="159"/>
      <c r="N19" s="159"/>
      <c r="O19" s="159"/>
      <c r="P19" s="160"/>
    </row>
    <row r="20" spans="1:16" s="51" customFormat="1" ht="22.5">
      <c r="A20" s="162"/>
      <c r="B20" s="1356"/>
      <c r="C20" s="416"/>
      <c r="D20" s="415"/>
      <c r="E20" s="104"/>
      <c r="F20" s="415"/>
      <c r="G20" s="415"/>
      <c r="H20" s="415"/>
      <c r="I20" s="415"/>
      <c r="J20" s="415"/>
      <c r="K20" s="415"/>
      <c r="L20" s="415"/>
      <c r="M20" s="415"/>
      <c r="N20" s="415"/>
      <c r="O20" s="104"/>
      <c r="P20" s="154"/>
    </row>
    <row r="21" spans="1:16" s="51" customFormat="1" ht="22.5">
      <c r="A21" s="162"/>
      <c r="B21" s="1356"/>
      <c r="C21" s="416" t="s">
        <v>1749</v>
      </c>
      <c r="D21" s="415"/>
      <c r="E21" s="415"/>
      <c r="F21" s="415"/>
      <c r="G21" s="415"/>
      <c r="H21" s="415"/>
      <c r="I21" s="415"/>
      <c r="J21" s="415"/>
      <c r="K21" s="415"/>
      <c r="L21" s="415"/>
      <c r="M21" s="415"/>
      <c r="N21" s="415"/>
      <c r="O21" s="104" t="s">
        <v>277</v>
      </c>
      <c r="P21" s="154"/>
    </row>
    <row r="22" spans="1:16" s="51" customFormat="1" ht="17.25" customHeight="1">
      <c r="A22" s="162"/>
      <c r="B22" s="1356"/>
      <c r="C22" s="61" t="s">
        <v>411</v>
      </c>
      <c r="D22" s="61" t="s">
        <v>65</v>
      </c>
      <c r="E22" s="61" t="s">
        <v>156</v>
      </c>
      <c r="F22" s="119">
        <v>2007</v>
      </c>
      <c r="G22" s="120">
        <f>F22+5</f>
        <v>2012</v>
      </c>
      <c r="H22" s="120">
        <f t="shared" ref="H22:O22" si="0">G22+5</f>
        <v>2017</v>
      </c>
      <c r="I22" s="120">
        <f t="shared" si="0"/>
        <v>2022</v>
      </c>
      <c r="J22" s="120">
        <f t="shared" si="0"/>
        <v>2027</v>
      </c>
      <c r="K22" s="120">
        <f t="shared" si="0"/>
        <v>2032</v>
      </c>
      <c r="L22" s="120">
        <f t="shared" si="0"/>
        <v>2037</v>
      </c>
      <c r="M22" s="120">
        <f t="shared" si="0"/>
        <v>2042</v>
      </c>
      <c r="N22" s="120">
        <f t="shared" si="0"/>
        <v>2047</v>
      </c>
      <c r="O22" s="120">
        <f t="shared" si="0"/>
        <v>2052</v>
      </c>
      <c r="P22" s="154"/>
    </row>
    <row r="23" spans="1:16" s="51" customFormat="1" ht="16.5" customHeight="1">
      <c r="A23" s="162"/>
      <c r="B23" s="1356"/>
      <c r="C23" s="413">
        <v>1</v>
      </c>
      <c r="D23" s="414"/>
      <c r="E23" s="96"/>
      <c r="F23" s="600">
        <v>0.2467</v>
      </c>
      <c r="G23" s="600">
        <v>0.22690000000000002</v>
      </c>
      <c r="H23" s="600">
        <v>0.21502000000000002</v>
      </c>
      <c r="I23" s="600">
        <v>0.2054</v>
      </c>
      <c r="J23" s="600">
        <v>0.1958</v>
      </c>
      <c r="K23" s="600">
        <v>0.18708</v>
      </c>
      <c r="L23" s="600">
        <v>0.17903999999999998</v>
      </c>
      <c r="M23" s="600">
        <v>0.1661</v>
      </c>
      <c r="N23" s="600">
        <v>0.15944</v>
      </c>
      <c r="O23" s="600">
        <v>0.15518000000000001</v>
      </c>
      <c r="P23" s="154"/>
    </row>
    <row r="24" spans="1:16" s="51" customFormat="1" ht="16.5" customHeight="1">
      <c r="A24" s="162"/>
      <c r="B24" s="1356"/>
      <c r="C24" s="413">
        <v>2</v>
      </c>
      <c r="D24" s="414"/>
      <c r="E24" s="414"/>
      <c r="F24" s="600">
        <v>0.2467</v>
      </c>
      <c r="G24" s="600">
        <v>0.22690000000000002</v>
      </c>
      <c r="H24" s="600">
        <v>0.20800000000000002</v>
      </c>
      <c r="I24" s="600">
        <v>0.185</v>
      </c>
      <c r="J24" s="600">
        <v>0.16799999999999998</v>
      </c>
      <c r="K24" s="600">
        <v>0.151</v>
      </c>
      <c r="L24" s="600">
        <v>0.13400000000000001</v>
      </c>
      <c r="M24" s="600">
        <v>0.11199999999999999</v>
      </c>
      <c r="N24" s="600">
        <v>0.1</v>
      </c>
      <c r="O24" s="600">
        <v>0.1</v>
      </c>
      <c r="P24" s="154"/>
    </row>
    <row r="25" spans="1:16" s="51" customFormat="1" ht="16.5" customHeight="1">
      <c r="A25" s="162"/>
      <c r="B25" s="1356"/>
      <c r="C25" s="413">
        <v>3</v>
      </c>
      <c r="D25" s="414"/>
      <c r="E25" s="414"/>
      <c r="F25" s="600">
        <v>0.2467</v>
      </c>
      <c r="G25" s="600">
        <v>0.22690000000000002</v>
      </c>
      <c r="H25" s="600">
        <v>0.185</v>
      </c>
      <c r="I25" s="600">
        <v>0.156</v>
      </c>
      <c r="J25" s="600">
        <v>0.12199999999999998</v>
      </c>
      <c r="K25" s="600">
        <v>0.10500000000000001</v>
      </c>
      <c r="L25" s="600">
        <v>9.4E-2</v>
      </c>
      <c r="M25" s="600">
        <v>8.3000000000000004E-2</v>
      </c>
      <c r="N25" s="600">
        <v>7.2000000000000008E-2</v>
      </c>
      <c r="O25" s="600">
        <v>7.2000000000000008E-2</v>
      </c>
      <c r="P25" s="154"/>
    </row>
    <row r="26" spans="1:16" s="51" customFormat="1" ht="18" customHeight="1">
      <c r="A26" s="162"/>
      <c r="B26" s="1356"/>
      <c r="C26" s="411">
        <v>4</v>
      </c>
      <c r="D26" s="65"/>
      <c r="E26" s="65"/>
      <c r="F26" s="600">
        <v>0.2467</v>
      </c>
      <c r="G26" s="600">
        <v>0.22690000000000002</v>
      </c>
      <c r="H26" s="600">
        <v>0.16799999999999998</v>
      </c>
      <c r="I26" s="600">
        <v>0.13900000000000001</v>
      </c>
      <c r="J26" s="600">
        <v>0.11600000000000001</v>
      </c>
      <c r="K26" s="600">
        <v>8.7999999999999995E-2</v>
      </c>
      <c r="L26" s="600">
        <v>0.08</v>
      </c>
      <c r="M26" s="600">
        <v>7.2000000000000008E-2</v>
      </c>
      <c r="N26" s="600">
        <v>7.2000000000000008E-2</v>
      </c>
      <c r="O26" s="600">
        <v>6.9000000000000006E-2</v>
      </c>
      <c r="P26" s="154"/>
    </row>
    <row r="27" spans="1:16" s="51" customFormat="1" ht="18" customHeight="1">
      <c r="A27" s="162"/>
      <c r="B27" s="1356"/>
      <c r="C27" s="2194" t="s">
        <v>406</v>
      </c>
      <c r="D27" s="1459"/>
      <c r="E27" s="1459"/>
      <c r="F27" s="2195">
        <f>(INDEX(F$23:F$26,ROUNDDOWN($E$7,0))*(1-MOD($E$7,1)))+(INDEX(F$23:F$26,ROUNDUP($E$7,0))*MOD($E$7,1))</f>
        <v>0.2467</v>
      </c>
      <c r="G27" s="2195">
        <f t="shared" ref="G27:O27" si="1">(INDEX(G$23:G$26,ROUNDDOWN($E$7,0))*(1-MOD($E$7,1)))+(INDEX(G$23:G$26,ROUNDUP($E$7,0))*MOD($E$7,1))</f>
        <v>0.22690000000000002</v>
      </c>
      <c r="H27" s="2195">
        <f t="shared" si="1"/>
        <v>0.21502000000000002</v>
      </c>
      <c r="I27" s="2195">
        <f t="shared" si="1"/>
        <v>0.2054</v>
      </c>
      <c r="J27" s="2195">
        <f t="shared" si="1"/>
        <v>0.1958</v>
      </c>
      <c r="K27" s="2195">
        <f t="shared" si="1"/>
        <v>0.18708</v>
      </c>
      <c r="L27" s="2195">
        <f t="shared" si="1"/>
        <v>0.17903999999999998</v>
      </c>
      <c r="M27" s="2195">
        <f t="shared" si="1"/>
        <v>0.1661</v>
      </c>
      <c r="N27" s="2195">
        <f t="shared" si="1"/>
        <v>0.15944</v>
      </c>
      <c r="O27" s="2195">
        <f t="shared" si="1"/>
        <v>0.15518000000000001</v>
      </c>
      <c r="P27" s="575"/>
    </row>
    <row r="28" spans="1:16" s="51" customFormat="1" ht="22.5">
      <c r="A28" s="162"/>
      <c r="B28" s="1356"/>
      <c r="C28" s="2185"/>
      <c r="D28" s="2186"/>
      <c r="E28" s="2186"/>
      <c r="F28" s="2187"/>
      <c r="G28" s="2188"/>
      <c r="H28" s="2187"/>
      <c r="I28" s="2187"/>
      <c r="J28" s="2187"/>
      <c r="K28" s="2187"/>
      <c r="L28" s="2187"/>
      <c r="M28" s="2187"/>
      <c r="N28" s="2187"/>
      <c r="O28" s="2187"/>
      <c r="P28" s="154"/>
    </row>
    <row r="29" spans="1:16" s="51" customFormat="1" ht="22.5">
      <c r="A29" s="162"/>
      <c r="B29" s="1356"/>
      <c r="C29" s="2193" t="s">
        <v>1750</v>
      </c>
      <c r="D29" s="112"/>
      <c r="E29" s="112"/>
      <c r="F29" s="2192"/>
      <c r="G29" s="2192"/>
      <c r="H29" s="2192"/>
      <c r="I29" s="2192"/>
      <c r="J29" s="2192"/>
      <c r="K29" s="2192"/>
      <c r="L29" s="2192"/>
      <c r="M29" s="2192"/>
      <c r="N29" s="2192"/>
      <c r="O29" s="2192"/>
      <c r="P29" s="154"/>
    </row>
    <row r="30" spans="1:16" s="51" customFormat="1" ht="18" customHeight="1">
      <c r="A30" s="162"/>
      <c r="B30" s="1356"/>
      <c r="C30" s="2189" t="s">
        <v>411</v>
      </c>
      <c r="D30" s="2189" t="s">
        <v>65</v>
      </c>
      <c r="E30" s="2189" t="s">
        <v>156</v>
      </c>
      <c r="F30" s="2190">
        <v>2007</v>
      </c>
      <c r="G30" s="2191">
        <f t="shared" ref="G30:O30" si="2">F30+5</f>
        <v>2012</v>
      </c>
      <c r="H30" s="2191">
        <f t="shared" si="2"/>
        <v>2017</v>
      </c>
      <c r="I30" s="2191">
        <f t="shared" si="2"/>
        <v>2022</v>
      </c>
      <c r="J30" s="2191">
        <f t="shared" si="2"/>
        <v>2027</v>
      </c>
      <c r="K30" s="2191">
        <f t="shared" si="2"/>
        <v>2032</v>
      </c>
      <c r="L30" s="2191">
        <f t="shared" si="2"/>
        <v>2037</v>
      </c>
      <c r="M30" s="2191">
        <f t="shared" si="2"/>
        <v>2042</v>
      </c>
      <c r="N30" s="2191">
        <f t="shared" si="2"/>
        <v>2047</v>
      </c>
      <c r="O30" s="2191">
        <f t="shared" si="2"/>
        <v>2052</v>
      </c>
      <c r="P30" s="154"/>
    </row>
    <row r="31" spans="1:16" s="51" customFormat="1" ht="17.25" customHeight="1">
      <c r="A31" s="162"/>
      <c r="B31" s="1356"/>
      <c r="C31" s="413">
        <v>1</v>
      </c>
      <c r="D31" s="414"/>
      <c r="E31" s="96"/>
      <c r="F31" s="600">
        <v>0.36450000000000005</v>
      </c>
      <c r="G31" s="600">
        <v>0.33150000000000002</v>
      </c>
      <c r="H31" s="600">
        <v>0.31170000000000003</v>
      </c>
      <c r="I31" s="600">
        <v>0.29899999999999999</v>
      </c>
      <c r="J31" s="600">
        <v>0.28300000000000003</v>
      </c>
      <c r="K31" s="600">
        <v>0.27179999999999999</v>
      </c>
      <c r="L31" s="600">
        <v>0.25839999999999996</v>
      </c>
      <c r="M31" s="600">
        <v>0.24349999999999999</v>
      </c>
      <c r="N31" s="600">
        <v>0.2324</v>
      </c>
      <c r="O31" s="600">
        <v>0.2253</v>
      </c>
      <c r="P31" s="154"/>
    </row>
    <row r="32" spans="1:16" s="51" customFormat="1" ht="17.25" customHeight="1">
      <c r="A32" s="162"/>
      <c r="B32" s="1356"/>
      <c r="C32" s="413">
        <v>2</v>
      </c>
      <c r="D32" s="414"/>
      <c r="E32" s="414"/>
      <c r="F32" s="600">
        <v>0.36449999999999999</v>
      </c>
      <c r="G32" s="600">
        <v>0.33150000000000002</v>
      </c>
      <c r="H32" s="600">
        <v>0.30000000000000004</v>
      </c>
      <c r="I32" s="600">
        <v>0.26500000000000001</v>
      </c>
      <c r="J32" s="600">
        <v>0.24</v>
      </c>
      <c r="K32" s="600">
        <v>0.215</v>
      </c>
      <c r="L32" s="600">
        <v>0.19</v>
      </c>
      <c r="M32" s="600">
        <v>0.16</v>
      </c>
      <c r="N32" s="600">
        <v>0.14000000000000001</v>
      </c>
      <c r="O32" s="600">
        <v>0.14000000000000001</v>
      </c>
      <c r="P32" s="154"/>
    </row>
    <row r="33" spans="1:33" s="51" customFormat="1" ht="18" customHeight="1">
      <c r="A33" s="162"/>
      <c r="B33" s="1356"/>
      <c r="C33" s="413">
        <v>3</v>
      </c>
      <c r="D33" s="414"/>
      <c r="E33" s="414"/>
      <c r="F33" s="600">
        <v>0.36449999999999999</v>
      </c>
      <c r="G33" s="600">
        <v>0.33150000000000002</v>
      </c>
      <c r="H33" s="600">
        <v>0.26500000000000001</v>
      </c>
      <c r="I33" s="600">
        <v>0.22</v>
      </c>
      <c r="J33" s="600">
        <v>0.16999999999999998</v>
      </c>
      <c r="K33" s="600">
        <v>0.14500000000000002</v>
      </c>
      <c r="L33" s="600">
        <v>0.13</v>
      </c>
      <c r="M33" s="600">
        <v>0.115</v>
      </c>
      <c r="N33" s="600">
        <v>0.1</v>
      </c>
      <c r="O33" s="600">
        <v>0.1</v>
      </c>
      <c r="P33" s="154"/>
    </row>
    <row r="34" spans="1:33" s="51" customFormat="1" ht="16.5" customHeight="1">
      <c r="A34" s="162"/>
      <c r="B34" s="1356"/>
      <c r="C34" s="411">
        <v>4</v>
      </c>
      <c r="D34" s="65"/>
      <c r="E34" s="65"/>
      <c r="F34" s="600">
        <v>0.36449999999999999</v>
      </c>
      <c r="G34" s="600">
        <v>0.33150000000000002</v>
      </c>
      <c r="H34" s="600">
        <v>0.24</v>
      </c>
      <c r="I34" s="600">
        <v>0.19500000000000001</v>
      </c>
      <c r="J34" s="600">
        <v>0.16000000000000003</v>
      </c>
      <c r="K34" s="600">
        <v>0.12</v>
      </c>
      <c r="L34" s="600">
        <v>0.11</v>
      </c>
      <c r="M34" s="600">
        <v>0.1</v>
      </c>
      <c r="N34" s="600">
        <v>0.1</v>
      </c>
      <c r="O34" s="600">
        <v>9.5000000000000001E-2</v>
      </c>
      <c r="P34" s="154"/>
    </row>
    <row r="35" spans="1:33" s="51" customFormat="1" ht="17.25" customHeight="1">
      <c r="A35" s="162"/>
      <c r="B35" s="1356"/>
      <c r="C35" s="2194" t="s">
        <v>406</v>
      </c>
      <c r="D35" s="1459"/>
      <c r="E35" s="1459"/>
      <c r="F35" s="2195">
        <f>(INDEX(F$31:F$34,ROUNDDOWN($E$7,0))*(1-MOD($E$7,1)))+(INDEX(F$31:F$34,ROUNDUP($E$7,0))*MOD($E$7,1))</f>
        <v>0.36450000000000005</v>
      </c>
      <c r="G35" s="2195">
        <f t="shared" ref="G35:O35" si="3">(INDEX(G$31:G$34,ROUNDDOWN($E$7,0))*(1-MOD($E$7,1)))+(INDEX(G$31:G$34,ROUNDUP($E$7,0))*MOD($E$7,1))</f>
        <v>0.33150000000000002</v>
      </c>
      <c r="H35" s="2195">
        <f t="shared" si="3"/>
        <v>0.31170000000000003</v>
      </c>
      <c r="I35" s="2195">
        <f t="shared" si="3"/>
        <v>0.29899999999999999</v>
      </c>
      <c r="J35" s="2195">
        <f t="shared" si="3"/>
        <v>0.28300000000000003</v>
      </c>
      <c r="K35" s="2195">
        <f t="shared" si="3"/>
        <v>0.27179999999999999</v>
      </c>
      <c r="L35" s="2195">
        <f t="shared" si="3"/>
        <v>0.25839999999999996</v>
      </c>
      <c r="M35" s="2195">
        <f t="shared" si="3"/>
        <v>0.24349999999999999</v>
      </c>
      <c r="N35" s="2195">
        <f t="shared" si="3"/>
        <v>0.2324</v>
      </c>
      <c r="O35" s="2195">
        <f t="shared" si="3"/>
        <v>0.2253</v>
      </c>
      <c r="P35" s="154"/>
    </row>
    <row r="36" spans="1:33" s="51" customFormat="1" ht="22.5">
      <c r="A36" s="162"/>
      <c r="B36" s="1356"/>
      <c r="C36" s="2156"/>
      <c r="D36" s="414"/>
      <c r="E36" s="414"/>
      <c r="F36" s="222"/>
      <c r="G36" s="222"/>
      <c r="H36" s="222"/>
      <c r="I36" s="222"/>
      <c r="J36" s="222"/>
      <c r="K36" s="222"/>
      <c r="L36" s="222"/>
      <c r="M36" s="222"/>
      <c r="N36" s="222"/>
      <c r="O36" s="222"/>
      <c r="P36" s="154"/>
    </row>
    <row r="37" spans="1:33" ht="22.5">
      <c r="A37" s="162"/>
      <c r="B37" s="418"/>
      <c r="C37" s="412"/>
      <c r="D37" s="412"/>
      <c r="E37" s="412"/>
      <c r="F37" s="227"/>
      <c r="G37" s="227"/>
      <c r="H37" s="227"/>
      <c r="I37" s="227"/>
      <c r="J37" s="227"/>
      <c r="K37" s="227"/>
      <c r="L37" s="227"/>
      <c r="M37" s="227"/>
      <c r="N37" s="227"/>
      <c r="O37" s="227"/>
      <c r="P37" s="419"/>
    </row>
    <row r="38" spans="1:33" s="51" customFormat="1">
      <c r="A38" s="605"/>
      <c r="B38" s="418"/>
      <c r="C38" s="413"/>
      <c r="D38" s="414"/>
      <c r="E38" s="414"/>
      <c r="F38" s="116"/>
      <c r="G38" s="132"/>
      <c r="H38" s="116"/>
      <c r="I38" s="116"/>
      <c r="J38" s="116"/>
      <c r="K38" s="116"/>
      <c r="L38" s="116"/>
      <c r="M38" s="116"/>
      <c r="N38" s="116"/>
      <c r="O38" s="116"/>
      <c r="P38" s="154"/>
    </row>
    <row r="39" spans="1:33">
      <c r="A39" s="51"/>
      <c r="B39" s="418"/>
      <c r="C39" s="415"/>
      <c r="D39" s="105"/>
      <c r="E39" s="415"/>
      <c r="F39" s="415"/>
      <c r="G39" s="415"/>
      <c r="H39" s="415"/>
      <c r="I39" s="415"/>
      <c r="J39" s="415"/>
      <c r="K39" s="415"/>
      <c r="L39" s="415"/>
      <c r="M39" s="415"/>
      <c r="N39" s="415"/>
      <c r="O39" s="415"/>
      <c r="P39" s="419"/>
    </row>
    <row r="40" spans="1:33">
      <c r="B40" s="418"/>
      <c r="C40" s="416" t="s">
        <v>593</v>
      </c>
      <c r="D40" s="2179" t="s">
        <v>809</v>
      </c>
      <c r="E40" s="415"/>
      <c r="F40" s="415"/>
      <c r="G40" s="415"/>
      <c r="H40" s="415"/>
      <c r="I40" s="415"/>
      <c r="J40" s="415"/>
      <c r="K40" s="415"/>
      <c r="L40" s="415"/>
      <c r="M40" s="415"/>
      <c r="N40" s="415"/>
      <c r="O40" s="415"/>
      <c r="P40" s="415"/>
    </row>
    <row r="41" spans="1:33" ht="4.5" customHeight="1">
      <c r="B41" s="418"/>
      <c r="C41" s="416"/>
      <c r="D41" s="105"/>
      <c r="E41" s="415"/>
      <c r="F41" s="415"/>
      <c r="G41" s="415"/>
      <c r="H41" s="415"/>
      <c r="I41" s="415"/>
      <c r="J41" s="415"/>
      <c r="K41" s="415"/>
      <c r="L41" s="415"/>
      <c r="M41" s="415"/>
      <c r="N41" s="415"/>
      <c r="O41" s="415"/>
      <c r="P41" s="415"/>
    </row>
    <row r="42" spans="1:33" ht="15.75">
      <c r="B42" s="152"/>
      <c r="C42" s="1687" t="s">
        <v>1741</v>
      </c>
      <c r="D42" s="2180">
        <v>20</v>
      </c>
      <c r="E42" s="415"/>
      <c r="F42" s="415"/>
      <c r="G42" s="415"/>
      <c r="H42" s="415"/>
      <c r="I42" s="415"/>
      <c r="J42" s="415"/>
      <c r="K42" s="415"/>
      <c r="L42" s="415"/>
      <c r="M42" s="415"/>
      <c r="N42" s="415"/>
      <c r="O42" s="415"/>
      <c r="P42" s="415"/>
    </row>
    <row r="43" spans="1:33" ht="15.75">
      <c r="B43" s="153"/>
      <c r="C43" s="366" t="s">
        <v>1742</v>
      </c>
      <c r="D43" s="2181">
        <v>20</v>
      </c>
      <c r="E43" s="415"/>
      <c r="F43" s="415"/>
      <c r="G43" s="415"/>
      <c r="H43" s="415"/>
      <c r="I43" s="415"/>
      <c r="J43" s="415"/>
      <c r="K43" s="415"/>
      <c r="L43" s="415"/>
      <c r="M43" s="415"/>
      <c r="N43" s="415"/>
      <c r="O43" s="415"/>
      <c r="P43" s="415"/>
    </row>
    <row r="44" spans="1:33" s="410" customFormat="1">
      <c r="A44" s="605"/>
      <c r="B44" s="155"/>
      <c r="C44" s="2182"/>
      <c r="D44" s="2182"/>
      <c r="E44" s="2182"/>
      <c r="F44" s="2182"/>
      <c r="G44" s="2182"/>
      <c r="H44" s="2182"/>
      <c r="I44" s="2182"/>
      <c r="J44" s="2182"/>
      <c r="K44" s="2182"/>
      <c r="L44" s="2182"/>
      <c r="M44" s="2182"/>
      <c r="N44" s="2182"/>
      <c r="O44" s="2182"/>
      <c r="P44" s="2182"/>
    </row>
    <row r="45" spans="1:33">
      <c r="A45" s="410"/>
      <c r="B45" s="239"/>
      <c r="C45" s="217" t="s">
        <v>94</v>
      </c>
      <c r="D45" s="219" t="s">
        <v>1743</v>
      </c>
      <c r="E45" s="203"/>
      <c r="F45" s="203"/>
      <c r="G45" s="203"/>
      <c r="H45" s="203"/>
      <c r="I45" s="203"/>
      <c r="J45" s="203"/>
      <c r="K45" s="203"/>
      <c r="L45" s="203"/>
      <c r="M45" s="203"/>
      <c r="N45" s="203"/>
      <c r="O45" s="203"/>
      <c r="P45" s="204"/>
    </row>
    <row r="46" spans="1:33" s="242" customFormat="1">
      <c r="A46" s="605"/>
      <c r="B46" s="239"/>
      <c r="C46" s="157"/>
      <c r="D46" s="157"/>
      <c r="E46" s="157"/>
      <c r="F46" s="157"/>
      <c r="G46" s="157"/>
      <c r="H46" s="157"/>
      <c r="I46" s="157"/>
      <c r="J46" s="157"/>
      <c r="K46" s="157"/>
      <c r="L46" s="157"/>
      <c r="M46" s="157"/>
      <c r="N46" s="157"/>
      <c r="O46" s="157"/>
      <c r="P46" s="158"/>
    </row>
    <row r="47" spans="1:33" s="51" customFormat="1" ht="15.75" customHeight="1">
      <c r="A47" s="242"/>
      <c r="B47" s="239"/>
      <c r="R47" s="708"/>
      <c r="S47" s="32"/>
      <c r="T47" s="32"/>
      <c r="U47" s="32"/>
      <c r="V47" s="32"/>
      <c r="W47" s="32"/>
      <c r="X47" s="32"/>
      <c r="Y47" s="32"/>
      <c r="Z47" s="32"/>
      <c r="AA47" s="32"/>
      <c r="AB47" s="32"/>
      <c r="AC47" s="32"/>
      <c r="AD47" s="32"/>
      <c r="AE47" s="32"/>
      <c r="AF47" s="32"/>
      <c r="AG47" s="32"/>
    </row>
    <row r="48" spans="1:33">
      <c r="B48" s="402"/>
      <c r="X48" s="35"/>
      <c r="Y48" s="35"/>
      <c r="Z48" s="242"/>
      <c r="AA48" s="242"/>
    </row>
    <row r="49" spans="1:27">
      <c r="B49" s="402"/>
      <c r="X49" s="35"/>
      <c r="Y49" s="35"/>
      <c r="Z49" s="242"/>
      <c r="AA49" s="242"/>
    </row>
    <row r="50" spans="1:27">
      <c r="B50" s="402"/>
      <c r="X50" s="35"/>
      <c r="Y50" s="35"/>
      <c r="Z50" s="242"/>
      <c r="AA50" s="242"/>
    </row>
    <row r="51" spans="1:27">
      <c r="B51" s="402"/>
      <c r="C51" s="605" t="s">
        <v>1744</v>
      </c>
      <c r="X51" s="242"/>
      <c r="Y51" s="242"/>
      <c r="Z51" s="242"/>
      <c r="AA51" s="242"/>
    </row>
    <row r="52" spans="1:27">
      <c r="B52" s="415"/>
    </row>
    <row r="53" spans="1:27">
      <c r="B53" s="242"/>
      <c r="C53" s="423" t="s">
        <v>1745</v>
      </c>
      <c r="E53" s="605" t="str">
        <f>preferences.energyunits</f>
        <v>TWh</v>
      </c>
      <c r="F53" s="73">
        <f ca="1">-VII.b.Inputs[2007]</f>
        <v>595.68681516482502</v>
      </c>
      <c r="G53" s="73">
        <f ca="1">-VII.b.Inputs[2012]</f>
        <v>798.39296177664801</v>
      </c>
      <c r="H53" s="73">
        <f ca="1">-VII.b.Inputs[2017]</f>
        <v>1142.8498773739643</v>
      </c>
      <c r="I53" s="73">
        <f ca="1">-VII.b.Inputs[2022]</f>
        <v>1640.0251055308779</v>
      </c>
      <c r="J53" s="73">
        <f ca="1">-VII.b.Inputs[2027]</f>
        <v>2290.662235710573</v>
      </c>
      <c r="K53" s="73">
        <f ca="1">-VII.b.Inputs[2032]</f>
        <v>3170.4883780648101</v>
      </c>
      <c r="L53" s="73">
        <f ca="1">-VII.b.Inputs[2037]</f>
        <v>3970.4133793283249</v>
      </c>
      <c r="M53" s="73">
        <f ca="1">-VII.b.Inputs[2042]</f>
        <v>4914.3042732371441</v>
      </c>
      <c r="N53" s="73">
        <f ca="1">-VII.b.Inputs[2047]</f>
        <v>5747.5586114860871</v>
      </c>
      <c r="O53" s="73">
        <f ca="1">-VII.b.Inputs[2052]</f>
        <v>6680.5573002001365</v>
      </c>
    </row>
    <row r="54" spans="1:27">
      <c r="C54" s="605" t="s">
        <v>1746</v>
      </c>
      <c r="F54" s="2183">
        <f>(1-F$27)</f>
        <v>0.75329999999999997</v>
      </c>
      <c r="G54" s="2183">
        <f t="shared" ref="G54:O54" si="4">(1-G$27)</f>
        <v>0.77310000000000001</v>
      </c>
      <c r="H54" s="2183">
        <f t="shared" si="4"/>
        <v>0.78498000000000001</v>
      </c>
      <c r="I54" s="2183">
        <f t="shared" si="4"/>
        <v>0.79459999999999997</v>
      </c>
      <c r="J54" s="2183">
        <f t="shared" si="4"/>
        <v>0.80420000000000003</v>
      </c>
      <c r="K54" s="2183">
        <f t="shared" si="4"/>
        <v>0.81291999999999998</v>
      </c>
      <c r="L54" s="2183">
        <f t="shared" si="4"/>
        <v>0.82096000000000002</v>
      </c>
      <c r="M54" s="2183">
        <f t="shared" si="4"/>
        <v>0.83389999999999997</v>
      </c>
      <c r="N54" s="2183">
        <f t="shared" si="4"/>
        <v>0.84055999999999997</v>
      </c>
      <c r="O54" s="2183">
        <f t="shared" si="4"/>
        <v>0.84482000000000002</v>
      </c>
    </row>
    <row r="55" spans="1:27" ht="15.75">
      <c r="B55" s="89"/>
      <c r="C55" s="88" t="s">
        <v>1747</v>
      </c>
      <c r="F55" s="73">
        <f ca="1">F53/F54</f>
        <v>790.76970020552903</v>
      </c>
      <c r="G55" s="73">
        <f t="shared" ref="G55:O55" ca="1" si="5">G53/G54</f>
        <v>1032.7162873841003</v>
      </c>
      <c r="H55" s="73">
        <f t="shared" ca="1" si="5"/>
        <v>1455.8968093122937</v>
      </c>
      <c r="I55" s="73">
        <f t="shared" ca="1" si="5"/>
        <v>2063.9631330617644</v>
      </c>
      <c r="J55" s="73">
        <f t="shared" ca="1" si="5"/>
        <v>2848.3738320201105</v>
      </c>
      <c r="K55" s="73">
        <f t="shared" ca="1" si="5"/>
        <v>3900.1234784047756</v>
      </c>
      <c r="L55" s="73">
        <f t="shared" ca="1" si="5"/>
        <v>4836.305519548242</v>
      </c>
      <c r="M55" s="73">
        <f t="shared" ca="1" si="5"/>
        <v>5893.1577805937695</v>
      </c>
      <c r="N55" s="73">
        <f t="shared" ca="1" si="5"/>
        <v>6837.7731648973149</v>
      </c>
      <c r="O55" s="73">
        <f t="shared" ca="1" si="5"/>
        <v>7907.6694446155825</v>
      </c>
    </row>
    <row r="56" spans="1:27">
      <c r="B56" s="423">
        <v>1</v>
      </c>
      <c r="C56" s="2184" t="s">
        <v>1748</v>
      </c>
      <c r="F56" s="91">
        <f>F$27</f>
        <v>0.2467</v>
      </c>
      <c r="G56" s="91">
        <f t="shared" ref="G56:P56" si="6">G$27</f>
        <v>0.22690000000000002</v>
      </c>
      <c r="H56" s="91">
        <f t="shared" si="6"/>
        <v>0.21502000000000002</v>
      </c>
      <c r="I56" s="91">
        <f t="shared" si="6"/>
        <v>0.2054</v>
      </c>
      <c r="J56" s="91">
        <f t="shared" si="6"/>
        <v>0.1958</v>
      </c>
      <c r="K56" s="91">
        <f t="shared" si="6"/>
        <v>0.18708</v>
      </c>
      <c r="L56" s="91">
        <f t="shared" si="6"/>
        <v>0.17903999999999998</v>
      </c>
      <c r="M56" s="91">
        <f t="shared" si="6"/>
        <v>0.1661</v>
      </c>
      <c r="N56" s="91">
        <f t="shared" si="6"/>
        <v>0.15944</v>
      </c>
      <c r="O56" s="91">
        <f t="shared" si="6"/>
        <v>0.15518000000000001</v>
      </c>
      <c r="P56" s="91">
        <f t="shared" si="6"/>
        <v>0</v>
      </c>
    </row>
    <row r="57" spans="1:27">
      <c r="C57" s="88" t="s">
        <v>1751</v>
      </c>
      <c r="F57" s="90">
        <f ca="1">F55*F56</f>
        <v>195.08288504070401</v>
      </c>
      <c r="G57" s="90">
        <f t="shared" ref="G57:O57" ca="1" si="7">G55*G56</f>
        <v>234.32332560745238</v>
      </c>
      <c r="H57" s="90">
        <f t="shared" ca="1" si="7"/>
        <v>313.04693193832941</v>
      </c>
      <c r="I57" s="90">
        <f t="shared" ca="1" si="7"/>
        <v>423.93802753088642</v>
      </c>
      <c r="J57" s="90">
        <f t="shared" ca="1" si="7"/>
        <v>557.71159630953764</v>
      </c>
      <c r="K57" s="90">
        <f t="shared" ca="1" si="7"/>
        <v>729.63510033996545</v>
      </c>
      <c r="L57" s="90">
        <f t="shared" ca="1" si="7"/>
        <v>865.89214021991711</v>
      </c>
      <c r="M57" s="90">
        <f t="shared" ca="1" si="7"/>
        <v>978.85350735662507</v>
      </c>
      <c r="N57" s="90">
        <f t="shared" ca="1" si="7"/>
        <v>1090.2145534112278</v>
      </c>
      <c r="O57" s="90">
        <f t="shared" ca="1" si="7"/>
        <v>1227.1121444154462</v>
      </c>
    </row>
    <row r="58" spans="1:27">
      <c r="F58" s="73"/>
    </row>
    <row r="59" spans="1:27" collapsed="1"/>
    <row r="60" spans="1:27" ht="22.5" customHeight="1">
      <c r="C60" s="2202" t="s">
        <v>202</v>
      </c>
      <c r="D60" s="175"/>
      <c r="E60" s="175"/>
      <c r="F60" s="175"/>
      <c r="G60" s="175"/>
      <c r="H60" s="175"/>
      <c r="I60" s="175"/>
      <c r="J60" s="175"/>
      <c r="K60" s="175"/>
      <c r="L60" s="175"/>
      <c r="M60" s="175"/>
      <c r="N60" s="175"/>
      <c r="O60" s="175"/>
      <c r="P60" s="177"/>
    </row>
    <row r="61" spans="1:27" ht="22.5">
      <c r="A61" s="420"/>
      <c r="C61" s="166"/>
      <c r="D61" s="166"/>
      <c r="E61" s="166"/>
      <c r="F61" s="166"/>
      <c r="G61" s="166"/>
      <c r="H61" s="166"/>
      <c r="I61" s="166"/>
      <c r="J61" s="166"/>
      <c r="K61" s="166"/>
      <c r="L61" s="166"/>
      <c r="M61" s="166"/>
      <c r="N61" s="166"/>
      <c r="O61" s="166"/>
      <c r="P61" s="168"/>
    </row>
    <row r="62" spans="1:27" ht="15.75" customHeight="1">
      <c r="C62" s="178" t="s">
        <v>239</v>
      </c>
      <c r="D62" s="166"/>
      <c r="E62" s="167"/>
      <c r="F62" s="166"/>
      <c r="G62" s="167"/>
      <c r="H62" s="166"/>
      <c r="I62" s="166"/>
      <c r="J62" s="166"/>
      <c r="K62" s="166"/>
      <c r="L62" s="166"/>
      <c r="M62" s="166"/>
      <c r="N62" s="166"/>
      <c r="O62" s="167" t="str">
        <f>preferences.energyunits</f>
        <v>TWh</v>
      </c>
      <c r="P62" s="168"/>
    </row>
    <row r="63" spans="1:27" ht="5.25" customHeight="1">
      <c r="C63" s="166"/>
      <c r="D63" s="166"/>
      <c r="E63" s="166"/>
      <c r="F63" s="166"/>
      <c r="G63" s="166"/>
      <c r="H63" s="166"/>
      <c r="I63" s="166"/>
      <c r="J63" s="166"/>
      <c r="K63" s="166"/>
      <c r="L63" s="166"/>
      <c r="M63" s="166"/>
      <c r="N63" s="166"/>
      <c r="O63" s="166"/>
      <c r="P63" s="168"/>
    </row>
    <row r="64" spans="1:27">
      <c r="C64" s="180" t="s">
        <v>64</v>
      </c>
      <c r="D64" s="180" t="s">
        <v>137</v>
      </c>
      <c r="E64" s="180" t="s">
        <v>156</v>
      </c>
      <c r="F64" s="2203" t="s">
        <v>203</v>
      </c>
      <c r="G64" s="2204" t="s">
        <v>712</v>
      </c>
      <c r="H64" s="2204" t="s">
        <v>713</v>
      </c>
      <c r="I64" s="2204" t="s">
        <v>714</v>
      </c>
      <c r="J64" s="2204" t="s">
        <v>715</v>
      </c>
      <c r="K64" s="2204" t="s">
        <v>716</v>
      </c>
      <c r="L64" s="2204" t="s">
        <v>717</v>
      </c>
      <c r="M64" s="2204" t="s">
        <v>718</v>
      </c>
      <c r="N64" s="2204" t="s">
        <v>719</v>
      </c>
      <c r="O64" s="2204" t="s">
        <v>720</v>
      </c>
      <c r="P64" s="168"/>
    </row>
    <row r="65" spans="1:16" ht="15.75">
      <c r="A65" s="3"/>
      <c r="B65" s="2196"/>
      <c r="C65" s="60" t="s">
        <v>34</v>
      </c>
      <c r="D65" s="60" t="str">
        <f>INDEX(Vectors[Description], MATCH([Vector], Vectors[Code], 0))</f>
        <v>Electricity (delivered to end user)</v>
      </c>
      <c r="E65" s="60"/>
      <c r="F65" s="129">
        <v>0</v>
      </c>
      <c r="G65" s="129">
        <v>0</v>
      </c>
      <c r="H65" s="129">
        <v>0</v>
      </c>
      <c r="I65" s="129">
        <v>0</v>
      </c>
      <c r="J65" s="129">
        <v>0</v>
      </c>
      <c r="K65" s="129">
        <v>0</v>
      </c>
      <c r="L65" s="129">
        <v>0</v>
      </c>
      <c r="M65" s="129">
        <v>0</v>
      </c>
      <c r="N65" s="129">
        <v>0</v>
      </c>
      <c r="O65" s="129">
        <v>0</v>
      </c>
      <c r="P65" s="168"/>
    </row>
    <row r="66" spans="1:16" ht="15.75">
      <c r="A66" s="3"/>
      <c r="B66" s="973"/>
      <c r="C66" s="60" t="s">
        <v>35</v>
      </c>
      <c r="D66" s="60" t="str">
        <f>INDEX(Vectors[Description], MATCH([Vector], Vectors[Code], 0))</f>
        <v>Electricity (supplied to grid)</v>
      </c>
      <c r="E66" s="60"/>
      <c r="F66" s="129">
        <f t="shared" ref="F66:O66" ca="1" si="8">-(F$55-F$53)</f>
        <v>-195.08288504070401</v>
      </c>
      <c r="G66" s="129">
        <f t="shared" ca="1" si="8"/>
        <v>-234.32332560745226</v>
      </c>
      <c r="H66" s="129">
        <f t="shared" ca="1" si="8"/>
        <v>-313.04693193832941</v>
      </c>
      <c r="I66" s="129">
        <f t="shared" ca="1" si="8"/>
        <v>-423.93802753088653</v>
      </c>
      <c r="J66" s="129">
        <f t="shared" ca="1" si="8"/>
        <v>-557.71159630953753</v>
      </c>
      <c r="K66" s="129">
        <f t="shared" ca="1" si="8"/>
        <v>-729.63510033996545</v>
      </c>
      <c r="L66" s="129">
        <f t="shared" ca="1" si="8"/>
        <v>-865.89214021991711</v>
      </c>
      <c r="M66" s="129">
        <f t="shared" ca="1" si="8"/>
        <v>-978.85350735662541</v>
      </c>
      <c r="N66" s="129">
        <f t="shared" ca="1" si="8"/>
        <v>-1090.2145534112278</v>
      </c>
      <c r="O66" s="129">
        <f t="shared" ca="1" si="8"/>
        <v>-1227.112144415446</v>
      </c>
      <c r="P66" s="168"/>
    </row>
    <row r="67" spans="1:16" ht="15.75">
      <c r="A67" s="3"/>
      <c r="B67" s="973"/>
      <c r="C67" s="60" t="s">
        <v>26</v>
      </c>
      <c r="D67" s="60" t="str">
        <f>INDEX(Vectors[Description], MATCH([Vector], Vectors[Code], 0))</f>
        <v>Distribution losses and own use</v>
      </c>
      <c r="E67" s="60"/>
      <c r="F67" s="129">
        <f t="shared" ref="F67:O67" ca="1" si="9">F$57</f>
        <v>195.08288504070401</v>
      </c>
      <c r="G67" s="129">
        <f t="shared" ca="1" si="9"/>
        <v>234.32332560745238</v>
      </c>
      <c r="H67" s="129">
        <f t="shared" ca="1" si="9"/>
        <v>313.04693193832941</v>
      </c>
      <c r="I67" s="129">
        <f t="shared" ca="1" si="9"/>
        <v>423.93802753088642</v>
      </c>
      <c r="J67" s="129">
        <f t="shared" ca="1" si="9"/>
        <v>557.71159630953764</v>
      </c>
      <c r="K67" s="129">
        <f t="shared" ca="1" si="9"/>
        <v>729.63510033996545</v>
      </c>
      <c r="L67" s="129">
        <f t="shared" ca="1" si="9"/>
        <v>865.89214021991711</v>
      </c>
      <c r="M67" s="129">
        <f t="shared" ca="1" si="9"/>
        <v>978.85350735662507</v>
      </c>
      <c r="N67" s="129">
        <f t="shared" ca="1" si="9"/>
        <v>1090.2145534112278</v>
      </c>
      <c r="O67" s="129">
        <f t="shared" ca="1" si="9"/>
        <v>1227.1121444154462</v>
      </c>
      <c r="P67" s="168"/>
    </row>
    <row r="68" spans="1:16" ht="15.75">
      <c r="A68" s="3"/>
      <c r="B68" s="973"/>
      <c r="C68" s="60" t="s">
        <v>103</v>
      </c>
      <c r="D68" s="60"/>
      <c r="E68" s="60"/>
      <c r="F68" s="231">
        <f ca="1">SUBTOTAL(109,[2007])</f>
        <v>0</v>
      </c>
      <c r="G68" s="231">
        <f ca="1">SUBTOTAL(109,[2012])</f>
        <v>0</v>
      </c>
      <c r="H68" s="231">
        <f ca="1">SUBTOTAL(109,[2017])</f>
        <v>0</v>
      </c>
      <c r="I68" s="231">
        <f ca="1">SUBTOTAL(109,[2022])</f>
        <v>0</v>
      </c>
      <c r="J68" s="231">
        <f ca="1">SUBTOTAL(109,[2027])</f>
        <v>0</v>
      </c>
      <c r="K68" s="231">
        <f ca="1">SUBTOTAL(109,[2032])</f>
        <v>0</v>
      </c>
      <c r="L68" s="231">
        <f ca="1">SUBTOTAL(109,[2037])</f>
        <v>0</v>
      </c>
      <c r="M68" s="231">
        <f ca="1">SUBTOTAL(109,[2042])</f>
        <v>0</v>
      </c>
      <c r="N68" s="231">
        <f ca="1">SUBTOTAL(109,[2047])</f>
        <v>0</v>
      </c>
      <c r="O68" s="231">
        <f ca="1">SUBTOTAL(109,[2052])</f>
        <v>0</v>
      </c>
      <c r="P68" s="168"/>
    </row>
    <row r="69" spans="1:16" ht="15.75">
      <c r="A69" s="3"/>
      <c r="B69" s="2197"/>
      <c r="C69" s="224"/>
      <c r="D69" s="225"/>
      <c r="E69" s="225"/>
      <c r="F69" s="225"/>
      <c r="G69" s="225"/>
      <c r="H69" s="225"/>
      <c r="I69" s="225"/>
      <c r="J69" s="225"/>
      <c r="K69" s="225"/>
      <c r="L69" s="225"/>
      <c r="M69" s="225"/>
      <c r="N69" s="225"/>
      <c r="O69" s="225"/>
      <c r="P69" s="173"/>
    </row>
    <row r="70" spans="1:16" ht="15.75">
      <c r="A70" s="3"/>
      <c r="B70" s="2197"/>
    </row>
    <row r="71" spans="1:16" ht="15.75">
      <c r="B71" s="2197"/>
      <c r="C71" s="346" t="s">
        <v>501</v>
      </c>
      <c r="D71" s="425"/>
      <c r="E71" s="425"/>
      <c r="F71" s="425"/>
      <c r="G71" s="425"/>
      <c r="H71" s="425"/>
      <c r="I71" s="425"/>
      <c r="J71" s="425"/>
      <c r="K71" s="425"/>
      <c r="L71" s="425"/>
      <c r="M71" s="425"/>
      <c r="N71" s="425"/>
      <c r="O71" s="425"/>
      <c r="P71" s="426"/>
    </row>
    <row r="72" spans="1:16" ht="15.75">
      <c r="B72" s="2197"/>
      <c r="C72" s="348"/>
      <c r="D72" s="348"/>
      <c r="E72" s="348"/>
      <c r="F72" s="348"/>
      <c r="G72" s="348"/>
      <c r="H72" s="348"/>
      <c r="I72" s="348"/>
      <c r="J72" s="348"/>
      <c r="K72" s="348"/>
      <c r="L72" s="348"/>
      <c r="M72" s="348"/>
      <c r="N72" s="348"/>
      <c r="O72" s="348"/>
      <c r="P72" s="349"/>
    </row>
    <row r="73" spans="1:16" ht="15.75">
      <c r="B73" s="2197"/>
      <c r="C73" s="350" t="s">
        <v>506</v>
      </c>
      <c r="D73" s="428"/>
      <c r="E73" s="351"/>
      <c r="F73" s="428"/>
      <c r="G73" s="351"/>
      <c r="H73" s="428"/>
      <c r="I73" s="428"/>
      <c r="J73" s="428"/>
      <c r="K73" s="428"/>
      <c r="L73" s="428"/>
      <c r="M73" s="428"/>
      <c r="N73" s="428"/>
      <c r="O73" s="351"/>
      <c r="P73" s="429"/>
    </row>
    <row r="74" spans="1:16" ht="15.75">
      <c r="B74" s="2198"/>
      <c r="C74" s="428"/>
      <c r="D74" s="428"/>
      <c r="E74" s="428"/>
      <c r="F74" s="428"/>
      <c r="G74" s="428"/>
      <c r="H74" s="428"/>
      <c r="I74" s="428"/>
      <c r="J74" s="428"/>
      <c r="K74" s="428"/>
      <c r="L74" s="428"/>
      <c r="M74" s="428"/>
      <c r="N74" s="428"/>
      <c r="O74" s="428"/>
      <c r="P74" s="429"/>
    </row>
    <row r="75" spans="1:16">
      <c r="B75" s="623"/>
      <c r="C75" s="431" t="s">
        <v>64</v>
      </c>
      <c r="D75" s="431" t="s">
        <v>502</v>
      </c>
      <c r="E75" s="431" t="s">
        <v>156</v>
      </c>
      <c r="F75" s="2203" t="s">
        <v>203</v>
      </c>
      <c r="G75" s="2204" t="s">
        <v>712</v>
      </c>
      <c r="H75" s="2204" t="s">
        <v>713</v>
      </c>
      <c r="I75" s="2204" t="s">
        <v>714</v>
      </c>
      <c r="J75" s="2204" t="s">
        <v>715</v>
      </c>
      <c r="K75" s="2204" t="s">
        <v>716</v>
      </c>
      <c r="L75" s="2204" t="s">
        <v>717</v>
      </c>
      <c r="M75" s="2204" t="s">
        <v>718</v>
      </c>
      <c r="N75" s="2204" t="s">
        <v>719</v>
      </c>
      <c r="O75" s="2204" t="s">
        <v>720</v>
      </c>
      <c r="P75" s="429"/>
    </row>
    <row r="76" spans="1:16" ht="15.75">
      <c r="B76" s="2196"/>
      <c r="C76" s="432"/>
      <c r="D76" s="433"/>
      <c r="E76" s="433"/>
      <c r="F76" s="354"/>
      <c r="G76" s="354"/>
      <c r="H76" s="354"/>
      <c r="I76" s="354"/>
      <c r="J76" s="354"/>
      <c r="K76" s="354"/>
      <c r="L76" s="354"/>
      <c r="M76" s="354"/>
      <c r="N76" s="354"/>
      <c r="O76" s="354"/>
      <c r="P76" s="429"/>
    </row>
    <row r="77" spans="1:16">
      <c r="B77" s="2199"/>
      <c r="C77" s="432"/>
      <c r="D77" s="433"/>
      <c r="E77" s="433"/>
      <c r="F77" s="354"/>
      <c r="G77" s="354"/>
      <c r="H77" s="354"/>
      <c r="I77" s="354"/>
      <c r="J77" s="354"/>
      <c r="K77" s="354"/>
      <c r="L77" s="354"/>
      <c r="M77" s="354"/>
      <c r="N77" s="354"/>
      <c r="O77" s="354"/>
      <c r="P77" s="429"/>
    </row>
    <row r="78" spans="1:16">
      <c r="B78" s="973"/>
      <c r="C78" s="434"/>
      <c r="D78" s="434"/>
      <c r="E78" s="434"/>
      <c r="F78" s="434"/>
      <c r="G78" s="434"/>
      <c r="H78" s="434"/>
      <c r="I78" s="434"/>
      <c r="J78" s="434"/>
      <c r="K78" s="434"/>
      <c r="L78" s="434"/>
      <c r="M78" s="434"/>
      <c r="N78" s="434"/>
      <c r="O78" s="434"/>
      <c r="P78" s="352"/>
    </row>
    <row r="79" spans="1:16">
      <c r="B79" s="973"/>
    </row>
    <row r="80" spans="1:16" ht="15.75">
      <c r="B80" s="2197"/>
    </row>
    <row r="81" spans="2:2" ht="14.25">
      <c r="B81" s="2200"/>
    </row>
    <row r="82" spans="2:2" ht="14.25">
      <c r="B82" s="2200"/>
    </row>
    <row r="83" spans="2:2" ht="14.25">
      <c r="B83" s="2200"/>
    </row>
    <row r="84" spans="2:2" ht="14.25">
      <c r="B84" s="2201"/>
    </row>
    <row r="198" spans="19:21">
      <c r="S198" s="624"/>
      <c r="T198" s="624"/>
      <c r="U198" s="624"/>
    </row>
  </sheetData>
  <pageMargins left="0.7" right="0.7" top="0.75" bottom="0.75" header="0.3" footer="0.3"/>
  <pageSetup paperSize="9" orientation="portrait"/>
  <tableParts count="3">
    <tablePart r:id="rId1"/>
    <tablePart r:id="rId2"/>
    <tablePart r:id="rId3"/>
  </tableParts>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sheetPr>
    <tabColor theme="9"/>
    <outlinePr summaryBelow="0"/>
    <pageSetUpPr autoPageBreaks="0"/>
  </sheetPr>
  <dimension ref="A1:BC194"/>
  <sheetViews>
    <sheetView showGridLines="0" zoomScale="85" zoomScaleNormal="85" zoomScalePageLayoutView="85" workbookViewId="0">
      <selection activeCell="D22" sqref="D22"/>
    </sheetView>
  </sheetViews>
  <sheetFormatPr defaultColWidth="8.85546875" defaultRowHeight="12.75"/>
  <cols>
    <col min="1" max="1" width="7.7109375" style="19" customWidth="1"/>
    <col min="2" max="2" width="9.85546875" style="19" customWidth="1"/>
    <col min="3" max="3" width="20.42578125" style="19" customWidth="1"/>
    <col min="4" max="4" width="30.7109375" style="19" customWidth="1"/>
    <col min="5" max="5" width="20.7109375" style="19" customWidth="1"/>
    <col min="6" max="6" width="21.42578125" style="19" customWidth="1"/>
    <col min="7" max="7" width="19.42578125" style="19" customWidth="1"/>
    <col min="8" max="8" width="20.42578125" style="19" customWidth="1"/>
    <col min="9" max="9" width="20.28515625" style="19" customWidth="1"/>
    <col min="10" max="11" width="22.140625" style="19" customWidth="1"/>
    <col min="12" max="12" width="23.140625" style="19" customWidth="1"/>
    <col min="13" max="13" width="22.140625" style="19" customWidth="1"/>
    <col min="14" max="14" width="22.28515625" style="19" customWidth="1"/>
    <col min="15" max="15" width="17.7109375" style="19" customWidth="1"/>
    <col min="16" max="16" width="10.7109375" style="19" customWidth="1"/>
    <col min="17" max="17" width="10.85546875" style="19" customWidth="1"/>
    <col min="18" max="18" width="11.7109375" style="19" customWidth="1"/>
    <col min="19" max="19" width="10.140625" style="19" customWidth="1"/>
    <col min="20" max="20" width="10.140625" style="19" hidden="1" customWidth="1"/>
    <col min="21" max="21" width="11" style="19" hidden="1" customWidth="1"/>
    <col min="22" max="23" width="9.7109375" style="19" hidden="1" customWidth="1"/>
    <col min="24" max="24" width="9.7109375" style="19" customWidth="1"/>
    <col min="25" max="32" width="8.85546875" style="19"/>
    <col min="33" max="33" width="11.140625" style="19" customWidth="1"/>
    <col min="34" max="34" width="12.42578125" style="19" customWidth="1"/>
    <col min="35" max="35" width="13.28515625" style="19" customWidth="1"/>
    <col min="36" max="37" width="10" style="19" bestFit="1" customWidth="1"/>
    <col min="38" max="38" width="14.140625" style="19" customWidth="1"/>
    <col min="39" max="39" width="11.42578125" style="19" customWidth="1"/>
    <col min="40" max="46" width="10" style="19" bestFit="1" customWidth="1"/>
    <col min="47" max="16384" width="8.85546875" style="19"/>
  </cols>
  <sheetData>
    <row r="1" spans="1:21" ht="20.25">
      <c r="A1" s="1415" t="s">
        <v>195</v>
      </c>
      <c r="B1" s="1415" t="str">
        <f>INDEX(Workstreams[Workstream], MATCH($A1, Workstreams[Code], 0))</f>
        <v>Buildings</v>
      </c>
      <c r="C1" s="1415"/>
    </row>
    <row r="2" spans="1:21" s="17" customFormat="1" ht="19.5" customHeight="1">
      <c r="A2" s="53" t="s">
        <v>195</v>
      </c>
      <c r="B2" s="1415" t="str">
        <f>INDEX(Workstreams[Workstream], MATCH($A2, Workstreams[Code], 0))</f>
        <v>Buildings</v>
      </c>
      <c r="C2" s="53"/>
      <c r="E2" s="404"/>
    </row>
    <row r="4" spans="1:21" ht="22.5" collapsed="1">
      <c r="A4" s="420"/>
      <c r="B4" s="1438" t="s">
        <v>412</v>
      </c>
      <c r="C4" s="1439"/>
      <c r="D4" s="1439"/>
      <c r="E4" s="1439"/>
      <c r="F4" s="1439"/>
      <c r="G4" s="1439"/>
      <c r="H4" s="1439"/>
      <c r="I4" s="1439"/>
      <c r="J4" s="1439"/>
      <c r="K4" s="1439"/>
      <c r="L4" s="1439"/>
      <c r="M4" s="1439"/>
      <c r="N4" s="1439"/>
      <c r="O4" s="1439"/>
      <c r="P4" s="1440"/>
    </row>
    <row r="5" spans="1:21">
      <c r="B5" s="1441"/>
      <c r="C5" s="165"/>
      <c r="D5" s="165"/>
      <c r="E5" s="165"/>
      <c r="F5" s="165"/>
      <c r="G5" s="165"/>
      <c r="H5" s="165"/>
      <c r="I5" s="165"/>
      <c r="J5" s="165"/>
      <c r="K5" s="165"/>
      <c r="L5" s="165"/>
      <c r="M5" s="165"/>
      <c r="N5" s="165"/>
      <c r="O5" s="165"/>
      <c r="P5" s="1442"/>
    </row>
    <row r="6" spans="1:21" ht="5.25" customHeight="1">
      <c r="B6" s="1441"/>
      <c r="C6" s="165"/>
      <c r="D6" s="165"/>
      <c r="E6" s="1443"/>
      <c r="F6" s="165"/>
      <c r="G6" s="165"/>
      <c r="H6" s="165"/>
      <c r="I6" s="165"/>
      <c r="J6" s="165"/>
      <c r="K6" s="165"/>
      <c r="L6" s="165"/>
      <c r="M6" s="165"/>
      <c r="N6" s="165"/>
      <c r="O6" s="165"/>
      <c r="P6" s="1442"/>
    </row>
    <row r="7" spans="1:21" ht="15.75">
      <c r="B7" s="169"/>
      <c r="C7" s="165"/>
      <c r="D7" s="118" t="s">
        <v>274</v>
      </c>
      <c r="E7" s="118" t="s">
        <v>411</v>
      </c>
      <c r="F7" s="165"/>
      <c r="G7" s="165"/>
      <c r="H7" s="165"/>
      <c r="I7" s="165"/>
      <c r="J7" s="165"/>
      <c r="K7" s="165"/>
      <c r="L7" s="165"/>
      <c r="M7" s="165"/>
      <c r="N7" s="165"/>
      <c r="O7" s="165"/>
      <c r="P7" s="1442"/>
    </row>
    <row r="8" spans="1:21" ht="15.75">
      <c r="B8" s="169"/>
      <c r="C8" s="165"/>
      <c r="D8" s="60" t="s">
        <v>1931</v>
      </c>
      <c r="E8" s="128">
        <f>IX.scenario.households</f>
        <v>1</v>
      </c>
      <c r="F8" s="165"/>
      <c r="G8" s="165"/>
      <c r="H8" s="165"/>
      <c r="I8" s="165"/>
      <c r="J8" s="165"/>
      <c r="K8" s="165"/>
      <c r="L8" s="165"/>
      <c r="M8" s="165"/>
      <c r="N8" s="165"/>
      <c r="O8" s="165"/>
      <c r="P8" s="1442"/>
    </row>
    <row r="9" spans="1:21" ht="15.75">
      <c r="B9" s="179"/>
      <c r="C9" s="128"/>
      <c r="D9" s="60" t="s">
        <v>1932</v>
      </c>
      <c r="E9" s="128">
        <f>IX.scenario.commercial</f>
        <v>1</v>
      </c>
      <c r="F9" s="129"/>
      <c r="G9" s="128"/>
      <c r="H9" s="128"/>
      <c r="I9" s="128"/>
      <c r="J9" s="128"/>
      <c r="K9" s="128"/>
      <c r="L9" s="128"/>
      <c r="M9" s="128"/>
      <c r="N9" s="128"/>
      <c r="O9" s="128"/>
      <c r="P9" s="1444"/>
    </row>
    <row r="11" spans="1:21" s="17" customFormat="1" ht="22.5">
      <c r="A11" s="162"/>
      <c r="B11" s="1445" t="s">
        <v>413</v>
      </c>
      <c r="C11" s="1446"/>
      <c r="D11" s="1446"/>
      <c r="E11" s="1446"/>
      <c r="F11" s="1446"/>
      <c r="G11" s="1446"/>
      <c r="H11" s="1446"/>
      <c r="I11" s="1446"/>
      <c r="J11" s="1446"/>
      <c r="K11" s="1446"/>
      <c r="L11" s="1446"/>
      <c r="M11" s="1446"/>
      <c r="N11" s="1446"/>
      <c r="O11" s="1446"/>
      <c r="P11" s="1446"/>
      <c r="Q11" s="1446"/>
      <c r="R11" s="1447"/>
      <c r="S11" s="1446"/>
      <c r="T11" s="1447"/>
      <c r="U11" s="1448"/>
    </row>
    <row r="12" spans="1:21">
      <c r="B12" s="155"/>
      <c r="C12" s="239"/>
      <c r="D12" s="239"/>
      <c r="E12" s="239"/>
      <c r="F12" s="239"/>
      <c r="G12" s="239"/>
      <c r="H12" s="239"/>
      <c r="I12" s="239"/>
      <c r="J12" s="239"/>
      <c r="K12" s="239"/>
      <c r="L12" s="239"/>
      <c r="M12" s="239"/>
      <c r="N12" s="239"/>
      <c r="O12" s="239"/>
      <c r="P12" s="239"/>
      <c r="Q12" s="239"/>
      <c r="R12" s="239"/>
      <c r="S12" s="402"/>
      <c r="T12" s="239"/>
      <c r="U12" s="1417"/>
    </row>
    <row r="13" spans="1:21">
      <c r="B13" s="155"/>
      <c r="C13" s="416" t="s">
        <v>1286</v>
      </c>
      <c r="D13" s="239"/>
      <c r="E13" s="1449"/>
      <c r="F13" s="239"/>
      <c r="G13" s="239">
        <f>Unit.TWh</f>
        <v>1</v>
      </c>
      <c r="H13" s="239"/>
      <c r="I13" s="239"/>
      <c r="J13" s="239"/>
      <c r="K13" s="239"/>
      <c r="L13" s="239"/>
      <c r="M13" s="239"/>
      <c r="N13" s="239"/>
      <c r="O13" s="1449" t="str">
        <f>preferences.energyunits&amp;"/Year"</f>
        <v>TWh/Year</v>
      </c>
      <c r="P13" s="239"/>
      <c r="Q13" s="239"/>
      <c r="R13" s="239"/>
      <c r="S13" s="402"/>
      <c r="T13" s="239"/>
      <c r="U13" s="1417"/>
    </row>
    <row r="14" spans="1:21" ht="5.25" customHeight="1">
      <c r="B14" s="155"/>
      <c r="C14" s="239"/>
      <c r="D14" s="239"/>
      <c r="E14" s="239"/>
      <c r="F14" s="239"/>
      <c r="G14" s="239"/>
      <c r="H14" s="239"/>
      <c r="I14" s="239"/>
      <c r="J14" s="239"/>
      <c r="K14" s="239"/>
      <c r="L14" s="239"/>
      <c r="M14" s="239"/>
      <c r="N14" s="239"/>
      <c r="O14" s="239"/>
      <c r="P14" s="239"/>
      <c r="Q14" s="239"/>
      <c r="R14" s="239"/>
      <c r="S14" s="239"/>
      <c r="T14" s="239"/>
      <c r="U14" s="1417"/>
    </row>
    <row r="15" spans="1:21">
      <c r="B15" s="155"/>
      <c r="C15" s="1450" t="s">
        <v>411</v>
      </c>
      <c r="D15" s="1450" t="s">
        <v>66</v>
      </c>
      <c r="E15" s="1450" t="s">
        <v>156</v>
      </c>
      <c r="F15" s="1451">
        <v>2007</v>
      </c>
      <c r="G15" s="1452">
        <f>F15+5</f>
        <v>2012</v>
      </c>
      <c r="H15" s="1452">
        <f t="shared" ref="H15:O15" si="0">G15+5</f>
        <v>2017</v>
      </c>
      <c r="I15" s="1452">
        <f t="shared" si="0"/>
        <v>2022</v>
      </c>
      <c r="J15" s="1452">
        <f t="shared" si="0"/>
        <v>2027</v>
      </c>
      <c r="K15" s="1452">
        <f t="shared" si="0"/>
        <v>2032</v>
      </c>
      <c r="L15" s="1452">
        <f t="shared" si="0"/>
        <v>2037</v>
      </c>
      <c r="M15" s="1452">
        <f t="shared" si="0"/>
        <v>2042</v>
      </c>
      <c r="N15" s="1452">
        <f t="shared" si="0"/>
        <v>2047</v>
      </c>
      <c r="O15" s="1452">
        <f t="shared" si="0"/>
        <v>2052</v>
      </c>
      <c r="P15" s="239"/>
      <c r="Q15" s="455"/>
      <c r="R15" s="455"/>
      <c r="S15" s="455"/>
      <c r="T15" s="455"/>
      <c r="U15" s="1417"/>
    </row>
    <row r="16" spans="1:21" s="1475" customFormat="1" ht="15.75">
      <c r="B16" s="2627"/>
      <c r="C16" s="2926">
        <v>1</v>
      </c>
      <c r="D16" s="2927"/>
      <c r="E16" s="2927"/>
      <c r="F16" s="2928">
        <f>104.815383969057*(Unit.TWh)</f>
        <v>104.815383969057</v>
      </c>
      <c r="G16" s="2928">
        <f>181.357276936919*(Unit.TWh)</f>
        <v>181.35727693691899</v>
      </c>
      <c r="H16" s="2928">
        <f>314.173564677564*(Unit.TWh)</f>
        <v>314.173564677564</v>
      </c>
      <c r="I16" s="2928">
        <f>544.96214444799*(Unit.TWh)</f>
        <v>544.96214444799</v>
      </c>
      <c r="J16" s="2928">
        <f>946.584035856228*(Unit.TWh)</f>
        <v>946.58403585622796</v>
      </c>
      <c r="K16" s="2928">
        <f>1646.55892714705*(Unit.TWh)</f>
        <v>1646.5589271470501</v>
      </c>
      <c r="L16" s="2928">
        <f>2868.6273916095*(Unit.TWh)</f>
        <v>2868.6273916095001</v>
      </c>
      <c r="M16" s="2928">
        <f>5005.69273567187*(Unit.TWh)</f>
        <v>5005.6927356718697</v>
      </c>
      <c r="N16" s="2928">
        <f>8749.39819807007*(Unit.TWh)</f>
        <v>8749.3981980700701</v>
      </c>
      <c r="O16" s="2928">
        <f>15319.5404886318*(Unit.TWh)</f>
        <v>15319.540488631799</v>
      </c>
      <c r="P16" s="536"/>
      <c r="Q16" s="1469"/>
      <c r="R16" s="1469"/>
      <c r="S16" s="1469"/>
      <c r="T16" s="1469"/>
      <c r="U16" s="2776"/>
    </row>
    <row r="17" spans="2:21" s="1475" customFormat="1" ht="15.75">
      <c r="B17" s="2627"/>
      <c r="C17" s="2926">
        <v>2</v>
      </c>
      <c r="D17" s="2927"/>
      <c r="E17" s="2927"/>
      <c r="F17" s="2928">
        <f>104.815383969057*(Unit.TWh)</f>
        <v>104.815383969057</v>
      </c>
      <c r="G17" s="2928">
        <f>181.357276936919*(Unit.TWh)</f>
        <v>181.35727693691899</v>
      </c>
      <c r="H17" s="2928">
        <f>310.786028373101*(Unit.TWh)</f>
        <v>310.78602837310098</v>
      </c>
      <c r="I17" s="2928">
        <f>536.82455552074*(Unit.TWh)</f>
        <v>536.82455552073998</v>
      </c>
      <c r="J17" s="2928">
        <f>927.004115922832*(Unit.TWh)</f>
        <v>927.00411592283206</v>
      </c>
      <c r="K17" s="2928">
        <f>1596.15092516016*(Unit.TWh)</f>
        <v>1596.1509251601601</v>
      </c>
      <c r="L17" s="2928">
        <f>2780.81612407763*(Unit.TWh)</f>
        <v>2780.8161240776299</v>
      </c>
      <c r="M17" s="2928">
        <f>4852.48098951304*(Unit.TWh)</f>
        <v>4852.4809895130402</v>
      </c>
      <c r="N17" s="2928">
        <f>8481.63199390415*(Unit.TWh)</f>
        <v>8481.6319939041496</v>
      </c>
      <c r="O17" s="2928">
        <f>14850.7583573057*(Unit.TWh)</f>
        <v>14850.7583573057</v>
      </c>
      <c r="P17" s="536"/>
      <c r="Q17" s="2777"/>
      <c r="R17" s="2777"/>
      <c r="S17" s="2777"/>
      <c r="T17" s="2777"/>
      <c r="U17" s="2776"/>
    </row>
    <row r="18" spans="2:21" s="1475" customFormat="1" ht="15.75">
      <c r="B18" s="2627"/>
      <c r="C18" s="2926">
        <v>3</v>
      </c>
      <c r="D18" s="2927"/>
      <c r="E18" s="2927"/>
      <c r="F18" s="2928">
        <f>104.815383969057*(Unit.TWh)</f>
        <v>104.815383969057</v>
      </c>
      <c r="G18" s="2928">
        <f>181.357276936919*(Unit.TWh)</f>
        <v>181.35727693691899</v>
      </c>
      <c r="H18" s="2928">
        <f>310.459166955731*(Unit.TWh)</f>
        <v>310.45916695573101</v>
      </c>
      <c r="I18" s="2928">
        <f>535.15315324951*(Unit.TWh)</f>
        <v>535.15315324950996</v>
      </c>
      <c r="J18" s="2928">
        <f>920.63367157037*(Unit.TWh)</f>
        <v>920.63367157036998</v>
      </c>
      <c r="K18" s="2928">
        <f>1571.63111399162*(Unit.TWh)</f>
        <v>1571.6311139916199</v>
      </c>
      <c r="L18" s="2928">
        <f>2738.0831786395*(Unit.TWh)</f>
        <v>2738.0831786395001</v>
      </c>
      <c r="M18" s="2928">
        <f>4777.88619463884*(Unit.TWh)</f>
        <v>4777.8861946388397</v>
      </c>
      <c r="N18" s="2928">
        <f>8351.19981448867*(Unit.TWh)</f>
        <v>8351.1998144886693</v>
      </c>
      <c r="O18" s="2928">
        <f>14622.2927534561*(Unit.TWh)</f>
        <v>14622.2927534561</v>
      </c>
      <c r="P18" s="536"/>
      <c r="Q18" s="2777"/>
      <c r="R18" s="2777"/>
      <c r="S18" s="2777"/>
      <c r="T18" s="2777"/>
      <c r="U18" s="2776"/>
    </row>
    <row r="19" spans="2:21" s="1475" customFormat="1" ht="15.75">
      <c r="B19" s="2627"/>
      <c r="C19" s="2929">
        <v>4</v>
      </c>
      <c r="D19" s="2930"/>
      <c r="E19" s="2930"/>
      <c r="F19" s="2928">
        <f>104.815383969057*(Unit.TWh)</f>
        <v>104.815383969057</v>
      </c>
      <c r="G19" s="2928">
        <f>181.357276936919*(Unit.TWh)</f>
        <v>181.35727693691899</v>
      </c>
      <c r="H19" s="2928">
        <f>309.911600744804*(Unit.TWh)</f>
        <v>309.91160074480399</v>
      </c>
      <c r="I19" s="2928">
        <f>531.646071998397*(Unit.TWh)</f>
        <v>531.64607199839702</v>
      </c>
      <c r="J19" s="2928">
        <f>904.208091238577*(Unit.TWh)</f>
        <v>904.20809123857703</v>
      </c>
      <c r="K19" s="2928">
        <f>1497.66777353945*(Unit.TWh)</f>
        <v>1497.6677735394501</v>
      </c>
      <c r="L19" s="2928">
        <f>2603.60388364904*(Unit.TWh)</f>
        <v>2603.6038836490402</v>
      </c>
      <c r="M19" s="2928">
        <f>4543.18676731447*(Unit.TWh)</f>
        <v>4543.1867673144698</v>
      </c>
      <c r="N19" s="2928">
        <f>7923.6257940887*(Unit.TWh)</f>
        <v>7923.6257940886999</v>
      </c>
      <c r="O19" s="2928">
        <f>13873.3990629976*(Unit.TWh)</f>
        <v>13873.3990629976</v>
      </c>
      <c r="P19" s="536"/>
      <c r="Q19" s="2777"/>
      <c r="R19" s="2777"/>
      <c r="S19" s="2777"/>
      <c r="T19" s="2777"/>
      <c r="U19" s="2776"/>
    </row>
    <row r="20" spans="2:21" ht="15.75">
      <c r="B20" s="152"/>
      <c r="C20" s="2931" t="s">
        <v>406</v>
      </c>
      <c r="D20" s="2932"/>
      <c r="E20" s="2932"/>
      <c r="F20" s="2933">
        <f>(INDEX(F$16:F$19,ROUNDDOWN($E$9,0))*(1-MOD($E$9,1)))+(INDEX(F$16:F$19,ROUNDUP($E$9,0))*MOD($E$9,1))</f>
        <v>104.815383969057</v>
      </c>
      <c r="G20" s="2933">
        <f t="shared" ref="G20:O20" si="1">(INDEX(G$16:G$19,ROUNDDOWN($E$9,0))*(1-MOD($E$9,1)))+(INDEX(G$16:G$19,ROUNDUP($E$9,0))*MOD($E$9,1))</f>
        <v>181.35727693691899</v>
      </c>
      <c r="H20" s="2933">
        <f t="shared" si="1"/>
        <v>314.173564677564</v>
      </c>
      <c r="I20" s="2933">
        <f t="shared" si="1"/>
        <v>544.96214444799</v>
      </c>
      <c r="J20" s="2933">
        <f t="shared" si="1"/>
        <v>946.58403585622796</v>
      </c>
      <c r="K20" s="2933">
        <f t="shared" si="1"/>
        <v>1646.5589271470501</v>
      </c>
      <c r="L20" s="2933">
        <f t="shared" si="1"/>
        <v>2868.6273916095001</v>
      </c>
      <c r="M20" s="2933">
        <f t="shared" si="1"/>
        <v>5005.6927356718697</v>
      </c>
      <c r="N20" s="2933">
        <f t="shared" si="1"/>
        <v>8749.3981980700701</v>
      </c>
      <c r="O20" s="2933">
        <f t="shared" si="1"/>
        <v>15319.540488631799</v>
      </c>
      <c r="P20" s="239"/>
      <c r="Q20" s="137"/>
      <c r="R20" s="137"/>
      <c r="S20" s="137"/>
      <c r="T20" s="137"/>
      <c r="U20" s="1417"/>
    </row>
    <row r="21" spans="2:21" ht="15.75">
      <c r="B21" s="152"/>
      <c r="C21" s="2934"/>
      <c r="D21" s="2935"/>
      <c r="E21" s="2935"/>
      <c r="F21" s="2936"/>
      <c r="G21" s="2937"/>
      <c r="H21" s="2937"/>
      <c r="I21" s="2937"/>
      <c r="J21" s="2937"/>
      <c r="K21" s="2937"/>
      <c r="L21" s="2937"/>
      <c r="M21" s="2937"/>
      <c r="N21" s="2937"/>
      <c r="O21" s="2937"/>
      <c r="P21" s="239"/>
      <c r="Q21" s="137"/>
      <c r="R21" s="137"/>
      <c r="S21" s="137"/>
      <c r="T21" s="137"/>
      <c r="U21" s="1417"/>
    </row>
    <row r="22" spans="2:21" ht="15.75">
      <c r="B22" s="152"/>
      <c r="C22" s="1884" t="s">
        <v>1287</v>
      </c>
      <c r="D22" s="2938"/>
      <c r="E22" s="2939"/>
      <c r="F22" s="2938"/>
      <c r="G22" s="2938"/>
      <c r="H22" s="2938"/>
      <c r="I22" s="2938"/>
      <c r="J22" s="2938"/>
      <c r="K22" s="2938"/>
      <c r="L22" s="2938"/>
      <c r="M22" s="2938"/>
      <c r="N22" s="2938"/>
      <c r="O22" s="2939" t="str">
        <f>preferences.energyunits&amp;"/Year"</f>
        <v>TWh/Year</v>
      </c>
      <c r="P22" s="239"/>
      <c r="Q22" s="137"/>
      <c r="R22" s="137"/>
      <c r="S22" s="137"/>
      <c r="T22" s="137"/>
      <c r="U22" s="1417"/>
    </row>
    <row r="23" spans="2:21" ht="5.25" customHeight="1">
      <c r="B23" s="152"/>
      <c r="C23" s="2938"/>
      <c r="D23" s="2938"/>
      <c r="E23" s="2938"/>
      <c r="F23" s="2938"/>
      <c r="G23" s="2938"/>
      <c r="H23" s="2938"/>
      <c r="I23" s="2938"/>
      <c r="J23" s="2938"/>
      <c r="K23" s="2938"/>
      <c r="L23" s="2938"/>
      <c r="M23" s="2938"/>
      <c r="N23" s="2938"/>
      <c r="O23" s="2938"/>
      <c r="P23" s="239"/>
      <c r="Q23" s="239"/>
      <c r="R23" s="239"/>
      <c r="S23" s="239"/>
      <c r="T23" s="239"/>
      <c r="U23" s="1417"/>
    </row>
    <row r="24" spans="2:21" ht="15.75">
      <c r="B24" s="152"/>
      <c r="C24" s="2940" t="s">
        <v>411</v>
      </c>
      <c r="D24" s="2940" t="s">
        <v>66</v>
      </c>
      <c r="E24" s="2940" t="s">
        <v>156</v>
      </c>
      <c r="F24" s="2941">
        <v>2007</v>
      </c>
      <c r="G24" s="2942">
        <f t="shared" ref="G24:O24" si="2">F24+5</f>
        <v>2012</v>
      </c>
      <c r="H24" s="2942">
        <f t="shared" si="2"/>
        <v>2017</v>
      </c>
      <c r="I24" s="2942">
        <f t="shared" si="2"/>
        <v>2022</v>
      </c>
      <c r="J24" s="2942">
        <f t="shared" si="2"/>
        <v>2027</v>
      </c>
      <c r="K24" s="2942">
        <f t="shared" si="2"/>
        <v>2032</v>
      </c>
      <c r="L24" s="2942">
        <f t="shared" si="2"/>
        <v>2037</v>
      </c>
      <c r="M24" s="2942">
        <f t="shared" si="2"/>
        <v>2042</v>
      </c>
      <c r="N24" s="2942">
        <f t="shared" si="2"/>
        <v>2047</v>
      </c>
      <c r="O24" s="2942">
        <f t="shared" si="2"/>
        <v>2052</v>
      </c>
      <c r="P24" s="239"/>
      <c r="Q24" s="455"/>
      <c r="R24" s="455"/>
      <c r="S24" s="455"/>
      <c r="T24" s="455"/>
      <c r="U24" s="1417"/>
    </row>
    <row r="25" spans="2:21" s="1475" customFormat="1" ht="15.75">
      <c r="B25" s="2627"/>
      <c r="C25" s="2926">
        <v>1</v>
      </c>
      <c r="D25" s="2927"/>
      <c r="E25" s="2927"/>
      <c r="F25" s="2928">
        <f>70.1205366645*(Unit.TWh)</f>
        <v>70.120536664499994</v>
      </c>
      <c r="G25" s="2928">
        <f>113.027389505495*(Unit.TWh)</f>
        <v>113.02738950549499</v>
      </c>
      <c r="H25" s="2928">
        <f>182.189004621446*(Unit.TWh)</f>
        <v>182.189004621446</v>
      </c>
      <c r="I25" s="2928">
        <f>293.670707163766*(Unit.TWh)</f>
        <v>293.670707163766</v>
      </c>
      <c r="J25" s="2928">
        <f>473.368216843065*(Unit.TWh)</f>
        <v>473.368216843065</v>
      </c>
      <c r="K25" s="2928">
        <f>763.022879882348*(Unit.TWh)</f>
        <v>763.02287988234798</v>
      </c>
      <c r="L25" s="2928">
        <f>1229.91762967679*(Unit.TWh)</f>
        <v>1229.9176296767901</v>
      </c>
      <c r="M25" s="2928">
        <f>1982.50591911874*(Unit.TWh)</f>
        <v>1982.5059191187399</v>
      </c>
      <c r="N25" s="2928">
        <f>3195.60401811109*(Unit.TWh)</f>
        <v>3195.6040181110902</v>
      </c>
      <c r="O25" s="2928">
        <f>5150.99851258308*(Unit.TWh)</f>
        <v>5150.9985125830799</v>
      </c>
      <c r="P25" s="536"/>
      <c r="Q25" s="1469"/>
      <c r="R25" s="1469"/>
      <c r="S25" s="1469"/>
      <c r="T25" s="1469"/>
      <c r="U25" s="2776"/>
    </row>
    <row r="26" spans="2:21" s="1475" customFormat="1" ht="15.75">
      <c r="B26" s="2627"/>
      <c r="C26" s="2926">
        <v>2</v>
      </c>
      <c r="D26" s="2927"/>
      <c r="E26" s="2927"/>
      <c r="F26" s="2928">
        <f>70.1205366645*(Unit.TWh)</f>
        <v>70.120536664499994</v>
      </c>
      <c r="G26" s="2928">
        <f>113.027389505495*(Unit.TWh)</f>
        <v>113.02738950549499</v>
      </c>
      <c r="H26" s="2928">
        <f>182.189004621446*(Unit.TWh)</f>
        <v>182.189004621446</v>
      </c>
      <c r="I26" s="2928">
        <f>293.670707163766*(Unit.TWh)</f>
        <v>293.670707163766</v>
      </c>
      <c r="J26" s="2928">
        <f>473.368216843065*(Unit.TWh)</f>
        <v>473.368216843065</v>
      </c>
      <c r="K26" s="2928">
        <f>763.022879882348*(Unit.TWh)</f>
        <v>763.02287988234798</v>
      </c>
      <c r="L26" s="2928">
        <f>1229.91762967679*(Unit.TWh)</f>
        <v>1229.9176296767901</v>
      </c>
      <c r="M26" s="2928">
        <f>1982.50591911874*(Unit.TWh)</f>
        <v>1982.5059191187399</v>
      </c>
      <c r="N26" s="2928">
        <f>3195.60401811109*(Unit.TWh)</f>
        <v>3195.6040181110902</v>
      </c>
      <c r="O26" s="2928">
        <f>5150.99851258308*(Unit.TWh)</f>
        <v>5150.9985125830799</v>
      </c>
      <c r="P26" s="536"/>
      <c r="Q26" s="2777"/>
      <c r="R26" s="2777"/>
      <c r="S26" s="2777"/>
      <c r="T26" s="2777"/>
      <c r="U26" s="2776"/>
    </row>
    <row r="27" spans="2:21" s="1475" customFormat="1" ht="15.75">
      <c r="B27" s="2627"/>
      <c r="C27" s="2926">
        <v>3</v>
      </c>
      <c r="D27" s="2927"/>
      <c r="E27" s="2927"/>
      <c r="F27" s="2928">
        <f>70.1205366645*(Unit.TWh)</f>
        <v>70.120536664499994</v>
      </c>
      <c r="G27" s="2928">
        <f>113.027389505495*(Unit.TWh)</f>
        <v>113.02738950549499</v>
      </c>
      <c r="H27" s="2928">
        <f>182.145871972997*(Unit.TWh)</f>
        <v>182.14587197299701</v>
      </c>
      <c r="I27" s="2928">
        <f>293.53997811688*(Unit.TWh)</f>
        <v>293.53997811687998</v>
      </c>
      <c r="J27" s="2928">
        <f>472.971995319128*(Unit.TWh)</f>
        <v>472.97199531912798</v>
      </c>
      <c r="K27" s="2928">
        <f>761.660339025415*(Unit.TWh)</f>
        <v>761.66033902541506</v>
      </c>
      <c r="L27" s="2928">
        <f>1227.72134819523*(Unit.TWh)</f>
        <v>1227.7213481952299</v>
      </c>
      <c r="M27" s="2928">
        <f>1978.96572997745*(Unit.TWh)</f>
        <v>1978.9657299774501</v>
      </c>
      <c r="N27" s="2928">
        <f>3189.89758236447*(Unit.TWh)</f>
        <v>3189.8975823644701</v>
      </c>
      <c r="O27" s="2928">
        <f>5141.80030095347*(Unit.TWh)</f>
        <v>5141.8003009534696</v>
      </c>
      <c r="P27" s="536"/>
      <c r="Q27" s="2777"/>
      <c r="R27" s="2777"/>
      <c r="S27" s="2777"/>
      <c r="T27" s="2777"/>
      <c r="U27" s="2776"/>
    </row>
    <row r="28" spans="2:21" s="1475" customFormat="1" ht="15.75">
      <c r="B28" s="2627"/>
      <c r="C28" s="2929">
        <v>4</v>
      </c>
      <c r="D28" s="2930"/>
      <c r="E28" s="2930"/>
      <c r="F28" s="2928">
        <f>70.1205366645*(Unit.TWh)</f>
        <v>70.120536664499994</v>
      </c>
      <c r="G28" s="2928">
        <f>113.027389505495*(Unit.TWh)</f>
        <v>113.02738950549499</v>
      </c>
      <c r="H28" s="2928">
        <f>182.139458219126*(Unit.TWh)</f>
        <v>182.139458219126</v>
      </c>
      <c r="I28" s="2928">
        <f>293.492126022992*(Unit.TWh)</f>
        <v>293.49212602299201</v>
      </c>
      <c r="J28" s="2928">
        <f>472.509998490249*(Unit.TWh)</f>
        <v>472.50999849024902</v>
      </c>
      <c r="K28" s="2928">
        <f>759.389437597194*(Unit.TWh)</f>
        <v>759.38943759719405</v>
      </c>
      <c r="L28" s="2928">
        <f>1222.59669140491*(Unit.TWh)</f>
        <v>1222.59669140491</v>
      </c>
      <c r="M28" s="2928">
        <f>1970.70528864779*(Unit.TWh)</f>
        <v>1970.70528864779</v>
      </c>
      <c r="N28" s="2928">
        <f>3172.77827512459*(Unit.TWh)</f>
        <v>3172.77827512459</v>
      </c>
      <c r="O28" s="2928">
        <f>5114.20566606463*(Unit.TWh)</f>
        <v>5114.2056660646303</v>
      </c>
      <c r="P28" s="536"/>
      <c r="Q28" s="2777"/>
      <c r="R28" s="2777"/>
      <c r="S28" s="2777"/>
      <c r="T28" s="2777"/>
      <c r="U28" s="2776"/>
    </row>
    <row r="29" spans="2:21" ht="15.75">
      <c r="B29" s="152"/>
      <c r="C29" s="2931" t="s">
        <v>406</v>
      </c>
      <c r="D29" s="2932"/>
      <c r="E29" s="2932"/>
      <c r="F29" s="2933">
        <f t="shared" ref="F29:O29" si="3">(INDEX(F$25:F$28,ROUNDDOWN($E$8,0))*(1-MOD($E$8,1)))+(INDEX(F$25:F$28,ROUNDUP($E$8,0))*MOD($E$8,1))</f>
        <v>70.120536664499994</v>
      </c>
      <c r="G29" s="2943">
        <f t="shared" si="3"/>
        <v>113.02738950549499</v>
      </c>
      <c r="H29" s="2933">
        <f t="shared" si="3"/>
        <v>182.189004621446</v>
      </c>
      <c r="I29" s="2933">
        <f t="shared" si="3"/>
        <v>293.670707163766</v>
      </c>
      <c r="J29" s="2933">
        <f t="shared" si="3"/>
        <v>473.368216843065</v>
      </c>
      <c r="K29" s="2933">
        <f t="shared" si="3"/>
        <v>763.02287988234798</v>
      </c>
      <c r="L29" s="2933">
        <f t="shared" si="3"/>
        <v>1229.9176296767901</v>
      </c>
      <c r="M29" s="2933">
        <f t="shared" si="3"/>
        <v>1982.5059191187399</v>
      </c>
      <c r="N29" s="2933">
        <f t="shared" si="3"/>
        <v>3195.6040181110902</v>
      </c>
      <c r="O29" s="2933">
        <f t="shared" si="3"/>
        <v>5150.9985125830799</v>
      </c>
      <c r="P29" s="239"/>
      <c r="Q29" s="137"/>
      <c r="R29" s="137"/>
      <c r="S29" s="137"/>
      <c r="T29" s="137"/>
      <c r="U29" s="1417"/>
    </row>
    <row r="30" spans="2:21" ht="15.75">
      <c r="B30" s="152"/>
      <c r="C30" s="751"/>
      <c r="D30" s="135"/>
      <c r="E30" s="135"/>
      <c r="F30" s="98"/>
      <c r="G30" s="137"/>
      <c r="H30" s="137"/>
      <c r="I30" s="137"/>
      <c r="J30" s="137"/>
      <c r="K30" s="137"/>
      <c r="L30" s="137"/>
      <c r="M30" s="137"/>
      <c r="N30" s="137"/>
      <c r="O30" s="137"/>
      <c r="P30" s="239"/>
      <c r="Q30" s="137"/>
      <c r="R30" s="137"/>
      <c r="S30" s="137"/>
      <c r="T30" s="137"/>
      <c r="U30" s="1417"/>
    </row>
    <row r="31" spans="2:21" ht="15.75">
      <c r="B31" s="152"/>
      <c r="C31" s="416" t="s">
        <v>1288</v>
      </c>
      <c r="D31" s="239"/>
      <c r="E31" s="1449"/>
      <c r="F31" s="239"/>
      <c r="G31" s="239"/>
      <c r="H31" s="239"/>
      <c r="I31" s="239"/>
      <c r="J31" s="239"/>
      <c r="K31" s="239"/>
      <c r="L31" s="239"/>
      <c r="M31" s="239"/>
      <c r="N31" s="239"/>
      <c r="O31" s="1449" t="str">
        <f>preferences.energyunits&amp;"/Year"</f>
        <v>TWh/Year</v>
      </c>
      <c r="P31" s="239"/>
      <c r="Q31" s="239"/>
      <c r="R31" s="239"/>
      <c r="S31" s="239"/>
      <c r="T31" s="239"/>
      <c r="U31" s="1417"/>
    </row>
    <row r="32" spans="2:21" ht="11.25" customHeight="1">
      <c r="B32" s="152"/>
      <c r="C32" s="239"/>
      <c r="D32" s="239"/>
      <c r="E32" s="239"/>
      <c r="F32" s="239"/>
      <c r="G32" s="239"/>
      <c r="H32" s="239"/>
      <c r="I32" s="239"/>
      <c r="J32" s="239"/>
      <c r="K32" s="239"/>
      <c r="L32" s="239"/>
      <c r="M32" s="239"/>
      <c r="N32" s="239"/>
      <c r="O32" s="239"/>
      <c r="P32" s="239"/>
      <c r="Q32" s="239"/>
      <c r="R32" s="239"/>
      <c r="S32" s="239"/>
      <c r="T32" s="239"/>
      <c r="U32" s="1417"/>
    </row>
    <row r="33" spans="1:53" ht="15.75">
      <c r="B33" s="152"/>
      <c r="C33" s="1459" t="s">
        <v>411</v>
      </c>
      <c r="D33" s="1460" t="s">
        <v>156</v>
      </c>
      <c r="E33" s="1459"/>
      <c r="F33" s="1451">
        <v>2007</v>
      </c>
      <c r="G33" s="1452">
        <f t="shared" ref="G33:O33" si="4">F33+5</f>
        <v>2012</v>
      </c>
      <c r="H33" s="1452">
        <f t="shared" si="4"/>
        <v>2017</v>
      </c>
      <c r="I33" s="1452">
        <f t="shared" si="4"/>
        <v>2022</v>
      </c>
      <c r="J33" s="1452">
        <f t="shared" si="4"/>
        <v>2027</v>
      </c>
      <c r="K33" s="1452">
        <f t="shared" si="4"/>
        <v>2032</v>
      </c>
      <c r="L33" s="1452">
        <f t="shared" si="4"/>
        <v>2037</v>
      </c>
      <c r="M33" s="1452">
        <f t="shared" si="4"/>
        <v>2042</v>
      </c>
      <c r="N33" s="1452">
        <f t="shared" si="4"/>
        <v>2047</v>
      </c>
      <c r="O33" s="1452">
        <f t="shared" si="4"/>
        <v>2052</v>
      </c>
      <c r="P33" s="239"/>
      <c r="Q33" s="455"/>
      <c r="R33" s="455"/>
      <c r="S33" s="455"/>
      <c r="T33" s="455"/>
      <c r="U33" s="1417"/>
    </row>
    <row r="34" spans="1:53" s="1475" customFormat="1" ht="15" customHeight="1">
      <c r="B34" s="2627"/>
      <c r="C34" s="2781">
        <v>1</v>
      </c>
      <c r="D34" s="2779"/>
      <c r="E34" s="1470"/>
      <c r="F34" s="2783">
        <f>174.935920633557*(Unit.TWh)</f>
        <v>174.935920633557</v>
      </c>
      <c r="G34" s="2783">
        <f>294.384666442414*(Unit.TWh)</f>
        <v>294.38466644241402</v>
      </c>
      <c r="H34" s="2783">
        <f>496.36256929901*(Unit.TWh)</f>
        <v>496.36256929900998</v>
      </c>
      <c r="I34" s="2783">
        <f>838.632851611756*(Unit.TWh)</f>
        <v>838.632851611756</v>
      </c>
      <c r="J34" s="2783">
        <f>1419.95225269929*(Unit.TWh)</f>
        <v>1419.9522526992901</v>
      </c>
      <c r="K34" s="2783">
        <f>2409.5818070294*(Unit.TWh)</f>
        <v>2409.5818070293999</v>
      </c>
      <c r="L34" s="2783">
        <f>4098.54502128629*(Unit.TWh)</f>
        <v>4098.5450212862897</v>
      </c>
      <c r="M34" s="2783">
        <f>6988.19865479061*(Unit.TWh)</f>
        <v>6988.1986547906099</v>
      </c>
      <c r="N34" s="2783">
        <f>11945.0022161812*(Unit.TWh)</f>
        <v>11945.002216181199</v>
      </c>
      <c r="O34" s="2783">
        <f>20470.5390012149*(Unit.TWh)</f>
        <v>20470.5390012149</v>
      </c>
      <c r="P34" s="536"/>
      <c r="Q34" s="1469"/>
      <c r="R34" s="1469"/>
      <c r="S34" s="1469"/>
      <c r="T34" s="1469"/>
      <c r="U34" s="536"/>
    </row>
    <row r="35" spans="1:53" s="1475" customFormat="1" ht="15.75">
      <c r="B35" s="2627"/>
      <c r="C35" s="2781">
        <v>2</v>
      </c>
      <c r="D35" s="2779"/>
      <c r="E35" s="1470"/>
      <c r="F35" s="2783">
        <f>174.935920633557*(Unit.TWh)</f>
        <v>174.935920633557</v>
      </c>
      <c r="G35" s="2783">
        <f>294.384666442414*(Unit.TWh)</f>
        <v>294.38466644241402</v>
      </c>
      <c r="H35" s="2783">
        <f>492.975032994547*(Unit.TWh)</f>
        <v>492.97503299454701</v>
      </c>
      <c r="I35" s="2783">
        <f>830.495262684506*(Unit.TWh)</f>
        <v>830.49526268450597</v>
      </c>
      <c r="J35" s="2783">
        <f>1400.3723327659*(Unit.TWh)</f>
        <v>1400.3723327659</v>
      </c>
      <c r="K35" s="2783">
        <f>2359.17380504251*(Unit.TWh)</f>
        <v>2359.1738050425101</v>
      </c>
      <c r="L35" s="2783">
        <f>4010.73375375442*(Unit.TWh)</f>
        <v>4010.7337537544199</v>
      </c>
      <c r="M35" s="2783">
        <f>6834.98690863178*(Unit.TWh)</f>
        <v>6834.9869086317804</v>
      </c>
      <c r="N35" s="2783">
        <f>11677.2360120152*(Unit.TWh)</f>
        <v>11677.236012015201</v>
      </c>
      <c r="O35" s="2783">
        <f>20001.7568698887*(Unit.TWh)</f>
        <v>20001.756869888701</v>
      </c>
      <c r="P35" s="536"/>
      <c r="Q35" s="2777"/>
      <c r="R35" s="2777"/>
      <c r="S35" s="2777"/>
      <c r="T35" s="2777"/>
      <c r="U35" s="536"/>
    </row>
    <row r="36" spans="1:53" s="1475" customFormat="1" ht="15.75">
      <c r="B36" s="2627"/>
      <c r="C36" s="2781">
        <v>3</v>
      </c>
      <c r="D36" s="2779"/>
      <c r="E36" s="1470"/>
      <c r="F36" s="2783">
        <f>174.935920633557*(Unit.TWh)</f>
        <v>174.935920633557</v>
      </c>
      <c r="G36" s="2783">
        <f>294.384666442414*(Unit.TWh)</f>
        <v>294.38466644241402</v>
      </c>
      <c r="H36" s="2783">
        <f>492.605038928728*(Unit.TWh)</f>
        <v>492.60503892872799</v>
      </c>
      <c r="I36" s="2783">
        <f>828.69313136639*(Unit.TWh)</f>
        <v>828.69313136639005</v>
      </c>
      <c r="J36" s="2783">
        <f>1393.6056668895*(Unit.TWh)</f>
        <v>1393.6056668895001</v>
      </c>
      <c r="K36" s="2783">
        <f>2333.29145301703*(Unit.TWh)</f>
        <v>2333.2914530170301</v>
      </c>
      <c r="L36" s="2783">
        <f>3965.80452683473*(Unit.TWh)</f>
        <v>3965.80452683473</v>
      </c>
      <c r="M36" s="2783">
        <f>6756.8519246163*(Unit.TWh)</f>
        <v>6756.8519246162996</v>
      </c>
      <c r="N36" s="2783">
        <f>11541.0973968531*(Unit.TWh)</f>
        <v>11541.0973968531</v>
      </c>
      <c r="O36" s="2783">
        <f>19764.0930544096*(Unit.TWh)</f>
        <v>19764.093054409601</v>
      </c>
      <c r="P36" s="536"/>
      <c r="Q36" s="2777"/>
      <c r="R36" s="2777"/>
      <c r="S36" s="2777"/>
      <c r="T36" s="2777"/>
      <c r="U36" s="536"/>
    </row>
    <row r="37" spans="1:53" s="1475" customFormat="1" ht="15.75">
      <c r="B37" s="2627"/>
      <c r="C37" s="2782">
        <v>4</v>
      </c>
      <c r="D37" s="2780"/>
      <c r="E37" s="2778"/>
      <c r="F37" s="2783">
        <f>174.935920633557*(Unit.TWh)</f>
        <v>174.935920633557</v>
      </c>
      <c r="G37" s="2783">
        <f>294.384666442414*(Unit.TWh)</f>
        <v>294.38466644241402</v>
      </c>
      <c r="H37" s="2783">
        <f>492.05105896393*(Unit.TWh)</f>
        <v>492.05105896393002</v>
      </c>
      <c r="I37" s="2783">
        <f>825.138198021389*(Unit.TWh)</f>
        <v>825.13819802138903</v>
      </c>
      <c r="J37" s="2783">
        <f>1376.71808972883*(Unit.TWh)</f>
        <v>1376.7180897288299</v>
      </c>
      <c r="K37" s="2783">
        <f>2257.05721113664*(Unit.TWh)</f>
        <v>2257.05721113664</v>
      </c>
      <c r="L37" s="2783">
        <f>3826.20057505395*(Unit.TWh)</f>
        <v>3826.2005750539502</v>
      </c>
      <c r="M37" s="2783">
        <f>6513.89205596227*(Unit.TWh)</f>
        <v>6513.8920559622702</v>
      </c>
      <c r="N37" s="2783">
        <f>11096.4040692133*(Unit.TWh)</f>
        <v>11096.4040692133</v>
      </c>
      <c r="O37" s="2783">
        <f>18987.6047290623*(Unit.TWh)</f>
        <v>18987.604729062299</v>
      </c>
      <c r="P37" s="536"/>
      <c r="Q37" s="2777"/>
      <c r="R37" s="2777"/>
      <c r="S37" s="2777"/>
      <c r="T37" s="2777"/>
      <c r="U37" s="536"/>
    </row>
    <row r="38" spans="1:53" ht="15.75">
      <c r="B38" s="152"/>
      <c r="C38" s="1454" t="s">
        <v>406</v>
      </c>
      <c r="D38" s="1455"/>
      <c r="E38" s="1455"/>
      <c r="F38" s="1462">
        <f>F29+F20</f>
        <v>174.93592063355698</v>
      </c>
      <c r="G38" s="1462">
        <f t="shared" ref="G38:O38" si="5">G29+G20</f>
        <v>294.38466644241396</v>
      </c>
      <c r="H38" s="1462">
        <f t="shared" si="5"/>
        <v>496.36256929901003</v>
      </c>
      <c r="I38" s="1462">
        <f t="shared" si="5"/>
        <v>838.632851611756</v>
      </c>
      <c r="J38" s="1462">
        <f t="shared" si="5"/>
        <v>1419.952252699293</v>
      </c>
      <c r="K38" s="1462">
        <f t="shared" si="5"/>
        <v>2409.5818070293981</v>
      </c>
      <c r="L38" s="1462">
        <f t="shared" si="5"/>
        <v>4098.5450212862906</v>
      </c>
      <c r="M38" s="1462">
        <f t="shared" si="5"/>
        <v>6988.1986547906099</v>
      </c>
      <c r="N38" s="1462">
        <f t="shared" si="5"/>
        <v>11945.002216181161</v>
      </c>
      <c r="O38" s="1462">
        <f t="shared" si="5"/>
        <v>20470.539001214878</v>
      </c>
      <c r="P38" s="239"/>
      <c r="Q38" s="137"/>
      <c r="R38" s="137"/>
      <c r="S38" s="137"/>
      <c r="T38" s="137"/>
      <c r="U38" s="239"/>
    </row>
    <row r="39" spans="1:53" ht="15.75">
      <c r="B39" s="152"/>
      <c r="C39" s="751"/>
      <c r="D39" s="135"/>
      <c r="E39" s="135"/>
      <c r="F39" s="98"/>
      <c r="G39" s="1458"/>
      <c r="H39" s="1458"/>
      <c r="I39" s="1458"/>
      <c r="J39" s="1458"/>
      <c r="K39" s="1458"/>
      <c r="L39" s="1458"/>
      <c r="M39" s="1458"/>
      <c r="N39" s="1458"/>
      <c r="O39" s="1458"/>
      <c r="P39" s="239"/>
      <c r="Q39" s="846"/>
      <c r="R39" s="846"/>
      <c r="S39" s="846"/>
      <c r="T39" s="846"/>
      <c r="U39" s="846"/>
      <c r="AA39" s="383"/>
    </row>
    <row r="41" spans="1:53" s="17" customFormat="1" ht="22.5" collapsed="1">
      <c r="A41" s="162"/>
      <c r="B41" s="1445" t="s">
        <v>265</v>
      </c>
      <c r="C41" s="1446"/>
      <c r="D41" s="1446"/>
      <c r="E41" s="1446"/>
      <c r="F41" s="1446"/>
      <c r="G41" s="1446"/>
      <c r="H41" s="1446"/>
      <c r="I41" s="1446"/>
      <c r="J41" s="1446"/>
      <c r="K41" s="1446"/>
      <c r="L41" s="1446"/>
      <c r="M41" s="1446"/>
      <c r="N41" s="1446"/>
      <c r="O41" s="1446"/>
      <c r="P41" s="1446"/>
      <c r="Q41" s="1448"/>
    </row>
    <row r="42" spans="1:53">
      <c r="B42" s="155"/>
      <c r="C42" s="239"/>
      <c r="D42" s="239"/>
      <c r="E42" s="239"/>
      <c r="F42" s="239"/>
      <c r="G42" s="239"/>
      <c r="H42" s="239">
        <f>Unit.kWh/Unit.m2</f>
        <v>1.0000000000000001E-5</v>
      </c>
      <c r="I42" s="239"/>
      <c r="J42" s="239"/>
      <c r="K42" s="239"/>
      <c r="L42" s="239"/>
      <c r="M42" s="239"/>
      <c r="N42" s="239"/>
      <c r="O42" s="239"/>
      <c r="P42" s="239"/>
      <c r="Q42" s="1417"/>
    </row>
    <row r="43" spans="1:53">
      <c r="B43" s="155"/>
      <c r="C43" s="416" t="s">
        <v>1289</v>
      </c>
      <c r="D43" s="415"/>
      <c r="E43" s="415"/>
      <c r="F43" s="415"/>
      <c r="G43" s="104"/>
      <c r="H43" s="415"/>
      <c r="I43" s="415"/>
      <c r="J43" s="415"/>
      <c r="K43" s="415"/>
      <c r="L43" s="415"/>
      <c r="M43" s="415"/>
      <c r="N43" s="415"/>
      <c r="O43" s="415"/>
      <c r="P43" s="1449"/>
      <c r="Q43" s="1417"/>
    </row>
    <row r="44" spans="1:53" ht="12" customHeight="1">
      <c r="B44" s="155"/>
      <c r="C44" s="415"/>
      <c r="D44" s="415"/>
      <c r="E44" s="415"/>
      <c r="F44" s="415"/>
      <c r="G44" s="415"/>
      <c r="H44" s="415"/>
      <c r="I44" s="415"/>
      <c r="J44" s="415"/>
      <c r="K44" s="415"/>
      <c r="L44" s="415"/>
      <c r="M44" s="415"/>
      <c r="N44" s="415"/>
      <c r="O44" s="415" t="str">
        <f>(preferences.energyunits)&amp;"/Sqm/Year"</f>
        <v>TWh/Sqm/Year</v>
      </c>
      <c r="P44" s="239"/>
      <c r="Q44" s="1417"/>
    </row>
    <row r="45" spans="1:53" ht="15.75">
      <c r="B45" s="152"/>
      <c r="C45" s="61" t="s">
        <v>69</v>
      </c>
      <c r="D45" s="61" t="s">
        <v>1290</v>
      </c>
      <c r="E45" s="61" t="s">
        <v>156</v>
      </c>
      <c r="F45" s="119">
        <v>2007</v>
      </c>
      <c r="G45" s="120">
        <f>F45+1</f>
        <v>2008</v>
      </c>
      <c r="H45" s="120">
        <f t="shared" ref="H45:AY45" si="6">G45+1</f>
        <v>2009</v>
      </c>
      <c r="I45" s="120">
        <f t="shared" si="6"/>
        <v>2010</v>
      </c>
      <c r="J45" s="120">
        <f t="shared" si="6"/>
        <v>2011</v>
      </c>
      <c r="K45" s="120">
        <f t="shared" si="6"/>
        <v>2012</v>
      </c>
      <c r="L45" s="120">
        <f t="shared" si="6"/>
        <v>2013</v>
      </c>
      <c r="M45" s="120">
        <f t="shared" si="6"/>
        <v>2014</v>
      </c>
      <c r="N45" s="120">
        <f t="shared" si="6"/>
        <v>2015</v>
      </c>
      <c r="O45" s="120">
        <f t="shared" si="6"/>
        <v>2016</v>
      </c>
      <c r="P45" s="120">
        <f t="shared" si="6"/>
        <v>2017</v>
      </c>
      <c r="Q45" s="120">
        <f t="shared" si="6"/>
        <v>2018</v>
      </c>
      <c r="R45" s="120">
        <f t="shared" si="6"/>
        <v>2019</v>
      </c>
      <c r="S45" s="120">
        <f t="shared" si="6"/>
        <v>2020</v>
      </c>
      <c r="T45" s="120">
        <f t="shared" si="6"/>
        <v>2021</v>
      </c>
      <c r="U45" s="120">
        <f t="shared" si="6"/>
        <v>2022</v>
      </c>
      <c r="V45" s="120">
        <f t="shared" si="6"/>
        <v>2023</v>
      </c>
      <c r="W45" s="120">
        <f t="shared" si="6"/>
        <v>2024</v>
      </c>
      <c r="X45" s="120">
        <f t="shared" si="6"/>
        <v>2025</v>
      </c>
      <c r="Y45" s="120">
        <f t="shared" si="6"/>
        <v>2026</v>
      </c>
      <c r="Z45" s="120">
        <f t="shared" si="6"/>
        <v>2027</v>
      </c>
      <c r="AA45" s="120">
        <f t="shared" si="6"/>
        <v>2028</v>
      </c>
      <c r="AB45" s="120">
        <f t="shared" si="6"/>
        <v>2029</v>
      </c>
      <c r="AC45" s="120">
        <f t="shared" si="6"/>
        <v>2030</v>
      </c>
      <c r="AD45" s="120">
        <f t="shared" si="6"/>
        <v>2031</v>
      </c>
      <c r="AE45" s="120">
        <f t="shared" si="6"/>
        <v>2032</v>
      </c>
      <c r="AF45" s="120">
        <f t="shared" si="6"/>
        <v>2033</v>
      </c>
      <c r="AG45" s="120">
        <f t="shared" si="6"/>
        <v>2034</v>
      </c>
      <c r="AH45" s="120">
        <f t="shared" si="6"/>
        <v>2035</v>
      </c>
      <c r="AI45" s="120">
        <f t="shared" si="6"/>
        <v>2036</v>
      </c>
      <c r="AJ45" s="120">
        <f t="shared" si="6"/>
        <v>2037</v>
      </c>
      <c r="AK45" s="120">
        <f t="shared" si="6"/>
        <v>2038</v>
      </c>
      <c r="AL45" s="120">
        <f t="shared" si="6"/>
        <v>2039</v>
      </c>
      <c r="AM45" s="120">
        <f t="shared" si="6"/>
        <v>2040</v>
      </c>
      <c r="AN45" s="120">
        <f t="shared" si="6"/>
        <v>2041</v>
      </c>
      <c r="AO45" s="120">
        <f>AN45+1</f>
        <v>2042</v>
      </c>
      <c r="AP45" s="120">
        <f t="shared" si="6"/>
        <v>2043</v>
      </c>
      <c r="AQ45" s="120">
        <f t="shared" si="6"/>
        <v>2044</v>
      </c>
      <c r="AR45" s="120">
        <f t="shared" si="6"/>
        <v>2045</v>
      </c>
      <c r="AS45" s="120">
        <f t="shared" si="6"/>
        <v>2046</v>
      </c>
      <c r="AT45" s="120">
        <f t="shared" si="6"/>
        <v>2047</v>
      </c>
      <c r="AU45" s="120">
        <f t="shared" si="6"/>
        <v>2048</v>
      </c>
      <c r="AV45" s="120">
        <f t="shared" si="6"/>
        <v>2049</v>
      </c>
      <c r="AW45" s="120">
        <f>AV45+1</f>
        <v>2050</v>
      </c>
      <c r="AX45" s="120">
        <f t="shared" si="6"/>
        <v>2051</v>
      </c>
      <c r="AY45" s="120">
        <f t="shared" si="6"/>
        <v>2052</v>
      </c>
      <c r="AZ45" s="120"/>
      <c r="BA45" s="120"/>
    </row>
    <row r="46" spans="1:53" ht="15.75">
      <c r="B46" s="152"/>
      <c r="C46" s="78"/>
      <c r="D46" s="79" t="s">
        <v>1291</v>
      </c>
      <c r="E46" s="79"/>
      <c r="F46" s="1463">
        <f>210*(Unit.kWh/Unit.m2)</f>
        <v>2.1000000000000003E-3</v>
      </c>
      <c r="G46" s="1463">
        <f>216.3*(Unit.kWh/Unit.m2)</f>
        <v>2.1630000000000004E-3</v>
      </c>
      <c r="H46" s="1463">
        <f>222.789*(Unit.kWh/Unit.m2)</f>
        <v>2.2278900000000002E-3</v>
      </c>
      <c r="I46" s="1463">
        <f>229.47267*(Unit.kWh/Unit.m2)</f>
        <v>2.2947267000000002E-3</v>
      </c>
      <c r="J46" s="1463">
        <f>236.3568501*(Unit.kWh/Unit.m2)</f>
        <v>2.3635685010000001E-3</v>
      </c>
      <c r="K46" s="1463">
        <f>243.447555603*(Unit.kWh/Unit.m2)</f>
        <v>2.4344755560300004E-3</v>
      </c>
      <c r="L46" s="1463">
        <f>250.75098227109*(Unit.kWh/Unit.m2)</f>
        <v>2.5075098227109005E-3</v>
      </c>
      <c r="M46" s="1463">
        <f>258.273511739223*(Unit.kWh/Unit.m2)</f>
        <v>2.5827351173922301E-3</v>
      </c>
      <c r="N46" s="1463">
        <f>266.021717091399*(Unit.kWh/Unit.m2)</f>
        <v>2.6602171709139903E-3</v>
      </c>
      <c r="O46" s="1463">
        <f>274.002368604141*(Unit.kWh/Unit.m2)</f>
        <v>2.7400236860414102E-3</v>
      </c>
      <c r="P46" s="1463">
        <f>282.222439662266*(Unit.kWh/Unit.m2)</f>
        <v>2.8222243966226604E-3</v>
      </c>
      <c r="Q46" s="1463">
        <f>290.689112852134*(Unit.kWh/Unit.m2)</f>
        <v>2.9068911285213398E-3</v>
      </c>
      <c r="R46" s="1463">
        <f>299.409786237698*(Unit.kWh/Unit.m2)</f>
        <v>2.99409786237698E-3</v>
      </c>
      <c r="S46" s="1463">
        <f>308.392079824829*(Unit.kWh/Unit.m2)</f>
        <v>3.0839207982482904E-3</v>
      </c>
      <c r="T46" s="1463">
        <f>317.643842219573*(Unit.kWh/Unit.m2)</f>
        <v>3.1764384221957304E-3</v>
      </c>
      <c r="U46" s="1463">
        <f>327.173157486161*(Unit.kWh/Unit.m2)</f>
        <v>3.2717315748616105E-3</v>
      </c>
      <c r="V46" s="1463">
        <f>336.988352210745*(Unit.kWh/Unit.m2)</f>
        <v>3.3698835221074503E-3</v>
      </c>
      <c r="W46" s="1463">
        <f>347.098002777068*(Unit.kWh/Unit.m2)</f>
        <v>3.4709800277706805E-3</v>
      </c>
      <c r="X46" s="1463">
        <f>357.51094286038*(Unit.kWh/Unit.m2)</f>
        <v>3.5751094286038004E-3</v>
      </c>
      <c r="Y46" s="1463">
        <f>368.236271146191*(Unit.kWh/Unit.m2)</f>
        <v>3.68236271146191E-3</v>
      </c>
      <c r="Z46" s="1463">
        <f>379.283359280577*(Unit.kWh/Unit.m2)</f>
        <v>3.79283359280577E-3</v>
      </c>
      <c r="AA46" s="1463">
        <f>390.661860058994*(Unit.kWh/Unit.m2)</f>
        <v>3.9066186005899404E-3</v>
      </c>
      <c r="AB46" s="1463">
        <f>402.381715860764*(Unit.kWh/Unit.m2)</f>
        <v>4.0238171586076408E-3</v>
      </c>
      <c r="AC46" s="1463">
        <f>414.453167336587*(Unit.kWh/Unit.m2)</f>
        <v>4.1445316733658699E-3</v>
      </c>
      <c r="AD46" s="1463">
        <f>426.886762356685*(Unit.kWh/Unit.m2)</f>
        <v>4.26886762356685E-3</v>
      </c>
      <c r="AE46" s="1463">
        <f>439.693365227385*(Unit.kWh/Unit.m2)</f>
        <v>4.3969336522738508E-3</v>
      </c>
      <c r="AF46" s="1463">
        <f>452.884166184207*(Unit.kWh/Unit.m2)</f>
        <v>4.5288416618420703E-3</v>
      </c>
      <c r="AG46" s="1463">
        <f>466.470691169733*(Unit.kWh/Unit.m2)</f>
        <v>4.6647069116973307E-3</v>
      </c>
      <c r="AH46" s="1463">
        <f>480.464811904825*(Unit.kWh/Unit.m2)</f>
        <v>4.8046481190482503E-3</v>
      </c>
      <c r="AI46" s="1463">
        <f>494.87875626197*(Unit.kWh/Unit.m2)</f>
        <v>4.9487875626197005E-3</v>
      </c>
      <c r="AJ46" s="1463">
        <f>509.725118949829*(Unit.kWh/Unit.m2)</f>
        <v>5.09725118949829E-3</v>
      </c>
      <c r="AK46" s="1463">
        <f>525.016872518324*(Unit.kWh/Unit.m2)</f>
        <v>5.2501687251832402E-3</v>
      </c>
      <c r="AL46" s="1463">
        <f>540.767378693874*(Unit.kWh/Unit.m2)</f>
        <v>5.4076737869387399E-3</v>
      </c>
      <c r="AM46" s="1463">
        <f>556.99040005469*(Unit.kWh/Unit.m2)</f>
        <v>5.5699040005469007E-3</v>
      </c>
      <c r="AN46" s="1463">
        <f>573.700112056331*(Unit.kWh/Unit.m2)</f>
        <v>5.7370011205633105E-3</v>
      </c>
      <c r="AO46" s="1463">
        <f>590.91111541802*(Unit.kWh/Unit.m2)</f>
        <v>5.9091111541802006E-3</v>
      </c>
      <c r="AP46" s="1463">
        <f>608.638448880561*(Unit.kWh/Unit.m2)</f>
        <v>6.0863844888056099E-3</v>
      </c>
      <c r="AQ46" s="1463">
        <f>626.897602346978*(Unit.kWh/Unit.m2)</f>
        <v>6.2689760234697807E-3</v>
      </c>
      <c r="AR46" s="1463">
        <f>645.704530417387*(Unit.kWh/Unit.m2)</f>
        <v>6.4570453041738708E-3</v>
      </c>
      <c r="AS46" s="1463">
        <f>665.075666329909*(Unit.kWh/Unit.m2)</f>
        <v>6.6507566632990909E-3</v>
      </c>
      <c r="AT46" s="1463">
        <f>685.027936319806*(Unit.kWh/Unit.m2)</f>
        <v>6.850279363198061E-3</v>
      </c>
      <c r="AU46" s="1463">
        <f>705.5787744094*(Unit.kWh/Unit.m2)</f>
        <v>7.0557877440940008E-3</v>
      </c>
      <c r="AV46" s="1463">
        <f>726.746137641682*(Unit.kWh/Unit.m2)</f>
        <v>7.2674613764168207E-3</v>
      </c>
      <c r="AW46" s="1463">
        <f>748.548521770933*(Unit.kWh/Unit.m2)</f>
        <v>7.4854852177093307E-3</v>
      </c>
      <c r="AX46" s="1463">
        <f>771.004977424061*(Unit.kWh/Unit.m2)</f>
        <v>7.7100497742406109E-3</v>
      </c>
      <c r="AY46" s="1463">
        <f>794.135126746783*(Unit.kWh/Unit.m2)</f>
        <v>7.9413512674678319E-3</v>
      </c>
    </row>
    <row r="47" spans="1:53" ht="15.75">
      <c r="B47" s="152"/>
      <c r="C47" s="413"/>
      <c r="D47" s="414"/>
      <c r="E47" s="414"/>
      <c r="F47" s="1464"/>
      <c r="G47" s="1464"/>
      <c r="H47" s="1464"/>
      <c r="I47" s="1464"/>
      <c r="J47" s="1464"/>
      <c r="K47" s="1464"/>
      <c r="L47" s="1464"/>
      <c r="M47" s="1464"/>
      <c r="N47" s="1464"/>
      <c r="O47" s="1464"/>
      <c r="P47" s="137"/>
      <c r="Q47" s="1417"/>
    </row>
    <row r="48" spans="1:53" ht="15.75">
      <c r="B48" s="152"/>
      <c r="C48" s="416" t="s">
        <v>1292</v>
      </c>
      <c r="D48" s="415"/>
      <c r="E48" s="415"/>
      <c r="F48" s="415"/>
      <c r="G48" s="104"/>
      <c r="H48" s="415"/>
      <c r="I48" s="415"/>
      <c r="J48" s="415"/>
      <c r="K48" s="415"/>
      <c r="L48" s="415"/>
      <c r="M48" s="415"/>
      <c r="N48" s="415"/>
      <c r="O48" s="415"/>
      <c r="P48" s="137"/>
      <c r="Q48" s="1417"/>
    </row>
    <row r="49" spans="2:51" ht="15.75">
      <c r="B49" s="152"/>
      <c r="C49" s="415"/>
      <c r="D49" s="415"/>
      <c r="E49" s="415"/>
      <c r="F49" s="415"/>
      <c r="G49" s="415"/>
      <c r="H49" s="415"/>
      <c r="I49" s="415"/>
      <c r="J49" s="415"/>
      <c r="K49" s="415"/>
      <c r="L49" s="415"/>
      <c r="M49" s="415"/>
      <c r="N49" s="415"/>
      <c r="O49" s="104"/>
      <c r="P49" s="137"/>
      <c r="Q49" s="1417"/>
    </row>
    <row r="50" spans="2:51" ht="15.75">
      <c r="B50" s="152"/>
      <c r="C50" s="924" t="s">
        <v>69</v>
      </c>
      <c r="D50" s="924" t="s">
        <v>1290</v>
      </c>
      <c r="E50" s="924" t="s">
        <v>156</v>
      </c>
      <c r="F50" s="119"/>
      <c r="G50" s="227"/>
      <c r="H50" s="227"/>
      <c r="I50" s="227"/>
      <c r="J50" s="227"/>
      <c r="K50" s="227"/>
      <c r="L50" s="227"/>
      <c r="M50" s="227"/>
      <c r="N50" s="227"/>
      <c r="O50" s="227"/>
      <c r="P50" s="137"/>
      <c r="Q50" s="1417"/>
    </row>
    <row r="51" spans="2:51">
      <c r="B51" s="155"/>
      <c r="C51" s="413"/>
      <c r="D51" s="414" t="s">
        <v>1291</v>
      </c>
      <c r="E51" s="414"/>
      <c r="F51" s="2621">
        <v>0.03</v>
      </c>
      <c r="G51" s="1464"/>
      <c r="H51" s="1464"/>
      <c r="I51" s="1464"/>
      <c r="J51" s="1464"/>
      <c r="K51" s="1464"/>
      <c r="L51" s="1464"/>
      <c r="M51" s="1464"/>
      <c r="N51" s="1464"/>
      <c r="O51" s="1464"/>
      <c r="P51" s="239"/>
      <c r="Q51" s="1417"/>
    </row>
    <row r="52" spans="2:51">
      <c r="B52" s="155"/>
      <c r="C52" s="111"/>
      <c r="D52" s="112" t="s">
        <v>1293</v>
      </c>
      <c r="E52" s="112"/>
      <c r="F52" s="2622">
        <v>4.7800000000000002E-2</v>
      </c>
      <c r="G52" s="1464"/>
      <c r="H52" s="1464"/>
      <c r="I52" s="1464"/>
      <c r="J52" s="1464"/>
      <c r="K52" s="1464"/>
      <c r="L52" s="1464"/>
      <c r="M52" s="1464"/>
      <c r="N52" s="1464"/>
      <c r="O52" s="1464"/>
      <c r="P52" s="848"/>
      <c r="Q52" s="1417"/>
    </row>
    <row r="53" spans="2:51" ht="5.25" customHeight="1">
      <c r="B53" s="155"/>
      <c r="C53" s="415"/>
      <c r="D53" s="415"/>
      <c r="E53" s="415"/>
      <c r="F53" s="415"/>
      <c r="G53" s="415"/>
      <c r="H53" s="415"/>
      <c r="I53" s="415"/>
      <c r="J53" s="415"/>
      <c r="K53" s="415"/>
      <c r="L53" s="415"/>
      <c r="M53" s="415"/>
      <c r="N53" s="415"/>
      <c r="O53" s="415"/>
      <c r="P53" s="239"/>
      <c r="Q53" s="1417"/>
    </row>
    <row r="54" spans="2:51" ht="5.25" customHeight="1">
      <c r="B54" s="155"/>
      <c r="C54" s="415"/>
      <c r="D54" s="415"/>
      <c r="E54" s="415"/>
      <c r="F54" s="415"/>
      <c r="G54" s="415"/>
      <c r="H54" s="415"/>
      <c r="I54" s="415"/>
      <c r="J54" s="415"/>
      <c r="K54" s="415"/>
      <c r="L54" s="415"/>
      <c r="M54" s="415"/>
      <c r="N54" s="415"/>
      <c r="O54" s="415"/>
      <c r="P54" s="239"/>
      <c r="Q54" s="1417"/>
    </row>
    <row r="55" spans="2:51" ht="15.75">
      <c r="B55" s="152"/>
      <c r="C55" s="416" t="s">
        <v>1294</v>
      </c>
      <c r="D55" s="415"/>
      <c r="E55" s="104"/>
      <c r="F55" s="415"/>
      <c r="G55" s="415"/>
      <c r="H55" s="415"/>
      <c r="I55" s="415"/>
      <c r="J55" s="415"/>
      <c r="K55" s="415"/>
      <c r="L55" s="415"/>
      <c r="M55" s="415"/>
      <c r="N55" s="415"/>
      <c r="O55" s="104"/>
      <c r="P55" s="455"/>
      <c r="Q55" s="1417"/>
    </row>
    <row r="56" spans="2:51" ht="15.75">
      <c r="B56" s="152"/>
      <c r="C56" s="415"/>
      <c r="D56" s="415"/>
      <c r="E56" s="415"/>
      <c r="F56" s="415"/>
      <c r="G56" s="415"/>
      <c r="H56" s="415"/>
      <c r="I56" s="415"/>
      <c r="J56" s="415"/>
      <c r="K56" s="415"/>
      <c r="L56" s="415"/>
      <c r="M56" s="415"/>
      <c r="N56" s="415"/>
      <c r="O56" s="415" t="str">
        <f>(preferences.energyunits)&amp;"/Sqm/Year"</f>
        <v>TWh/Sqm/Year</v>
      </c>
      <c r="P56" s="137"/>
      <c r="Q56" s="1417"/>
    </row>
    <row r="57" spans="2:51" ht="15.75">
      <c r="B57" s="152"/>
      <c r="C57" s="61" t="s">
        <v>69</v>
      </c>
      <c r="D57" s="61" t="s">
        <v>1290</v>
      </c>
      <c r="E57" s="61" t="s">
        <v>156</v>
      </c>
      <c r="F57" s="119">
        <v>2007</v>
      </c>
      <c r="G57" s="120">
        <f>F57+1</f>
        <v>2008</v>
      </c>
      <c r="H57" s="120">
        <f t="shared" ref="H57:AY57" si="7">G57+1</f>
        <v>2009</v>
      </c>
      <c r="I57" s="120">
        <f t="shared" si="7"/>
        <v>2010</v>
      </c>
      <c r="J57" s="120">
        <f t="shared" si="7"/>
        <v>2011</v>
      </c>
      <c r="K57" s="120">
        <f t="shared" si="7"/>
        <v>2012</v>
      </c>
      <c r="L57" s="120">
        <f t="shared" si="7"/>
        <v>2013</v>
      </c>
      <c r="M57" s="120">
        <f t="shared" si="7"/>
        <v>2014</v>
      </c>
      <c r="N57" s="120">
        <f t="shared" si="7"/>
        <v>2015</v>
      </c>
      <c r="O57" s="120">
        <f t="shared" si="7"/>
        <v>2016</v>
      </c>
      <c r="P57" s="120">
        <f t="shared" si="7"/>
        <v>2017</v>
      </c>
      <c r="Q57" s="120">
        <f t="shared" si="7"/>
        <v>2018</v>
      </c>
      <c r="R57" s="120">
        <f t="shared" si="7"/>
        <v>2019</v>
      </c>
      <c r="S57" s="120">
        <f t="shared" si="7"/>
        <v>2020</v>
      </c>
      <c r="T57" s="120">
        <f t="shared" si="7"/>
        <v>2021</v>
      </c>
      <c r="U57" s="120">
        <f t="shared" si="7"/>
        <v>2022</v>
      </c>
      <c r="V57" s="120">
        <f t="shared" si="7"/>
        <v>2023</v>
      </c>
      <c r="W57" s="120">
        <f t="shared" si="7"/>
        <v>2024</v>
      </c>
      <c r="X57" s="120">
        <f t="shared" si="7"/>
        <v>2025</v>
      </c>
      <c r="Y57" s="120">
        <f t="shared" si="7"/>
        <v>2026</v>
      </c>
      <c r="Z57" s="120">
        <f t="shared" si="7"/>
        <v>2027</v>
      </c>
      <c r="AA57" s="120">
        <f t="shared" si="7"/>
        <v>2028</v>
      </c>
      <c r="AB57" s="120">
        <f t="shared" si="7"/>
        <v>2029</v>
      </c>
      <c r="AC57" s="120">
        <f t="shared" si="7"/>
        <v>2030</v>
      </c>
      <c r="AD57" s="120">
        <f t="shared" si="7"/>
        <v>2031</v>
      </c>
      <c r="AE57" s="120">
        <f t="shared" si="7"/>
        <v>2032</v>
      </c>
      <c r="AF57" s="120">
        <f t="shared" si="7"/>
        <v>2033</v>
      </c>
      <c r="AG57" s="120">
        <f t="shared" si="7"/>
        <v>2034</v>
      </c>
      <c r="AH57" s="120">
        <f t="shared" si="7"/>
        <v>2035</v>
      </c>
      <c r="AI57" s="120">
        <f t="shared" si="7"/>
        <v>2036</v>
      </c>
      <c r="AJ57" s="120">
        <f t="shared" si="7"/>
        <v>2037</v>
      </c>
      <c r="AK57" s="120">
        <f t="shared" si="7"/>
        <v>2038</v>
      </c>
      <c r="AL57" s="120">
        <f t="shared" si="7"/>
        <v>2039</v>
      </c>
      <c r="AM57" s="120">
        <f t="shared" si="7"/>
        <v>2040</v>
      </c>
      <c r="AN57" s="120">
        <f t="shared" si="7"/>
        <v>2041</v>
      </c>
      <c r="AO57" s="120">
        <f t="shared" si="7"/>
        <v>2042</v>
      </c>
      <c r="AP57" s="120">
        <f t="shared" si="7"/>
        <v>2043</v>
      </c>
      <c r="AQ57" s="120">
        <f t="shared" si="7"/>
        <v>2044</v>
      </c>
      <c r="AR57" s="120">
        <f t="shared" si="7"/>
        <v>2045</v>
      </c>
      <c r="AS57" s="120">
        <f t="shared" si="7"/>
        <v>2046</v>
      </c>
      <c r="AT57" s="120">
        <f t="shared" si="7"/>
        <v>2047</v>
      </c>
      <c r="AU57" s="120">
        <f t="shared" si="7"/>
        <v>2048</v>
      </c>
      <c r="AV57" s="120">
        <f t="shared" si="7"/>
        <v>2049</v>
      </c>
      <c r="AW57" s="120">
        <f t="shared" si="7"/>
        <v>2050</v>
      </c>
      <c r="AX57" s="120">
        <f t="shared" si="7"/>
        <v>2051</v>
      </c>
      <c r="AY57" s="120">
        <f t="shared" si="7"/>
        <v>2052</v>
      </c>
    </row>
    <row r="58" spans="2:51" ht="15.75">
      <c r="B58" s="152"/>
      <c r="C58" s="78"/>
      <c r="D58" s="79" t="s">
        <v>1293</v>
      </c>
      <c r="E58" s="79"/>
      <c r="F58" s="1465">
        <f>42*(Unit.kWh/Unit.m2)</f>
        <v>4.2000000000000002E-4</v>
      </c>
      <c r="G58" s="1465">
        <f>44.0076*(Unit.kWh/Unit.m2)</f>
        <v>4.4007600000000002E-4</v>
      </c>
      <c r="H58" s="1465">
        <f>46.11116328*(Unit.kWh/Unit.m2)</f>
        <v>4.6111163280000006E-4</v>
      </c>
      <c r="I58" s="1465">
        <f>48.315276884784*(Unit.kWh/Unit.m2)</f>
        <v>4.8315276884784003E-4</v>
      </c>
      <c r="J58" s="1465">
        <f>50.6247471198767*(Unit.kWh/Unit.m2)</f>
        <v>5.062474711987671E-4</v>
      </c>
      <c r="K58" s="1465">
        <f>53.0446100322068*(Unit.kWh/Unit.m2)</f>
        <v>5.3044610032206799E-4</v>
      </c>
      <c r="L58" s="1465">
        <f>55.5801423917463*(Unit.kWh/Unit.m2)</f>
        <v>5.5580142391746306E-4</v>
      </c>
      <c r="M58" s="1465">
        <f>58.2368731980718*(Unit.kWh/Unit.m2)</f>
        <v>5.82368731980718E-4</v>
      </c>
      <c r="N58" s="1465">
        <f>61.0205957369396*(Unit.kWh/Unit.m2)</f>
        <v>6.1020595736939606E-4</v>
      </c>
      <c r="O58" s="1465">
        <f>63.9373802131653*(Unit.kWh/Unit.m2)</f>
        <v>6.3937380213165303E-4</v>
      </c>
      <c r="P58" s="1465">
        <f>66.9935869873546*(Unit.kWh/Unit.m2)</f>
        <v>6.6993586987354611E-4</v>
      </c>
      <c r="Q58" s="1465">
        <f>70.1958804453502*(Unit.kWh/Unit.m2)</f>
        <v>7.01958804453502E-4</v>
      </c>
      <c r="R58" s="1465">
        <f>73.5512435306379*(Unit.kWh/Unit.m2)</f>
        <v>7.3551243530637907E-4</v>
      </c>
      <c r="S58" s="1465">
        <f>77.0669929714024*(Unit.kWh/Unit.m2)</f>
        <v>7.7066992971402406E-4</v>
      </c>
      <c r="T58" s="1465">
        <f>80.7507952354355*(Unit.kWh/Unit.m2)</f>
        <v>8.0750795235435516E-4</v>
      </c>
      <c r="U58" s="1465">
        <f>84.6106832476893*(Unit.kWh/Unit.m2)</f>
        <v>8.4610683247689298E-4</v>
      </c>
      <c r="V58" s="1465">
        <f>88.6550739069288*(Unit.kWh/Unit.m2)</f>
        <v>8.8655073906928814E-4</v>
      </c>
      <c r="W58" s="1465">
        <f>92.8927864396801*(Unit.kWh/Unit.m2)</f>
        <v>9.2892786439680106E-4</v>
      </c>
      <c r="X58" s="1465">
        <f>97.3330616314968*(Unit.kWh/Unit.m2)</f>
        <v>9.7333061631496814E-4</v>
      </c>
      <c r="Y58" s="1465">
        <f>101.985581977482*(Unit.kWh/Unit.m2)</f>
        <v>1.0198558197748201E-3</v>
      </c>
      <c r="Z58" s="1465">
        <f>106.860492796006*(Unit.kWh/Unit.m2)</f>
        <v>1.06860492796006E-3</v>
      </c>
      <c r="AA58" s="1465">
        <f>111.968424351655*(Unit.kWh/Unit.m2)</f>
        <v>1.1196842435165502E-3</v>
      </c>
      <c r="AB58" s="1465">
        <f>117.320515035664*(Unit.kWh/Unit.m2)</f>
        <v>1.1732051503566402E-3</v>
      </c>
      <c r="AC58" s="1465">
        <f>122.928435654369*(Unit.kWh/Unit.m2)</f>
        <v>1.2292843565436902E-3</v>
      </c>
      <c r="AD58" s="1465">
        <f>128.804414878648*(Unit.kWh/Unit.m2)</f>
        <v>1.2880441487864802E-3</v>
      </c>
      <c r="AE58" s="1465">
        <f>134.961265909847*(Unit.kWh/Unit.m2)</f>
        <v>1.3496126590984701E-3</v>
      </c>
      <c r="AF58" s="1465">
        <f>141.412414420338*(Unit.kWh/Unit.m2)</f>
        <v>1.41412414420338E-3</v>
      </c>
      <c r="AG58" s="1465">
        <f>148.17192782963*(Unit.kWh/Unit.m2)</f>
        <v>1.4817192782963001E-3</v>
      </c>
      <c r="AH58" s="1465">
        <f>155.254545979886*(Unit.kWh/Unit.m2)</f>
        <v>1.55254545979886E-3</v>
      </c>
      <c r="AI58" s="1465">
        <f>162.675713277725*(Unit.kWh/Unit.m2)</f>
        <v>1.6267571327772503E-3</v>
      </c>
      <c r="AJ58" s="1465">
        <f>170.4516123724*(Unit.kWh/Unit.m2)</f>
        <v>1.7045161237240001E-3</v>
      </c>
      <c r="AK58" s="1465">
        <f>178.599199443801*(Unit.kWh/Unit.m2)</f>
        <v>1.7859919944380102E-3</v>
      </c>
      <c r="AL58" s="1465">
        <f>187.136241177215*(Unit.kWh/Unit.m2)</f>
        <v>1.8713624117721501E-3</v>
      </c>
      <c r="AM58" s="1465">
        <f>196.081353505486*(Unit.kWh/Unit.m2)</f>
        <v>1.9608135350548603E-3</v>
      </c>
      <c r="AN58" s="1465">
        <f>205.454042203048*(Unit.kWh/Unit.m2)</f>
        <v>2.0545404220304801E-3</v>
      </c>
      <c r="AO58" s="1465">
        <f>215.274745420353*(Unit.kWh/Unit.m2)</f>
        <v>2.1527474542035302E-3</v>
      </c>
      <c r="AP58" s="1465">
        <f>225.564878251446*(Unit.kWh/Unit.m2)</f>
        <v>2.2556487825144602E-3</v>
      </c>
      <c r="AQ58" s="1465">
        <f>236.346879431865*(Unit.kWh/Unit.m2)</f>
        <v>2.3634687943186504E-3</v>
      </c>
      <c r="AR58" s="1465">
        <f>247.644260268709*(Unit.kWh/Unit.m2)</f>
        <v>2.47644260268709E-3</v>
      </c>
      <c r="AS58" s="1465">
        <f>259.481655909553*(Unit.kWh/Unit.m2)</f>
        <v>2.5948165590955305E-3</v>
      </c>
      <c r="AT58" s="1465">
        <f>271.88487906203*(Unit.kWh/Unit.m2)</f>
        <v>2.7188487906203E-3</v>
      </c>
      <c r="AU58" s="1465">
        <f>284.880976281195*(Unit.kWh/Unit.m2)</f>
        <v>2.8488097628119502E-3</v>
      </c>
      <c r="AV58" s="1465">
        <f>298.498286947436*(Unit.kWh/Unit.m2)</f>
        <v>2.9849828694743603E-3</v>
      </c>
      <c r="AW58" s="1465">
        <f>312.766505063523*(Unit.kWh/Unit.m2)</f>
        <v>3.1276650506352303E-3</v>
      </c>
      <c r="AX58" s="1465">
        <f>327.71674400556*(Unit.kWh/Unit.m2)</f>
        <v>3.2771674400556001E-3</v>
      </c>
      <c r="AY58" s="1465">
        <f>343.381604369025*(Unit.kWh/Unit.m2)</f>
        <v>3.4338160436902503E-3</v>
      </c>
    </row>
    <row r="59" spans="2:51" ht="15.75">
      <c r="B59" s="152"/>
      <c r="C59" s="413"/>
      <c r="D59" s="414"/>
      <c r="E59" s="414"/>
      <c r="F59" s="613"/>
      <c r="G59" s="613"/>
      <c r="H59" s="613"/>
      <c r="I59" s="613"/>
      <c r="J59" s="613"/>
      <c r="K59" s="613"/>
      <c r="L59" s="613"/>
      <c r="M59" s="613"/>
      <c r="N59" s="613"/>
      <c r="O59" s="613"/>
      <c r="P59" s="123"/>
      <c r="Q59" s="1417"/>
    </row>
    <row r="60" spans="2:51" ht="15.75">
      <c r="B60" s="152"/>
      <c r="C60" s="416" t="s">
        <v>1297</v>
      </c>
      <c r="D60" s="415"/>
      <c r="E60" s="415"/>
      <c r="F60" s="415"/>
      <c r="G60" s="104"/>
      <c r="H60" s="415"/>
      <c r="I60" s="415"/>
      <c r="J60" s="415"/>
      <c r="K60" s="415"/>
      <c r="L60" s="415"/>
      <c r="M60" s="415"/>
      <c r="N60" s="415"/>
      <c r="O60" s="415"/>
      <c r="P60" s="123"/>
      <c r="Q60" s="1417"/>
    </row>
    <row r="61" spans="2:51" ht="15.75">
      <c r="B61" s="152"/>
      <c r="C61" s="415"/>
      <c r="D61" s="415"/>
      <c r="E61" s="415"/>
      <c r="F61" s="415"/>
      <c r="G61" s="415"/>
      <c r="H61" s="415"/>
      <c r="I61" s="415"/>
      <c r="J61" s="415"/>
      <c r="K61" s="415"/>
      <c r="L61" s="415"/>
      <c r="M61" s="415"/>
      <c r="N61" s="415"/>
      <c r="O61" s="104" t="s">
        <v>277</v>
      </c>
      <c r="P61" s="123"/>
      <c r="Q61" s="1417"/>
    </row>
    <row r="62" spans="2:51" ht="15.75">
      <c r="B62" s="152"/>
      <c r="C62" s="61" t="s">
        <v>69</v>
      </c>
      <c r="D62" s="61" t="s">
        <v>1290</v>
      </c>
      <c r="E62" s="61" t="s">
        <v>156</v>
      </c>
      <c r="F62" s="119">
        <v>2007</v>
      </c>
      <c r="G62" s="120">
        <f>F62+5</f>
        <v>2012</v>
      </c>
      <c r="H62" s="120">
        <f t="shared" ref="H62:O62" si="8">G62+5</f>
        <v>2017</v>
      </c>
      <c r="I62" s="120">
        <f t="shared" si="8"/>
        <v>2022</v>
      </c>
      <c r="J62" s="120">
        <f t="shared" si="8"/>
        <v>2027</v>
      </c>
      <c r="K62" s="120">
        <f t="shared" si="8"/>
        <v>2032</v>
      </c>
      <c r="L62" s="120">
        <f t="shared" si="8"/>
        <v>2037</v>
      </c>
      <c r="M62" s="120">
        <f t="shared" si="8"/>
        <v>2042</v>
      </c>
      <c r="N62" s="120">
        <f t="shared" si="8"/>
        <v>2047</v>
      </c>
      <c r="O62" s="120">
        <f t="shared" si="8"/>
        <v>2052</v>
      </c>
      <c r="P62" s="239"/>
      <c r="Q62" s="1417"/>
    </row>
    <row r="63" spans="2:51">
      <c r="B63" s="840"/>
      <c r="C63" s="78"/>
      <c r="D63" s="79" t="s">
        <v>1296</v>
      </c>
      <c r="E63" s="79"/>
      <c r="F63" s="1466">
        <v>0.18</v>
      </c>
      <c r="G63" s="1466">
        <v>0.18</v>
      </c>
      <c r="H63" s="1466">
        <v>0.18</v>
      </c>
      <c r="I63" s="1466">
        <v>0.18</v>
      </c>
      <c r="J63" s="1466">
        <v>0.18</v>
      </c>
      <c r="K63" s="1466">
        <v>0.18</v>
      </c>
      <c r="L63" s="1466">
        <v>0.18</v>
      </c>
      <c r="M63" s="1466">
        <v>0.18</v>
      </c>
      <c r="N63" s="1466">
        <v>0.18</v>
      </c>
      <c r="O63" s="1466">
        <v>0.18</v>
      </c>
      <c r="P63" s="848"/>
      <c r="Q63" s="1417"/>
    </row>
    <row r="64" spans="2:51" ht="5.25" customHeight="1">
      <c r="B64" s="155"/>
      <c r="C64" s="413"/>
      <c r="D64" s="414"/>
      <c r="E64" s="414"/>
      <c r="F64" s="613"/>
      <c r="G64" s="613"/>
      <c r="H64" s="613"/>
      <c r="I64" s="613"/>
      <c r="J64" s="613"/>
      <c r="K64" s="613"/>
      <c r="L64" s="613"/>
      <c r="M64" s="613"/>
      <c r="N64" s="613"/>
      <c r="O64" s="613"/>
      <c r="P64" s="239"/>
      <c r="Q64" s="1417"/>
    </row>
    <row r="65" spans="2:17" ht="15.75">
      <c r="B65" s="152"/>
      <c r="C65" s="416" t="s">
        <v>1295</v>
      </c>
      <c r="D65" s="415"/>
      <c r="E65" s="415"/>
      <c r="F65" s="415"/>
      <c r="G65" s="104"/>
      <c r="H65" s="415"/>
      <c r="I65" s="415"/>
      <c r="J65" s="415"/>
      <c r="K65" s="415"/>
      <c r="L65" s="415"/>
      <c r="M65" s="415"/>
      <c r="N65" s="415"/>
      <c r="O65" s="415"/>
      <c r="P65" s="1357"/>
      <c r="Q65" s="1417"/>
    </row>
    <row r="66" spans="2:17" ht="15.75">
      <c r="B66" s="152"/>
      <c r="C66" s="415"/>
      <c r="D66" s="415"/>
      <c r="E66" s="415"/>
      <c r="F66" s="415"/>
      <c r="G66" s="415"/>
      <c r="H66" s="415"/>
      <c r="I66" s="415"/>
      <c r="J66" s="415"/>
      <c r="K66" s="415"/>
      <c r="L66" s="415"/>
      <c r="M66" s="415"/>
      <c r="N66" s="415"/>
      <c r="O66" s="104" t="s">
        <v>277</v>
      </c>
      <c r="P66" s="1467"/>
      <c r="Q66" s="1417"/>
    </row>
    <row r="67" spans="2:17" ht="15.75">
      <c r="B67" s="152"/>
      <c r="C67" s="61" t="s">
        <v>69</v>
      </c>
      <c r="D67" s="61" t="s">
        <v>1290</v>
      </c>
      <c r="E67" s="61" t="s">
        <v>156</v>
      </c>
      <c r="F67" s="119">
        <v>2007</v>
      </c>
      <c r="G67" s="120">
        <f>F67+5</f>
        <v>2012</v>
      </c>
      <c r="H67" s="120">
        <f t="shared" ref="H67:O67" si="9">G67+5</f>
        <v>2017</v>
      </c>
      <c r="I67" s="120">
        <f t="shared" si="9"/>
        <v>2022</v>
      </c>
      <c r="J67" s="120">
        <f t="shared" si="9"/>
        <v>2027</v>
      </c>
      <c r="K67" s="120">
        <f t="shared" si="9"/>
        <v>2032</v>
      </c>
      <c r="L67" s="120">
        <f t="shared" si="9"/>
        <v>2037</v>
      </c>
      <c r="M67" s="120">
        <f t="shared" si="9"/>
        <v>2042</v>
      </c>
      <c r="N67" s="120">
        <f t="shared" si="9"/>
        <v>2047</v>
      </c>
      <c r="O67" s="120">
        <f t="shared" si="9"/>
        <v>2052</v>
      </c>
      <c r="P67" s="98"/>
      <c r="Q67" s="1417"/>
    </row>
    <row r="68" spans="2:17" ht="15.75">
      <c r="B68" s="152"/>
      <c r="C68" s="69">
        <v>1</v>
      </c>
      <c r="D68" s="69" t="s">
        <v>1296</v>
      </c>
      <c r="E68" s="412"/>
      <c r="F68" s="1416">
        <v>0.1</v>
      </c>
      <c r="G68" s="1416">
        <v>0.1</v>
      </c>
      <c r="H68" s="1416">
        <v>0.1</v>
      </c>
      <c r="I68" s="1416">
        <v>0.1</v>
      </c>
      <c r="J68" s="1416">
        <v>0.1</v>
      </c>
      <c r="K68" s="1416">
        <v>0.1</v>
      </c>
      <c r="L68" s="1416">
        <v>0.1</v>
      </c>
      <c r="M68" s="1416">
        <v>0.1</v>
      </c>
      <c r="N68" s="1416">
        <v>0.1</v>
      </c>
      <c r="O68" s="1416">
        <v>0.1</v>
      </c>
      <c r="P68" s="98"/>
      <c r="Q68" s="1417"/>
    </row>
    <row r="69" spans="2:17" ht="15.75">
      <c r="B69" s="152"/>
      <c r="C69" s="69">
        <v>2</v>
      </c>
      <c r="D69" s="69" t="s">
        <v>1296</v>
      </c>
      <c r="E69" s="412"/>
      <c r="F69" s="1416">
        <v>0.1</v>
      </c>
      <c r="G69" s="1416">
        <v>0.1</v>
      </c>
      <c r="H69" s="1416">
        <v>0.1</v>
      </c>
      <c r="I69" s="1416">
        <v>0.1</v>
      </c>
      <c r="J69" s="1416">
        <v>0.1</v>
      </c>
      <c r="K69" s="1416">
        <v>0.1</v>
      </c>
      <c r="L69" s="1416">
        <v>0.1</v>
      </c>
      <c r="M69" s="1416">
        <v>0.1</v>
      </c>
      <c r="N69" s="1416">
        <v>0.1</v>
      </c>
      <c r="O69" s="1416">
        <v>0.1</v>
      </c>
      <c r="P69" s="98"/>
      <c r="Q69" s="1417"/>
    </row>
    <row r="70" spans="2:17" ht="15.75">
      <c r="B70" s="152"/>
      <c r="C70" s="69">
        <v>3</v>
      </c>
      <c r="D70" s="69" t="s">
        <v>1296</v>
      </c>
      <c r="E70" s="412"/>
      <c r="F70" s="1416">
        <v>0.1</v>
      </c>
      <c r="G70" s="1416">
        <v>0.1</v>
      </c>
      <c r="H70" s="1416">
        <v>0.15</v>
      </c>
      <c r="I70" s="1416">
        <v>0.15</v>
      </c>
      <c r="J70" s="1416">
        <v>0.15</v>
      </c>
      <c r="K70" s="1416">
        <v>0.15</v>
      </c>
      <c r="L70" s="1416">
        <v>0.15</v>
      </c>
      <c r="M70" s="1416">
        <v>0.15</v>
      </c>
      <c r="N70" s="1416">
        <v>0.15</v>
      </c>
      <c r="O70" s="1416">
        <v>0.15</v>
      </c>
      <c r="P70" s="98"/>
      <c r="Q70" s="1417"/>
    </row>
    <row r="71" spans="2:17" ht="15.75">
      <c r="B71" s="152"/>
      <c r="C71" s="2751">
        <v>4</v>
      </c>
      <c r="D71" s="2752" t="s">
        <v>1296</v>
      </c>
      <c r="E71" s="112"/>
      <c r="F71" s="2753">
        <v>0.1</v>
      </c>
      <c r="G71" s="2753">
        <v>0.1</v>
      </c>
      <c r="H71" s="2753">
        <v>0.15</v>
      </c>
      <c r="I71" s="2753">
        <v>0.15</v>
      </c>
      <c r="J71" s="2753">
        <v>0.2</v>
      </c>
      <c r="K71" s="2753">
        <v>0.2</v>
      </c>
      <c r="L71" s="2753">
        <v>0.25</v>
      </c>
      <c r="M71" s="2753">
        <v>0.25</v>
      </c>
      <c r="N71" s="2753">
        <v>0.3</v>
      </c>
      <c r="O71" s="2753">
        <v>0.3</v>
      </c>
      <c r="P71" s="98"/>
      <c r="Q71" s="1417"/>
    </row>
    <row r="72" spans="2:17" ht="15.75">
      <c r="B72" s="152"/>
      <c r="C72" s="415"/>
      <c r="D72" s="105"/>
      <c r="E72" s="415"/>
      <c r="F72" s="415"/>
      <c r="G72" s="415"/>
      <c r="H72" s="415"/>
      <c r="I72" s="415"/>
      <c r="J72" s="415"/>
      <c r="K72" s="415"/>
      <c r="L72" s="415"/>
      <c r="M72" s="415"/>
      <c r="N72" s="415"/>
      <c r="O72" s="415"/>
      <c r="P72" s="98"/>
      <c r="Q72" s="1417"/>
    </row>
    <row r="73" spans="2:17" ht="15.75">
      <c r="B73" s="152"/>
      <c r="C73" s="416" t="s">
        <v>1298</v>
      </c>
      <c r="D73" s="415"/>
      <c r="E73" s="415"/>
      <c r="F73" s="415"/>
      <c r="G73" s="104"/>
      <c r="H73" s="415"/>
      <c r="I73" s="415"/>
      <c r="J73" s="415"/>
      <c r="K73" s="415"/>
      <c r="L73" s="415"/>
      <c r="M73" s="415"/>
      <c r="N73" s="415"/>
      <c r="O73" s="415"/>
      <c r="P73" s="98"/>
      <c r="Q73" s="1417"/>
    </row>
    <row r="74" spans="2:17" ht="15.75">
      <c r="B74" s="152"/>
      <c r="C74" s="415"/>
      <c r="D74" s="415"/>
      <c r="E74" s="415"/>
      <c r="F74" s="415"/>
      <c r="G74" s="415"/>
      <c r="H74" s="415"/>
      <c r="I74" s="415"/>
      <c r="J74" s="415"/>
      <c r="K74" s="415"/>
      <c r="L74" s="415"/>
      <c r="M74" s="415"/>
      <c r="N74" s="415"/>
      <c r="O74" s="415" t="str">
        <f>Preferences.AreaUnits</f>
        <v>ha</v>
      </c>
      <c r="P74" s="98"/>
      <c r="Q74" s="1417"/>
    </row>
    <row r="75" spans="2:17" ht="15.75">
      <c r="B75" s="152"/>
      <c r="C75" s="924" t="s">
        <v>227</v>
      </c>
      <c r="D75" s="924" t="s">
        <v>240</v>
      </c>
      <c r="E75" s="924" t="s">
        <v>156</v>
      </c>
      <c r="F75" s="922">
        <v>2007</v>
      </c>
      <c r="G75" s="923">
        <f>F75+5</f>
        <v>2012</v>
      </c>
      <c r="H75" s="923">
        <f t="shared" ref="H75:O75" si="10">G75+5</f>
        <v>2017</v>
      </c>
      <c r="I75" s="923">
        <f t="shared" si="10"/>
        <v>2022</v>
      </c>
      <c r="J75" s="923">
        <f t="shared" si="10"/>
        <v>2027</v>
      </c>
      <c r="K75" s="923">
        <f t="shared" si="10"/>
        <v>2032</v>
      </c>
      <c r="L75" s="923">
        <f t="shared" si="10"/>
        <v>2037</v>
      </c>
      <c r="M75" s="923">
        <f t="shared" si="10"/>
        <v>2042</v>
      </c>
      <c r="N75" s="923">
        <f t="shared" si="10"/>
        <v>2047</v>
      </c>
      <c r="O75" s="923">
        <f t="shared" si="10"/>
        <v>2052</v>
      </c>
      <c r="P75" s="98"/>
      <c r="Q75" s="1417"/>
    </row>
    <row r="76" spans="2:17" ht="15.75">
      <c r="B76" s="152"/>
      <c r="C76" s="413"/>
      <c r="D76" s="414" t="s">
        <v>1291</v>
      </c>
      <c r="E76" s="414"/>
      <c r="F76" s="519">
        <f>499255147.82*(Unit.m2)</f>
        <v>49925.514781999998</v>
      </c>
      <c r="G76" s="519">
        <f>745155167.024481*(Unit.m2)</f>
        <v>74515.516702448105</v>
      </c>
      <c r="H76" s="519">
        <f>1113536070.07914*(Unit.m2)</f>
        <v>111353.607007914</v>
      </c>
      <c r="I76" s="519">
        <f>1666199773.38617*(Unit.m2)</f>
        <v>166619.977338617</v>
      </c>
      <c r="J76" s="519">
        <f>2496589871.42812*(Unit.m2)</f>
        <v>249658.98714281202</v>
      </c>
      <c r="K76" s="519">
        <f>3746251454.34566*(Unit.m2)</f>
        <v>374625.14543456602</v>
      </c>
      <c r="L76" s="519">
        <f>5629998589.57444*(Unit.m2)</f>
        <v>562999.85895744408</v>
      </c>
      <c r="M76" s="519">
        <f>8474476111.71201*(Unit.m2)</f>
        <v>847447.6111712011</v>
      </c>
      <c r="N76" s="519">
        <f>12777368179.1228*(Unit.m2)</f>
        <v>1277736.8179122801</v>
      </c>
      <c r="O76" s="519">
        <f>19298499672.4086*(Unit.m2)</f>
        <v>1929849.96724086</v>
      </c>
      <c r="P76" s="98"/>
      <c r="Q76" s="1417"/>
    </row>
    <row r="77" spans="2:17" ht="15.75">
      <c r="B77" s="152"/>
      <c r="C77" s="413"/>
      <c r="D77" s="414" t="s">
        <v>1291</v>
      </c>
      <c r="E77" s="414" t="s">
        <v>1299</v>
      </c>
      <c r="F77" s="519">
        <f>(0.5*F76)</f>
        <v>24962.757390999999</v>
      </c>
      <c r="G77" s="519">
        <f t="shared" ref="G77:O77" si="11">(0.5*G76)</f>
        <v>37257.758351224053</v>
      </c>
      <c r="H77" s="519">
        <f t="shared" si="11"/>
        <v>55676.803503957002</v>
      </c>
      <c r="I77" s="519">
        <f t="shared" si="11"/>
        <v>83309.988669308499</v>
      </c>
      <c r="J77" s="519">
        <f t="shared" si="11"/>
        <v>124829.49357140601</v>
      </c>
      <c r="K77" s="519">
        <f t="shared" si="11"/>
        <v>187312.57271728301</v>
      </c>
      <c r="L77" s="519">
        <f t="shared" si="11"/>
        <v>281499.92947872204</v>
      </c>
      <c r="M77" s="519">
        <f t="shared" si="11"/>
        <v>423723.80558560055</v>
      </c>
      <c r="N77" s="519">
        <f t="shared" si="11"/>
        <v>638868.40895614005</v>
      </c>
      <c r="O77" s="519">
        <f t="shared" si="11"/>
        <v>964924.98362042999</v>
      </c>
      <c r="P77" s="98"/>
      <c r="Q77" s="1417"/>
    </row>
    <row r="78" spans="2:17" ht="15.75">
      <c r="B78" s="152"/>
      <c r="C78" s="413"/>
      <c r="D78" s="414" t="s">
        <v>1293</v>
      </c>
      <c r="E78" s="414"/>
      <c r="F78" s="519">
        <f>1669536587.25*(Unit.m2)</f>
        <v>166953.65872500002</v>
      </c>
      <c r="G78" s="519">
        <f>2130798764.22635*(Unit.m2)</f>
        <v>213079.87642263502</v>
      </c>
      <c r="H78" s="519">
        <f>2719499176.17987*(Unit.m2)</f>
        <v>271949.91761798703</v>
      </c>
      <c r="I78" s="519">
        <f>3470846657.79231*(Unit.m2)</f>
        <v>347084.66577923106</v>
      </c>
      <c r="J78" s="519">
        <f>4429777595.60507*(Unit.m2)</f>
        <v>442977.75956050702</v>
      </c>
      <c r="K78" s="519">
        <f>5653643471.24634*(Unit.m2)</f>
        <v>565364.34712463396</v>
      </c>
      <c r="L78" s="519">
        <f>7215640923.3002*(Unit.m2)</f>
        <v>721564.09233002004</v>
      </c>
      <c r="M78" s="519">
        <f>9209189472.02852*(Unit.m2)</f>
        <v>920918.94720285211</v>
      </c>
      <c r="N78" s="519">
        <f>11753518728.7191*(Unit.m2)</f>
        <v>1175351.8728719102</v>
      </c>
      <c r="O78" s="519">
        <f>15000799247.9626*(Unit.m2)</f>
        <v>1500079.9247962602</v>
      </c>
      <c r="P78" s="98"/>
      <c r="Q78" s="1417"/>
    </row>
    <row r="79" spans="2:17" ht="15.75">
      <c r="B79" s="152"/>
      <c r="C79" s="111"/>
      <c r="D79" s="112" t="s">
        <v>1296</v>
      </c>
      <c r="E79" s="112"/>
      <c r="F79" s="520">
        <f>(F76+F78)</f>
        <v>216879.17350700003</v>
      </c>
      <c r="G79" s="520">
        <f t="shared" ref="G79:O79" si="12">(G76+G78)</f>
        <v>287595.39312508312</v>
      </c>
      <c r="H79" s="520">
        <f t="shared" si="12"/>
        <v>383303.52462590102</v>
      </c>
      <c r="I79" s="520">
        <f t="shared" si="12"/>
        <v>513704.64311784809</v>
      </c>
      <c r="J79" s="520">
        <f t="shared" si="12"/>
        <v>692636.74670331902</v>
      </c>
      <c r="K79" s="520">
        <f t="shared" si="12"/>
        <v>939989.49255919992</v>
      </c>
      <c r="L79" s="520">
        <f t="shared" si="12"/>
        <v>1284563.9512874642</v>
      </c>
      <c r="M79" s="520">
        <f t="shared" si="12"/>
        <v>1768366.5583740533</v>
      </c>
      <c r="N79" s="520">
        <f t="shared" si="12"/>
        <v>2453088.6907841903</v>
      </c>
      <c r="O79" s="520">
        <f t="shared" si="12"/>
        <v>3429929.8920371202</v>
      </c>
      <c r="P79" s="98"/>
      <c r="Q79" s="1417"/>
    </row>
    <row r="80" spans="2:17" ht="15.75">
      <c r="B80" s="152"/>
      <c r="C80" s="1468" t="s">
        <v>1300</v>
      </c>
      <c r="D80" s="414"/>
      <c r="E80" s="414"/>
      <c r="F80" s="415"/>
      <c r="G80" s="415"/>
      <c r="H80" s="415"/>
      <c r="I80" s="415"/>
      <c r="J80" s="415"/>
      <c r="K80" s="415"/>
      <c r="L80" s="415"/>
      <c r="M80" s="415"/>
      <c r="N80" s="415"/>
      <c r="O80" s="415"/>
      <c r="P80" s="98"/>
      <c r="Q80" s="1417"/>
    </row>
    <row r="81" spans="2:55" ht="15.75">
      <c r="B81" s="152"/>
      <c r="C81" s="413"/>
      <c r="D81" s="414"/>
      <c r="E81" s="414"/>
      <c r="F81" s="415"/>
      <c r="G81" s="415"/>
      <c r="H81" s="415"/>
      <c r="I81" s="415"/>
      <c r="J81" s="415"/>
      <c r="K81" s="415"/>
      <c r="L81" s="415"/>
      <c r="M81" s="415"/>
      <c r="N81" s="415"/>
      <c r="O81" s="415"/>
      <c r="P81" s="98"/>
      <c r="Q81" s="1417"/>
    </row>
    <row r="82" spans="2:55" ht="15.75">
      <c r="B82" s="152"/>
      <c r="C82" s="416" t="s">
        <v>1301</v>
      </c>
      <c r="D82" s="415"/>
      <c r="E82" s="104"/>
      <c r="F82" s="415"/>
      <c r="G82" s="415"/>
      <c r="H82" s="415"/>
      <c r="I82" s="415"/>
      <c r="J82" s="415"/>
      <c r="K82" s="415"/>
      <c r="L82" s="415"/>
      <c r="M82" s="415"/>
      <c r="N82" s="415"/>
      <c r="O82" s="104"/>
      <c r="P82" s="137"/>
      <c r="Q82" s="1417"/>
      <c r="R82" s="1204"/>
      <c r="S82" s="1204"/>
      <c r="T82" s="1204"/>
      <c r="U82" s="1204"/>
      <c r="V82" s="1204"/>
      <c r="W82" s="1204"/>
      <c r="X82" s="1204"/>
      <c r="Y82" s="1204"/>
      <c r="Z82" s="1204"/>
      <c r="AA82" s="1204"/>
      <c r="AB82" s="1204"/>
      <c r="AC82" s="1204"/>
      <c r="AD82" s="1204"/>
      <c r="AE82" s="1204"/>
      <c r="AF82" s="1204"/>
      <c r="AG82" s="1204"/>
      <c r="AH82" s="1204"/>
      <c r="AI82" s="1204"/>
      <c r="AJ82" s="1204"/>
      <c r="AK82" s="1204"/>
      <c r="AL82" s="1204"/>
      <c r="AM82" s="1204"/>
      <c r="AN82" s="1204"/>
      <c r="AO82" s="1204"/>
      <c r="AP82" s="1204"/>
      <c r="AQ82" s="1204"/>
      <c r="AR82" s="1204"/>
      <c r="AS82" s="1204"/>
      <c r="AT82" s="1204"/>
      <c r="AU82" s="1204"/>
      <c r="AV82" s="1204"/>
      <c r="AW82" s="1204"/>
      <c r="AX82" s="1204"/>
      <c r="AY82" s="1204"/>
      <c r="AZ82" s="1204"/>
      <c r="BA82" s="1204"/>
      <c r="BB82" s="1204"/>
      <c r="BC82" s="1204"/>
    </row>
    <row r="83" spans="2:55">
      <c r="B83" s="155"/>
      <c r="C83" s="415"/>
      <c r="D83" s="415"/>
      <c r="E83" s="415"/>
      <c r="F83" s="415"/>
      <c r="G83" s="415"/>
      <c r="H83" s="415"/>
      <c r="I83" s="415"/>
      <c r="J83" s="415"/>
      <c r="K83" s="415"/>
      <c r="L83" s="415"/>
      <c r="M83" s="415"/>
      <c r="N83" s="415"/>
      <c r="O83" s="415" t="s">
        <v>277</v>
      </c>
      <c r="P83" s="239"/>
      <c r="Q83" s="1417"/>
      <c r="R83" s="1204"/>
      <c r="S83" s="1204"/>
      <c r="T83" s="1204"/>
      <c r="U83" s="1204"/>
      <c r="V83" s="1204"/>
      <c r="W83" s="1204"/>
      <c r="X83" s="1204"/>
      <c r="Y83" s="1204"/>
      <c r="Z83" s="1204"/>
      <c r="AA83" s="1204"/>
      <c r="AB83" s="1204"/>
      <c r="AC83" s="1204"/>
      <c r="AD83" s="1204"/>
      <c r="AE83" s="1204"/>
      <c r="AF83" s="1204"/>
      <c r="AG83" s="1204"/>
      <c r="AH83" s="1204"/>
      <c r="AI83" s="1204"/>
      <c r="AJ83" s="1204"/>
      <c r="AK83" s="1204"/>
      <c r="AL83" s="1204"/>
      <c r="AM83" s="1204"/>
      <c r="AN83" s="1204"/>
      <c r="AO83" s="1204"/>
      <c r="AP83" s="1204"/>
      <c r="AQ83" s="1204"/>
      <c r="AR83" s="1204"/>
      <c r="AS83" s="1204"/>
      <c r="AT83" s="1204"/>
      <c r="AU83" s="1204"/>
      <c r="AV83" s="1204"/>
      <c r="AW83" s="1204"/>
      <c r="AX83" s="1204"/>
      <c r="AY83" s="242" t="s">
        <v>277</v>
      </c>
      <c r="AZ83" s="1204"/>
      <c r="BA83" s="1204"/>
      <c r="BB83" s="1204"/>
      <c r="BC83" s="1204"/>
    </row>
    <row r="84" spans="2:55">
      <c r="B84" s="155"/>
      <c r="C84" s="61" t="s">
        <v>411</v>
      </c>
      <c r="D84" s="61" t="s">
        <v>65</v>
      </c>
      <c r="E84" s="61" t="s">
        <v>156</v>
      </c>
      <c r="F84" s="119">
        <v>2007</v>
      </c>
      <c r="G84" s="120">
        <f>F84+5</f>
        <v>2012</v>
      </c>
      <c r="H84" s="120">
        <f t="shared" ref="H84:N84" si="13">G84+5</f>
        <v>2017</v>
      </c>
      <c r="I84" s="120">
        <f t="shared" si="13"/>
        <v>2022</v>
      </c>
      <c r="J84" s="120">
        <f t="shared" si="13"/>
        <v>2027</v>
      </c>
      <c r="K84" s="120">
        <f t="shared" si="13"/>
        <v>2032</v>
      </c>
      <c r="L84" s="120">
        <f t="shared" si="13"/>
        <v>2037</v>
      </c>
      <c r="M84" s="120">
        <f t="shared" si="13"/>
        <v>2042</v>
      </c>
      <c r="N84" s="120">
        <f t="shared" si="13"/>
        <v>2047</v>
      </c>
      <c r="O84" s="120">
        <f>N84+5</f>
        <v>2052</v>
      </c>
      <c r="P84" s="227"/>
      <c r="Q84" s="227"/>
      <c r="R84" s="409"/>
      <c r="S84" s="409"/>
      <c r="T84" s="409"/>
      <c r="U84" s="409"/>
      <c r="V84" s="409"/>
      <c r="W84" s="409"/>
      <c r="X84" s="409"/>
      <c r="Y84" s="409"/>
      <c r="Z84" s="409"/>
      <c r="AA84" s="409"/>
      <c r="AB84" s="409"/>
      <c r="AC84" s="409"/>
      <c r="AD84" s="409"/>
      <c r="AE84" s="409"/>
      <c r="AF84" s="409"/>
      <c r="AG84" s="409"/>
      <c r="AH84" s="409"/>
      <c r="AI84" s="409"/>
      <c r="AJ84" s="409"/>
      <c r="AK84" s="409"/>
      <c r="AL84" s="409"/>
      <c r="AM84" s="409"/>
      <c r="AN84" s="409"/>
      <c r="AO84" s="409"/>
      <c r="AP84" s="409"/>
      <c r="AQ84" s="409"/>
      <c r="AR84" s="409"/>
      <c r="AS84" s="409"/>
      <c r="AT84" s="409"/>
      <c r="AU84" s="409"/>
      <c r="AV84" s="409"/>
      <c r="AW84" s="409"/>
      <c r="AX84" s="409"/>
      <c r="AY84" s="409"/>
      <c r="AZ84" s="1204"/>
      <c r="BA84" s="1204"/>
      <c r="BB84" s="1204"/>
      <c r="BC84" s="1204"/>
    </row>
    <row r="85" spans="2:55" ht="13.5" customHeight="1">
      <c r="B85" s="155"/>
      <c r="C85" s="413">
        <v>1</v>
      </c>
      <c r="D85" s="414"/>
      <c r="E85" s="96"/>
      <c r="F85" s="1984">
        <v>7.0000000000000007E-2</v>
      </c>
      <c r="G85" s="1984">
        <v>7.0000000000000007E-2</v>
      </c>
      <c r="H85" s="1984">
        <v>7.5175864665004533E-2</v>
      </c>
      <c r="I85" s="1984">
        <v>8.2187150247704246E-2</v>
      </c>
      <c r="J85" s="1984">
        <v>8.9852344179063862E-2</v>
      </c>
      <c r="K85" s="1984">
        <v>0.1</v>
      </c>
      <c r="L85" s="1984">
        <v>0.1</v>
      </c>
      <c r="M85" s="1984">
        <v>0.1</v>
      </c>
      <c r="N85" s="1984">
        <v>0.1</v>
      </c>
      <c r="O85" s="1984">
        <v>0.1</v>
      </c>
      <c r="P85" s="2623"/>
      <c r="Q85" s="2623"/>
      <c r="R85" s="505"/>
      <c r="S85" s="505"/>
      <c r="T85" s="505"/>
      <c r="U85" s="505"/>
      <c r="V85" s="505"/>
      <c r="W85" s="505"/>
      <c r="X85" s="505"/>
      <c r="Y85" s="505"/>
      <c r="Z85" s="505"/>
      <c r="AA85" s="505"/>
      <c r="AB85" s="505"/>
      <c r="AC85" s="505"/>
      <c r="AD85" s="505"/>
      <c r="AE85" s="505"/>
      <c r="AF85" s="505"/>
      <c r="AG85" s="505"/>
      <c r="AH85" s="505"/>
      <c r="AI85" s="505"/>
      <c r="AJ85" s="505"/>
      <c r="AK85" s="505"/>
      <c r="AL85" s="505"/>
      <c r="AM85" s="505"/>
      <c r="AN85" s="505"/>
      <c r="AO85" s="505"/>
      <c r="AP85" s="505"/>
      <c r="AQ85" s="505"/>
      <c r="AR85" s="505"/>
      <c r="AS85" s="505"/>
      <c r="AT85" s="505"/>
      <c r="AU85" s="505"/>
      <c r="AV85" s="505"/>
      <c r="AW85" s="505"/>
      <c r="AX85" s="505"/>
      <c r="AY85" s="505"/>
      <c r="AZ85" s="1204"/>
      <c r="BA85" s="1204"/>
      <c r="BB85" s="1204"/>
      <c r="BC85" s="1204"/>
    </row>
    <row r="86" spans="2:55">
      <c r="B86" s="155"/>
      <c r="C86" s="413">
        <v>2</v>
      </c>
      <c r="D86" s="414"/>
      <c r="E86" s="414"/>
      <c r="F86" s="1984">
        <v>7.0000000000000007E-2</v>
      </c>
      <c r="G86" s="1984">
        <v>7.0000000000000007E-2</v>
      </c>
      <c r="H86" s="1984">
        <v>0.10372237030430084</v>
      </c>
      <c r="I86" s="1984">
        <v>0.16956664364909949</v>
      </c>
      <c r="J86" s="1984">
        <v>0.27720969501627801</v>
      </c>
      <c r="K86" s="1984">
        <v>0.5</v>
      </c>
      <c r="L86" s="1984">
        <v>0.5</v>
      </c>
      <c r="M86" s="1984">
        <v>0.5</v>
      </c>
      <c r="N86" s="1984">
        <v>0.5</v>
      </c>
      <c r="O86" s="1984">
        <v>0.5</v>
      </c>
      <c r="P86" s="2624"/>
      <c r="Q86" s="2623"/>
      <c r="R86" s="505"/>
      <c r="S86" s="505"/>
      <c r="T86" s="505"/>
      <c r="U86" s="505"/>
      <c r="V86" s="505"/>
      <c r="W86" s="505"/>
      <c r="X86" s="505"/>
      <c r="Y86" s="505"/>
      <c r="Z86" s="505"/>
      <c r="AA86" s="505"/>
      <c r="AB86" s="505"/>
      <c r="AC86" s="505"/>
      <c r="AD86" s="505"/>
      <c r="AE86" s="505"/>
      <c r="AF86" s="505"/>
      <c r="AG86" s="505"/>
      <c r="AH86" s="505"/>
      <c r="AI86" s="505"/>
      <c r="AJ86" s="505"/>
      <c r="AK86" s="505"/>
      <c r="AL86" s="505"/>
      <c r="AM86" s="505"/>
      <c r="AN86" s="505"/>
      <c r="AO86" s="505"/>
      <c r="AP86" s="505"/>
      <c r="AQ86" s="505"/>
      <c r="AR86" s="505"/>
      <c r="AS86" s="505"/>
      <c r="AT86" s="505"/>
      <c r="AU86" s="505"/>
      <c r="AV86" s="505"/>
      <c r="AW86" s="505"/>
      <c r="AX86" s="505"/>
      <c r="AY86" s="505"/>
      <c r="AZ86" s="1204"/>
      <c r="BA86" s="1204"/>
      <c r="BB86" s="1204"/>
      <c r="BC86" s="1204"/>
    </row>
    <row r="87" spans="2:55">
      <c r="B87" s="155"/>
      <c r="C87" s="413">
        <v>3</v>
      </c>
      <c r="D87" s="414"/>
      <c r="E87" s="414"/>
      <c r="F87" s="1984">
        <v>7.0000000000000007E-2</v>
      </c>
      <c r="G87" s="1984">
        <v>7.0000000000000007E-2</v>
      </c>
      <c r="H87" s="1984">
        <v>0.11248398263672876</v>
      </c>
      <c r="I87" s="1984">
        <v>0.20350800201809624</v>
      </c>
      <c r="J87" s="1984">
        <v>0.3681902606449346</v>
      </c>
      <c r="K87" s="1984">
        <v>0.75</v>
      </c>
      <c r="L87" s="1984">
        <v>0.75</v>
      </c>
      <c r="M87" s="1984">
        <v>0.75</v>
      </c>
      <c r="N87" s="1984">
        <v>0.75</v>
      </c>
      <c r="O87" s="1984">
        <v>0.75</v>
      </c>
      <c r="P87" s="2625"/>
      <c r="Q87" s="2623"/>
      <c r="R87" s="505"/>
      <c r="S87" s="505"/>
      <c r="T87" s="505"/>
      <c r="U87" s="505"/>
      <c r="V87" s="505"/>
      <c r="W87" s="505"/>
      <c r="X87" s="505"/>
      <c r="Y87" s="505"/>
      <c r="Z87" s="505"/>
      <c r="AA87" s="505"/>
      <c r="AB87" s="505"/>
      <c r="AC87" s="505"/>
      <c r="AD87" s="505"/>
      <c r="AE87" s="505"/>
      <c r="AF87" s="505"/>
      <c r="AG87" s="505"/>
      <c r="AH87" s="505"/>
      <c r="AI87" s="505"/>
      <c r="AJ87" s="505"/>
      <c r="AK87" s="505"/>
      <c r="AL87" s="505"/>
      <c r="AM87" s="505"/>
      <c r="AN87" s="505"/>
      <c r="AO87" s="505"/>
      <c r="AP87" s="505"/>
      <c r="AQ87" s="505"/>
      <c r="AR87" s="505"/>
      <c r="AS87" s="505"/>
      <c r="AT87" s="505"/>
      <c r="AU87" s="505"/>
      <c r="AV87" s="505"/>
      <c r="AW87" s="505"/>
      <c r="AX87" s="505"/>
      <c r="AY87" s="505"/>
      <c r="AZ87" s="1204"/>
      <c r="BA87" s="1204"/>
      <c r="BB87" s="1204"/>
      <c r="BC87" s="1204"/>
    </row>
    <row r="88" spans="2:55" ht="15.75">
      <c r="B88" s="152"/>
      <c r="C88" s="411">
        <v>4</v>
      </c>
      <c r="D88" s="65"/>
      <c r="E88" s="65"/>
      <c r="F88" s="1984">
        <v>7.0000000000000007E-2</v>
      </c>
      <c r="G88" s="1984">
        <v>7.0000000000000007E-2</v>
      </c>
      <c r="H88" s="1984">
        <v>0.11914571614494367</v>
      </c>
      <c r="I88" s="1984">
        <v>0.23163486142739687</v>
      </c>
      <c r="J88" s="1984">
        <v>0.45032847814030574</v>
      </c>
      <c r="K88" s="1984">
        <v>1</v>
      </c>
      <c r="L88" s="1984">
        <v>1</v>
      </c>
      <c r="M88" s="1984">
        <v>1</v>
      </c>
      <c r="N88" s="1984">
        <v>1</v>
      </c>
      <c r="O88" s="1984">
        <v>1</v>
      </c>
      <c r="P88" s="1525"/>
      <c r="Q88" s="2623"/>
      <c r="R88" s="505"/>
      <c r="S88" s="505"/>
      <c r="T88" s="505"/>
      <c r="U88" s="505"/>
      <c r="V88" s="505"/>
      <c r="W88" s="505"/>
      <c r="X88" s="505"/>
      <c r="Y88" s="505"/>
      <c r="Z88" s="505"/>
      <c r="AA88" s="505"/>
      <c r="AB88" s="505"/>
      <c r="AC88" s="505"/>
      <c r="AD88" s="505"/>
      <c r="AE88" s="505"/>
      <c r="AF88" s="505"/>
      <c r="AG88" s="505"/>
      <c r="AH88" s="505"/>
      <c r="AI88" s="505"/>
      <c r="AJ88" s="505"/>
      <c r="AK88" s="505"/>
      <c r="AL88" s="505"/>
      <c r="AM88" s="505"/>
      <c r="AN88" s="505"/>
      <c r="AO88" s="505"/>
      <c r="AP88" s="505"/>
      <c r="AQ88" s="505"/>
      <c r="AR88" s="505"/>
      <c r="AS88" s="505"/>
      <c r="AT88" s="505"/>
      <c r="AU88" s="505"/>
      <c r="AV88" s="505"/>
      <c r="AW88" s="505"/>
      <c r="AX88" s="505"/>
      <c r="AY88" s="505"/>
      <c r="AZ88" s="1204"/>
      <c r="BA88" s="1204"/>
      <c r="BB88" s="1204"/>
      <c r="BC88" s="1204"/>
    </row>
    <row r="89" spans="2:55" ht="15.75">
      <c r="B89" s="152"/>
      <c r="C89" s="2749"/>
      <c r="D89" s="414"/>
      <c r="E89" s="414"/>
      <c r="F89" s="222"/>
      <c r="G89" s="222"/>
      <c r="H89" s="222"/>
      <c r="I89" s="222"/>
      <c r="J89" s="222"/>
      <c r="K89" s="222"/>
      <c r="L89" s="222"/>
      <c r="M89" s="222"/>
      <c r="N89" s="222"/>
      <c r="O89" s="222"/>
      <c r="P89" s="98"/>
      <c r="Q89" s="239"/>
      <c r="R89" s="383"/>
      <c r="S89" s="383"/>
      <c r="T89" s="383"/>
      <c r="U89" s="383"/>
      <c r="V89" s="383"/>
      <c r="W89" s="383"/>
      <c r="X89" s="383"/>
      <c r="Y89" s="383"/>
      <c r="Z89" s="383"/>
      <c r="AA89" s="383"/>
      <c r="AB89" s="383"/>
      <c r="AC89" s="383"/>
      <c r="AD89" s="383"/>
      <c r="AE89" s="383"/>
      <c r="AF89" s="383"/>
      <c r="AG89" s="383"/>
      <c r="AH89" s="383"/>
      <c r="AI89" s="383"/>
      <c r="AJ89" s="383"/>
      <c r="AK89" s="383"/>
      <c r="AL89" s="383"/>
      <c r="AM89" s="383"/>
      <c r="AN89" s="383"/>
      <c r="AO89" s="383"/>
      <c r="AP89" s="383"/>
      <c r="AQ89" s="383"/>
      <c r="AR89" s="383"/>
      <c r="AS89" s="383"/>
      <c r="AT89" s="383"/>
      <c r="AU89" s="383"/>
      <c r="AV89" s="383"/>
      <c r="AW89" s="383"/>
      <c r="AX89" s="383"/>
      <c r="AY89" s="383"/>
      <c r="AZ89" s="1204"/>
      <c r="BA89" s="1204"/>
      <c r="BB89" s="1204"/>
      <c r="BC89" s="1204"/>
    </row>
    <row r="90" spans="2:55" ht="15.75">
      <c r="B90" s="152"/>
      <c r="C90" s="416" t="s">
        <v>1302</v>
      </c>
      <c r="D90" s="415"/>
      <c r="E90" s="104"/>
      <c r="F90" s="415"/>
      <c r="G90" s="415"/>
      <c r="H90" s="415"/>
      <c r="I90" s="415"/>
      <c r="J90" s="415"/>
      <c r="K90" s="415"/>
      <c r="L90" s="415"/>
      <c r="M90" s="415"/>
      <c r="N90" s="415"/>
      <c r="O90" s="104"/>
      <c r="P90" s="98"/>
      <c r="Q90" s="239"/>
      <c r="R90" s="383"/>
      <c r="S90" s="383"/>
      <c r="T90" s="383"/>
      <c r="U90" s="383"/>
      <c r="V90" s="383"/>
      <c r="W90" s="383"/>
      <c r="X90" s="383"/>
      <c r="Y90" s="383"/>
      <c r="Z90" s="383"/>
      <c r="AA90" s="383"/>
      <c r="AB90" s="383"/>
      <c r="AC90" s="383"/>
      <c r="AD90" s="383"/>
      <c r="AE90" s="383"/>
      <c r="AF90" s="383"/>
      <c r="AG90" s="383"/>
      <c r="AH90" s="383"/>
      <c r="AI90" s="383"/>
      <c r="AJ90" s="383"/>
      <c r="AK90" s="383"/>
      <c r="AL90" s="383"/>
      <c r="AM90" s="383"/>
      <c r="AN90" s="383"/>
      <c r="AO90" s="383"/>
      <c r="AP90" s="383"/>
      <c r="AQ90" s="383"/>
      <c r="AR90" s="383"/>
      <c r="AS90" s="383"/>
      <c r="AT90" s="383"/>
      <c r="AU90" s="383"/>
      <c r="AV90" s="383"/>
      <c r="AW90" s="383"/>
      <c r="AX90" s="383"/>
      <c r="AY90" s="383"/>
      <c r="AZ90" s="1204"/>
      <c r="BA90" s="1204"/>
      <c r="BB90" s="1204"/>
      <c r="BC90" s="1204"/>
    </row>
    <row r="91" spans="2:55" ht="15.75">
      <c r="B91" s="152"/>
      <c r="C91" s="415"/>
      <c r="D91" s="415"/>
      <c r="E91" s="415"/>
      <c r="F91" s="415"/>
      <c r="G91" s="415"/>
      <c r="H91" s="415"/>
      <c r="I91" s="415"/>
      <c r="J91" s="415"/>
      <c r="K91" s="415"/>
      <c r="L91" s="415"/>
      <c r="M91" s="415"/>
      <c r="N91" s="415"/>
      <c r="O91" s="415" t="s">
        <v>2123</v>
      </c>
      <c r="P91" s="98"/>
      <c r="Q91" s="239"/>
      <c r="R91" s="383"/>
      <c r="S91" s="383"/>
      <c r="T91" s="383"/>
      <c r="U91" s="383"/>
      <c r="V91" s="383"/>
      <c r="W91" s="383"/>
      <c r="X91" s="383"/>
      <c r="Y91" s="383"/>
      <c r="Z91" s="383"/>
      <c r="AA91" s="383"/>
      <c r="AB91" s="383"/>
      <c r="AC91" s="383"/>
      <c r="AD91" s="383"/>
      <c r="AE91" s="383"/>
      <c r="AF91" s="383"/>
      <c r="AG91" s="383"/>
      <c r="AH91" s="383"/>
      <c r="AI91" s="383"/>
      <c r="AJ91" s="383"/>
      <c r="AK91" s="383"/>
      <c r="AL91" s="383"/>
      <c r="AM91" s="383"/>
      <c r="AN91" s="383"/>
      <c r="AO91" s="383"/>
      <c r="AP91" s="383"/>
      <c r="AQ91" s="383"/>
      <c r="AR91" s="383"/>
      <c r="AS91" s="383"/>
      <c r="AT91" s="383"/>
      <c r="AU91" s="383"/>
      <c r="AV91" s="383"/>
      <c r="AW91" s="383"/>
      <c r="AX91" s="383"/>
      <c r="AY91" s="35"/>
      <c r="AZ91" s="1204"/>
      <c r="BA91" s="1204"/>
      <c r="BB91" s="1204"/>
      <c r="BC91" s="1204"/>
    </row>
    <row r="92" spans="2:55" ht="15.75">
      <c r="B92" s="152"/>
      <c r="C92" s="61" t="s">
        <v>411</v>
      </c>
      <c r="D92" s="61" t="s">
        <v>65</v>
      </c>
      <c r="E92" s="61" t="s">
        <v>156</v>
      </c>
      <c r="F92" s="119">
        <v>2007</v>
      </c>
      <c r="G92" s="120">
        <f>F92+5</f>
        <v>2012</v>
      </c>
      <c r="H92" s="120">
        <f t="shared" ref="H92:N92" si="14">G92+5</f>
        <v>2017</v>
      </c>
      <c r="I92" s="120">
        <f t="shared" si="14"/>
        <v>2022</v>
      </c>
      <c r="J92" s="120">
        <f t="shared" si="14"/>
        <v>2027</v>
      </c>
      <c r="K92" s="120">
        <f t="shared" si="14"/>
        <v>2032</v>
      </c>
      <c r="L92" s="120">
        <f t="shared" si="14"/>
        <v>2037</v>
      </c>
      <c r="M92" s="120">
        <f t="shared" si="14"/>
        <v>2042</v>
      </c>
      <c r="N92" s="120">
        <f t="shared" si="14"/>
        <v>2047</v>
      </c>
      <c r="O92" s="120">
        <f>N92+5</f>
        <v>2052</v>
      </c>
      <c r="P92" s="227"/>
      <c r="Q92" s="227"/>
      <c r="R92" s="409"/>
      <c r="S92" s="409"/>
      <c r="T92" s="409"/>
      <c r="U92" s="409"/>
      <c r="V92" s="409"/>
      <c r="W92" s="409"/>
      <c r="X92" s="409"/>
      <c r="Y92" s="409"/>
      <c r="Z92" s="409"/>
      <c r="AA92" s="409"/>
      <c r="AB92" s="409"/>
      <c r="AC92" s="409"/>
      <c r="AD92" s="409"/>
      <c r="AE92" s="409"/>
      <c r="AF92" s="409"/>
      <c r="AG92" s="409"/>
      <c r="AH92" s="409"/>
      <c r="AI92" s="409"/>
      <c r="AJ92" s="409"/>
      <c r="AK92" s="409"/>
      <c r="AL92" s="409"/>
      <c r="AM92" s="409"/>
      <c r="AN92" s="409"/>
      <c r="AO92" s="409"/>
      <c r="AP92" s="409"/>
      <c r="AQ92" s="409"/>
      <c r="AR92" s="409"/>
      <c r="AS92" s="409"/>
      <c r="AT92" s="409"/>
      <c r="AU92" s="409"/>
      <c r="AV92" s="409"/>
      <c r="AW92" s="409"/>
      <c r="AX92" s="409"/>
      <c r="AY92" s="409"/>
      <c r="AZ92" s="1204"/>
      <c r="BA92" s="1204"/>
      <c r="BB92" s="1204"/>
      <c r="BC92" s="1204"/>
    </row>
    <row r="93" spans="2:55" ht="15.75">
      <c r="B93" s="152"/>
      <c r="C93" s="413">
        <v>1</v>
      </c>
      <c r="D93" s="414"/>
      <c r="E93" s="96"/>
      <c r="F93" s="1984">
        <v>0</v>
      </c>
      <c r="G93" s="1984">
        <v>0</v>
      </c>
      <c r="H93" s="1984">
        <v>0</v>
      </c>
      <c r="I93" s="1984">
        <v>0</v>
      </c>
      <c r="J93" s="1984">
        <v>0</v>
      </c>
      <c r="K93" s="1984">
        <v>0</v>
      </c>
      <c r="L93" s="1984">
        <v>0</v>
      </c>
      <c r="M93" s="1984">
        <v>0</v>
      </c>
      <c r="N93" s="1984">
        <v>0</v>
      </c>
      <c r="O93" s="1984">
        <v>0</v>
      </c>
      <c r="P93" s="1525"/>
      <c r="Q93" s="2623"/>
      <c r="R93" s="505"/>
      <c r="S93" s="505"/>
      <c r="T93" s="505"/>
      <c r="U93" s="505"/>
      <c r="V93" s="505"/>
      <c r="W93" s="505"/>
      <c r="X93" s="505"/>
      <c r="Y93" s="505"/>
      <c r="Z93" s="505"/>
      <c r="AA93" s="505"/>
      <c r="AB93" s="505"/>
      <c r="AC93" s="505"/>
      <c r="AD93" s="505"/>
      <c r="AE93" s="505"/>
      <c r="AF93" s="505"/>
      <c r="AG93" s="505"/>
      <c r="AH93" s="505"/>
      <c r="AI93" s="505"/>
      <c r="AJ93" s="505"/>
      <c r="AK93" s="505"/>
      <c r="AL93" s="505"/>
      <c r="AM93" s="505"/>
      <c r="AN93" s="505"/>
      <c r="AO93" s="505"/>
      <c r="AP93" s="505"/>
      <c r="AQ93" s="505"/>
      <c r="AR93" s="505"/>
      <c r="AS93" s="505"/>
      <c r="AT93" s="505"/>
      <c r="AU93" s="505"/>
      <c r="AV93" s="505"/>
      <c r="AW93" s="505"/>
      <c r="AX93" s="505"/>
      <c r="AY93" s="505"/>
      <c r="AZ93" s="1204"/>
      <c r="BA93" s="1204"/>
      <c r="BB93" s="1204"/>
      <c r="BC93" s="1204"/>
    </row>
    <row r="94" spans="2:55" ht="15.75">
      <c r="B94" s="152"/>
      <c r="C94" s="413">
        <v>2</v>
      </c>
      <c r="D94" s="414"/>
      <c r="E94" s="414"/>
      <c r="F94" s="1984">
        <v>0</v>
      </c>
      <c r="G94" s="1984">
        <v>0</v>
      </c>
      <c r="H94" s="1984">
        <v>0.12847351571234389</v>
      </c>
      <c r="I94" s="1984">
        <v>0.1757238136404293</v>
      </c>
      <c r="J94" s="1984">
        <v>0.24035193953495462</v>
      </c>
      <c r="K94" s="1984">
        <v>0.35</v>
      </c>
      <c r="L94" s="1984">
        <v>0.35</v>
      </c>
      <c r="M94" s="1984">
        <v>0.35</v>
      </c>
      <c r="N94" s="1984">
        <v>0.35</v>
      </c>
      <c r="O94" s="1984">
        <v>0.35</v>
      </c>
      <c r="P94" s="1525"/>
      <c r="Q94" s="2623"/>
      <c r="R94" s="505"/>
      <c r="S94" s="505"/>
      <c r="T94" s="505"/>
      <c r="U94" s="505"/>
      <c r="V94" s="505"/>
      <c r="W94" s="505"/>
      <c r="X94" s="505"/>
      <c r="Y94" s="505"/>
      <c r="Z94" s="505"/>
      <c r="AA94" s="505"/>
      <c r="AB94" s="505"/>
      <c r="AC94" s="505"/>
      <c r="AD94" s="505"/>
      <c r="AE94" s="505"/>
      <c r="AF94" s="505"/>
      <c r="AG94" s="505"/>
      <c r="AH94" s="505"/>
      <c r="AI94" s="505"/>
      <c r="AJ94" s="505"/>
      <c r="AK94" s="505"/>
      <c r="AL94" s="505"/>
      <c r="AM94" s="505"/>
      <c r="AN94" s="505"/>
      <c r="AO94" s="505"/>
      <c r="AP94" s="505"/>
      <c r="AQ94" s="505"/>
      <c r="AR94" s="505"/>
      <c r="AS94" s="505"/>
      <c r="AT94" s="505"/>
      <c r="AU94" s="505"/>
      <c r="AV94" s="505"/>
      <c r="AW94" s="505"/>
      <c r="AX94" s="505"/>
      <c r="AY94" s="505"/>
      <c r="AZ94" s="1204"/>
      <c r="BA94" s="1204"/>
      <c r="BB94" s="1204"/>
      <c r="BC94" s="1204"/>
    </row>
    <row r="95" spans="2:55" ht="15.75">
      <c r="B95" s="152"/>
      <c r="C95" s="413">
        <v>3</v>
      </c>
      <c r="D95" s="414"/>
      <c r="E95" s="414"/>
      <c r="F95" s="1528">
        <v>0</v>
      </c>
      <c r="G95" s="1528">
        <v>0</v>
      </c>
      <c r="H95" s="1528">
        <v>0.13797296614612148</v>
      </c>
      <c r="I95" s="1528">
        <v>0.20631770676807942</v>
      </c>
      <c r="J95" s="1528">
        <v>0.30851693136000474</v>
      </c>
      <c r="K95" s="1528">
        <v>0.5</v>
      </c>
      <c r="L95" s="1528">
        <v>0.5</v>
      </c>
      <c r="M95" s="1528">
        <v>0.5</v>
      </c>
      <c r="N95" s="1528">
        <v>0.5</v>
      </c>
      <c r="O95" s="1528">
        <v>0.5</v>
      </c>
      <c r="P95" s="1525"/>
      <c r="Q95" s="2623"/>
      <c r="R95" s="505"/>
      <c r="S95" s="505"/>
      <c r="T95" s="505"/>
      <c r="U95" s="505"/>
      <c r="V95" s="505"/>
      <c r="W95" s="505"/>
      <c r="X95" s="505"/>
      <c r="Y95" s="505"/>
      <c r="Z95" s="505"/>
      <c r="AA95" s="505"/>
      <c r="AB95" s="505"/>
      <c r="AC95" s="505"/>
      <c r="AD95" s="505"/>
      <c r="AE95" s="505"/>
      <c r="AF95" s="505"/>
      <c r="AG95" s="505"/>
      <c r="AH95" s="505"/>
      <c r="AI95" s="505"/>
      <c r="AJ95" s="505"/>
      <c r="AK95" s="505"/>
      <c r="AL95" s="505"/>
      <c r="AM95" s="505"/>
      <c r="AN95" s="505"/>
      <c r="AO95" s="505"/>
      <c r="AP95" s="505"/>
      <c r="AQ95" s="505"/>
      <c r="AR95" s="505"/>
      <c r="AS95" s="505"/>
      <c r="AT95" s="505"/>
      <c r="AU95" s="505"/>
      <c r="AV95" s="505"/>
      <c r="AW95" s="505"/>
      <c r="AX95" s="505"/>
      <c r="AY95" s="505"/>
      <c r="AZ95" s="1204"/>
      <c r="BA95" s="1204"/>
      <c r="BB95" s="1204"/>
      <c r="BC95" s="1204"/>
    </row>
    <row r="96" spans="2:55" ht="15.75">
      <c r="B96" s="152"/>
      <c r="C96" s="411">
        <v>4</v>
      </c>
      <c r="D96" s="65"/>
      <c r="E96" s="112"/>
      <c r="F96" s="1615">
        <v>0</v>
      </c>
      <c r="G96" s="1615">
        <v>0</v>
      </c>
      <c r="H96" s="1615">
        <v>0.15848931924611143</v>
      </c>
      <c r="I96" s="1615">
        <v>0.28183829312644565</v>
      </c>
      <c r="J96" s="1615">
        <v>0.50118723362727302</v>
      </c>
      <c r="K96" s="1615">
        <v>1</v>
      </c>
      <c r="L96" s="1615">
        <v>1</v>
      </c>
      <c r="M96" s="1615">
        <v>1</v>
      </c>
      <c r="N96" s="1615">
        <v>1</v>
      </c>
      <c r="O96" s="1615">
        <v>1</v>
      </c>
      <c r="P96" s="1525"/>
      <c r="Q96" s="2623"/>
      <c r="R96" s="505"/>
      <c r="S96" s="505"/>
      <c r="T96" s="505"/>
      <c r="U96" s="505"/>
      <c r="V96" s="505"/>
      <c r="W96" s="505"/>
      <c r="X96" s="505"/>
      <c r="Y96" s="505"/>
      <c r="Z96" s="505"/>
      <c r="AA96" s="505"/>
      <c r="AB96" s="505"/>
      <c r="AC96" s="505"/>
      <c r="AD96" s="505"/>
      <c r="AE96" s="505"/>
      <c r="AF96" s="505"/>
      <c r="AG96" s="505"/>
      <c r="AH96" s="505"/>
      <c r="AI96" s="505"/>
      <c r="AJ96" s="505"/>
      <c r="AK96" s="505"/>
      <c r="AL96" s="505"/>
      <c r="AM96" s="505"/>
      <c r="AN96" s="505"/>
      <c r="AO96" s="505"/>
      <c r="AP96" s="505"/>
      <c r="AQ96" s="505"/>
      <c r="AR96" s="505"/>
      <c r="AS96" s="505"/>
      <c r="AT96" s="505"/>
      <c r="AU96" s="505"/>
      <c r="AV96" s="505"/>
      <c r="AW96" s="505"/>
      <c r="AX96" s="505"/>
      <c r="AY96" s="505"/>
      <c r="AZ96" s="1204"/>
      <c r="BA96" s="1204"/>
      <c r="BB96" s="1204"/>
      <c r="BC96" s="1204"/>
    </row>
    <row r="97" spans="2:55" ht="15.75">
      <c r="B97" s="152"/>
      <c r="C97" s="2749"/>
      <c r="D97" s="414"/>
      <c r="E97" s="414"/>
      <c r="F97" s="222"/>
      <c r="G97" s="222"/>
      <c r="H97" s="222"/>
      <c r="I97" s="222"/>
      <c r="J97" s="222"/>
      <c r="K97" s="222"/>
      <c r="L97" s="222"/>
      <c r="M97" s="222"/>
      <c r="N97" s="222"/>
      <c r="O97" s="222"/>
      <c r="P97" s="98"/>
      <c r="Q97" s="239"/>
      <c r="R97" s="383"/>
      <c r="S97" s="383"/>
      <c r="T97" s="383"/>
      <c r="U97" s="383"/>
      <c r="V97" s="383"/>
      <c r="W97" s="383"/>
      <c r="X97" s="383"/>
      <c r="Y97" s="383"/>
      <c r="Z97" s="383"/>
      <c r="AA97" s="383"/>
      <c r="AB97" s="383"/>
      <c r="AC97" s="383"/>
      <c r="AD97" s="383"/>
      <c r="AE97" s="383"/>
      <c r="AF97" s="383"/>
      <c r="AG97" s="383"/>
      <c r="AH97" s="383"/>
      <c r="AI97" s="383"/>
      <c r="AJ97" s="383"/>
      <c r="AK97" s="383"/>
      <c r="AL97" s="383"/>
      <c r="AM97" s="383"/>
      <c r="AN97" s="383"/>
      <c r="AO97" s="383"/>
      <c r="AP97" s="383"/>
      <c r="AQ97" s="383"/>
      <c r="AR97" s="383"/>
      <c r="AS97" s="383"/>
      <c r="AT97" s="383"/>
      <c r="AU97" s="383"/>
      <c r="AV97" s="383"/>
      <c r="AW97" s="383"/>
      <c r="AX97" s="383"/>
      <c r="AY97" s="383"/>
      <c r="AZ97" s="1204"/>
      <c r="BA97" s="1204"/>
      <c r="BB97" s="1204"/>
      <c r="BC97" s="1204"/>
    </row>
    <row r="98" spans="2:55" ht="15.75">
      <c r="B98" s="152"/>
      <c r="C98" s="416" t="s">
        <v>1303</v>
      </c>
      <c r="D98" s="415"/>
      <c r="E98" s="104"/>
      <c r="F98" s="415"/>
      <c r="G98" s="415"/>
      <c r="H98" s="415"/>
      <c r="I98" s="415"/>
      <c r="J98" s="415"/>
      <c r="K98" s="415"/>
      <c r="L98" s="415"/>
      <c r="M98" s="415"/>
      <c r="N98" s="415"/>
      <c r="O98" s="104"/>
      <c r="P98" s="137"/>
      <c r="Q98" s="239"/>
      <c r="R98" s="383"/>
      <c r="S98" s="383"/>
      <c r="T98" s="383"/>
      <c r="U98" s="383"/>
      <c r="V98" s="383"/>
      <c r="W98" s="383"/>
      <c r="X98" s="383"/>
      <c r="Y98" s="383"/>
      <c r="Z98" s="383"/>
      <c r="AA98" s="383"/>
      <c r="AB98" s="383"/>
      <c r="AC98" s="383"/>
      <c r="AD98" s="383"/>
      <c r="AE98" s="383"/>
      <c r="AF98" s="383"/>
      <c r="AG98" s="383"/>
      <c r="AH98" s="383"/>
      <c r="AI98" s="383"/>
      <c r="AJ98" s="383"/>
      <c r="AK98" s="383"/>
      <c r="AL98" s="383"/>
      <c r="AM98" s="383"/>
      <c r="AN98" s="383"/>
      <c r="AO98" s="383"/>
      <c r="AP98" s="383"/>
      <c r="AQ98" s="383"/>
      <c r="AR98" s="383"/>
      <c r="AS98" s="383"/>
      <c r="AT98" s="383"/>
      <c r="AU98" s="383"/>
      <c r="AV98" s="383"/>
      <c r="AW98" s="383"/>
      <c r="AX98" s="383"/>
      <c r="AY98" s="383"/>
      <c r="AZ98" s="1204"/>
      <c r="BA98" s="1204"/>
      <c r="BB98" s="1204"/>
      <c r="BC98" s="1204"/>
    </row>
    <row r="99" spans="2:55" ht="15.75">
      <c r="B99" s="152"/>
      <c r="C99" s="415"/>
      <c r="D99" s="415"/>
      <c r="E99" s="415"/>
      <c r="F99" s="415"/>
      <c r="G99" s="415"/>
      <c r="H99" s="415"/>
      <c r="I99" s="415"/>
      <c r="J99" s="415"/>
      <c r="K99" s="415"/>
      <c r="L99" s="415"/>
      <c r="M99" s="415"/>
      <c r="N99" s="415"/>
      <c r="O99" s="415" t="s">
        <v>277</v>
      </c>
      <c r="P99" s="239"/>
      <c r="Q99" s="239"/>
      <c r="R99" s="383"/>
      <c r="S99" s="383"/>
      <c r="T99" s="383"/>
      <c r="U99" s="383"/>
      <c r="V99" s="383"/>
      <c r="W99" s="383"/>
      <c r="X99" s="383"/>
      <c r="Y99" s="383"/>
      <c r="Z99" s="383"/>
      <c r="AA99" s="383"/>
      <c r="AB99" s="383"/>
      <c r="AC99" s="383"/>
      <c r="AD99" s="383"/>
      <c r="AE99" s="383"/>
      <c r="AF99" s="383"/>
      <c r="AG99" s="383"/>
      <c r="AH99" s="383"/>
      <c r="AI99" s="383"/>
      <c r="AJ99" s="383"/>
      <c r="AK99" s="383"/>
      <c r="AL99" s="383"/>
      <c r="AM99" s="383"/>
      <c r="AN99" s="383"/>
      <c r="AO99" s="383"/>
      <c r="AP99" s="383"/>
      <c r="AQ99" s="383"/>
      <c r="AR99" s="383"/>
      <c r="AS99" s="383"/>
      <c r="AT99" s="383"/>
      <c r="AU99" s="383"/>
      <c r="AV99" s="383"/>
      <c r="AW99" s="383"/>
      <c r="AX99" s="383"/>
      <c r="AY99" s="35"/>
      <c r="AZ99" s="1204"/>
      <c r="BA99" s="1204"/>
      <c r="BB99" s="1204"/>
      <c r="BC99" s="1204"/>
    </row>
    <row r="100" spans="2:55">
      <c r="B100" s="840"/>
      <c r="C100" s="61" t="s">
        <v>411</v>
      </c>
      <c r="D100" s="61" t="s">
        <v>65</v>
      </c>
      <c r="E100" s="61" t="s">
        <v>156</v>
      </c>
      <c r="F100" s="119">
        <v>2007</v>
      </c>
      <c r="G100" s="120">
        <f>F100+5</f>
        <v>2012</v>
      </c>
      <c r="H100" s="120">
        <f t="shared" ref="H100:N100" si="15">G100+5</f>
        <v>2017</v>
      </c>
      <c r="I100" s="120">
        <f t="shared" si="15"/>
        <v>2022</v>
      </c>
      <c r="J100" s="120">
        <f t="shared" si="15"/>
        <v>2027</v>
      </c>
      <c r="K100" s="120">
        <f t="shared" si="15"/>
        <v>2032</v>
      </c>
      <c r="L100" s="120">
        <f t="shared" si="15"/>
        <v>2037</v>
      </c>
      <c r="M100" s="120">
        <f t="shared" si="15"/>
        <v>2042</v>
      </c>
      <c r="N100" s="120">
        <f t="shared" si="15"/>
        <v>2047</v>
      </c>
      <c r="O100" s="120">
        <f>N100+5</f>
        <v>2052</v>
      </c>
      <c r="P100" s="227"/>
      <c r="Q100" s="227"/>
      <c r="R100" s="409"/>
      <c r="S100" s="409"/>
      <c r="T100" s="409"/>
      <c r="U100" s="409"/>
      <c r="V100" s="409"/>
      <c r="W100" s="409"/>
      <c r="X100" s="409"/>
      <c r="Y100" s="409"/>
      <c r="Z100" s="409"/>
      <c r="AA100" s="409"/>
      <c r="AB100" s="409"/>
      <c r="AC100" s="409"/>
      <c r="AD100" s="409"/>
      <c r="AE100" s="409"/>
      <c r="AF100" s="409"/>
      <c r="AG100" s="409"/>
      <c r="AH100" s="409"/>
      <c r="AI100" s="409"/>
      <c r="AJ100" s="409"/>
      <c r="AK100" s="409"/>
      <c r="AL100" s="409"/>
      <c r="AM100" s="409"/>
      <c r="AN100" s="409"/>
      <c r="AO100" s="409"/>
      <c r="AP100" s="409"/>
      <c r="AQ100" s="409"/>
      <c r="AR100" s="409"/>
      <c r="AS100" s="409"/>
      <c r="AT100" s="409"/>
      <c r="AU100" s="409"/>
      <c r="AV100" s="409"/>
      <c r="AW100" s="409"/>
      <c r="AX100" s="409"/>
      <c r="AY100" s="409"/>
      <c r="AZ100" s="1204"/>
      <c r="BA100" s="1204"/>
      <c r="BB100" s="1204"/>
      <c r="BC100" s="1204"/>
    </row>
    <row r="101" spans="2:55" ht="17.25" customHeight="1">
      <c r="B101" s="155"/>
      <c r="C101" s="413">
        <v>1</v>
      </c>
      <c r="D101" s="414"/>
      <c r="E101" s="96"/>
      <c r="F101" s="1984">
        <v>0</v>
      </c>
      <c r="G101" s="1984">
        <v>0</v>
      </c>
      <c r="H101" s="1984">
        <v>0</v>
      </c>
      <c r="I101" s="1984">
        <v>0</v>
      </c>
      <c r="J101" s="1984">
        <v>0</v>
      </c>
      <c r="K101" s="1984">
        <v>0</v>
      </c>
      <c r="L101" s="1984">
        <v>0</v>
      </c>
      <c r="M101" s="1984">
        <v>0</v>
      </c>
      <c r="N101" s="1984">
        <v>0</v>
      </c>
      <c r="O101" s="1984">
        <v>0</v>
      </c>
      <c r="P101" s="2623"/>
      <c r="Q101" s="2623"/>
      <c r="R101" s="505"/>
      <c r="S101" s="505"/>
      <c r="T101" s="505"/>
      <c r="U101" s="505"/>
      <c r="V101" s="505"/>
      <c r="W101" s="505"/>
      <c r="X101" s="505"/>
      <c r="Y101" s="505"/>
      <c r="Z101" s="505"/>
      <c r="AA101" s="505"/>
      <c r="AB101" s="505"/>
      <c r="AC101" s="505"/>
      <c r="AD101" s="505"/>
      <c r="AE101" s="505"/>
      <c r="AF101" s="505"/>
      <c r="AG101" s="505"/>
      <c r="AH101" s="505"/>
      <c r="AI101" s="505"/>
      <c r="AJ101" s="505"/>
      <c r="AK101" s="505"/>
      <c r="AL101" s="505"/>
      <c r="AM101" s="505"/>
      <c r="AN101" s="505"/>
      <c r="AO101" s="505"/>
      <c r="AP101" s="505"/>
      <c r="AQ101" s="505"/>
      <c r="AR101" s="505"/>
      <c r="AS101" s="505"/>
      <c r="AT101" s="505"/>
      <c r="AU101" s="505"/>
      <c r="AV101" s="505"/>
      <c r="AW101" s="505"/>
      <c r="AX101" s="505"/>
      <c r="AY101" s="505"/>
      <c r="AZ101" s="1204"/>
      <c r="BA101" s="1204"/>
      <c r="BB101" s="1204"/>
      <c r="BC101" s="1204"/>
    </row>
    <row r="102" spans="2:55" ht="15.75">
      <c r="B102" s="152"/>
      <c r="C102" s="413">
        <v>2</v>
      </c>
      <c r="D102" s="414"/>
      <c r="E102" s="414"/>
      <c r="F102" s="1984">
        <v>0</v>
      </c>
      <c r="G102" s="1984">
        <v>0</v>
      </c>
      <c r="H102" s="1984">
        <v>0</v>
      </c>
      <c r="I102" s="1984">
        <v>0</v>
      </c>
      <c r="J102" s="1984">
        <v>0</v>
      </c>
      <c r="K102" s="1984">
        <v>0</v>
      </c>
      <c r="L102" s="1984">
        <v>0</v>
      </c>
      <c r="M102" s="1984">
        <v>0</v>
      </c>
      <c r="N102" s="1984">
        <v>0</v>
      </c>
      <c r="O102" s="1984">
        <v>0</v>
      </c>
      <c r="P102" s="2624"/>
      <c r="Q102" s="2623"/>
      <c r="R102" s="505"/>
      <c r="S102" s="505"/>
      <c r="T102" s="505"/>
      <c r="U102" s="505"/>
      <c r="V102" s="505"/>
      <c r="W102" s="505"/>
      <c r="X102" s="505"/>
      <c r="Y102" s="505"/>
      <c r="Z102" s="505"/>
      <c r="AA102" s="505"/>
      <c r="AB102" s="505"/>
      <c r="AC102" s="505"/>
      <c r="AD102" s="505"/>
      <c r="AE102" s="505"/>
      <c r="AF102" s="505"/>
      <c r="AG102" s="505"/>
      <c r="AH102" s="505"/>
      <c r="AI102" s="505"/>
      <c r="AJ102" s="505"/>
      <c r="AK102" s="505"/>
      <c r="AL102" s="505"/>
      <c r="AM102" s="505"/>
      <c r="AN102" s="505"/>
      <c r="AO102" s="505"/>
      <c r="AP102" s="505"/>
      <c r="AQ102" s="505"/>
      <c r="AR102" s="505"/>
      <c r="AS102" s="505"/>
      <c r="AT102" s="505"/>
      <c r="AU102" s="505"/>
      <c r="AV102" s="505"/>
      <c r="AW102" s="505"/>
      <c r="AX102" s="505"/>
      <c r="AY102" s="505"/>
      <c r="AZ102" s="1204"/>
      <c r="BA102" s="1204"/>
      <c r="BB102" s="1204"/>
      <c r="BC102" s="1204"/>
    </row>
    <row r="103" spans="2:55" ht="15.75">
      <c r="B103" s="152"/>
      <c r="C103" s="413">
        <v>3</v>
      </c>
      <c r="D103" s="414"/>
      <c r="E103" s="414"/>
      <c r="F103" s="1528">
        <v>0</v>
      </c>
      <c r="G103" s="1528">
        <v>0</v>
      </c>
      <c r="H103" s="1528">
        <v>3.3144540173399871E-2</v>
      </c>
      <c r="I103" s="1528">
        <v>6.2321730147506894E-2</v>
      </c>
      <c r="J103" s="1528">
        <v>0.11718364557960501</v>
      </c>
      <c r="K103" s="1528">
        <v>0.25</v>
      </c>
      <c r="L103" s="1528">
        <v>0.25</v>
      </c>
      <c r="M103" s="1528">
        <v>0.25</v>
      </c>
      <c r="N103" s="1528">
        <v>0.25</v>
      </c>
      <c r="O103" s="1528">
        <v>0.25</v>
      </c>
      <c r="P103" s="2625"/>
      <c r="Q103" s="2623"/>
      <c r="R103" s="505"/>
      <c r="S103" s="505"/>
      <c r="T103" s="505"/>
      <c r="U103" s="505"/>
      <c r="V103" s="505"/>
      <c r="W103" s="505"/>
      <c r="X103" s="505"/>
      <c r="Y103" s="505"/>
      <c r="Z103" s="505"/>
      <c r="AA103" s="505"/>
      <c r="AB103" s="505"/>
      <c r="AC103" s="505"/>
      <c r="AD103" s="505"/>
      <c r="AE103" s="505"/>
      <c r="AF103" s="505"/>
      <c r="AG103" s="505"/>
      <c r="AH103" s="505"/>
      <c r="AI103" s="505"/>
      <c r="AJ103" s="505"/>
      <c r="AK103" s="505"/>
      <c r="AL103" s="505"/>
      <c r="AM103" s="505"/>
      <c r="AN103" s="505"/>
      <c r="AO103" s="505"/>
      <c r="AP103" s="505"/>
      <c r="AQ103" s="505"/>
      <c r="AR103" s="505"/>
      <c r="AS103" s="505"/>
      <c r="AT103" s="505"/>
      <c r="AU103" s="505"/>
      <c r="AV103" s="505"/>
      <c r="AW103" s="505"/>
      <c r="AX103" s="505"/>
      <c r="AY103" s="505"/>
      <c r="AZ103" s="1204"/>
      <c r="BA103" s="1204"/>
      <c r="BB103" s="1204"/>
      <c r="BC103" s="1204"/>
    </row>
    <row r="104" spans="2:55" ht="15.75">
      <c r="B104" s="152"/>
      <c r="C104" s="411">
        <v>4</v>
      </c>
      <c r="D104" s="65"/>
      <c r="E104" s="112"/>
      <c r="F104" s="1615">
        <v>0</v>
      </c>
      <c r="G104" s="1615">
        <v>0</v>
      </c>
      <c r="H104" s="1615">
        <v>3.8073078774317565E-2</v>
      </c>
      <c r="I104" s="1615">
        <v>8.5133992252078447E-2</v>
      </c>
      <c r="J104" s="1615">
        <v>0.19036539387158777</v>
      </c>
      <c r="K104" s="1615">
        <v>0.5</v>
      </c>
      <c r="L104" s="1615">
        <v>0.5</v>
      </c>
      <c r="M104" s="1615">
        <v>0.5</v>
      </c>
      <c r="N104" s="1615">
        <v>0.5</v>
      </c>
      <c r="O104" s="1615">
        <v>0.5</v>
      </c>
      <c r="P104" s="1525"/>
      <c r="Q104" s="2623"/>
      <c r="R104" s="505"/>
      <c r="S104" s="505"/>
      <c r="T104" s="505"/>
      <c r="U104" s="505"/>
      <c r="V104" s="505"/>
      <c r="W104" s="505"/>
      <c r="X104" s="505"/>
      <c r="Y104" s="505"/>
      <c r="Z104" s="505"/>
      <c r="AA104" s="505"/>
      <c r="AB104" s="505"/>
      <c r="AC104" s="505"/>
      <c r="AD104" s="505"/>
      <c r="AE104" s="505"/>
      <c r="AF104" s="505"/>
      <c r="AG104" s="505"/>
      <c r="AH104" s="505"/>
      <c r="AI104" s="505"/>
      <c r="AJ104" s="505"/>
      <c r="AK104" s="505"/>
      <c r="AL104" s="505"/>
      <c r="AM104" s="505"/>
      <c r="AN104" s="505"/>
      <c r="AO104" s="505"/>
      <c r="AP104" s="505"/>
      <c r="AQ104" s="505"/>
      <c r="AR104" s="505"/>
      <c r="AS104" s="505"/>
      <c r="AT104" s="505"/>
      <c r="AU104" s="505"/>
      <c r="AV104" s="505"/>
      <c r="AW104" s="505"/>
      <c r="AX104" s="505"/>
      <c r="AY104" s="505"/>
      <c r="AZ104" s="1204"/>
      <c r="BA104" s="1204"/>
      <c r="BB104" s="1204"/>
      <c r="BC104" s="1204"/>
    </row>
    <row r="105" spans="2:55" ht="15.75">
      <c r="B105" s="152"/>
      <c r="C105" s="2749"/>
      <c r="D105" s="414"/>
      <c r="E105" s="414"/>
      <c r="F105" s="222"/>
      <c r="G105" s="222"/>
      <c r="H105" s="222"/>
      <c r="I105" s="222"/>
      <c r="J105" s="222"/>
      <c r="K105" s="222"/>
      <c r="L105" s="222"/>
      <c r="M105" s="222"/>
      <c r="N105" s="222"/>
      <c r="O105" s="222"/>
      <c r="P105" s="98"/>
      <c r="Q105" s="239"/>
      <c r="R105" s="383"/>
      <c r="S105" s="383"/>
      <c r="T105" s="383"/>
      <c r="U105" s="383"/>
      <c r="V105" s="383"/>
      <c r="W105" s="383"/>
      <c r="X105" s="383"/>
      <c r="Y105" s="383"/>
      <c r="Z105" s="383"/>
      <c r="AA105" s="383"/>
      <c r="AB105" s="383"/>
      <c r="AC105" s="383"/>
      <c r="AD105" s="383"/>
      <c r="AE105" s="383"/>
      <c r="AF105" s="383"/>
      <c r="AG105" s="383"/>
      <c r="AH105" s="383"/>
      <c r="AI105" s="383"/>
      <c r="AJ105" s="383"/>
      <c r="AK105" s="383"/>
      <c r="AL105" s="383"/>
      <c r="AM105" s="383"/>
      <c r="AN105" s="383"/>
      <c r="AO105" s="383"/>
      <c r="AP105" s="383"/>
      <c r="AQ105" s="383"/>
      <c r="AR105" s="383"/>
      <c r="AS105" s="383"/>
      <c r="AT105" s="383"/>
      <c r="AU105" s="383"/>
      <c r="AV105" s="383"/>
      <c r="AW105" s="383"/>
      <c r="AX105" s="383"/>
      <c r="AY105" s="383"/>
      <c r="AZ105" s="1204"/>
      <c r="BA105" s="1204"/>
      <c r="BB105" s="1204"/>
      <c r="BC105" s="1204"/>
    </row>
    <row r="106" spans="2:55" ht="15.75">
      <c r="B106" s="152"/>
      <c r="C106" s="416" t="s">
        <v>1304</v>
      </c>
      <c r="D106" s="415"/>
      <c r="E106" s="104"/>
      <c r="F106" s="415"/>
      <c r="G106" s="415"/>
      <c r="H106" s="415"/>
      <c r="I106" s="415"/>
      <c r="J106" s="415"/>
      <c r="K106" s="415"/>
      <c r="L106" s="415"/>
      <c r="M106" s="415"/>
      <c r="N106" s="415"/>
      <c r="O106" s="104" t="s">
        <v>277</v>
      </c>
      <c r="P106" s="98"/>
      <c r="Q106" s="239"/>
      <c r="R106" s="383"/>
      <c r="S106" s="383"/>
      <c r="T106" s="383"/>
      <c r="U106" s="383"/>
      <c r="V106" s="383"/>
      <c r="W106" s="383"/>
      <c r="X106" s="383"/>
      <c r="Y106" s="383"/>
      <c r="Z106" s="383"/>
      <c r="AA106" s="383"/>
      <c r="AB106" s="383"/>
      <c r="AC106" s="383"/>
      <c r="AD106" s="383"/>
      <c r="AE106" s="383"/>
      <c r="AF106" s="383"/>
      <c r="AG106" s="383"/>
      <c r="AH106" s="383"/>
      <c r="AI106" s="383"/>
      <c r="AJ106" s="383"/>
      <c r="AK106" s="383"/>
      <c r="AL106" s="383"/>
      <c r="AM106" s="383"/>
      <c r="AN106" s="383"/>
      <c r="AO106" s="383"/>
      <c r="AP106" s="383"/>
      <c r="AQ106" s="383"/>
      <c r="AR106" s="383"/>
      <c r="AS106" s="383"/>
      <c r="AT106" s="383"/>
      <c r="AU106" s="383"/>
      <c r="AV106" s="383"/>
      <c r="AW106" s="383"/>
      <c r="AX106" s="383"/>
      <c r="AY106" s="383"/>
      <c r="AZ106" s="1204"/>
      <c r="BA106" s="1204"/>
      <c r="BB106" s="1204"/>
      <c r="BC106" s="1204"/>
    </row>
    <row r="107" spans="2:55" ht="15.75">
      <c r="B107" s="152"/>
      <c r="C107" s="415"/>
      <c r="D107" s="415"/>
      <c r="E107" s="415"/>
      <c r="F107" s="415"/>
      <c r="G107" s="415"/>
      <c r="H107" s="415"/>
      <c r="I107" s="415"/>
      <c r="J107" s="415"/>
      <c r="K107" s="415"/>
      <c r="L107" s="415"/>
      <c r="M107" s="415"/>
      <c r="N107" s="415"/>
      <c r="O107" s="415"/>
      <c r="P107" s="98"/>
      <c r="Q107" s="239"/>
      <c r="R107" s="383"/>
      <c r="S107" s="383"/>
      <c r="T107" s="383"/>
      <c r="U107" s="383"/>
      <c r="V107" s="383"/>
      <c r="W107" s="383"/>
      <c r="X107" s="383"/>
      <c r="Y107" s="383"/>
      <c r="Z107" s="383"/>
      <c r="AA107" s="383"/>
      <c r="AB107" s="383"/>
      <c r="AC107" s="383"/>
      <c r="AD107" s="383"/>
      <c r="AE107" s="383"/>
      <c r="AF107" s="383"/>
      <c r="AG107" s="383"/>
      <c r="AH107" s="383"/>
      <c r="AI107" s="383"/>
      <c r="AJ107" s="383"/>
      <c r="AK107" s="383"/>
      <c r="AL107" s="383"/>
      <c r="AM107" s="383"/>
      <c r="AN107" s="383"/>
      <c r="AO107" s="383"/>
      <c r="AP107" s="383"/>
      <c r="AQ107" s="383"/>
      <c r="AR107" s="383"/>
      <c r="AS107" s="383"/>
      <c r="AT107" s="383"/>
      <c r="AU107" s="383"/>
      <c r="AV107" s="383"/>
      <c r="AW107" s="383"/>
      <c r="AX107" s="383"/>
      <c r="AY107" s="35"/>
      <c r="AZ107" s="1204"/>
      <c r="BA107" s="1204"/>
      <c r="BB107" s="1204"/>
      <c r="BC107" s="1204"/>
    </row>
    <row r="108" spans="2:55" ht="15.75">
      <c r="B108" s="152"/>
      <c r="C108" s="61" t="s">
        <v>411</v>
      </c>
      <c r="D108" s="61" t="s">
        <v>65</v>
      </c>
      <c r="E108" s="61" t="s">
        <v>156</v>
      </c>
      <c r="F108" s="119">
        <v>2007</v>
      </c>
      <c r="G108" s="120">
        <f>F108+5</f>
        <v>2012</v>
      </c>
      <c r="H108" s="120">
        <f t="shared" ref="H108:N108" si="16">G108+5</f>
        <v>2017</v>
      </c>
      <c r="I108" s="120">
        <f t="shared" si="16"/>
        <v>2022</v>
      </c>
      <c r="J108" s="120">
        <f t="shared" si="16"/>
        <v>2027</v>
      </c>
      <c r="K108" s="120">
        <f t="shared" si="16"/>
        <v>2032</v>
      </c>
      <c r="L108" s="120">
        <f t="shared" si="16"/>
        <v>2037</v>
      </c>
      <c r="M108" s="120">
        <f t="shared" si="16"/>
        <v>2042</v>
      </c>
      <c r="N108" s="120">
        <f t="shared" si="16"/>
        <v>2047</v>
      </c>
      <c r="O108" s="120">
        <f>N108+5</f>
        <v>2052</v>
      </c>
      <c r="P108" s="227"/>
      <c r="Q108" s="227"/>
      <c r="R108" s="409"/>
      <c r="S108" s="409"/>
      <c r="T108" s="409"/>
      <c r="U108" s="409"/>
      <c r="V108" s="409"/>
      <c r="W108" s="409"/>
      <c r="X108" s="409"/>
      <c r="Y108" s="409"/>
      <c r="Z108" s="409"/>
      <c r="AA108" s="409"/>
      <c r="AB108" s="409"/>
      <c r="AC108" s="409"/>
      <c r="AD108" s="409"/>
      <c r="AE108" s="409"/>
      <c r="AF108" s="409"/>
      <c r="AG108" s="409"/>
      <c r="AH108" s="409"/>
      <c r="AI108" s="409"/>
      <c r="AJ108" s="409"/>
      <c r="AK108" s="409"/>
      <c r="AL108" s="409"/>
      <c r="AM108" s="409"/>
      <c r="AN108" s="409"/>
      <c r="AO108" s="409"/>
      <c r="AP108" s="409"/>
      <c r="AQ108" s="409"/>
      <c r="AR108" s="409"/>
      <c r="AS108" s="409"/>
      <c r="AT108" s="409"/>
      <c r="AU108" s="409"/>
      <c r="AV108" s="409"/>
      <c r="AW108" s="409"/>
      <c r="AX108" s="409"/>
      <c r="AY108" s="409"/>
      <c r="AZ108" s="1204"/>
      <c r="BA108" s="1204"/>
      <c r="BB108" s="1204"/>
      <c r="BC108" s="1204"/>
    </row>
    <row r="109" spans="2:55" ht="15.75">
      <c r="B109" s="152"/>
      <c r="C109" s="413">
        <v>1</v>
      </c>
      <c r="D109" s="414"/>
      <c r="E109" s="96"/>
      <c r="F109" s="1984">
        <v>0</v>
      </c>
      <c r="G109" s="1984">
        <v>0</v>
      </c>
      <c r="H109" s="1984">
        <v>0</v>
      </c>
      <c r="I109" s="1984">
        <v>0</v>
      </c>
      <c r="J109" s="1984">
        <v>0</v>
      </c>
      <c r="K109" s="1984">
        <v>0</v>
      </c>
      <c r="L109" s="1984">
        <v>0</v>
      </c>
      <c r="M109" s="1984">
        <v>0</v>
      </c>
      <c r="N109" s="1984">
        <v>0</v>
      </c>
      <c r="O109" s="1984">
        <v>0</v>
      </c>
      <c r="P109" s="415"/>
      <c r="Q109" s="41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1204"/>
      <c r="BA109" s="1204"/>
      <c r="BB109" s="1204"/>
      <c r="BC109" s="1204"/>
    </row>
    <row r="110" spans="2:55" ht="15.75">
      <c r="B110" s="152"/>
      <c r="C110" s="413">
        <v>2</v>
      </c>
      <c r="D110" s="414"/>
      <c r="E110" s="414"/>
      <c r="F110" s="1984">
        <v>0</v>
      </c>
      <c r="G110" s="1984">
        <v>0</v>
      </c>
      <c r="H110" s="1984">
        <v>0</v>
      </c>
      <c r="I110" s="1984">
        <v>0</v>
      </c>
      <c r="J110" s="1984">
        <v>0</v>
      </c>
      <c r="K110" s="1984">
        <v>0</v>
      </c>
      <c r="L110" s="1984">
        <v>0</v>
      </c>
      <c r="M110" s="1984">
        <v>0</v>
      </c>
      <c r="N110" s="1984">
        <v>0</v>
      </c>
      <c r="O110" s="1984">
        <v>0</v>
      </c>
      <c r="P110" s="415"/>
      <c r="Q110" s="41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1204"/>
      <c r="BA110" s="1204"/>
      <c r="BB110" s="1204"/>
      <c r="BC110" s="1204"/>
    </row>
    <row r="111" spans="2:55" ht="15.75">
      <c r="B111" s="152"/>
      <c r="C111" s="413">
        <v>3</v>
      </c>
      <c r="D111" s="414"/>
      <c r="E111" s="414"/>
      <c r="F111" s="1984">
        <v>0</v>
      </c>
      <c r="G111" s="1984">
        <v>0</v>
      </c>
      <c r="H111" s="1984">
        <v>0</v>
      </c>
      <c r="I111" s="1984">
        <v>0</v>
      </c>
      <c r="J111" s="1984">
        <v>0</v>
      </c>
      <c r="K111" s="1984">
        <v>0</v>
      </c>
      <c r="L111" s="1984">
        <v>0</v>
      </c>
      <c r="M111" s="1984">
        <v>0</v>
      </c>
      <c r="N111" s="1984">
        <v>0</v>
      </c>
      <c r="O111" s="1984">
        <v>0</v>
      </c>
      <c r="P111" s="415"/>
      <c r="Q111" s="415"/>
      <c r="R111" s="35"/>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c r="AZ111" s="1204"/>
      <c r="BA111" s="1204"/>
      <c r="BB111" s="1204"/>
      <c r="BC111" s="1204"/>
    </row>
    <row r="112" spans="2:55" ht="15.75">
      <c r="B112" s="152"/>
      <c r="C112" s="411">
        <v>4</v>
      </c>
      <c r="D112" s="65"/>
      <c r="E112" s="112"/>
      <c r="F112" s="1615">
        <v>0</v>
      </c>
      <c r="G112" s="1615">
        <v>0</v>
      </c>
      <c r="H112" s="1615">
        <v>0</v>
      </c>
      <c r="I112" s="1615">
        <v>0</v>
      </c>
      <c r="J112" s="1615">
        <v>0</v>
      </c>
      <c r="K112" s="1615">
        <v>0</v>
      </c>
      <c r="L112" s="1615">
        <v>0</v>
      </c>
      <c r="M112" s="1615">
        <v>0</v>
      </c>
      <c r="N112" s="1615">
        <v>0</v>
      </c>
      <c r="O112" s="1615">
        <v>0</v>
      </c>
      <c r="P112" s="415"/>
      <c r="Q112" s="41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c r="AV112" s="35"/>
      <c r="AW112" s="35"/>
      <c r="AX112" s="35"/>
      <c r="AY112" s="35"/>
      <c r="AZ112" s="1204"/>
      <c r="BA112" s="1204"/>
      <c r="BB112" s="1204"/>
      <c r="BC112" s="1204"/>
    </row>
    <row r="113" spans="2:55" ht="15.75">
      <c r="B113" s="152"/>
      <c r="C113" s="751"/>
      <c r="D113" s="135"/>
      <c r="E113" s="135"/>
      <c r="F113" s="613"/>
      <c r="G113" s="613"/>
      <c r="H113" s="613"/>
      <c r="I113" s="613"/>
      <c r="J113" s="613"/>
      <c r="K113" s="613"/>
      <c r="L113" s="613"/>
      <c r="M113" s="613"/>
      <c r="N113" s="613"/>
      <c r="O113" s="1453"/>
      <c r="P113" s="98"/>
      <c r="Q113" s="239"/>
      <c r="R113" s="383"/>
      <c r="S113" s="383"/>
      <c r="T113" s="383"/>
      <c r="U113" s="383"/>
      <c r="V113" s="383"/>
      <c r="W113" s="383"/>
      <c r="X113" s="383"/>
      <c r="Y113" s="383"/>
      <c r="Z113" s="383"/>
      <c r="AA113" s="383"/>
      <c r="AB113" s="383"/>
      <c r="AC113" s="383"/>
      <c r="AD113" s="383"/>
      <c r="AE113" s="383"/>
      <c r="AF113" s="383"/>
      <c r="AG113" s="383"/>
      <c r="AH113" s="383"/>
      <c r="AI113" s="383"/>
      <c r="AJ113" s="383"/>
      <c r="AK113" s="383"/>
      <c r="AL113" s="383"/>
      <c r="AM113" s="383"/>
      <c r="AN113" s="383"/>
      <c r="AO113" s="383"/>
      <c r="AP113" s="383"/>
      <c r="AQ113" s="383"/>
      <c r="AR113" s="383"/>
      <c r="AS113" s="383"/>
      <c r="AT113" s="383"/>
      <c r="AU113" s="383"/>
      <c r="AV113" s="383"/>
      <c r="AW113" s="383"/>
      <c r="AX113" s="383"/>
      <c r="AY113" s="383"/>
      <c r="AZ113" s="1204"/>
      <c r="BA113" s="1204"/>
      <c r="BB113" s="1204"/>
      <c r="BC113" s="1204"/>
    </row>
    <row r="114" spans="2:55">
      <c r="R114" s="1204"/>
      <c r="S114" s="1204"/>
      <c r="T114" s="1204"/>
      <c r="U114" s="1204"/>
      <c r="V114" s="1204"/>
      <c r="W114" s="1204"/>
      <c r="X114" s="1204"/>
      <c r="Y114" s="1204"/>
      <c r="Z114" s="1204"/>
      <c r="AA114" s="1204"/>
      <c r="AB114" s="1204"/>
      <c r="AC114" s="1204"/>
      <c r="AD114" s="1204"/>
      <c r="AE114" s="1204"/>
      <c r="AF114" s="1204"/>
      <c r="AG114" s="1204"/>
      <c r="AH114" s="1204"/>
      <c r="AI114" s="1204"/>
      <c r="AJ114" s="1204"/>
      <c r="AK114" s="1204"/>
      <c r="AL114" s="1204"/>
      <c r="AM114" s="1204"/>
      <c r="AN114" s="1204"/>
      <c r="AO114" s="1204"/>
      <c r="AP114" s="1204"/>
      <c r="AQ114" s="1204"/>
      <c r="AR114" s="1204"/>
      <c r="AS114" s="1204"/>
      <c r="AT114" s="1204"/>
      <c r="AU114" s="1204"/>
      <c r="AV114" s="1204"/>
      <c r="AW114" s="1204"/>
      <c r="AX114" s="1204"/>
      <c r="AY114" s="1204"/>
      <c r="AZ114" s="1204"/>
      <c r="BA114" s="1204"/>
      <c r="BB114" s="1204"/>
      <c r="BC114" s="1204"/>
    </row>
    <row r="117" spans="2:55" ht="15.75">
      <c r="B117" s="1445" t="s">
        <v>270</v>
      </c>
      <c r="C117" s="1471"/>
      <c r="D117" s="1471"/>
      <c r="E117" s="1471"/>
      <c r="F117" s="1471"/>
      <c r="G117" s="1471"/>
      <c r="H117" s="1471"/>
      <c r="I117" s="1471"/>
      <c r="J117" s="1471"/>
      <c r="K117" s="1471"/>
      <c r="L117" s="1471"/>
      <c r="M117" s="1471"/>
      <c r="N117" s="1471"/>
      <c r="O117" s="1471"/>
      <c r="P117" s="1472"/>
    </row>
    <row r="118" spans="2:55">
      <c r="B118" s="155"/>
      <c r="C118" s="239"/>
      <c r="D118" s="239"/>
      <c r="E118" s="239"/>
      <c r="F118" s="239"/>
      <c r="G118" s="239"/>
      <c r="H118" s="239"/>
      <c r="I118" s="239"/>
      <c r="J118" s="239"/>
      <c r="K118" s="239"/>
      <c r="L118" s="239"/>
      <c r="M118" s="239"/>
      <c r="N118" s="239"/>
      <c r="O118" s="239"/>
      <c r="P118" s="1417"/>
    </row>
    <row r="119" spans="2:55" ht="15.75" customHeight="1">
      <c r="B119" s="155"/>
      <c r="C119" s="416" t="s">
        <v>1305</v>
      </c>
      <c r="D119" s="415"/>
      <c r="E119" s="104"/>
      <c r="F119" s="415"/>
      <c r="G119" s="415"/>
      <c r="H119" s="415"/>
      <c r="I119" s="415"/>
      <c r="J119" s="415"/>
      <c r="K119" s="415"/>
      <c r="L119" s="415"/>
      <c r="M119" s="415"/>
      <c r="N119" s="415"/>
      <c r="O119" s="104" t="str">
        <f>preferences.energyunits&amp;"/Year"</f>
        <v>TWh/Year</v>
      </c>
      <c r="P119" s="1417"/>
    </row>
    <row r="120" spans="2:55">
      <c r="B120" s="155"/>
      <c r="C120" s="415"/>
      <c r="D120" s="415"/>
      <c r="E120" s="415"/>
      <c r="F120" s="415"/>
      <c r="G120" s="415"/>
      <c r="H120" s="415"/>
      <c r="I120" s="415"/>
      <c r="J120" s="415"/>
      <c r="K120" s="415"/>
      <c r="L120" s="415"/>
      <c r="M120" s="415"/>
      <c r="N120" s="415"/>
      <c r="O120" s="415"/>
      <c r="P120" s="1417"/>
    </row>
    <row r="121" spans="2:55">
      <c r="B121" s="155"/>
      <c r="C121" s="61" t="s">
        <v>227</v>
      </c>
      <c r="D121" s="61" t="s">
        <v>65</v>
      </c>
      <c r="E121" s="61" t="s">
        <v>156</v>
      </c>
      <c r="F121" s="119">
        <v>2007</v>
      </c>
      <c r="G121" s="120">
        <f>F121+5</f>
        <v>2012</v>
      </c>
      <c r="H121" s="120">
        <f t="shared" ref="H121:O121" si="17">G121+5</f>
        <v>2017</v>
      </c>
      <c r="I121" s="120">
        <f t="shared" si="17"/>
        <v>2022</v>
      </c>
      <c r="J121" s="120">
        <f t="shared" si="17"/>
        <v>2027</v>
      </c>
      <c r="K121" s="120">
        <f t="shared" si="17"/>
        <v>2032</v>
      </c>
      <c r="L121" s="120">
        <f t="shared" si="17"/>
        <v>2037</v>
      </c>
      <c r="M121" s="120">
        <f t="shared" si="17"/>
        <v>2042</v>
      </c>
      <c r="N121" s="120">
        <f t="shared" si="17"/>
        <v>2047</v>
      </c>
      <c r="O121" s="120">
        <f t="shared" si="17"/>
        <v>2052</v>
      </c>
      <c r="P121" s="1417"/>
    </row>
    <row r="122" spans="2:55">
      <c r="B122" s="155"/>
      <c r="C122" s="78"/>
      <c r="D122" s="79" t="s">
        <v>1291</v>
      </c>
      <c r="E122" s="79"/>
      <c r="F122" s="635">
        <f>F20</f>
        <v>104.815383969057</v>
      </c>
      <c r="G122" s="635">
        <f t="shared" ref="G122:O122" si="18">G20</f>
        <v>181.35727693691899</v>
      </c>
      <c r="H122" s="635">
        <f t="shared" si="18"/>
        <v>314.173564677564</v>
      </c>
      <c r="I122" s="635">
        <f t="shared" si="18"/>
        <v>544.96214444799</v>
      </c>
      <c r="J122" s="635">
        <f t="shared" si="18"/>
        <v>946.58403585622796</v>
      </c>
      <c r="K122" s="635">
        <f t="shared" si="18"/>
        <v>1646.5589271470501</v>
      </c>
      <c r="L122" s="635">
        <f t="shared" si="18"/>
        <v>2868.6273916095001</v>
      </c>
      <c r="M122" s="635">
        <f t="shared" si="18"/>
        <v>5005.6927356718697</v>
      </c>
      <c r="N122" s="635">
        <f t="shared" si="18"/>
        <v>8749.3981980700701</v>
      </c>
      <c r="O122" s="635">
        <f t="shared" si="18"/>
        <v>15319.540488631799</v>
      </c>
      <c r="P122" s="1417"/>
    </row>
    <row r="123" spans="2:55">
      <c r="B123" s="155"/>
      <c r="C123" s="413"/>
      <c r="D123" s="414"/>
      <c r="E123" s="414"/>
      <c r="F123" s="115"/>
      <c r="G123" s="115"/>
      <c r="H123" s="115"/>
      <c r="I123" s="115"/>
      <c r="J123" s="115"/>
      <c r="K123" s="115"/>
      <c r="L123" s="115"/>
      <c r="M123" s="115"/>
      <c r="N123" s="115"/>
      <c r="O123" s="115"/>
      <c r="P123" s="1417"/>
    </row>
    <row r="124" spans="2:55">
      <c r="B124" s="155"/>
      <c r="C124" s="416" t="s">
        <v>1306</v>
      </c>
      <c r="D124" s="415"/>
      <c r="E124" s="104"/>
      <c r="F124" s="415"/>
      <c r="G124" s="415"/>
      <c r="H124" s="415"/>
      <c r="I124" s="415"/>
      <c r="J124" s="415"/>
      <c r="K124" s="415"/>
      <c r="L124" s="415"/>
      <c r="M124" s="415"/>
      <c r="N124" s="415"/>
      <c r="O124" s="104" t="str">
        <f>preferences.energyunits&amp;"/Year"</f>
        <v>TWh/Year</v>
      </c>
      <c r="P124" s="1417"/>
    </row>
    <row r="125" spans="2:55" ht="4.5" customHeight="1">
      <c r="B125" s="155"/>
      <c r="C125" s="415"/>
      <c r="D125" s="415"/>
      <c r="E125" s="415"/>
      <c r="F125" s="415"/>
      <c r="G125" s="415"/>
      <c r="H125" s="415"/>
      <c r="I125" s="415"/>
      <c r="J125" s="415"/>
      <c r="K125" s="415"/>
      <c r="L125" s="415"/>
      <c r="M125" s="415"/>
      <c r="N125" s="415"/>
      <c r="O125" s="415"/>
      <c r="P125" s="1417"/>
    </row>
    <row r="126" spans="2:55">
      <c r="B126" s="155"/>
      <c r="C126" s="61" t="s">
        <v>227</v>
      </c>
      <c r="D126" s="61" t="s">
        <v>65</v>
      </c>
      <c r="E126" s="61" t="s">
        <v>156</v>
      </c>
      <c r="F126" s="119">
        <v>2007</v>
      </c>
      <c r="G126" s="120">
        <f>F126+5</f>
        <v>2012</v>
      </c>
      <c r="H126" s="120">
        <f t="shared" ref="H126:O126" si="19">G126+5</f>
        <v>2017</v>
      </c>
      <c r="I126" s="120">
        <f t="shared" si="19"/>
        <v>2022</v>
      </c>
      <c r="J126" s="120">
        <f t="shared" si="19"/>
        <v>2027</v>
      </c>
      <c r="K126" s="120">
        <f t="shared" si="19"/>
        <v>2032</v>
      </c>
      <c r="L126" s="120">
        <f t="shared" si="19"/>
        <v>2037</v>
      </c>
      <c r="M126" s="120">
        <f t="shared" si="19"/>
        <v>2042</v>
      </c>
      <c r="N126" s="120">
        <f t="shared" si="19"/>
        <v>2047</v>
      </c>
      <c r="O126" s="120">
        <f t="shared" si="19"/>
        <v>2052</v>
      </c>
      <c r="P126" s="1417"/>
    </row>
    <row r="127" spans="2:55">
      <c r="B127" s="155"/>
      <c r="C127" s="78"/>
      <c r="D127" s="79" t="s">
        <v>1293</v>
      </c>
      <c r="E127" s="79"/>
      <c r="F127" s="635">
        <f>F29</f>
        <v>70.120536664499994</v>
      </c>
      <c r="G127" s="635">
        <f t="shared" ref="G127:O127" si="20">G29</f>
        <v>113.02738950549499</v>
      </c>
      <c r="H127" s="635">
        <f t="shared" si="20"/>
        <v>182.189004621446</v>
      </c>
      <c r="I127" s="635">
        <f t="shared" si="20"/>
        <v>293.670707163766</v>
      </c>
      <c r="J127" s="635">
        <f t="shared" si="20"/>
        <v>473.368216843065</v>
      </c>
      <c r="K127" s="635">
        <f t="shared" si="20"/>
        <v>763.02287988234798</v>
      </c>
      <c r="L127" s="635">
        <f t="shared" si="20"/>
        <v>1229.9176296767901</v>
      </c>
      <c r="M127" s="635">
        <f t="shared" si="20"/>
        <v>1982.5059191187399</v>
      </c>
      <c r="N127" s="635">
        <f t="shared" si="20"/>
        <v>3195.6040181110902</v>
      </c>
      <c r="O127" s="635">
        <f t="shared" si="20"/>
        <v>5150.9985125830799</v>
      </c>
      <c r="P127" s="1417"/>
    </row>
    <row r="128" spans="2:55" ht="15.75">
      <c r="B128" s="152"/>
      <c r="C128" s="413"/>
      <c r="D128" s="414"/>
      <c r="E128" s="414"/>
      <c r="F128" s="115"/>
      <c r="G128" s="115"/>
      <c r="H128" s="115"/>
      <c r="I128" s="115"/>
      <c r="J128" s="115"/>
      <c r="K128" s="115"/>
      <c r="L128" s="115"/>
      <c r="M128" s="115"/>
      <c r="N128" s="115"/>
      <c r="O128" s="115"/>
      <c r="P128" s="1417"/>
    </row>
    <row r="129" spans="2:16" ht="15.75">
      <c r="B129" s="152"/>
      <c r="C129" s="416" t="s">
        <v>1307</v>
      </c>
      <c r="D129" s="415"/>
      <c r="E129" s="104"/>
      <c r="F129" s="415"/>
      <c r="G129" s="415"/>
      <c r="H129" s="415"/>
      <c r="I129" s="415"/>
      <c r="J129" s="415"/>
      <c r="K129" s="415"/>
      <c r="L129" s="415"/>
      <c r="M129" s="415"/>
      <c r="N129" s="415"/>
      <c r="O129" s="104" t="str">
        <f>preferences.energyunits&amp;"/Year"</f>
        <v>TWh/Year</v>
      </c>
      <c r="P129" s="1417"/>
    </row>
    <row r="130" spans="2:16" ht="15.75">
      <c r="B130" s="152"/>
      <c r="C130" s="415"/>
      <c r="D130" s="415"/>
      <c r="E130" s="415"/>
      <c r="F130" s="415"/>
      <c r="G130" s="415"/>
      <c r="H130" s="415"/>
      <c r="I130" s="415"/>
      <c r="J130" s="415"/>
      <c r="K130" s="415"/>
      <c r="L130" s="415"/>
      <c r="M130" s="415"/>
      <c r="N130" s="415"/>
      <c r="O130" s="415"/>
      <c r="P130" s="1417"/>
    </row>
    <row r="131" spans="2:16">
      <c r="B131" s="155"/>
      <c r="C131" s="61" t="s">
        <v>227</v>
      </c>
      <c r="D131" s="61" t="s">
        <v>65</v>
      </c>
      <c r="E131" s="61" t="s">
        <v>156</v>
      </c>
      <c r="F131" s="119">
        <v>2007</v>
      </c>
      <c r="G131" s="120">
        <f>F131+5</f>
        <v>2012</v>
      </c>
      <c r="H131" s="120">
        <f t="shared" ref="H131:O131" si="21">G131+5</f>
        <v>2017</v>
      </c>
      <c r="I131" s="120">
        <f t="shared" si="21"/>
        <v>2022</v>
      </c>
      <c r="J131" s="120">
        <f t="shared" si="21"/>
        <v>2027</v>
      </c>
      <c r="K131" s="120">
        <f t="shared" si="21"/>
        <v>2032</v>
      </c>
      <c r="L131" s="120">
        <f t="shared" si="21"/>
        <v>2037</v>
      </c>
      <c r="M131" s="120">
        <f t="shared" si="21"/>
        <v>2042</v>
      </c>
      <c r="N131" s="120">
        <f t="shared" si="21"/>
        <v>2047</v>
      </c>
      <c r="O131" s="120">
        <f t="shared" si="21"/>
        <v>2052</v>
      </c>
      <c r="P131" s="1417"/>
    </row>
    <row r="132" spans="2:16">
      <c r="B132" s="155"/>
      <c r="C132" s="78"/>
      <c r="D132" s="79" t="s">
        <v>1296</v>
      </c>
      <c r="E132" s="79"/>
      <c r="F132" s="635">
        <f>F38</f>
        <v>174.93592063355698</v>
      </c>
      <c r="G132" s="635">
        <f t="shared" ref="G132:O132" si="22">G38</f>
        <v>294.38466644241396</v>
      </c>
      <c r="H132" s="635">
        <f t="shared" si="22"/>
        <v>496.36256929901003</v>
      </c>
      <c r="I132" s="635">
        <f t="shared" si="22"/>
        <v>838.632851611756</v>
      </c>
      <c r="J132" s="635">
        <f t="shared" si="22"/>
        <v>1419.952252699293</v>
      </c>
      <c r="K132" s="635">
        <f t="shared" si="22"/>
        <v>2409.5818070293981</v>
      </c>
      <c r="L132" s="635">
        <f t="shared" si="22"/>
        <v>4098.5450212862906</v>
      </c>
      <c r="M132" s="635">
        <f t="shared" si="22"/>
        <v>6988.1986547906099</v>
      </c>
      <c r="N132" s="635">
        <f t="shared" si="22"/>
        <v>11945.002216181161</v>
      </c>
      <c r="O132" s="635">
        <f t="shared" si="22"/>
        <v>20470.539001214878</v>
      </c>
      <c r="P132" s="1417"/>
    </row>
    <row r="133" spans="2:16">
      <c r="B133" s="155"/>
      <c r="C133" s="413"/>
      <c r="D133" s="414"/>
      <c r="E133" s="414"/>
      <c r="F133" s="677"/>
      <c r="G133" s="678"/>
      <c r="H133" s="678"/>
      <c r="I133" s="678"/>
      <c r="J133" s="678"/>
      <c r="K133" s="678"/>
      <c r="L133" s="678"/>
      <c r="M133" s="678"/>
      <c r="N133" s="678"/>
      <c r="O133" s="678"/>
      <c r="P133" s="1417"/>
    </row>
    <row r="134" spans="2:16">
      <c r="B134" s="155"/>
      <c r="C134" s="751"/>
      <c r="D134" s="135"/>
      <c r="E134" s="135"/>
      <c r="F134" s="677"/>
      <c r="G134" s="677"/>
      <c r="H134" s="1473"/>
      <c r="I134" s="1473"/>
      <c r="J134" s="1473"/>
      <c r="K134" s="1473"/>
      <c r="L134" s="1473"/>
      <c r="M134" s="1473"/>
      <c r="N134" s="1473"/>
      <c r="O134" s="677"/>
      <c r="P134" s="1417"/>
    </row>
    <row r="137" spans="2:16" ht="15.75">
      <c r="B137" s="1474" t="s">
        <v>241</v>
      </c>
    </row>
    <row r="138" spans="2:16" ht="15.75">
      <c r="B138" s="1474"/>
      <c r="C138" s="605" t="s">
        <v>1308</v>
      </c>
    </row>
    <row r="139" spans="2:16" ht="15.75">
      <c r="B139" s="1474"/>
      <c r="C139" s="605"/>
    </row>
    <row r="140" spans="2:16" ht="15.75">
      <c r="B140" s="1474"/>
      <c r="C140" s="423" t="s">
        <v>1309</v>
      </c>
    </row>
    <row r="141" spans="2:16" ht="15.75">
      <c r="B141" s="1474"/>
      <c r="E141" s="119">
        <v>2007</v>
      </c>
      <c r="F141" s="120">
        <f>E141+5</f>
        <v>2012</v>
      </c>
      <c r="G141" s="120">
        <f t="shared" ref="G141:N141" si="23">F141+5</f>
        <v>2017</v>
      </c>
      <c r="H141" s="120">
        <f t="shared" si="23"/>
        <v>2022</v>
      </c>
      <c r="I141" s="120">
        <f t="shared" si="23"/>
        <v>2027</v>
      </c>
      <c r="J141" s="120">
        <f t="shared" si="23"/>
        <v>2032</v>
      </c>
      <c r="K141" s="120">
        <f t="shared" si="23"/>
        <v>2037</v>
      </c>
      <c r="L141" s="120">
        <f t="shared" si="23"/>
        <v>2042</v>
      </c>
      <c r="M141" s="120">
        <f t="shared" si="23"/>
        <v>2047</v>
      </c>
      <c r="N141" s="120">
        <f t="shared" si="23"/>
        <v>2052</v>
      </c>
    </row>
    <row r="142" spans="2:16">
      <c r="B142" s="423"/>
      <c r="C142" s="605" t="s">
        <v>1310</v>
      </c>
      <c r="D142" s="19" t="str">
        <f>Preferences.AreaUnits</f>
        <v>ha</v>
      </c>
      <c r="E142" s="2723">
        <f>F76</f>
        <v>49925.514781999998</v>
      </c>
      <c r="F142" s="2723">
        <f t="shared" ref="F142:N142" si="24">G76</f>
        <v>74515.516702448105</v>
      </c>
      <c r="G142" s="2723">
        <f t="shared" si="24"/>
        <v>111353.607007914</v>
      </c>
      <c r="H142" s="2723">
        <f t="shared" si="24"/>
        <v>166619.977338617</v>
      </c>
      <c r="I142" s="2723">
        <f t="shared" si="24"/>
        <v>249658.98714281202</v>
      </c>
      <c r="J142" s="2723">
        <f t="shared" si="24"/>
        <v>374625.14543456602</v>
      </c>
      <c r="K142" s="2723">
        <f t="shared" si="24"/>
        <v>562999.85895744408</v>
      </c>
      <c r="L142" s="2723">
        <f t="shared" si="24"/>
        <v>847447.6111712011</v>
      </c>
      <c r="M142" s="2723">
        <f t="shared" si="24"/>
        <v>1277736.8179122801</v>
      </c>
      <c r="N142" s="2723">
        <f t="shared" si="24"/>
        <v>1929849.96724086</v>
      </c>
    </row>
    <row r="143" spans="2:16" ht="25.5">
      <c r="B143" s="19" t="s">
        <v>1311</v>
      </c>
      <c r="C143" s="988" t="s">
        <v>1312</v>
      </c>
      <c r="D143" s="19" t="str">
        <f>preferences.energyunits &amp;"/"&amp; Preferences.AreaUnits</f>
        <v>TWh/ha</v>
      </c>
      <c r="E143" s="1475">
        <f>F46</f>
        <v>2.1000000000000003E-3</v>
      </c>
      <c r="F143" s="1475">
        <f>K46</f>
        <v>2.4344755560300004E-3</v>
      </c>
      <c r="G143" s="1475">
        <f>P46</f>
        <v>2.8222243966226604E-3</v>
      </c>
      <c r="H143" s="1475">
        <f>U46</f>
        <v>3.2717315748616105E-3</v>
      </c>
      <c r="I143" s="1475">
        <f>Z46</f>
        <v>3.79283359280577E-3</v>
      </c>
      <c r="J143" s="1475">
        <f>AE46</f>
        <v>4.3969336522738508E-3</v>
      </c>
      <c r="K143" s="1475">
        <f>AJ46</f>
        <v>5.09725118949829E-3</v>
      </c>
      <c r="L143" s="1475">
        <f>AO46</f>
        <v>5.9091111541802006E-3</v>
      </c>
      <c r="M143" s="1475">
        <f>AT46</f>
        <v>6.850279363198061E-3</v>
      </c>
      <c r="N143" s="1475">
        <f>AY46</f>
        <v>7.9413512674678319E-3</v>
      </c>
    </row>
    <row r="144" spans="2:16" s="17" customFormat="1">
      <c r="B144" s="88" t="s">
        <v>276</v>
      </c>
      <c r="C144" s="423" t="s">
        <v>1313</v>
      </c>
      <c r="D144" s="19" t="str">
        <f>preferences.energyunits</f>
        <v>TWh</v>
      </c>
      <c r="E144" s="2722">
        <f>E142*E143</f>
        <v>104.84358104220001</v>
      </c>
      <c r="F144" s="2722">
        <f t="shared" ref="F144:N144" si="25">F142*F143</f>
        <v>181.40620395705514</v>
      </c>
      <c r="G144" s="2722">
        <f t="shared" si="25"/>
        <v>314.26486634966693</v>
      </c>
      <c r="H144" s="2722">
        <f t="shared" si="25"/>
        <v>545.13584086147921</v>
      </c>
      <c r="I144" s="2722">
        <f t="shared" si="25"/>
        <v>946.9149931811213</v>
      </c>
      <c r="J144" s="2722">
        <f t="shared" si="25"/>
        <v>1647.2019089492289</v>
      </c>
      <c r="K144" s="2722">
        <f t="shared" si="25"/>
        <v>2869.7517007582014</v>
      </c>
      <c r="L144" s="2722">
        <f t="shared" si="25"/>
        <v>5007.6621317551098</v>
      </c>
      <c r="M144" s="2722">
        <f t="shared" si="25"/>
        <v>8752.8541553428513</v>
      </c>
      <c r="N144" s="2722">
        <f t="shared" si="25"/>
        <v>15325.616483370957</v>
      </c>
      <c r="O144" s="19"/>
      <c r="P144" s="19"/>
    </row>
    <row r="145" spans="1:17" s="17" customFormat="1">
      <c r="B145" s="423"/>
      <c r="C145" s="19"/>
      <c r="D145" s="19"/>
      <c r="E145" s="19"/>
      <c r="F145" s="19"/>
      <c r="G145" s="19"/>
      <c r="H145" s="19"/>
      <c r="I145" s="19"/>
      <c r="J145" s="19"/>
      <c r="K145" s="19"/>
      <c r="L145" s="19"/>
      <c r="M145" s="19"/>
      <c r="N145" s="19"/>
      <c r="O145" s="19"/>
      <c r="P145" s="19"/>
    </row>
    <row r="146" spans="1:17" s="17" customFormat="1" ht="38.25">
      <c r="B146" s="423"/>
      <c r="C146" s="1476" t="s">
        <v>1314</v>
      </c>
      <c r="D146" s="19" t="str">
        <f>preferences.energyunits</f>
        <v>TWh</v>
      </c>
      <c r="E146" s="1477">
        <f>F122</f>
        <v>104.815383969057</v>
      </c>
      <c r="F146" s="1477">
        <f t="shared" ref="F146:N146" si="26">G122</f>
        <v>181.35727693691899</v>
      </c>
      <c r="G146" s="1477">
        <f t="shared" si="26"/>
        <v>314.173564677564</v>
      </c>
      <c r="H146" s="1477">
        <f t="shared" si="26"/>
        <v>544.96214444799</v>
      </c>
      <c r="I146" s="1477">
        <f t="shared" si="26"/>
        <v>946.58403585622796</v>
      </c>
      <c r="J146" s="1477">
        <f t="shared" si="26"/>
        <v>1646.5589271470501</v>
      </c>
      <c r="K146" s="1477">
        <f t="shared" si="26"/>
        <v>2868.6273916095001</v>
      </c>
      <c r="L146" s="1477">
        <f t="shared" si="26"/>
        <v>5005.6927356718697</v>
      </c>
      <c r="M146" s="1477">
        <f t="shared" si="26"/>
        <v>8749.3981980700701</v>
      </c>
      <c r="N146" s="1477">
        <f t="shared" si="26"/>
        <v>15319.540488631799</v>
      </c>
      <c r="O146" s="19"/>
      <c r="P146" s="19"/>
    </row>
    <row r="147" spans="1:17" s="17" customFormat="1">
      <c r="B147" s="423"/>
      <c r="C147" s="19"/>
      <c r="D147" s="19"/>
      <c r="E147" s="19"/>
      <c r="F147" s="19"/>
      <c r="G147" s="19"/>
      <c r="H147" s="19"/>
      <c r="I147" s="19"/>
      <c r="J147" s="19"/>
      <c r="K147" s="19"/>
      <c r="L147" s="19"/>
      <c r="M147" s="19"/>
      <c r="N147" s="19"/>
      <c r="O147" s="19"/>
      <c r="P147" s="19"/>
    </row>
    <row r="148" spans="1:17" s="2754" customFormat="1" ht="25.5">
      <c r="B148" s="1624"/>
      <c r="C148" s="1989" t="s">
        <v>1315</v>
      </c>
      <c r="D148" s="1475" t="str">
        <f>preferences.energyunits</f>
        <v>TWh</v>
      </c>
      <c r="E148" s="1624">
        <f t="shared" ref="E148:N148" si="27">E144-E146</f>
        <v>2.8197073143019225E-2</v>
      </c>
      <c r="F148" s="1624">
        <f t="shared" si="27"/>
        <v>4.8927020136147803E-2</v>
      </c>
      <c r="G148" s="1624">
        <f t="shared" si="27"/>
        <v>9.1301672102929388E-2</v>
      </c>
      <c r="H148" s="1624">
        <f t="shared" si="27"/>
        <v>0.1736964134892105</v>
      </c>
      <c r="I148" s="1624">
        <f t="shared" si="27"/>
        <v>0.3309573248933475</v>
      </c>
      <c r="J148" s="1624">
        <f t="shared" si="27"/>
        <v>0.64298180217883782</v>
      </c>
      <c r="K148" s="1624">
        <f t="shared" si="27"/>
        <v>1.1243091487012862</v>
      </c>
      <c r="L148" s="1624">
        <f t="shared" si="27"/>
        <v>1.969396083240099</v>
      </c>
      <c r="M148" s="1624">
        <f t="shared" si="27"/>
        <v>3.4559572727812338</v>
      </c>
      <c r="N148" s="1624">
        <f t="shared" si="27"/>
        <v>6.0759947391579772</v>
      </c>
      <c r="O148" s="1475"/>
      <c r="P148" s="1475"/>
    </row>
    <row r="149" spans="1:17" s="17" customFormat="1" ht="15.75">
      <c r="A149" s="53"/>
      <c r="B149" s="423"/>
      <c r="C149" s="19"/>
      <c r="D149" s="19"/>
      <c r="E149" s="19"/>
      <c r="F149" s="19"/>
      <c r="G149" s="19"/>
      <c r="H149" s="19"/>
      <c r="I149" s="19"/>
      <c r="J149" s="19"/>
      <c r="K149" s="19"/>
      <c r="L149" s="19"/>
      <c r="M149" s="19"/>
      <c r="N149" s="19"/>
      <c r="O149" s="19"/>
      <c r="P149" s="19"/>
    </row>
    <row r="150" spans="1:17" s="17" customFormat="1">
      <c r="B150" s="423"/>
      <c r="C150" s="423" t="s">
        <v>1316</v>
      </c>
      <c r="D150" s="19"/>
      <c r="E150" s="19"/>
      <c r="F150" s="19"/>
      <c r="G150" s="19"/>
      <c r="H150" s="19"/>
      <c r="I150" s="19"/>
      <c r="J150" s="19"/>
      <c r="K150" s="19"/>
      <c r="L150" s="19"/>
      <c r="M150" s="19"/>
      <c r="N150" s="19"/>
      <c r="O150" s="19"/>
      <c r="P150" s="19"/>
    </row>
    <row r="151" spans="1:17" s="17" customFormat="1">
      <c r="B151" s="423"/>
      <c r="C151" s="605"/>
      <c r="D151" s="19"/>
      <c r="E151" s="19"/>
      <c r="F151" s="19"/>
      <c r="G151" s="19"/>
      <c r="H151" s="19"/>
      <c r="I151" s="19"/>
      <c r="J151" s="19"/>
      <c r="K151" s="19"/>
      <c r="L151" s="19"/>
      <c r="M151" s="19"/>
      <c r="N151" s="19"/>
      <c r="O151" s="19"/>
      <c r="P151" s="19"/>
    </row>
    <row r="152" spans="1:17" s="1475" customFormat="1">
      <c r="B152" s="1624"/>
      <c r="C152" s="1617" t="s">
        <v>1298</v>
      </c>
      <c r="D152" s="1475" t="str">
        <f>Preferences.AreaUnits</f>
        <v>ha</v>
      </c>
      <c r="E152" s="1475">
        <f>F78</f>
        <v>166953.65872500002</v>
      </c>
      <c r="F152" s="1475">
        <f t="shared" ref="F152:N152" si="28">G78</f>
        <v>213079.87642263502</v>
      </c>
      <c r="G152" s="1475">
        <f t="shared" si="28"/>
        <v>271949.91761798703</v>
      </c>
      <c r="H152" s="1475">
        <f t="shared" si="28"/>
        <v>347084.66577923106</v>
      </c>
      <c r="I152" s="1475">
        <f t="shared" si="28"/>
        <v>442977.75956050702</v>
      </c>
      <c r="J152" s="1475">
        <f t="shared" si="28"/>
        <v>565364.34712463396</v>
      </c>
      <c r="K152" s="1475">
        <f t="shared" si="28"/>
        <v>721564.09233002004</v>
      </c>
      <c r="L152" s="1475">
        <f t="shared" si="28"/>
        <v>920918.94720285211</v>
      </c>
      <c r="M152" s="1475">
        <f t="shared" si="28"/>
        <v>1175351.8728719102</v>
      </c>
      <c r="N152" s="1475">
        <f t="shared" si="28"/>
        <v>1500079.9247962602</v>
      </c>
    </row>
    <row r="153" spans="1:17" s="2754" customFormat="1" ht="25.5">
      <c r="A153" s="2758"/>
      <c r="B153" s="1478" t="s">
        <v>1311</v>
      </c>
      <c r="C153" s="2759" t="s">
        <v>1312</v>
      </c>
      <c r="D153" s="1475" t="str">
        <f>preferences.energyunits &amp;"/"&amp; Preferences.AreaUnits</f>
        <v>TWh/ha</v>
      </c>
      <c r="E153" s="1475">
        <f>F58</f>
        <v>4.2000000000000002E-4</v>
      </c>
      <c r="F153" s="1475">
        <f>K58</f>
        <v>5.3044610032206799E-4</v>
      </c>
      <c r="G153" s="1475">
        <f>P58</f>
        <v>6.6993586987354611E-4</v>
      </c>
      <c r="H153" s="1475">
        <f>U58</f>
        <v>8.4610683247689298E-4</v>
      </c>
      <c r="I153" s="1475">
        <f>Z58</f>
        <v>1.06860492796006E-3</v>
      </c>
      <c r="J153" s="1475">
        <f>AE58</f>
        <v>1.3496126590984701E-3</v>
      </c>
      <c r="K153" s="1475">
        <f>AJ58</f>
        <v>1.7045161237240001E-3</v>
      </c>
      <c r="L153" s="1475">
        <f>AO58</f>
        <v>2.1527474542035302E-3</v>
      </c>
      <c r="M153" s="1475">
        <f>AT58</f>
        <v>2.7188487906203E-3</v>
      </c>
      <c r="N153" s="1475">
        <f>AY58</f>
        <v>3.4338160436902503E-3</v>
      </c>
      <c r="O153" s="2760"/>
      <c r="P153" s="1475"/>
    </row>
    <row r="154" spans="1:17" s="2754" customFormat="1">
      <c r="B154" s="2761" t="s">
        <v>276</v>
      </c>
      <c r="C154" s="1624" t="s">
        <v>1313</v>
      </c>
      <c r="D154" s="1475" t="str">
        <f>preferences.energyunits</f>
        <v>TWh</v>
      </c>
      <c r="E154" s="2762">
        <f>E152*E153</f>
        <v>70.120536664500008</v>
      </c>
      <c r="F154" s="2762">
        <f t="shared" ref="F154:N154" si="29">F152*F153</f>
        <v>113.02738950549491</v>
      </c>
      <c r="G154" s="2762">
        <f t="shared" si="29"/>
        <v>182.18900462144535</v>
      </c>
      <c r="H154" s="2762">
        <f t="shared" si="29"/>
        <v>293.67070716376622</v>
      </c>
      <c r="I154" s="2762">
        <f t="shared" si="29"/>
        <v>473.36821684306443</v>
      </c>
      <c r="J154" s="2762">
        <f t="shared" si="29"/>
        <v>763.02287988234775</v>
      </c>
      <c r="K154" s="2762">
        <f t="shared" si="29"/>
        <v>1229.9176296767923</v>
      </c>
      <c r="L154" s="2762">
        <f t="shared" si="29"/>
        <v>1982.5059191187352</v>
      </c>
      <c r="M154" s="2762">
        <f t="shared" si="29"/>
        <v>3195.6040181110975</v>
      </c>
      <c r="N154" s="2762">
        <f t="shared" si="29"/>
        <v>5150.9985125830626</v>
      </c>
      <c r="O154" s="2763"/>
      <c r="P154" s="1475"/>
    </row>
    <row r="155" spans="1:17" s="17" customFormat="1">
      <c r="B155" s="856"/>
      <c r="C155" s="19"/>
      <c r="D155" s="423"/>
      <c r="E155" s="1401"/>
      <c r="F155" s="1480"/>
      <c r="G155" s="1480"/>
      <c r="H155" s="1480"/>
      <c r="I155" s="1480"/>
      <c r="J155" s="1480"/>
      <c r="K155" s="1480"/>
      <c r="L155" s="1480"/>
      <c r="M155" s="1480"/>
      <c r="N155" s="1480"/>
      <c r="O155" s="1480"/>
      <c r="P155" s="19"/>
    </row>
    <row r="156" spans="1:17" s="17" customFormat="1" ht="38.25">
      <c r="B156" s="856"/>
      <c r="C156" s="1476" t="s">
        <v>1314</v>
      </c>
      <c r="D156" s="19" t="str">
        <f>preferences.energyunits</f>
        <v>TWh</v>
      </c>
      <c r="E156" s="1481">
        <f>F127</f>
        <v>70.120536664499994</v>
      </c>
      <c r="F156" s="1481">
        <f t="shared" ref="F156:N156" si="30">G127</f>
        <v>113.02738950549499</v>
      </c>
      <c r="G156" s="1481">
        <f t="shared" si="30"/>
        <v>182.189004621446</v>
      </c>
      <c r="H156" s="1481">
        <f t="shared" si="30"/>
        <v>293.670707163766</v>
      </c>
      <c r="I156" s="1481">
        <f t="shared" si="30"/>
        <v>473.368216843065</v>
      </c>
      <c r="J156" s="1481">
        <f t="shared" si="30"/>
        <v>763.02287988234798</v>
      </c>
      <c r="K156" s="1481">
        <f t="shared" si="30"/>
        <v>1229.9176296767901</v>
      </c>
      <c r="L156" s="1481">
        <f t="shared" si="30"/>
        <v>1982.5059191187399</v>
      </c>
      <c r="M156" s="1481">
        <f t="shared" si="30"/>
        <v>3195.6040181110902</v>
      </c>
      <c r="N156" s="1481">
        <f t="shared" si="30"/>
        <v>5150.9985125830799</v>
      </c>
      <c r="O156" s="1480"/>
      <c r="P156" s="19"/>
    </row>
    <row r="157" spans="1:17" s="17" customFormat="1">
      <c r="B157" s="1401"/>
      <c r="C157" s="19"/>
      <c r="D157" s="19"/>
      <c r="E157" s="19"/>
      <c r="F157" s="1482"/>
      <c r="G157" s="1482"/>
      <c r="H157" s="1482"/>
      <c r="I157" s="1482"/>
      <c r="J157" s="1482"/>
      <c r="K157" s="1482"/>
      <c r="L157" s="1482"/>
      <c r="M157" s="1482"/>
      <c r="N157" s="1482"/>
      <c r="O157" s="1482"/>
      <c r="P157" s="19"/>
    </row>
    <row r="158" spans="1:17" s="2754" customFormat="1" ht="25.5">
      <c r="B158" s="1478"/>
      <c r="C158" s="2755" t="s">
        <v>1317</v>
      </c>
      <c r="D158" s="2756" t="str">
        <f>preferences.energyunits</f>
        <v>TWh</v>
      </c>
      <c r="E158" s="2757">
        <f>E154-E156</f>
        <v>0</v>
      </c>
      <c r="F158" s="2757">
        <f t="shared" ref="F158:N158" si="31">F154-F156</f>
        <v>0</v>
      </c>
      <c r="G158" s="2757">
        <f t="shared" si="31"/>
        <v>-6.5369931689929217E-13</v>
      </c>
      <c r="H158" s="2757">
        <f t="shared" si="31"/>
        <v>0</v>
      </c>
      <c r="I158" s="2757">
        <f t="shared" si="31"/>
        <v>-5.6843418860808015E-13</v>
      </c>
      <c r="J158" s="2757">
        <f t="shared" si="31"/>
        <v>0</v>
      </c>
      <c r="K158" s="2757">
        <f t="shared" si="31"/>
        <v>2.2737367544323206E-12</v>
      </c>
      <c r="L158" s="2757">
        <f t="shared" si="31"/>
        <v>-4.7748471843078732E-12</v>
      </c>
      <c r="M158" s="2757">
        <f t="shared" si="31"/>
        <v>7.2759576141834259E-12</v>
      </c>
      <c r="N158" s="2757">
        <f t="shared" si="31"/>
        <v>-1.7280399333685637E-11</v>
      </c>
      <c r="O158" s="2756"/>
      <c r="P158" s="1475"/>
    </row>
    <row r="159" spans="1:17" s="17" customFormat="1" ht="17.25" customHeight="1">
      <c r="B159" s="1484"/>
      <c r="C159" s="1191"/>
      <c r="D159" s="1191"/>
      <c r="E159" s="1485"/>
      <c r="F159" s="1192"/>
      <c r="G159" s="1192"/>
      <c r="H159" s="1192"/>
      <c r="I159" s="1192"/>
      <c r="J159" s="1192"/>
      <c r="K159" s="1192"/>
      <c r="L159" s="1192"/>
      <c r="M159" s="1192"/>
      <c r="N159" s="1192"/>
      <c r="O159" s="1192"/>
      <c r="Q159" s="22"/>
    </row>
    <row r="160" spans="1:17" s="2764" customFormat="1">
      <c r="B160" s="2765"/>
      <c r="C160" s="2766" t="s">
        <v>1318</v>
      </c>
      <c r="D160" s="2766"/>
      <c r="E160" s="2767">
        <f t="shared" ref="E160:N160" si="32">(E148/E144)</f>
        <v>2.6894420109200369E-4</v>
      </c>
      <c r="F160" s="2767">
        <f t="shared" si="32"/>
        <v>2.697097401791752E-4</v>
      </c>
      <c r="G160" s="2767">
        <f t="shared" si="32"/>
        <v>2.9052459208514433E-4</v>
      </c>
      <c r="H160" s="2767">
        <f t="shared" si="32"/>
        <v>3.1862959737653226E-4</v>
      </c>
      <c r="I160" s="2767">
        <f t="shared" si="32"/>
        <v>3.4951112536671348E-4</v>
      </c>
      <c r="J160" s="2767">
        <f t="shared" si="32"/>
        <v>3.9034789765937325E-4</v>
      </c>
      <c r="K160" s="2767">
        <f t="shared" si="32"/>
        <v>3.9177924292343433E-4</v>
      </c>
      <c r="L160" s="2767">
        <f t="shared" si="32"/>
        <v>3.9327654930063251E-4</v>
      </c>
      <c r="M160" s="2767">
        <f t="shared" si="32"/>
        <v>3.9483775365680855E-4</v>
      </c>
      <c r="N160" s="2767">
        <f t="shared" si="32"/>
        <v>3.9646005403767793E-4</v>
      </c>
      <c r="O160" s="2768"/>
      <c r="P160" s="2769"/>
    </row>
    <row r="161" spans="1:30" s="2764" customFormat="1">
      <c r="B161" s="2769"/>
      <c r="C161" s="2770"/>
      <c r="D161" s="2770"/>
      <c r="E161" s="2770"/>
      <c r="F161" s="2770"/>
      <c r="G161" s="2770"/>
      <c r="H161" s="2770"/>
      <c r="I161" s="2770"/>
      <c r="J161" s="2770"/>
      <c r="K161" s="2770"/>
      <c r="L161" s="2770"/>
      <c r="M161" s="2770"/>
      <c r="N161" s="2770"/>
      <c r="O161" s="2770"/>
      <c r="P161" s="2769"/>
    </row>
    <row r="162" spans="1:30" s="2764" customFormat="1">
      <c r="B162" s="2771"/>
      <c r="C162" s="2772" t="s">
        <v>1319</v>
      </c>
      <c r="D162" s="2772"/>
      <c r="E162" s="2770">
        <f>(E158/E154)</f>
        <v>0</v>
      </c>
      <c r="F162" s="2770">
        <f t="shared" ref="F162:N162" si="33">(F158/F154)</f>
        <v>0</v>
      </c>
      <c r="G162" s="2770">
        <f t="shared" si="33"/>
        <v>-3.5880283678894724E-15</v>
      </c>
      <c r="H162" s="2770">
        <f t="shared" si="33"/>
        <v>0</v>
      </c>
      <c r="I162" s="2770">
        <f t="shared" si="33"/>
        <v>-1.2008288017286402E-15</v>
      </c>
      <c r="J162" s="2770">
        <f t="shared" si="33"/>
        <v>0</v>
      </c>
      <c r="K162" s="2770">
        <f t="shared" si="33"/>
        <v>1.8486902696319846E-15</v>
      </c>
      <c r="L162" s="2770">
        <f t="shared" si="33"/>
        <v>-2.4084907582169496E-15</v>
      </c>
      <c r="M162" s="2770">
        <f t="shared" si="33"/>
        <v>2.2768645842685481E-15</v>
      </c>
      <c r="N162" s="2770">
        <f t="shared" si="33"/>
        <v>-3.3547669042171909E-15</v>
      </c>
      <c r="O162" s="2773"/>
      <c r="P162" s="2769"/>
    </row>
    <row r="163" spans="1:30" s="17" customFormat="1">
      <c r="B163" s="856"/>
      <c r="C163" s="956"/>
      <c r="D163" s="956"/>
      <c r="E163" s="1486"/>
      <c r="F163" s="1487"/>
      <c r="G163" s="1487"/>
      <c r="H163" s="1487"/>
      <c r="I163" s="1487"/>
      <c r="J163" s="1487"/>
      <c r="K163" s="1487"/>
      <c r="L163" s="1487"/>
      <c r="M163" s="1487"/>
      <c r="N163" s="1487"/>
      <c r="O163" s="1487"/>
      <c r="P163" s="19"/>
    </row>
    <row r="164" spans="1:30" s="2754" customFormat="1" ht="63.75">
      <c r="B164" s="2762"/>
      <c r="C164" s="2755" t="s">
        <v>1320</v>
      </c>
      <c r="D164" s="2757" t="str">
        <f>preferences.energyunits</f>
        <v>TWh</v>
      </c>
      <c r="E164" s="2774">
        <f>E146+E156</f>
        <v>174.93592063355698</v>
      </c>
      <c r="F164" s="2774">
        <f t="shared" ref="F164:N164" si="34">F146+F156</f>
        <v>294.38466644241396</v>
      </c>
      <c r="G164" s="2774">
        <f t="shared" si="34"/>
        <v>496.36256929901003</v>
      </c>
      <c r="H164" s="2774">
        <f t="shared" si="34"/>
        <v>838.632851611756</v>
      </c>
      <c r="I164" s="2774">
        <f t="shared" si="34"/>
        <v>1419.952252699293</v>
      </c>
      <c r="J164" s="2774">
        <f t="shared" si="34"/>
        <v>2409.5818070293981</v>
      </c>
      <c r="K164" s="2774">
        <f t="shared" si="34"/>
        <v>4098.5450212862906</v>
      </c>
      <c r="L164" s="2774">
        <f t="shared" si="34"/>
        <v>6988.1986547906099</v>
      </c>
      <c r="M164" s="2774">
        <f t="shared" si="34"/>
        <v>11945.002216181161</v>
      </c>
      <c r="N164" s="2774">
        <f t="shared" si="34"/>
        <v>20470.539001214878</v>
      </c>
      <c r="O164" s="2775"/>
      <c r="P164" s="1475"/>
    </row>
    <row r="165" spans="1:30" s="17" customFormat="1">
      <c r="B165" s="856"/>
      <c r="C165" s="1483"/>
      <c r="D165" s="956"/>
      <c r="E165" s="1488"/>
      <c r="F165" s="1488"/>
      <c r="G165" s="1488"/>
      <c r="H165" s="1488"/>
      <c r="I165" s="1488"/>
      <c r="J165" s="1488"/>
      <c r="K165" s="1488"/>
      <c r="L165" s="1488"/>
      <c r="M165" s="1488"/>
      <c r="N165" s="1488"/>
      <c r="O165" s="1487"/>
      <c r="P165" s="19"/>
    </row>
    <row r="166" spans="1:30">
      <c r="F166" s="260"/>
      <c r="G166" s="260"/>
      <c r="H166" s="260"/>
      <c r="I166" s="260"/>
      <c r="J166" s="260"/>
      <c r="K166" s="260"/>
      <c r="L166" s="260"/>
      <c r="M166" s="260"/>
      <c r="N166" s="260"/>
      <c r="O166" s="260"/>
      <c r="P166" s="242"/>
      <c r="Q166" s="1204"/>
      <c r="R166" s="1204"/>
      <c r="U166" s="260"/>
      <c r="V166" s="260"/>
      <c r="W166" s="260"/>
      <c r="X166" s="260"/>
      <c r="Y166" s="260"/>
      <c r="Z166" s="260"/>
      <c r="AA166" s="260"/>
      <c r="AB166" s="260"/>
      <c r="AC166" s="260"/>
      <c r="AD166" s="260"/>
    </row>
    <row r="167" spans="1:30" ht="15.75">
      <c r="A167" s="3"/>
      <c r="B167" s="1438" t="s">
        <v>202</v>
      </c>
      <c r="C167" s="1489"/>
      <c r="D167" s="1439"/>
      <c r="E167" s="1439"/>
      <c r="F167" s="1439"/>
      <c r="G167" s="1439"/>
      <c r="H167" s="1439"/>
      <c r="I167" s="1439"/>
      <c r="J167" s="1439"/>
      <c r="K167" s="1439"/>
      <c r="L167" s="1439"/>
      <c r="M167" s="1439"/>
      <c r="N167" s="1439"/>
      <c r="O167" s="1439"/>
      <c r="P167" s="1440"/>
    </row>
    <row r="168" spans="1:30" ht="6" customHeight="1">
      <c r="A168" s="3"/>
      <c r="B168" s="1490"/>
      <c r="C168" s="1491"/>
      <c r="D168" s="1491"/>
      <c r="E168" s="1491"/>
      <c r="F168" s="1491"/>
      <c r="G168" s="1491"/>
      <c r="H168" s="1491"/>
      <c r="I168" s="1491"/>
      <c r="J168" s="1491"/>
      <c r="K168" s="1491"/>
      <c r="L168" s="1491"/>
      <c r="M168" s="1491"/>
      <c r="N168" s="1491"/>
      <c r="O168" s="1491"/>
      <c r="P168" s="1492"/>
    </row>
    <row r="169" spans="1:30" ht="7.5" customHeight="1">
      <c r="A169" s="3"/>
      <c r="B169" s="1441"/>
      <c r="C169" s="165"/>
      <c r="D169" s="165"/>
      <c r="E169" s="165"/>
      <c r="F169" s="165"/>
      <c r="G169" s="165"/>
      <c r="H169" s="165"/>
      <c r="I169" s="165"/>
      <c r="J169" s="165"/>
      <c r="K169" s="165"/>
      <c r="L169" s="165"/>
      <c r="M169" s="165"/>
      <c r="N169" s="165"/>
      <c r="O169" s="165"/>
      <c r="P169" s="1442"/>
    </row>
    <row r="170" spans="1:30" ht="15.75">
      <c r="A170" s="3"/>
      <c r="B170" s="169"/>
      <c r="C170" s="128" t="s">
        <v>64</v>
      </c>
      <c r="D170" s="128" t="s">
        <v>137</v>
      </c>
      <c r="E170" s="128" t="s">
        <v>156</v>
      </c>
      <c r="F170" s="128" t="s">
        <v>203</v>
      </c>
      <c r="G170" s="128" t="s">
        <v>712</v>
      </c>
      <c r="H170" s="128" t="s">
        <v>713</v>
      </c>
      <c r="I170" s="128" t="s">
        <v>714</v>
      </c>
      <c r="J170" s="128" t="s">
        <v>715</v>
      </c>
      <c r="K170" s="128" t="s">
        <v>716</v>
      </c>
      <c r="L170" s="128" t="s">
        <v>717</v>
      </c>
      <c r="M170" s="128" t="s">
        <v>718</v>
      </c>
      <c r="N170" s="128" t="s">
        <v>719</v>
      </c>
      <c r="O170" s="128" t="s">
        <v>720</v>
      </c>
      <c r="P170" s="1442"/>
    </row>
    <row r="171" spans="1:30" ht="16.5" customHeight="1">
      <c r="A171" s="3"/>
      <c r="B171" s="169"/>
      <c r="C171" s="60" t="s">
        <v>1281</v>
      </c>
      <c r="D171" s="1493" t="str">
        <f>INDEX(Vectors[Description], MATCH([Vector], Vectors[Code], 0))</f>
        <v>Design and Envelope Savings in Commercial Sector</v>
      </c>
      <c r="E171" s="128"/>
      <c r="F171" s="2784">
        <f>E160</f>
        <v>2.6894420109200369E-4</v>
      </c>
      <c r="G171" s="2784">
        <f t="shared" ref="G171:O171" si="35">F160</f>
        <v>2.697097401791752E-4</v>
      </c>
      <c r="H171" s="2784">
        <f t="shared" si="35"/>
        <v>2.9052459208514433E-4</v>
      </c>
      <c r="I171" s="2784">
        <f t="shared" si="35"/>
        <v>3.1862959737653226E-4</v>
      </c>
      <c r="J171" s="2784">
        <f t="shared" si="35"/>
        <v>3.4951112536671348E-4</v>
      </c>
      <c r="K171" s="2784">
        <f t="shared" si="35"/>
        <v>3.9034789765937325E-4</v>
      </c>
      <c r="L171" s="2784">
        <f t="shared" si="35"/>
        <v>3.9177924292343433E-4</v>
      </c>
      <c r="M171" s="2784">
        <f t="shared" si="35"/>
        <v>3.9327654930063251E-4</v>
      </c>
      <c r="N171" s="2784">
        <f t="shared" si="35"/>
        <v>3.9483775365680855E-4</v>
      </c>
      <c r="O171" s="2784">
        <f t="shared" si="35"/>
        <v>3.9646005403767793E-4</v>
      </c>
      <c r="P171" s="1442"/>
    </row>
    <row r="172" spans="1:30" ht="16.5" customHeight="1">
      <c r="A172" s="3"/>
      <c r="B172" s="169"/>
      <c r="C172" s="60" t="s">
        <v>1283</v>
      </c>
      <c r="D172" s="1493" t="str">
        <f>INDEX(Vectors[Description], MATCH([Vector], Vectors[Code], 0))</f>
        <v>Design and Envelope Savings in Residential Sector</v>
      </c>
      <c r="E172" s="128"/>
      <c r="F172" s="2784">
        <f>E162</f>
        <v>0</v>
      </c>
      <c r="G172" s="2784">
        <f t="shared" ref="G172:O172" si="36">F162</f>
        <v>0</v>
      </c>
      <c r="H172" s="2784">
        <f t="shared" si="36"/>
        <v>-3.5880283678894724E-15</v>
      </c>
      <c r="I172" s="2784">
        <f t="shared" si="36"/>
        <v>0</v>
      </c>
      <c r="J172" s="2784">
        <f t="shared" si="36"/>
        <v>-1.2008288017286402E-15</v>
      </c>
      <c r="K172" s="2784">
        <f t="shared" si="36"/>
        <v>0</v>
      </c>
      <c r="L172" s="2784">
        <f t="shared" si="36"/>
        <v>1.8486902696319846E-15</v>
      </c>
      <c r="M172" s="2784">
        <f t="shared" si="36"/>
        <v>-2.4084907582169496E-15</v>
      </c>
      <c r="N172" s="2784">
        <f t="shared" si="36"/>
        <v>2.2768645842685481E-15</v>
      </c>
      <c r="O172" s="2784">
        <f t="shared" si="36"/>
        <v>-3.3547669042171909E-15</v>
      </c>
      <c r="P172" s="1442"/>
    </row>
    <row r="173" spans="1:30" ht="15.75">
      <c r="A173" s="3"/>
      <c r="B173" s="169"/>
      <c r="C173" s="128"/>
      <c r="D173" s="128"/>
      <c r="E173" s="128"/>
      <c r="F173" s="231"/>
      <c r="G173" s="231"/>
      <c r="H173" s="231"/>
      <c r="I173" s="231"/>
      <c r="J173" s="231"/>
      <c r="K173" s="231"/>
      <c r="L173" s="231"/>
      <c r="M173" s="231"/>
      <c r="N173" s="231"/>
      <c r="O173" s="231"/>
      <c r="P173" s="1442"/>
    </row>
    <row r="174" spans="1:30" ht="15.75">
      <c r="B174" s="1494"/>
      <c r="P174" s="456"/>
    </row>
    <row r="175" spans="1:30" ht="15.75">
      <c r="B175" s="1495" t="s">
        <v>2245</v>
      </c>
      <c r="C175" s="1496"/>
      <c r="D175" s="1497"/>
      <c r="E175" s="1497"/>
      <c r="F175" s="1497"/>
      <c r="G175" s="1497"/>
      <c r="H175" s="1497"/>
      <c r="I175" s="1497"/>
      <c r="J175" s="1497"/>
      <c r="K175" s="1497"/>
      <c r="L175" s="1497"/>
      <c r="M175" s="1497"/>
      <c r="N175" s="1497"/>
      <c r="O175" s="1497"/>
      <c r="P175" s="1498"/>
    </row>
    <row r="176" spans="1:30" ht="8.25" customHeight="1">
      <c r="B176" s="1499"/>
      <c r="C176" s="1500"/>
      <c r="D176" s="1500"/>
      <c r="E176" s="1500"/>
      <c r="F176" s="1500"/>
      <c r="G176" s="1500"/>
      <c r="H176" s="1500"/>
      <c r="I176" s="1500"/>
      <c r="J176" s="1500"/>
      <c r="K176" s="1500"/>
      <c r="L176" s="1500"/>
      <c r="M176" s="1500"/>
      <c r="N176" s="1500"/>
      <c r="O176" s="1500"/>
      <c r="P176" s="1501"/>
    </row>
    <row r="177" spans="2:16" ht="14.25">
      <c r="B177" s="1502"/>
      <c r="C177" s="186" t="s">
        <v>1321</v>
      </c>
      <c r="D177" s="1503"/>
      <c r="E177" s="1504"/>
      <c r="F177" s="1503"/>
      <c r="G177" s="1504"/>
      <c r="H177" s="1503"/>
      <c r="I177" s="1503"/>
      <c r="J177" s="1503"/>
      <c r="K177" s="1503"/>
      <c r="L177" s="1503"/>
      <c r="M177" s="1503"/>
      <c r="N177" s="1503"/>
      <c r="O177" s="1504" t="s">
        <v>368</v>
      </c>
      <c r="P177" s="1505"/>
    </row>
    <row r="178" spans="2:16" ht="5.25" customHeight="1">
      <c r="B178" s="1502"/>
      <c r="C178" s="1503"/>
      <c r="D178" s="1503"/>
      <c r="E178" s="1503"/>
      <c r="F178" s="1503"/>
      <c r="G178" s="1503"/>
      <c r="H178" s="1503"/>
      <c r="I178" s="1503"/>
      <c r="J178" s="1503"/>
      <c r="K178" s="1503"/>
      <c r="L178" s="1503"/>
      <c r="M178" s="1503"/>
      <c r="N178" s="1503"/>
      <c r="O178" s="1503"/>
      <c r="P178" s="1505"/>
    </row>
    <row r="179" spans="2:16" ht="18" customHeight="1">
      <c r="B179" s="1502"/>
      <c r="C179" s="1506" t="s">
        <v>365</v>
      </c>
      <c r="D179" s="1506" t="s">
        <v>337</v>
      </c>
      <c r="E179" s="1506" t="s">
        <v>156</v>
      </c>
      <c r="F179" s="128" t="s">
        <v>203</v>
      </c>
      <c r="G179" s="128" t="s">
        <v>712</v>
      </c>
      <c r="H179" s="128" t="s">
        <v>713</v>
      </c>
      <c r="I179" s="128" t="s">
        <v>714</v>
      </c>
      <c r="J179" s="128" t="s">
        <v>715</v>
      </c>
      <c r="K179" s="128" t="s">
        <v>716</v>
      </c>
      <c r="L179" s="128" t="s">
        <v>717</v>
      </c>
      <c r="M179" s="128" t="s">
        <v>718</v>
      </c>
      <c r="N179" s="128" t="s">
        <v>719</v>
      </c>
      <c r="O179" s="128" t="s">
        <v>720</v>
      </c>
      <c r="P179" s="1505"/>
    </row>
    <row r="180" spans="2:16" ht="15.75">
      <c r="B180" s="195"/>
      <c r="C180" s="1507" t="s">
        <v>350</v>
      </c>
      <c r="D180" s="1508" t="s">
        <v>359</v>
      </c>
      <c r="E180" s="1507" t="str">
        <f>INDEX(IPCC[Sector_description], MATCH([IPCC Sector], IPCC[Sector_code], 0))</f>
        <v>Fuel Combustion</v>
      </c>
      <c r="F180" s="1413">
        <v>0</v>
      </c>
      <c r="G180" s="1413">
        <v>0</v>
      </c>
      <c r="H180" s="1413">
        <v>0</v>
      </c>
      <c r="I180" s="1413">
        <v>0</v>
      </c>
      <c r="J180" s="1413">
        <v>0</v>
      </c>
      <c r="K180" s="1413">
        <v>0</v>
      </c>
      <c r="L180" s="1413">
        <v>0</v>
      </c>
      <c r="M180" s="1413">
        <v>0</v>
      </c>
      <c r="N180" s="1413">
        <v>0</v>
      </c>
      <c r="O180" s="1413">
        <v>0</v>
      </c>
      <c r="P180" s="1505"/>
    </row>
    <row r="181" spans="2:16" ht="15.75">
      <c r="B181" s="195"/>
      <c r="C181" s="1507" t="s">
        <v>351</v>
      </c>
      <c r="D181" s="1508" t="s">
        <v>359</v>
      </c>
      <c r="E181" s="1507" t="str">
        <f>INDEX(IPCC[Sector_description], MATCH([IPCC Sector], IPCC[Sector_code], 0))</f>
        <v>Fuel Combustion</v>
      </c>
      <c r="F181" s="1413">
        <v>0</v>
      </c>
      <c r="G181" s="1413">
        <v>0</v>
      </c>
      <c r="H181" s="1413">
        <v>0</v>
      </c>
      <c r="I181" s="1413">
        <v>0</v>
      </c>
      <c r="J181" s="1413">
        <v>0</v>
      </c>
      <c r="K181" s="1413">
        <v>0</v>
      </c>
      <c r="L181" s="1413">
        <v>0</v>
      </c>
      <c r="M181" s="1413">
        <v>0</v>
      </c>
      <c r="N181" s="1413">
        <v>0</v>
      </c>
      <c r="O181" s="1413">
        <v>0</v>
      </c>
      <c r="P181" s="1505"/>
    </row>
    <row r="182" spans="2:16" ht="15.75">
      <c r="B182" s="195"/>
      <c r="C182" s="1507" t="s">
        <v>352</v>
      </c>
      <c r="D182" s="1508" t="s">
        <v>359</v>
      </c>
      <c r="E182" s="1507" t="str">
        <f>INDEX(IPCC[Sector_description], MATCH([IPCC Sector], IPCC[Sector_code], 0))</f>
        <v>Fuel Combustion</v>
      </c>
      <c r="F182" s="1413">
        <v>0</v>
      </c>
      <c r="G182" s="1413">
        <v>0</v>
      </c>
      <c r="H182" s="1413">
        <v>0</v>
      </c>
      <c r="I182" s="1413">
        <v>0</v>
      </c>
      <c r="J182" s="1413">
        <v>0</v>
      </c>
      <c r="K182" s="1413">
        <v>0</v>
      </c>
      <c r="L182" s="1413">
        <v>0</v>
      </c>
      <c r="M182" s="1413">
        <v>0</v>
      </c>
      <c r="N182" s="1413">
        <v>0</v>
      </c>
      <c r="O182" s="1413">
        <v>0</v>
      </c>
      <c r="P182" s="1505"/>
    </row>
    <row r="183" spans="2:16" ht="15.75">
      <c r="B183" s="195"/>
      <c r="C183" s="1507" t="s">
        <v>103</v>
      </c>
      <c r="D183" s="1507"/>
      <c r="E183" s="1507"/>
      <c r="F183" s="223">
        <f>SUBTOTAL(109,[2007])</f>
        <v>0</v>
      </c>
      <c r="G183" s="223">
        <f>SUBTOTAL(109,[2012])</f>
        <v>0</v>
      </c>
      <c r="H183" s="223">
        <f>SUBTOTAL(109,[2017])</f>
        <v>0</v>
      </c>
      <c r="I183" s="223">
        <f>SUBTOTAL(109,[2022])</f>
        <v>0</v>
      </c>
      <c r="J183" s="223">
        <f>SUBTOTAL(109,[2027])</f>
        <v>0</v>
      </c>
      <c r="K183" s="223">
        <f>SUBTOTAL(109,[2032])</f>
        <v>0</v>
      </c>
      <c r="L183" s="223">
        <f>SUBTOTAL(109,[2037])</f>
        <v>0</v>
      </c>
      <c r="M183" s="223">
        <f>SUBTOTAL(109,[2042])</f>
        <v>0</v>
      </c>
      <c r="N183" s="223">
        <f>SUBTOTAL(109,[2047])</f>
        <v>0</v>
      </c>
      <c r="O183" s="223">
        <f>SUBTOTAL(109,[2052])</f>
        <v>0</v>
      </c>
      <c r="P183" s="1505"/>
    </row>
    <row r="184" spans="2:16" ht="15.75">
      <c r="B184" s="195" t="s">
        <v>94</v>
      </c>
      <c r="C184" s="1507" t="s">
        <v>2246</v>
      </c>
      <c r="D184" s="1507"/>
      <c r="E184" s="1507"/>
      <c r="F184" s="223"/>
      <c r="G184" s="223"/>
      <c r="H184" s="223"/>
      <c r="I184" s="223"/>
      <c r="J184" s="223"/>
      <c r="K184" s="223"/>
      <c r="L184" s="223"/>
      <c r="M184" s="223"/>
      <c r="N184" s="223"/>
      <c r="O184" s="223"/>
      <c r="P184" s="1505"/>
    </row>
    <row r="186" spans="2:16" ht="15.75">
      <c r="B186" s="1509" t="s">
        <v>501</v>
      </c>
      <c r="C186" s="1510"/>
      <c r="D186" s="1511"/>
      <c r="E186" s="1511"/>
      <c r="F186" s="1511"/>
      <c r="G186" s="1511"/>
      <c r="H186" s="1511"/>
      <c r="I186" s="1511"/>
      <c r="J186" s="1511"/>
      <c r="K186" s="1511"/>
      <c r="L186" s="1511"/>
      <c r="M186" s="1511"/>
      <c r="N186" s="1511"/>
      <c r="O186" s="1511"/>
      <c r="P186" s="1512"/>
    </row>
    <row r="187" spans="2:16" ht="9" customHeight="1">
      <c r="B187" s="1513"/>
      <c r="C187" s="1514"/>
      <c r="D187" s="1514"/>
      <c r="E187" s="1514"/>
      <c r="F187" s="1514"/>
      <c r="G187" s="1514"/>
      <c r="H187" s="1514"/>
      <c r="I187" s="1514"/>
      <c r="J187" s="1514"/>
      <c r="K187" s="1514"/>
      <c r="L187" s="1514"/>
      <c r="M187" s="1514"/>
      <c r="N187" s="1514"/>
      <c r="O187" s="1514"/>
      <c r="P187" s="1515"/>
    </row>
    <row r="188" spans="2:16" ht="12.75" customHeight="1">
      <c r="B188" s="1516"/>
      <c r="C188" s="350" t="s">
        <v>506</v>
      </c>
      <c r="D188" s="1517"/>
      <c r="E188" s="1518"/>
      <c r="F188" s="1517"/>
      <c r="G188" s="1518"/>
      <c r="H188" s="1517"/>
      <c r="I188" s="1517"/>
      <c r="J188" s="1517"/>
      <c r="K188" s="1517"/>
      <c r="L188" s="1517"/>
      <c r="M188" s="1517"/>
      <c r="N188" s="1517"/>
      <c r="O188" s="1518"/>
      <c r="P188" s="1519"/>
    </row>
    <row r="189" spans="2:16" ht="5.25" customHeight="1">
      <c r="B189" s="1516"/>
      <c r="C189" s="1517"/>
      <c r="D189" s="1517"/>
      <c r="E189" s="1517"/>
      <c r="F189" s="1517"/>
      <c r="G189" s="1517"/>
      <c r="H189" s="1517"/>
      <c r="I189" s="1517"/>
      <c r="J189" s="1517"/>
      <c r="K189" s="1517"/>
      <c r="L189" s="1517"/>
      <c r="M189" s="1517"/>
      <c r="N189" s="1517"/>
      <c r="O189" s="1517"/>
      <c r="P189" s="1519"/>
    </row>
    <row r="190" spans="2:16" ht="15.75" customHeight="1">
      <c r="B190" s="430"/>
      <c r="C190" s="1520" t="s">
        <v>64</v>
      </c>
      <c r="D190" s="1520" t="s">
        <v>502</v>
      </c>
      <c r="E190" s="1520" t="s">
        <v>156</v>
      </c>
      <c r="F190" s="128" t="s">
        <v>203</v>
      </c>
      <c r="G190" s="128" t="s">
        <v>712</v>
      </c>
      <c r="H190" s="128" t="s">
        <v>713</v>
      </c>
      <c r="I190" s="128" t="s">
        <v>714</v>
      </c>
      <c r="J190" s="128" t="s">
        <v>715</v>
      </c>
      <c r="K190" s="128" t="s">
        <v>716</v>
      </c>
      <c r="L190" s="128" t="s">
        <v>717</v>
      </c>
      <c r="M190" s="128" t="s">
        <v>718</v>
      </c>
      <c r="N190" s="128" t="s">
        <v>719</v>
      </c>
      <c r="O190" s="128" t="s">
        <v>720</v>
      </c>
      <c r="P190" s="1519"/>
    </row>
    <row r="191" spans="2:16" ht="15.75" customHeight="1">
      <c r="B191" s="430"/>
      <c r="C191" s="433"/>
      <c r="D191" s="432" t="s">
        <v>1322</v>
      </c>
      <c r="E191" s="433" t="str">
        <f>Preferences.AreaUnits</f>
        <v>ha</v>
      </c>
      <c r="F191" s="343">
        <f>E142</f>
        <v>49925.514781999998</v>
      </c>
      <c r="G191" s="343">
        <f t="shared" ref="G191:O191" si="37">F142</f>
        <v>74515.516702448105</v>
      </c>
      <c r="H191" s="343">
        <f t="shared" si="37"/>
        <v>111353.607007914</v>
      </c>
      <c r="I191" s="343">
        <f t="shared" si="37"/>
        <v>166619.977338617</v>
      </c>
      <c r="J191" s="343">
        <f t="shared" si="37"/>
        <v>249658.98714281202</v>
      </c>
      <c r="K191" s="343">
        <f t="shared" si="37"/>
        <v>374625.14543456602</v>
      </c>
      <c r="L191" s="343">
        <f t="shared" si="37"/>
        <v>562999.85895744408</v>
      </c>
      <c r="M191" s="343">
        <f t="shared" si="37"/>
        <v>847447.6111712011</v>
      </c>
      <c r="N191" s="343">
        <f t="shared" si="37"/>
        <v>1277736.8179122801</v>
      </c>
      <c r="O191" s="343">
        <f t="shared" si="37"/>
        <v>1929849.96724086</v>
      </c>
      <c r="P191" s="1519"/>
    </row>
    <row r="192" spans="2:16" ht="15.75">
      <c r="B192" s="430"/>
      <c r="C192" s="433"/>
      <c r="D192" s="432" t="s">
        <v>1323</v>
      </c>
      <c r="E192" s="433" t="str">
        <f>Preferences.AreaUnits</f>
        <v>ha</v>
      </c>
      <c r="F192" s="343">
        <f>E152</f>
        <v>166953.65872500002</v>
      </c>
      <c r="G192" s="343">
        <f t="shared" ref="G192:O192" si="38">F152</f>
        <v>213079.87642263502</v>
      </c>
      <c r="H192" s="343">
        <f t="shared" si="38"/>
        <v>271949.91761798703</v>
      </c>
      <c r="I192" s="343">
        <f t="shared" si="38"/>
        <v>347084.66577923106</v>
      </c>
      <c r="J192" s="343">
        <f t="shared" si="38"/>
        <v>442977.75956050702</v>
      </c>
      <c r="K192" s="343">
        <f t="shared" si="38"/>
        <v>565364.34712463396</v>
      </c>
      <c r="L192" s="343">
        <f t="shared" si="38"/>
        <v>721564.09233002004</v>
      </c>
      <c r="M192" s="343">
        <f t="shared" si="38"/>
        <v>920918.94720285211</v>
      </c>
      <c r="N192" s="343">
        <f t="shared" si="38"/>
        <v>1175351.8728719102</v>
      </c>
      <c r="O192" s="343">
        <f t="shared" si="38"/>
        <v>1500079.9247962602</v>
      </c>
      <c r="P192" s="1519"/>
    </row>
    <row r="193" spans="2:16" ht="15.75">
      <c r="B193" s="430"/>
      <c r="C193" s="433"/>
      <c r="D193" s="432" t="s">
        <v>1324</v>
      </c>
      <c r="E193" s="433" t="str">
        <f>Preferences.AreaUnits</f>
        <v>ha</v>
      </c>
      <c r="F193" s="343">
        <f>SUM(F191:F192)</f>
        <v>216879.17350700003</v>
      </c>
      <c r="G193" s="343">
        <f t="shared" ref="G193:O193" si="39">SUM(G191:G192)</f>
        <v>287595.39312508312</v>
      </c>
      <c r="H193" s="343">
        <f t="shared" si="39"/>
        <v>383303.52462590102</v>
      </c>
      <c r="I193" s="343">
        <f t="shared" si="39"/>
        <v>513704.64311784809</v>
      </c>
      <c r="J193" s="343">
        <f t="shared" si="39"/>
        <v>692636.74670331902</v>
      </c>
      <c r="K193" s="343">
        <f t="shared" si="39"/>
        <v>939989.49255919992</v>
      </c>
      <c r="L193" s="343">
        <f t="shared" si="39"/>
        <v>1284563.9512874642</v>
      </c>
      <c r="M193" s="343">
        <f t="shared" si="39"/>
        <v>1768366.5583740533</v>
      </c>
      <c r="N193" s="343">
        <f t="shared" si="39"/>
        <v>2453088.6907841903</v>
      </c>
      <c r="O193" s="343">
        <f t="shared" si="39"/>
        <v>3429929.8920371202</v>
      </c>
      <c r="P193" s="1519"/>
    </row>
    <row r="194" spans="2:16" ht="15.75">
      <c r="B194" s="355"/>
      <c r="C194" s="1521"/>
      <c r="D194" s="1521"/>
      <c r="E194" s="1521"/>
      <c r="F194" s="1521"/>
      <c r="G194" s="1521"/>
      <c r="H194" s="1521"/>
      <c r="I194" s="1521"/>
      <c r="J194" s="1521"/>
      <c r="K194" s="1521"/>
      <c r="L194" s="1521"/>
      <c r="M194" s="1521"/>
      <c r="N194" s="1521"/>
      <c r="O194" s="1521"/>
      <c r="P194" s="1522"/>
    </row>
  </sheetData>
  <pageMargins left="0.7" right="0.7" top="0.75" bottom="0.75" header="0.3" footer="0.3"/>
  <pageSetup paperSize="9" orientation="portrait"/>
  <legacyDrawing r:id="rId1"/>
  <tableParts count="3">
    <tablePart r:id="rId2"/>
    <tablePart r:id="rId3"/>
    <tablePart r:id="rId4"/>
  </tableParts>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sheetPr>
    <tabColor theme="9"/>
    <outlinePr summaryBelow="0"/>
    <pageSetUpPr autoPageBreaks="0"/>
  </sheetPr>
  <dimension ref="A1:CI491"/>
  <sheetViews>
    <sheetView showGridLines="0" zoomScale="85" zoomScaleNormal="85" zoomScalePageLayoutView="85" workbookViewId="0">
      <selection activeCell="J20" sqref="J20"/>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6" width="20.140625" style="605" customWidth="1"/>
    <col min="7" max="15" width="17.7109375" style="605" customWidth="1"/>
    <col min="16" max="16" width="2" style="605" customWidth="1"/>
    <col min="17" max="17" width="10.85546875" style="605" customWidth="1"/>
    <col min="18" max="22" width="8.85546875" style="605"/>
    <col min="23" max="23" width="11.42578125" style="605" customWidth="1"/>
    <col min="24" max="16384" width="8.85546875" style="605"/>
  </cols>
  <sheetData>
    <row r="1" spans="1:18" ht="21">
      <c r="A1" s="835" t="s">
        <v>196</v>
      </c>
      <c r="B1" s="1415" t="str">
        <f>INDEX(Workstreams[Workstream], MATCH($A1, Workstreams[Code], 0))</f>
        <v>Lighting and appliances</v>
      </c>
      <c r="C1" s="835"/>
      <c r="E1" s="885"/>
    </row>
    <row r="2" spans="1:18" s="51" customFormat="1" ht="19.5" customHeight="1">
      <c r="A2" s="6" t="s">
        <v>300</v>
      </c>
      <c r="B2" s="53" t="str">
        <f>INDEX(Modules[Module], MATCH($A2,Modules[Code], 0))</f>
        <v>Domestic Lighting &amp; Appliances</v>
      </c>
      <c r="C2" s="6"/>
      <c r="E2" s="404"/>
    </row>
    <row r="4" spans="1:18" ht="22.5" collapsed="1">
      <c r="A4" s="420"/>
      <c r="B4" s="206" t="s">
        <v>412</v>
      </c>
      <c r="C4" s="175"/>
      <c r="D4" s="175"/>
      <c r="E4" s="175"/>
      <c r="F4" s="175"/>
      <c r="G4" s="175"/>
      <c r="H4" s="175"/>
      <c r="I4" s="175"/>
      <c r="J4" s="175"/>
      <c r="K4" s="175"/>
      <c r="L4" s="175"/>
      <c r="M4" s="175"/>
      <c r="N4" s="175"/>
      <c r="O4" s="175"/>
      <c r="P4" s="177"/>
    </row>
    <row r="5" spans="1:18">
      <c r="B5" s="164"/>
      <c r="C5" s="166"/>
      <c r="D5" s="166"/>
      <c r="E5" s="166"/>
      <c r="F5" s="166"/>
      <c r="G5" s="166"/>
      <c r="H5" s="166"/>
      <c r="I5" s="166"/>
      <c r="J5" s="166"/>
      <c r="K5" s="166"/>
      <c r="L5" s="166"/>
      <c r="M5" s="166"/>
      <c r="N5" s="166"/>
      <c r="O5" s="166"/>
      <c r="P5" s="168"/>
    </row>
    <row r="6" spans="1:18" ht="5.25" customHeight="1">
      <c r="B6" s="164"/>
      <c r="C6" s="165"/>
      <c r="D6" s="166"/>
      <c r="E6" s="167"/>
      <c r="F6" s="166"/>
      <c r="G6" s="166"/>
      <c r="H6" s="166"/>
      <c r="I6" s="166"/>
      <c r="J6" s="166"/>
      <c r="K6" s="166"/>
      <c r="L6" s="166"/>
      <c r="M6" s="166"/>
      <c r="N6" s="166"/>
      <c r="O6" s="166"/>
      <c r="P6" s="168"/>
    </row>
    <row r="7" spans="1:18" ht="15.75">
      <c r="B7" s="169"/>
      <c r="C7" s="166"/>
      <c r="D7" s="118" t="s">
        <v>274</v>
      </c>
      <c r="E7" s="118" t="s">
        <v>411</v>
      </c>
      <c r="F7" s="166"/>
      <c r="G7" s="166"/>
      <c r="H7" s="166"/>
      <c r="I7" s="166"/>
      <c r="J7" s="166"/>
      <c r="K7" s="166"/>
      <c r="L7" s="166"/>
      <c r="M7" s="166"/>
      <c r="N7" s="166"/>
      <c r="O7" s="166"/>
      <c r="P7" s="168"/>
    </row>
    <row r="8" spans="1:18" ht="15.75">
      <c r="B8" s="169"/>
      <c r="C8" s="166"/>
      <c r="D8" s="1523" t="s">
        <v>1325</v>
      </c>
      <c r="E8" s="1523">
        <f>X.a.efficiency</f>
        <v>1</v>
      </c>
      <c r="F8" s="166"/>
      <c r="G8" s="166"/>
      <c r="H8" s="166"/>
      <c r="I8" s="166"/>
      <c r="J8" s="166"/>
      <c r="K8" s="166"/>
      <c r="L8" s="166"/>
      <c r="M8" s="166"/>
      <c r="N8" s="166"/>
      <c r="O8" s="166"/>
      <c r="P8" s="168"/>
    </row>
    <row r="9" spans="1:18" ht="15.75">
      <c r="B9" s="169"/>
      <c r="C9" s="166"/>
      <c r="D9" s="60"/>
      <c r="E9" s="60"/>
      <c r="F9" s="166"/>
      <c r="G9" s="166"/>
      <c r="H9" s="166"/>
      <c r="I9" s="166"/>
      <c r="J9" s="166"/>
      <c r="K9" s="166"/>
      <c r="L9" s="166"/>
      <c r="M9" s="166"/>
      <c r="N9" s="166"/>
      <c r="O9" s="166"/>
      <c r="P9" s="168"/>
    </row>
    <row r="10" spans="1:18">
      <c r="B10" s="182"/>
      <c r="C10" s="172"/>
      <c r="D10" s="172"/>
      <c r="E10" s="172"/>
      <c r="F10" s="172"/>
      <c r="G10" s="172"/>
      <c r="H10" s="172"/>
      <c r="I10" s="172"/>
      <c r="J10" s="172"/>
      <c r="K10" s="172"/>
      <c r="L10" s="172"/>
      <c r="M10" s="172"/>
      <c r="N10" s="172"/>
      <c r="O10" s="172"/>
      <c r="P10" s="173"/>
    </row>
    <row r="12" spans="1:18" s="51" customFormat="1" ht="22.5" collapsed="1">
      <c r="A12" s="162"/>
      <c r="B12" s="421" t="s">
        <v>413</v>
      </c>
      <c r="C12" s="159"/>
      <c r="D12" s="159"/>
      <c r="E12" s="159"/>
      <c r="F12" s="159"/>
      <c r="G12" s="159"/>
      <c r="H12" s="159"/>
      <c r="I12" s="159"/>
      <c r="J12" s="159"/>
      <c r="K12" s="159"/>
      <c r="L12" s="159"/>
      <c r="M12" s="159"/>
      <c r="N12" s="159"/>
      <c r="O12" s="159"/>
      <c r="P12" s="160"/>
    </row>
    <row r="13" spans="1:18">
      <c r="B13" s="418"/>
      <c r="C13" s="415"/>
      <c r="D13" s="415"/>
      <c r="E13" s="415"/>
      <c r="F13" s="415"/>
      <c r="G13" s="415"/>
      <c r="H13" s="415"/>
      <c r="I13" s="415"/>
      <c r="J13" s="415"/>
      <c r="K13" s="415"/>
      <c r="L13" s="415"/>
      <c r="M13" s="415"/>
      <c r="N13" s="415"/>
      <c r="O13" s="415"/>
      <c r="P13" s="419"/>
    </row>
    <row r="14" spans="1:18">
      <c r="B14" s="418"/>
      <c r="C14" s="416" t="s">
        <v>1521</v>
      </c>
      <c r="D14" s="415"/>
      <c r="E14" s="1449"/>
      <c r="F14" s="415"/>
      <c r="G14" s="415"/>
      <c r="H14" s="415"/>
      <c r="I14" s="415"/>
      <c r="J14" s="415"/>
      <c r="K14" s="415"/>
      <c r="L14" s="415"/>
      <c r="M14" s="415"/>
      <c r="N14" s="415"/>
      <c r="O14" s="104" t="s">
        <v>277</v>
      </c>
      <c r="P14" s="419"/>
      <c r="R14" s="1524"/>
    </row>
    <row r="15" spans="1:18" ht="5.25" customHeight="1">
      <c r="B15" s="418"/>
      <c r="C15" s="415"/>
      <c r="D15" s="415"/>
      <c r="E15" s="415"/>
      <c r="F15" s="415"/>
      <c r="G15" s="415"/>
      <c r="H15" s="415"/>
      <c r="I15" s="415"/>
      <c r="J15" s="415"/>
      <c r="K15" s="415"/>
      <c r="L15" s="415"/>
      <c r="M15" s="415"/>
      <c r="N15" s="415"/>
      <c r="O15" s="415"/>
      <c r="P15" s="419"/>
      <c r="R15" s="113"/>
    </row>
    <row r="16" spans="1:18" ht="15.75">
      <c r="B16" s="152"/>
      <c r="C16" s="61" t="s">
        <v>411</v>
      </c>
      <c r="D16" s="61" t="s">
        <v>1326</v>
      </c>
      <c r="E16" s="61" t="s">
        <v>1327</v>
      </c>
      <c r="F16" s="119">
        <v>2007</v>
      </c>
      <c r="G16" s="120">
        <f>F16+5</f>
        <v>2012</v>
      </c>
      <c r="H16" s="120">
        <f t="shared" ref="H16:O16" si="0">G16+5</f>
        <v>2017</v>
      </c>
      <c r="I16" s="120">
        <f t="shared" si="0"/>
        <v>2022</v>
      </c>
      <c r="J16" s="120">
        <f t="shared" si="0"/>
        <v>2027</v>
      </c>
      <c r="K16" s="120">
        <f t="shared" si="0"/>
        <v>2032</v>
      </c>
      <c r="L16" s="120">
        <f t="shared" si="0"/>
        <v>2037</v>
      </c>
      <c r="M16" s="120">
        <f t="shared" si="0"/>
        <v>2042</v>
      </c>
      <c r="N16" s="120">
        <f t="shared" si="0"/>
        <v>2047</v>
      </c>
      <c r="O16" s="120">
        <f t="shared" si="0"/>
        <v>2052</v>
      </c>
      <c r="P16" s="419"/>
      <c r="R16" s="113"/>
    </row>
    <row r="17" spans="2:20" ht="15.75">
      <c r="B17" s="152"/>
      <c r="C17" s="413" t="s">
        <v>1328</v>
      </c>
      <c r="D17" s="402" t="s">
        <v>1329</v>
      </c>
      <c r="E17" s="414"/>
      <c r="F17" s="1525">
        <v>0.46</v>
      </c>
      <c r="G17" s="3173">
        <v>0.42800000000000005</v>
      </c>
      <c r="H17" s="1525">
        <v>0.39600000000000002</v>
      </c>
      <c r="I17" s="1525">
        <v>0.36399999999999999</v>
      </c>
      <c r="J17" s="1525">
        <v>0.33199999999999996</v>
      </c>
      <c r="K17" s="2805">
        <v>0.29999999999999993</v>
      </c>
      <c r="L17" s="1525">
        <v>0.27499999999999991</v>
      </c>
      <c r="M17" s="1525">
        <v>0.24999999999999989</v>
      </c>
      <c r="N17" s="1525">
        <v>0.22499999999999987</v>
      </c>
      <c r="O17" s="2805">
        <v>0.19999999999999984</v>
      </c>
      <c r="P17" s="419"/>
      <c r="R17" s="1526"/>
    </row>
    <row r="18" spans="2:20" ht="15.75">
      <c r="B18" s="152"/>
      <c r="C18" s="413"/>
      <c r="D18" s="402" t="s">
        <v>1330</v>
      </c>
      <c r="E18" s="414"/>
      <c r="F18" s="1525">
        <v>0.43</v>
      </c>
      <c r="G18" s="3174">
        <v>0.40399999999999997</v>
      </c>
      <c r="H18" s="1410">
        <v>0.378</v>
      </c>
      <c r="I18" s="1410">
        <v>0.35199999999999998</v>
      </c>
      <c r="J18" s="1410">
        <v>0.32599999999999996</v>
      </c>
      <c r="K18" s="2805">
        <v>0.29999999999999993</v>
      </c>
      <c r="L18" s="1410">
        <v>0.28749999999999992</v>
      </c>
      <c r="M18" s="1410">
        <v>0.27499999999999991</v>
      </c>
      <c r="N18" s="1410">
        <v>0.2624999999999999</v>
      </c>
      <c r="O18" s="2805">
        <v>0.24999999999999989</v>
      </c>
      <c r="P18" s="419"/>
      <c r="R18" s="1526"/>
    </row>
    <row r="19" spans="2:20" ht="15.75">
      <c r="B19" s="152"/>
      <c r="C19" s="413"/>
      <c r="D19" s="402" t="s">
        <v>1331</v>
      </c>
      <c r="E19" s="414"/>
      <c r="F19" s="1525">
        <v>0.09</v>
      </c>
      <c r="G19" s="3174">
        <v>0.13200000000000001</v>
      </c>
      <c r="H19" s="1410">
        <v>0.17399999999999999</v>
      </c>
      <c r="I19" s="1410">
        <v>0.216</v>
      </c>
      <c r="J19" s="1410">
        <v>0.25800000000000001</v>
      </c>
      <c r="K19" s="2805">
        <v>0.3</v>
      </c>
      <c r="L19" s="1410">
        <v>0.3125</v>
      </c>
      <c r="M19" s="1410">
        <v>0.32500000000000001</v>
      </c>
      <c r="N19" s="1410">
        <v>0.33750000000000002</v>
      </c>
      <c r="O19" s="2805">
        <v>0.35000000000000003</v>
      </c>
      <c r="P19" s="419"/>
      <c r="R19" s="1526"/>
    </row>
    <row r="20" spans="2:20" ht="15.75">
      <c r="B20" s="152"/>
      <c r="C20" s="413"/>
      <c r="D20" s="414" t="s">
        <v>1332</v>
      </c>
      <c r="E20" s="414"/>
      <c r="F20" s="1525">
        <v>0.01</v>
      </c>
      <c r="G20" s="1410">
        <v>2.8000000000000004E-2</v>
      </c>
      <c r="H20" s="1410">
        <v>4.6000000000000006E-2</v>
      </c>
      <c r="I20" s="1410">
        <v>6.4000000000000001E-2</v>
      </c>
      <c r="J20" s="1410">
        <v>8.2000000000000003E-2</v>
      </c>
      <c r="K20" s="2805">
        <v>0.1</v>
      </c>
      <c r="L20" s="1410">
        <v>0.125</v>
      </c>
      <c r="M20" s="1410">
        <v>0.15</v>
      </c>
      <c r="N20" s="1410">
        <v>0.17499999999999999</v>
      </c>
      <c r="O20" s="2805">
        <v>0.19999999999999998</v>
      </c>
      <c r="P20" s="419"/>
      <c r="R20" s="1526"/>
    </row>
    <row r="21" spans="2:20" ht="15.75">
      <c r="B21" s="152"/>
      <c r="C21" s="413" t="s">
        <v>423</v>
      </c>
      <c r="D21" s="402" t="s">
        <v>1329</v>
      </c>
      <c r="E21" s="414"/>
      <c r="F21" s="1525">
        <v>0.46</v>
      </c>
      <c r="G21" s="3173">
        <v>0.42800000000000005</v>
      </c>
      <c r="H21" s="1527">
        <v>0.35850000000000004</v>
      </c>
      <c r="I21" s="1527">
        <v>0.28900000000000003</v>
      </c>
      <c r="J21" s="1527">
        <v>0.2195</v>
      </c>
      <c r="K21" s="2805">
        <v>0.14999999999999997</v>
      </c>
      <c r="L21" s="1527">
        <v>0.12499999999999997</v>
      </c>
      <c r="M21" s="1527">
        <v>9.9999999999999978E-2</v>
      </c>
      <c r="N21" s="1527">
        <v>7.4999999999999983E-2</v>
      </c>
      <c r="O21" s="2805">
        <v>4.9999999999999989E-2</v>
      </c>
      <c r="P21" s="419"/>
    </row>
    <row r="22" spans="2:20" ht="15.75">
      <c r="B22" s="152"/>
      <c r="C22" s="416"/>
      <c r="D22" s="402" t="s">
        <v>1330</v>
      </c>
      <c r="E22" s="1449"/>
      <c r="F22" s="1525">
        <v>0.43</v>
      </c>
      <c r="G22" s="3174">
        <v>0.40399999999999997</v>
      </c>
      <c r="H22" s="1528">
        <v>0.36549999999999999</v>
      </c>
      <c r="I22" s="1528">
        <v>0.32700000000000001</v>
      </c>
      <c r="J22" s="1528">
        <v>0.28850000000000003</v>
      </c>
      <c r="K22" s="2805">
        <v>0.25000000000000006</v>
      </c>
      <c r="L22" s="1528">
        <v>0.22500000000000006</v>
      </c>
      <c r="M22" s="1528">
        <v>0.20000000000000007</v>
      </c>
      <c r="N22" s="1528">
        <v>0.17500000000000007</v>
      </c>
      <c r="O22" s="2805">
        <v>0.15000000000000008</v>
      </c>
      <c r="P22" s="419"/>
    </row>
    <row r="23" spans="2:20" ht="12.75" customHeight="1">
      <c r="B23" s="152"/>
      <c r="C23" s="415"/>
      <c r="D23" s="402" t="s">
        <v>1331</v>
      </c>
      <c r="E23" s="415"/>
      <c r="F23" s="1525">
        <v>0.09</v>
      </c>
      <c r="G23" s="3174">
        <v>0.13200000000000001</v>
      </c>
      <c r="H23" s="1528">
        <v>0.19900000000000001</v>
      </c>
      <c r="I23" s="1528">
        <v>0.26600000000000001</v>
      </c>
      <c r="J23" s="1528">
        <v>0.33300000000000002</v>
      </c>
      <c r="K23" s="2805">
        <v>0.4</v>
      </c>
      <c r="L23" s="1528">
        <v>0.4</v>
      </c>
      <c r="M23" s="1528">
        <v>0.4</v>
      </c>
      <c r="N23" s="1528">
        <v>0.4</v>
      </c>
      <c r="O23" s="2805">
        <v>0.4</v>
      </c>
      <c r="P23" s="419"/>
    </row>
    <row r="24" spans="2:20" ht="15.75">
      <c r="B24" s="152"/>
      <c r="C24" s="412"/>
      <c r="D24" s="414" t="s">
        <v>1332</v>
      </c>
      <c r="E24" s="412"/>
      <c r="F24" s="1525">
        <v>0.01</v>
      </c>
      <c r="G24" s="1410">
        <v>2.8000000000000004E-2</v>
      </c>
      <c r="H24" s="1653">
        <v>7.1000000000000008E-2</v>
      </c>
      <c r="I24" s="1653">
        <v>0.11400000000000002</v>
      </c>
      <c r="J24" s="1653">
        <v>0.15700000000000003</v>
      </c>
      <c r="K24" s="3175">
        <v>0.20000000000000004</v>
      </c>
      <c r="L24" s="1653">
        <v>0.25000000000000006</v>
      </c>
      <c r="M24" s="1653">
        <v>0.30000000000000004</v>
      </c>
      <c r="N24" s="1653">
        <v>0.35000000000000003</v>
      </c>
      <c r="O24" s="3175">
        <v>0.4</v>
      </c>
      <c r="P24" s="419"/>
    </row>
    <row r="25" spans="2:20" ht="15.75">
      <c r="B25" s="152"/>
      <c r="C25" s="413" t="s">
        <v>424</v>
      </c>
      <c r="D25" s="402" t="s">
        <v>1329</v>
      </c>
      <c r="E25" s="218"/>
      <c r="F25" s="1525">
        <v>0.46</v>
      </c>
      <c r="G25" s="3173">
        <v>0.42800000000000005</v>
      </c>
      <c r="H25" s="1525">
        <v>0.34600000000000003</v>
      </c>
      <c r="I25" s="1525">
        <v>0.26400000000000001</v>
      </c>
      <c r="J25" s="1525">
        <v>0.182</v>
      </c>
      <c r="K25" s="2805">
        <v>9.9999999999999978E-2</v>
      </c>
      <c r="L25" s="1525">
        <v>7.7499999999999986E-2</v>
      </c>
      <c r="M25" s="1525">
        <v>5.4999999999999993E-2</v>
      </c>
      <c r="N25" s="1525">
        <v>3.2500000000000001E-2</v>
      </c>
      <c r="O25" s="2805">
        <v>1.0000000000000009E-2</v>
      </c>
      <c r="P25" s="419"/>
      <c r="R25" s="1526"/>
    </row>
    <row r="26" spans="2:20" ht="15.75">
      <c r="B26" s="152"/>
      <c r="C26" s="413"/>
      <c r="D26" s="402" t="s">
        <v>1330</v>
      </c>
      <c r="E26" s="414"/>
      <c r="F26" s="1525">
        <v>0.43</v>
      </c>
      <c r="G26" s="3174">
        <v>0.40399999999999997</v>
      </c>
      <c r="H26" s="1410">
        <v>0.36549999999999999</v>
      </c>
      <c r="I26" s="1410">
        <v>0.32700000000000001</v>
      </c>
      <c r="J26" s="1410">
        <v>0.28850000000000003</v>
      </c>
      <c r="K26" s="2805">
        <v>0.25000000000000006</v>
      </c>
      <c r="L26" s="1410">
        <v>0.21000000000000005</v>
      </c>
      <c r="M26" s="1410">
        <v>0.17000000000000004</v>
      </c>
      <c r="N26" s="1410">
        <v>0.13000000000000003</v>
      </c>
      <c r="O26" s="2805">
        <v>9.0000000000000024E-2</v>
      </c>
      <c r="P26" s="419"/>
      <c r="R26" s="1526"/>
    </row>
    <row r="27" spans="2:20" ht="15.75">
      <c r="B27" s="152"/>
      <c r="C27" s="413"/>
      <c r="D27" s="402" t="s">
        <v>1331</v>
      </c>
      <c r="E27" s="414"/>
      <c r="F27" s="1525">
        <v>0.09</v>
      </c>
      <c r="G27" s="3174">
        <v>0.13200000000000001</v>
      </c>
      <c r="H27" s="1410">
        <v>0.1615</v>
      </c>
      <c r="I27" s="1410">
        <v>0.191</v>
      </c>
      <c r="J27" s="1410">
        <v>0.2205</v>
      </c>
      <c r="K27" s="2805">
        <v>0.25</v>
      </c>
      <c r="L27" s="1410">
        <v>0.26250000000000001</v>
      </c>
      <c r="M27" s="1410">
        <v>0.27500000000000002</v>
      </c>
      <c r="N27" s="1410">
        <v>0.28750000000000003</v>
      </c>
      <c r="O27" s="2805">
        <v>0.30000000000000004</v>
      </c>
      <c r="P27" s="419"/>
      <c r="R27" s="1526"/>
    </row>
    <row r="28" spans="2:20" ht="15.75">
      <c r="B28" s="152"/>
      <c r="C28" s="413"/>
      <c r="D28" s="414" t="s">
        <v>1332</v>
      </c>
      <c r="E28" s="414"/>
      <c r="F28" s="1525">
        <v>0.01</v>
      </c>
      <c r="G28" s="1410">
        <v>2.8000000000000004E-2</v>
      </c>
      <c r="H28" s="1410">
        <v>0.121</v>
      </c>
      <c r="I28" s="1410">
        <v>0.214</v>
      </c>
      <c r="J28" s="1410">
        <v>0.307</v>
      </c>
      <c r="K28" s="2805">
        <v>0.4</v>
      </c>
      <c r="L28" s="1410">
        <v>0.45</v>
      </c>
      <c r="M28" s="1410">
        <v>0.5</v>
      </c>
      <c r="N28" s="1410">
        <v>0.55000000000000004</v>
      </c>
      <c r="O28" s="2805">
        <v>0.60000000000000009</v>
      </c>
      <c r="P28" s="419"/>
      <c r="R28" s="1526"/>
    </row>
    <row r="29" spans="2:20" ht="15.75">
      <c r="B29" s="152"/>
      <c r="C29" s="413" t="s">
        <v>425</v>
      </c>
      <c r="D29" s="402" t="s">
        <v>1329</v>
      </c>
      <c r="E29" s="414"/>
      <c r="F29" s="1525">
        <v>0.46</v>
      </c>
      <c r="G29" s="3173">
        <v>0.42800000000000005</v>
      </c>
      <c r="H29" s="1527">
        <v>0.33350000000000002</v>
      </c>
      <c r="I29" s="1527">
        <v>0.23900000000000002</v>
      </c>
      <c r="J29" s="1527">
        <v>0.14450000000000002</v>
      </c>
      <c r="K29" s="2805">
        <v>5.0000000000000017E-2</v>
      </c>
      <c r="L29" s="1527">
        <v>4.0000000000000008E-2</v>
      </c>
      <c r="M29" s="1527">
        <v>0.03</v>
      </c>
      <c r="N29" s="1527">
        <v>1.999999999999999E-2</v>
      </c>
      <c r="O29" s="2805">
        <v>9.9999999999999811E-3</v>
      </c>
      <c r="P29" s="419"/>
    </row>
    <row r="30" spans="2:20" ht="15.75">
      <c r="B30" s="152"/>
      <c r="C30" s="106"/>
      <c r="D30" s="402" t="s">
        <v>1330</v>
      </c>
      <c r="E30" s="414"/>
      <c r="F30" s="1525">
        <v>0.43</v>
      </c>
      <c r="G30" s="3174">
        <v>0.40399999999999997</v>
      </c>
      <c r="H30" s="1527">
        <v>0.34049999999999997</v>
      </c>
      <c r="I30" s="1527">
        <v>0.27699999999999997</v>
      </c>
      <c r="J30" s="1527">
        <v>0.21349999999999997</v>
      </c>
      <c r="K30" s="2805">
        <v>0.14999999999999997</v>
      </c>
      <c r="L30" s="1527">
        <v>0.13499999999999995</v>
      </c>
      <c r="M30" s="1527">
        <v>0.11999999999999995</v>
      </c>
      <c r="N30" s="1527">
        <v>0.10499999999999995</v>
      </c>
      <c r="O30" s="2805">
        <v>8.9999999999999955E-2</v>
      </c>
      <c r="P30" s="419"/>
      <c r="Q30" s="242"/>
      <c r="R30" s="242"/>
      <c r="S30" s="242"/>
      <c r="T30" s="242"/>
    </row>
    <row r="31" spans="2:20" s="1401" customFormat="1" ht="12" customHeight="1">
      <c r="B31" s="1531"/>
      <c r="C31" s="1388"/>
      <c r="D31" s="1532" t="s">
        <v>1331</v>
      </c>
      <c r="E31" s="1458"/>
      <c r="F31" s="1525">
        <v>0.09</v>
      </c>
      <c r="G31" s="3174">
        <v>0.13200000000000001</v>
      </c>
      <c r="H31" s="1533">
        <v>0.14900000000000002</v>
      </c>
      <c r="I31" s="1534">
        <v>0.16600000000000004</v>
      </c>
      <c r="J31" s="1534">
        <v>0.18300000000000005</v>
      </c>
      <c r="K31" s="2805">
        <v>0.20000000000000007</v>
      </c>
      <c r="L31" s="1534">
        <v>0.17500000000000007</v>
      </c>
      <c r="M31" s="1534">
        <v>0.15000000000000008</v>
      </c>
      <c r="N31" s="1534">
        <v>0.12500000000000008</v>
      </c>
      <c r="O31" s="2805">
        <v>0.10000000000000009</v>
      </c>
      <c r="P31" s="1535"/>
      <c r="Q31" s="1536"/>
      <c r="R31" s="1536"/>
      <c r="S31" s="1536"/>
      <c r="T31" s="1536"/>
    </row>
    <row r="32" spans="2:20" s="1401" customFormat="1">
      <c r="B32" s="1531"/>
      <c r="C32" s="779"/>
      <c r="D32" s="1537" t="s">
        <v>1332</v>
      </c>
      <c r="E32" s="779"/>
      <c r="F32" s="1525">
        <v>0.01</v>
      </c>
      <c r="G32" s="1410">
        <v>2.8000000000000004E-2</v>
      </c>
      <c r="H32" s="1530">
        <v>0.17099999999999999</v>
      </c>
      <c r="I32" s="1534">
        <v>0.31399999999999995</v>
      </c>
      <c r="J32" s="1534">
        <v>0.45699999999999996</v>
      </c>
      <c r="K32" s="2805">
        <v>0.6</v>
      </c>
      <c r="L32" s="1534">
        <v>0.65</v>
      </c>
      <c r="M32" s="1534">
        <v>0.70000000000000007</v>
      </c>
      <c r="N32" s="1534">
        <v>0.75000000000000011</v>
      </c>
      <c r="O32" s="2805">
        <v>0.80000000000000016</v>
      </c>
      <c r="P32" s="1535"/>
      <c r="Q32" s="1536"/>
      <c r="R32" s="1536"/>
      <c r="S32" s="1536"/>
      <c r="T32" s="1536"/>
    </row>
    <row r="33" spans="2:20" s="1544" customFormat="1" ht="15.75">
      <c r="B33" s="1538"/>
      <c r="C33" s="1539" t="s">
        <v>406</v>
      </c>
      <c r="D33" s="1540" t="s">
        <v>1329</v>
      </c>
      <c r="E33" s="1539"/>
      <c r="F33" s="1541">
        <f>CHOOSE($E$8,F17,F21,F25,F29)</f>
        <v>0.46</v>
      </c>
      <c r="G33" s="1541">
        <f t="shared" ref="G33:O36" si="1">CHOOSE($E$8,G17,G21,G25,G29)</f>
        <v>0.42800000000000005</v>
      </c>
      <c r="H33" s="1541">
        <f t="shared" si="1"/>
        <v>0.39600000000000002</v>
      </c>
      <c r="I33" s="1541">
        <f t="shared" si="1"/>
        <v>0.36399999999999999</v>
      </c>
      <c r="J33" s="1541">
        <f t="shared" si="1"/>
        <v>0.33199999999999996</v>
      </c>
      <c r="K33" s="1541">
        <f t="shared" si="1"/>
        <v>0.29999999999999993</v>
      </c>
      <c r="L33" s="1541">
        <f t="shared" si="1"/>
        <v>0.27499999999999991</v>
      </c>
      <c r="M33" s="1541">
        <f t="shared" si="1"/>
        <v>0.24999999999999989</v>
      </c>
      <c r="N33" s="1541">
        <f t="shared" si="1"/>
        <v>0.22499999999999987</v>
      </c>
      <c r="O33" s="1541">
        <f t="shared" si="1"/>
        <v>0.19999999999999984</v>
      </c>
      <c r="P33" s="1542"/>
      <c r="Q33" s="1543"/>
      <c r="R33" s="1543"/>
      <c r="S33" s="1543"/>
      <c r="T33" s="1543"/>
    </row>
    <row r="34" spans="2:20" s="1544" customFormat="1" ht="15.75">
      <c r="B34" s="1538"/>
      <c r="C34" s="1545"/>
      <c r="D34" s="1546" t="s">
        <v>1330</v>
      </c>
      <c r="E34" s="1545"/>
      <c r="F34" s="1530">
        <f>CHOOSE($E$8,F18,F22,F26,F30)</f>
        <v>0.43</v>
      </c>
      <c r="G34" s="1530">
        <f t="shared" si="1"/>
        <v>0.40399999999999997</v>
      </c>
      <c r="H34" s="1530">
        <f t="shared" si="1"/>
        <v>0.378</v>
      </c>
      <c r="I34" s="1530">
        <f t="shared" si="1"/>
        <v>0.35199999999999998</v>
      </c>
      <c r="J34" s="1530">
        <f t="shared" si="1"/>
        <v>0.32599999999999996</v>
      </c>
      <c r="K34" s="1530">
        <f t="shared" si="1"/>
        <v>0.29999999999999993</v>
      </c>
      <c r="L34" s="1530">
        <f t="shared" si="1"/>
        <v>0.28749999999999992</v>
      </c>
      <c r="M34" s="1530">
        <f t="shared" si="1"/>
        <v>0.27499999999999991</v>
      </c>
      <c r="N34" s="1530">
        <f t="shared" si="1"/>
        <v>0.2624999999999999</v>
      </c>
      <c r="O34" s="1530">
        <f t="shared" si="1"/>
        <v>0.24999999999999989</v>
      </c>
      <c r="P34" s="1542"/>
      <c r="Q34" s="1543"/>
      <c r="R34" s="1543"/>
      <c r="S34" s="1543"/>
      <c r="T34" s="1543"/>
    </row>
    <row r="35" spans="2:20" s="1544" customFormat="1" ht="15.75">
      <c r="B35" s="1538"/>
      <c r="C35" s="1545"/>
      <c r="D35" s="1546" t="s">
        <v>1331</v>
      </c>
      <c r="E35" s="1545"/>
      <c r="F35" s="1530">
        <f>CHOOSE($E$8,F19,F23,F27,F31)</f>
        <v>0.09</v>
      </c>
      <c r="G35" s="1530">
        <f t="shared" si="1"/>
        <v>0.13200000000000001</v>
      </c>
      <c r="H35" s="1530">
        <f t="shared" si="1"/>
        <v>0.17399999999999999</v>
      </c>
      <c r="I35" s="1530">
        <f t="shared" si="1"/>
        <v>0.216</v>
      </c>
      <c r="J35" s="1530">
        <f t="shared" si="1"/>
        <v>0.25800000000000001</v>
      </c>
      <c r="K35" s="1530">
        <f t="shared" si="1"/>
        <v>0.3</v>
      </c>
      <c r="L35" s="1530">
        <f t="shared" si="1"/>
        <v>0.3125</v>
      </c>
      <c r="M35" s="1530">
        <f t="shared" si="1"/>
        <v>0.32500000000000001</v>
      </c>
      <c r="N35" s="1530">
        <f t="shared" si="1"/>
        <v>0.33750000000000002</v>
      </c>
      <c r="O35" s="1530">
        <f t="shared" si="1"/>
        <v>0.35000000000000003</v>
      </c>
      <c r="P35" s="1542"/>
      <c r="Q35" s="1543"/>
      <c r="R35" s="1543"/>
      <c r="S35" s="1543"/>
      <c r="T35" s="1543"/>
    </row>
    <row r="36" spans="2:20" s="1544" customFormat="1" ht="15.75">
      <c r="B36" s="1538"/>
      <c r="C36" s="1547"/>
      <c r="D36" s="1548" t="s">
        <v>1332</v>
      </c>
      <c r="E36" s="1547"/>
      <c r="F36" s="1549">
        <f>CHOOSE($E$8,F20,F24,F28,F32)</f>
        <v>0.01</v>
      </c>
      <c r="G36" s="1549">
        <f t="shared" si="1"/>
        <v>2.8000000000000004E-2</v>
      </c>
      <c r="H36" s="1549">
        <f t="shared" si="1"/>
        <v>4.6000000000000006E-2</v>
      </c>
      <c r="I36" s="1549">
        <f t="shared" si="1"/>
        <v>6.4000000000000001E-2</v>
      </c>
      <c r="J36" s="1549">
        <f t="shared" si="1"/>
        <v>8.2000000000000003E-2</v>
      </c>
      <c r="K36" s="1549">
        <f t="shared" si="1"/>
        <v>0.1</v>
      </c>
      <c r="L36" s="1549">
        <f t="shared" si="1"/>
        <v>0.125</v>
      </c>
      <c r="M36" s="1549">
        <f t="shared" si="1"/>
        <v>0.15</v>
      </c>
      <c r="N36" s="1549">
        <f t="shared" si="1"/>
        <v>0.17499999999999999</v>
      </c>
      <c r="O36" s="1549">
        <f t="shared" si="1"/>
        <v>0.19999999999999998</v>
      </c>
      <c r="P36" s="1542"/>
      <c r="Q36" s="1543"/>
      <c r="R36" s="1543"/>
      <c r="S36" s="1543"/>
      <c r="T36" s="1543"/>
    </row>
    <row r="37" spans="2:20" ht="15.75">
      <c r="B37" s="152"/>
      <c r="C37" s="413"/>
      <c r="D37" s="414"/>
      <c r="E37" s="218"/>
      <c r="F37" s="1525"/>
      <c r="G37" s="1550"/>
      <c r="H37" s="1550"/>
      <c r="I37" s="1525"/>
      <c r="J37" s="1525"/>
      <c r="K37" s="1525"/>
      <c r="L37" s="1525"/>
      <c r="M37" s="1525"/>
      <c r="N37" s="1525"/>
      <c r="O37" s="1525"/>
      <c r="P37" s="419"/>
      <c r="Q37" s="242"/>
      <c r="R37" s="242"/>
      <c r="S37" s="242"/>
      <c r="T37" s="242"/>
    </row>
    <row r="38" spans="2:20" ht="15.75">
      <c r="B38" s="152"/>
      <c r="C38" s="413" t="s">
        <v>1522</v>
      </c>
      <c r="D38" s="414"/>
      <c r="E38" s="414"/>
      <c r="F38" s="613"/>
      <c r="G38" s="613"/>
      <c r="H38" s="613"/>
      <c r="I38" s="123"/>
      <c r="J38" s="123"/>
      <c r="K38" s="123"/>
      <c r="L38" s="123"/>
      <c r="M38" s="123"/>
      <c r="N38" s="123"/>
      <c r="O38" s="123" t="str">
        <f>+Preferences.PowerUnits</f>
        <v>GW</v>
      </c>
      <c r="P38" s="419"/>
      <c r="Q38" s="242"/>
      <c r="R38" s="242"/>
      <c r="S38" s="242"/>
      <c r="T38" s="242"/>
    </row>
    <row r="39" spans="2:20" ht="15.75">
      <c r="B39" s="152"/>
      <c r="C39" s="1418" t="s">
        <v>1328</v>
      </c>
      <c r="D39" s="1392"/>
      <c r="E39" s="1392"/>
      <c r="F39" s="1817">
        <f>F17*$E$130+F18*$E$131+F19*$E$132+F20*$E$133</f>
        <v>4.1070000000000003E-8</v>
      </c>
      <c r="G39" s="1817">
        <f t="shared" ref="G39:O39" si="2">G17*$E$130+G18*$E$131+G19*$E$132+G20*$E$133</f>
        <v>3.9196000000000009E-8</v>
      </c>
      <c r="H39" s="1817">
        <f t="shared" si="2"/>
        <v>3.7322000000000008E-8</v>
      </c>
      <c r="I39" s="1817">
        <f t="shared" si="2"/>
        <v>3.5448000000000001E-8</v>
      </c>
      <c r="J39" s="1817">
        <f t="shared" si="2"/>
        <v>3.3574E-8</v>
      </c>
      <c r="K39" s="1817">
        <f t="shared" si="2"/>
        <v>3.1699999999999999E-8</v>
      </c>
      <c r="L39" s="1817">
        <f t="shared" si="2"/>
        <v>3.0237499999999995E-8</v>
      </c>
      <c r="M39" s="1817">
        <f t="shared" si="2"/>
        <v>2.8774999999999995E-8</v>
      </c>
      <c r="N39" s="1817">
        <f t="shared" si="2"/>
        <v>2.7312499999999991E-8</v>
      </c>
      <c r="O39" s="1817">
        <f t="shared" si="2"/>
        <v>2.584999999999999E-8</v>
      </c>
      <c r="P39" s="419"/>
      <c r="Q39" s="242"/>
      <c r="R39" s="242"/>
      <c r="S39" s="242"/>
      <c r="T39" s="242"/>
    </row>
    <row r="40" spans="2:20" ht="15.75">
      <c r="B40" s="152"/>
      <c r="C40" s="413" t="s">
        <v>423</v>
      </c>
      <c r="D40" s="414"/>
      <c r="E40" s="414"/>
      <c r="F40" s="1551">
        <f>F21*$E$130+F22*$E$131+F23*$E$132+F24*$E$133</f>
        <v>4.1070000000000003E-8</v>
      </c>
      <c r="G40" s="1551">
        <f t="shared" ref="G40:O40" si="3">G21*$E$130+G22*$E$131+G23*$E$132+G24*$E$133</f>
        <v>3.9196000000000009E-8</v>
      </c>
      <c r="H40" s="1551">
        <f t="shared" si="3"/>
        <v>3.5297000000000015E-8</v>
      </c>
      <c r="I40" s="1551">
        <f t="shared" si="3"/>
        <v>3.1398000000000008E-8</v>
      </c>
      <c r="J40" s="1551">
        <f t="shared" si="3"/>
        <v>2.7499000000000007E-8</v>
      </c>
      <c r="K40" s="1551">
        <f t="shared" si="3"/>
        <v>2.3600000000000003E-8</v>
      </c>
      <c r="L40" s="1551">
        <f t="shared" si="3"/>
        <v>2.1800000000000003E-8</v>
      </c>
      <c r="M40" s="1551">
        <f t="shared" si="3"/>
        <v>2.0000000000000004E-8</v>
      </c>
      <c r="N40" s="1551">
        <f t="shared" si="3"/>
        <v>1.8200000000000004E-8</v>
      </c>
      <c r="O40" s="1551">
        <f t="shared" si="3"/>
        <v>1.6400000000000001E-8</v>
      </c>
      <c r="P40" s="419"/>
      <c r="Q40" s="242"/>
      <c r="R40" s="242"/>
      <c r="S40" s="242"/>
      <c r="T40" s="242"/>
    </row>
    <row r="41" spans="2:20">
      <c r="B41" s="155"/>
      <c r="C41" s="202" t="s">
        <v>424</v>
      </c>
      <c r="D41" s="105"/>
      <c r="E41" s="415"/>
      <c r="F41" s="1551">
        <f>F25*$E$130+F26*$E$131+F27*$E$132+F28*$E$133</f>
        <v>4.1070000000000003E-8</v>
      </c>
      <c r="G41" s="1551">
        <f t="shared" ref="G41:O41" si="4">G25*$E$130+G26*$E$131+G27*$E$132+G28*$E$133</f>
        <v>3.9196000000000009E-8</v>
      </c>
      <c r="H41" s="1551">
        <f t="shared" si="4"/>
        <v>3.4384500000000006E-8</v>
      </c>
      <c r="I41" s="1551">
        <f t="shared" si="4"/>
        <v>2.9573E-8</v>
      </c>
      <c r="J41" s="1551">
        <f t="shared" si="4"/>
        <v>2.4761500000000003E-8</v>
      </c>
      <c r="K41" s="1551">
        <f t="shared" si="4"/>
        <v>1.9950000000000003E-8</v>
      </c>
      <c r="L41" s="1551">
        <f t="shared" si="4"/>
        <v>1.8067500000000003E-8</v>
      </c>
      <c r="M41" s="1551">
        <f t="shared" si="4"/>
        <v>1.6185000000000002E-8</v>
      </c>
      <c r="N41" s="1551">
        <f t="shared" si="4"/>
        <v>1.4302500000000002E-8</v>
      </c>
      <c r="O41" s="1551">
        <f t="shared" si="4"/>
        <v>1.2420000000000005E-8</v>
      </c>
      <c r="P41" s="419"/>
      <c r="Q41" s="242"/>
      <c r="R41" s="1552"/>
      <c r="S41" s="242"/>
      <c r="T41" s="242"/>
    </row>
    <row r="42" spans="2:20">
      <c r="B42" s="155"/>
      <c r="C42" s="202" t="s">
        <v>425</v>
      </c>
      <c r="D42" s="105"/>
      <c r="E42" s="415"/>
      <c r="F42" s="1551">
        <f>F29*$E$130+F30*$E$131+F31*$E$132+F32*$E$133</f>
        <v>4.1070000000000003E-8</v>
      </c>
      <c r="G42" s="1551">
        <f t="shared" ref="G42:O42" si="5">G29*$E$130+G30*$E$131+G31*$E$132+G32*$E$133</f>
        <v>3.9196000000000009E-8</v>
      </c>
      <c r="H42" s="1551">
        <f t="shared" si="5"/>
        <v>3.3147000000000006E-8</v>
      </c>
      <c r="I42" s="1551">
        <f t="shared" si="5"/>
        <v>2.7098000000000002E-8</v>
      </c>
      <c r="J42" s="1551">
        <f t="shared" si="5"/>
        <v>2.1049000000000005E-8</v>
      </c>
      <c r="K42" s="1551">
        <f t="shared" si="5"/>
        <v>1.5000000000000002E-8</v>
      </c>
      <c r="L42" s="1551">
        <f t="shared" si="5"/>
        <v>1.4005000000000002E-8</v>
      </c>
      <c r="M42" s="1551">
        <f t="shared" si="5"/>
        <v>1.3010000000000002E-8</v>
      </c>
      <c r="N42" s="1551">
        <f t="shared" si="5"/>
        <v>1.2015000000000002E-8</v>
      </c>
      <c r="O42" s="1551">
        <f t="shared" si="5"/>
        <v>1.1020000000000002E-8</v>
      </c>
      <c r="P42" s="419"/>
      <c r="Q42" s="242"/>
      <c r="R42" s="1552"/>
      <c r="S42" s="242"/>
      <c r="T42" s="242"/>
    </row>
    <row r="43" spans="2:20">
      <c r="B43" s="155"/>
      <c r="C43" s="1553" t="s">
        <v>406</v>
      </c>
      <c r="D43" s="1554"/>
      <c r="E43" s="1384"/>
      <c r="F43" s="1555">
        <f>(INDEX(F39:F42,ROUNDDOWN($E$8,0))*(1-MOD($E$8,1)))+(INDEX(F39:F42,ROUNDUP($E$8,0))*MOD($E$8,1))</f>
        <v>4.1070000000000003E-8</v>
      </c>
      <c r="G43" s="1555">
        <f t="shared" ref="G43:O43" si="6">(INDEX(G39:G42,ROUNDDOWN($E$8,0))*(1-MOD($E$8,1)))+(INDEX(G39:G42,ROUNDUP($E$8,0))*MOD($E$8,1))</f>
        <v>3.9196000000000009E-8</v>
      </c>
      <c r="H43" s="1555">
        <f t="shared" si="6"/>
        <v>3.7322000000000008E-8</v>
      </c>
      <c r="I43" s="1555">
        <f t="shared" si="6"/>
        <v>3.5448000000000001E-8</v>
      </c>
      <c r="J43" s="1555">
        <f t="shared" si="6"/>
        <v>3.3574E-8</v>
      </c>
      <c r="K43" s="1555">
        <f t="shared" si="6"/>
        <v>3.1699999999999999E-8</v>
      </c>
      <c r="L43" s="1555">
        <f t="shared" si="6"/>
        <v>3.0237499999999995E-8</v>
      </c>
      <c r="M43" s="1555">
        <f t="shared" si="6"/>
        <v>2.8774999999999995E-8</v>
      </c>
      <c r="N43" s="1555">
        <f t="shared" si="6"/>
        <v>2.7312499999999991E-8</v>
      </c>
      <c r="O43" s="1555">
        <f t="shared" si="6"/>
        <v>2.584999999999999E-8</v>
      </c>
      <c r="P43" s="419"/>
      <c r="Q43" s="242"/>
      <c r="R43" s="1552"/>
      <c r="S43" s="242"/>
      <c r="T43" s="242"/>
    </row>
    <row r="44" spans="2:20">
      <c r="B44" s="155"/>
      <c r="C44" s="202"/>
      <c r="D44" s="105"/>
      <c r="E44" s="415"/>
      <c r="F44" s="1551"/>
      <c r="G44" s="1551"/>
      <c r="H44" s="1551"/>
      <c r="I44" s="1551"/>
      <c r="J44" s="1551"/>
      <c r="K44" s="1551"/>
      <c r="L44" s="1551"/>
      <c r="M44" s="1551"/>
      <c r="N44" s="1551"/>
      <c r="O44" s="1551"/>
      <c r="P44" s="419"/>
      <c r="Q44" s="242"/>
      <c r="R44" s="1552"/>
      <c r="S44" s="242"/>
      <c r="T44" s="242"/>
    </row>
    <row r="45" spans="2:20">
      <c r="B45" s="418"/>
      <c r="C45" s="416" t="s">
        <v>2195</v>
      </c>
      <c r="D45" s="415"/>
      <c r="E45" s="1449"/>
      <c r="F45" s="415"/>
      <c r="G45" s="415"/>
      <c r="H45" s="415"/>
      <c r="I45" s="415"/>
      <c r="J45" s="415"/>
      <c r="K45" s="415"/>
      <c r="L45" s="415"/>
      <c r="M45" s="415"/>
      <c r="N45" s="415"/>
      <c r="O45" s="1449" t="s">
        <v>277</v>
      </c>
      <c r="P45" s="419"/>
      <c r="R45" s="1524"/>
    </row>
    <row r="46" spans="2:20" ht="5.25" customHeight="1">
      <c r="B46" s="418"/>
      <c r="C46" s="415"/>
      <c r="D46" s="415"/>
      <c r="E46" s="415"/>
      <c r="F46" s="415"/>
      <c r="G46" s="415"/>
      <c r="H46" s="415"/>
      <c r="I46" s="415"/>
      <c r="J46" s="415"/>
      <c r="K46" s="415"/>
      <c r="L46" s="415"/>
      <c r="M46" s="415"/>
      <c r="N46" s="415"/>
      <c r="O46" s="415"/>
      <c r="P46" s="419"/>
      <c r="R46" s="113"/>
    </row>
    <row r="47" spans="2:20" ht="15.75">
      <c r="B47" s="152"/>
      <c r="C47" s="61" t="s">
        <v>411</v>
      </c>
      <c r="D47" s="61" t="s">
        <v>1326</v>
      </c>
      <c r="E47" s="61" t="s">
        <v>1327</v>
      </c>
      <c r="F47" s="119">
        <v>2007</v>
      </c>
      <c r="G47" s="120">
        <f>F47+5</f>
        <v>2012</v>
      </c>
      <c r="H47" s="120">
        <f t="shared" ref="H47:O47" si="7">G47+5</f>
        <v>2017</v>
      </c>
      <c r="I47" s="120">
        <f t="shared" si="7"/>
        <v>2022</v>
      </c>
      <c r="J47" s="120">
        <f t="shared" si="7"/>
        <v>2027</v>
      </c>
      <c r="K47" s="120">
        <f t="shared" si="7"/>
        <v>2032</v>
      </c>
      <c r="L47" s="120">
        <f t="shared" si="7"/>
        <v>2037</v>
      </c>
      <c r="M47" s="120">
        <f t="shared" si="7"/>
        <v>2042</v>
      </c>
      <c r="N47" s="120">
        <f t="shared" si="7"/>
        <v>2047</v>
      </c>
      <c r="O47" s="120">
        <f t="shared" si="7"/>
        <v>2052</v>
      </c>
      <c r="P47" s="419"/>
      <c r="R47" s="113"/>
    </row>
    <row r="48" spans="2:20">
      <c r="B48" s="155"/>
      <c r="C48" s="202" t="s">
        <v>1328</v>
      </c>
      <c r="D48" s="105"/>
      <c r="E48" s="415" t="s">
        <v>438</v>
      </c>
      <c r="F48" s="1525">
        <v>0.98</v>
      </c>
      <c r="G48" s="1525">
        <v>0.98</v>
      </c>
      <c r="H48" s="1525">
        <v>0.98</v>
      </c>
      <c r="I48" s="1525">
        <v>0.98</v>
      </c>
      <c r="J48" s="1525">
        <v>0.98</v>
      </c>
      <c r="K48" s="1525">
        <v>0.98</v>
      </c>
      <c r="L48" s="1525">
        <v>0.98</v>
      </c>
      <c r="M48" s="1525">
        <v>0.98</v>
      </c>
      <c r="N48" s="1525">
        <v>0.98</v>
      </c>
      <c r="O48" s="1525">
        <v>0.98</v>
      </c>
      <c r="P48" s="419"/>
      <c r="Q48" s="242"/>
      <c r="R48" s="1552"/>
      <c r="S48" s="242"/>
      <c r="T48" s="242"/>
    </row>
    <row r="49" spans="2:20">
      <c r="B49" s="155"/>
      <c r="C49" s="202"/>
      <c r="D49" s="105"/>
      <c r="E49" s="415" t="s">
        <v>1333</v>
      </c>
      <c r="F49" s="1525">
        <v>0.01</v>
      </c>
      <c r="G49" s="1525">
        <v>0.01</v>
      </c>
      <c r="H49" s="1525">
        <v>0.01</v>
      </c>
      <c r="I49" s="1525">
        <v>0.01</v>
      </c>
      <c r="J49" s="1525">
        <v>0.01</v>
      </c>
      <c r="K49" s="1525">
        <v>0.01</v>
      </c>
      <c r="L49" s="1525">
        <v>0.01</v>
      </c>
      <c r="M49" s="1525">
        <v>0.01</v>
      </c>
      <c r="N49" s="1525">
        <v>0.01</v>
      </c>
      <c r="O49" s="1525">
        <v>0.01</v>
      </c>
      <c r="P49" s="419"/>
      <c r="Q49" s="242"/>
      <c r="R49" s="1552"/>
      <c r="S49" s="242"/>
      <c r="T49" s="242"/>
    </row>
    <row r="50" spans="2:20">
      <c r="B50" s="155"/>
      <c r="C50" s="202"/>
      <c r="D50" s="105"/>
      <c r="E50" s="415" t="s">
        <v>439</v>
      </c>
      <c r="F50" s="1525">
        <v>0.01</v>
      </c>
      <c r="G50" s="1525">
        <v>0.01</v>
      </c>
      <c r="H50" s="1525">
        <v>0.01</v>
      </c>
      <c r="I50" s="1525">
        <v>0.01</v>
      </c>
      <c r="J50" s="1525">
        <v>0.01</v>
      </c>
      <c r="K50" s="1525">
        <v>0.01</v>
      </c>
      <c r="L50" s="1525">
        <v>0.01</v>
      </c>
      <c r="M50" s="1525">
        <v>0.01</v>
      </c>
      <c r="N50" s="1525">
        <v>0.01</v>
      </c>
      <c r="O50" s="1525">
        <v>0.01</v>
      </c>
      <c r="P50" s="419"/>
      <c r="Q50" s="242"/>
      <c r="R50" s="1552"/>
      <c r="S50" s="242"/>
      <c r="T50" s="242"/>
    </row>
    <row r="51" spans="2:20">
      <c r="B51" s="155"/>
      <c r="C51" s="202" t="s">
        <v>423</v>
      </c>
      <c r="D51" s="105"/>
      <c r="E51" s="415" t="s">
        <v>438</v>
      </c>
      <c r="F51" s="1525">
        <v>0.98</v>
      </c>
      <c r="G51" s="1525">
        <v>0.98</v>
      </c>
      <c r="H51" s="1525">
        <v>0.88500000000000001</v>
      </c>
      <c r="I51" s="1525">
        <v>0.79</v>
      </c>
      <c r="J51" s="1525">
        <v>0.69500000000000006</v>
      </c>
      <c r="K51" s="1525">
        <v>0.60000000000000009</v>
      </c>
      <c r="L51" s="1525">
        <v>0.55000000000000004</v>
      </c>
      <c r="M51" s="1525">
        <v>0.5</v>
      </c>
      <c r="N51" s="1525">
        <v>0.44999999999999996</v>
      </c>
      <c r="O51" s="1525">
        <v>0.39999999999999991</v>
      </c>
      <c r="P51" s="419"/>
      <c r="Q51" s="242"/>
      <c r="R51" s="1552"/>
      <c r="S51" s="242"/>
      <c r="T51" s="242"/>
    </row>
    <row r="52" spans="2:20">
      <c r="B52" s="155"/>
      <c r="C52" s="202"/>
      <c r="D52" s="105"/>
      <c r="E52" s="415" t="s">
        <v>1333</v>
      </c>
      <c r="F52" s="1525">
        <v>0.01</v>
      </c>
      <c r="G52" s="1525">
        <v>0.01</v>
      </c>
      <c r="H52" s="1525">
        <v>8.249999999999999E-2</v>
      </c>
      <c r="I52" s="1525">
        <v>0.15499999999999997</v>
      </c>
      <c r="J52" s="1525">
        <v>0.22749999999999998</v>
      </c>
      <c r="K52" s="1525">
        <v>0.3</v>
      </c>
      <c r="L52" s="1525">
        <v>0.32500000000000001</v>
      </c>
      <c r="M52" s="1525">
        <v>0.35000000000000003</v>
      </c>
      <c r="N52" s="1525">
        <v>0.37500000000000006</v>
      </c>
      <c r="O52" s="1525">
        <v>0.40000000000000008</v>
      </c>
      <c r="P52" s="419"/>
      <c r="Q52" s="242"/>
      <c r="R52" s="1552"/>
      <c r="S52" s="242"/>
      <c r="T52" s="242"/>
    </row>
    <row r="53" spans="2:20">
      <c r="B53" s="155"/>
      <c r="C53" s="202"/>
      <c r="D53" s="105"/>
      <c r="E53" s="415" t="s">
        <v>439</v>
      </c>
      <c r="F53" s="1525">
        <v>0.01</v>
      </c>
      <c r="G53" s="1525">
        <v>0.01</v>
      </c>
      <c r="H53" s="1525">
        <v>3.2500000000000001E-2</v>
      </c>
      <c r="I53" s="1525">
        <v>5.5000000000000007E-2</v>
      </c>
      <c r="J53" s="1525">
        <v>7.7500000000000013E-2</v>
      </c>
      <c r="K53" s="1525">
        <v>0.10000000000000002</v>
      </c>
      <c r="L53" s="1525">
        <v>0.12500000000000003</v>
      </c>
      <c r="M53" s="1525">
        <v>0.15000000000000002</v>
      </c>
      <c r="N53" s="1525">
        <v>0.17500000000000002</v>
      </c>
      <c r="O53" s="1525">
        <v>0.2</v>
      </c>
      <c r="P53" s="419"/>
      <c r="Q53" s="242"/>
      <c r="R53" s="1552"/>
      <c r="S53" s="242"/>
      <c r="T53" s="242"/>
    </row>
    <row r="54" spans="2:20">
      <c r="B54" s="155"/>
      <c r="C54" s="202" t="s">
        <v>424</v>
      </c>
      <c r="D54" s="105"/>
      <c r="E54" s="415" t="s">
        <v>438</v>
      </c>
      <c r="F54" s="1525">
        <v>0.98</v>
      </c>
      <c r="G54" s="1525">
        <v>0.98</v>
      </c>
      <c r="H54" s="1525">
        <v>0.78499999999999992</v>
      </c>
      <c r="I54" s="1525">
        <v>0.58999999999999986</v>
      </c>
      <c r="J54" s="1525">
        <v>0.39499999999999985</v>
      </c>
      <c r="K54" s="1525">
        <v>0.19999999999999984</v>
      </c>
      <c r="L54" s="1525">
        <v>0.17749999999999985</v>
      </c>
      <c r="M54" s="1525">
        <v>0.15499999999999986</v>
      </c>
      <c r="N54" s="1525">
        <v>0.13249999999999987</v>
      </c>
      <c r="O54" s="1525">
        <v>0.10999999999999988</v>
      </c>
      <c r="P54" s="419"/>
      <c r="Q54" s="242"/>
      <c r="R54" s="1552"/>
      <c r="S54" s="242"/>
      <c r="T54" s="242"/>
    </row>
    <row r="55" spans="2:20">
      <c r="B55" s="155"/>
      <c r="C55" s="202"/>
      <c r="D55" s="105"/>
      <c r="E55" s="415" t="s">
        <v>1333</v>
      </c>
      <c r="F55" s="1525">
        <v>0.01</v>
      </c>
      <c r="G55" s="1525">
        <v>0.01</v>
      </c>
      <c r="H55" s="1525">
        <v>0.13250000000000001</v>
      </c>
      <c r="I55" s="1525">
        <v>0.255</v>
      </c>
      <c r="J55" s="1525">
        <v>0.3775</v>
      </c>
      <c r="K55" s="1525">
        <v>0.5</v>
      </c>
      <c r="L55" s="1525">
        <v>0.47250000000000003</v>
      </c>
      <c r="M55" s="1525">
        <v>0.44500000000000006</v>
      </c>
      <c r="N55" s="1525">
        <v>0.41750000000000009</v>
      </c>
      <c r="O55" s="1525">
        <v>0.39000000000000012</v>
      </c>
      <c r="P55" s="419"/>
      <c r="Q55" s="242"/>
      <c r="R55" s="1552"/>
      <c r="S55" s="242"/>
      <c r="T55" s="242"/>
    </row>
    <row r="56" spans="2:20">
      <c r="B56" s="155"/>
      <c r="C56" s="202"/>
      <c r="D56" s="105"/>
      <c r="E56" s="415" t="s">
        <v>439</v>
      </c>
      <c r="F56" s="1525">
        <v>0.01</v>
      </c>
      <c r="G56" s="1525">
        <v>0.01</v>
      </c>
      <c r="H56" s="1525">
        <v>8.249999999999999E-2</v>
      </c>
      <c r="I56" s="1525">
        <v>0.15499999999999997</v>
      </c>
      <c r="J56" s="1525">
        <v>0.22749999999999998</v>
      </c>
      <c r="K56" s="1525">
        <v>0.3</v>
      </c>
      <c r="L56" s="1525">
        <v>0.35</v>
      </c>
      <c r="M56" s="1525">
        <v>0.39999999999999997</v>
      </c>
      <c r="N56" s="1525">
        <v>0.44999999999999996</v>
      </c>
      <c r="O56" s="1525">
        <v>0.49999999999999994</v>
      </c>
      <c r="P56" s="419"/>
      <c r="Q56" s="242"/>
      <c r="R56" s="1552"/>
      <c r="S56" s="242"/>
      <c r="T56" s="242"/>
    </row>
    <row r="57" spans="2:20">
      <c r="B57" s="155"/>
      <c r="C57" s="202" t="s">
        <v>425</v>
      </c>
      <c r="D57" s="105"/>
      <c r="E57" s="415" t="s">
        <v>438</v>
      </c>
      <c r="F57" s="1525">
        <v>0.98</v>
      </c>
      <c r="G57" s="1525">
        <v>0.98</v>
      </c>
      <c r="H57" s="1525">
        <v>0.76</v>
      </c>
      <c r="I57" s="1525">
        <v>0.54</v>
      </c>
      <c r="J57" s="1525">
        <v>0.32000000000000006</v>
      </c>
      <c r="K57" s="1525">
        <v>0.10000000000000006</v>
      </c>
      <c r="L57" s="1525">
        <v>7.7500000000000069E-2</v>
      </c>
      <c r="M57" s="1525">
        <v>5.500000000000007E-2</v>
      </c>
      <c r="N57" s="1525">
        <v>3.250000000000007E-2</v>
      </c>
      <c r="O57" s="1525">
        <v>1.0000000000000071E-2</v>
      </c>
      <c r="P57" s="419"/>
      <c r="Q57" s="242"/>
      <c r="R57" s="1552"/>
      <c r="S57" s="242"/>
      <c r="T57" s="242"/>
    </row>
    <row r="58" spans="2:20">
      <c r="B58" s="155"/>
      <c r="C58" s="202"/>
      <c r="D58" s="105"/>
      <c r="E58" s="415" t="s">
        <v>1333</v>
      </c>
      <c r="F58" s="1525">
        <v>0.01</v>
      </c>
      <c r="G58" s="1525">
        <v>0.01</v>
      </c>
      <c r="H58" s="1525">
        <v>0.1075</v>
      </c>
      <c r="I58" s="1525">
        <v>0.20500000000000002</v>
      </c>
      <c r="J58" s="1525">
        <v>0.30249999999999999</v>
      </c>
      <c r="K58" s="1525">
        <v>0.4</v>
      </c>
      <c r="L58" s="1525">
        <v>0.32250000000000001</v>
      </c>
      <c r="M58" s="1525">
        <v>0.245</v>
      </c>
      <c r="N58" s="1525">
        <v>0.16749999999999998</v>
      </c>
      <c r="O58" s="1525">
        <v>8.9999999999999969E-2</v>
      </c>
      <c r="P58" s="419"/>
      <c r="Q58" s="242"/>
      <c r="R58" s="1552"/>
      <c r="S58" s="242"/>
      <c r="T58" s="242"/>
    </row>
    <row r="59" spans="2:20">
      <c r="B59" s="155"/>
      <c r="C59" s="202"/>
      <c r="D59" s="105"/>
      <c r="E59" s="415" t="s">
        <v>439</v>
      </c>
      <c r="F59" s="1525">
        <v>0.01</v>
      </c>
      <c r="G59" s="1525">
        <v>0.01</v>
      </c>
      <c r="H59" s="1525">
        <v>0.13250000000000001</v>
      </c>
      <c r="I59" s="1525">
        <v>0.255</v>
      </c>
      <c r="J59" s="1525">
        <v>0.3775</v>
      </c>
      <c r="K59" s="1525">
        <v>0.5</v>
      </c>
      <c r="L59" s="1525">
        <v>0.6</v>
      </c>
      <c r="M59" s="1525">
        <v>0.7</v>
      </c>
      <c r="N59" s="1525">
        <v>0.79999999999999993</v>
      </c>
      <c r="O59" s="1525">
        <v>0.89999999999999991</v>
      </c>
      <c r="P59" s="419"/>
      <c r="Q59" s="242"/>
      <c r="R59" s="1552"/>
      <c r="S59" s="242"/>
      <c r="T59" s="242"/>
    </row>
    <row r="60" spans="2:20" s="423" customFormat="1">
      <c r="B60" s="840"/>
      <c r="C60" s="1556" t="s">
        <v>406</v>
      </c>
      <c r="D60" s="1557"/>
      <c r="E60" s="1558" t="s">
        <v>438</v>
      </c>
      <c r="F60" s="1541">
        <f>CHOOSE($E$8,F48,F51,F54,F57)</f>
        <v>0.98</v>
      </c>
      <c r="G60" s="1541">
        <f t="shared" ref="G60:O62" si="8">CHOOSE($E$8,G48,G51,G54,G57)</f>
        <v>0.98</v>
      </c>
      <c r="H60" s="1541">
        <f t="shared" si="8"/>
        <v>0.98</v>
      </c>
      <c r="I60" s="1541">
        <f t="shared" si="8"/>
        <v>0.98</v>
      </c>
      <c r="J60" s="1541">
        <f t="shared" si="8"/>
        <v>0.98</v>
      </c>
      <c r="K60" s="1541">
        <f t="shared" si="8"/>
        <v>0.98</v>
      </c>
      <c r="L60" s="1541">
        <f t="shared" si="8"/>
        <v>0.98</v>
      </c>
      <c r="M60" s="1541">
        <f t="shared" si="8"/>
        <v>0.98</v>
      </c>
      <c r="N60" s="1541">
        <f t="shared" si="8"/>
        <v>0.98</v>
      </c>
      <c r="O60" s="1541">
        <f t="shared" si="8"/>
        <v>0.98</v>
      </c>
      <c r="P60" s="570"/>
      <c r="Q60" s="703"/>
      <c r="R60" s="1559"/>
      <c r="S60" s="703"/>
      <c r="T60" s="703"/>
    </row>
    <row r="61" spans="2:20" s="423" customFormat="1">
      <c r="B61" s="840"/>
      <c r="C61" s="1560"/>
      <c r="D61" s="1422"/>
      <c r="E61" s="416" t="s">
        <v>1333</v>
      </c>
      <c r="F61" s="1561">
        <f>CHOOSE($E$8,F49,F52,F55,F58)</f>
        <v>0.01</v>
      </c>
      <c r="G61" s="1561">
        <f t="shared" si="8"/>
        <v>0.01</v>
      </c>
      <c r="H61" s="1561">
        <f t="shared" si="8"/>
        <v>0.01</v>
      </c>
      <c r="I61" s="1561">
        <f t="shared" si="8"/>
        <v>0.01</v>
      </c>
      <c r="J61" s="1561">
        <f t="shared" si="8"/>
        <v>0.01</v>
      </c>
      <c r="K61" s="1561">
        <f t="shared" si="8"/>
        <v>0.01</v>
      </c>
      <c r="L61" s="1561">
        <f t="shared" si="8"/>
        <v>0.01</v>
      </c>
      <c r="M61" s="1561">
        <f t="shared" si="8"/>
        <v>0.01</v>
      </c>
      <c r="N61" s="1561">
        <f t="shared" si="8"/>
        <v>0.01</v>
      </c>
      <c r="O61" s="1561">
        <f t="shared" si="8"/>
        <v>0.01</v>
      </c>
      <c r="P61" s="570"/>
      <c r="Q61" s="703"/>
      <c r="R61" s="1559"/>
      <c r="S61" s="703"/>
      <c r="T61" s="703"/>
    </row>
    <row r="62" spans="2:20" s="423" customFormat="1">
      <c r="B62" s="840"/>
      <c r="C62" s="1562"/>
      <c r="D62" s="1563"/>
      <c r="E62" s="817" t="s">
        <v>439</v>
      </c>
      <c r="F62" s="1564">
        <f>CHOOSE($E$8,F50,F53,F56,F59)</f>
        <v>0.01</v>
      </c>
      <c r="G62" s="1564">
        <f t="shared" si="8"/>
        <v>0.01</v>
      </c>
      <c r="H62" s="1564">
        <f t="shared" si="8"/>
        <v>0.01</v>
      </c>
      <c r="I62" s="1564">
        <f t="shared" si="8"/>
        <v>0.01</v>
      </c>
      <c r="J62" s="1564">
        <f t="shared" si="8"/>
        <v>0.01</v>
      </c>
      <c r="K62" s="1564">
        <f t="shared" si="8"/>
        <v>0.01</v>
      </c>
      <c r="L62" s="1564">
        <f t="shared" si="8"/>
        <v>0.01</v>
      </c>
      <c r="M62" s="1564">
        <f t="shared" si="8"/>
        <v>0.01</v>
      </c>
      <c r="N62" s="1564">
        <f t="shared" si="8"/>
        <v>0.01</v>
      </c>
      <c r="O62" s="1564">
        <f t="shared" si="8"/>
        <v>0.01</v>
      </c>
      <c r="P62" s="570"/>
      <c r="Q62" s="703"/>
      <c r="R62" s="1559"/>
      <c r="S62" s="703"/>
      <c r="T62" s="703"/>
    </row>
    <row r="63" spans="2:20">
      <c r="B63" s="155"/>
      <c r="C63" s="202"/>
      <c r="D63" s="105"/>
      <c r="E63" s="415"/>
      <c r="F63" s="1525"/>
      <c r="G63" s="1525"/>
      <c r="H63" s="1525"/>
      <c r="I63" s="1525"/>
      <c r="J63" s="1525"/>
      <c r="K63" s="1525"/>
      <c r="L63" s="1525"/>
      <c r="M63" s="1525"/>
      <c r="N63" s="1525"/>
      <c r="O63" s="1525"/>
      <c r="P63" s="419"/>
      <c r="Q63" s="242"/>
      <c r="R63" s="1552"/>
      <c r="S63" s="242"/>
      <c r="T63" s="242"/>
    </row>
    <row r="64" spans="2:20">
      <c r="B64" s="155"/>
      <c r="C64" s="1560" t="s">
        <v>1334</v>
      </c>
      <c r="D64" s="105"/>
      <c r="E64" s="415"/>
      <c r="F64" s="1525"/>
      <c r="G64" s="1525"/>
      <c r="H64" s="1525"/>
      <c r="I64" s="1525"/>
      <c r="J64" s="1525"/>
      <c r="K64" s="1525"/>
      <c r="L64" s="1525"/>
      <c r="M64" s="1525"/>
      <c r="N64" s="1525"/>
      <c r="O64" s="1525"/>
      <c r="P64" s="419"/>
      <c r="Q64" s="242"/>
      <c r="R64" s="1552"/>
      <c r="S64" s="242"/>
      <c r="T64" s="242"/>
    </row>
    <row r="65" spans="2:20">
      <c r="B65" s="155"/>
      <c r="C65" s="202" t="s">
        <v>1523</v>
      </c>
      <c r="D65" s="105"/>
      <c r="E65" s="415"/>
      <c r="F65" s="402"/>
      <c r="G65" s="402"/>
      <c r="H65" s="402"/>
      <c r="I65" s="402"/>
      <c r="J65" s="402"/>
      <c r="K65" s="402"/>
      <c r="L65" s="402"/>
      <c r="M65" s="402"/>
      <c r="N65" s="402"/>
      <c r="O65" s="123" t="str">
        <f>+Preferences.PowerUnits</f>
        <v>GW</v>
      </c>
      <c r="P65" s="419"/>
      <c r="Q65" s="242"/>
      <c r="R65" s="1552"/>
      <c r="S65" s="242"/>
      <c r="T65" s="242"/>
    </row>
    <row r="66" spans="2:20">
      <c r="B66" s="155"/>
      <c r="C66" s="202" t="s">
        <v>1328</v>
      </c>
      <c r="D66" s="105"/>
      <c r="E66" s="415"/>
      <c r="F66" s="1469">
        <f>F48*F$135+F49*F$136+F50*F$137</f>
        <v>7.4260000000000005E-8</v>
      </c>
      <c r="G66" s="1469">
        <f t="shared" ref="G66:O66" si="9">G48*G135+G49*G136+G50*G137</f>
        <v>7.4260000000000005E-8</v>
      </c>
      <c r="H66" s="1469">
        <f t="shared" si="9"/>
        <v>7.2663721526055836E-8</v>
      </c>
      <c r="I66" s="1469">
        <f t="shared" si="9"/>
        <v>7.1101873321239984E-8</v>
      </c>
      <c r="J66" s="1469">
        <f t="shared" si="9"/>
        <v>6.9573712731454652E-8</v>
      </c>
      <c r="K66" s="1469">
        <f t="shared" si="9"/>
        <v>6.8078513122070422E-8</v>
      </c>
      <c r="L66" s="1469">
        <f t="shared" si="9"/>
        <v>6.6615563532364901E-8</v>
      </c>
      <c r="M66" s="1469">
        <f t="shared" si="9"/>
        <v>6.5184168337414367E-8</v>
      </c>
      <c r="N66" s="1469">
        <f t="shared" si="9"/>
        <v>6.3783646917280603E-8</v>
      </c>
      <c r="O66" s="1469">
        <f t="shared" si="9"/>
        <v>6.2413333333333347E-8</v>
      </c>
      <c r="P66" s="419"/>
      <c r="Q66" s="242"/>
      <c r="R66" s="1552"/>
      <c r="S66" s="242"/>
      <c r="T66" s="242"/>
    </row>
    <row r="67" spans="2:20">
      <c r="B67" s="155"/>
      <c r="C67" s="202" t="s">
        <v>423</v>
      </c>
      <c r="D67" s="105"/>
      <c r="E67" s="415"/>
      <c r="F67" s="1469">
        <f t="shared" ref="F67:N67" si="10">F51*F$135+F52*F$136+F53*F$137</f>
        <v>7.4260000000000005E-8</v>
      </c>
      <c r="G67" s="1469">
        <f t="shared" si="10"/>
        <v>7.4260000000000005E-8</v>
      </c>
      <c r="H67" s="1469">
        <f t="shared" si="10"/>
        <v>6.9867236623106389E-8</v>
      </c>
      <c r="I67" s="1469">
        <f t="shared" si="10"/>
        <v>6.5643227002006837E-8</v>
      </c>
      <c r="J67" s="1469">
        <f t="shared" si="10"/>
        <v>6.1583247408431583E-8</v>
      </c>
      <c r="K67" s="1469">
        <f t="shared" si="10"/>
        <v>5.7682693441189319E-8</v>
      </c>
      <c r="L67" s="1469">
        <f t="shared" si="10"/>
        <v>5.4869831618836061E-8</v>
      </c>
      <c r="M67" s="1469">
        <f t="shared" si="10"/>
        <v>5.2176281529901208E-8</v>
      </c>
      <c r="N67" s="1469">
        <f t="shared" si="10"/>
        <v>4.9598574301593317E-8</v>
      </c>
      <c r="O67" s="1469">
        <f>O51*O135+O52*O136+O53*O137</f>
        <v>4.7133333333333319E-8</v>
      </c>
      <c r="P67" s="419"/>
      <c r="Q67" s="242"/>
      <c r="R67" s="1552"/>
      <c r="S67" s="242"/>
      <c r="T67" s="242"/>
    </row>
    <row r="68" spans="2:20">
      <c r="B68" s="155"/>
      <c r="C68" s="202" t="s">
        <v>424</v>
      </c>
      <c r="D68" s="105"/>
      <c r="E68" s="415"/>
      <c r="F68" s="1469">
        <f t="shared" ref="F68:O68" si="11">F54*F$135+F55*F$136+F56*F$137</f>
        <v>7.4260000000000005E-8</v>
      </c>
      <c r="G68" s="1469">
        <f t="shared" si="11"/>
        <v>7.4260000000000005E-8</v>
      </c>
      <c r="H68" s="1469">
        <f t="shared" si="11"/>
        <v>6.6270242887514559E-8</v>
      </c>
      <c r="I68" s="1469">
        <f t="shared" si="11"/>
        <v>5.8650981410786578E-8</v>
      </c>
      <c r="J68" s="1469">
        <f t="shared" si="11"/>
        <v>5.1391218080139035E-8</v>
      </c>
      <c r="K68" s="1469">
        <f t="shared" si="11"/>
        <v>4.4480247395845417E-8</v>
      </c>
      <c r="L68" s="1469">
        <f t="shared" si="11"/>
        <v>4.2137571336353258E-8</v>
      </c>
      <c r="M68" s="1469">
        <f t="shared" si="11"/>
        <v>3.9936292355173364E-8</v>
      </c>
      <c r="N68" s="1469">
        <f t="shared" si="11"/>
        <v>3.7871896297976804E-8</v>
      </c>
      <c r="O68" s="1469">
        <f t="shared" si="11"/>
        <v>3.593999999999999E-8</v>
      </c>
      <c r="P68" s="419"/>
      <c r="Q68" s="242"/>
      <c r="R68" s="1552"/>
      <c r="S68" s="242"/>
      <c r="T68" s="242"/>
    </row>
    <row r="69" spans="2:20">
      <c r="B69" s="155"/>
      <c r="C69" s="202" t="s">
        <v>425</v>
      </c>
      <c r="D69" s="105"/>
      <c r="E69" s="415"/>
      <c r="F69" s="1469">
        <f t="shared" ref="F69:O69" si="12">F57*F$135+F58*F$136+F59*F$137</f>
        <v>7.4260000000000005E-8</v>
      </c>
      <c r="G69" s="1469">
        <f t="shared" si="12"/>
        <v>7.4260000000000005E-8</v>
      </c>
      <c r="H69" s="1469">
        <f t="shared" si="12"/>
        <v>6.4440005734822408E-8</v>
      </c>
      <c r="I69" s="1469">
        <f t="shared" si="12"/>
        <v>5.5126939524342417E-8</v>
      </c>
      <c r="J69" s="1469">
        <f t="shared" si="12"/>
        <v>4.6305266939783633E-8</v>
      </c>
      <c r="K69" s="1469">
        <f t="shared" si="12"/>
        <v>3.7959879791216085E-8</v>
      </c>
      <c r="L69" s="1469">
        <f t="shared" si="12"/>
        <v>3.4852532231778771E-8</v>
      </c>
      <c r="M69" s="1469">
        <f t="shared" si="12"/>
        <v>3.1985393075886986E-8</v>
      </c>
      <c r="N69" s="1469">
        <f t="shared" si="12"/>
        <v>2.9350467618107048E-8</v>
      </c>
      <c r="O69" s="1469">
        <f t="shared" si="12"/>
        <v>2.6940000000000002E-8</v>
      </c>
      <c r="P69" s="419"/>
      <c r="Q69" s="242"/>
      <c r="R69" s="1552"/>
      <c r="S69" s="242"/>
      <c r="T69" s="242"/>
    </row>
    <row r="70" spans="2:20">
      <c r="B70" s="155"/>
      <c r="C70" s="1553" t="s">
        <v>406</v>
      </c>
      <c r="D70" s="1554"/>
      <c r="E70" s="1384"/>
      <c r="F70" s="1555">
        <f>(INDEX(F66:F69,ROUNDDOWN($E$8,0))*(1-MOD($E$8,1)))+(INDEX(F66:F69,ROUNDUP($E$8,0))*MOD($E$8,1))</f>
        <v>7.4260000000000005E-8</v>
      </c>
      <c r="G70" s="1555">
        <f t="shared" ref="G70:O70" si="13">(INDEX(G66:G69,ROUNDDOWN($E$8,0))*(1-MOD($E$8,1)))+(INDEX(G66:G69,ROUNDUP($E$8,0))*MOD($E$8,1))</f>
        <v>7.4260000000000005E-8</v>
      </c>
      <c r="H70" s="1555">
        <f t="shared" si="13"/>
        <v>7.2663721526055836E-8</v>
      </c>
      <c r="I70" s="1555">
        <f t="shared" si="13"/>
        <v>7.1101873321239984E-8</v>
      </c>
      <c r="J70" s="1555">
        <f t="shared" si="13"/>
        <v>6.9573712731454652E-8</v>
      </c>
      <c r="K70" s="1555">
        <f t="shared" si="13"/>
        <v>6.8078513122070422E-8</v>
      </c>
      <c r="L70" s="1555">
        <f t="shared" si="13"/>
        <v>6.6615563532364901E-8</v>
      </c>
      <c r="M70" s="1555">
        <f t="shared" si="13"/>
        <v>6.5184168337414367E-8</v>
      </c>
      <c r="N70" s="1555">
        <f t="shared" si="13"/>
        <v>6.3783646917280603E-8</v>
      </c>
      <c r="O70" s="1555">
        <f t="shared" si="13"/>
        <v>6.2413333333333347E-8</v>
      </c>
      <c r="P70" s="419"/>
      <c r="Q70" s="242"/>
      <c r="R70" s="1552"/>
      <c r="S70" s="242"/>
      <c r="T70" s="242"/>
    </row>
    <row r="71" spans="2:20">
      <c r="B71" s="155"/>
      <c r="C71" s="202"/>
      <c r="D71" s="105"/>
      <c r="E71" s="415"/>
      <c r="F71" s="1551"/>
      <c r="G71" s="1551"/>
      <c r="H71" s="1551"/>
      <c r="I71" s="1551"/>
      <c r="J71" s="1551"/>
      <c r="K71" s="1551"/>
      <c r="L71" s="1551"/>
      <c r="M71" s="1551"/>
      <c r="N71" s="1551"/>
      <c r="O71" s="1551"/>
      <c r="P71" s="419"/>
      <c r="Q71" s="242"/>
      <c r="R71" s="1552"/>
      <c r="S71" s="242"/>
      <c r="T71" s="242"/>
    </row>
    <row r="72" spans="2:20">
      <c r="B72" s="155"/>
      <c r="C72" s="1560" t="s">
        <v>1335</v>
      </c>
      <c r="D72" s="105"/>
      <c r="E72" s="415"/>
      <c r="F72" s="1525"/>
      <c r="G72" s="1525"/>
      <c r="H72" s="1525"/>
      <c r="I72" s="1525"/>
      <c r="J72" s="1525"/>
      <c r="K72" s="1525"/>
      <c r="L72" s="1525"/>
      <c r="M72" s="1525"/>
      <c r="N72" s="1525"/>
      <c r="O72" s="1525"/>
      <c r="P72" s="419"/>
      <c r="Q72" s="242"/>
      <c r="R72" s="1552"/>
      <c r="S72" s="242"/>
      <c r="T72" s="242"/>
    </row>
    <row r="73" spans="2:20">
      <c r="B73" s="155"/>
      <c r="C73" s="202" t="s">
        <v>1523</v>
      </c>
      <c r="D73" s="105"/>
      <c r="E73" s="415"/>
      <c r="F73" s="1525"/>
      <c r="G73" s="1525"/>
      <c r="H73" s="1525"/>
      <c r="I73" s="1525"/>
      <c r="J73" s="1525"/>
      <c r="K73" s="1525"/>
      <c r="L73" s="1525"/>
      <c r="M73" s="1525"/>
      <c r="N73" s="1525"/>
      <c r="O73" s="1525"/>
      <c r="P73" s="419"/>
      <c r="Q73" s="242"/>
      <c r="R73" s="1552"/>
      <c r="S73" s="242"/>
      <c r="T73" s="242"/>
    </row>
    <row r="74" spans="2:20">
      <c r="B74" s="155"/>
      <c r="C74" s="202" t="s">
        <v>1328</v>
      </c>
      <c r="D74" s="105"/>
      <c r="E74" s="415"/>
      <c r="F74" s="1469">
        <f t="shared" ref="F74:O74" si="14">F48*F$138+F49*F$139+F50*F$140</f>
        <v>7.9349999999999993E-8</v>
      </c>
      <c r="G74" s="1469">
        <f t="shared" si="14"/>
        <v>7.9349999999999993E-8</v>
      </c>
      <c r="H74" s="1469">
        <f t="shared" si="14"/>
        <v>7.7973018718384583E-8</v>
      </c>
      <c r="I74" s="1469">
        <f t="shared" si="14"/>
        <v>7.6620041475583718E-8</v>
      </c>
      <c r="J74" s="1469">
        <f t="shared" si="14"/>
        <v>7.5290649824113023E-8</v>
      </c>
      <c r="K74" s="1469">
        <f t="shared" si="14"/>
        <v>7.3984432611028936E-8</v>
      </c>
      <c r="L74" s="1469">
        <f t="shared" si="14"/>
        <v>7.2700985850767008E-8</v>
      </c>
      <c r="M74" s="1469">
        <f t="shared" si="14"/>
        <v>7.143991260019788E-8</v>
      </c>
      <c r="N74" s="1469">
        <f t="shared" si="14"/>
        <v>7.0200822835859984E-8</v>
      </c>
      <c r="O74" s="1469">
        <f t="shared" si="14"/>
        <v>6.8983333333333332E-8</v>
      </c>
      <c r="P74" s="419"/>
      <c r="Q74" s="242"/>
      <c r="R74" s="1552"/>
      <c r="S74" s="242"/>
      <c r="T74" s="242"/>
    </row>
    <row r="75" spans="2:20">
      <c r="B75" s="155"/>
      <c r="C75" s="202" t="s">
        <v>423</v>
      </c>
      <c r="D75" s="105"/>
      <c r="E75" s="415"/>
      <c r="F75" s="1469">
        <f t="shared" ref="F75:O75" si="15">F51*F$138+F52*F$139+F53*F$140</f>
        <v>7.9349999999999993E-8</v>
      </c>
      <c r="G75" s="1469">
        <f t="shared" si="15"/>
        <v>7.9349999999999993E-8</v>
      </c>
      <c r="H75" s="1469">
        <f t="shared" si="15"/>
        <v>7.5519231848996416E-8</v>
      </c>
      <c r="I75" s="1469">
        <f t="shared" si="15"/>
        <v>7.1827819581745846E-8</v>
      </c>
      <c r="J75" s="1469">
        <f t="shared" si="15"/>
        <v>6.8272288078318615E-8</v>
      </c>
      <c r="K75" s="1469">
        <f t="shared" si="15"/>
        <v>6.4849241489069599E-8</v>
      </c>
      <c r="L75" s="1469">
        <f t="shared" si="15"/>
        <v>6.2373314802455628E-8</v>
      </c>
      <c r="M75" s="1469">
        <f t="shared" si="15"/>
        <v>5.9996982033219327E-8</v>
      </c>
      <c r="N75" s="1469">
        <f t="shared" si="15"/>
        <v>5.7717788082957712E-8</v>
      </c>
      <c r="O75" s="1469">
        <f t="shared" si="15"/>
        <v>5.5533333333333328E-8</v>
      </c>
      <c r="P75" s="419"/>
      <c r="Q75" s="242"/>
      <c r="R75" s="1552"/>
      <c r="S75" s="242"/>
      <c r="T75" s="242"/>
    </row>
    <row r="76" spans="2:20">
      <c r="B76" s="155"/>
      <c r="C76" s="202" t="s">
        <v>424</v>
      </c>
      <c r="D76" s="105"/>
      <c r="E76" s="415"/>
      <c r="F76" s="1469">
        <f t="shared" ref="F76:O76" si="16">F54*F$138+F55*F$139+F56*F$140</f>
        <v>7.9349999999999993E-8</v>
      </c>
      <c r="G76" s="1469">
        <f t="shared" si="16"/>
        <v>7.9349999999999993E-8</v>
      </c>
      <c r="H76" s="1469">
        <f t="shared" si="16"/>
        <v>7.2357816706421838E-8</v>
      </c>
      <c r="I76" s="1469">
        <f t="shared" si="16"/>
        <v>6.5679051497442904E-8</v>
      </c>
      <c r="J76" s="1469">
        <f t="shared" si="16"/>
        <v>5.9305649731505143E-8</v>
      </c>
      <c r="K76" s="1469">
        <f t="shared" si="16"/>
        <v>5.3229743125066018E-8</v>
      </c>
      <c r="L76" s="1469">
        <f t="shared" si="16"/>
        <v>5.11593297405775E-8</v>
      </c>
      <c r="M76" s="1469">
        <f t="shared" si="16"/>
        <v>4.9210423809325927E-8</v>
      </c>
      <c r="N76" s="1469">
        <f t="shared" si="16"/>
        <v>4.737997443333836E-8</v>
      </c>
      <c r="O76" s="1469">
        <f t="shared" si="16"/>
        <v>4.5664999999999979E-8</v>
      </c>
      <c r="P76" s="419"/>
      <c r="Q76" s="242"/>
      <c r="R76" s="1552"/>
      <c r="S76" s="242"/>
      <c r="T76" s="242"/>
    </row>
    <row r="77" spans="2:20">
      <c r="B77" s="155"/>
      <c r="C77" s="202" t="s">
        <v>425</v>
      </c>
      <c r="D77" s="105"/>
      <c r="E77" s="415"/>
      <c r="F77" s="1469">
        <f t="shared" ref="F77:O77" si="17">F57*F$138+F58*F$139+F59*F$140</f>
        <v>7.9349999999999993E-8</v>
      </c>
      <c r="G77" s="1469">
        <f t="shared" si="17"/>
        <v>7.9349999999999993E-8</v>
      </c>
      <c r="H77" s="1469">
        <f t="shared" si="17"/>
        <v>7.074312664669165E-8</v>
      </c>
      <c r="I77" s="1469">
        <f t="shared" si="17"/>
        <v>6.2568197796992287E-8</v>
      </c>
      <c r="J77" s="1469">
        <f t="shared" si="17"/>
        <v>5.4814073119284252E-8</v>
      </c>
      <c r="K77" s="1469">
        <f t="shared" si="17"/>
        <v>4.7469870048299082E-8</v>
      </c>
      <c r="L77" s="1469">
        <f t="shared" si="17"/>
        <v>4.4720177444666429E-8</v>
      </c>
      <c r="M77" s="1469">
        <f t="shared" si="17"/>
        <v>4.2181378905583617E-8</v>
      </c>
      <c r="N77" s="1469">
        <f t="shared" si="17"/>
        <v>3.9848077519971472E-8</v>
      </c>
      <c r="O77" s="1469">
        <f t="shared" si="17"/>
        <v>3.7714999999999997E-8</v>
      </c>
      <c r="P77" s="419"/>
      <c r="Q77" s="242"/>
      <c r="R77" s="1552"/>
      <c r="S77" s="242"/>
      <c r="T77" s="242"/>
    </row>
    <row r="78" spans="2:20">
      <c r="B78" s="155"/>
      <c r="C78" s="1553" t="s">
        <v>406</v>
      </c>
      <c r="D78" s="1554"/>
      <c r="E78" s="1384"/>
      <c r="F78" s="1555">
        <f>(INDEX(F74:F77,ROUNDDOWN($E$8,0))*(1-MOD($E$8,1)))+(INDEX(F74:F77,ROUNDUP($E$8,0))*MOD($E$8,1))</f>
        <v>7.9349999999999993E-8</v>
      </c>
      <c r="G78" s="1555">
        <f t="shared" ref="G78:O78" si="18">(INDEX(G74:G77,ROUNDDOWN($E$8,0))*(1-MOD($E$8,1)))+(INDEX(G74:G77,ROUNDUP($E$8,0))*MOD($E$8,1))</f>
        <v>7.9349999999999993E-8</v>
      </c>
      <c r="H78" s="1555">
        <f t="shared" si="18"/>
        <v>7.7973018718384583E-8</v>
      </c>
      <c r="I78" s="1555">
        <f t="shared" si="18"/>
        <v>7.6620041475583718E-8</v>
      </c>
      <c r="J78" s="1555">
        <f t="shared" si="18"/>
        <v>7.5290649824113023E-8</v>
      </c>
      <c r="K78" s="1555">
        <f t="shared" si="18"/>
        <v>7.3984432611028936E-8</v>
      </c>
      <c r="L78" s="1555">
        <f t="shared" si="18"/>
        <v>7.2700985850767008E-8</v>
      </c>
      <c r="M78" s="1555">
        <f t="shared" si="18"/>
        <v>7.143991260019788E-8</v>
      </c>
      <c r="N78" s="1555">
        <f t="shared" si="18"/>
        <v>7.0200822835859984E-8</v>
      </c>
      <c r="O78" s="1555">
        <f t="shared" si="18"/>
        <v>6.8983333333333332E-8</v>
      </c>
      <c r="P78" s="419"/>
      <c r="Q78" s="242"/>
      <c r="R78" s="1552"/>
      <c r="S78" s="242"/>
      <c r="T78" s="242"/>
    </row>
    <row r="79" spans="2:20">
      <c r="B79" s="155"/>
      <c r="C79" s="202"/>
      <c r="D79" s="105"/>
      <c r="E79" s="415"/>
      <c r="F79" s="1551"/>
      <c r="G79" s="1551"/>
      <c r="H79" s="1551"/>
      <c r="I79" s="1551"/>
      <c r="J79" s="1551"/>
      <c r="K79" s="1551"/>
      <c r="L79" s="1551"/>
      <c r="M79" s="1551"/>
      <c r="N79" s="1551"/>
      <c r="O79" s="1551"/>
      <c r="P79" s="419"/>
      <c r="Q79" s="242"/>
      <c r="R79" s="1552"/>
      <c r="S79" s="242"/>
      <c r="T79" s="242"/>
    </row>
    <row r="80" spans="2:20">
      <c r="B80" s="155"/>
      <c r="C80" s="202" t="s">
        <v>1336</v>
      </c>
      <c r="D80" s="105"/>
      <c r="E80" s="415"/>
      <c r="F80" s="1525"/>
      <c r="G80" s="1525"/>
      <c r="H80" s="1525"/>
      <c r="I80" s="1525"/>
      <c r="J80" s="1525"/>
      <c r="K80" s="1525"/>
      <c r="L80" s="1525"/>
      <c r="M80" s="1525"/>
      <c r="N80" s="1525"/>
      <c r="O80" s="1525"/>
      <c r="P80" s="419"/>
      <c r="Q80" s="242"/>
      <c r="R80" s="1552"/>
      <c r="S80" s="242"/>
      <c r="T80" s="242"/>
    </row>
    <row r="81" spans="1:20">
      <c r="B81" s="155"/>
      <c r="C81" s="202" t="s">
        <v>1523</v>
      </c>
      <c r="D81" s="105"/>
      <c r="E81" s="415"/>
      <c r="F81" s="1525"/>
      <c r="G81" s="1525"/>
      <c r="H81" s="1525"/>
      <c r="I81" s="1525"/>
      <c r="J81" s="1525"/>
      <c r="K81" s="1525"/>
      <c r="L81" s="1525"/>
      <c r="M81" s="1525"/>
      <c r="N81" s="1525"/>
      <c r="O81" s="1525"/>
      <c r="P81" s="419"/>
      <c r="Q81" s="242"/>
      <c r="R81" s="1552"/>
      <c r="S81" s="242"/>
      <c r="T81" s="242"/>
    </row>
    <row r="82" spans="1:20">
      <c r="B82" s="155"/>
      <c r="C82" s="202" t="s">
        <v>1328</v>
      </c>
      <c r="D82" s="105"/>
      <c r="E82" s="415"/>
      <c r="F82" s="1469">
        <f t="shared" ref="F82:O82" si="19">F48*F$141+F49*F$142+F50*F$143</f>
        <v>4.09492E-7</v>
      </c>
      <c r="G82" s="1469">
        <f t="shared" si="19"/>
        <v>4.09492E-7</v>
      </c>
      <c r="H82" s="1469">
        <f t="shared" si="19"/>
        <v>3.9533143709672937E-7</v>
      </c>
      <c r="I82" s="1469">
        <f t="shared" si="19"/>
        <v>3.8166273311589291E-7</v>
      </c>
      <c r="J82" s="1469">
        <f t="shared" si="19"/>
        <v>3.6846879253960385E-7</v>
      </c>
      <c r="K82" s="1469">
        <f t="shared" si="19"/>
        <v>3.5573311422987912E-7</v>
      </c>
      <c r="L82" s="1469">
        <f t="shared" si="19"/>
        <v>3.4343977075981775E-7</v>
      </c>
      <c r="M82" s="1469">
        <f t="shared" si="19"/>
        <v>3.315733884635732E-7</v>
      </c>
      <c r="N82" s="1469">
        <f t="shared" si="19"/>
        <v>3.2011912818011801E-7</v>
      </c>
      <c r="O82" s="1469">
        <f t="shared" si="19"/>
        <v>3.0906266666666673E-7</v>
      </c>
      <c r="P82" s="419"/>
      <c r="Q82" s="242"/>
      <c r="R82" s="1552"/>
      <c r="S82" s="242"/>
      <c r="T82" s="242"/>
    </row>
    <row r="83" spans="1:20">
      <c r="B83" s="155"/>
      <c r="C83" s="202" t="s">
        <v>423</v>
      </c>
      <c r="D83" s="105"/>
      <c r="E83" s="415"/>
      <c r="F83" s="1469">
        <f t="shared" ref="F83:O83" si="20">F51*F$141+F52*F$142+F53*F$143</f>
        <v>4.09492E-7</v>
      </c>
      <c r="G83" s="1469">
        <f t="shared" si="20"/>
        <v>4.09492E-7</v>
      </c>
      <c r="H83" s="1469">
        <f t="shared" si="20"/>
        <v>3.7517454621541045E-7</v>
      </c>
      <c r="I83" s="1469">
        <f t="shared" si="20"/>
        <v>3.4347502258279938E-7</v>
      </c>
      <c r="J83" s="1469">
        <f t="shared" si="20"/>
        <v>3.1425184592350734E-7</v>
      </c>
      <c r="K83" s="1469">
        <f t="shared" si="20"/>
        <v>2.8737011293478931E-7</v>
      </c>
      <c r="L83" s="1469">
        <f t="shared" si="20"/>
        <v>2.6950188924089129E-7</v>
      </c>
      <c r="M83" s="1469">
        <f t="shared" si="20"/>
        <v>2.5295342578738561E-7</v>
      </c>
      <c r="N83" s="1469">
        <f t="shared" si="20"/>
        <v>2.3765665864550568E-7</v>
      </c>
      <c r="O83" s="1469">
        <f t="shared" si="20"/>
        <v>2.235466666666668E-7</v>
      </c>
      <c r="P83" s="419"/>
      <c r="Q83" s="242"/>
      <c r="R83" s="1552"/>
      <c r="S83" s="242"/>
      <c r="T83" s="242"/>
    </row>
    <row r="84" spans="1:20">
      <c r="B84" s="155"/>
      <c r="C84" s="202" t="s">
        <v>424</v>
      </c>
      <c r="D84" s="105"/>
      <c r="E84" s="415"/>
      <c r="F84" s="1469">
        <f t="shared" ref="F84:O84" si="21">F54*F$141+F55*F$142+F56*F$143</f>
        <v>4.09492E-7</v>
      </c>
      <c r="G84" s="1469">
        <f t="shared" si="21"/>
        <v>4.09492E-7</v>
      </c>
      <c r="H84" s="1469">
        <f t="shared" si="21"/>
        <v>3.5189436375974695E-7</v>
      </c>
      <c r="I84" s="1469">
        <f t="shared" si="21"/>
        <v>2.993403115795474E-7</v>
      </c>
      <c r="J84" s="1469">
        <f t="shared" si="21"/>
        <v>2.515523559950092E-7</v>
      </c>
      <c r="K84" s="1469">
        <f t="shared" si="21"/>
        <v>2.0826620728127145E-7</v>
      </c>
      <c r="L84" s="1469">
        <f t="shared" si="21"/>
        <v>1.9736758884693764E-7</v>
      </c>
      <c r="M84" s="1469">
        <f t="shared" si="21"/>
        <v>1.8731150463583497E-7</v>
      </c>
      <c r="N84" s="1469">
        <f t="shared" si="21"/>
        <v>1.780613355005876E-7</v>
      </c>
      <c r="O84" s="1469">
        <f t="shared" si="21"/>
        <v>1.6958200000000012E-7</v>
      </c>
      <c r="P84" s="419"/>
      <c r="Q84" s="242"/>
      <c r="R84" s="1552"/>
      <c r="S84" s="242"/>
      <c r="T84" s="242"/>
    </row>
    <row r="85" spans="1:20">
      <c r="B85" s="155"/>
      <c r="C85" s="202" t="s">
        <v>425</v>
      </c>
      <c r="D85" s="105"/>
      <c r="E85" s="415"/>
      <c r="F85" s="1469">
        <f t="shared" ref="F85:P85" si="22">F57*F$141+F58*F$142+F59*F$143</f>
        <v>4.09492E-7</v>
      </c>
      <c r="G85" s="1469">
        <f t="shared" si="22"/>
        <v>4.09492E-7</v>
      </c>
      <c r="H85" s="1469">
        <f t="shared" si="22"/>
        <v>3.4313539446848906E-7</v>
      </c>
      <c r="I85" s="1469">
        <f t="shared" si="22"/>
        <v>2.8269623644874076E-7</v>
      </c>
      <c r="J85" s="1469">
        <f t="shared" si="22"/>
        <v>2.2785613028891994E-7</v>
      </c>
      <c r="K85" s="1469">
        <f t="shared" si="22"/>
        <v>1.7831166725426394E-7</v>
      </c>
      <c r="L85" s="1469">
        <f t="shared" si="22"/>
        <v>1.6577881155882508E-7</v>
      </c>
      <c r="M85" s="1469">
        <f t="shared" si="22"/>
        <v>1.5437171830918432E-7</v>
      </c>
      <c r="N85" s="1469">
        <f t="shared" si="22"/>
        <v>1.4404676223338506E-7</v>
      </c>
      <c r="O85" s="1469">
        <f t="shared" si="22"/>
        <v>1.3476200000000005E-7</v>
      </c>
      <c r="P85" s="1469">
        <f t="shared" si="22"/>
        <v>0</v>
      </c>
      <c r="Q85" s="1469"/>
      <c r="R85" s="1552"/>
      <c r="S85" s="242"/>
      <c r="T85" s="242"/>
    </row>
    <row r="86" spans="1:20">
      <c r="B86" s="155"/>
      <c r="C86" s="1553" t="s">
        <v>406</v>
      </c>
      <c r="D86" s="1554"/>
      <c r="E86" s="1384"/>
      <c r="F86" s="1555">
        <f>(INDEX(F82:F85,ROUNDDOWN($E$8,0))*(1-MOD($E$8,1)))+(INDEX(F82:F85,ROUNDUP($E$8,0))*MOD($E$8,1))</f>
        <v>4.09492E-7</v>
      </c>
      <c r="G86" s="1555">
        <f t="shared" ref="G86:O86" si="23">(INDEX(G82:G85,ROUNDDOWN($E$8,0))*(1-MOD($E$8,1)))+(INDEX(G82:G85,ROUNDUP($E$8,0))*MOD($E$8,1))</f>
        <v>4.09492E-7</v>
      </c>
      <c r="H86" s="1555">
        <f t="shared" si="23"/>
        <v>3.9533143709672937E-7</v>
      </c>
      <c r="I86" s="1555">
        <f t="shared" si="23"/>
        <v>3.8166273311589291E-7</v>
      </c>
      <c r="J86" s="1555">
        <f t="shared" si="23"/>
        <v>3.6846879253960385E-7</v>
      </c>
      <c r="K86" s="1555">
        <f t="shared" si="23"/>
        <v>3.5573311422987912E-7</v>
      </c>
      <c r="L86" s="1555">
        <f t="shared" si="23"/>
        <v>3.4343977075981775E-7</v>
      </c>
      <c r="M86" s="1555">
        <f t="shared" si="23"/>
        <v>3.315733884635732E-7</v>
      </c>
      <c r="N86" s="1555">
        <f t="shared" si="23"/>
        <v>3.2011912818011801E-7</v>
      </c>
      <c r="O86" s="1555">
        <f t="shared" si="23"/>
        <v>3.0906266666666673E-7</v>
      </c>
      <c r="P86" s="419"/>
      <c r="Q86" s="242"/>
      <c r="R86" s="1552"/>
      <c r="S86" s="242"/>
      <c r="T86" s="242"/>
    </row>
    <row r="87" spans="1:20">
      <c r="B87" s="155"/>
      <c r="C87" s="202"/>
      <c r="D87" s="105"/>
      <c r="E87" s="415"/>
      <c r="F87" s="1551"/>
      <c r="G87" s="1551"/>
      <c r="H87" s="1551"/>
      <c r="I87" s="1551"/>
      <c r="J87" s="1551"/>
      <c r="K87" s="1551"/>
      <c r="L87" s="1551"/>
      <c r="M87" s="1551"/>
      <c r="N87" s="1551"/>
      <c r="O87" s="1551"/>
      <c r="P87" s="419"/>
      <c r="Q87" s="242"/>
      <c r="R87" s="1552"/>
      <c r="S87" s="242"/>
      <c r="T87" s="242"/>
    </row>
    <row r="88" spans="1:20">
      <c r="B88" s="155"/>
      <c r="C88" s="202" t="s">
        <v>1337</v>
      </c>
      <c r="D88" s="105"/>
      <c r="E88" s="415"/>
      <c r="F88" s="1525"/>
      <c r="G88" s="1525"/>
      <c r="H88" s="1525"/>
      <c r="I88" s="1525"/>
      <c r="J88" s="1525"/>
      <c r="K88" s="1525"/>
      <c r="L88" s="1525"/>
      <c r="M88" s="1525"/>
      <c r="N88" s="1525"/>
      <c r="O88" s="1525"/>
      <c r="P88" s="419"/>
      <c r="Q88" s="242"/>
      <c r="R88" s="1552"/>
      <c r="S88" s="242"/>
      <c r="T88" s="242"/>
    </row>
    <row r="89" spans="1:20">
      <c r="B89" s="155"/>
      <c r="C89" s="202" t="s">
        <v>1523</v>
      </c>
      <c r="D89" s="105"/>
      <c r="E89" s="415"/>
      <c r="F89" s="1525"/>
      <c r="G89" s="1525"/>
      <c r="H89" s="1525"/>
      <c r="I89" s="1525"/>
      <c r="J89" s="1525"/>
      <c r="K89" s="1525"/>
      <c r="L89" s="1525"/>
      <c r="M89" s="1525"/>
      <c r="N89" s="1525"/>
      <c r="O89" s="1525"/>
      <c r="P89" s="419"/>
      <c r="Q89" s="242"/>
      <c r="R89" s="1552"/>
      <c r="S89" s="242"/>
      <c r="T89" s="242"/>
    </row>
    <row r="90" spans="1:20">
      <c r="B90" s="155"/>
      <c r="C90" s="202" t="s">
        <v>1328</v>
      </c>
      <c r="D90" s="105"/>
      <c r="E90" s="415"/>
      <c r="F90" s="1469">
        <f t="shared" ref="F90:O90" si="24">F48*F$144+F49*F$145+F50*F$146</f>
        <v>1.8111100000000002E-6</v>
      </c>
      <c r="G90" s="1469">
        <f t="shared" si="24"/>
        <v>1.8111100000000002E-6</v>
      </c>
      <c r="H90" s="1469">
        <f t="shared" si="24"/>
        <v>1.7905076258997483E-6</v>
      </c>
      <c r="I90" s="1469">
        <f t="shared" si="24"/>
        <v>1.770142465040373E-6</v>
      </c>
      <c r="J90" s="1469">
        <f t="shared" si="24"/>
        <v>1.7500117444141153E-6</v>
      </c>
      <c r="K90" s="1469">
        <f t="shared" si="24"/>
        <v>1.7301127243548479E-6</v>
      </c>
      <c r="L90" s="1469">
        <f t="shared" si="24"/>
        <v>1.7104426981169243E-6</v>
      </c>
      <c r="M90" s="1469">
        <f t="shared" si="24"/>
        <v>1.6909989914598826E-6</v>
      </c>
      <c r="N90" s="1469">
        <f t="shared" si="24"/>
        <v>1.6717789622387538E-6</v>
      </c>
      <c r="O90" s="1469">
        <f t="shared" si="24"/>
        <v>1.65278E-6</v>
      </c>
      <c r="P90" s="419"/>
      <c r="Q90" s="242"/>
      <c r="R90" s="1552"/>
      <c r="S90" s="242"/>
      <c r="T90" s="242"/>
    </row>
    <row r="91" spans="1:20">
      <c r="B91" s="155"/>
      <c r="C91" s="202" t="s">
        <v>423</v>
      </c>
      <c r="D91" s="105"/>
      <c r="E91" s="415"/>
      <c r="F91" s="1469">
        <f t="shared" ref="F91:O91" si="25">F51*F$144+F52*F$145+F53*F$146</f>
        <v>1.8111100000000002E-6</v>
      </c>
      <c r="G91" s="1469">
        <f t="shared" si="25"/>
        <v>1.8111100000000002E-6</v>
      </c>
      <c r="H91" s="1469">
        <f t="shared" si="25"/>
        <v>1.7428593329039558E-6</v>
      </c>
      <c r="I91" s="1469">
        <f t="shared" si="25"/>
        <v>1.6739205670187223E-6</v>
      </c>
      <c r="J91" s="1469">
        <f t="shared" si="25"/>
        <v>1.6043873550595348E-6</v>
      </c>
      <c r="K91" s="1469">
        <f t="shared" si="25"/>
        <v>1.5343495036942633E-6</v>
      </c>
      <c r="L91" s="1469">
        <f t="shared" si="25"/>
        <v>1.4794766085419067E-6</v>
      </c>
      <c r="M91" s="1469">
        <f t="shared" si="25"/>
        <v>1.4253864054496998E-6</v>
      </c>
      <c r="N91" s="1469">
        <f t="shared" si="25"/>
        <v>1.3720906031570929E-6</v>
      </c>
      <c r="O91" s="1469">
        <f t="shared" si="25"/>
        <v>1.3196E-6</v>
      </c>
      <c r="P91" s="419"/>
      <c r="Q91" s="242"/>
      <c r="R91" s="1552"/>
      <c r="S91" s="242"/>
      <c r="T91" s="242"/>
    </row>
    <row r="92" spans="1:20">
      <c r="B92" s="155"/>
      <c r="C92" s="202" t="s">
        <v>424</v>
      </c>
      <c r="D92" s="105"/>
      <c r="E92" s="415"/>
      <c r="F92" s="1469">
        <f t="shared" ref="F92:O92" si="26">F54*F$144+F55*F$145+F56*F$146</f>
        <v>1.8111100000000002E-6</v>
      </c>
      <c r="G92" s="1469">
        <f t="shared" si="26"/>
        <v>1.8111100000000002E-6</v>
      </c>
      <c r="H92" s="1469">
        <f t="shared" si="26"/>
        <v>1.6737803924242468E-6</v>
      </c>
      <c r="I92" s="1469">
        <f t="shared" si="26"/>
        <v>1.53653435554255E-6</v>
      </c>
      <c r="J92" s="1469">
        <f t="shared" si="26"/>
        <v>1.3995080835201609E-6</v>
      </c>
      <c r="K92" s="1469">
        <f t="shared" si="26"/>
        <v>1.2628316109640168E-6</v>
      </c>
      <c r="L92" s="1469">
        <f t="shared" si="26"/>
        <v>1.2053209730979304E-6</v>
      </c>
      <c r="M92" s="1469">
        <f t="shared" si="26"/>
        <v>1.1507481721155079E-6</v>
      </c>
      <c r="N92" s="1469">
        <f t="shared" si="26"/>
        <v>1.0990336636037839E-6</v>
      </c>
      <c r="O92" s="1469">
        <f t="shared" si="26"/>
        <v>1.0500999999999999E-6</v>
      </c>
      <c r="P92" s="419"/>
      <c r="Q92" s="242"/>
      <c r="R92" s="1552"/>
      <c r="S92" s="242"/>
      <c r="T92" s="242"/>
    </row>
    <row r="93" spans="1:20">
      <c r="B93" s="155"/>
      <c r="C93" s="202" t="s">
        <v>425</v>
      </c>
      <c r="D93" s="105"/>
      <c r="E93" s="415"/>
      <c r="F93" s="1469">
        <f t="shared" ref="F93:O93" si="27">F57*F$144+F58*F$145+F59*F$146</f>
        <v>1.8111100000000002E-6</v>
      </c>
      <c r="G93" s="1469">
        <f t="shared" si="27"/>
        <v>1.8111100000000002E-6</v>
      </c>
      <c r="H93" s="1469">
        <f t="shared" si="27"/>
        <v>1.6295456066144244E-6</v>
      </c>
      <c r="I93" s="1469">
        <f t="shared" si="27"/>
        <v>1.4507452983524381E-6</v>
      </c>
      <c r="J93" s="1469">
        <f t="shared" si="27"/>
        <v>1.2747718877235815E-6</v>
      </c>
      <c r="K93" s="1469">
        <f t="shared" si="27"/>
        <v>1.1016839716317322E-6</v>
      </c>
      <c r="L93" s="1469">
        <f t="shared" si="27"/>
        <v>1.0197061170555279E-6</v>
      </c>
      <c r="M93" s="1469">
        <f t="shared" si="27"/>
        <v>9.4360197502142805E-7</v>
      </c>
      <c r="N93" s="1469">
        <f t="shared" si="27"/>
        <v>8.7319155615908955E-7</v>
      </c>
      <c r="O93" s="1469">
        <f t="shared" si="27"/>
        <v>8.0830000000000006E-7</v>
      </c>
      <c r="P93" s="419"/>
    </row>
    <row r="94" spans="1:20">
      <c r="C94" s="1553" t="s">
        <v>406</v>
      </c>
      <c r="D94" s="1554"/>
      <c r="E94" s="1384"/>
      <c r="F94" s="1555">
        <f>(INDEX(F90:F93,ROUNDDOWN($E$8,0))*(1-MOD($E$8,1)))+(INDEX(F90:F93,ROUNDUP($E$8,0))*MOD($E$8,1))</f>
        <v>1.8111100000000002E-6</v>
      </c>
      <c r="G94" s="1555">
        <f t="shared" ref="G94:O94" si="28">(INDEX(G90:G93,ROUNDDOWN($E$8,0))*(1-MOD($E$8,1)))+(INDEX(G90:G93,ROUNDUP($E$8,0))*MOD($E$8,1))</f>
        <v>1.8111100000000002E-6</v>
      </c>
      <c r="H94" s="1555">
        <f t="shared" si="28"/>
        <v>1.7905076258997483E-6</v>
      </c>
      <c r="I94" s="1555">
        <f t="shared" si="28"/>
        <v>1.770142465040373E-6</v>
      </c>
      <c r="J94" s="1555">
        <f t="shared" si="28"/>
        <v>1.7500117444141153E-6</v>
      </c>
      <c r="K94" s="1555">
        <f t="shared" si="28"/>
        <v>1.7301127243548479E-6</v>
      </c>
      <c r="L94" s="1555">
        <f t="shared" si="28"/>
        <v>1.7104426981169243E-6</v>
      </c>
      <c r="M94" s="1555">
        <f t="shared" si="28"/>
        <v>1.6909989914598826E-6</v>
      </c>
      <c r="N94" s="1555">
        <f t="shared" si="28"/>
        <v>1.6717789622387538E-6</v>
      </c>
      <c r="O94" s="1555">
        <f t="shared" si="28"/>
        <v>1.65278E-6</v>
      </c>
    </row>
    <row r="95" spans="1:20">
      <c r="C95" s="202"/>
      <c r="D95" s="105"/>
      <c r="E95" s="415"/>
      <c r="F95" s="1551"/>
      <c r="G95" s="1551"/>
      <c r="H95" s="1551"/>
      <c r="I95" s="1551"/>
      <c r="J95" s="1551"/>
      <c r="K95" s="1551"/>
      <c r="L95" s="1551"/>
      <c r="M95" s="1551"/>
      <c r="N95" s="1551"/>
      <c r="O95" s="1551"/>
    </row>
    <row r="96" spans="1:20" s="51" customFormat="1" ht="22.5" collapsed="1">
      <c r="A96" s="162"/>
      <c r="B96" s="421" t="s">
        <v>265</v>
      </c>
      <c r="C96" s="159"/>
      <c r="D96" s="159"/>
      <c r="E96" s="159"/>
      <c r="F96" s="159"/>
      <c r="G96" s="159"/>
      <c r="H96" s="159"/>
      <c r="I96" s="159"/>
      <c r="J96" s="159"/>
      <c r="K96" s="159"/>
      <c r="L96" s="159"/>
      <c r="M96" s="159"/>
      <c r="N96" s="159"/>
      <c r="O96" s="159"/>
      <c r="P96" s="160"/>
    </row>
    <row r="97" spans="2:16">
      <c r="B97" s="418"/>
      <c r="C97" s="415"/>
      <c r="D97" s="415"/>
      <c r="E97" s="415"/>
      <c r="F97" s="415"/>
      <c r="G97" s="415"/>
      <c r="H97" s="415"/>
      <c r="I97" s="415"/>
      <c r="J97" s="415"/>
      <c r="K97" s="415"/>
      <c r="L97" s="415"/>
      <c r="M97" s="415"/>
      <c r="N97" s="415"/>
      <c r="O97" s="415"/>
      <c r="P97" s="419"/>
    </row>
    <row r="98" spans="2:16">
      <c r="B98" s="418"/>
      <c r="C98" s="416" t="s">
        <v>1338</v>
      </c>
      <c r="D98" s="415"/>
      <c r="E98" s="415"/>
      <c r="F98" s="618"/>
      <c r="G98" s="415"/>
      <c r="H98" s="415"/>
      <c r="I98" s="415"/>
      <c r="J98" s="415"/>
      <c r="K98" s="415"/>
      <c r="L98" s="415"/>
      <c r="M98" s="415"/>
      <c r="N98" s="415"/>
      <c r="O98" s="415" t="s">
        <v>1339</v>
      </c>
      <c r="P98" s="419"/>
    </row>
    <row r="99" spans="2:16" ht="10.5" customHeight="1">
      <c r="B99" s="418"/>
      <c r="C99" s="415"/>
      <c r="D99" s="415"/>
      <c r="E99" s="415"/>
      <c r="F99" s="415"/>
      <c r="G99" s="415"/>
      <c r="H99" s="415"/>
      <c r="I99" s="415"/>
      <c r="J99" s="415"/>
      <c r="K99" s="415"/>
      <c r="L99" s="415"/>
      <c r="M99" s="415"/>
      <c r="N99" s="415"/>
      <c r="O99" s="415" t="s">
        <v>1340</v>
      </c>
      <c r="P99" s="419"/>
    </row>
    <row r="100" spans="2:16" s="423" customFormat="1" ht="15.75">
      <c r="B100" s="1565"/>
      <c r="C100" s="1566"/>
      <c r="D100" s="1566" t="s">
        <v>65</v>
      </c>
      <c r="E100" s="1566" t="s">
        <v>156</v>
      </c>
      <c r="F100" s="1434">
        <v>2007</v>
      </c>
      <c r="G100" s="1386">
        <v>2012</v>
      </c>
      <c r="H100" s="1386">
        <f>G100+5</f>
        <v>2017</v>
      </c>
      <c r="I100" s="1386">
        <f t="shared" ref="I100:O100" si="29">H100+5</f>
        <v>2022</v>
      </c>
      <c r="J100" s="1386">
        <f t="shared" si="29"/>
        <v>2027</v>
      </c>
      <c r="K100" s="1386">
        <f t="shared" si="29"/>
        <v>2032</v>
      </c>
      <c r="L100" s="1386">
        <f t="shared" si="29"/>
        <v>2037</v>
      </c>
      <c r="M100" s="1386">
        <f t="shared" si="29"/>
        <v>2042</v>
      </c>
      <c r="N100" s="1386">
        <f t="shared" si="29"/>
        <v>2047</v>
      </c>
      <c r="O100" s="1386">
        <f t="shared" si="29"/>
        <v>2052</v>
      </c>
      <c r="P100" s="570"/>
    </row>
    <row r="101" spans="2:16" ht="15.75">
      <c r="B101" s="152"/>
      <c r="C101" s="413"/>
      <c r="D101" s="414" t="s">
        <v>1341</v>
      </c>
      <c r="E101" s="218"/>
      <c r="F101" s="2944">
        <v>630.908182985915</v>
      </c>
      <c r="G101" s="1568">
        <v>802.3991638672685</v>
      </c>
      <c r="H101" s="1568">
        <v>986.14860168477742</v>
      </c>
      <c r="I101" s="1568">
        <v>1197.91331055617</v>
      </c>
      <c r="J101" s="1568">
        <v>1428.417329673319</v>
      </c>
      <c r="K101" s="1568">
        <v>1685.7176114110737</v>
      </c>
      <c r="L101" s="1568">
        <v>1917.7650031225166</v>
      </c>
      <c r="M101" s="1568">
        <v>2171.7592915058299</v>
      </c>
      <c r="N101" s="1568">
        <v>2432.4080886996662</v>
      </c>
      <c r="O101" s="1568">
        <v>2713.5817485318621</v>
      </c>
      <c r="P101" s="419"/>
    </row>
    <row r="102" spans="2:16" ht="15.75">
      <c r="B102" s="152"/>
      <c r="C102" s="413"/>
      <c r="D102" s="414" t="s">
        <v>1342</v>
      </c>
      <c r="E102" s="414"/>
      <c r="F102" s="1567">
        <v>233.34823416285701</v>
      </c>
      <c r="G102" s="1567">
        <v>305.13390371734073</v>
      </c>
      <c r="H102" s="1568">
        <v>408.1947983577391</v>
      </c>
      <c r="I102" s="1568">
        <v>532.96864689746303</v>
      </c>
      <c r="J102" s="1568">
        <v>676.40121679239792</v>
      </c>
      <c r="K102" s="1568">
        <v>842.85880570553672</v>
      </c>
      <c r="L102" s="1568">
        <v>958.88250156125798</v>
      </c>
      <c r="M102" s="1568">
        <v>1085.8796457529147</v>
      </c>
      <c r="N102" s="1568">
        <v>1216.2040443498329</v>
      </c>
      <c r="O102" s="1567">
        <v>1356.7908742659306</v>
      </c>
      <c r="P102" s="419"/>
    </row>
    <row r="103" spans="2:16" s="2900" customFormat="1">
      <c r="B103" s="205"/>
      <c r="C103" s="2896"/>
      <c r="D103" s="2897" t="s">
        <v>1335</v>
      </c>
      <c r="E103" s="205"/>
      <c r="F103" s="2898">
        <v>102.49310418328788</v>
      </c>
      <c r="G103" s="2898">
        <v>122.92513362919837</v>
      </c>
      <c r="H103" s="2898">
        <v>179.25712259651615</v>
      </c>
      <c r="I103" s="2898">
        <v>250.29257866950704</v>
      </c>
      <c r="J103" s="2898">
        <v>335.31150002918582</v>
      </c>
      <c r="K103" s="2898">
        <v>436.90653707730991</v>
      </c>
      <c r="L103" s="2898">
        <v>486.15583131485721</v>
      </c>
      <c r="M103" s="2898">
        <v>538.6132715014005</v>
      </c>
      <c r="N103" s="2898">
        <v>590.28217882115382</v>
      </c>
      <c r="O103" s="2898">
        <v>644.47566527631716</v>
      </c>
      <c r="P103" s="2899"/>
    </row>
    <row r="104" spans="2:16">
      <c r="B104" s="418"/>
      <c r="C104" s="416"/>
      <c r="D104" s="415" t="s">
        <v>1336</v>
      </c>
      <c r="E104" s="415"/>
      <c r="F104" s="1568">
        <v>36.334917820810531</v>
      </c>
      <c r="G104" s="1568">
        <v>47.413812198357327</v>
      </c>
      <c r="H104" s="1568">
        <v>88.480115139183496</v>
      </c>
      <c r="I104" s="1568">
        <v>139.64788170110694</v>
      </c>
      <c r="J104" s="1568">
        <v>200.69843667576416</v>
      </c>
      <c r="K104" s="1568">
        <v>273.18495749352996</v>
      </c>
      <c r="L104" s="1568">
        <v>307.84834611133027</v>
      </c>
      <c r="M104" s="1568">
        <v>344.995069855363</v>
      </c>
      <c r="N104" s="1568">
        <v>382.00261823806221</v>
      </c>
      <c r="O104" s="1569">
        <v>421.01768768701089</v>
      </c>
      <c r="P104" s="419"/>
    </row>
    <row r="105" spans="2:16" ht="13.5" customHeight="1">
      <c r="B105" s="418"/>
      <c r="C105" s="415"/>
      <c r="D105" s="415" t="s">
        <v>1343</v>
      </c>
      <c r="E105" s="415"/>
      <c r="F105" s="1568">
        <v>4.3583895267709911</v>
      </c>
      <c r="G105" s="1568">
        <v>11.60001268878907</v>
      </c>
      <c r="H105" s="1568">
        <v>42.670226489168734</v>
      </c>
      <c r="I105" s="1568">
        <v>85.388620981390176</v>
      </c>
      <c r="J105" s="1568">
        <v>141.02119070974067</v>
      </c>
      <c r="K105" s="1568">
        <v>212.07857262736704</v>
      </c>
      <c r="L105" s="1568">
        <v>270.99276109050697</v>
      </c>
      <c r="M105" s="1568">
        <v>339.06153104963511</v>
      </c>
      <c r="N105" s="1568">
        <v>414.14654711735108</v>
      </c>
      <c r="O105" s="1568">
        <v>498.86504277941583</v>
      </c>
      <c r="P105" s="419"/>
    </row>
    <row r="106" spans="2:16">
      <c r="B106" s="418"/>
      <c r="C106" s="1570"/>
      <c r="D106" s="1571"/>
      <c r="E106" s="1572"/>
      <c r="F106" s="1573"/>
      <c r="G106" s="1573"/>
      <c r="H106" s="1573"/>
      <c r="I106" s="1573"/>
      <c r="J106" s="1573"/>
      <c r="K106" s="1573"/>
      <c r="L106" s="1573"/>
      <c r="M106" s="1573"/>
      <c r="N106" s="1573"/>
      <c r="O106" s="1573"/>
      <c r="P106" s="419"/>
    </row>
    <row r="107" spans="2:16">
      <c r="B107" s="418"/>
      <c r="C107" s="416" t="s">
        <v>1524</v>
      </c>
      <c r="D107" s="415"/>
      <c r="E107" s="415"/>
      <c r="F107" s="618"/>
      <c r="G107" s="415"/>
      <c r="H107" s="415"/>
      <c r="I107" s="415"/>
      <c r="J107" s="415"/>
      <c r="K107" s="415"/>
      <c r="L107" s="415"/>
      <c r="M107" s="415"/>
      <c r="N107" s="415"/>
      <c r="O107" s="415" t="s">
        <v>1344</v>
      </c>
      <c r="P107" s="419"/>
    </row>
    <row r="108" spans="2:16" ht="10.5" customHeight="1">
      <c r="B108" s="418"/>
      <c r="C108" s="415"/>
      <c r="D108" s="415"/>
      <c r="E108" s="415"/>
      <c r="F108" s="415"/>
      <c r="G108" s="415"/>
      <c r="H108" s="415"/>
      <c r="I108" s="415"/>
      <c r="J108" s="415"/>
      <c r="K108" s="415"/>
      <c r="L108" s="415"/>
      <c r="M108" s="415"/>
      <c r="N108" s="415"/>
      <c r="O108" s="415" t="s">
        <v>1340</v>
      </c>
      <c r="P108" s="419"/>
    </row>
    <row r="109" spans="2:16" s="423" customFormat="1" ht="15.75">
      <c r="B109" s="1565"/>
      <c r="C109" s="1566"/>
      <c r="D109" s="1566" t="s">
        <v>65</v>
      </c>
      <c r="E109" s="1566" t="s">
        <v>156</v>
      </c>
      <c r="F109" s="1434">
        <v>2007</v>
      </c>
      <c r="G109" s="1386">
        <v>2012</v>
      </c>
      <c r="H109" s="1386">
        <f>G109+5</f>
        <v>2017</v>
      </c>
      <c r="I109" s="1386">
        <f t="shared" ref="I109:O109" si="30">H109+5</f>
        <v>2022</v>
      </c>
      <c r="J109" s="1386">
        <f t="shared" si="30"/>
        <v>2027</v>
      </c>
      <c r="K109" s="1386">
        <f t="shared" si="30"/>
        <v>2032</v>
      </c>
      <c r="L109" s="1386">
        <f t="shared" si="30"/>
        <v>2037</v>
      </c>
      <c r="M109" s="1386">
        <f t="shared" si="30"/>
        <v>2042</v>
      </c>
      <c r="N109" s="1386">
        <f t="shared" si="30"/>
        <v>2047</v>
      </c>
      <c r="O109" s="1386">
        <f t="shared" si="30"/>
        <v>2052</v>
      </c>
      <c r="P109" s="570"/>
    </row>
    <row r="110" spans="2:16">
      <c r="B110" s="418"/>
      <c r="C110" s="493"/>
      <c r="D110" s="453" t="s">
        <v>1345</v>
      </c>
      <c r="E110" s="496"/>
      <c r="F110" s="1574">
        <v>0.2</v>
      </c>
      <c r="G110" s="1574">
        <v>0.20500000000000002</v>
      </c>
      <c r="H110" s="1574">
        <v>0.21625</v>
      </c>
      <c r="I110" s="1574">
        <v>0.22749999999999998</v>
      </c>
      <c r="J110" s="1574">
        <v>0.23874999999999996</v>
      </c>
      <c r="K110" s="1574">
        <v>0.24999999999999994</v>
      </c>
      <c r="L110" s="1574">
        <v>0.26249999999999996</v>
      </c>
      <c r="M110" s="1574">
        <v>0.27499999999999997</v>
      </c>
      <c r="N110" s="1574">
        <v>0.28749999999999998</v>
      </c>
      <c r="O110" s="1574">
        <v>0.3</v>
      </c>
      <c r="P110" s="419"/>
    </row>
    <row r="111" spans="2:16">
      <c r="B111" s="418"/>
      <c r="C111" s="493"/>
      <c r="D111" s="453"/>
      <c r="E111" s="496"/>
      <c r="F111" s="302"/>
      <c r="G111" s="302"/>
      <c r="H111" s="302"/>
      <c r="I111" s="302"/>
      <c r="J111" s="302"/>
      <c r="K111" s="302"/>
      <c r="L111" s="302"/>
      <c r="M111" s="302"/>
      <c r="N111" s="302"/>
      <c r="O111" s="302"/>
      <c r="P111" s="419"/>
    </row>
    <row r="112" spans="2:16">
      <c r="B112" s="418"/>
      <c r="C112" s="416" t="s">
        <v>1346</v>
      </c>
      <c r="D112" s="415"/>
      <c r="E112" s="415"/>
      <c r="F112" s="415"/>
      <c r="G112" s="415"/>
      <c r="H112" s="415"/>
      <c r="I112" s="415"/>
      <c r="J112" s="415"/>
      <c r="K112" s="415"/>
      <c r="L112" s="415"/>
      <c r="M112" s="415"/>
      <c r="N112" s="415"/>
      <c r="O112" s="415"/>
      <c r="P112" s="419"/>
    </row>
    <row r="113" spans="2:34">
      <c r="B113" s="418"/>
      <c r="C113" s="416"/>
      <c r="D113" s="415"/>
      <c r="E113" s="415"/>
      <c r="F113" s="415"/>
      <c r="G113" s="415"/>
      <c r="H113" s="415"/>
      <c r="I113" s="415"/>
      <c r="J113" s="415"/>
      <c r="K113" s="415"/>
      <c r="L113" s="415"/>
      <c r="M113" s="415"/>
      <c r="N113" s="415"/>
      <c r="O113" s="104" t="s">
        <v>2197</v>
      </c>
      <c r="P113" s="419"/>
    </row>
    <row r="114" spans="2:34" ht="5.25" customHeight="1">
      <c r="B114" s="418"/>
      <c r="C114" s="415"/>
      <c r="D114" s="415"/>
      <c r="E114" s="415"/>
      <c r="F114" s="415"/>
      <c r="G114" s="415"/>
      <c r="H114" s="415"/>
      <c r="I114" s="415"/>
      <c r="J114" s="415"/>
      <c r="K114" s="415"/>
      <c r="L114" s="415"/>
      <c r="M114" s="415"/>
      <c r="N114" s="415"/>
      <c r="O114" s="415"/>
      <c r="P114" s="419"/>
    </row>
    <row r="115" spans="2:34" s="423" customFormat="1" ht="15.75">
      <c r="B115" s="1565"/>
      <c r="C115" s="1566"/>
      <c r="D115" s="1566" t="s">
        <v>65</v>
      </c>
      <c r="E115" s="1566" t="s">
        <v>156</v>
      </c>
      <c r="F115" s="1434">
        <v>2007</v>
      </c>
      <c r="G115" s="1386">
        <v>2012</v>
      </c>
      <c r="H115" s="1386">
        <f>G115+5</f>
        <v>2017</v>
      </c>
      <c r="I115" s="1386">
        <f t="shared" ref="I115:O115" si="31">H115+5</f>
        <v>2022</v>
      </c>
      <c r="J115" s="1386">
        <f t="shared" si="31"/>
        <v>2027</v>
      </c>
      <c r="K115" s="1386">
        <f t="shared" si="31"/>
        <v>2032</v>
      </c>
      <c r="L115" s="1386">
        <f t="shared" si="31"/>
        <v>2037</v>
      </c>
      <c r="M115" s="1386">
        <f t="shared" si="31"/>
        <v>2042</v>
      </c>
      <c r="N115" s="1386">
        <f t="shared" si="31"/>
        <v>2047</v>
      </c>
      <c r="O115" s="1386">
        <f t="shared" si="31"/>
        <v>2052</v>
      </c>
      <c r="P115" s="570"/>
    </row>
    <row r="116" spans="2:34">
      <c r="B116" s="418"/>
      <c r="C116" s="493"/>
      <c r="D116" s="414" t="s">
        <v>1341</v>
      </c>
      <c r="E116" s="496"/>
      <c r="F116" s="1575">
        <v>1350</v>
      </c>
      <c r="G116" s="1575">
        <v>1380</v>
      </c>
      <c r="H116" s="1575">
        <v>1435</v>
      </c>
      <c r="I116" s="1575">
        <v>1490</v>
      </c>
      <c r="J116" s="1575">
        <v>1545</v>
      </c>
      <c r="K116" s="1575">
        <v>1600</v>
      </c>
      <c r="L116" s="1575">
        <v>1625</v>
      </c>
      <c r="M116" s="1575">
        <v>1650</v>
      </c>
      <c r="N116" s="1575">
        <v>1675</v>
      </c>
      <c r="O116" s="1575">
        <v>1700</v>
      </c>
      <c r="P116" s="419"/>
    </row>
    <row r="117" spans="2:34">
      <c r="B117" s="418"/>
      <c r="C117" s="415"/>
      <c r="D117" s="414" t="s">
        <v>1342</v>
      </c>
      <c r="E117" s="415"/>
      <c r="F117" s="1568">
        <v>1200</v>
      </c>
      <c r="G117" s="1568">
        <v>1260</v>
      </c>
      <c r="H117" s="1568">
        <v>1320</v>
      </c>
      <c r="I117" s="1568">
        <v>1380</v>
      </c>
      <c r="J117" s="1568">
        <v>1440</v>
      </c>
      <c r="K117" s="1568">
        <v>1500</v>
      </c>
      <c r="L117" s="1568">
        <v>1530</v>
      </c>
      <c r="M117" s="1568">
        <v>1560</v>
      </c>
      <c r="N117" s="1568">
        <v>1590</v>
      </c>
      <c r="O117" s="1568">
        <v>1620</v>
      </c>
      <c r="P117" s="419"/>
    </row>
    <row r="118" spans="2:34">
      <c r="B118" s="631"/>
      <c r="C118" s="416"/>
      <c r="D118" s="105" t="s">
        <v>1335</v>
      </c>
      <c r="E118" s="415"/>
      <c r="F118" s="1568">
        <v>2190</v>
      </c>
      <c r="G118" s="1568">
        <v>2190</v>
      </c>
      <c r="H118" s="1568">
        <v>2190</v>
      </c>
      <c r="I118" s="1568">
        <v>2190</v>
      </c>
      <c r="J118" s="1568">
        <v>2190</v>
      </c>
      <c r="K118" s="1568">
        <v>2190</v>
      </c>
      <c r="L118" s="1568">
        <v>2190</v>
      </c>
      <c r="M118" s="1568">
        <v>2190</v>
      </c>
      <c r="N118" s="1568">
        <v>2190</v>
      </c>
      <c r="O118" s="1569">
        <v>2190</v>
      </c>
      <c r="P118" s="419"/>
    </row>
    <row r="119" spans="2:34" ht="12.75" customHeight="1">
      <c r="B119" s="418"/>
      <c r="C119" s="415"/>
      <c r="D119" s="415" t="s">
        <v>1336</v>
      </c>
      <c r="E119" s="415"/>
      <c r="F119" s="1568">
        <v>1</v>
      </c>
      <c r="G119" s="1568">
        <v>1</v>
      </c>
      <c r="H119" s="1568">
        <v>1</v>
      </c>
      <c r="I119" s="1568">
        <v>1</v>
      </c>
      <c r="J119" s="1568">
        <v>1</v>
      </c>
      <c r="K119" s="1568">
        <v>1</v>
      </c>
      <c r="L119" s="1568">
        <v>1</v>
      </c>
      <c r="M119" s="1568">
        <v>1</v>
      </c>
      <c r="N119" s="1568">
        <v>1</v>
      </c>
      <c r="O119" s="1568">
        <v>1</v>
      </c>
      <c r="P119" s="419"/>
    </row>
    <row r="120" spans="2:34">
      <c r="B120" s="418"/>
      <c r="C120" s="1576"/>
      <c r="D120" s="415" t="s">
        <v>1343</v>
      </c>
      <c r="E120" s="1576"/>
      <c r="F120" s="1577">
        <v>720</v>
      </c>
      <c r="G120" s="1577">
        <v>792</v>
      </c>
      <c r="H120" s="1577">
        <v>954</v>
      </c>
      <c r="I120" s="1577">
        <v>1116</v>
      </c>
      <c r="J120" s="1577">
        <v>1278</v>
      </c>
      <c r="K120" s="1577">
        <v>1440</v>
      </c>
      <c r="L120" s="1577">
        <v>1500</v>
      </c>
      <c r="M120" s="1577">
        <v>1560</v>
      </c>
      <c r="N120" s="1577">
        <v>1620</v>
      </c>
      <c r="O120" s="1577">
        <v>1680</v>
      </c>
      <c r="P120" s="419"/>
      <c r="V120" s="242"/>
      <c r="W120" s="242"/>
      <c r="X120" s="242"/>
      <c r="Y120" s="242"/>
      <c r="Z120" s="242"/>
      <c r="AA120" s="242"/>
    </row>
    <row r="121" spans="2:34">
      <c r="B121" s="418"/>
      <c r="C121" s="1570"/>
      <c r="D121" s="1571"/>
      <c r="E121" s="1572"/>
      <c r="F121" s="1573"/>
      <c r="G121" s="1573"/>
      <c r="H121" s="1573"/>
      <c r="I121" s="1573"/>
      <c r="J121" s="1573"/>
      <c r="K121" s="1573"/>
      <c r="L121" s="1573"/>
      <c r="M121" s="1573"/>
      <c r="N121" s="1573"/>
      <c r="O121" s="1573"/>
      <c r="P121" s="419"/>
      <c r="V121" s="242"/>
      <c r="W121" s="242"/>
      <c r="X121" s="242"/>
      <c r="Y121" s="242"/>
      <c r="Z121" s="242"/>
      <c r="AA121" s="242"/>
    </row>
    <row r="122" spans="2:34">
      <c r="B122" s="418"/>
      <c r="C122" s="416" t="s">
        <v>1347</v>
      </c>
      <c r="D122" s="415"/>
      <c r="E122" s="415"/>
      <c r="F122" s="415"/>
      <c r="G122" s="415"/>
      <c r="H122" s="415"/>
      <c r="I122" s="415"/>
      <c r="J122" s="415"/>
      <c r="K122" s="415"/>
      <c r="L122" s="415"/>
      <c r="M122" s="415"/>
      <c r="N122" s="415"/>
      <c r="O122" s="415"/>
      <c r="P122" s="419"/>
      <c r="V122" s="242"/>
      <c r="W122" s="242"/>
      <c r="X122" s="242"/>
      <c r="Y122" s="242"/>
      <c r="Z122" s="242"/>
      <c r="AA122" s="242"/>
    </row>
    <row r="123" spans="2:34">
      <c r="B123" s="418"/>
      <c r="C123" s="416"/>
      <c r="D123" s="415"/>
      <c r="E123" s="415"/>
      <c r="F123" s="415"/>
      <c r="G123" s="415"/>
      <c r="H123" s="415"/>
      <c r="I123" s="415"/>
      <c r="J123" s="415"/>
      <c r="K123" s="415"/>
      <c r="L123" s="415"/>
      <c r="M123" s="415"/>
      <c r="N123" s="415"/>
      <c r="O123" s="848" t="s">
        <v>913</v>
      </c>
      <c r="P123" s="419"/>
      <c r="V123" s="242"/>
      <c r="W123" s="242"/>
      <c r="X123" s="242"/>
      <c r="Y123" s="242"/>
      <c r="Z123" s="242"/>
      <c r="AA123" s="242"/>
    </row>
    <row r="124" spans="2:34" s="423" customFormat="1" ht="15.75">
      <c r="B124" s="1565"/>
      <c r="C124" s="1566"/>
      <c r="D124" s="1566" t="s">
        <v>65</v>
      </c>
      <c r="E124" s="1566" t="s">
        <v>156</v>
      </c>
      <c r="F124" s="1434">
        <v>2007</v>
      </c>
      <c r="G124" s="1386">
        <v>2012</v>
      </c>
      <c r="H124" s="1386">
        <f>G124+5</f>
        <v>2017</v>
      </c>
      <c r="I124" s="1386">
        <f t="shared" ref="I124:O124" si="32">H124+5</f>
        <v>2022</v>
      </c>
      <c r="J124" s="1386">
        <f t="shared" si="32"/>
        <v>2027</v>
      </c>
      <c r="K124" s="1386">
        <f t="shared" si="32"/>
        <v>2032</v>
      </c>
      <c r="L124" s="1386">
        <f t="shared" si="32"/>
        <v>2037</v>
      </c>
      <c r="M124" s="1386">
        <f t="shared" si="32"/>
        <v>2042</v>
      </c>
      <c r="N124" s="1386">
        <f t="shared" si="32"/>
        <v>2047</v>
      </c>
      <c r="O124" s="1386">
        <f t="shared" si="32"/>
        <v>2052</v>
      </c>
      <c r="P124" s="570"/>
    </row>
    <row r="125" spans="2:34">
      <c r="B125" s="418"/>
      <c r="C125" s="1576"/>
      <c r="D125" s="1578" t="s">
        <v>923</v>
      </c>
      <c r="E125" s="1576"/>
      <c r="F125" s="3187">
        <f>INDEX(Global.Assumptions[Urban Households],MATCH(F124,Global.Assumptions[Year]),0)/10^6</f>
        <v>69.186964811451503</v>
      </c>
      <c r="G125" s="3187">
        <f>INDEX(Global.Assumptions[Urban Households],MATCH(G124,Global.Assumptions[Year]),0)/10^6</f>
        <v>88.647593305569004</v>
      </c>
      <c r="H125" s="3187">
        <f>INDEX(Global.Assumptions[Urban Households],MATCH(H124,Global.Assumptions[Year]),0)/10^6</f>
        <v>96.982042482202402</v>
      </c>
      <c r="I125" s="3187">
        <f>INDEX(Global.Assumptions[Urban Households],MATCH(I124,Global.Assumptions[Year]),0)/10^6</f>
        <v>110.266232693804</v>
      </c>
      <c r="J125" s="3187">
        <f>INDEX(Global.Assumptions[Urban Households],MATCH(J124,Global.Assumptions[Year]),0)/10^6</f>
        <v>128.54050499175401</v>
      </c>
      <c r="K125" s="3187">
        <f>INDEX(Global.Assumptions[Urban Households],MATCH(K124,Global.Assumptions[Year]),0)/10^6</f>
        <v>144.16279711743803</v>
      </c>
      <c r="L125" s="3187">
        <f>INDEX(Global.Assumptions[Urban Households],MATCH(L124,Global.Assumptions[Year]),0)/10^6</f>
        <v>164.67380492576501</v>
      </c>
      <c r="M125" s="3187">
        <f>INDEX(Global.Assumptions[Urban Households],MATCH(M124,Global.Assumptions[Year]),0)/10^6</f>
        <v>181.94824708288999</v>
      </c>
      <c r="N125" s="3187">
        <f>INDEX(Global.Assumptions[Urban Households],MATCH(N124,Global.Assumptions[Year]),0)/10^6</f>
        <v>205.57118185959501</v>
      </c>
      <c r="O125" s="3187">
        <f>INDEX(Global.Assumptions[Urban Households],MATCH(O124,Global.Assumptions[Year]),0)/10^6</f>
        <v>234.31205218574101</v>
      </c>
      <c r="P125" s="419"/>
      <c r="R125" s="35"/>
      <c r="S125" s="35"/>
      <c r="T125" s="35"/>
      <c r="U125" s="35"/>
      <c r="V125" s="35"/>
      <c r="W125" s="35"/>
      <c r="X125" s="35"/>
      <c r="Y125" s="35"/>
      <c r="Z125" s="35"/>
      <c r="AA125" s="35"/>
      <c r="AB125" s="35"/>
      <c r="AC125" s="35"/>
      <c r="AD125" s="35"/>
      <c r="AE125" s="35"/>
      <c r="AF125" s="35"/>
      <c r="AG125" s="35"/>
      <c r="AH125" s="35"/>
    </row>
    <row r="126" spans="2:34">
      <c r="B126" s="418"/>
      <c r="C126" s="1579"/>
      <c r="D126" s="1580" t="s">
        <v>922</v>
      </c>
      <c r="E126" s="1581"/>
      <c r="F126" s="3187">
        <f>INDEX(Global.Assumptions[RuralHouseholds],MATCH(F124,Global.Assumptions[Year]),0)/10^6</f>
        <v>157.15838631159099</v>
      </c>
      <c r="G126" s="3187">
        <f>INDEX(Global.Assumptions[RuralHouseholds],MATCH(G124,Global.Assumptions[Year]),0)/10^6</f>
        <v>170.87052246518701</v>
      </c>
      <c r="H126" s="3187">
        <f>INDEX(Global.Assumptions[RuralHouseholds],MATCH(H124,Global.Assumptions[Year]),0)/10^6</f>
        <v>180.52454776985601</v>
      </c>
      <c r="I126" s="3187">
        <f>INDEX(Global.Assumptions[RuralHouseholds],MATCH(I124,Global.Assumptions[Year]),0)/10^6</f>
        <v>190.09866356813299</v>
      </c>
      <c r="J126" s="3187">
        <f>INDEX(Global.Assumptions[RuralHouseholds],MATCH(J124,Global.Assumptions[Year]),0)/10^6</f>
        <v>196.70692407550101</v>
      </c>
      <c r="K126" s="3187">
        <f>INDEX(Global.Assumptions[RuralHouseholds],MATCH(K124,Global.Assumptions[Year]),0)/10^6</f>
        <v>203.58234150691999</v>
      </c>
      <c r="L126" s="3187">
        <f>INDEX(Global.Assumptions[RuralHouseholds],MATCH(L124,Global.Assumptions[Year]),0)/10^6</f>
        <v>207.261898702742</v>
      </c>
      <c r="M126" s="3187">
        <f>INDEX(Global.Assumptions[RuralHouseholds],MATCH(M124,Global.Assumptions[Year]),0)/10^6</f>
        <v>211.390986895384</v>
      </c>
      <c r="N126" s="3187">
        <f>INDEX(Global.Assumptions[RuralHouseholds],MATCH(N124,Global.Assumptions[Year]),0)/10^6</f>
        <v>210.60378532268999</v>
      </c>
      <c r="O126" s="3187">
        <f>INDEX(Global.Assumptions[RuralHouseholds],MATCH(O124,Global.Assumptions[Year]),0)/10^6</f>
        <v>219.76105518003001</v>
      </c>
      <c r="P126" s="419"/>
      <c r="R126" s="35"/>
      <c r="S126" s="35"/>
      <c r="T126" s="35"/>
      <c r="U126" s="35"/>
      <c r="V126" s="35"/>
      <c r="W126" s="35"/>
      <c r="X126" s="35"/>
      <c r="Y126" s="35"/>
      <c r="Z126" s="35"/>
      <c r="AA126" s="35"/>
      <c r="AB126" s="35"/>
      <c r="AC126" s="35"/>
      <c r="AD126" s="35"/>
      <c r="AE126" s="35"/>
      <c r="AF126" s="35"/>
      <c r="AG126" s="35"/>
      <c r="AH126" s="35"/>
    </row>
    <row r="127" spans="2:34">
      <c r="B127" s="418"/>
      <c r="C127" s="493"/>
      <c r="D127" s="453"/>
      <c r="E127" s="496"/>
      <c r="F127" s="302"/>
      <c r="G127" s="302"/>
      <c r="H127" s="302"/>
      <c r="I127" s="302"/>
      <c r="J127" s="302"/>
      <c r="K127" s="302"/>
      <c r="L127" s="302"/>
      <c r="M127" s="302"/>
      <c r="N127" s="302"/>
      <c r="O127" s="302"/>
      <c r="P127" s="419"/>
      <c r="R127" s="35"/>
      <c r="S127" s="35"/>
      <c r="T127" s="35"/>
      <c r="U127" s="35"/>
      <c r="V127" s="35"/>
      <c r="W127" s="35"/>
      <c r="X127" s="35"/>
      <c r="Y127" s="35"/>
      <c r="Z127" s="35"/>
      <c r="AA127" s="35"/>
      <c r="AB127" s="35"/>
      <c r="AC127" s="35"/>
      <c r="AD127" s="35"/>
      <c r="AE127" s="35"/>
      <c r="AF127" s="35"/>
      <c r="AG127" s="35"/>
      <c r="AH127" s="35"/>
    </row>
    <row r="128" spans="2:34">
      <c r="B128" s="415"/>
      <c r="C128" s="1582" t="s">
        <v>1348</v>
      </c>
      <c r="D128" s="453"/>
      <c r="E128" s="1583" t="str">
        <f>Preferences.PowerUnits</f>
        <v>GW</v>
      </c>
      <c r="F128" s="302"/>
      <c r="G128" s="302"/>
      <c r="H128" s="302"/>
      <c r="I128" s="302"/>
      <c r="J128" s="302"/>
      <c r="K128" s="302"/>
      <c r="L128" s="302"/>
      <c r="M128" s="302"/>
      <c r="N128" s="302"/>
      <c r="O128" s="302"/>
      <c r="P128" s="415"/>
      <c r="R128" s="35"/>
      <c r="S128" s="35"/>
      <c r="T128" s="35"/>
      <c r="U128" s="35"/>
      <c r="V128" s="35"/>
      <c r="W128" s="35"/>
      <c r="X128" s="35"/>
      <c r="Y128" s="35"/>
      <c r="Z128" s="35"/>
      <c r="AA128" s="35"/>
      <c r="AB128" s="35"/>
      <c r="AC128" s="35"/>
      <c r="AD128" s="35"/>
      <c r="AE128" s="35"/>
      <c r="AF128" s="35"/>
      <c r="AG128" s="35"/>
      <c r="AH128" s="35"/>
    </row>
    <row r="129" spans="1:34" s="423" customFormat="1" ht="15.75">
      <c r="B129" s="1565"/>
      <c r="C129" s="1566"/>
      <c r="D129" s="1566" t="s">
        <v>65</v>
      </c>
      <c r="E129" s="1566" t="s">
        <v>1349</v>
      </c>
      <c r="F129" s="227"/>
      <c r="G129" s="416"/>
      <c r="H129" s="416"/>
      <c r="I129" s="416"/>
      <c r="J129" s="416"/>
      <c r="K129" s="416"/>
      <c r="L129" s="416"/>
      <c r="M129" s="416"/>
      <c r="N129" s="416"/>
      <c r="O129" s="416"/>
      <c r="P129" s="570"/>
    </row>
    <row r="130" spans="1:34">
      <c r="B130" s="415"/>
      <c r="C130" s="493"/>
      <c r="D130" s="453" t="s">
        <v>1329</v>
      </c>
      <c r="E130" s="1584">
        <f>60*(Unit.W)</f>
        <v>6.0000000000000008E-8</v>
      </c>
      <c r="F130" s="302"/>
      <c r="G130" s="302"/>
      <c r="H130" s="302"/>
      <c r="I130" s="302"/>
      <c r="J130" s="302"/>
      <c r="K130" s="302"/>
      <c r="L130" s="302"/>
      <c r="M130" s="302"/>
      <c r="N130" s="302"/>
      <c r="O130" s="302"/>
      <c r="P130" s="415"/>
      <c r="R130" s="35"/>
      <c r="S130" s="35"/>
      <c r="T130" s="35"/>
      <c r="U130" s="35"/>
      <c r="V130" s="35"/>
      <c r="W130" s="35"/>
      <c r="X130" s="35"/>
      <c r="Y130" s="35"/>
      <c r="Z130" s="35"/>
      <c r="AA130" s="35"/>
      <c r="AB130" s="35"/>
      <c r="AC130" s="35"/>
      <c r="AD130" s="35"/>
      <c r="AE130" s="35"/>
      <c r="AF130" s="35"/>
      <c r="AG130" s="35"/>
      <c r="AH130" s="35"/>
    </row>
    <row r="131" spans="1:34">
      <c r="B131" s="415"/>
      <c r="C131" s="493"/>
      <c r="D131" s="453" t="s">
        <v>1330</v>
      </c>
      <c r="E131" s="1584">
        <f>28*(Unit.W)</f>
        <v>2.8000000000000003E-8</v>
      </c>
      <c r="F131" s="302"/>
      <c r="G131" s="302"/>
      <c r="H131" s="302"/>
      <c r="I131" s="302"/>
      <c r="J131" s="302"/>
      <c r="K131" s="302"/>
      <c r="L131" s="302"/>
      <c r="M131" s="302"/>
      <c r="N131" s="302"/>
      <c r="O131" s="302"/>
      <c r="P131" s="415"/>
      <c r="R131" s="35"/>
      <c r="S131" s="35"/>
      <c r="T131" s="35"/>
      <c r="U131" s="35"/>
      <c r="V131" s="35"/>
      <c r="W131" s="35"/>
      <c r="X131" s="35"/>
      <c r="Y131" s="35"/>
      <c r="Z131" s="35"/>
      <c r="AA131" s="35"/>
      <c r="AB131" s="35"/>
      <c r="AC131" s="35"/>
      <c r="AD131" s="35"/>
      <c r="AE131" s="35"/>
      <c r="AF131" s="35"/>
      <c r="AG131" s="35"/>
      <c r="AH131" s="35"/>
    </row>
    <row r="132" spans="1:34">
      <c r="B132" s="415"/>
      <c r="C132" s="493"/>
      <c r="D132" s="453" t="s">
        <v>1331</v>
      </c>
      <c r="E132" s="1584">
        <f>15*(Unit.W)</f>
        <v>1.5000000000000002E-8</v>
      </c>
      <c r="F132" s="302"/>
      <c r="G132" s="302"/>
      <c r="H132" s="302"/>
      <c r="I132" s="302"/>
      <c r="J132" s="302"/>
      <c r="K132" s="302"/>
      <c r="L132" s="302"/>
      <c r="M132" s="302"/>
      <c r="N132" s="302"/>
      <c r="O132" s="302"/>
      <c r="P132" s="415"/>
      <c r="R132" s="35"/>
      <c r="S132" s="35"/>
      <c r="T132" s="35"/>
      <c r="U132" s="35"/>
      <c r="V132" s="35"/>
      <c r="W132" s="35"/>
      <c r="X132" s="35"/>
      <c r="Y132" s="35"/>
      <c r="Z132" s="35"/>
      <c r="AA132" s="35"/>
      <c r="AB132" s="35"/>
      <c r="AC132" s="35"/>
      <c r="AD132" s="35"/>
      <c r="AE132" s="35"/>
      <c r="AF132" s="35"/>
      <c r="AG132" s="35"/>
      <c r="AH132" s="35"/>
    </row>
    <row r="133" spans="1:34" s="229" customFormat="1">
      <c r="B133" s="1585"/>
      <c r="C133" s="1586"/>
      <c r="D133" s="1587" t="s">
        <v>1332</v>
      </c>
      <c r="E133" s="1588">
        <f>8*(Unit.W)</f>
        <v>8.0000000000000005E-9</v>
      </c>
      <c r="F133" s="1589"/>
      <c r="G133" s="1589"/>
      <c r="H133" s="1589"/>
      <c r="I133" s="1589"/>
      <c r="J133" s="1589"/>
      <c r="K133" s="1589"/>
      <c r="L133" s="1589"/>
      <c r="M133" s="1589"/>
      <c r="N133" s="1589"/>
      <c r="O133" s="1589" t="str">
        <f>Preferences.PowerUnits</f>
        <v>GW</v>
      </c>
      <c r="P133" s="1585"/>
      <c r="R133" s="1590"/>
      <c r="S133" s="1590"/>
      <c r="T133" s="1590"/>
      <c r="U133" s="1590"/>
      <c r="V133" s="1590"/>
      <c r="W133" s="1590"/>
      <c r="X133" s="1590"/>
      <c r="Y133" s="1590"/>
      <c r="Z133" s="1590"/>
      <c r="AA133" s="1590"/>
      <c r="AB133" s="1590"/>
      <c r="AC133" s="1590"/>
      <c r="AD133" s="1590"/>
      <c r="AE133" s="1590"/>
      <c r="AF133" s="1590"/>
      <c r="AG133" s="1590"/>
      <c r="AH133" s="1590"/>
    </row>
    <row r="134" spans="1:34" s="229" customFormat="1">
      <c r="B134" s="1585"/>
      <c r="C134" s="1586"/>
      <c r="D134" s="1587"/>
      <c r="E134" s="1588"/>
      <c r="F134" s="1434">
        <v>2007</v>
      </c>
      <c r="G134" s="1386">
        <v>2012</v>
      </c>
      <c r="H134" s="1386">
        <f>G134+5</f>
        <v>2017</v>
      </c>
      <c r="I134" s="1386">
        <f t="shared" ref="I134:O134" si="33">H134+5</f>
        <v>2022</v>
      </c>
      <c r="J134" s="1386">
        <f t="shared" si="33"/>
        <v>2027</v>
      </c>
      <c r="K134" s="1386">
        <f t="shared" si="33"/>
        <v>2032</v>
      </c>
      <c r="L134" s="1386">
        <f t="shared" si="33"/>
        <v>2037</v>
      </c>
      <c r="M134" s="1386">
        <f t="shared" si="33"/>
        <v>2042</v>
      </c>
      <c r="N134" s="1386">
        <f t="shared" si="33"/>
        <v>2047</v>
      </c>
      <c r="O134" s="1386">
        <f t="shared" si="33"/>
        <v>2052</v>
      </c>
      <c r="P134" s="1585"/>
      <c r="R134" s="1590"/>
      <c r="S134" s="1590"/>
      <c r="T134" s="1590"/>
      <c r="U134" s="1590"/>
      <c r="V134" s="1590"/>
      <c r="W134" s="1590"/>
      <c r="X134" s="1590"/>
      <c r="Y134" s="1590"/>
      <c r="Z134" s="1590"/>
      <c r="AA134" s="1590"/>
      <c r="AB134" s="1590"/>
      <c r="AC134" s="1590"/>
      <c r="AD134" s="1590"/>
      <c r="AE134" s="1590"/>
      <c r="AF134" s="1590"/>
      <c r="AG134" s="1590"/>
      <c r="AH134" s="1590"/>
    </row>
    <row r="135" spans="1:34" s="229" customFormat="1">
      <c r="B135" s="1585"/>
      <c r="C135" s="1587" t="s">
        <v>1350</v>
      </c>
      <c r="D135" s="1586" t="s">
        <v>438</v>
      </c>
      <c r="E135" s="1588"/>
      <c r="F135" s="1820">
        <f>75*(Unit.W)</f>
        <v>7.500000000000001E-8</v>
      </c>
      <c r="G135" s="1820">
        <f>75*(Unit.W)</f>
        <v>7.500000000000001E-8</v>
      </c>
      <c r="H135" s="1820">
        <f>73.3831202731742*(Unit.W)</f>
        <v>7.3383120273174202E-8</v>
      </c>
      <c r="I135" s="1820">
        <f>71.801097880362*(Unit.W)</f>
        <v>7.1801097880362003E-8</v>
      </c>
      <c r="J135" s="1820">
        <f>70.2531813533408*(Unit.W)</f>
        <v>7.0253181353340808E-8</v>
      </c>
      <c r="K135" s="1820">
        <f>68.7386354243376*(Unit.W)</f>
        <v>6.873863542433761E-8</v>
      </c>
      <c r="L135" s="1820">
        <f>67.2567406767739*(Unit.W)</f>
        <v>6.72567406767739E-8</v>
      </c>
      <c r="M135" s="1820">
        <f>65.8067932035385*(Unit.W)</f>
        <v>6.5806793203538502E-8</v>
      </c>
      <c r="N135" s="1820">
        <f>64.3881042726289*(Unit.W)</f>
        <v>6.4388104272628897E-8</v>
      </c>
      <c r="O135" s="1820">
        <f>63*(Unit.W)</f>
        <v>6.3000000000000008E-8</v>
      </c>
      <c r="P135" s="1585"/>
      <c r="R135" s="1590"/>
      <c r="S135" s="1590"/>
      <c r="T135" s="1590"/>
      <c r="U135" s="1590"/>
      <c r="V135" s="1590"/>
      <c r="W135" s="1590"/>
      <c r="X135" s="1590"/>
      <c r="Y135" s="1590"/>
      <c r="Z135" s="1590"/>
      <c r="AA135" s="1590"/>
      <c r="AB135" s="1590"/>
      <c r="AC135" s="1590"/>
      <c r="AD135" s="1590"/>
      <c r="AE135" s="1590"/>
      <c r="AF135" s="1590"/>
      <c r="AG135" s="1590"/>
      <c r="AH135" s="1590"/>
    </row>
    <row r="136" spans="1:34" s="229" customFormat="1">
      <c r="B136" s="1585"/>
      <c r="C136" s="1585"/>
      <c r="D136" s="1586" t="s">
        <v>1333</v>
      </c>
      <c r="E136" s="1588"/>
      <c r="F136" s="1820">
        <f>51*(Unit.W)</f>
        <v>5.1E-8</v>
      </c>
      <c r="G136" s="1820">
        <f>51*(Unit.W)</f>
        <v>5.1E-8</v>
      </c>
      <c r="H136" s="1820">
        <f>49.8263658345118*(Unit.W)</f>
        <v>4.9826365834511801E-8</v>
      </c>
      <c r="I136" s="1820">
        <f>48.6797398485216*(Unit.W)</f>
        <v>4.8679739848521604E-8</v>
      </c>
      <c r="J136" s="1820">
        <f>47.5595005180647*(Unit.W)</f>
        <v>4.7559500518064703E-8</v>
      </c>
      <c r="K136" s="1820">
        <f>46.4650406219558*(Unit.W)</f>
        <v>4.6465040621955805E-8</v>
      </c>
      <c r="L136" s="1820">
        <f>45.3957669126474*(Unit.W)</f>
        <v>4.5395766912647405E-8</v>
      </c>
      <c r="M136" s="1820">
        <f>44.3510997946627*(Unit.W)</f>
        <v>4.4351099794662706E-8</v>
      </c>
      <c r="N136" s="1820">
        <f>43.3304730104275*(Unit.W)</f>
        <v>4.3330473010427498E-8</v>
      </c>
      <c r="O136" s="1820">
        <f>42.3333333333333*(Unit.W)</f>
        <v>4.2333333333333302E-8</v>
      </c>
      <c r="P136" s="1585"/>
      <c r="R136" s="1590"/>
      <c r="S136" s="1590"/>
      <c r="T136" s="1590"/>
      <c r="U136" s="1590"/>
      <c r="V136" s="1590"/>
      <c r="W136" s="1590"/>
      <c r="X136" s="1590"/>
      <c r="Y136" s="1590"/>
      <c r="Z136" s="1590"/>
      <c r="AA136" s="1590"/>
      <c r="AB136" s="1590"/>
      <c r="AC136" s="1590"/>
      <c r="AD136" s="1590"/>
      <c r="AE136" s="1590"/>
      <c r="AF136" s="1590"/>
      <c r="AG136" s="1590"/>
      <c r="AH136" s="1590"/>
    </row>
    <row r="137" spans="1:34" s="229" customFormat="1">
      <c r="B137" s="1585"/>
      <c r="C137" s="1585"/>
      <c r="D137" s="1586" t="s">
        <v>439</v>
      </c>
      <c r="E137" s="1588"/>
      <c r="F137" s="1820">
        <f t="shared" ref="F137:O137" si="34">25*(Unit.W)</f>
        <v>2.5000000000000002E-8</v>
      </c>
      <c r="G137" s="1820">
        <f t="shared" si="34"/>
        <v>2.5000000000000002E-8</v>
      </c>
      <c r="H137" s="1820">
        <f t="shared" si="34"/>
        <v>2.5000000000000002E-8</v>
      </c>
      <c r="I137" s="1820">
        <f t="shared" si="34"/>
        <v>2.5000000000000002E-8</v>
      </c>
      <c r="J137" s="1820">
        <f t="shared" si="34"/>
        <v>2.5000000000000002E-8</v>
      </c>
      <c r="K137" s="1820">
        <f t="shared" si="34"/>
        <v>2.5000000000000002E-8</v>
      </c>
      <c r="L137" s="1820">
        <f t="shared" si="34"/>
        <v>2.5000000000000002E-8</v>
      </c>
      <c r="M137" s="1820">
        <f t="shared" si="34"/>
        <v>2.5000000000000002E-8</v>
      </c>
      <c r="N137" s="1820">
        <f t="shared" si="34"/>
        <v>2.5000000000000002E-8</v>
      </c>
      <c r="O137" s="1820">
        <f t="shared" si="34"/>
        <v>2.5000000000000002E-8</v>
      </c>
      <c r="P137" s="1585"/>
      <c r="R137" s="1590"/>
      <c r="S137" s="1590"/>
      <c r="T137" s="1590"/>
      <c r="U137" s="1590"/>
      <c r="V137" s="1590"/>
      <c r="W137" s="1590"/>
      <c r="X137" s="1590"/>
      <c r="Y137" s="1590"/>
      <c r="Z137" s="1590"/>
      <c r="AA137" s="1590"/>
      <c r="AB137" s="1590"/>
      <c r="AC137" s="1590"/>
      <c r="AD137" s="1590"/>
      <c r="AE137" s="1590"/>
      <c r="AF137" s="1590"/>
      <c r="AG137" s="1590"/>
      <c r="AH137" s="1590"/>
    </row>
    <row r="138" spans="1:34" s="229" customFormat="1">
      <c r="B138" s="1585"/>
      <c r="C138" s="1587" t="s">
        <v>1335</v>
      </c>
      <c r="D138" s="1586" t="s">
        <v>438</v>
      </c>
      <c r="E138" s="1588"/>
      <c r="F138" s="1820">
        <f>80*(Unit.W)</f>
        <v>8.0000000000000002E-8</v>
      </c>
      <c r="G138" s="1820">
        <f>80*(Unit.W)</f>
        <v>8.0000000000000002E-8</v>
      </c>
      <c r="H138" s="1820">
        <f>78.6053017468995*(Unit.W)</f>
        <v>7.8605301746899506E-8</v>
      </c>
      <c r="I138" s="1820">
        <f>77.234918284014*(Unit.W)</f>
        <v>7.7234918284014009E-8</v>
      </c>
      <c r="J138" s="1820">
        <f>75.8884257139006*(Unit.W)</f>
        <v>7.5888425713900601E-8</v>
      </c>
      <c r="K138" s="1820">
        <f>74.5654075292291*(Unit.W)</f>
        <v>7.4565407529229111E-8</v>
      </c>
      <c r="L138" s="1820">
        <f>73.2654544839448*(Unit.W)</f>
        <v>7.3265454483944804E-8</v>
      </c>
      <c r="M138" s="1820">
        <f>71.9881644666777*(Unit.W)</f>
        <v>7.1988164466677708E-8</v>
      </c>
      <c r="N138" s="1820">
        <f>70.7331423763579*(Unit.W)</f>
        <v>7.0733142376357902E-8</v>
      </c>
      <c r="O138" s="1820">
        <f>69.5*(Unit.W)</f>
        <v>6.9500000000000007E-8</v>
      </c>
      <c r="P138" s="1585"/>
      <c r="R138" s="1590"/>
      <c r="S138" s="1590"/>
      <c r="T138" s="1590"/>
      <c r="U138" s="1590"/>
      <c r="V138" s="1590"/>
      <c r="W138" s="1590"/>
      <c r="X138" s="1590"/>
      <c r="Y138" s="1590"/>
      <c r="Z138" s="1590"/>
      <c r="AA138" s="1590"/>
      <c r="AB138" s="1590"/>
      <c r="AC138" s="1590"/>
      <c r="AD138" s="1590"/>
      <c r="AE138" s="1590"/>
      <c r="AF138" s="1590"/>
      <c r="AG138" s="1590"/>
      <c r="AH138" s="1590"/>
    </row>
    <row r="139" spans="1:34" s="229" customFormat="1">
      <c r="B139" s="1585"/>
      <c r="C139" s="1585"/>
      <c r="D139" s="1586" t="s">
        <v>1333</v>
      </c>
      <c r="E139" s="1588"/>
      <c r="F139" s="1820">
        <f>59*(Unit.W)</f>
        <v>5.9000000000000006E-8</v>
      </c>
      <c r="G139" s="1820">
        <f>59*(Unit.W)</f>
        <v>5.9000000000000006E-8</v>
      </c>
      <c r="H139" s="1820">
        <f>57.9823006423073*(Unit.W)</f>
        <v>5.7982300642307306E-8</v>
      </c>
      <c r="I139" s="1820">
        <f>56.9821557249986*(Unit.W)</f>
        <v>5.6982155724998601E-8</v>
      </c>
      <c r="J139" s="1820">
        <f>55.9992624490448*(Unit.W)</f>
        <v>5.5999262449044804E-8</v>
      </c>
      <c r="K139" s="1820">
        <f>55.0333232384404*(Unit.W)</f>
        <v>5.5033323238440404E-8</v>
      </c>
      <c r="L139" s="1820">
        <f>54.0840456501107*(Unit.W)</f>
        <v>5.4084045650110705E-8</v>
      </c>
      <c r="M139" s="1820">
        <f>53.1511422853728*(Unit.W)</f>
        <v>5.3151142285372801E-8</v>
      </c>
      <c r="N139" s="1820">
        <f>52.2343307029244*(Unit.W)</f>
        <v>5.2234330702924409E-8</v>
      </c>
      <c r="O139" s="1820">
        <f>51.3333333333333*(Unit.W)</f>
        <v>5.1333333333333303E-8</v>
      </c>
      <c r="P139" s="1585"/>
      <c r="R139" s="1590"/>
      <c r="S139" s="1590"/>
      <c r="T139" s="1590"/>
      <c r="U139" s="1590"/>
      <c r="V139" s="1590"/>
      <c r="W139" s="1590"/>
      <c r="X139" s="1590"/>
      <c r="Y139" s="1590"/>
      <c r="Z139" s="1590"/>
      <c r="AA139" s="1590"/>
      <c r="AB139" s="1590"/>
      <c r="AC139" s="1590"/>
      <c r="AD139" s="1590"/>
      <c r="AE139" s="1590"/>
      <c r="AF139" s="1590"/>
      <c r="AG139" s="1590"/>
      <c r="AH139" s="1590"/>
    </row>
    <row r="140" spans="1:34" s="229" customFormat="1">
      <c r="B140" s="1585"/>
      <c r="C140" s="1585"/>
      <c r="D140" s="1586" t="s">
        <v>439</v>
      </c>
      <c r="E140" s="1588"/>
      <c r="F140" s="1589">
        <f t="shared" ref="F140:O140" si="35">36*(Unit.W)</f>
        <v>3.6000000000000005E-8</v>
      </c>
      <c r="G140" s="1589">
        <f t="shared" si="35"/>
        <v>3.6000000000000005E-8</v>
      </c>
      <c r="H140" s="1589">
        <f t="shared" si="35"/>
        <v>3.6000000000000005E-8</v>
      </c>
      <c r="I140" s="1589">
        <f t="shared" si="35"/>
        <v>3.6000000000000005E-8</v>
      </c>
      <c r="J140" s="1589">
        <f t="shared" si="35"/>
        <v>3.6000000000000005E-8</v>
      </c>
      <c r="K140" s="1589">
        <f t="shared" si="35"/>
        <v>3.6000000000000005E-8</v>
      </c>
      <c r="L140" s="1589">
        <f t="shared" si="35"/>
        <v>3.6000000000000005E-8</v>
      </c>
      <c r="M140" s="1589">
        <f t="shared" si="35"/>
        <v>3.6000000000000005E-8</v>
      </c>
      <c r="N140" s="1589">
        <f t="shared" si="35"/>
        <v>3.6000000000000005E-8</v>
      </c>
      <c r="O140" s="1589">
        <f t="shared" si="35"/>
        <v>3.6000000000000005E-8</v>
      </c>
      <c r="P140" s="1585"/>
      <c r="R140" s="1590"/>
      <c r="S140" s="1590"/>
      <c r="T140" s="1590"/>
      <c r="U140" s="1590"/>
      <c r="V140" s="1590"/>
      <c r="W140" s="1590"/>
      <c r="X140" s="1590"/>
      <c r="Y140" s="1590"/>
      <c r="Z140" s="1590"/>
      <c r="AA140" s="1590"/>
      <c r="AB140" s="1590"/>
      <c r="AC140" s="1590"/>
      <c r="AD140" s="1590"/>
      <c r="AE140" s="1590"/>
      <c r="AF140" s="1590"/>
      <c r="AG140" s="1590"/>
      <c r="AH140" s="1590"/>
    </row>
    <row r="141" spans="1:34" s="229" customFormat="1">
      <c r="B141" s="1585"/>
      <c r="C141" s="1587" t="s">
        <v>1336</v>
      </c>
      <c r="D141" s="1586" t="s">
        <v>438</v>
      </c>
      <c r="E141" s="1588"/>
      <c r="F141" s="1818">
        <f>414.4*(Unit.kWh)</f>
        <v>4.144E-7</v>
      </c>
      <c r="G141" s="1818">
        <f>414.4*(Unit.kWh)</f>
        <v>4.144E-7</v>
      </c>
      <c r="H141" s="1819">
        <f>399.987473587862*(Unit.kWh)</f>
        <v>3.99987473587862E-7</v>
      </c>
      <c r="I141" s="1819">
        <f>386.076204216218*(Unit.kWh)</f>
        <v>3.8607620421621805E-7</v>
      </c>
      <c r="J141" s="1819">
        <f>372.648758534837*(Unit.kWh)</f>
        <v>3.7264875853483702E-7</v>
      </c>
      <c r="K141" s="1819">
        <f>359.688309512555*(Unit.kWh)</f>
        <v>3.5968830951255501E-7</v>
      </c>
      <c r="L141" s="1819">
        <f>347.178615349942*(Unit.kWh)</f>
        <v>3.47178615349942E-7</v>
      </c>
      <c r="M141" s="1819">
        <f>335.103999125375*(Unit.kWh)</f>
        <v>3.3510399912537504E-7</v>
      </c>
      <c r="N141" s="1819">
        <f>323.449329149006*(Unit.kWh)</f>
        <v>3.2344932914900602E-7</v>
      </c>
      <c r="O141" s="1819">
        <f>312.2*(Unit.kWh)</f>
        <v>3.122E-7</v>
      </c>
      <c r="P141" s="1585"/>
      <c r="R141" s="1590"/>
      <c r="S141" s="1590"/>
      <c r="T141" s="1590"/>
      <c r="U141" s="1590"/>
      <c r="V141" s="1590"/>
      <c r="W141" s="1590"/>
      <c r="X141" s="1590"/>
      <c r="Y141" s="1590"/>
      <c r="Z141" s="1590"/>
      <c r="AA141" s="1590"/>
      <c r="AB141" s="1590"/>
      <c r="AC141" s="1590"/>
      <c r="AD141" s="1590"/>
      <c r="AE141" s="1590"/>
      <c r="AF141" s="1590"/>
      <c r="AG141" s="1590"/>
      <c r="AH141" s="1590"/>
    </row>
    <row r="142" spans="1:34" ht="14.25" customHeight="1">
      <c r="A142" s="420"/>
      <c r="B142" s="402"/>
      <c r="C142" s="402"/>
      <c r="D142" s="1587" t="s">
        <v>1333</v>
      </c>
      <c r="E142" s="1591"/>
      <c r="F142" s="1819">
        <f>210*(Unit.kWh)</f>
        <v>2.1E-7</v>
      </c>
      <c r="G142" s="1819">
        <f>210*(Unit.kWh)</f>
        <v>2.1E-7</v>
      </c>
      <c r="H142" s="1819">
        <f>206.371298062455*(Unit.kWh)</f>
        <v>2.0637129806245501E-7</v>
      </c>
      <c r="I142" s="1819">
        <f>202.805298399917*(Unit.kWh)</f>
        <v>2.0280529839991701E-7</v>
      </c>
      <c r="J142" s="1819">
        <f>199.300917546354*(Unit.kWh)</f>
        <v>1.9930091754635399E-7</v>
      </c>
      <c r="K142" s="1819">
        <f>195.857090757521*(Unit.kWh)</f>
        <v>1.9585709075752101E-7</v>
      </c>
      <c r="L142" s="1819">
        <f>192.472771687456*(Unit.kWh)</f>
        <v>1.9247277168745601E-7</v>
      </c>
      <c r="M142" s="1819">
        <f>189.146932070566*(Unit.kWh)</f>
        <v>1.8914693207056601E-7</v>
      </c>
      <c r="N142" s="1819">
        <f>185.878561409208*(Unit.kWh)</f>
        <v>1.8587856140920801E-7</v>
      </c>
      <c r="O142" s="1819">
        <f>182.666666666667*(Unit.kWh)</f>
        <v>1.8266666666666701E-7</v>
      </c>
      <c r="P142" s="402"/>
      <c r="R142" s="708"/>
      <c r="S142" s="35"/>
      <c r="T142" s="35"/>
      <c r="U142" s="35"/>
      <c r="V142" s="35"/>
      <c r="W142" s="35"/>
      <c r="X142" s="35"/>
      <c r="Y142" s="35"/>
      <c r="Z142" s="35"/>
      <c r="AA142" s="35"/>
      <c r="AB142" s="35"/>
      <c r="AC142" s="35"/>
      <c r="AD142" s="35"/>
      <c r="AE142" s="35"/>
      <c r="AF142" s="35"/>
      <c r="AG142" s="35"/>
      <c r="AH142" s="35"/>
    </row>
    <row r="143" spans="1:34" ht="15.75" customHeight="1">
      <c r="A143" s="420"/>
      <c r="B143" s="402"/>
      <c r="C143" s="402"/>
      <c r="D143" s="1587" t="s">
        <v>439</v>
      </c>
      <c r="E143" s="1591"/>
      <c r="F143" s="1819">
        <f t="shared" ref="F143:O143" si="36">128*(Unit.kWh)</f>
        <v>1.2800000000000001E-7</v>
      </c>
      <c r="G143" s="1819">
        <f t="shared" si="36"/>
        <v>1.2800000000000001E-7</v>
      </c>
      <c r="H143" s="1819">
        <f t="shared" si="36"/>
        <v>1.2800000000000001E-7</v>
      </c>
      <c r="I143" s="1819">
        <f t="shared" si="36"/>
        <v>1.2800000000000001E-7</v>
      </c>
      <c r="J143" s="1819">
        <f t="shared" si="36"/>
        <v>1.2800000000000001E-7</v>
      </c>
      <c r="K143" s="1819">
        <f t="shared" si="36"/>
        <v>1.2800000000000001E-7</v>
      </c>
      <c r="L143" s="1819">
        <f t="shared" si="36"/>
        <v>1.2800000000000001E-7</v>
      </c>
      <c r="M143" s="1819">
        <f t="shared" si="36"/>
        <v>1.2800000000000001E-7</v>
      </c>
      <c r="N143" s="1819">
        <f t="shared" si="36"/>
        <v>1.2800000000000001E-7</v>
      </c>
      <c r="O143" s="1819">
        <f t="shared" si="36"/>
        <v>1.2800000000000001E-7</v>
      </c>
      <c r="P143" s="402"/>
      <c r="R143" s="708"/>
      <c r="S143" s="35"/>
      <c r="T143" s="35"/>
      <c r="U143" s="35"/>
      <c r="V143" s="35"/>
      <c r="W143" s="35"/>
      <c r="X143" s="35"/>
      <c r="Y143" s="35"/>
      <c r="Z143" s="35"/>
      <c r="AA143" s="35"/>
      <c r="AB143" s="35"/>
      <c r="AC143" s="35"/>
      <c r="AD143" s="35"/>
      <c r="AE143" s="35"/>
      <c r="AF143" s="35"/>
      <c r="AG143" s="35"/>
      <c r="AH143" s="35"/>
    </row>
    <row r="144" spans="1:34" ht="14.25" customHeight="1">
      <c r="A144" s="420"/>
      <c r="B144" s="402"/>
      <c r="C144" s="1587" t="s">
        <v>1343</v>
      </c>
      <c r="D144" s="1587" t="s">
        <v>438</v>
      </c>
      <c r="E144" s="1591"/>
      <c r="F144" s="519">
        <f>1825*(Unit.W)</f>
        <v>1.8250000000000001E-6</v>
      </c>
      <c r="G144" s="519">
        <f>1825*(Unit.W)</f>
        <v>1.8250000000000001E-6</v>
      </c>
      <c r="H144" s="519">
        <f>1804.32341399569*(Unit.W)</f>
        <v>1.8043234139956901E-6</v>
      </c>
      <c r="I144" s="519">
        <f>1783.88108618799*(Unit.W)</f>
        <v>1.78388108618799E-6</v>
      </c>
      <c r="J144" s="519">
        <f>1763.67036251674*(Unit.W)</f>
        <v>1.7636703625167401E-6</v>
      </c>
      <c r="K144" s="519">
        <f>1743.68861899136*(Unit.W)</f>
        <v>1.7436886189913601E-6</v>
      </c>
      <c r="L144" s="519">
        <f>1723.9332613501*(Unit.W)</f>
        <v>1.7239332613501003E-6</v>
      </c>
      <c r="M144" s="519">
        <f>1704.40172472326*(Unit.W)</f>
        <v>1.7044017247232601E-6</v>
      </c>
      <c r="N144" s="519">
        <f>1685.09147330017*(Unit.W)</f>
        <v>1.6850914733001701E-6</v>
      </c>
      <c r="O144" s="519">
        <f>1666*(Unit.W)</f>
        <v>1.666E-6</v>
      </c>
      <c r="P144" s="402"/>
      <c r="R144" s="708"/>
      <c r="S144" s="35"/>
      <c r="T144" s="35"/>
      <c r="U144" s="35"/>
      <c r="V144" s="35"/>
      <c r="W144" s="35"/>
      <c r="X144" s="35"/>
      <c r="Y144" s="35"/>
      <c r="Z144" s="35"/>
      <c r="AA144" s="35"/>
      <c r="AB144" s="35"/>
      <c r="AC144" s="35"/>
      <c r="AD144" s="35"/>
      <c r="AE144" s="35"/>
      <c r="AF144" s="35"/>
      <c r="AG144" s="35"/>
      <c r="AH144" s="35"/>
    </row>
    <row r="145" spans="1:34" ht="14.25" customHeight="1">
      <c r="A145" s="420"/>
      <c r="B145" s="402"/>
      <c r="C145" s="402"/>
      <c r="D145" s="1587" t="s">
        <v>1333</v>
      </c>
      <c r="E145" s="1591"/>
      <c r="F145" s="519">
        <f>1507*(Unit.W)</f>
        <v>1.5070000000000001E-6</v>
      </c>
      <c r="G145" s="519">
        <f>1507*(Unit.W)</f>
        <v>1.5070000000000001E-6</v>
      </c>
      <c r="H145" s="519">
        <f>1473.06801839721*(Unit.W)</f>
        <v>1.4730680183972101E-6</v>
      </c>
      <c r="I145" s="519">
        <f>1439.90005761426*(Unit.W)</f>
        <v>1.4399000576142601E-6</v>
      </c>
      <c r="J145" s="519">
        <f>1407.47891477099*(Unit.W)</f>
        <v>1.4074789147709902E-6</v>
      </c>
      <c r="K145" s="519">
        <f>1375.78777433149*(Unit.W)</f>
        <v>1.3757877743314901E-6</v>
      </c>
      <c r="L145" s="519">
        <f>1344.81019938262*(Unit.W)</f>
        <v>1.3448101993826201E-6</v>
      </c>
      <c r="M145" s="519">
        <f>1314.53012310877*(Unit.W)</f>
        <v>1.3145301231087702E-6</v>
      </c>
      <c r="N145" s="519">
        <f>1284.93184045871*(Unit.W)</f>
        <v>1.2849318404587101E-6</v>
      </c>
      <c r="O145" s="519">
        <f>1256*(Unit.W)</f>
        <v>1.2560000000000001E-6</v>
      </c>
      <c r="P145" s="402"/>
      <c r="R145" s="708"/>
      <c r="S145" s="35"/>
      <c r="T145" s="35"/>
      <c r="U145" s="35"/>
      <c r="V145" s="35"/>
      <c r="W145" s="35"/>
      <c r="X145" s="35"/>
      <c r="Y145" s="35"/>
      <c r="Z145" s="35"/>
      <c r="AA145" s="35"/>
      <c r="AB145" s="35"/>
      <c r="AC145" s="35"/>
      <c r="AD145" s="35"/>
      <c r="AE145" s="35"/>
      <c r="AF145" s="35"/>
      <c r="AG145" s="35"/>
      <c r="AH145" s="35"/>
    </row>
    <row r="146" spans="1:34" ht="15.75" customHeight="1">
      <c r="A146" s="420"/>
      <c r="B146" s="402"/>
      <c r="C146" s="402"/>
      <c r="D146" s="1587" t="s">
        <v>439</v>
      </c>
      <c r="E146" s="1591"/>
      <c r="F146" s="519">
        <f t="shared" ref="F146:O146" si="37">754*(Unit.W)</f>
        <v>7.54E-7</v>
      </c>
      <c r="G146" s="519">
        <f t="shared" si="37"/>
        <v>7.54E-7</v>
      </c>
      <c r="H146" s="519">
        <f t="shared" si="37"/>
        <v>7.54E-7</v>
      </c>
      <c r="I146" s="519">
        <f t="shared" si="37"/>
        <v>7.54E-7</v>
      </c>
      <c r="J146" s="519">
        <f t="shared" si="37"/>
        <v>7.54E-7</v>
      </c>
      <c r="K146" s="519">
        <f t="shared" si="37"/>
        <v>7.54E-7</v>
      </c>
      <c r="L146" s="519">
        <f t="shared" si="37"/>
        <v>7.54E-7</v>
      </c>
      <c r="M146" s="519">
        <f t="shared" si="37"/>
        <v>7.54E-7</v>
      </c>
      <c r="N146" s="519">
        <f t="shared" si="37"/>
        <v>7.54E-7</v>
      </c>
      <c r="O146" s="519">
        <f t="shared" si="37"/>
        <v>7.54E-7</v>
      </c>
      <c r="P146" s="402"/>
      <c r="R146" s="708"/>
      <c r="S146" s="35"/>
      <c r="T146" s="35"/>
      <c r="U146" s="35"/>
      <c r="V146" s="35"/>
      <c r="W146" s="35"/>
      <c r="X146" s="35"/>
      <c r="Y146" s="35"/>
      <c r="Z146" s="35"/>
      <c r="AA146" s="35"/>
      <c r="AB146" s="35"/>
      <c r="AC146" s="35"/>
      <c r="AD146" s="35"/>
      <c r="AE146" s="35"/>
      <c r="AF146" s="35"/>
      <c r="AG146" s="35"/>
      <c r="AH146" s="35"/>
    </row>
    <row r="147" spans="1:34" ht="12" customHeight="1">
      <c r="B147" s="402"/>
      <c r="C147" s="1587"/>
      <c r="D147" s="1592"/>
      <c r="E147" s="1593"/>
      <c r="F147" s="415"/>
      <c r="G147" s="415"/>
      <c r="H147" s="415"/>
      <c r="I147" s="415"/>
      <c r="J147" s="415"/>
      <c r="K147" s="415"/>
      <c r="L147" s="415"/>
      <c r="M147" s="415"/>
      <c r="N147" s="415"/>
      <c r="O147" s="415"/>
      <c r="P147" s="402"/>
      <c r="R147" s="1594"/>
      <c r="S147" s="1594"/>
      <c r="T147" s="1594"/>
      <c r="U147" s="1594"/>
      <c r="V147" s="1594"/>
      <c r="W147" s="1594"/>
      <c r="X147" s="242"/>
      <c r="Y147" s="242"/>
      <c r="Z147" s="1594"/>
      <c r="AA147" s="1594"/>
      <c r="AB147" s="1594"/>
      <c r="AC147" s="1594"/>
      <c r="AD147" s="1594"/>
      <c r="AE147" s="1594"/>
      <c r="AF147" s="1594"/>
      <c r="AG147" s="35"/>
      <c r="AH147" s="35"/>
    </row>
    <row r="148" spans="1:34" s="2748" customFormat="1" ht="12" customHeight="1">
      <c r="B148" s="402"/>
      <c r="C148" s="1587"/>
      <c r="D148" s="1592"/>
      <c r="E148" s="1593"/>
      <c r="F148" s="415"/>
      <c r="G148" s="415"/>
      <c r="H148" s="415"/>
      <c r="I148" s="415"/>
      <c r="J148" s="415"/>
      <c r="K148" s="415"/>
      <c r="L148" s="415"/>
      <c r="M148" s="415"/>
      <c r="N148" s="415"/>
      <c r="O148" s="415"/>
      <c r="P148" s="402"/>
      <c r="R148" s="1594"/>
      <c r="S148" s="1594"/>
      <c r="T148" s="1594"/>
      <c r="U148" s="1594"/>
      <c r="V148" s="1594"/>
      <c r="W148" s="1594"/>
      <c r="X148" s="242"/>
      <c r="Y148" s="242"/>
      <c r="Z148" s="1594"/>
      <c r="AA148" s="1594"/>
      <c r="AB148" s="1594"/>
      <c r="AC148" s="1594"/>
      <c r="AD148" s="1594"/>
      <c r="AE148" s="1594"/>
      <c r="AF148" s="1594"/>
      <c r="AG148" s="35"/>
      <c r="AH148" s="35"/>
    </row>
    <row r="149" spans="1:34" ht="12" customHeight="1">
      <c r="B149" s="402"/>
      <c r="C149" s="1586" t="s">
        <v>2128</v>
      </c>
      <c r="D149" s="1592"/>
      <c r="E149" s="1593"/>
      <c r="F149" s="2801">
        <f>30*unit.lke</f>
        <v>1.1041666666666667E-7</v>
      </c>
      <c r="G149" s="415" t="str">
        <f>preferences.energyunits</f>
        <v>TWh</v>
      </c>
      <c r="H149" s="415"/>
      <c r="I149" s="415"/>
      <c r="J149" s="415"/>
      <c r="K149" s="415"/>
      <c r="L149" s="415"/>
      <c r="M149" s="415"/>
      <c r="N149" s="415"/>
      <c r="O149" s="415"/>
      <c r="P149" s="402"/>
      <c r="R149" s="1595"/>
      <c r="S149" s="1596"/>
      <c r="T149" s="1597"/>
      <c r="U149" s="1597"/>
      <c r="V149" s="1597"/>
      <c r="W149" s="1595"/>
      <c r="X149" s="1595"/>
      <c r="Y149" s="1595"/>
      <c r="Z149" s="1595"/>
      <c r="AA149" s="1595"/>
      <c r="AB149" s="1595"/>
      <c r="AC149" s="1595"/>
      <c r="AD149" s="1595"/>
      <c r="AE149" s="1595"/>
      <c r="AF149" s="1594"/>
      <c r="AG149" s="35"/>
      <c r="AH149" s="35"/>
    </row>
    <row r="150" spans="1:34" s="2748" customFormat="1" ht="12" customHeight="1">
      <c r="B150" s="402"/>
      <c r="C150" s="1587"/>
      <c r="D150" s="1592"/>
      <c r="E150" s="1593"/>
      <c r="F150" s="415"/>
      <c r="G150" s="415"/>
      <c r="H150" s="415"/>
      <c r="I150" s="415"/>
      <c r="J150" s="415"/>
      <c r="K150" s="415"/>
      <c r="L150" s="415"/>
      <c r="M150" s="415"/>
      <c r="N150" s="415"/>
      <c r="O150" s="415"/>
      <c r="P150" s="402"/>
      <c r="R150" s="1595"/>
      <c r="S150" s="1596"/>
      <c r="T150" s="1597"/>
      <c r="U150" s="1597"/>
      <c r="V150" s="1597"/>
      <c r="W150" s="1595"/>
      <c r="X150" s="1595"/>
      <c r="Y150" s="1595"/>
      <c r="Z150" s="1595"/>
      <c r="AA150" s="1595"/>
      <c r="AB150" s="1595"/>
      <c r="AC150" s="1595"/>
      <c r="AD150" s="1595"/>
      <c r="AE150" s="1595"/>
      <c r="AF150" s="1594"/>
      <c r="AG150" s="35"/>
      <c r="AH150" s="35"/>
    </row>
    <row r="151" spans="1:34" s="2748" customFormat="1" ht="12" customHeight="1">
      <c r="B151" s="402"/>
      <c r="C151" s="1587"/>
      <c r="D151" s="1592"/>
      <c r="E151" s="1593"/>
      <c r="F151" s="415"/>
      <c r="G151" s="415"/>
      <c r="H151" s="415"/>
      <c r="I151" s="415"/>
      <c r="J151" s="415"/>
      <c r="K151" s="415"/>
      <c r="L151" s="415"/>
      <c r="M151" s="415"/>
      <c r="N151" s="415"/>
      <c r="O151" s="415"/>
      <c r="P151" s="402"/>
      <c r="R151" s="1595"/>
      <c r="S151" s="1596"/>
      <c r="T151" s="1597"/>
      <c r="U151" s="1597"/>
      <c r="V151" s="1597"/>
      <c r="W151" s="1595"/>
      <c r="X151" s="1595"/>
      <c r="Y151" s="1595"/>
      <c r="Z151" s="1595"/>
      <c r="AA151" s="1595"/>
      <c r="AB151" s="1595"/>
      <c r="AC151" s="1595"/>
      <c r="AD151" s="1595"/>
      <c r="AE151" s="1595"/>
      <c r="AF151" s="1594"/>
      <c r="AG151" s="35"/>
      <c r="AH151" s="35"/>
    </row>
    <row r="152" spans="1:34" s="2748" customFormat="1" ht="12" customHeight="1">
      <c r="B152" s="402"/>
      <c r="C152" s="2802" t="s">
        <v>2196</v>
      </c>
      <c r="D152" s="1592"/>
      <c r="E152" s="1593"/>
      <c r="F152" s="415"/>
      <c r="G152" s="415"/>
      <c r="H152" s="415"/>
      <c r="I152" s="415"/>
      <c r="J152" s="415"/>
      <c r="K152" s="415"/>
      <c r="L152" s="415"/>
      <c r="M152" s="415"/>
      <c r="N152" s="415"/>
      <c r="O152" s="415"/>
      <c r="P152" s="402"/>
      <c r="R152" s="1595"/>
      <c r="S152" s="1596"/>
      <c r="T152" s="1597"/>
      <c r="U152" s="1597"/>
      <c r="V152" s="1597"/>
      <c r="W152" s="1595"/>
      <c r="X152" s="1595"/>
      <c r="Y152" s="1595"/>
      <c r="Z152" s="1595"/>
      <c r="AA152" s="1595"/>
      <c r="AB152" s="1595"/>
      <c r="AC152" s="1595"/>
      <c r="AD152" s="1595"/>
      <c r="AE152" s="1595"/>
      <c r="AF152" s="1594"/>
      <c r="AG152" s="35"/>
      <c r="AH152" s="35"/>
    </row>
    <row r="153" spans="1:34" s="2748" customFormat="1" ht="12" customHeight="1">
      <c r="B153" s="402"/>
      <c r="C153" s="1587"/>
      <c r="D153" s="1592"/>
      <c r="E153" s="1593"/>
      <c r="F153" s="415"/>
      <c r="G153" s="415"/>
      <c r="H153" s="415"/>
      <c r="I153" s="415"/>
      <c r="J153" s="415"/>
      <c r="K153" s="415"/>
      <c r="L153" s="415"/>
      <c r="M153" s="415"/>
      <c r="N153" s="415"/>
      <c r="O153" s="415"/>
      <c r="P153" s="402"/>
      <c r="R153" s="1595"/>
      <c r="S153" s="1596"/>
      <c r="T153" s="1597"/>
      <c r="U153" s="1597"/>
      <c r="V153" s="1597"/>
      <c r="W153" s="1595"/>
      <c r="X153" s="1595"/>
      <c r="Y153" s="1595"/>
      <c r="Z153" s="1595"/>
      <c r="AA153" s="1595"/>
      <c r="AB153" s="1595"/>
      <c r="AC153" s="1595"/>
      <c r="AD153" s="1595"/>
      <c r="AE153" s="1595"/>
      <c r="AF153" s="1594"/>
      <c r="AG153" s="35"/>
      <c r="AH153" s="35"/>
    </row>
    <row r="154" spans="1:34" s="2748" customFormat="1" ht="12" customHeight="1">
      <c r="B154" s="663"/>
      <c r="C154" s="2803" t="s">
        <v>2129</v>
      </c>
      <c r="D154" s="2803" t="s">
        <v>2130</v>
      </c>
      <c r="E154" s="2803"/>
      <c r="F154" s="2803">
        <v>2007</v>
      </c>
      <c r="G154" s="2803">
        <v>2012</v>
      </c>
      <c r="H154" s="2803">
        <v>2017</v>
      </c>
      <c r="I154" s="2803">
        <v>2022</v>
      </c>
      <c r="J154" s="2803">
        <v>2027</v>
      </c>
      <c r="K154" s="2803">
        <v>2032</v>
      </c>
      <c r="L154" s="2803">
        <v>2037</v>
      </c>
      <c r="M154" s="2803">
        <v>2042</v>
      </c>
      <c r="N154" s="2803">
        <v>2047</v>
      </c>
      <c r="O154" s="2803">
        <v>2052</v>
      </c>
      <c r="P154" s="402"/>
      <c r="R154" s="1595"/>
      <c r="S154" s="1596"/>
      <c r="T154" s="1597"/>
      <c r="U154" s="1597"/>
      <c r="V154" s="1597"/>
      <c r="W154" s="1595"/>
      <c r="X154" s="1595"/>
      <c r="Y154" s="1595"/>
      <c r="Z154" s="1595"/>
      <c r="AA154" s="1595"/>
      <c r="AB154" s="1595"/>
      <c r="AC154" s="1595"/>
      <c r="AD154" s="1595"/>
      <c r="AE154" s="1595"/>
      <c r="AF154" s="1594"/>
      <c r="AG154" s="35"/>
      <c r="AH154" s="35"/>
    </row>
    <row r="155" spans="1:34" s="2748" customFormat="1" ht="12" customHeight="1">
      <c r="B155" s="402"/>
      <c r="C155" s="402"/>
      <c r="D155" s="402"/>
      <c r="E155" s="402"/>
      <c r="F155" s="402"/>
      <c r="G155" s="402"/>
      <c r="H155" s="402"/>
      <c r="I155" s="402"/>
      <c r="J155" s="402"/>
      <c r="K155" s="402"/>
      <c r="L155" s="402"/>
      <c r="M155" s="402"/>
      <c r="N155" s="402"/>
      <c r="O155" s="402"/>
      <c r="P155" s="402"/>
      <c r="R155" s="1595"/>
      <c r="S155" s="1596"/>
      <c r="T155" s="1597"/>
      <c r="U155" s="1597"/>
      <c r="V155" s="1597"/>
      <c r="W155" s="1595"/>
      <c r="X155" s="1595"/>
      <c r="Y155" s="1595"/>
      <c r="Z155" s="1595"/>
      <c r="AA155" s="1595"/>
      <c r="AB155" s="1595"/>
      <c r="AC155" s="1595"/>
      <c r="AD155" s="1595"/>
      <c r="AE155" s="1595"/>
      <c r="AF155" s="1594"/>
      <c r="AG155" s="35"/>
      <c r="AH155" s="35"/>
    </row>
    <row r="156" spans="1:34" s="2748" customFormat="1" ht="12" customHeight="1">
      <c r="B156" s="402"/>
      <c r="C156" s="2804" t="s">
        <v>1341</v>
      </c>
      <c r="D156" s="402" t="s">
        <v>923</v>
      </c>
      <c r="E156" s="402"/>
      <c r="F156" s="2805">
        <v>0.93</v>
      </c>
      <c r="G156" s="2806">
        <v>0.93400000000000005</v>
      </c>
      <c r="H156" s="2806">
        <v>0.93800000000000006</v>
      </c>
      <c r="I156" s="2806">
        <v>0.94200000000000006</v>
      </c>
      <c r="J156" s="2806">
        <v>0.94600000000000006</v>
      </c>
      <c r="K156" s="2806">
        <v>0.95000000000000007</v>
      </c>
      <c r="L156" s="2806">
        <v>0.96250000000000013</v>
      </c>
      <c r="M156" s="2806">
        <v>0.97500000000000009</v>
      </c>
      <c r="N156" s="2806">
        <v>0.98750000000000004</v>
      </c>
      <c r="O156" s="2806">
        <v>1</v>
      </c>
      <c r="P156" s="402"/>
      <c r="R156" s="1595"/>
      <c r="S156" s="1596"/>
      <c r="T156" s="1597"/>
      <c r="U156" s="1597"/>
      <c r="V156" s="1597"/>
      <c r="W156" s="1595"/>
      <c r="X156" s="1595"/>
      <c r="Y156" s="1595"/>
      <c r="Z156" s="1595"/>
      <c r="AA156" s="1595"/>
      <c r="AB156" s="1595"/>
      <c r="AC156" s="1595"/>
      <c r="AD156" s="1595"/>
      <c r="AE156" s="1595"/>
      <c r="AF156" s="1594"/>
      <c r="AG156" s="35"/>
      <c r="AH156" s="35"/>
    </row>
    <row r="157" spans="1:34" s="2748" customFormat="1" ht="12" customHeight="1">
      <c r="B157" s="402"/>
      <c r="C157" s="2804"/>
      <c r="D157" s="402" t="s">
        <v>922</v>
      </c>
      <c r="E157" s="402"/>
      <c r="F157" s="2805">
        <v>0.6</v>
      </c>
      <c r="G157" s="2806">
        <v>0.66999999999999993</v>
      </c>
      <c r="H157" s="2806">
        <v>0.74</v>
      </c>
      <c r="I157" s="2806">
        <v>0.81</v>
      </c>
      <c r="J157" s="2806">
        <v>0.88000000000000012</v>
      </c>
      <c r="K157" s="2806">
        <v>0.95000000000000018</v>
      </c>
      <c r="L157" s="2806">
        <v>0.96250000000000013</v>
      </c>
      <c r="M157" s="2806">
        <v>0.97500000000000009</v>
      </c>
      <c r="N157" s="2806">
        <v>0.98750000000000004</v>
      </c>
      <c r="O157" s="2806">
        <v>1</v>
      </c>
      <c r="P157" s="402"/>
      <c r="R157" s="1595"/>
      <c r="S157" s="1596"/>
      <c r="T157" s="1597"/>
      <c r="U157" s="1597"/>
      <c r="V157" s="1597"/>
      <c r="W157" s="1595"/>
      <c r="X157" s="1595"/>
      <c r="Y157" s="1595"/>
      <c r="Z157" s="1595"/>
      <c r="AA157" s="1595"/>
      <c r="AB157" s="1595"/>
      <c r="AC157" s="1595"/>
      <c r="AD157" s="1595"/>
      <c r="AE157" s="1595"/>
      <c r="AF157" s="1594"/>
      <c r="AG157" s="35"/>
      <c r="AH157" s="35"/>
    </row>
    <row r="158" spans="1:34" s="2748" customFormat="1" ht="12" customHeight="1">
      <c r="B158" s="402"/>
      <c r="C158" s="2804" t="s">
        <v>1334</v>
      </c>
      <c r="D158" s="402" t="s">
        <v>923</v>
      </c>
      <c r="E158" s="402"/>
      <c r="F158" s="2805">
        <v>0.86</v>
      </c>
      <c r="G158" s="2806">
        <v>0.878</v>
      </c>
      <c r="H158" s="2806">
        <v>0.89600000000000002</v>
      </c>
      <c r="I158" s="2806">
        <v>0.91400000000000003</v>
      </c>
      <c r="J158" s="2806">
        <v>0.93200000000000005</v>
      </c>
      <c r="K158" s="2806">
        <v>0.95000000000000007</v>
      </c>
      <c r="L158" s="2806">
        <v>0.96250000000000013</v>
      </c>
      <c r="M158" s="2806">
        <v>0.97500000000000009</v>
      </c>
      <c r="N158" s="2806">
        <v>0.98750000000000004</v>
      </c>
      <c r="O158" s="2806">
        <v>1</v>
      </c>
      <c r="P158" s="402"/>
      <c r="R158" s="1595"/>
      <c r="S158" s="1596"/>
      <c r="T158" s="1597"/>
      <c r="U158" s="1597"/>
      <c r="V158" s="1597"/>
      <c r="W158" s="1595"/>
      <c r="X158" s="1595"/>
      <c r="Y158" s="1595"/>
      <c r="Z158" s="1595"/>
      <c r="AA158" s="1595"/>
      <c r="AB158" s="1595"/>
      <c r="AC158" s="1595"/>
      <c r="AD158" s="1595"/>
      <c r="AE158" s="1595"/>
      <c r="AF158" s="1594"/>
      <c r="AG158" s="35"/>
      <c r="AH158" s="35"/>
    </row>
    <row r="159" spans="1:34" s="2748" customFormat="1" ht="12" customHeight="1">
      <c r="B159" s="402"/>
      <c r="C159" s="2804"/>
      <c r="D159" s="402" t="s">
        <v>922</v>
      </c>
      <c r="E159" s="402"/>
      <c r="F159" s="2805">
        <v>0.46</v>
      </c>
      <c r="G159" s="2806">
        <v>0.55800000000000005</v>
      </c>
      <c r="H159" s="2806">
        <v>0.65600000000000003</v>
      </c>
      <c r="I159" s="2806">
        <v>0.754</v>
      </c>
      <c r="J159" s="2806">
        <v>0.85199999999999998</v>
      </c>
      <c r="K159" s="2806">
        <v>0.95</v>
      </c>
      <c r="L159" s="2806">
        <v>0.96249999999999991</v>
      </c>
      <c r="M159" s="2806">
        <v>0.97499999999999987</v>
      </c>
      <c r="N159" s="2806">
        <v>0.98749999999999982</v>
      </c>
      <c r="O159" s="2806">
        <v>0.99999999999999978</v>
      </c>
      <c r="P159" s="402"/>
      <c r="R159" s="1595"/>
      <c r="S159" s="1596"/>
      <c r="T159" s="1597"/>
      <c r="U159" s="1597"/>
      <c r="V159" s="1597"/>
      <c r="W159" s="1595"/>
      <c r="X159" s="1595"/>
      <c r="Y159" s="1595"/>
      <c r="Z159" s="1595"/>
      <c r="AA159" s="1595"/>
      <c r="AB159" s="1595"/>
      <c r="AC159" s="1595"/>
      <c r="AD159" s="1595"/>
      <c r="AE159" s="1595"/>
      <c r="AF159" s="1594"/>
      <c r="AG159" s="35"/>
      <c r="AH159" s="35"/>
    </row>
    <row r="160" spans="1:34" s="2748" customFormat="1" ht="12" customHeight="1">
      <c r="B160" s="402"/>
      <c r="C160" s="2804" t="s">
        <v>1335</v>
      </c>
      <c r="D160" s="402" t="s">
        <v>923</v>
      </c>
      <c r="E160" s="402"/>
      <c r="F160" s="2805">
        <v>0.71</v>
      </c>
      <c r="G160" s="2806">
        <v>0.71799999999999997</v>
      </c>
      <c r="H160" s="2806">
        <v>0.751</v>
      </c>
      <c r="I160" s="2806">
        <v>0.78400000000000003</v>
      </c>
      <c r="J160" s="2806">
        <v>0.81700000000000006</v>
      </c>
      <c r="K160" s="2806">
        <v>0.85000000000000009</v>
      </c>
      <c r="L160" s="2806">
        <v>0.87500000000000011</v>
      </c>
      <c r="M160" s="2806">
        <v>0.90000000000000013</v>
      </c>
      <c r="N160" s="2806">
        <v>0.92500000000000016</v>
      </c>
      <c r="O160" s="2806">
        <v>0.95000000000000018</v>
      </c>
      <c r="P160" s="402"/>
      <c r="R160" s="1595"/>
      <c r="S160" s="1596"/>
      <c r="T160" s="1597"/>
      <c r="U160" s="1597"/>
      <c r="V160" s="1597"/>
      <c r="W160" s="1595"/>
      <c r="X160" s="1595"/>
      <c r="Y160" s="1595"/>
      <c r="Z160" s="1595"/>
      <c r="AA160" s="1595"/>
      <c r="AB160" s="1595"/>
      <c r="AC160" s="1595"/>
      <c r="AD160" s="1595"/>
      <c r="AE160" s="1595"/>
      <c r="AF160" s="1594"/>
      <c r="AG160" s="35"/>
      <c r="AH160" s="35"/>
    </row>
    <row r="161" spans="2:34" s="2748" customFormat="1" ht="12" customHeight="1">
      <c r="B161" s="402"/>
      <c r="C161" s="2804"/>
      <c r="D161" s="402" t="s">
        <v>922</v>
      </c>
      <c r="E161" s="402"/>
      <c r="F161" s="2805">
        <v>0.33</v>
      </c>
      <c r="G161" s="2806">
        <v>0.36399999999999999</v>
      </c>
      <c r="H161" s="2806">
        <v>0.47299999999999998</v>
      </c>
      <c r="I161" s="2806">
        <v>0.58199999999999996</v>
      </c>
      <c r="J161" s="2806">
        <v>0.69099999999999995</v>
      </c>
      <c r="K161" s="2806">
        <v>0.79999999999999993</v>
      </c>
      <c r="L161" s="2806">
        <v>0.83749999999999991</v>
      </c>
      <c r="M161" s="2806">
        <v>0.87499999999999989</v>
      </c>
      <c r="N161" s="2806">
        <v>0.91249999999999987</v>
      </c>
      <c r="O161" s="2806">
        <v>0.94999999999999984</v>
      </c>
      <c r="P161" s="402"/>
      <c r="R161" s="1595"/>
      <c r="S161" s="1596"/>
      <c r="T161" s="1597"/>
      <c r="U161" s="1597"/>
      <c r="V161" s="1597"/>
      <c r="W161" s="1595"/>
      <c r="X161" s="1595"/>
      <c r="Y161" s="1595"/>
      <c r="Z161" s="1595"/>
      <c r="AA161" s="1595"/>
      <c r="AB161" s="1595"/>
      <c r="AC161" s="1595"/>
      <c r="AD161" s="1595"/>
      <c r="AE161" s="1595"/>
      <c r="AF161" s="1594"/>
      <c r="AG161" s="35"/>
      <c r="AH161" s="35"/>
    </row>
    <row r="162" spans="2:34" s="2748" customFormat="1" ht="12" customHeight="1">
      <c r="B162" s="402"/>
      <c r="C162" s="2804" t="s">
        <v>2131</v>
      </c>
      <c r="D162" s="402" t="s">
        <v>923</v>
      </c>
      <c r="E162" s="402"/>
      <c r="F162" s="2805">
        <v>0.37</v>
      </c>
      <c r="G162" s="2806">
        <v>0.39600000000000002</v>
      </c>
      <c r="H162" s="2806">
        <v>0.47199999999999998</v>
      </c>
      <c r="I162" s="2806">
        <v>0.54799999999999993</v>
      </c>
      <c r="J162" s="2806">
        <v>0.62399999999999989</v>
      </c>
      <c r="K162" s="2806">
        <v>0.69999999999999984</v>
      </c>
      <c r="L162" s="2806">
        <v>0.72499999999999987</v>
      </c>
      <c r="M162" s="2806">
        <v>0.74999999999999989</v>
      </c>
      <c r="N162" s="2806">
        <v>0.77499999999999991</v>
      </c>
      <c r="O162" s="2806">
        <v>0.79999999999999993</v>
      </c>
      <c r="P162" s="402"/>
      <c r="R162" s="1595"/>
      <c r="S162" s="1596"/>
      <c r="T162" s="1597"/>
      <c r="U162" s="1597"/>
      <c r="V162" s="1597"/>
      <c r="W162" s="1595"/>
      <c r="X162" s="1595"/>
      <c r="Y162" s="1595"/>
      <c r="Z162" s="1595"/>
      <c r="AA162" s="1595"/>
      <c r="AB162" s="1595"/>
      <c r="AC162" s="1595"/>
      <c r="AD162" s="1595"/>
      <c r="AE162" s="1595"/>
      <c r="AF162" s="1594"/>
      <c r="AG162" s="35"/>
      <c r="AH162" s="35"/>
    </row>
    <row r="163" spans="2:34" s="2748" customFormat="1" ht="12" customHeight="1">
      <c r="B163" s="402"/>
      <c r="C163" s="2804"/>
      <c r="D163" s="402" t="s">
        <v>922</v>
      </c>
      <c r="E163" s="402"/>
      <c r="F163" s="2805">
        <v>0.06</v>
      </c>
      <c r="G163" s="2806">
        <v>8.7999999999999995E-2</v>
      </c>
      <c r="H163" s="2806">
        <v>0.216</v>
      </c>
      <c r="I163" s="2806">
        <v>0.34399999999999997</v>
      </c>
      <c r="J163" s="2806">
        <v>0.47199999999999998</v>
      </c>
      <c r="K163" s="2806">
        <v>0.6</v>
      </c>
      <c r="L163" s="2806">
        <v>0.63749999999999996</v>
      </c>
      <c r="M163" s="2806">
        <v>0.67499999999999993</v>
      </c>
      <c r="N163" s="2806">
        <v>0.71249999999999991</v>
      </c>
      <c r="O163" s="2806">
        <v>0.74999999999999989</v>
      </c>
      <c r="P163" s="402"/>
      <c r="R163" s="1595"/>
      <c r="S163" s="1596"/>
      <c r="T163" s="1597"/>
      <c r="U163" s="1597"/>
      <c r="V163" s="1597"/>
      <c r="W163" s="1595"/>
      <c r="X163" s="1595"/>
      <c r="Y163" s="1595"/>
      <c r="Z163" s="1595"/>
      <c r="AA163" s="1595"/>
      <c r="AB163" s="1595"/>
      <c r="AC163" s="1595"/>
      <c r="AD163" s="1595"/>
      <c r="AE163" s="1595"/>
      <c r="AF163" s="1594"/>
      <c r="AG163" s="35"/>
      <c r="AH163" s="35"/>
    </row>
    <row r="164" spans="2:34" s="2748" customFormat="1" ht="12" customHeight="1">
      <c r="B164" s="402"/>
      <c r="C164" s="2804" t="s">
        <v>1343</v>
      </c>
      <c r="D164" s="402" t="s">
        <v>923</v>
      </c>
      <c r="E164" s="402"/>
      <c r="F164" s="2805">
        <v>0.03</v>
      </c>
      <c r="G164" s="2806">
        <v>5.3999999999999999E-2</v>
      </c>
      <c r="H164" s="2806">
        <v>0.14050000000000001</v>
      </c>
      <c r="I164" s="2806">
        <v>0.22700000000000004</v>
      </c>
      <c r="J164" s="2806">
        <v>0.31350000000000006</v>
      </c>
      <c r="K164" s="2806">
        <v>0.40000000000000008</v>
      </c>
      <c r="L164" s="2806">
        <v>0.45000000000000007</v>
      </c>
      <c r="M164" s="2806">
        <v>0.5</v>
      </c>
      <c r="N164" s="2806">
        <v>0.55000000000000004</v>
      </c>
      <c r="O164" s="2806">
        <v>0.60000000000000009</v>
      </c>
      <c r="P164" s="402"/>
      <c r="R164" s="1595"/>
      <c r="S164" s="1596"/>
      <c r="T164" s="1597"/>
      <c r="U164" s="1597"/>
      <c r="V164" s="1597"/>
      <c r="W164" s="1595"/>
      <c r="X164" s="1595"/>
      <c r="Y164" s="1595"/>
      <c r="Z164" s="1595"/>
      <c r="AA164" s="1595"/>
      <c r="AB164" s="1595"/>
      <c r="AC164" s="1595"/>
      <c r="AD164" s="1595"/>
      <c r="AE164" s="1595"/>
      <c r="AF164" s="1594"/>
      <c r="AG164" s="35"/>
      <c r="AH164" s="35"/>
    </row>
    <row r="165" spans="2:34" s="2748" customFormat="1" ht="12" customHeight="1">
      <c r="B165" s="402"/>
      <c r="C165" s="2804"/>
      <c r="D165" s="402" t="s">
        <v>922</v>
      </c>
      <c r="E165" s="402"/>
      <c r="F165" s="2805">
        <v>0.01</v>
      </c>
      <c r="G165" s="2806">
        <v>2.8000000000000004E-2</v>
      </c>
      <c r="H165" s="2806">
        <v>9.6000000000000002E-2</v>
      </c>
      <c r="I165" s="2806">
        <v>0.16399999999999998</v>
      </c>
      <c r="J165" s="2806">
        <v>0.23199999999999998</v>
      </c>
      <c r="K165" s="2806">
        <v>0.3</v>
      </c>
      <c r="L165" s="2806">
        <v>0.35</v>
      </c>
      <c r="M165" s="2806">
        <v>0.39999999999999997</v>
      </c>
      <c r="N165" s="2806">
        <v>0.44999999999999996</v>
      </c>
      <c r="O165" s="2806">
        <v>0.49999999999999994</v>
      </c>
      <c r="P165" s="402"/>
      <c r="R165" s="1595"/>
      <c r="S165" s="1596"/>
      <c r="T165" s="1597"/>
      <c r="U165" s="1597"/>
      <c r="V165" s="1597"/>
      <c r="W165" s="1595"/>
      <c r="X165" s="1595"/>
      <c r="Y165" s="1595"/>
      <c r="Z165" s="1595"/>
      <c r="AA165" s="1595"/>
      <c r="AB165" s="1595"/>
      <c r="AC165" s="1595"/>
      <c r="AD165" s="1595"/>
      <c r="AE165" s="1595"/>
      <c r="AF165" s="1594"/>
      <c r="AG165" s="35"/>
      <c r="AH165" s="35"/>
    </row>
    <row r="166" spans="2:34" s="2748" customFormat="1" ht="12" customHeight="1">
      <c r="B166" s="1984"/>
      <c r="C166" s="2807" t="s">
        <v>920</v>
      </c>
      <c r="D166" s="2808" t="s">
        <v>923</v>
      </c>
      <c r="E166" s="1984"/>
      <c r="F166" s="1528">
        <f>100%-F156</f>
        <v>6.9999999999999951E-2</v>
      </c>
      <c r="G166" s="1528">
        <f t="shared" ref="G166:O167" si="38">100%-G156</f>
        <v>6.5999999999999948E-2</v>
      </c>
      <c r="H166" s="1528">
        <f t="shared" si="38"/>
        <v>6.1999999999999944E-2</v>
      </c>
      <c r="I166" s="1528">
        <f t="shared" si="38"/>
        <v>5.799999999999994E-2</v>
      </c>
      <c r="J166" s="1528">
        <f t="shared" si="38"/>
        <v>5.3999999999999937E-2</v>
      </c>
      <c r="K166" s="1528">
        <f t="shared" si="38"/>
        <v>4.9999999999999933E-2</v>
      </c>
      <c r="L166" s="1528">
        <f t="shared" si="38"/>
        <v>3.7499999999999867E-2</v>
      </c>
      <c r="M166" s="1528">
        <f t="shared" si="38"/>
        <v>2.4999999999999911E-2</v>
      </c>
      <c r="N166" s="1528">
        <f t="shared" si="38"/>
        <v>1.2499999999999956E-2</v>
      </c>
      <c r="O166" s="1528">
        <f t="shared" si="38"/>
        <v>0</v>
      </c>
      <c r="P166" s="402"/>
      <c r="R166" s="1595"/>
      <c r="S166" s="1596"/>
      <c r="T166" s="1597"/>
      <c r="U166" s="1597"/>
      <c r="V166" s="1597"/>
      <c r="W166" s="1595"/>
      <c r="X166" s="1595"/>
      <c r="Y166" s="1595"/>
      <c r="Z166" s="1595"/>
      <c r="AA166" s="1595"/>
      <c r="AB166" s="1595"/>
      <c r="AC166" s="1595"/>
      <c r="AD166" s="1595"/>
      <c r="AE166" s="1595"/>
      <c r="AF166" s="1594"/>
      <c r="AG166" s="35"/>
      <c r="AH166" s="35"/>
    </row>
    <row r="167" spans="2:34" s="2748" customFormat="1" ht="12" customHeight="1">
      <c r="B167" s="402"/>
      <c r="C167" s="1587"/>
      <c r="D167" s="1592" t="s">
        <v>922</v>
      </c>
      <c r="E167" s="1593"/>
      <c r="F167" s="600">
        <f>100%-F157</f>
        <v>0.4</v>
      </c>
      <c r="G167" s="600">
        <f t="shared" si="38"/>
        <v>0.33000000000000007</v>
      </c>
      <c r="H167" s="600">
        <f t="shared" si="38"/>
        <v>0.26</v>
      </c>
      <c r="I167" s="600">
        <f t="shared" si="38"/>
        <v>0.18999999999999995</v>
      </c>
      <c r="J167" s="600">
        <f t="shared" si="38"/>
        <v>0.11999999999999988</v>
      </c>
      <c r="K167" s="600">
        <f t="shared" si="38"/>
        <v>4.9999999999999822E-2</v>
      </c>
      <c r="L167" s="600">
        <f t="shared" si="38"/>
        <v>3.7499999999999867E-2</v>
      </c>
      <c r="M167" s="600">
        <f t="shared" si="38"/>
        <v>2.4999999999999911E-2</v>
      </c>
      <c r="N167" s="600">
        <f t="shared" si="38"/>
        <v>1.2499999999999956E-2</v>
      </c>
      <c r="O167" s="600">
        <f t="shared" si="38"/>
        <v>0</v>
      </c>
      <c r="P167" s="402"/>
      <c r="R167" s="1595"/>
      <c r="S167" s="1596"/>
      <c r="T167" s="1597"/>
      <c r="U167" s="1597"/>
      <c r="V167" s="1597"/>
      <c r="W167" s="1595"/>
      <c r="X167" s="1595"/>
      <c r="Y167" s="1595"/>
      <c r="Z167" s="1595"/>
      <c r="AA167" s="1595"/>
      <c r="AB167" s="1595"/>
      <c r="AC167" s="1595"/>
      <c r="AD167" s="1595"/>
      <c r="AE167" s="1595"/>
      <c r="AF167" s="1594"/>
      <c r="AG167" s="35"/>
      <c r="AH167" s="35"/>
    </row>
    <row r="168" spans="2:34" s="2748" customFormat="1" ht="12" customHeight="1">
      <c r="B168" s="402"/>
      <c r="C168" s="1587"/>
      <c r="D168" s="1592"/>
      <c r="E168" s="1593"/>
      <c r="F168" s="600"/>
      <c r="G168" s="600"/>
      <c r="H168" s="600"/>
      <c r="I168" s="600"/>
      <c r="J168" s="600"/>
      <c r="K168" s="600"/>
      <c r="L168" s="600"/>
      <c r="M168" s="600"/>
      <c r="N168" s="600"/>
      <c r="O168" s="600"/>
      <c r="P168" s="402"/>
      <c r="R168" s="1595"/>
      <c r="S168" s="1596"/>
      <c r="T168" s="1597"/>
      <c r="U168" s="1597"/>
      <c r="V168" s="1597"/>
      <c r="W168" s="1595"/>
      <c r="X168" s="1595"/>
      <c r="Y168" s="1595"/>
      <c r="Z168" s="1595"/>
      <c r="AA168" s="1595"/>
      <c r="AB168" s="1595"/>
      <c r="AC168" s="1595"/>
      <c r="AD168" s="1595"/>
      <c r="AE168" s="1595"/>
      <c r="AF168" s="1594"/>
      <c r="AG168" s="35"/>
      <c r="AH168" s="35"/>
    </row>
    <row r="169" spans="2:34" s="2748" customFormat="1" ht="12" customHeight="1">
      <c r="B169" s="402"/>
      <c r="C169" s="1586" t="s">
        <v>2132</v>
      </c>
      <c r="D169" s="1592"/>
      <c r="E169" s="1593"/>
      <c r="F169" s="600"/>
      <c r="G169" s="600"/>
      <c r="H169" s="600"/>
      <c r="I169" s="600"/>
      <c r="J169" s="600"/>
      <c r="K169" s="600"/>
      <c r="L169" s="600"/>
      <c r="M169" s="600"/>
      <c r="N169" s="600"/>
      <c r="O169" s="600" t="s">
        <v>913</v>
      </c>
      <c r="P169" s="402"/>
      <c r="R169" s="1595"/>
      <c r="S169" s="1596"/>
      <c r="T169" s="1597"/>
      <c r="U169" s="1597"/>
      <c r="V169" s="1597"/>
      <c r="W169" s="1595"/>
      <c r="X169" s="1595"/>
      <c r="Y169" s="1595"/>
      <c r="Z169" s="1595"/>
      <c r="AA169" s="1595"/>
      <c r="AB169" s="1595"/>
      <c r="AC169" s="1595"/>
      <c r="AD169" s="1595"/>
      <c r="AE169" s="1595"/>
      <c r="AF169" s="1594"/>
      <c r="AG169" s="35"/>
      <c r="AH169" s="35"/>
    </row>
    <row r="170" spans="2:34" s="2748" customFormat="1" ht="12" customHeight="1">
      <c r="B170" s="402"/>
      <c r="C170" s="1586"/>
      <c r="D170" s="1592"/>
      <c r="E170" s="1593"/>
      <c r="F170" s="600"/>
      <c r="G170" s="600"/>
      <c r="H170" s="600"/>
      <c r="I170" s="600"/>
      <c r="J170" s="600"/>
      <c r="K170" s="600"/>
      <c r="L170" s="600"/>
      <c r="M170" s="600"/>
      <c r="N170" s="600"/>
      <c r="O170" s="600"/>
      <c r="P170" s="402"/>
      <c r="R170" s="1595"/>
      <c r="S170" s="1596"/>
      <c r="T170" s="1597"/>
      <c r="U170" s="1597"/>
      <c r="V170" s="1597"/>
      <c r="W170" s="1595"/>
      <c r="X170" s="1595"/>
      <c r="Y170" s="1595"/>
      <c r="Z170" s="1595"/>
      <c r="AA170" s="1595"/>
      <c r="AB170" s="1595"/>
      <c r="AC170" s="1595"/>
      <c r="AD170" s="1595"/>
      <c r="AE170" s="1595"/>
      <c r="AF170" s="1594"/>
      <c r="AG170" s="35"/>
      <c r="AH170" s="35"/>
    </row>
    <row r="171" spans="2:34" s="2748" customFormat="1" ht="12" customHeight="1">
      <c r="B171" s="402"/>
      <c r="C171" s="2809"/>
      <c r="D171" s="2803" t="s">
        <v>2130</v>
      </c>
      <c r="E171" s="2803"/>
      <c r="F171" s="2803">
        <v>2007</v>
      </c>
      <c r="G171" s="2803">
        <v>2012</v>
      </c>
      <c r="H171" s="2803">
        <v>2017</v>
      </c>
      <c r="I171" s="2803">
        <v>2022</v>
      </c>
      <c r="J171" s="2803">
        <v>2027</v>
      </c>
      <c r="K171" s="2803">
        <v>2032</v>
      </c>
      <c r="L171" s="2803">
        <v>2037</v>
      </c>
      <c r="M171" s="2803">
        <v>2042</v>
      </c>
      <c r="N171" s="2803">
        <v>2047</v>
      </c>
      <c r="O171" s="2803">
        <v>2052</v>
      </c>
      <c r="P171" s="402"/>
      <c r="R171" s="1595"/>
      <c r="S171" s="1596"/>
      <c r="T171" s="1597"/>
      <c r="U171" s="1597"/>
      <c r="V171" s="1597"/>
      <c r="W171" s="1595"/>
      <c r="X171" s="1595"/>
      <c r="Y171" s="1595"/>
      <c r="Z171" s="1595"/>
      <c r="AA171" s="1595"/>
      <c r="AB171" s="1595"/>
      <c r="AC171" s="1595"/>
      <c r="AD171" s="1595"/>
      <c r="AE171" s="1595"/>
      <c r="AF171" s="1594"/>
      <c r="AG171" s="35"/>
      <c r="AH171" s="35"/>
    </row>
    <row r="172" spans="2:34" s="2748" customFormat="1" ht="12" customHeight="1">
      <c r="B172" s="402"/>
      <c r="C172" s="1587"/>
      <c r="D172" s="402"/>
      <c r="E172" s="402"/>
      <c r="F172" s="650"/>
      <c r="G172" s="650"/>
      <c r="H172" s="650"/>
      <c r="I172" s="650"/>
      <c r="J172" s="650"/>
      <c r="K172" s="650"/>
      <c r="L172" s="650"/>
      <c r="M172" s="650"/>
      <c r="N172" s="650"/>
      <c r="O172" s="650"/>
      <c r="P172" s="402"/>
      <c r="R172" s="1595"/>
      <c r="S172" s="1596"/>
      <c r="T172" s="1597"/>
      <c r="U172" s="1597"/>
      <c r="V172" s="1597"/>
      <c r="W172" s="1595"/>
      <c r="X172" s="1595"/>
      <c r="Y172" s="1595"/>
      <c r="Z172" s="1595"/>
      <c r="AA172" s="1595"/>
      <c r="AB172" s="1595"/>
      <c r="AC172" s="1595"/>
      <c r="AD172" s="1595"/>
      <c r="AE172" s="1595"/>
      <c r="AF172" s="1594"/>
      <c r="AG172" s="35"/>
      <c r="AH172" s="35"/>
    </row>
    <row r="173" spans="2:34" s="2748" customFormat="1" ht="12" customHeight="1">
      <c r="B173" s="402"/>
      <c r="C173" s="1587"/>
      <c r="D173" s="402" t="s">
        <v>923</v>
      </c>
      <c r="E173" s="402"/>
      <c r="F173" s="650">
        <f>F166*F125</f>
        <v>4.843087536801602</v>
      </c>
      <c r="G173" s="650">
        <f t="shared" ref="G173:O174" si="39">G166*G125</f>
        <v>5.8507411581675495</v>
      </c>
      <c r="H173" s="650">
        <f t="shared" si="39"/>
        <v>6.0128866338965432</v>
      </c>
      <c r="I173" s="650">
        <f t="shared" si="39"/>
        <v>6.3954414962406254</v>
      </c>
      <c r="J173" s="650">
        <f t="shared" si="39"/>
        <v>6.9411872695547085</v>
      </c>
      <c r="K173" s="650">
        <f t="shared" si="39"/>
        <v>7.2081398558718917</v>
      </c>
      <c r="L173" s="650">
        <f t="shared" si="39"/>
        <v>6.1752676847161663</v>
      </c>
      <c r="M173" s="650">
        <f t="shared" si="39"/>
        <v>4.5487061770722335</v>
      </c>
      <c r="N173" s="650">
        <f t="shared" si="39"/>
        <v>2.5696397732449285</v>
      </c>
      <c r="O173" s="650">
        <f t="shared" si="39"/>
        <v>0</v>
      </c>
      <c r="P173" s="402"/>
      <c r="R173" s="1595"/>
      <c r="S173" s="1596"/>
      <c r="T173" s="1597"/>
      <c r="U173" s="1597"/>
      <c r="V173" s="1597"/>
      <c r="W173" s="1595"/>
      <c r="X173" s="1595"/>
      <c r="Y173" s="1595"/>
      <c r="Z173" s="1595"/>
      <c r="AA173" s="1595"/>
      <c r="AB173" s="1595"/>
      <c r="AC173" s="1595"/>
      <c r="AD173" s="1595"/>
      <c r="AE173" s="1595"/>
      <c r="AF173" s="1594"/>
      <c r="AG173" s="35"/>
      <c r="AH173" s="35"/>
    </row>
    <row r="174" spans="2:34" s="2748" customFormat="1" ht="12" customHeight="1">
      <c r="B174" s="402"/>
      <c r="C174" s="1587"/>
      <c r="D174" s="402" t="s">
        <v>922</v>
      </c>
      <c r="E174" s="402"/>
      <c r="F174" s="650">
        <f>F167*F126</f>
        <v>62.863354524636399</v>
      </c>
      <c r="G174" s="650">
        <f t="shared" si="39"/>
        <v>56.387272413511724</v>
      </c>
      <c r="H174" s="650">
        <f t="shared" si="39"/>
        <v>46.936382420162566</v>
      </c>
      <c r="I174" s="650">
        <f t="shared" si="39"/>
        <v>36.118746077945261</v>
      </c>
      <c r="J174" s="650">
        <f t="shared" si="39"/>
        <v>23.604830889060096</v>
      </c>
      <c r="K174" s="650">
        <f t="shared" si="39"/>
        <v>10.179117075345964</v>
      </c>
      <c r="L174" s="650">
        <f t="shared" si="39"/>
        <v>7.7723212013527974</v>
      </c>
      <c r="M174" s="650">
        <f t="shared" si="39"/>
        <v>5.2847746723845814</v>
      </c>
      <c r="N174" s="650">
        <f t="shared" si="39"/>
        <v>2.6325473165336155</v>
      </c>
      <c r="O174" s="650">
        <f t="shared" si="39"/>
        <v>0</v>
      </c>
      <c r="P174" s="402"/>
      <c r="R174" s="1595"/>
      <c r="S174" s="1596"/>
      <c r="T174" s="1597"/>
      <c r="U174" s="1597"/>
      <c r="V174" s="1597"/>
      <c r="W174" s="1595"/>
      <c r="X174" s="1595"/>
      <c r="Y174" s="1595"/>
      <c r="Z174" s="1595"/>
      <c r="AA174" s="1595"/>
      <c r="AB174" s="1595"/>
      <c r="AC174" s="1595"/>
      <c r="AD174" s="1595"/>
      <c r="AE174" s="1595"/>
      <c r="AF174" s="1594"/>
      <c r="AG174" s="35"/>
      <c r="AH174" s="35"/>
    </row>
    <row r="175" spans="2:34" s="2748" customFormat="1" ht="12" customHeight="1">
      <c r="B175" s="402"/>
      <c r="C175" s="415"/>
      <c r="D175" s="415"/>
      <c r="E175" s="415"/>
      <c r="F175" s="415"/>
      <c r="G175" s="415"/>
      <c r="H175" s="415"/>
      <c r="I175" s="415"/>
      <c r="J175" s="415"/>
      <c r="K175" s="415"/>
      <c r="L175" s="415"/>
      <c r="M175" s="415"/>
      <c r="N175" s="415"/>
      <c r="O175" s="415"/>
      <c r="P175" s="402"/>
      <c r="R175" s="1595"/>
      <c r="S175" s="1596"/>
      <c r="T175" s="1597"/>
      <c r="U175" s="1597"/>
      <c r="V175" s="1597"/>
      <c r="W175" s="1595"/>
      <c r="X175" s="1595"/>
      <c r="Y175" s="1595"/>
      <c r="Z175" s="1595"/>
      <c r="AA175" s="1595"/>
      <c r="AB175" s="1595"/>
      <c r="AC175" s="1595"/>
      <c r="AD175" s="1595"/>
      <c r="AE175" s="1595"/>
      <c r="AF175" s="1594"/>
      <c r="AG175" s="35"/>
      <c r="AH175" s="35"/>
    </row>
    <row r="176" spans="2:34" s="2748" customFormat="1" ht="12" customHeight="1">
      <c r="B176" s="402"/>
      <c r="C176" s="415"/>
      <c r="D176" s="415"/>
      <c r="E176" s="415"/>
      <c r="F176" s="415"/>
      <c r="G176" s="415"/>
      <c r="H176" s="415"/>
      <c r="I176" s="415"/>
      <c r="J176" s="415"/>
      <c r="K176" s="415"/>
      <c r="L176" s="415"/>
      <c r="M176" s="415"/>
      <c r="N176" s="415"/>
      <c r="O176" s="415"/>
      <c r="P176" s="402"/>
      <c r="R176" s="1595"/>
      <c r="S176" s="1596"/>
      <c r="T176" s="1597"/>
      <c r="U176" s="1597"/>
      <c r="V176" s="1597"/>
      <c r="W176" s="1595"/>
      <c r="X176" s="1595"/>
      <c r="Y176" s="1595"/>
      <c r="Z176" s="1595"/>
      <c r="AA176" s="1595"/>
      <c r="AB176" s="1595"/>
      <c r="AC176" s="1595"/>
      <c r="AD176" s="1595"/>
      <c r="AE176" s="1595"/>
      <c r="AF176" s="1594"/>
      <c r="AG176" s="35"/>
      <c r="AH176" s="35"/>
    </row>
    <row r="177" spans="1:34" ht="13.5" customHeight="1">
      <c r="R177" s="1595"/>
      <c r="S177" s="1598"/>
      <c r="T177" s="1599"/>
      <c r="U177" s="1600"/>
      <c r="V177" s="1599"/>
      <c r="W177" s="1595"/>
      <c r="X177" s="1595"/>
      <c r="Y177" s="1595"/>
      <c r="Z177" s="1595"/>
      <c r="AA177" s="1595"/>
      <c r="AB177" s="1595"/>
      <c r="AC177" s="1595"/>
      <c r="AD177" s="1595"/>
      <c r="AE177" s="1595"/>
      <c r="AF177" s="1594"/>
      <c r="AG177" s="35"/>
      <c r="AH177" s="35"/>
    </row>
    <row r="178" spans="1:34" ht="12" customHeight="1">
      <c r="R178" s="1595"/>
      <c r="S178" s="35"/>
      <c r="T178" s="35"/>
      <c r="U178" s="35"/>
      <c r="V178" s="35"/>
      <c r="W178" s="35"/>
      <c r="X178" s="35"/>
      <c r="Y178" s="35"/>
      <c r="Z178" s="35"/>
      <c r="AA178" s="35"/>
      <c r="AB178" s="35"/>
      <c r="AC178" s="35"/>
      <c r="AD178" s="35"/>
      <c r="AE178" s="35"/>
      <c r="AF178" s="1594"/>
      <c r="AG178" s="35"/>
      <c r="AH178" s="35"/>
    </row>
    <row r="179" spans="1:34" ht="12" customHeight="1">
      <c r="B179" s="421" t="s">
        <v>270</v>
      </c>
      <c r="C179" s="1603"/>
      <c r="D179" s="1603"/>
      <c r="E179" s="1603"/>
      <c r="F179" s="1603"/>
      <c r="G179" s="1603"/>
      <c r="H179" s="1603"/>
      <c r="I179" s="1603"/>
      <c r="J179" s="1603"/>
      <c r="K179" s="1603"/>
      <c r="L179" s="1603"/>
      <c r="M179" s="1603"/>
      <c r="N179" s="1603"/>
      <c r="O179" s="1603"/>
      <c r="P179" s="1604"/>
      <c r="R179" s="1595"/>
      <c r="S179" s="35"/>
      <c r="T179" s="35"/>
      <c r="U179" s="35"/>
      <c r="V179" s="35"/>
      <c r="W179" s="35"/>
      <c r="X179" s="35"/>
      <c r="Y179" s="35"/>
      <c r="Z179" s="35"/>
      <c r="AA179" s="35"/>
      <c r="AB179" s="35"/>
      <c r="AC179" s="35"/>
      <c r="AD179" s="35"/>
      <c r="AE179" s="35"/>
      <c r="AF179" s="1594"/>
      <c r="AG179" s="35"/>
      <c r="AH179" s="35"/>
    </row>
    <row r="180" spans="1:34" ht="12" customHeight="1">
      <c r="B180" s="418"/>
      <c r="C180" s="415"/>
      <c r="D180" s="415"/>
      <c r="E180" s="415"/>
      <c r="F180" s="415"/>
      <c r="G180" s="415"/>
      <c r="H180" s="415"/>
      <c r="I180" s="415"/>
      <c r="J180" s="415"/>
      <c r="K180" s="415"/>
      <c r="L180" s="415"/>
      <c r="M180" s="415"/>
      <c r="N180" s="415"/>
      <c r="O180" s="415"/>
      <c r="P180" s="419"/>
      <c r="R180" s="1595"/>
      <c r="S180" s="35"/>
      <c r="T180" s="35"/>
      <c r="U180" s="35"/>
      <c r="V180" s="35"/>
      <c r="W180" s="35"/>
      <c r="X180" s="35"/>
      <c r="Y180" s="35"/>
      <c r="Z180" s="35"/>
      <c r="AA180" s="35"/>
      <c r="AB180" s="35"/>
      <c r="AC180" s="35"/>
      <c r="AD180" s="35"/>
      <c r="AE180" s="35"/>
      <c r="AF180" s="1594"/>
      <c r="AG180" s="35"/>
      <c r="AH180" s="35"/>
    </row>
    <row r="181" spans="1:34" ht="12" customHeight="1">
      <c r="B181" s="418"/>
      <c r="C181" s="416" t="s">
        <v>1351</v>
      </c>
      <c r="D181" s="415"/>
      <c r="E181" s="415"/>
      <c r="F181" s="618"/>
      <c r="G181" s="415"/>
      <c r="H181" s="415"/>
      <c r="I181" s="415"/>
      <c r="J181" s="415"/>
      <c r="K181" s="415"/>
      <c r="L181" s="415"/>
      <c r="M181" s="415"/>
      <c r="N181" s="415"/>
      <c r="O181" s="618"/>
      <c r="P181" s="419"/>
      <c r="R181" s="1595"/>
      <c r="S181" s="35"/>
      <c r="T181" s="35"/>
      <c r="U181" s="35"/>
      <c r="V181" s="35"/>
      <c r="W181" s="35"/>
      <c r="X181" s="35"/>
      <c r="Y181" s="35"/>
      <c r="Z181" s="35"/>
      <c r="AA181" s="35"/>
      <c r="AB181" s="35"/>
      <c r="AC181" s="35"/>
      <c r="AD181" s="35"/>
      <c r="AE181" s="35"/>
      <c r="AF181" s="1594"/>
      <c r="AG181" s="35"/>
      <c r="AH181" s="35"/>
    </row>
    <row r="182" spans="1:34" ht="4.5" customHeight="1">
      <c r="B182" s="418"/>
      <c r="C182" s="415"/>
      <c r="D182" s="415"/>
      <c r="E182" s="415"/>
      <c r="F182" s="415"/>
      <c r="G182" s="415"/>
      <c r="H182" s="415"/>
      <c r="I182" s="415"/>
      <c r="J182" s="415"/>
      <c r="K182" s="415"/>
      <c r="L182" s="415"/>
      <c r="M182" s="415"/>
      <c r="N182" s="415"/>
      <c r="O182" s="415"/>
      <c r="P182" s="419"/>
      <c r="R182" s="1595"/>
      <c r="S182" s="35"/>
      <c r="T182" s="35"/>
      <c r="U182" s="35"/>
      <c r="V182" s="35"/>
      <c r="W182" s="35"/>
      <c r="X182" s="35"/>
      <c r="Y182" s="35"/>
      <c r="Z182" s="35"/>
      <c r="AA182" s="35"/>
      <c r="AB182" s="35"/>
      <c r="AC182" s="35"/>
      <c r="AD182" s="35"/>
      <c r="AE182" s="35"/>
      <c r="AF182" s="1594"/>
      <c r="AG182" s="35"/>
      <c r="AH182" s="35"/>
    </row>
    <row r="183" spans="1:34" ht="12" customHeight="1">
      <c r="B183" s="152"/>
      <c r="C183" s="61" t="s">
        <v>64</v>
      </c>
      <c r="D183" s="61" t="s">
        <v>65</v>
      </c>
      <c r="E183" s="61" t="s">
        <v>156</v>
      </c>
      <c r="F183" s="119">
        <v>2007</v>
      </c>
      <c r="G183" s="120">
        <f>F183+5</f>
        <v>2012</v>
      </c>
      <c r="H183" s="120">
        <f t="shared" ref="H183:O183" si="40">G183+5</f>
        <v>2017</v>
      </c>
      <c r="I183" s="120">
        <f t="shared" si="40"/>
        <v>2022</v>
      </c>
      <c r="J183" s="120">
        <f t="shared" si="40"/>
        <v>2027</v>
      </c>
      <c r="K183" s="120">
        <f t="shared" si="40"/>
        <v>2032</v>
      </c>
      <c r="L183" s="120">
        <f t="shared" si="40"/>
        <v>2037</v>
      </c>
      <c r="M183" s="120">
        <f t="shared" si="40"/>
        <v>2042</v>
      </c>
      <c r="N183" s="120">
        <f t="shared" si="40"/>
        <v>2047</v>
      </c>
      <c r="O183" s="120">
        <f t="shared" si="40"/>
        <v>2052</v>
      </c>
      <c r="P183" s="419"/>
      <c r="R183" s="1595"/>
      <c r="S183" s="35"/>
      <c r="T183" s="35"/>
      <c r="U183" s="35"/>
      <c r="V183" s="35"/>
      <c r="W183" s="35"/>
      <c r="X183" s="35"/>
      <c r="Y183" s="35"/>
      <c r="Z183" s="35"/>
      <c r="AA183" s="35"/>
      <c r="AB183" s="35"/>
      <c r="AC183" s="35"/>
      <c r="AD183" s="35"/>
      <c r="AE183" s="35"/>
      <c r="AF183" s="1594"/>
      <c r="AG183" s="35"/>
      <c r="AH183" s="35"/>
    </row>
    <row r="184" spans="1:34" s="19" customFormat="1" ht="12" customHeight="1">
      <c r="B184" s="152"/>
      <c r="C184" s="69"/>
      <c r="D184" s="69" t="s">
        <v>1341</v>
      </c>
      <c r="E184" s="69"/>
      <c r="F184" s="601">
        <f>F43</f>
        <v>4.1070000000000003E-8</v>
      </c>
      <c r="G184" s="601">
        <f t="shared" ref="G184:O184" si="41">G43</f>
        <v>3.9196000000000009E-8</v>
      </c>
      <c r="H184" s="601">
        <f t="shared" si="41"/>
        <v>3.7322000000000008E-8</v>
      </c>
      <c r="I184" s="601">
        <f t="shared" si="41"/>
        <v>3.5448000000000001E-8</v>
      </c>
      <c r="J184" s="601">
        <f t="shared" si="41"/>
        <v>3.3574E-8</v>
      </c>
      <c r="K184" s="601">
        <f t="shared" si="41"/>
        <v>3.1699999999999999E-8</v>
      </c>
      <c r="L184" s="601">
        <f t="shared" si="41"/>
        <v>3.0237499999999995E-8</v>
      </c>
      <c r="M184" s="601">
        <f t="shared" si="41"/>
        <v>2.8774999999999995E-8</v>
      </c>
      <c r="N184" s="601">
        <f t="shared" si="41"/>
        <v>2.7312499999999991E-8</v>
      </c>
      <c r="O184" s="601">
        <f t="shared" si="41"/>
        <v>2.584999999999999E-8</v>
      </c>
      <c r="P184" s="1417"/>
      <c r="R184" s="1595"/>
      <c r="S184" s="383"/>
      <c r="T184" s="383"/>
      <c r="U184" s="383"/>
      <c r="V184" s="383"/>
      <c r="W184" s="383"/>
      <c r="X184" s="383"/>
      <c r="Y184" s="383"/>
      <c r="Z184" s="383"/>
      <c r="AA184" s="383"/>
      <c r="AB184" s="383"/>
      <c r="AC184" s="383"/>
      <c r="AD184" s="383"/>
      <c r="AE184" s="383"/>
      <c r="AF184" s="1594"/>
      <c r="AG184" s="383"/>
      <c r="AH184" s="383"/>
    </row>
    <row r="185" spans="1:34" s="19" customFormat="1" ht="12" customHeight="1">
      <c r="B185" s="152"/>
      <c r="C185" s="69"/>
      <c r="D185" s="69" t="s">
        <v>1342</v>
      </c>
      <c r="E185" s="69"/>
      <c r="F185" s="601">
        <f>F70</f>
        <v>7.4260000000000005E-8</v>
      </c>
      <c r="G185" s="601">
        <f t="shared" ref="G185:O185" si="42">G70</f>
        <v>7.4260000000000005E-8</v>
      </c>
      <c r="H185" s="601">
        <f t="shared" si="42"/>
        <v>7.2663721526055836E-8</v>
      </c>
      <c r="I185" s="601">
        <f t="shared" si="42"/>
        <v>7.1101873321239984E-8</v>
      </c>
      <c r="J185" s="601">
        <f t="shared" si="42"/>
        <v>6.9573712731454652E-8</v>
      </c>
      <c r="K185" s="601">
        <f t="shared" si="42"/>
        <v>6.8078513122070422E-8</v>
      </c>
      <c r="L185" s="601">
        <f t="shared" si="42"/>
        <v>6.6615563532364901E-8</v>
      </c>
      <c r="M185" s="601">
        <f t="shared" si="42"/>
        <v>6.5184168337414367E-8</v>
      </c>
      <c r="N185" s="601">
        <f t="shared" si="42"/>
        <v>6.3783646917280603E-8</v>
      </c>
      <c r="O185" s="601">
        <f t="shared" si="42"/>
        <v>6.2413333333333347E-8</v>
      </c>
      <c r="P185" s="601"/>
      <c r="R185" s="1595"/>
      <c r="S185" s="383"/>
      <c r="T185" s="383"/>
      <c r="U185" s="383"/>
      <c r="V185" s="383"/>
      <c r="W185" s="383"/>
      <c r="X185" s="383"/>
      <c r="Y185" s="383"/>
      <c r="Z185" s="383"/>
      <c r="AA185" s="383"/>
      <c r="AB185" s="383"/>
      <c r="AC185" s="383"/>
      <c r="AD185" s="383"/>
      <c r="AE185" s="383"/>
      <c r="AF185" s="1594"/>
      <c r="AG185" s="383"/>
      <c r="AH185" s="383"/>
    </row>
    <row r="186" spans="1:34" s="19" customFormat="1" ht="12" customHeight="1">
      <c r="B186" s="152"/>
      <c r="C186" s="69"/>
      <c r="D186" s="69" t="s">
        <v>1335</v>
      </c>
      <c r="E186" s="69"/>
      <c r="F186" s="601">
        <f>F78</f>
        <v>7.9349999999999993E-8</v>
      </c>
      <c r="G186" s="601">
        <f t="shared" ref="G186:O186" si="43">G78</f>
        <v>7.9349999999999993E-8</v>
      </c>
      <c r="H186" s="601">
        <f t="shared" si="43"/>
        <v>7.7973018718384583E-8</v>
      </c>
      <c r="I186" s="601">
        <f t="shared" si="43"/>
        <v>7.6620041475583718E-8</v>
      </c>
      <c r="J186" s="601">
        <f t="shared" si="43"/>
        <v>7.5290649824113023E-8</v>
      </c>
      <c r="K186" s="601">
        <f t="shared" si="43"/>
        <v>7.3984432611028936E-8</v>
      </c>
      <c r="L186" s="601">
        <f t="shared" si="43"/>
        <v>7.2700985850767008E-8</v>
      </c>
      <c r="M186" s="601">
        <f t="shared" si="43"/>
        <v>7.143991260019788E-8</v>
      </c>
      <c r="N186" s="601">
        <f t="shared" si="43"/>
        <v>7.0200822835859984E-8</v>
      </c>
      <c r="O186" s="601">
        <f t="shared" si="43"/>
        <v>6.8983333333333332E-8</v>
      </c>
      <c r="P186" s="1417"/>
      <c r="R186" s="1595"/>
      <c r="S186" s="383"/>
      <c r="T186" s="383"/>
      <c r="U186" s="383"/>
      <c r="V186" s="383"/>
      <c r="W186" s="383"/>
      <c r="X186" s="383"/>
      <c r="Y186" s="383"/>
      <c r="Z186" s="383"/>
      <c r="AA186" s="383"/>
      <c r="AB186" s="383"/>
      <c r="AC186" s="383"/>
      <c r="AD186" s="383"/>
      <c r="AE186" s="383"/>
      <c r="AF186" s="1594"/>
      <c r="AG186" s="383"/>
      <c r="AH186" s="383"/>
    </row>
    <row r="187" spans="1:34" s="19" customFormat="1" ht="12" customHeight="1">
      <c r="B187" s="152"/>
      <c r="C187" s="69"/>
      <c r="D187" s="69" t="s">
        <v>1336</v>
      </c>
      <c r="E187" s="69"/>
      <c r="F187" s="601">
        <f>F86</f>
        <v>4.09492E-7</v>
      </c>
      <c r="G187" s="601">
        <f t="shared" ref="G187:O187" si="44">G86</f>
        <v>4.09492E-7</v>
      </c>
      <c r="H187" s="601">
        <f t="shared" si="44"/>
        <v>3.9533143709672937E-7</v>
      </c>
      <c r="I187" s="601">
        <f t="shared" si="44"/>
        <v>3.8166273311589291E-7</v>
      </c>
      <c r="J187" s="601">
        <f t="shared" si="44"/>
        <v>3.6846879253960385E-7</v>
      </c>
      <c r="K187" s="601">
        <f t="shared" si="44"/>
        <v>3.5573311422987912E-7</v>
      </c>
      <c r="L187" s="601">
        <f t="shared" si="44"/>
        <v>3.4343977075981775E-7</v>
      </c>
      <c r="M187" s="601">
        <f t="shared" si="44"/>
        <v>3.315733884635732E-7</v>
      </c>
      <c r="N187" s="601">
        <f t="shared" si="44"/>
        <v>3.2011912818011801E-7</v>
      </c>
      <c r="O187" s="601">
        <f t="shared" si="44"/>
        <v>3.0906266666666673E-7</v>
      </c>
      <c r="P187" s="1417"/>
      <c r="R187" s="1595"/>
      <c r="S187" s="383"/>
      <c r="T187" s="383"/>
      <c r="U187" s="383"/>
      <c r="V187" s="383"/>
      <c r="W187" s="383"/>
      <c r="X187" s="383"/>
      <c r="Y187" s="383"/>
      <c r="Z187" s="383"/>
      <c r="AA187" s="383"/>
      <c r="AB187" s="383"/>
      <c r="AC187" s="383"/>
      <c r="AD187" s="383"/>
      <c r="AE187" s="383"/>
      <c r="AF187" s="1594"/>
      <c r="AG187" s="383"/>
      <c r="AH187" s="383"/>
    </row>
    <row r="188" spans="1:34" ht="12" customHeight="1">
      <c r="B188" s="152"/>
      <c r="C188" s="111"/>
      <c r="D188" s="112" t="s">
        <v>1352</v>
      </c>
      <c r="E188" s="844"/>
      <c r="F188" s="1605">
        <f>F94</f>
        <v>1.8111100000000002E-6</v>
      </c>
      <c r="G188" s="1605">
        <f t="shared" ref="G188:O188" si="45">G94</f>
        <v>1.8111100000000002E-6</v>
      </c>
      <c r="H188" s="1605">
        <f t="shared" si="45"/>
        <v>1.7905076258997483E-6</v>
      </c>
      <c r="I188" s="1605">
        <f t="shared" si="45"/>
        <v>1.770142465040373E-6</v>
      </c>
      <c r="J188" s="1605">
        <f t="shared" si="45"/>
        <v>1.7500117444141153E-6</v>
      </c>
      <c r="K188" s="1605">
        <f t="shared" si="45"/>
        <v>1.7301127243548479E-6</v>
      </c>
      <c r="L188" s="1605">
        <f t="shared" si="45"/>
        <v>1.7104426981169243E-6</v>
      </c>
      <c r="M188" s="1605">
        <f t="shared" si="45"/>
        <v>1.6909989914598826E-6</v>
      </c>
      <c r="N188" s="1605">
        <f t="shared" si="45"/>
        <v>1.6717789622387538E-6</v>
      </c>
      <c r="O188" s="1605">
        <f t="shared" si="45"/>
        <v>1.65278E-6</v>
      </c>
      <c r="P188" s="419"/>
      <c r="R188" s="1595"/>
      <c r="S188" s="1606"/>
      <c r="T188" s="1602"/>
      <c r="U188" s="1602"/>
      <c r="V188" s="1607"/>
      <c r="W188" s="1607"/>
      <c r="X188" s="1607"/>
      <c r="Y188" s="1607"/>
      <c r="Z188" s="1607"/>
      <c r="AA188" s="1607"/>
      <c r="AB188" s="1607"/>
      <c r="AC188" s="1607"/>
      <c r="AD188" s="1607"/>
      <c r="AE188" s="1607"/>
      <c r="AF188" s="1594"/>
      <c r="AG188" s="35"/>
      <c r="AH188" s="35"/>
    </row>
    <row r="189" spans="1:34">
      <c r="B189" s="418"/>
      <c r="C189" s="415"/>
      <c r="D189" s="415"/>
      <c r="E189" s="415"/>
      <c r="F189" s="415"/>
      <c r="G189" s="415"/>
      <c r="H189" s="415"/>
      <c r="I189" s="415"/>
      <c r="J189" s="415"/>
      <c r="K189" s="415"/>
      <c r="L189" s="415"/>
      <c r="M189" s="415"/>
      <c r="N189" s="415"/>
      <c r="O189" s="415"/>
      <c r="P189" s="419"/>
      <c r="R189" s="35"/>
      <c r="S189" s="1608"/>
      <c r="T189" s="35"/>
      <c r="U189" s="35"/>
      <c r="V189" s="35"/>
      <c r="W189" s="35"/>
      <c r="X189" s="35"/>
      <c r="Y189" s="35"/>
      <c r="Z189" s="35"/>
      <c r="AA189" s="35"/>
      <c r="AB189" s="35"/>
      <c r="AC189" s="35"/>
      <c r="AD189" s="35"/>
      <c r="AE189" s="35"/>
      <c r="AF189" s="35"/>
      <c r="AG189" s="35"/>
      <c r="AH189" s="35"/>
    </row>
    <row r="190" spans="1:34" ht="22.5" collapsed="1">
      <c r="A190" s="420"/>
      <c r="B190" s="152"/>
      <c r="C190" s="413"/>
      <c r="D190" s="414"/>
      <c r="E190" s="414"/>
      <c r="F190" s="613"/>
      <c r="G190" s="1609"/>
      <c r="H190" s="1609"/>
      <c r="I190" s="1609"/>
      <c r="J190" s="1609"/>
      <c r="K190" s="1609"/>
      <c r="L190" s="1609"/>
      <c r="M190" s="1609"/>
      <c r="N190" s="1609"/>
      <c r="O190" s="842"/>
      <c r="P190" s="419"/>
    </row>
    <row r="191" spans="1:34" ht="15.75">
      <c r="B191" s="152" t="s">
        <v>195</v>
      </c>
      <c r="C191" s="106" t="s">
        <v>2198</v>
      </c>
      <c r="D191" s="414"/>
      <c r="E191" s="1610"/>
      <c r="F191" s="98"/>
      <c r="G191" s="618"/>
      <c r="H191" s="415"/>
      <c r="I191" s="415"/>
      <c r="J191" s="415"/>
      <c r="K191" s="415"/>
      <c r="L191" s="415"/>
      <c r="M191" s="415"/>
      <c r="N191" s="415"/>
      <c r="O191" s="104" t="s">
        <v>277</v>
      </c>
      <c r="P191" s="419"/>
    </row>
    <row r="192" spans="1:34" ht="3.75" customHeight="1">
      <c r="B192" s="152"/>
      <c r="C192" s="413"/>
      <c r="D192" s="414"/>
      <c r="E192" s="414"/>
      <c r="F192" s="98"/>
      <c r="G192" s="618"/>
      <c r="H192" s="415"/>
      <c r="I192" s="415"/>
      <c r="J192" s="415"/>
      <c r="K192" s="415"/>
      <c r="L192" s="415"/>
      <c r="M192" s="415"/>
      <c r="N192" s="415"/>
      <c r="O192" s="415"/>
      <c r="P192" s="419"/>
    </row>
    <row r="193" spans="2:16" ht="15.75" customHeight="1">
      <c r="B193" s="152"/>
      <c r="C193" s="61"/>
      <c r="D193" s="61" t="s">
        <v>65</v>
      </c>
      <c r="E193" s="61" t="s">
        <v>156</v>
      </c>
      <c r="F193" s="119">
        <v>2007</v>
      </c>
      <c r="G193" s="120">
        <f>F193+5</f>
        <v>2012</v>
      </c>
      <c r="H193" s="120">
        <f t="shared" ref="H193:O193" si="46">G193+5</f>
        <v>2017</v>
      </c>
      <c r="I193" s="120">
        <f t="shared" si="46"/>
        <v>2022</v>
      </c>
      <c r="J193" s="120">
        <f t="shared" si="46"/>
        <v>2027</v>
      </c>
      <c r="K193" s="120">
        <f t="shared" si="46"/>
        <v>2032</v>
      </c>
      <c r="L193" s="120">
        <f t="shared" si="46"/>
        <v>2037</v>
      </c>
      <c r="M193" s="120">
        <f t="shared" si="46"/>
        <v>2042</v>
      </c>
      <c r="N193" s="120">
        <f t="shared" si="46"/>
        <v>2047</v>
      </c>
      <c r="O193" s="120">
        <f t="shared" si="46"/>
        <v>2052</v>
      </c>
      <c r="P193" s="419"/>
    </row>
    <row r="194" spans="2:16" s="2785" customFormat="1" ht="15.75">
      <c r="B194" s="2786"/>
      <c r="C194" s="2787" t="s">
        <v>1283</v>
      </c>
      <c r="D194" s="2787" t="s">
        <v>1354</v>
      </c>
      <c r="E194" s="2787"/>
      <c r="F194" s="2788">
        <f ca="1">INDEX(INDIRECT($B191&amp;".outputs["&amp;F$193&amp;"]"),MATCH($C$194,INDIRECT($B191&amp;".outputs[Vector]"),0))</f>
        <v>0</v>
      </c>
      <c r="G194" s="2788">
        <f t="shared" ref="G194:O194" ca="1" si="47">INDEX(INDIRECT($B191&amp;".outputs["&amp;G$193&amp;"]"),MATCH($C$194,INDIRECT($B191&amp;".outputs[Vector]"),0))</f>
        <v>0</v>
      </c>
      <c r="H194" s="2788">
        <f t="shared" ca="1" si="47"/>
        <v>-3.5880283678894724E-15</v>
      </c>
      <c r="I194" s="2788">
        <f t="shared" ca="1" si="47"/>
        <v>0</v>
      </c>
      <c r="J194" s="2788">
        <f t="shared" ca="1" si="47"/>
        <v>-1.2008288017286402E-15</v>
      </c>
      <c r="K194" s="2788">
        <f t="shared" ca="1" si="47"/>
        <v>0</v>
      </c>
      <c r="L194" s="2788">
        <f t="shared" ca="1" si="47"/>
        <v>1.8486902696319846E-15</v>
      </c>
      <c r="M194" s="2788">
        <f t="shared" ca="1" si="47"/>
        <v>-2.4084907582169496E-15</v>
      </c>
      <c r="N194" s="2788">
        <f t="shared" ca="1" si="47"/>
        <v>2.2768645842685481E-15</v>
      </c>
      <c r="O194" s="2788">
        <f t="shared" ca="1" si="47"/>
        <v>-3.3547669042171909E-15</v>
      </c>
      <c r="P194" s="2789"/>
    </row>
    <row r="195" spans="2:16" s="2785" customFormat="1" ht="15.75">
      <c r="B195" s="2786"/>
      <c r="C195" s="2901"/>
      <c r="D195" s="2901"/>
      <c r="E195" s="2901"/>
      <c r="F195" s="2902"/>
      <c r="G195" s="2902"/>
      <c r="H195" s="2902"/>
      <c r="I195" s="2902"/>
      <c r="J195" s="2902"/>
      <c r="K195" s="2902"/>
      <c r="L195" s="2902"/>
      <c r="M195" s="2902"/>
      <c r="N195" s="2902"/>
      <c r="O195" s="2902"/>
      <c r="P195" s="2789"/>
    </row>
    <row r="196" spans="2:16" ht="15.75">
      <c r="B196" s="152"/>
      <c r="C196" s="413" t="s">
        <v>2199</v>
      </c>
      <c r="D196" s="414"/>
      <c r="E196" s="414"/>
      <c r="F196" s="1525"/>
      <c r="G196" s="1525"/>
      <c r="H196" s="1525"/>
      <c r="I196" s="1525"/>
      <c r="J196" s="1525"/>
      <c r="K196" s="1525"/>
      <c r="L196" s="1525"/>
      <c r="M196" s="1525"/>
      <c r="N196" s="1525"/>
      <c r="O196" s="1525"/>
      <c r="P196" s="419"/>
    </row>
    <row r="197" spans="2:16" ht="15.75">
      <c r="B197" s="152"/>
      <c r="C197" s="413"/>
      <c r="D197" s="414"/>
      <c r="E197" s="414"/>
      <c r="F197" s="1525"/>
      <c r="G197" s="1525"/>
      <c r="H197" s="1525"/>
      <c r="I197" s="1525"/>
      <c r="J197" s="1525"/>
      <c r="K197" s="1525"/>
      <c r="L197" s="1525"/>
      <c r="M197" s="1525"/>
      <c r="N197" s="1525"/>
      <c r="O197" s="1525"/>
      <c r="P197" s="419"/>
    </row>
    <row r="198" spans="2:16">
      <c r="B198" s="418"/>
      <c r="C198" s="415"/>
      <c r="D198" s="415"/>
      <c r="E198" s="415"/>
      <c r="F198" s="415"/>
      <c r="G198" s="415"/>
      <c r="H198" s="415"/>
      <c r="I198" s="415"/>
      <c r="J198" s="415"/>
      <c r="K198" s="415"/>
      <c r="L198" s="415"/>
      <c r="M198" s="415"/>
      <c r="N198" s="415"/>
      <c r="O198" s="415"/>
      <c r="P198" s="419"/>
    </row>
    <row r="199" spans="2:16" ht="15.75">
      <c r="B199" s="89" t="s">
        <v>241</v>
      </c>
    </row>
    <row r="200" spans="2:16" ht="15.75">
      <c r="B200" s="89"/>
      <c r="E200" s="423" t="s">
        <v>404</v>
      </c>
      <c r="F200" s="1616">
        <v>2007</v>
      </c>
      <c r="G200" s="1616">
        <f t="shared" ref="G200:O200" si="48">F200+5</f>
        <v>2012</v>
      </c>
      <c r="H200" s="1616">
        <f t="shared" si="48"/>
        <v>2017</v>
      </c>
      <c r="I200" s="1616">
        <f t="shared" si="48"/>
        <v>2022</v>
      </c>
      <c r="J200" s="1616">
        <f t="shared" si="48"/>
        <v>2027</v>
      </c>
      <c r="K200" s="1616">
        <f t="shared" si="48"/>
        <v>2032</v>
      </c>
      <c r="L200" s="1616">
        <f t="shared" si="48"/>
        <v>2037</v>
      </c>
      <c r="M200" s="1616">
        <f t="shared" si="48"/>
        <v>2042</v>
      </c>
      <c r="N200" s="1616">
        <f t="shared" si="48"/>
        <v>2047</v>
      </c>
      <c r="O200" s="1616">
        <f t="shared" si="48"/>
        <v>2052</v>
      </c>
    </row>
    <row r="201" spans="2:16" ht="15.75">
      <c r="B201" s="89"/>
    </row>
    <row r="202" spans="2:16">
      <c r="C202" s="145" t="s">
        <v>1341</v>
      </c>
    </row>
    <row r="203" spans="2:16">
      <c r="C203" s="605" t="s">
        <v>1526</v>
      </c>
      <c r="F203" s="495">
        <f>F101*10^6</f>
        <v>630908182.98591495</v>
      </c>
      <c r="G203" s="495">
        <f t="shared" ref="G203:O203" si="49">G101*10^6</f>
        <v>802399163.86726844</v>
      </c>
      <c r="H203" s="495">
        <f t="shared" si="49"/>
        <v>986148601.68477738</v>
      </c>
      <c r="I203" s="495">
        <f t="shared" si="49"/>
        <v>1197913310.55617</v>
      </c>
      <c r="J203" s="495">
        <f t="shared" si="49"/>
        <v>1428417329.6733191</v>
      </c>
      <c r="K203" s="495">
        <f t="shared" si="49"/>
        <v>1685717611.4110737</v>
      </c>
      <c r="L203" s="495">
        <f t="shared" si="49"/>
        <v>1917765003.1225166</v>
      </c>
      <c r="M203" s="495">
        <f t="shared" si="49"/>
        <v>2171759291.5058298</v>
      </c>
      <c r="N203" s="495">
        <f t="shared" si="49"/>
        <v>2432408088.699666</v>
      </c>
      <c r="O203" s="495">
        <f t="shared" si="49"/>
        <v>2713581748.5318623</v>
      </c>
    </row>
    <row r="204" spans="2:16">
      <c r="B204" s="605" t="s">
        <v>1311</v>
      </c>
      <c r="C204" s="605" t="s">
        <v>1356</v>
      </c>
      <c r="E204" s="605" t="s">
        <v>468</v>
      </c>
      <c r="F204" s="1821">
        <f>F116</f>
        <v>1350</v>
      </c>
      <c r="G204" s="1821">
        <f t="shared" ref="G204:O204" si="50">G116</f>
        <v>1380</v>
      </c>
      <c r="H204" s="1821">
        <f t="shared" si="50"/>
        <v>1435</v>
      </c>
      <c r="I204" s="1821">
        <f t="shared" si="50"/>
        <v>1490</v>
      </c>
      <c r="J204" s="1821">
        <f t="shared" si="50"/>
        <v>1545</v>
      </c>
      <c r="K204" s="1821">
        <f t="shared" si="50"/>
        <v>1600</v>
      </c>
      <c r="L204" s="1821">
        <f t="shared" si="50"/>
        <v>1625</v>
      </c>
      <c r="M204" s="1821">
        <f t="shared" si="50"/>
        <v>1650</v>
      </c>
      <c r="N204" s="1821">
        <f t="shared" si="50"/>
        <v>1675</v>
      </c>
      <c r="O204" s="1821">
        <f t="shared" si="50"/>
        <v>1700</v>
      </c>
    </row>
    <row r="205" spans="2:16" s="37" customFormat="1">
      <c r="B205" s="605" t="s">
        <v>1311</v>
      </c>
      <c r="C205" s="605" t="s">
        <v>1525</v>
      </c>
      <c r="D205" s="605"/>
      <c r="E205" s="19" t="str">
        <f>Preferences.PowerUnits</f>
        <v>GW</v>
      </c>
      <c r="F205" s="1661">
        <f>F184</f>
        <v>4.1070000000000003E-8</v>
      </c>
      <c r="G205" s="1661">
        <f t="shared" ref="G205:O205" si="51">G184</f>
        <v>3.9196000000000009E-8</v>
      </c>
      <c r="H205" s="1661">
        <f t="shared" si="51"/>
        <v>3.7322000000000008E-8</v>
      </c>
      <c r="I205" s="1661">
        <f t="shared" si="51"/>
        <v>3.5448000000000001E-8</v>
      </c>
      <c r="J205" s="1661">
        <f t="shared" si="51"/>
        <v>3.3574E-8</v>
      </c>
      <c r="K205" s="1661">
        <f t="shared" si="51"/>
        <v>3.1699999999999999E-8</v>
      </c>
      <c r="L205" s="1661">
        <f t="shared" si="51"/>
        <v>3.0237499999999995E-8</v>
      </c>
      <c r="M205" s="1661">
        <f t="shared" si="51"/>
        <v>2.8774999999999995E-8</v>
      </c>
      <c r="N205" s="1661">
        <f t="shared" si="51"/>
        <v>2.7312499999999991E-8</v>
      </c>
      <c r="O205" s="1661">
        <f t="shared" si="51"/>
        <v>2.584999999999999E-8</v>
      </c>
      <c r="P205" s="605"/>
    </row>
    <row r="206" spans="2:16">
      <c r="B206" s="1479" t="s">
        <v>276</v>
      </c>
      <c r="C206" s="423" t="s">
        <v>1357</v>
      </c>
      <c r="E206" s="423" t="str">
        <f>preferences.energyunits&amp;"/year"</f>
        <v>TWh/year</v>
      </c>
      <c r="F206" s="495">
        <f t="shared" ref="F206:O206" si="52">(F203*F204*F205)*Unit.year*Preferences.Unit.Power/(8760*Preferences.Unit.Energy)</f>
        <v>35.004347921940351</v>
      </c>
      <c r="G206" s="495">
        <f t="shared" si="52"/>
        <v>43.431883429237566</v>
      </c>
      <c r="H206" s="495">
        <f t="shared" si="52"/>
        <v>52.851404505690489</v>
      </c>
      <c r="I206" s="495">
        <f t="shared" si="52"/>
        <v>63.314146409963001</v>
      </c>
      <c r="J206" s="495">
        <f t="shared" si="52"/>
        <v>74.145370634206614</v>
      </c>
      <c r="K206" s="495">
        <f t="shared" si="52"/>
        <v>85.558158618749644</v>
      </c>
      <c r="L206" s="495">
        <f t="shared" si="52"/>
        <v>94.295723238137953</v>
      </c>
      <c r="M206" s="495">
        <f t="shared" si="52"/>
        <v>103.1830414043643</v>
      </c>
      <c r="N206" s="495">
        <f t="shared" si="52"/>
        <v>111.35508782408367</v>
      </c>
      <c r="O206" s="495">
        <f t="shared" si="52"/>
        <v>119.33002689124582</v>
      </c>
    </row>
    <row r="207" spans="2:16">
      <c r="B207" s="422"/>
      <c r="F207" s="1821"/>
      <c r="G207" s="1821"/>
      <c r="H207" s="1821"/>
      <c r="I207" s="1821"/>
      <c r="J207" s="1821"/>
      <c r="K207" s="1821"/>
      <c r="L207" s="1821"/>
      <c r="M207" s="1821"/>
      <c r="N207" s="1821"/>
      <c r="O207" s="1821"/>
    </row>
    <row r="208" spans="2:16">
      <c r="C208" s="145" t="s">
        <v>1342</v>
      </c>
      <c r="F208" s="1821"/>
      <c r="G208" s="1821"/>
      <c r="H208" s="1821"/>
      <c r="I208" s="1821"/>
      <c r="J208" s="1821"/>
      <c r="K208" s="1821"/>
      <c r="L208" s="1821"/>
      <c r="M208" s="1821"/>
      <c r="N208" s="1821"/>
      <c r="O208" s="1821"/>
    </row>
    <row r="209" spans="1:18">
      <c r="C209" s="605" t="s">
        <v>1355</v>
      </c>
      <c r="F209" s="1821">
        <f>F102*10^6</f>
        <v>233348234.16285703</v>
      </c>
      <c r="G209" s="1821">
        <f t="shared" ref="G209:O209" si="53">G102*10^6</f>
        <v>305133903.71734071</v>
      </c>
      <c r="H209" s="1821">
        <f t="shared" si="53"/>
        <v>408194798.35773909</v>
      </c>
      <c r="I209" s="1821">
        <f t="shared" si="53"/>
        <v>532968646.89746302</v>
      </c>
      <c r="J209" s="1821">
        <f t="shared" si="53"/>
        <v>676401216.79239798</v>
      </c>
      <c r="K209" s="1821">
        <f t="shared" si="53"/>
        <v>842858805.70553672</v>
      </c>
      <c r="L209" s="1821">
        <f t="shared" si="53"/>
        <v>958882501.56125796</v>
      </c>
      <c r="M209" s="1821">
        <f t="shared" si="53"/>
        <v>1085879645.7529147</v>
      </c>
      <c r="N209" s="1821">
        <f t="shared" si="53"/>
        <v>1216204044.3498328</v>
      </c>
      <c r="O209" s="1821">
        <f t="shared" si="53"/>
        <v>1356790874.2659307</v>
      </c>
    </row>
    <row r="210" spans="1:18">
      <c r="B210" s="605" t="s">
        <v>1311</v>
      </c>
      <c r="C210" s="605" t="s">
        <v>1356</v>
      </c>
      <c r="E210" s="605" t="s">
        <v>468</v>
      </c>
      <c r="F210" s="1661">
        <f>F117</f>
        <v>1200</v>
      </c>
      <c r="G210" s="1661">
        <f t="shared" ref="G210:O210" si="54">G117</f>
        <v>1260</v>
      </c>
      <c r="H210" s="1661">
        <f t="shared" si="54"/>
        <v>1320</v>
      </c>
      <c r="I210" s="1661">
        <f t="shared" si="54"/>
        <v>1380</v>
      </c>
      <c r="J210" s="1661">
        <f t="shared" si="54"/>
        <v>1440</v>
      </c>
      <c r="K210" s="1661">
        <f t="shared" si="54"/>
        <v>1500</v>
      </c>
      <c r="L210" s="1661">
        <f t="shared" si="54"/>
        <v>1530</v>
      </c>
      <c r="M210" s="1661">
        <f t="shared" si="54"/>
        <v>1560</v>
      </c>
      <c r="N210" s="1661">
        <f t="shared" si="54"/>
        <v>1590</v>
      </c>
      <c r="O210" s="1661">
        <f t="shared" si="54"/>
        <v>1620</v>
      </c>
    </row>
    <row r="211" spans="1:18">
      <c r="B211" s="605" t="s">
        <v>1311</v>
      </c>
      <c r="C211" s="605" t="s">
        <v>1351</v>
      </c>
      <c r="E211" s="19" t="str">
        <f>Preferences.PowerUnits</f>
        <v>GW</v>
      </c>
      <c r="F211" s="1821">
        <f>F185</f>
        <v>7.4260000000000005E-8</v>
      </c>
      <c r="G211" s="1821">
        <f t="shared" ref="G211:O211" si="55">G185</f>
        <v>7.4260000000000005E-8</v>
      </c>
      <c r="H211" s="1821">
        <f t="shared" si="55"/>
        <v>7.2663721526055836E-8</v>
      </c>
      <c r="I211" s="1821">
        <f t="shared" si="55"/>
        <v>7.1101873321239984E-8</v>
      </c>
      <c r="J211" s="1821">
        <f t="shared" si="55"/>
        <v>6.9573712731454652E-8</v>
      </c>
      <c r="K211" s="1821">
        <f t="shared" si="55"/>
        <v>6.8078513122070422E-8</v>
      </c>
      <c r="L211" s="1821">
        <f t="shared" si="55"/>
        <v>6.6615563532364901E-8</v>
      </c>
      <c r="M211" s="1821">
        <f t="shared" si="55"/>
        <v>6.5184168337414367E-8</v>
      </c>
      <c r="N211" s="1821">
        <f t="shared" si="55"/>
        <v>6.3783646917280603E-8</v>
      </c>
      <c r="O211" s="1821">
        <f t="shared" si="55"/>
        <v>6.2413333333333347E-8</v>
      </c>
    </row>
    <row r="212" spans="1:18">
      <c r="B212" s="1479" t="s">
        <v>276</v>
      </c>
      <c r="C212" s="423" t="s">
        <v>1358</v>
      </c>
      <c r="E212" s="423" t="str">
        <f>preferences.energyunits&amp;"/year"</f>
        <v>TWh/year</v>
      </c>
      <c r="F212" s="495">
        <f t="shared" ref="F212:O212" si="56">(F209*F210*F211)*Unit.year*Preferences.Unit.Power/(8760*Preferences.Unit.Energy)</f>
        <v>20.808370396037446</v>
      </c>
      <c r="G212" s="495">
        <f t="shared" si="56"/>
        <v>28.57020228716776</v>
      </c>
      <c r="H212" s="495">
        <f t="shared" si="56"/>
        <v>39.17927491842034</v>
      </c>
      <c r="I212" s="495">
        <f t="shared" si="56"/>
        <v>52.331014145003707</v>
      </c>
      <c r="J212" s="495">
        <f t="shared" si="56"/>
        <v>67.812446375503413</v>
      </c>
      <c r="K212" s="495">
        <f t="shared" si="56"/>
        <v>86.129814041207553</v>
      </c>
      <c r="L212" s="495">
        <f t="shared" si="56"/>
        <v>97.797981320359725</v>
      </c>
      <c r="M212" s="495">
        <f t="shared" si="56"/>
        <v>110.49580238665538</v>
      </c>
      <c r="N212" s="495">
        <f t="shared" si="56"/>
        <v>123.42702885426918</v>
      </c>
      <c r="O212" s="495">
        <f t="shared" si="56"/>
        <v>137.27854462354205</v>
      </c>
    </row>
    <row r="213" spans="1:18">
      <c r="B213" s="422"/>
      <c r="C213" s="423"/>
      <c r="E213" s="19"/>
      <c r="F213" s="1821"/>
      <c r="G213" s="1821"/>
      <c r="H213" s="1821"/>
      <c r="I213" s="1821"/>
      <c r="J213" s="1821"/>
      <c r="K213" s="1821"/>
      <c r="L213" s="1821"/>
      <c r="M213" s="1821"/>
      <c r="N213" s="1821"/>
      <c r="O213" s="1821"/>
    </row>
    <row r="214" spans="1:18">
      <c r="C214" s="145" t="s">
        <v>1335</v>
      </c>
      <c r="D214" s="1602"/>
      <c r="E214" s="1601"/>
      <c r="F214" s="1822"/>
      <c r="G214" s="1822"/>
      <c r="H214" s="1822"/>
      <c r="I214" s="1822"/>
      <c r="J214" s="1822"/>
      <c r="K214" s="1599"/>
      <c r="L214" s="1599"/>
      <c r="M214" s="1599"/>
      <c r="N214" s="1599"/>
      <c r="O214" s="1599"/>
      <c r="P214" s="35"/>
    </row>
    <row r="215" spans="1:18">
      <c r="C215" s="605" t="s">
        <v>1355</v>
      </c>
      <c r="D215" s="1602"/>
      <c r="E215" s="1601"/>
      <c r="F215" s="1822">
        <f>F103*10^6</f>
        <v>102493104.18328789</v>
      </c>
      <c r="G215" s="1822">
        <f t="shared" ref="G215:O215" si="57">G103*10^6</f>
        <v>122925133.62919837</v>
      </c>
      <c r="H215" s="1822">
        <f t="shared" si="57"/>
        <v>179257122.59651616</v>
      </c>
      <c r="I215" s="1822">
        <f t="shared" si="57"/>
        <v>250292578.66950703</v>
      </c>
      <c r="J215" s="1822">
        <f t="shared" si="57"/>
        <v>335311500.02918583</v>
      </c>
      <c r="K215" s="1822">
        <f t="shared" si="57"/>
        <v>436906537.07730991</v>
      </c>
      <c r="L215" s="1822">
        <f t="shared" si="57"/>
        <v>486155831.31485718</v>
      </c>
      <c r="M215" s="1822">
        <f t="shared" si="57"/>
        <v>538613271.50140047</v>
      </c>
      <c r="N215" s="1822">
        <f t="shared" si="57"/>
        <v>590282178.82115388</v>
      </c>
      <c r="O215" s="1822">
        <f t="shared" si="57"/>
        <v>644475665.27631712</v>
      </c>
      <c r="P215" s="35"/>
    </row>
    <row r="216" spans="1:18">
      <c r="B216" s="605" t="s">
        <v>1311</v>
      </c>
      <c r="C216" s="605" t="s">
        <v>1356</v>
      </c>
      <c r="D216" s="1602"/>
      <c r="E216" s="605" t="s">
        <v>468</v>
      </c>
      <c r="F216" s="1823">
        <f>F118</f>
        <v>2190</v>
      </c>
      <c r="G216" s="1823">
        <f t="shared" ref="G216:O216" si="58">G118</f>
        <v>2190</v>
      </c>
      <c r="H216" s="1823">
        <f t="shared" si="58"/>
        <v>2190</v>
      </c>
      <c r="I216" s="1823">
        <f t="shared" si="58"/>
        <v>2190</v>
      </c>
      <c r="J216" s="1823">
        <f t="shared" si="58"/>
        <v>2190</v>
      </c>
      <c r="K216" s="1823">
        <f t="shared" si="58"/>
        <v>2190</v>
      </c>
      <c r="L216" s="1823">
        <f t="shared" si="58"/>
        <v>2190</v>
      </c>
      <c r="M216" s="1823">
        <f t="shared" si="58"/>
        <v>2190</v>
      </c>
      <c r="N216" s="1823">
        <f t="shared" si="58"/>
        <v>2190</v>
      </c>
      <c r="O216" s="1823">
        <f t="shared" si="58"/>
        <v>2190</v>
      </c>
      <c r="P216" s="35"/>
    </row>
    <row r="217" spans="1:18">
      <c r="B217" s="605" t="s">
        <v>1311</v>
      </c>
      <c r="C217" s="605" t="s">
        <v>1351</v>
      </c>
      <c r="D217" s="1602"/>
      <c r="E217" s="19" t="str">
        <f>Preferences.PowerUnits</f>
        <v>GW</v>
      </c>
      <c r="F217" s="1822">
        <f>F186</f>
        <v>7.9349999999999993E-8</v>
      </c>
      <c r="G217" s="1822">
        <f t="shared" ref="G217:O217" si="59">G186</f>
        <v>7.9349999999999993E-8</v>
      </c>
      <c r="H217" s="1822">
        <f t="shared" si="59"/>
        <v>7.7973018718384583E-8</v>
      </c>
      <c r="I217" s="1822">
        <f t="shared" si="59"/>
        <v>7.6620041475583718E-8</v>
      </c>
      <c r="J217" s="1822">
        <f t="shared" si="59"/>
        <v>7.5290649824113023E-8</v>
      </c>
      <c r="K217" s="1822">
        <f t="shared" si="59"/>
        <v>7.3984432611028936E-8</v>
      </c>
      <c r="L217" s="1822">
        <f t="shared" si="59"/>
        <v>7.2700985850767008E-8</v>
      </c>
      <c r="M217" s="1822">
        <f t="shared" si="59"/>
        <v>7.143991260019788E-8</v>
      </c>
      <c r="N217" s="1822">
        <f t="shared" si="59"/>
        <v>7.0200822835859984E-8</v>
      </c>
      <c r="O217" s="1822">
        <f t="shared" si="59"/>
        <v>6.8983333333333332E-8</v>
      </c>
      <c r="P217" s="35"/>
    </row>
    <row r="218" spans="1:18">
      <c r="B218" s="1479" t="s">
        <v>276</v>
      </c>
      <c r="C218" s="423" t="s">
        <v>1359</v>
      </c>
      <c r="D218" s="1602"/>
      <c r="E218" s="423" t="str">
        <f>preferences.energyunits&amp;"/year"</f>
        <v>TWh/year</v>
      </c>
      <c r="F218" s="495">
        <f t="shared" ref="F218:O218" si="60">(F215*F216*F217)*Unit.year*Preferences.Unit.Power/(8760*Preferences.Unit.Energy)</f>
        <v>17.823092160832541</v>
      </c>
      <c r="G218" s="495">
        <f t="shared" si="60"/>
        <v>21.376130648144603</v>
      </c>
      <c r="H218" s="495">
        <f t="shared" si="60"/>
        <v>30.631075385075427</v>
      </c>
      <c r="I218" s="495">
        <f t="shared" si="60"/>
        <v>42.027332933165688</v>
      </c>
      <c r="J218" s="495">
        <f t="shared" si="60"/>
        <v>55.326216131319171</v>
      </c>
      <c r="K218" s="495">
        <f t="shared" si="60"/>
        <v>70.83866455024878</v>
      </c>
      <c r="L218" s="495">
        <f t="shared" si="60"/>
        <v>77.456394000300108</v>
      </c>
      <c r="M218" s="495">
        <f t="shared" si="60"/>
        <v>84.325599968155132</v>
      </c>
      <c r="N218" s="495">
        <f t="shared" si="60"/>
        <v>90.812022744298332</v>
      </c>
      <c r="O218" s="495">
        <f t="shared" si="60"/>
        <v>97.429881537586169</v>
      </c>
      <c r="P218" s="35"/>
    </row>
    <row r="219" spans="1:18">
      <c r="B219" s="35"/>
      <c r="C219" s="1602"/>
      <c r="D219" s="1602"/>
      <c r="E219" s="1601"/>
      <c r="F219" s="1822"/>
      <c r="G219" s="1822"/>
      <c r="H219" s="1822"/>
      <c r="I219" s="1822"/>
      <c r="J219" s="1822"/>
      <c r="K219" s="1599"/>
      <c r="L219" s="1599"/>
      <c r="M219" s="1599"/>
      <c r="N219" s="1599"/>
      <c r="O219" s="1599"/>
      <c r="P219" s="35"/>
    </row>
    <row r="220" spans="1:18">
      <c r="B220" s="685"/>
      <c r="C220" s="145" t="s">
        <v>1336</v>
      </c>
      <c r="D220" s="1595"/>
      <c r="E220" s="1595"/>
      <c r="F220" s="1822"/>
      <c r="G220" s="1822"/>
      <c r="H220" s="1822"/>
      <c r="I220" s="1822"/>
      <c r="J220" s="1822"/>
      <c r="K220" s="1599"/>
      <c r="L220" s="1599"/>
      <c r="M220" s="1599"/>
      <c r="N220" s="1599"/>
      <c r="O220" s="1599"/>
      <c r="P220" s="35"/>
    </row>
    <row r="221" spans="1:18">
      <c r="B221" s="685"/>
      <c r="C221" s="605" t="s">
        <v>1355</v>
      </c>
      <c r="D221" s="1595"/>
      <c r="E221" s="1595"/>
      <c r="F221" s="1822">
        <f t="shared" ref="F221:O221" si="61">F104*10^6</f>
        <v>36334917.820810534</v>
      </c>
      <c r="G221" s="1822">
        <f t="shared" si="61"/>
        <v>47413812.198357329</v>
      </c>
      <c r="H221" s="1822">
        <f t="shared" si="61"/>
        <v>88480115.139183491</v>
      </c>
      <c r="I221" s="1822">
        <f t="shared" si="61"/>
        <v>139647881.70110694</v>
      </c>
      <c r="J221" s="1822">
        <f t="shared" si="61"/>
        <v>200698436.67576414</v>
      </c>
      <c r="K221" s="1822">
        <f t="shared" si="61"/>
        <v>273184957.49352998</v>
      </c>
      <c r="L221" s="1822">
        <f t="shared" si="61"/>
        <v>307848346.11133027</v>
      </c>
      <c r="M221" s="1822">
        <f t="shared" si="61"/>
        <v>344995069.85536301</v>
      </c>
      <c r="N221" s="1822">
        <f t="shared" si="61"/>
        <v>382002618.2380622</v>
      </c>
      <c r="O221" s="1822">
        <f t="shared" si="61"/>
        <v>421017687.68701088</v>
      </c>
      <c r="P221" s="1620"/>
    </row>
    <row r="222" spans="1:18">
      <c r="A222" s="35"/>
      <c r="B222" s="685" t="s">
        <v>1311</v>
      </c>
      <c r="C222" s="605" t="s">
        <v>1356</v>
      </c>
      <c r="D222" s="1602"/>
      <c r="E222" s="605" t="s">
        <v>468</v>
      </c>
      <c r="F222" s="1822">
        <f>F119</f>
        <v>1</v>
      </c>
      <c r="G222" s="1822">
        <f t="shared" ref="G222:O222" si="62">G119</f>
        <v>1</v>
      </c>
      <c r="H222" s="1822">
        <f t="shared" si="62"/>
        <v>1</v>
      </c>
      <c r="I222" s="1822">
        <f t="shared" si="62"/>
        <v>1</v>
      </c>
      <c r="J222" s="1822">
        <f t="shared" si="62"/>
        <v>1</v>
      </c>
      <c r="K222" s="1822">
        <f t="shared" si="62"/>
        <v>1</v>
      </c>
      <c r="L222" s="1822">
        <f t="shared" si="62"/>
        <v>1</v>
      </c>
      <c r="M222" s="1822">
        <f t="shared" si="62"/>
        <v>1</v>
      </c>
      <c r="N222" s="1822">
        <f t="shared" si="62"/>
        <v>1</v>
      </c>
      <c r="O222" s="1822">
        <f t="shared" si="62"/>
        <v>1</v>
      </c>
      <c r="P222" s="35"/>
      <c r="Q222" s="35"/>
      <c r="R222" s="35"/>
    </row>
    <row r="223" spans="1:18">
      <c r="A223" s="35"/>
      <c r="B223" s="685" t="s">
        <v>1311</v>
      </c>
      <c r="C223" s="605" t="s">
        <v>1351</v>
      </c>
      <c r="D223" s="1602"/>
      <c r="E223" s="19" t="str">
        <f>Preferences.PowerUnits</f>
        <v>GW</v>
      </c>
      <c r="F223" s="1823">
        <f>F187</f>
        <v>4.09492E-7</v>
      </c>
      <c r="G223" s="1823">
        <f t="shared" ref="G223:O223" si="63">G187</f>
        <v>4.09492E-7</v>
      </c>
      <c r="H223" s="1823">
        <f t="shared" si="63"/>
        <v>3.9533143709672937E-7</v>
      </c>
      <c r="I223" s="1823">
        <f t="shared" si="63"/>
        <v>3.8166273311589291E-7</v>
      </c>
      <c r="J223" s="1823">
        <f t="shared" si="63"/>
        <v>3.6846879253960385E-7</v>
      </c>
      <c r="K223" s="1823">
        <f t="shared" si="63"/>
        <v>3.5573311422987912E-7</v>
      </c>
      <c r="L223" s="1823">
        <f t="shared" si="63"/>
        <v>3.4343977075981775E-7</v>
      </c>
      <c r="M223" s="1823">
        <f t="shared" si="63"/>
        <v>3.315733884635732E-7</v>
      </c>
      <c r="N223" s="1823">
        <f t="shared" si="63"/>
        <v>3.2011912818011801E-7</v>
      </c>
      <c r="O223" s="1823">
        <f t="shared" si="63"/>
        <v>3.0906266666666673E-7</v>
      </c>
      <c r="P223" s="35"/>
      <c r="Q223" s="35"/>
      <c r="R223" s="35"/>
    </row>
    <row r="224" spans="1:18">
      <c r="A224" s="35"/>
      <c r="B224" s="2903" t="s">
        <v>276</v>
      </c>
      <c r="C224" s="423" t="s">
        <v>1360</v>
      </c>
      <c r="D224" s="1602"/>
      <c r="E224" s="423" t="str">
        <f>preferences.energyunits&amp;"/year"</f>
        <v>TWh/year</v>
      </c>
      <c r="F224" s="495">
        <f>(F221*F222*F223)</f>
        <v>14.878858168279347</v>
      </c>
      <c r="G224" s="495">
        <f t="shared" ref="G224:O224" si="64">(G221*G222*G223)</f>
        <v>19.41557678472974</v>
      </c>
      <c r="H224" s="495">
        <f t="shared" si="64"/>
        <v>34.97897107245749</v>
      </c>
      <c r="I224" s="495">
        <f t="shared" si="64"/>
        <v>53.298392203889364</v>
      </c>
      <c r="J224" s="495">
        <f t="shared" si="64"/>
        <v>73.951110626504956</v>
      </c>
      <c r="K224" s="495">
        <f t="shared" si="64"/>
        <v>97.180935689930564</v>
      </c>
      <c r="L224" s="495">
        <f t="shared" si="64"/>
        <v>105.72736541726429</v>
      </c>
      <c r="M224" s="495">
        <f t="shared" si="64"/>
        <v>114.39118431516985</v>
      </c>
      <c r="N224" s="495">
        <f t="shared" si="64"/>
        <v>122.28634511289091</v>
      </c>
      <c r="O224" s="495">
        <f t="shared" si="64"/>
        <v>130.12084927038146</v>
      </c>
      <c r="P224" s="35"/>
      <c r="Q224" s="35"/>
      <c r="R224" s="35"/>
    </row>
    <row r="225" spans="1:18">
      <c r="A225" s="35"/>
      <c r="B225" s="35"/>
      <c r="C225" s="1606"/>
      <c r="D225" s="1602"/>
      <c r="E225" s="1602"/>
      <c r="F225" s="1822"/>
      <c r="G225" s="1822"/>
      <c r="H225" s="1822"/>
      <c r="I225" s="1822"/>
      <c r="J225" s="1822"/>
      <c r="K225" s="1822"/>
      <c r="L225" s="1822"/>
      <c r="M225" s="1822"/>
      <c r="N225" s="1822"/>
      <c r="O225" s="1822"/>
      <c r="P225" s="35"/>
      <c r="Q225" s="35"/>
      <c r="R225" s="35"/>
    </row>
    <row r="226" spans="1:18">
      <c r="A226" s="35"/>
      <c r="C226" s="145" t="s">
        <v>1343</v>
      </c>
      <c r="D226" s="1602"/>
      <c r="E226" s="1601"/>
      <c r="F226" s="1822"/>
      <c r="G226" s="1822"/>
      <c r="H226" s="1822"/>
      <c r="I226" s="1822"/>
      <c r="J226" s="1822"/>
      <c r="K226" s="1599"/>
      <c r="L226" s="1599"/>
      <c r="M226" s="1599"/>
      <c r="N226" s="1599"/>
      <c r="O226" s="1599"/>
      <c r="P226" s="35"/>
      <c r="Q226" s="35"/>
      <c r="R226" s="35"/>
    </row>
    <row r="227" spans="1:18">
      <c r="A227" s="35"/>
      <c r="C227" s="605" t="s">
        <v>1355</v>
      </c>
      <c r="D227" s="1602"/>
      <c r="E227" s="1601"/>
      <c r="F227" s="1822">
        <f>F105*10^6</f>
        <v>4358389.5267709913</v>
      </c>
      <c r="G227" s="1822">
        <f t="shared" ref="G227:O227" si="65">G105*10^6</f>
        <v>11600012.68878907</v>
      </c>
      <c r="H227" s="1822">
        <f t="shared" si="65"/>
        <v>42670226.489168733</v>
      </c>
      <c r="I227" s="1822">
        <f t="shared" si="65"/>
        <v>85388620.981390178</v>
      </c>
      <c r="J227" s="1822">
        <f t="shared" si="65"/>
        <v>141021190.70974067</v>
      </c>
      <c r="K227" s="1822">
        <f t="shared" si="65"/>
        <v>212078572.62736705</v>
      </c>
      <c r="L227" s="1822">
        <f t="shared" si="65"/>
        <v>270992761.09050697</v>
      </c>
      <c r="M227" s="1822">
        <f t="shared" si="65"/>
        <v>339061531.04963511</v>
      </c>
      <c r="N227" s="1822">
        <f t="shared" si="65"/>
        <v>414146547.11735106</v>
      </c>
      <c r="O227" s="1822">
        <f t="shared" si="65"/>
        <v>498865042.77941585</v>
      </c>
      <c r="P227" s="35"/>
      <c r="Q227" s="35"/>
      <c r="R227" s="35"/>
    </row>
    <row r="228" spans="1:18">
      <c r="A228" s="35"/>
      <c r="B228" s="605" t="s">
        <v>1311</v>
      </c>
      <c r="C228" s="605" t="s">
        <v>1356</v>
      </c>
      <c r="D228" s="1602"/>
      <c r="E228" s="605" t="s">
        <v>468</v>
      </c>
      <c r="F228" s="1823">
        <f>F120</f>
        <v>720</v>
      </c>
      <c r="G228" s="1823">
        <f t="shared" ref="G228:O228" si="66">G120</f>
        <v>792</v>
      </c>
      <c r="H228" s="1823">
        <f t="shared" si="66"/>
        <v>954</v>
      </c>
      <c r="I228" s="1823">
        <f t="shared" si="66"/>
        <v>1116</v>
      </c>
      <c r="J228" s="1823">
        <f t="shared" si="66"/>
        <v>1278</v>
      </c>
      <c r="K228" s="1823">
        <f t="shared" si="66"/>
        <v>1440</v>
      </c>
      <c r="L228" s="1823">
        <f t="shared" si="66"/>
        <v>1500</v>
      </c>
      <c r="M228" s="1823">
        <f t="shared" si="66"/>
        <v>1560</v>
      </c>
      <c r="N228" s="1823">
        <f t="shared" si="66"/>
        <v>1620</v>
      </c>
      <c r="O228" s="1823">
        <f t="shared" si="66"/>
        <v>1680</v>
      </c>
      <c r="P228" s="35"/>
      <c r="Q228" s="35"/>
      <c r="R228" s="35"/>
    </row>
    <row r="229" spans="1:18">
      <c r="A229" s="35"/>
      <c r="B229" s="605" t="s">
        <v>1311</v>
      </c>
      <c r="C229" s="605" t="s">
        <v>1351</v>
      </c>
      <c r="D229" s="1602"/>
      <c r="E229" s="19" t="str">
        <f>Preferences.PowerUnits</f>
        <v>GW</v>
      </c>
      <c r="F229" s="1822">
        <f>F188</f>
        <v>1.8111100000000002E-6</v>
      </c>
      <c r="G229" s="1822">
        <f t="shared" ref="G229:O229" si="67">G188</f>
        <v>1.8111100000000002E-6</v>
      </c>
      <c r="H229" s="1822">
        <f t="shared" si="67"/>
        <v>1.7905076258997483E-6</v>
      </c>
      <c r="I229" s="1822">
        <f t="shared" si="67"/>
        <v>1.770142465040373E-6</v>
      </c>
      <c r="J229" s="1822">
        <f t="shared" si="67"/>
        <v>1.7500117444141153E-6</v>
      </c>
      <c r="K229" s="1822">
        <f t="shared" si="67"/>
        <v>1.7301127243548479E-6</v>
      </c>
      <c r="L229" s="1822">
        <f t="shared" si="67"/>
        <v>1.7104426981169243E-6</v>
      </c>
      <c r="M229" s="1822">
        <f t="shared" si="67"/>
        <v>1.6909989914598826E-6</v>
      </c>
      <c r="N229" s="1822">
        <f t="shared" si="67"/>
        <v>1.6717789622387538E-6</v>
      </c>
      <c r="O229" s="1822">
        <f t="shared" si="67"/>
        <v>1.65278E-6</v>
      </c>
      <c r="P229" s="35"/>
      <c r="Q229" s="35"/>
      <c r="R229" s="35"/>
    </row>
    <row r="230" spans="1:18">
      <c r="A230" s="35"/>
      <c r="B230" s="1479" t="s">
        <v>276</v>
      </c>
      <c r="C230" s="423" t="s">
        <v>1361</v>
      </c>
      <c r="D230" s="1602"/>
      <c r="E230" s="423" t="str">
        <f>preferences.energyunits&amp;"/year"</f>
        <v>TWh/year</v>
      </c>
      <c r="F230" s="495">
        <f t="shared" ref="F230:O230" si="68">(F227*F228*F229)*Unit.year*Preferences.Unit.Power/(8760*Preferences.Unit.Energy)</f>
        <v>5.6872291524006275</v>
      </c>
      <c r="G230" s="495">
        <f t="shared" si="68"/>
        <v>16.650444601002118</v>
      </c>
      <c r="H230" s="495">
        <f t="shared" si="68"/>
        <v>72.936825631417136</v>
      </c>
      <c r="I230" s="495">
        <f t="shared" si="68"/>
        <v>168.798963411633</v>
      </c>
      <c r="J230" s="495">
        <f t="shared" si="68"/>
        <v>315.61203432447974</v>
      </c>
      <c r="K230" s="495">
        <f t="shared" si="68"/>
        <v>528.7264589124228</v>
      </c>
      <c r="L230" s="495">
        <f t="shared" si="68"/>
        <v>695.75260087619222</v>
      </c>
      <c r="M230" s="495">
        <f t="shared" si="68"/>
        <v>895.04284643493884</v>
      </c>
      <c r="N230" s="495">
        <f t="shared" si="68"/>
        <v>1122.3938420184261</v>
      </c>
      <c r="O230" s="495">
        <f t="shared" si="68"/>
        <v>1386.1325539062827</v>
      </c>
      <c r="P230" s="35"/>
      <c r="Q230" s="35"/>
      <c r="R230" s="35"/>
    </row>
    <row r="231" spans="1:18">
      <c r="A231" s="35"/>
      <c r="B231" s="35"/>
      <c r="C231" s="1606"/>
      <c r="D231" s="1602"/>
      <c r="E231" s="1602"/>
      <c r="F231" s="1822"/>
      <c r="G231" s="1822"/>
      <c r="H231" s="1822"/>
      <c r="I231" s="1822"/>
      <c r="J231" s="1822"/>
      <c r="K231" s="1822"/>
      <c r="L231" s="1822"/>
      <c r="M231" s="1822"/>
      <c r="N231" s="1822"/>
      <c r="O231" s="1822"/>
      <c r="P231" s="35"/>
      <c r="Q231" s="35"/>
      <c r="R231" s="35"/>
    </row>
    <row r="232" spans="1:18">
      <c r="A232" s="35"/>
      <c r="B232" s="35"/>
      <c r="C232" s="1621" t="s">
        <v>1362</v>
      </c>
      <c r="D232" s="1602"/>
      <c r="E232" s="423" t="str">
        <f>preferences.energyunits&amp;"/year"</f>
        <v>TWh/year</v>
      </c>
      <c r="F232" s="1822">
        <f>F206+F212+F218+F224+F230</f>
        <v>94.201897799490325</v>
      </c>
      <c r="G232" s="1822">
        <f t="shared" ref="G232:O232" si="69">G206+G212+G218+G224+G230</f>
        <v>129.44423775028179</v>
      </c>
      <c r="H232" s="1822">
        <f t="shared" si="69"/>
        <v>230.57755151306088</v>
      </c>
      <c r="I232" s="1822">
        <f t="shared" si="69"/>
        <v>379.76984910365479</v>
      </c>
      <c r="J232" s="1822">
        <f t="shared" si="69"/>
        <v>586.84717809201391</v>
      </c>
      <c r="K232" s="1822">
        <f t="shared" si="69"/>
        <v>868.4340318125594</v>
      </c>
      <c r="L232" s="1822">
        <f t="shared" si="69"/>
        <v>1071.0300648522543</v>
      </c>
      <c r="M232" s="1822">
        <f t="shared" si="69"/>
        <v>1307.4384745092834</v>
      </c>
      <c r="N232" s="1822">
        <f t="shared" si="69"/>
        <v>1570.2743265539682</v>
      </c>
      <c r="O232" s="1822">
        <f t="shared" si="69"/>
        <v>1870.2918562290383</v>
      </c>
      <c r="P232" s="35"/>
      <c r="Q232" s="35"/>
      <c r="R232" s="35"/>
    </row>
    <row r="233" spans="1:18">
      <c r="A233" s="35"/>
      <c r="B233" s="35"/>
      <c r="C233" s="1621" t="s">
        <v>1363</v>
      </c>
      <c r="D233" s="1602"/>
      <c r="E233" s="423" t="str">
        <f>preferences.energyunits&amp;"/year"</f>
        <v>TWh/year</v>
      </c>
      <c r="F233" s="1822">
        <f t="shared" ref="F233:O233" si="70">F232*F110/(1-F110)</f>
        <v>23.550474449872578</v>
      </c>
      <c r="G233" s="1822">
        <f t="shared" si="70"/>
        <v>33.378702816110405</v>
      </c>
      <c r="H233" s="1822">
        <f t="shared" si="70"/>
        <v>63.620281358468155</v>
      </c>
      <c r="I233" s="1822">
        <f t="shared" si="70"/>
        <v>111.8416060467074</v>
      </c>
      <c r="J233" s="1822">
        <f t="shared" si="70"/>
        <v>184.05223483673996</v>
      </c>
      <c r="K233" s="1822">
        <f t="shared" si="70"/>
        <v>289.47801060418641</v>
      </c>
      <c r="L233" s="1822">
        <f t="shared" si="70"/>
        <v>381.21409087961587</v>
      </c>
      <c r="M233" s="1822">
        <f t="shared" si="70"/>
        <v>495.92493860696942</v>
      </c>
      <c r="N233" s="1822">
        <f t="shared" si="70"/>
        <v>633.61946510072391</v>
      </c>
      <c r="O233" s="1822">
        <f t="shared" si="70"/>
        <v>801.55365266958779</v>
      </c>
      <c r="P233" s="35"/>
      <c r="Q233" s="35"/>
      <c r="R233" s="35"/>
    </row>
    <row r="234" spans="1:18">
      <c r="A234" s="35"/>
      <c r="B234" s="35"/>
      <c r="C234" s="1621" t="s">
        <v>1364</v>
      </c>
      <c r="D234" s="1602"/>
      <c r="E234" s="423" t="str">
        <f>preferences.energyunits&amp;"/year"</f>
        <v>TWh/year</v>
      </c>
      <c r="F234" s="1822">
        <f>SUM(F232:F233)</f>
        <v>117.75237224936291</v>
      </c>
      <c r="G234" s="1822">
        <f t="shared" ref="G234:O234" si="71">SUM(G232:G233)</f>
        <v>162.82294056639219</v>
      </c>
      <c r="H234" s="1822">
        <f t="shared" si="71"/>
        <v>294.19783287152904</v>
      </c>
      <c r="I234" s="1822">
        <f t="shared" si="71"/>
        <v>491.61145515036219</v>
      </c>
      <c r="J234" s="1822">
        <f t="shared" si="71"/>
        <v>770.89941292875392</v>
      </c>
      <c r="K234" s="1822">
        <f t="shared" si="71"/>
        <v>1157.9120424167459</v>
      </c>
      <c r="L234" s="1822">
        <f t="shared" si="71"/>
        <v>1452.2441557318703</v>
      </c>
      <c r="M234" s="1822">
        <f t="shared" si="71"/>
        <v>1803.3634131162528</v>
      </c>
      <c r="N234" s="1822">
        <f t="shared" si="71"/>
        <v>2203.893791654692</v>
      </c>
      <c r="O234" s="1822">
        <f t="shared" si="71"/>
        <v>2671.8455088986261</v>
      </c>
      <c r="P234" s="35"/>
      <c r="Q234" s="35"/>
      <c r="R234" s="35"/>
    </row>
    <row r="235" spans="1:18" s="2748" customFormat="1">
      <c r="A235" s="35"/>
      <c r="B235" s="35"/>
      <c r="C235" s="1621"/>
      <c r="D235" s="1602"/>
      <c r="E235" s="423"/>
      <c r="F235" s="1822"/>
      <c r="G235" s="1822"/>
      <c r="H235" s="1822"/>
      <c r="I235" s="1822"/>
      <c r="J235" s="1822"/>
      <c r="K235" s="1822"/>
      <c r="L235" s="1822"/>
      <c r="M235" s="1822"/>
      <c r="N235" s="1822"/>
      <c r="O235" s="1822"/>
      <c r="P235" s="35"/>
      <c r="Q235" s="35"/>
      <c r="R235" s="35"/>
    </row>
    <row r="236" spans="1:18" s="2748" customFormat="1">
      <c r="A236" s="35"/>
      <c r="B236" s="35"/>
      <c r="C236" s="2791" t="s">
        <v>2124</v>
      </c>
      <c r="D236" s="1602"/>
      <c r="E236" s="423"/>
      <c r="F236" s="1822"/>
      <c r="G236" s="1822"/>
      <c r="H236" s="1822"/>
      <c r="I236" s="1822"/>
      <c r="J236" s="1822"/>
      <c r="K236" s="1822"/>
      <c r="L236" s="1822"/>
      <c r="M236" s="1822"/>
      <c r="N236" s="1822"/>
      <c r="O236" s="1822"/>
      <c r="P236" s="35"/>
      <c r="Q236" s="35"/>
      <c r="R236" s="35"/>
    </row>
    <row r="237" spans="1:18" s="2748" customFormat="1">
      <c r="A237" s="35"/>
      <c r="B237" s="35"/>
      <c r="C237" s="2791"/>
      <c r="D237" s="1602"/>
      <c r="E237" s="423"/>
      <c r="F237" s="1822"/>
      <c r="G237" s="1822"/>
      <c r="H237" s="1822"/>
      <c r="I237" s="1822"/>
      <c r="J237" s="1822"/>
      <c r="K237" s="1822"/>
      <c r="L237" s="1822"/>
      <c r="M237" s="1822"/>
      <c r="N237" s="1822"/>
      <c r="O237" s="1822"/>
      <c r="P237" s="35"/>
      <c r="Q237" s="35"/>
      <c r="R237" s="35"/>
    </row>
    <row r="238" spans="1:18" s="2748" customFormat="1">
      <c r="A238" s="35"/>
      <c r="B238" s="35"/>
      <c r="C238" s="1621" t="s">
        <v>1357</v>
      </c>
      <c r="D238" s="1602"/>
      <c r="E238" s="423" t="str">
        <f>preferences.energyunits&amp;"/year"</f>
        <v>TWh/year</v>
      </c>
      <c r="F238" s="1822">
        <f>F206</f>
        <v>35.004347921940351</v>
      </c>
      <c r="G238" s="1822">
        <f t="shared" ref="G238:O238" si="72">G206</f>
        <v>43.431883429237566</v>
      </c>
      <c r="H238" s="1822">
        <f t="shared" si="72"/>
        <v>52.851404505690489</v>
      </c>
      <c r="I238" s="1822">
        <f t="shared" si="72"/>
        <v>63.314146409963001</v>
      </c>
      <c r="J238" s="1822">
        <f t="shared" si="72"/>
        <v>74.145370634206614</v>
      </c>
      <c r="K238" s="1822">
        <f t="shared" si="72"/>
        <v>85.558158618749644</v>
      </c>
      <c r="L238" s="1822">
        <f t="shared" si="72"/>
        <v>94.295723238137953</v>
      </c>
      <c r="M238" s="1822">
        <f t="shared" si="72"/>
        <v>103.1830414043643</v>
      </c>
      <c r="N238" s="1822">
        <f t="shared" si="72"/>
        <v>111.35508782408367</v>
      </c>
      <c r="O238" s="1822">
        <f t="shared" si="72"/>
        <v>119.33002689124582</v>
      </c>
      <c r="P238" s="35"/>
      <c r="Q238" s="35"/>
      <c r="R238" s="35"/>
    </row>
    <row r="239" spans="1:18" s="2748" customFormat="1">
      <c r="A239" s="35"/>
      <c r="B239" s="35"/>
      <c r="C239" s="1621" t="s">
        <v>2125</v>
      </c>
      <c r="D239" s="1602"/>
      <c r="E239" s="423" t="str">
        <f>preferences.energyunits&amp;"/year"</f>
        <v>TWh/year</v>
      </c>
      <c r="F239" s="1822">
        <f>F230</f>
        <v>5.6872291524006275</v>
      </c>
      <c r="G239" s="1822">
        <f t="shared" ref="G239:O239" si="73">G230</f>
        <v>16.650444601002118</v>
      </c>
      <c r="H239" s="1822">
        <f t="shared" si="73"/>
        <v>72.936825631417136</v>
      </c>
      <c r="I239" s="1822">
        <f t="shared" si="73"/>
        <v>168.798963411633</v>
      </c>
      <c r="J239" s="1822">
        <f t="shared" si="73"/>
        <v>315.61203432447974</v>
      </c>
      <c r="K239" s="1822">
        <f t="shared" si="73"/>
        <v>528.7264589124228</v>
      </c>
      <c r="L239" s="1822">
        <f t="shared" si="73"/>
        <v>695.75260087619222</v>
      </c>
      <c r="M239" s="1822">
        <f t="shared" si="73"/>
        <v>895.04284643493884</v>
      </c>
      <c r="N239" s="1822">
        <f t="shared" si="73"/>
        <v>1122.3938420184261</v>
      </c>
      <c r="O239" s="1822">
        <f t="shared" si="73"/>
        <v>1386.1325539062827</v>
      </c>
      <c r="P239" s="35"/>
      <c r="Q239" s="35"/>
      <c r="R239" s="35"/>
    </row>
    <row r="240" spans="1:18" s="2748" customFormat="1">
      <c r="A240" s="35"/>
      <c r="B240" s="35"/>
      <c r="C240" s="1621" t="s">
        <v>1358</v>
      </c>
      <c r="D240" s="1602"/>
      <c r="E240" s="423" t="str">
        <f>preferences.energyunits&amp;"/year"</f>
        <v>TWh/year</v>
      </c>
      <c r="F240" s="1822">
        <f>F212</f>
        <v>20.808370396037446</v>
      </c>
      <c r="G240" s="1822">
        <f t="shared" ref="G240:O240" si="74">G212</f>
        <v>28.57020228716776</v>
      </c>
      <c r="H240" s="1822">
        <f t="shared" si="74"/>
        <v>39.17927491842034</v>
      </c>
      <c r="I240" s="1822">
        <f t="shared" si="74"/>
        <v>52.331014145003707</v>
      </c>
      <c r="J240" s="1822">
        <f t="shared" si="74"/>
        <v>67.812446375503413</v>
      </c>
      <c r="K240" s="1822">
        <f t="shared" si="74"/>
        <v>86.129814041207553</v>
      </c>
      <c r="L240" s="1822">
        <f t="shared" si="74"/>
        <v>97.797981320359725</v>
      </c>
      <c r="M240" s="1822">
        <f t="shared" si="74"/>
        <v>110.49580238665538</v>
      </c>
      <c r="N240" s="1822">
        <f t="shared" si="74"/>
        <v>123.42702885426918</v>
      </c>
      <c r="O240" s="1822">
        <f t="shared" si="74"/>
        <v>137.27854462354205</v>
      </c>
      <c r="P240" s="35"/>
      <c r="Q240" s="35"/>
      <c r="R240" s="35"/>
    </row>
    <row r="241" spans="1:18" s="2748" customFormat="1">
      <c r="A241" s="35"/>
      <c r="B241" s="35"/>
      <c r="C241" s="1621" t="s">
        <v>2126</v>
      </c>
      <c r="D241" s="1602"/>
      <c r="E241" s="423" t="str">
        <f>preferences.energyunits&amp;"/year"</f>
        <v>TWh/year</v>
      </c>
      <c r="F241" s="1822">
        <f>SUM(F238:F240)</f>
        <v>61.499947470378423</v>
      </c>
      <c r="G241" s="1822">
        <f t="shared" ref="G241:O241" si="75">SUM(G238:G240)</f>
        <v>88.652530317407439</v>
      </c>
      <c r="H241" s="1822">
        <f t="shared" si="75"/>
        <v>164.96750505552797</v>
      </c>
      <c r="I241" s="1822">
        <f t="shared" si="75"/>
        <v>284.4441239665997</v>
      </c>
      <c r="J241" s="1822">
        <f t="shared" si="75"/>
        <v>457.56985133418982</v>
      </c>
      <c r="K241" s="1822">
        <f t="shared" si="75"/>
        <v>700.41443157237995</v>
      </c>
      <c r="L241" s="1822">
        <f t="shared" si="75"/>
        <v>887.84630543468984</v>
      </c>
      <c r="M241" s="1822">
        <f t="shared" si="75"/>
        <v>1108.7216902259586</v>
      </c>
      <c r="N241" s="1822">
        <f t="shared" si="75"/>
        <v>1357.1759586967789</v>
      </c>
      <c r="O241" s="1822">
        <f t="shared" si="75"/>
        <v>1642.7411254210706</v>
      </c>
      <c r="P241" s="35"/>
      <c r="Q241" s="35"/>
      <c r="R241" s="35"/>
    </row>
    <row r="242" spans="1:18" s="2748" customFormat="1">
      <c r="A242" s="35"/>
      <c r="B242" s="35"/>
      <c r="C242" s="1621"/>
      <c r="D242" s="1602"/>
      <c r="E242" s="423"/>
      <c r="F242" s="1822"/>
      <c r="G242" s="1822"/>
      <c r="H242" s="1822"/>
      <c r="I242" s="1822"/>
      <c r="J242" s="1822"/>
      <c r="K242" s="1822"/>
      <c r="L242" s="1822"/>
      <c r="M242" s="1822"/>
      <c r="N242" s="1822"/>
      <c r="O242" s="1822"/>
      <c r="P242" s="35"/>
      <c r="Q242" s="35"/>
      <c r="R242" s="35"/>
    </row>
    <row r="243" spans="1:18" s="131" customFormat="1" ht="51">
      <c r="A243" s="1623"/>
      <c r="B243" s="1544"/>
      <c r="C243" s="2792" t="s">
        <v>1365</v>
      </c>
      <c r="E243" s="131" t="s">
        <v>277</v>
      </c>
      <c r="F243" s="2790">
        <f ca="1">F194</f>
        <v>0</v>
      </c>
      <c r="G243" s="2790">
        <f t="shared" ref="G243:O243" ca="1" si="76">G194</f>
        <v>0</v>
      </c>
      <c r="H243" s="2790">
        <f t="shared" ca="1" si="76"/>
        <v>-3.5880283678894724E-15</v>
      </c>
      <c r="I243" s="2790">
        <f t="shared" ca="1" si="76"/>
        <v>0</v>
      </c>
      <c r="J243" s="2790">
        <f t="shared" ca="1" si="76"/>
        <v>-1.2008288017286402E-15</v>
      </c>
      <c r="K243" s="2790">
        <f t="shared" ca="1" si="76"/>
        <v>0</v>
      </c>
      <c r="L243" s="2790">
        <f t="shared" ca="1" si="76"/>
        <v>1.8486902696319846E-15</v>
      </c>
      <c r="M243" s="2790">
        <f t="shared" ca="1" si="76"/>
        <v>-2.4084907582169496E-15</v>
      </c>
      <c r="N243" s="2790">
        <f t="shared" ca="1" si="76"/>
        <v>2.2768645842685481E-15</v>
      </c>
      <c r="O243" s="2790">
        <f t="shared" ca="1" si="76"/>
        <v>-3.3547669042171909E-15</v>
      </c>
      <c r="Q243" s="1623"/>
      <c r="R243" s="1623"/>
    </row>
    <row r="244" spans="1:18" s="131" customFormat="1">
      <c r="A244" s="1623"/>
      <c r="B244" s="1544"/>
      <c r="C244" s="1544"/>
      <c r="F244" s="2790"/>
      <c r="G244" s="2790"/>
      <c r="H244" s="2790"/>
      <c r="I244" s="2790"/>
      <c r="J244" s="2790"/>
      <c r="K244" s="2790"/>
      <c r="L244" s="2790"/>
      <c r="M244" s="2790"/>
      <c r="N244" s="2790"/>
      <c r="O244" s="2790"/>
      <c r="Q244" s="1623"/>
      <c r="R244" s="1623"/>
    </row>
    <row r="245" spans="1:18">
      <c r="A245" s="35"/>
      <c r="B245" s="423"/>
      <c r="C245" s="1621" t="s">
        <v>1527</v>
      </c>
      <c r="E245" s="423" t="str">
        <f>preferences.energyunits&amp;"/year"</f>
        <v>TWh/year</v>
      </c>
      <c r="F245" s="1824">
        <f ca="1">F243*F241</f>
        <v>0</v>
      </c>
      <c r="G245" s="1824">
        <f t="shared" ref="G245:O245" ca="1" si="77">G243*G241</f>
        <v>0</v>
      </c>
      <c r="H245" s="1824">
        <f t="shared" ca="1" si="77"/>
        <v>-5.9190808791918433E-13</v>
      </c>
      <c r="I245" s="1824">
        <f t="shared" ca="1" si="77"/>
        <v>0</v>
      </c>
      <c r="J245" s="1824">
        <f t="shared" ca="1" si="77"/>
        <v>-5.4946305628478724E-13</v>
      </c>
      <c r="K245" s="1824">
        <f t="shared" ca="1" si="77"/>
        <v>0</v>
      </c>
      <c r="L245" s="1824">
        <f t="shared" ca="1" si="77"/>
        <v>1.641352825785818E-12</v>
      </c>
      <c r="M245" s="1824">
        <f t="shared" ca="1" si="77"/>
        <v>-2.6703459443438968E-12</v>
      </c>
      <c r="N245" s="1824">
        <f t="shared" ca="1" si="77"/>
        <v>3.0901058749774097E-12</v>
      </c>
      <c r="O245" s="1824">
        <f t="shared" ca="1" si="77"/>
        <v>-5.5110135597591092E-12</v>
      </c>
      <c r="Q245" s="35"/>
      <c r="R245" s="35"/>
    </row>
    <row r="246" spans="1:18" s="2748" customFormat="1">
      <c r="A246" s="35"/>
      <c r="B246" s="423"/>
      <c r="C246" s="1621"/>
      <c r="E246" s="423"/>
      <c r="F246" s="1824"/>
      <c r="G246" s="1824"/>
      <c r="H246" s="1824"/>
      <c r="I246" s="1824"/>
      <c r="J246" s="1824"/>
      <c r="K246" s="1824"/>
      <c r="L246" s="1824"/>
      <c r="M246" s="1824"/>
      <c r="N246" s="1824"/>
      <c r="O246" s="1824"/>
      <c r="Q246" s="35"/>
      <c r="R246" s="35"/>
    </row>
    <row r="247" spans="1:18">
      <c r="A247" s="35"/>
      <c r="B247" s="423"/>
      <c r="C247" s="605" t="s">
        <v>1366</v>
      </c>
      <c r="E247" s="422"/>
      <c r="F247" s="1824">
        <f ca="1">F234-F245</f>
        <v>117.75237224936291</v>
      </c>
      <c r="G247" s="1824">
        <f t="shared" ref="G247:O247" ca="1" si="78">G234-G245</f>
        <v>162.82294056639219</v>
      </c>
      <c r="H247" s="1824">
        <f t="shared" ca="1" si="78"/>
        <v>294.19783287152961</v>
      </c>
      <c r="I247" s="1824">
        <f t="shared" ca="1" si="78"/>
        <v>491.61145515036219</v>
      </c>
      <c r="J247" s="1824">
        <f t="shared" ca="1" si="78"/>
        <v>770.89941292875449</v>
      </c>
      <c r="K247" s="1824">
        <f t="shared" ca="1" si="78"/>
        <v>1157.9120424167459</v>
      </c>
      <c r="L247" s="1824">
        <f t="shared" ca="1" si="78"/>
        <v>1452.2441557318687</v>
      </c>
      <c r="M247" s="1824">
        <f t="shared" ca="1" si="78"/>
        <v>1803.3634131162555</v>
      </c>
      <c r="N247" s="1824">
        <f t="shared" ca="1" si="78"/>
        <v>2203.8937916546888</v>
      </c>
      <c r="O247" s="1824">
        <f t="shared" ca="1" si="78"/>
        <v>2671.8455088986316</v>
      </c>
      <c r="Q247" s="35"/>
      <c r="R247" s="35"/>
    </row>
    <row r="248" spans="1:18">
      <c r="A248" s="35"/>
      <c r="B248" s="423"/>
      <c r="E248" s="422"/>
      <c r="F248" s="97"/>
      <c r="G248" s="97"/>
      <c r="H248" s="97"/>
      <c r="I248" s="97"/>
      <c r="J248" s="97"/>
      <c r="K248" s="97"/>
      <c r="L248" s="97"/>
      <c r="M248" s="97"/>
      <c r="N248" s="97"/>
      <c r="O248" s="97"/>
      <c r="Q248" s="35"/>
      <c r="R248" s="35"/>
    </row>
    <row r="249" spans="1:18">
      <c r="A249" s="35"/>
      <c r="B249" s="703"/>
      <c r="C249" s="703" t="s">
        <v>2127</v>
      </c>
      <c r="D249" s="242"/>
      <c r="E249" s="2793"/>
      <c r="F249" s="242"/>
      <c r="G249" s="242"/>
      <c r="H249" s="242"/>
      <c r="I249" s="242"/>
      <c r="J249" s="242"/>
      <c r="K249" s="242"/>
      <c r="L249" s="242"/>
      <c r="M249" s="242"/>
      <c r="N249" s="242"/>
      <c r="O249" s="242"/>
      <c r="Q249" s="35"/>
      <c r="R249" s="35"/>
    </row>
    <row r="250" spans="1:18">
      <c r="A250" s="35"/>
      <c r="B250" s="703"/>
      <c r="C250" s="242" t="s">
        <v>923</v>
      </c>
      <c r="D250" s="242"/>
      <c r="E250" s="2793" t="str">
        <f>preferences.energyunits</f>
        <v>TWh</v>
      </c>
      <c r="F250" s="2794">
        <f>(F173*$F$149)*(10^6)</f>
        <v>0.53475758218851033</v>
      </c>
      <c r="G250" s="2794">
        <f t="shared" ref="G250:O250" si="79">(G173*$F$149)*(10^6)</f>
        <v>0.64601933621433361</v>
      </c>
      <c r="H250" s="2794">
        <f t="shared" si="79"/>
        <v>0.66392289915940994</v>
      </c>
      <c r="I250" s="2794">
        <f t="shared" si="79"/>
        <v>0.7061633318765691</v>
      </c>
      <c r="J250" s="2794">
        <f t="shared" si="79"/>
        <v>0.76642276101333251</v>
      </c>
      <c r="K250" s="2794">
        <f t="shared" si="79"/>
        <v>0.79589877575252144</v>
      </c>
      <c r="L250" s="2794">
        <f t="shared" si="79"/>
        <v>0.68185247352074341</v>
      </c>
      <c r="M250" s="2794">
        <f t="shared" si="79"/>
        <v>0.5022529737183925</v>
      </c>
      <c r="N250" s="2794">
        <f t="shared" si="79"/>
        <v>0.2837310582957942</v>
      </c>
      <c r="O250" s="2794">
        <f t="shared" si="79"/>
        <v>0</v>
      </c>
      <c r="Q250" s="35"/>
      <c r="R250" s="35"/>
    </row>
    <row r="251" spans="1:18">
      <c r="A251" s="35"/>
      <c r="B251" s="703"/>
      <c r="C251" s="242" t="s">
        <v>922</v>
      </c>
      <c r="D251" s="242"/>
      <c r="E251" s="2793" t="str">
        <f>preferences.energyunits</f>
        <v>TWh</v>
      </c>
      <c r="F251" s="2794">
        <f>(F174*$F$149)*(10^6)</f>
        <v>6.9411620620952696</v>
      </c>
      <c r="G251" s="2794">
        <f t="shared" ref="G251:O251" si="80">(G174*$F$149)*(10^6)</f>
        <v>6.2260946623252531</v>
      </c>
      <c r="H251" s="2794">
        <f t="shared" si="80"/>
        <v>5.1825588922262833</v>
      </c>
      <c r="I251" s="2794">
        <f t="shared" si="80"/>
        <v>3.988111546106456</v>
      </c>
      <c r="J251" s="2794">
        <f t="shared" si="80"/>
        <v>2.6063667440003857</v>
      </c>
      <c r="K251" s="2794">
        <f t="shared" si="80"/>
        <v>1.12394417706945</v>
      </c>
      <c r="L251" s="2794">
        <f t="shared" si="80"/>
        <v>0.85819379931603812</v>
      </c>
      <c r="M251" s="2794">
        <f t="shared" si="80"/>
        <v>0.58352720340913089</v>
      </c>
      <c r="N251" s="2794">
        <f t="shared" si="80"/>
        <v>0.29067709953392001</v>
      </c>
      <c r="O251" s="2794">
        <f t="shared" si="80"/>
        <v>0</v>
      </c>
      <c r="P251" s="539"/>
      <c r="Q251" s="35"/>
      <c r="R251" s="35"/>
    </row>
    <row r="252" spans="1:18">
      <c r="A252" s="35"/>
      <c r="B252" s="703"/>
      <c r="C252" s="242" t="s">
        <v>103</v>
      </c>
      <c r="D252" s="242"/>
      <c r="E252" s="2793" t="str">
        <f>preferences.energyunits</f>
        <v>TWh</v>
      </c>
      <c r="F252" s="2795">
        <f>F250+F251</f>
        <v>7.4759196442837803</v>
      </c>
      <c r="G252" s="2795">
        <f t="shared" ref="G252:O252" si="81">G250+G251</f>
        <v>6.8721139985395867</v>
      </c>
      <c r="H252" s="2795">
        <f t="shared" si="81"/>
        <v>5.8464817913856937</v>
      </c>
      <c r="I252" s="2795">
        <f t="shared" si="81"/>
        <v>4.694274877983025</v>
      </c>
      <c r="J252" s="2795">
        <f t="shared" si="81"/>
        <v>3.372789505013718</v>
      </c>
      <c r="K252" s="2795">
        <f t="shared" si="81"/>
        <v>1.9198429528219716</v>
      </c>
      <c r="L252" s="2795">
        <f t="shared" si="81"/>
        <v>1.5400462728367814</v>
      </c>
      <c r="M252" s="2795">
        <f t="shared" si="81"/>
        <v>1.0857801771275235</v>
      </c>
      <c r="N252" s="2795">
        <f t="shared" si="81"/>
        <v>0.57440815782971422</v>
      </c>
      <c r="O252" s="2795">
        <f t="shared" si="81"/>
        <v>0</v>
      </c>
      <c r="P252" s="539"/>
      <c r="Q252" s="35"/>
      <c r="R252" s="35"/>
    </row>
    <row r="253" spans="1:18">
      <c r="A253" s="35"/>
      <c r="B253" s="703"/>
      <c r="C253" s="242"/>
      <c r="D253" s="242"/>
      <c r="E253" s="2793"/>
      <c r="F253" s="2795"/>
      <c r="G253" s="2795"/>
      <c r="H253" s="2795"/>
      <c r="I253" s="2795"/>
      <c r="J253" s="2795"/>
      <c r="K253" s="2795"/>
      <c r="L253" s="2795"/>
      <c r="M253" s="2795"/>
      <c r="N253" s="2795"/>
      <c r="O253" s="2795"/>
      <c r="P253" s="539"/>
      <c r="Q253" s="35"/>
      <c r="R253" s="35"/>
    </row>
    <row r="254" spans="1:18">
      <c r="A254" s="703" t="s">
        <v>1529</v>
      </c>
      <c r="B254" s="703"/>
      <c r="C254" s="2796"/>
      <c r="D254" s="703"/>
      <c r="E254" s="2797"/>
      <c r="F254" s="704"/>
      <c r="G254" s="704"/>
      <c r="H254" s="704"/>
      <c r="I254" s="704"/>
      <c r="J254" s="704"/>
      <c r="K254" s="704"/>
      <c r="L254" s="704"/>
      <c r="M254" s="704"/>
      <c r="N254" s="704"/>
      <c r="O254" s="704"/>
      <c r="P254" s="539"/>
      <c r="Q254" s="35"/>
      <c r="R254" s="35"/>
    </row>
    <row r="255" spans="1:18">
      <c r="A255" s="1204"/>
      <c r="B255" s="2793" t="s">
        <v>34</v>
      </c>
      <c r="C255" s="1204" t="str">
        <f>INDEX(Vectors[Description], MATCH($B255, Vectors[Code], 0))</f>
        <v>Electricity (delivered to end user)</v>
      </c>
      <c r="D255" s="1204"/>
      <c r="E255" s="2798" t="str">
        <f>preferences.energyunits</f>
        <v>TWh</v>
      </c>
      <c r="F255" s="2799">
        <f ca="1">F247</f>
        <v>117.75237224936291</v>
      </c>
      <c r="G255" s="2799">
        <f t="shared" ref="G255:O255" ca="1" si="82">G247</f>
        <v>162.82294056639219</v>
      </c>
      <c r="H255" s="2799">
        <f t="shared" ca="1" si="82"/>
        <v>294.19783287152961</v>
      </c>
      <c r="I255" s="2799">
        <f t="shared" ca="1" si="82"/>
        <v>491.61145515036219</v>
      </c>
      <c r="J255" s="2799">
        <f t="shared" ca="1" si="82"/>
        <v>770.89941292875449</v>
      </c>
      <c r="K255" s="2799">
        <f t="shared" ca="1" si="82"/>
        <v>1157.9120424167459</v>
      </c>
      <c r="L255" s="2799">
        <f t="shared" ca="1" si="82"/>
        <v>1452.2441557318687</v>
      </c>
      <c r="M255" s="2799">
        <f t="shared" ca="1" si="82"/>
        <v>1803.3634131162555</v>
      </c>
      <c r="N255" s="2799">
        <f t="shared" ca="1" si="82"/>
        <v>2203.8937916546888</v>
      </c>
      <c r="O255" s="2799">
        <f t="shared" ca="1" si="82"/>
        <v>2671.8455088986316</v>
      </c>
      <c r="P255" s="539"/>
      <c r="Q255" s="35"/>
      <c r="R255" s="35"/>
    </row>
    <row r="256" spans="1:18">
      <c r="A256" s="1204"/>
      <c r="B256" s="2793" t="s">
        <v>38</v>
      </c>
      <c r="C256" s="1204" t="str">
        <f>INDEX(Vectors[Description], MATCH($B256, Vectors[Code], 0))</f>
        <v>Liquid hydrocarbons</v>
      </c>
      <c r="D256" s="1204"/>
      <c r="E256" s="2798" t="str">
        <f>preferences.energyunits</f>
        <v>TWh</v>
      </c>
      <c r="F256" s="2799">
        <f>F252</f>
        <v>7.4759196442837803</v>
      </c>
      <c r="G256" s="2799">
        <f t="shared" ref="G256:O256" si="83">G252</f>
        <v>6.8721139985395867</v>
      </c>
      <c r="H256" s="2799">
        <f t="shared" si="83"/>
        <v>5.8464817913856937</v>
      </c>
      <c r="I256" s="2799">
        <f t="shared" si="83"/>
        <v>4.694274877983025</v>
      </c>
      <c r="J256" s="2799">
        <f t="shared" si="83"/>
        <v>3.372789505013718</v>
      </c>
      <c r="K256" s="2799">
        <f t="shared" si="83"/>
        <v>1.9198429528219716</v>
      </c>
      <c r="L256" s="2799">
        <f t="shared" si="83"/>
        <v>1.5400462728367814</v>
      </c>
      <c r="M256" s="2799">
        <f t="shared" si="83"/>
        <v>1.0857801771275235</v>
      </c>
      <c r="N256" s="2799">
        <f t="shared" si="83"/>
        <v>0.57440815782971422</v>
      </c>
      <c r="O256" s="2799">
        <f t="shared" si="83"/>
        <v>0</v>
      </c>
      <c r="P256" s="539"/>
      <c r="Q256" s="35"/>
      <c r="R256" s="35"/>
    </row>
    <row r="257" spans="1:19">
      <c r="A257" s="1204"/>
      <c r="B257" s="2793"/>
      <c r="C257" s="1204"/>
      <c r="D257" s="1204"/>
      <c r="E257" s="2798"/>
      <c r="F257" s="2799"/>
      <c r="G257" s="2799"/>
      <c r="H257" s="2799"/>
      <c r="I257" s="2799"/>
      <c r="J257" s="2799"/>
      <c r="K257" s="2799"/>
      <c r="L257" s="2799"/>
      <c r="M257" s="2799"/>
      <c r="N257" s="2799"/>
      <c r="O257" s="2799"/>
      <c r="P257" s="539"/>
      <c r="Q257" s="35"/>
      <c r="R257" s="35"/>
    </row>
    <row r="258" spans="1:19" ht="14.25">
      <c r="A258" s="703" t="s">
        <v>281</v>
      </c>
      <c r="B258" s="2793"/>
      <c r="C258" s="242" t="s">
        <v>350</v>
      </c>
      <c r="D258" s="290"/>
      <c r="E258" s="2800" t="s">
        <v>368</v>
      </c>
      <c r="F258" s="686">
        <f t="shared" ref="F258:O258" si="84">(F252)*0.266723989681857</f>
        <v>1.9940071140643392</v>
      </c>
      <c r="G258" s="2799">
        <f t="shared" si="84"/>
        <v>1.8329576632390179</v>
      </c>
      <c r="H258" s="2799">
        <f t="shared" si="84"/>
        <v>1.5593969490007227</v>
      </c>
      <c r="I258" s="2799">
        <f t="shared" si="84"/>
        <v>1.2520757241189449</v>
      </c>
      <c r="J258" s="2799">
        <f t="shared" si="84"/>
        <v>0.89960387313435453</v>
      </c>
      <c r="K258" s="2799">
        <f t="shared" si="84"/>
        <v>0.51206817193927345</v>
      </c>
      <c r="L258" s="2799">
        <f t="shared" si="84"/>
        <v>0.41076728618570002</v>
      </c>
      <c r="M258" s="2799">
        <f t="shared" si="84"/>
        <v>0.28960362076092644</v>
      </c>
      <c r="N258" s="2799">
        <f t="shared" si="84"/>
        <v>0.15320843556214719</v>
      </c>
      <c r="O258" s="2799">
        <f t="shared" si="84"/>
        <v>0</v>
      </c>
      <c r="P258" s="539"/>
      <c r="Q258" s="35"/>
      <c r="R258" s="35"/>
    </row>
    <row r="259" spans="1:19" ht="14.25">
      <c r="A259" s="703"/>
      <c r="B259" s="703"/>
      <c r="C259" s="242" t="s">
        <v>351</v>
      </c>
      <c r="D259" s="290"/>
      <c r="E259" s="2800" t="s">
        <v>368</v>
      </c>
      <c r="F259" s="2799">
        <f>F$261*INDEX(EF[CH4], MATCH("V.04", EF[Vector], 0))</f>
        <v>0</v>
      </c>
      <c r="G259" s="2799">
        <f>G$590*INDEX(EF[CH4], MATCH("V.03", EF[Vector], 0))+G$591*INDEX(EF[CH4], MATCH("V.04", EF[Vector], 0))+G$592*INDEX(EF[CH4], MATCH("V.05", EF[Vector], 0))</f>
        <v>0</v>
      </c>
      <c r="H259" s="2799">
        <f>H$590*INDEX(EF[CH4], MATCH("V.03", EF[Vector], 0))+H$591*INDEX(EF[CH4], MATCH("V.04", EF[Vector], 0))+H$592*INDEX(EF[CH4], MATCH("V.05", EF[Vector], 0))</f>
        <v>0</v>
      </c>
      <c r="I259" s="2799">
        <f>I$590*INDEX(EF[CH4], MATCH("V.03", EF[Vector], 0))+I$591*INDEX(EF[CH4], MATCH("V.04", EF[Vector], 0))+I$592*INDEX(EF[CH4], MATCH("V.05", EF[Vector], 0))</f>
        <v>0</v>
      </c>
      <c r="J259" s="2799">
        <f>J$590*INDEX(EF[CH4], MATCH("V.03", EF[Vector], 0))+J$591*INDEX(EF[CH4], MATCH("V.04", EF[Vector], 0))+J$592*INDEX(EF[CH4], MATCH("V.05", EF[Vector], 0))</f>
        <v>0</v>
      </c>
      <c r="K259" s="2799">
        <f>K$590*INDEX(EF[CH4], MATCH("V.03", EF[Vector], 0))+K$591*INDEX(EF[CH4], MATCH("V.04", EF[Vector], 0))+K$592*INDEX(EF[CH4], MATCH("V.05", EF[Vector], 0))</f>
        <v>0</v>
      </c>
      <c r="L259" s="2799">
        <f>L$590*INDEX(EF[CH4], MATCH("V.03", EF[Vector], 0))+L$591*INDEX(EF[CH4], MATCH("V.04", EF[Vector], 0))+L$592*INDEX(EF[CH4], MATCH("V.05", EF[Vector], 0))</f>
        <v>0</v>
      </c>
      <c r="M259" s="2799">
        <f>M$590*INDEX(EF[CH4], MATCH("V.03", EF[Vector], 0))+M$591*INDEX(EF[CH4], MATCH("V.04", EF[Vector], 0))+M$592*INDEX(EF[CH4], MATCH("V.05", EF[Vector], 0))</f>
        <v>0</v>
      </c>
      <c r="N259" s="2799">
        <f>N$590*INDEX(EF[CH4], MATCH("V.03", EF[Vector], 0))+N$591*INDEX(EF[CH4], MATCH("V.04", EF[Vector], 0))+N$592*INDEX(EF[CH4], MATCH("V.05", EF[Vector], 0))</f>
        <v>0</v>
      </c>
      <c r="O259" s="2799">
        <f>O$590*INDEX(EF[CH4], MATCH("V.03", EF[Vector], 0))+O$591*INDEX(EF[CH4], MATCH("V.04", EF[Vector], 0))+O$592*INDEX(EF[CH4], MATCH("V.05", EF[Vector], 0))</f>
        <v>0</v>
      </c>
      <c r="P259" s="539"/>
      <c r="Q259" s="35"/>
      <c r="R259" s="35"/>
    </row>
    <row r="260" spans="1:19" ht="14.25">
      <c r="A260" s="1204"/>
      <c r="B260" s="2793"/>
      <c r="C260" s="242" t="s">
        <v>352</v>
      </c>
      <c r="D260" s="290"/>
      <c r="E260" s="2800" t="s">
        <v>368</v>
      </c>
      <c r="F260" s="2799">
        <f>F$261*INDEX(EF[N2O], MATCH("V.04", EF[Vector], 0))</f>
        <v>0</v>
      </c>
      <c r="G260" s="2799">
        <f>G$261*INDEX(EF[N2O], MATCH("V.04", EF[Vector], 0))</f>
        <v>0</v>
      </c>
      <c r="H260" s="2799">
        <f>H$261*INDEX(EF[N2O], MATCH("V.04", EF[Vector], 0))</f>
        <v>0</v>
      </c>
      <c r="I260" s="2799">
        <f>I$261*INDEX(EF[N2O], MATCH("V.04", EF[Vector], 0))</f>
        <v>0</v>
      </c>
      <c r="J260" s="2799">
        <f>J$261*INDEX(EF[N2O], MATCH("V.04", EF[Vector], 0))</f>
        <v>0</v>
      </c>
      <c r="K260" s="2799">
        <f>K$261*INDEX(EF[N2O], MATCH("V.04", EF[Vector], 0))</f>
        <v>0</v>
      </c>
      <c r="L260" s="2799">
        <f>L$261*INDEX(EF[N2O], MATCH("V.04", EF[Vector], 0))</f>
        <v>0</v>
      </c>
      <c r="M260" s="2799">
        <f>M$261*INDEX(EF[N2O], MATCH("V.04", EF[Vector], 0))</f>
        <v>0</v>
      </c>
      <c r="N260" s="2799">
        <f>N$261*INDEX(EF[N2O], MATCH("V.04", EF[Vector], 0))</f>
        <v>0</v>
      </c>
      <c r="O260" s="2799">
        <f>O$261*INDEX(EF[N2O], MATCH("V.04", EF[Vector], 0))</f>
        <v>0</v>
      </c>
      <c r="P260" s="539"/>
      <c r="Q260" s="35"/>
      <c r="R260" s="35"/>
    </row>
    <row r="261" spans="1:19">
      <c r="A261" s="35"/>
      <c r="B261" s="423"/>
      <c r="C261" s="1622"/>
      <c r="D261" s="1622"/>
      <c r="E261" s="1623"/>
      <c r="F261" s="1622"/>
      <c r="G261" s="1622"/>
      <c r="H261" s="1622"/>
      <c r="I261" s="1622"/>
      <c r="J261" s="1622"/>
      <c r="K261" s="1622"/>
      <c r="L261" s="1622"/>
      <c r="M261" s="1622"/>
      <c r="N261" s="1622"/>
      <c r="O261" s="1622"/>
      <c r="P261" s="539"/>
      <c r="Q261" s="35"/>
      <c r="R261" s="35"/>
    </row>
    <row r="262" spans="1:19">
      <c r="A262" s="35"/>
      <c r="B262" s="423"/>
      <c r="C262" s="1622"/>
      <c r="D262" s="1622"/>
      <c r="E262" s="1623"/>
      <c r="F262" s="1622"/>
      <c r="G262" s="1622"/>
      <c r="H262" s="1622"/>
      <c r="I262" s="1622"/>
      <c r="J262" s="1622"/>
      <c r="K262" s="1622"/>
      <c r="L262" s="1622"/>
      <c r="M262" s="1622"/>
      <c r="N262" s="1622"/>
      <c r="O262" s="1622"/>
      <c r="P262" s="539"/>
      <c r="Q262" s="35"/>
      <c r="R262" s="35"/>
    </row>
    <row r="263" spans="1:19">
      <c r="B263" s="51"/>
      <c r="C263" s="51"/>
      <c r="D263" s="51"/>
      <c r="E263" s="51"/>
      <c r="F263" s="22"/>
      <c r="G263" s="51"/>
      <c r="H263" s="51"/>
      <c r="I263" s="51"/>
      <c r="J263" s="51"/>
      <c r="K263" s="51"/>
      <c r="L263" s="51"/>
      <c r="M263" s="51"/>
      <c r="N263" s="51"/>
      <c r="O263" s="51"/>
      <c r="P263" s="51"/>
      <c r="Q263" s="359"/>
    </row>
    <row r="264" spans="1:19" ht="15.75">
      <c r="B264" s="206" t="s">
        <v>202</v>
      </c>
      <c r="C264" s="175"/>
      <c r="D264" s="175"/>
      <c r="E264" s="175"/>
      <c r="F264" s="175"/>
      <c r="G264" s="175"/>
      <c r="H264" s="175"/>
      <c r="I264" s="175"/>
      <c r="J264" s="175"/>
      <c r="K264" s="175"/>
      <c r="L264" s="175"/>
      <c r="M264" s="175"/>
      <c r="N264" s="175"/>
      <c r="O264" s="175"/>
      <c r="P264" s="177"/>
      <c r="Q264" s="359"/>
    </row>
    <row r="265" spans="1:19">
      <c r="B265" s="164"/>
      <c r="C265" s="166"/>
      <c r="D265" s="166"/>
      <c r="E265" s="166"/>
      <c r="F265" s="166"/>
      <c r="G265" s="166"/>
      <c r="H265" s="166"/>
      <c r="I265" s="166"/>
      <c r="J265" s="166"/>
      <c r="K265" s="166"/>
      <c r="L265" s="166"/>
      <c r="M265" s="166"/>
      <c r="N265" s="166"/>
      <c r="O265" s="166"/>
      <c r="P265" s="168"/>
      <c r="Q265" s="359"/>
    </row>
    <row r="266" spans="1:19">
      <c r="B266" s="164"/>
      <c r="C266" s="178" t="s">
        <v>239</v>
      </c>
      <c r="D266" s="166"/>
      <c r="E266" s="167"/>
      <c r="F266" s="166"/>
      <c r="G266" s="167"/>
      <c r="H266" s="166"/>
      <c r="I266" s="166"/>
      <c r="J266" s="166"/>
      <c r="K266" s="166"/>
      <c r="L266" s="166"/>
      <c r="M266" s="166"/>
      <c r="N266" s="166"/>
      <c r="O266" s="167" t="str">
        <f>preferences.energyunits</f>
        <v>TWh</v>
      </c>
      <c r="P266" s="168"/>
      <c r="Q266" s="359"/>
    </row>
    <row r="267" spans="1:19">
      <c r="B267" s="164"/>
      <c r="C267" s="166"/>
      <c r="D267" s="166"/>
      <c r="E267" s="166"/>
      <c r="F267" s="166"/>
      <c r="G267" s="166"/>
      <c r="H267" s="166"/>
      <c r="I267" s="166"/>
      <c r="J267" s="166"/>
      <c r="K267" s="166"/>
      <c r="L267" s="166"/>
      <c r="M267" s="166"/>
      <c r="N267" s="166"/>
      <c r="O267" s="166"/>
      <c r="P267" s="168"/>
      <c r="Q267" s="359"/>
    </row>
    <row r="268" spans="1:19" ht="15.75">
      <c r="B268" s="169"/>
      <c r="C268" s="180" t="s">
        <v>64</v>
      </c>
      <c r="D268" s="180" t="s">
        <v>137</v>
      </c>
      <c r="E268" s="180" t="s">
        <v>156</v>
      </c>
      <c r="F268" s="180" t="s">
        <v>203</v>
      </c>
      <c r="G268" s="180" t="s">
        <v>712</v>
      </c>
      <c r="H268" s="180" t="s">
        <v>713</v>
      </c>
      <c r="I268" s="180" t="s">
        <v>714</v>
      </c>
      <c r="J268" s="180" t="s">
        <v>715</v>
      </c>
      <c r="K268" s="180" t="s">
        <v>716</v>
      </c>
      <c r="L268" s="180" t="s">
        <v>717</v>
      </c>
      <c r="M268" s="180" t="s">
        <v>718</v>
      </c>
      <c r="N268" s="180" t="s">
        <v>719</v>
      </c>
      <c r="O268" s="180" t="s">
        <v>720</v>
      </c>
      <c r="P268" s="168"/>
      <c r="Q268" s="359"/>
    </row>
    <row r="269" spans="1:19" ht="15.75">
      <c r="B269" s="169"/>
      <c r="C269" s="60" t="s">
        <v>44</v>
      </c>
      <c r="D269" s="60" t="str">
        <f>INDEX(Vectors[Description], MATCH([Vector],Vectors[Code], 0))</f>
        <v>Domestic Lighting &amp; appliances</v>
      </c>
      <c r="E269" s="60"/>
      <c r="F269" s="129">
        <f>F234+F256</f>
        <v>125.22829189364668</v>
      </c>
      <c r="G269" s="129">
        <f t="shared" ref="G269:O269" si="85">G234+G256</f>
        <v>169.69505456493178</v>
      </c>
      <c r="H269" s="129">
        <f t="shared" si="85"/>
        <v>300.04431466291476</v>
      </c>
      <c r="I269" s="129">
        <f t="shared" si="85"/>
        <v>496.30573002834524</v>
      </c>
      <c r="J269" s="129">
        <f t="shared" si="85"/>
        <v>774.27220243376769</v>
      </c>
      <c r="K269" s="129">
        <f t="shared" si="85"/>
        <v>1159.8318853695678</v>
      </c>
      <c r="L269" s="129">
        <f t="shared" si="85"/>
        <v>1453.7842020047071</v>
      </c>
      <c r="M269" s="129">
        <f t="shared" si="85"/>
        <v>1804.4491932933804</v>
      </c>
      <c r="N269" s="129">
        <f t="shared" si="85"/>
        <v>2204.4681998125216</v>
      </c>
      <c r="O269" s="129">
        <f t="shared" si="85"/>
        <v>2671.8455088986261</v>
      </c>
      <c r="P269" s="168"/>
      <c r="Q269" s="359"/>
    </row>
    <row r="270" spans="1:19" s="1617" customFormat="1" ht="15.75">
      <c r="B270" s="1977"/>
      <c r="C270" s="1978" t="s">
        <v>1528</v>
      </c>
      <c r="D270" s="60" t="str">
        <f>INDEX(Vectors[Description], MATCH([Vector],Vectors[Code], 0))</f>
        <v>Green Building Design &amp; Envelope Savings</v>
      </c>
      <c r="E270" s="1978"/>
      <c r="F270" s="2001">
        <f ca="1">-F245</f>
        <v>0</v>
      </c>
      <c r="G270" s="2001">
        <f t="shared" ref="G270:O270" ca="1" si="86">-G245</f>
        <v>0</v>
      </c>
      <c r="H270" s="2001">
        <f t="shared" ca="1" si="86"/>
        <v>5.9190808791918433E-13</v>
      </c>
      <c r="I270" s="2001">
        <f t="shared" ca="1" si="86"/>
        <v>0</v>
      </c>
      <c r="J270" s="2001">
        <f t="shared" ca="1" si="86"/>
        <v>5.4946305628478724E-13</v>
      </c>
      <c r="K270" s="2001">
        <f t="shared" ca="1" si="86"/>
        <v>0</v>
      </c>
      <c r="L270" s="2001">
        <f t="shared" ca="1" si="86"/>
        <v>-1.641352825785818E-12</v>
      </c>
      <c r="M270" s="2001">
        <f t="shared" ca="1" si="86"/>
        <v>2.6703459443438968E-12</v>
      </c>
      <c r="N270" s="2001">
        <f t="shared" ca="1" si="86"/>
        <v>-3.0901058749774097E-12</v>
      </c>
      <c r="O270" s="2001">
        <f t="shared" ca="1" si="86"/>
        <v>5.5110135597591092E-12</v>
      </c>
      <c r="P270" s="2002"/>
    </row>
    <row r="271" spans="1:19" s="2810" customFormat="1" ht="15.75">
      <c r="B271" s="2811"/>
      <c r="C271" s="1978" t="s">
        <v>38</v>
      </c>
      <c r="D271" s="1978" t="str">
        <f>INDEX(Vectors[Description], MATCH([Vector],Vectors[Code], 0))</f>
        <v>Liquid hydrocarbons</v>
      </c>
      <c r="E271" s="1978"/>
      <c r="F271" s="2001">
        <f>-(F256)</f>
        <v>-7.4759196442837803</v>
      </c>
      <c r="G271" s="2001">
        <f t="shared" ref="G271:O271" si="87">-(G256)</f>
        <v>-6.8721139985395867</v>
      </c>
      <c r="H271" s="2001">
        <f t="shared" si="87"/>
        <v>-5.8464817913856937</v>
      </c>
      <c r="I271" s="2001">
        <f t="shared" si="87"/>
        <v>-4.694274877983025</v>
      </c>
      <c r="J271" s="2001">
        <f t="shared" si="87"/>
        <v>-3.372789505013718</v>
      </c>
      <c r="K271" s="2001">
        <f t="shared" si="87"/>
        <v>-1.9198429528219716</v>
      </c>
      <c r="L271" s="2001">
        <f t="shared" si="87"/>
        <v>-1.5400462728367814</v>
      </c>
      <c r="M271" s="2001">
        <f t="shared" si="87"/>
        <v>-1.0857801771275235</v>
      </c>
      <c r="N271" s="2001">
        <f t="shared" si="87"/>
        <v>-0.57440815782971422</v>
      </c>
      <c r="O271" s="2001">
        <f t="shared" si="87"/>
        <v>0</v>
      </c>
      <c r="P271" s="2812"/>
    </row>
    <row r="272" spans="1:19" ht="22.5" collapsed="1">
      <c r="A272" s="420"/>
      <c r="B272" s="169"/>
      <c r="C272" s="226" t="s">
        <v>34</v>
      </c>
      <c r="D272" s="60" t="str">
        <f>INDEX(Vectors[Description], MATCH([Vector],Vectors[Code], 0))</f>
        <v>Electricity (delivered to end user)</v>
      </c>
      <c r="E272" s="226"/>
      <c r="F272" s="606">
        <f ca="1">-(F269+F270+F271)</f>
        <v>-117.75237224936291</v>
      </c>
      <c r="G272" s="606">
        <f t="shared" ref="G272:O272" ca="1" si="88">-(G269+G270+G271)</f>
        <v>-162.82294056639219</v>
      </c>
      <c r="H272" s="606">
        <f t="shared" ca="1" si="88"/>
        <v>-294.19783287152961</v>
      </c>
      <c r="I272" s="606">
        <f t="shared" ca="1" si="88"/>
        <v>-491.61145515036219</v>
      </c>
      <c r="J272" s="606">
        <f t="shared" ca="1" si="88"/>
        <v>-770.89941292875449</v>
      </c>
      <c r="K272" s="606">
        <f t="shared" ca="1" si="88"/>
        <v>-1157.9120424167459</v>
      </c>
      <c r="L272" s="606">
        <f t="shared" ca="1" si="88"/>
        <v>-1452.2441557318687</v>
      </c>
      <c r="M272" s="606">
        <f t="shared" ca="1" si="88"/>
        <v>-1803.3634131162555</v>
      </c>
      <c r="N272" s="606">
        <f t="shared" ca="1" si="88"/>
        <v>-2203.8937916546888</v>
      </c>
      <c r="O272" s="606">
        <f t="shared" ca="1" si="88"/>
        <v>-2671.8455088986316</v>
      </c>
      <c r="P272" s="168"/>
      <c r="S272" s="22"/>
    </row>
    <row r="273" spans="1:19">
      <c r="C273" s="60" t="s">
        <v>103</v>
      </c>
      <c r="D273" s="60"/>
      <c r="E273" s="60"/>
      <c r="F273" s="231">
        <f ca="1">SUM([2007])</f>
        <v>0</v>
      </c>
      <c r="G273" s="231">
        <f ca="1">SUM([2012])</f>
        <v>0</v>
      </c>
      <c r="H273" s="231">
        <f ca="1">SUM([2017])</f>
        <v>0</v>
      </c>
      <c r="I273" s="231">
        <f ca="1">SUM([2022])</f>
        <v>0</v>
      </c>
      <c r="J273" s="231">
        <f ca="1">SUM([2027])</f>
        <v>0</v>
      </c>
      <c r="K273" s="231">
        <f ca="1">SUM([2032])</f>
        <v>0</v>
      </c>
      <c r="L273" s="231">
        <f ca="1">SUM([2037])</f>
        <v>0</v>
      </c>
      <c r="M273" s="231">
        <f ca="1">SUM([2042])</f>
        <v>0</v>
      </c>
      <c r="N273" s="231">
        <f ca="1">SUM([2047])</f>
        <v>0</v>
      </c>
      <c r="O273" s="231">
        <f ca="1">SUM([2052])</f>
        <v>0</v>
      </c>
      <c r="S273" s="22"/>
    </row>
    <row r="274" spans="1:19" ht="16.5" customHeight="1">
      <c r="P274" s="185"/>
      <c r="S274" s="22"/>
    </row>
    <row r="275" spans="1:19" ht="23.25" customHeight="1">
      <c r="A275" s="3"/>
      <c r="B275" s="1999" t="s">
        <v>281</v>
      </c>
      <c r="C275" s="184"/>
      <c r="D275" s="184"/>
      <c r="E275" s="184"/>
      <c r="F275" s="184"/>
      <c r="G275" s="184"/>
      <c r="H275" s="184"/>
      <c r="I275" s="184"/>
      <c r="J275" s="184"/>
      <c r="K275" s="184"/>
      <c r="L275" s="184"/>
      <c r="M275" s="184"/>
      <c r="N275" s="184"/>
      <c r="O275" s="184"/>
      <c r="P275" s="192"/>
    </row>
    <row r="276" spans="1:19" ht="15.75">
      <c r="A276" s="2813"/>
      <c r="B276" s="193"/>
      <c r="C276" s="191"/>
      <c r="D276" s="191"/>
      <c r="E276" s="191"/>
      <c r="F276" s="191"/>
      <c r="G276" s="191"/>
      <c r="H276" s="191"/>
      <c r="I276" s="191"/>
      <c r="J276" s="191"/>
      <c r="K276" s="191"/>
      <c r="L276" s="191"/>
      <c r="M276" s="191"/>
      <c r="N276" s="191"/>
      <c r="O276" s="191"/>
      <c r="P276" s="194"/>
    </row>
    <row r="277" spans="1:19" ht="15.75">
      <c r="A277" s="2813"/>
      <c r="B277" s="193"/>
      <c r="C277" s="186" t="s">
        <v>1367</v>
      </c>
      <c r="D277" s="187"/>
      <c r="E277" s="188"/>
      <c r="F277" s="187"/>
      <c r="G277" s="188"/>
      <c r="H277" s="187"/>
      <c r="I277" s="187"/>
      <c r="J277" s="187"/>
      <c r="K277" s="187"/>
      <c r="L277" s="187"/>
      <c r="M277" s="187"/>
      <c r="N277" s="187"/>
      <c r="O277" s="1625" t="s">
        <v>1368</v>
      </c>
      <c r="P277" s="194"/>
    </row>
    <row r="278" spans="1:19" ht="15.75">
      <c r="A278" s="2813"/>
      <c r="B278" s="195"/>
      <c r="C278" s="187"/>
      <c r="D278" s="187"/>
      <c r="E278" s="187"/>
      <c r="F278" s="187"/>
      <c r="G278" s="187"/>
      <c r="H278" s="187"/>
      <c r="I278" s="187"/>
      <c r="J278" s="187"/>
      <c r="K278" s="187"/>
      <c r="L278" s="187"/>
      <c r="M278" s="187"/>
      <c r="N278" s="187"/>
      <c r="O278" s="187"/>
      <c r="P278" s="194"/>
    </row>
    <row r="279" spans="1:19" ht="15.75">
      <c r="A279" s="2813"/>
      <c r="B279" s="195"/>
      <c r="C279" s="221" t="s">
        <v>365</v>
      </c>
      <c r="D279" s="221" t="s">
        <v>337</v>
      </c>
      <c r="E279" s="221" t="s">
        <v>156</v>
      </c>
      <c r="F279" s="221" t="s">
        <v>203</v>
      </c>
      <c r="G279" s="221" t="s">
        <v>712</v>
      </c>
      <c r="H279" s="221" t="s">
        <v>713</v>
      </c>
      <c r="I279" s="221" t="s">
        <v>714</v>
      </c>
      <c r="J279" s="221" t="s">
        <v>715</v>
      </c>
      <c r="K279" s="221" t="s">
        <v>716</v>
      </c>
      <c r="L279" s="221" t="s">
        <v>717</v>
      </c>
      <c r="M279" s="221" t="s">
        <v>718</v>
      </c>
      <c r="N279" s="221" t="s">
        <v>719</v>
      </c>
      <c r="O279" s="221" t="s">
        <v>720</v>
      </c>
      <c r="P279" s="194"/>
    </row>
    <row r="280" spans="1:19" ht="15.75">
      <c r="A280" s="2813"/>
      <c r="B280" s="195"/>
      <c r="C280" s="189" t="s">
        <v>350</v>
      </c>
      <c r="D280" s="196" t="s">
        <v>359</v>
      </c>
      <c r="E280" s="189" t="str">
        <f>INDEX(IPCC[Sector_description], MATCH([IPCC Sector], IPCC[Sector_code], 0))</f>
        <v>Fuel Combustion</v>
      </c>
      <c r="F280" s="1413">
        <f>F258</f>
        <v>1.9940071140643392</v>
      </c>
      <c r="G280" s="1413">
        <f t="shared" ref="G280:O280" si="89">G258</f>
        <v>1.8329576632390179</v>
      </c>
      <c r="H280" s="1413">
        <f t="shared" si="89"/>
        <v>1.5593969490007227</v>
      </c>
      <c r="I280" s="1413">
        <f t="shared" si="89"/>
        <v>1.2520757241189449</v>
      </c>
      <c r="J280" s="1413">
        <f t="shared" si="89"/>
        <v>0.89960387313435453</v>
      </c>
      <c r="K280" s="1413">
        <f t="shared" si="89"/>
        <v>0.51206817193927345</v>
      </c>
      <c r="L280" s="1413">
        <f t="shared" si="89"/>
        <v>0.41076728618570002</v>
      </c>
      <c r="M280" s="1413">
        <f t="shared" si="89"/>
        <v>0.28960362076092644</v>
      </c>
      <c r="N280" s="1413">
        <f t="shared" si="89"/>
        <v>0.15320843556214719</v>
      </c>
      <c r="O280" s="1413">
        <f t="shared" si="89"/>
        <v>0</v>
      </c>
      <c r="P280" s="194"/>
    </row>
    <row r="281" spans="1:19" ht="15.75">
      <c r="A281" s="242"/>
      <c r="B281" s="195"/>
      <c r="C281" s="189" t="s">
        <v>351</v>
      </c>
      <c r="D281" s="196" t="s">
        <v>359</v>
      </c>
      <c r="E281" s="189" t="str">
        <f>INDEX(IPCC[Sector_description], MATCH([IPCC Sector], IPCC[Sector_code], 0))</f>
        <v>Fuel Combustion</v>
      </c>
      <c r="F281" s="1413">
        <v>0</v>
      </c>
      <c r="G281" s="1413">
        <v>0</v>
      </c>
      <c r="H281" s="1413">
        <v>0</v>
      </c>
      <c r="I281" s="1413">
        <v>0</v>
      </c>
      <c r="J281" s="1413">
        <v>0</v>
      </c>
      <c r="K281" s="1413">
        <v>0</v>
      </c>
      <c r="L281" s="1413">
        <v>0</v>
      </c>
      <c r="M281" s="1413">
        <v>0</v>
      </c>
      <c r="N281" s="1413">
        <v>0</v>
      </c>
      <c r="O281" s="1413">
        <v>0</v>
      </c>
      <c r="P281" s="194"/>
    </row>
    <row r="282" spans="1:19" ht="22.5">
      <c r="A282" s="702"/>
      <c r="B282" s="195"/>
      <c r="C282" s="189" t="s">
        <v>352</v>
      </c>
      <c r="D282" s="196" t="s">
        <v>359</v>
      </c>
      <c r="E282" s="189" t="str">
        <f>INDEX(IPCC[Sector_description], MATCH([IPCC Sector], IPCC[Sector_code], 0))</f>
        <v>Fuel Combustion</v>
      </c>
      <c r="F282" s="1413">
        <v>0</v>
      </c>
      <c r="G282" s="1413">
        <v>0</v>
      </c>
      <c r="H282" s="1413">
        <v>0</v>
      </c>
      <c r="I282" s="1413">
        <v>0</v>
      </c>
      <c r="J282" s="1413">
        <v>0</v>
      </c>
      <c r="K282" s="1413">
        <v>0</v>
      </c>
      <c r="L282" s="1413">
        <v>0</v>
      </c>
      <c r="M282" s="1413">
        <v>0</v>
      </c>
      <c r="N282" s="1413">
        <v>0</v>
      </c>
      <c r="O282" s="1413">
        <v>0</v>
      </c>
      <c r="P282" s="194"/>
    </row>
    <row r="283" spans="1:19" ht="15.75">
      <c r="A283" s="242"/>
      <c r="B283" s="1626"/>
      <c r="C283" s="189" t="s">
        <v>103</v>
      </c>
      <c r="D283" s="189"/>
      <c r="E283" s="189"/>
      <c r="F283" s="223" t="s">
        <v>2106</v>
      </c>
      <c r="G283" s="223">
        <f>SUBTOTAL(109,[2012])</f>
        <v>1.8329576632390179</v>
      </c>
      <c r="H283" s="223">
        <f>SUBTOTAL(109,[2017])</f>
        <v>1.5593969490007227</v>
      </c>
      <c r="I283" s="223">
        <f>SUBTOTAL(109,[2022])</f>
        <v>1.2520757241189449</v>
      </c>
      <c r="J283" s="223">
        <f>SUBTOTAL(109,[2027])</f>
        <v>0.89960387313435453</v>
      </c>
      <c r="K283" s="223">
        <f>SUBTOTAL(109,[2032])</f>
        <v>0.51206817193927345</v>
      </c>
      <c r="L283" s="223">
        <f>SUBTOTAL(109,[2037])</f>
        <v>0.41076728618570002</v>
      </c>
      <c r="M283" s="223">
        <f>SUBTOTAL(109,[2042])</f>
        <v>0.28960362076092644</v>
      </c>
      <c r="N283" s="223">
        <f>SUBTOTAL(109,[2047])</f>
        <v>0.15320843556214719</v>
      </c>
      <c r="O283" s="223">
        <f>SUBTOTAL(109,[2052])</f>
        <v>0</v>
      </c>
      <c r="P283" s="187"/>
    </row>
    <row r="284" spans="1:19" ht="15.75">
      <c r="A284" s="242"/>
      <c r="B284" s="1626"/>
      <c r="C284" s="189"/>
      <c r="D284" s="189"/>
      <c r="E284" s="189"/>
      <c r="F284" s="223"/>
      <c r="G284" s="223"/>
      <c r="H284" s="223"/>
      <c r="I284" s="223"/>
      <c r="J284" s="223"/>
      <c r="K284" s="223"/>
      <c r="L284" s="223"/>
      <c r="M284" s="223"/>
      <c r="N284" s="223"/>
      <c r="O284" s="223"/>
      <c r="P284" s="187"/>
    </row>
    <row r="285" spans="1:19" ht="13.5" customHeight="1">
      <c r="A285" s="242"/>
      <c r="B285" s="1629"/>
      <c r="C285" s="1627" t="s">
        <v>1369</v>
      </c>
      <c r="D285" s="1405"/>
      <c r="E285" s="189"/>
      <c r="F285" s="223"/>
      <c r="G285" s="223"/>
      <c r="H285" s="223"/>
      <c r="I285" s="223"/>
      <c r="J285" s="223"/>
      <c r="K285" s="223"/>
      <c r="L285" s="223"/>
      <c r="M285" s="223"/>
      <c r="N285" s="223"/>
      <c r="O285" s="2904" t="s">
        <v>1370</v>
      </c>
      <c r="P285" s="1629"/>
    </row>
    <row r="286" spans="1:19">
      <c r="A286" s="242"/>
      <c r="B286" s="1629"/>
      <c r="C286" s="1629"/>
      <c r="D286" s="1629"/>
      <c r="E286" s="1629"/>
      <c r="F286" s="1629"/>
      <c r="G286" s="1629"/>
      <c r="H286" s="1629"/>
      <c r="I286" s="1629"/>
      <c r="J286" s="1629"/>
      <c r="K286" s="1629"/>
      <c r="L286" s="1629"/>
      <c r="M286" s="1629"/>
      <c r="N286" s="1629"/>
      <c r="O286" s="1629"/>
      <c r="P286" s="1629"/>
    </row>
    <row r="287" spans="1:19">
      <c r="A287" s="242"/>
      <c r="B287" s="1629"/>
      <c r="C287" s="1630" t="s">
        <v>64</v>
      </c>
      <c r="D287" s="1630" t="s">
        <v>137</v>
      </c>
      <c r="E287" s="1630" t="s">
        <v>337</v>
      </c>
      <c r="F287" s="2860" t="s">
        <v>203</v>
      </c>
      <c r="G287" s="2860" t="s">
        <v>712</v>
      </c>
      <c r="H287" s="2860" t="s">
        <v>713</v>
      </c>
      <c r="I287" s="2860" t="s">
        <v>714</v>
      </c>
      <c r="J287" s="2860" t="s">
        <v>715</v>
      </c>
      <c r="K287" s="2860" t="s">
        <v>716</v>
      </c>
      <c r="L287" s="2860" t="s">
        <v>717</v>
      </c>
      <c r="M287" s="2860" t="s">
        <v>718</v>
      </c>
      <c r="N287" s="2860" t="s">
        <v>719</v>
      </c>
      <c r="O287" s="2860" t="s">
        <v>720</v>
      </c>
      <c r="P287" s="1629"/>
    </row>
    <row r="288" spans="1:19">
      <c r="A288" s="242"/>
      <c r="B288" s="1629"/>
      <c r="C288" s="1631" t="str">
        <f>INDEX(AirQualityVectors[Code],MATCH(D288,AirQualityVectors[Description],0))</f>
        <v>AQ.01</v>
      </c>
      <c r="D288" s="1632" t="s">
        <v>666</v>
      </c>
      <c r="E288" s="1631" t="s">
        <v>359</v>
      </c>
      <c r="F288" s="1633">
        <v>0</v>
      </c>
      <c r="G288" s="1633">
        <v>0</v>
      </c>
      <c r="H288" s="1633">
        <v>0</v>
      </c>
      <c r="I288" s="1633">
        <v>0</v>
      </c>
      <c r="J288" s="1633">
        <v>0</v>
      </c>
      <c r="K288" s="1633">
        <v>0</v>
      </c>
      <c r="L288" s="1633">
        <v>0</v>
      </c>
      <c r="M288" s="1633">
        <v>0</v>
      </c>
      <c r="N288" s="1633">
        <v>0</v>
      </c>
      <c r="O288" s="1633">
        <v>0</v>
      </c>
      <c r="P288" s="1629"/>
    </row>
    <row r="289" spans="1:23">
      <c r="A289" s="242"/>
      <c r="B289" s="1629"/>
      <c r="C289" s="1631" t="str">
        <f>INDEX(AirQualityVectors[Code],MATCH(D289,AirQualityVectors[Description],0))</f>
        <v>AQ.02</v>
      </c>
      <c r="D289" s="1634" t="s">
        <v>668</v>
      </c>
      <c r="E289" s="1629" t="s">
        <v>359</v>
      </c>
      <c r="F289" s="1633">
        <v>0</v>
      </c>
      <c r="G289" s="1633">
        <v>0</v>
      </c>
      <c r="H289" s="1633">
        <v>0</v>
      </c>
      <c r="I289" s="1633">
        <v>0</v>
      </c>
      <c r="J289" s="1633">
        <v>0</v>
      </c>
      <c r="K289" s="1633">
        <v>0</v>
      </c>
      <c r="L289" s="1633">
        <v>0</v>
      </c>
      <c r="M289" s="1633">
        <v>0</v>
      </c>
      <c r="N289" s="1633">
        <v>0</v>
      </c>
      <c r="O289" s="1633">
        <v>0</v>
      </c>
      <c r="P289" s="1629"/>
    </row>
    <row r="290" spans="1:23">
      <c r="A290" s="242"/>
      <c r="B290" s="1629"/>
      <c r="C290" s="1631" t="str">
        <f>INDEX(AirQualityVectors[Code],MATCH(D290,AirQualityVectors[Description],0))</f>
        <v>AQ.03</v>
      </c>
      <c r="D290" s="1634" t="s">
        <v>669</v>
      </c>
      <c r="E290" s="1629" t="s">
        <v>359</v>
      </c>
      <c r="F290" s="1633">
        <v>0</v>
      </c>
      <c r="G290" s="1633">
        <v>0</v>
      </c>
      <c r="H290" s="1633">
        <v>0</v>
      </c>
      <c r="I290" s="1633">
        <v>0</v>
      </c>
      <c r="J290" s="1633">
        <v>0</v>
      </c>
      <c r="K290" s="1633">
        <v>0</v>
      </c>
      <c r="L290" s="1633">
        <v>0</v>
      </c>
      <c r="M290" s="1633">
        <v>0</v>
      </c>
      <c r="N290" s="1633">
        <v>0</v>
      </c>
      <c r="O290" s="1633">
        <v>0</v>
      </c>
      <c r="P290" s="1629"/>
    </row>
    <row r="291" spans="1:23" ht="15.75">
      <c r="B291" s="1637"/>
      <c r="C291" s="1631" t="str">
        <f>INDEX(AirQualityVectors[Code],MATCH(D291,AirQualityVectors[Description],0))</f>
        <v>AQ.04</v>
      </c>
      <c r="D291" s="1636" t="s">
        <v>667</v>
      </c>
      <c r="E291" s="1635" t="s">
        <v>359</v>
      </c>
      <c r="F291" s="1633">
        <v>0</v>
      </c>
      <c r="G291" s="1633">
        <v>0</v>
      </c>
      <c r="H291" s="1633">
        <v>0</v>
      </c>
      <c r="I291" s="1633">
        <v>0</v>
      </c>
      <c r="J291" s="1633">
        <v>0</v>
      </c>
      <c r="K291" s="1633">
        <v>0</v>
      </c>
      <c r="L291" s="1633">
        <v>0</v>
      </c>
      <c r="M291" s="1633">
        <v>0</v>
      </c>
      <c r="N291" s="1633">
        <v>0</v>
      </c>
      <c r="O291" s="1633">
        <v>0</v>
      </c>
      <c r="P291" s="1408"/>
    </row>
    <row r="292" spans="1:23">
      <c r="C292" s="1407"/>
      <c r="D292" s="1407"/>
      <c r="E292" s="1407"/>
      <c r="F292" s="1407"/>
      <c r="G292" s="1407"/>
      <c r="H292" s="1407"/>
      <c r="I292" s="1407"/>
      <c r="J292" s="1407"/>
      <c r="K292" s="1407"/>
      <c r="L292" s="1407"/>
      <c r="M292" s="1407"/>
      <c r="N292" s="1407"/>
      <c r="O292" s="1407"/>
    </row>
    <row r="293" spans="1:23" ht="4.5" customHeight="1"/>
    <row r="294" spans="1:23">
      <c r="P294" s="426"/>
    </row>
    <row r="295" spans="1:23" ht="20.25" customHeight="1">
      <c r="B295" s="424" t="s">
        <v>501</v>
      </c>
      <c r="C295" s="346"/>
      <c r="D295" s="425"/>
      <c r="E295" s="425"/>
      <c r="F295" s="425"/>
      <c r="G295" s="425"/>
      <c r="H295" s="425"/>
      <c r="I295" s="425"/>
      <c r="J295" s="425"/>
      <c r="K295" s="425"/>
      <c r="L295" s="425"/>
      <c r="M295" s="425"/>
      <c r="N295" s="425"/>
      <c r="O295" s="425"/>
      <c r="P295" s="349"/>
    </row>
    <row r="296" spans="1:23">
      <c r="B296" s="427"/>
      <c r="C296" s="348"/>
      <c r="D296" s="348"/>
      <c r="E296" s="348"/>
      <c r="F296" s="348"/>
      <c r="G296" s="348"/>
      <c r="H296" s="348"/>
      <c r="I296" s="348"/>
      <c r="J296" s="348"/>
      <c r="K296" s="348"/>
      <c r="L296" s="348"/>
      <c r="M296" s="348"/>
      <c r="N296" s="348"/>
      <c r="O296" s="348"/>
      <c r="P296" s="429"/>
      <c r="R296" s="539"/>
      <c r="S296" s="539"/>
      <c r="T296" s="539"/>
      <c r="U296" s="539"/>
      <c r="V296" s="539"/>
      <c r="W296" s="539"/>
    </row>
    <row r="297" spans="1:23" ht="7.5" customHeight="1">
      <c r="B297" s="427"/>
      <c r="C297" s="350"/>
      <c r="D297" s="428"/>
      <c r="E297" s="351"/>
      <c r="F297" s="428"/>
      <c r="G297" s="351"/>
      <c r="H297" s="428"/>
      <c r="I297" s="428"/>
      <c r="J297" s="428"/>
      <c r="K297" s="428"/>
      <c r="L297" s="428"/>
      <c r="M297" s="428"/>
      <c r="N297" s="428"/>
      <c r="O297" s="351"/>
      <c r="P297" s="429"/>
      <c r="R297" s="539"/>
      <c r="S297" s="539"/>
      <c r="T297" s="539"/>
      <c r="U297" s="539"/>
      <c r="V297" s="539"/>
      <c r="W297" s="539"/>
    </row>
    <row r="298" spans="1:23" ht="15.75">
      <c r="B298" s="430"/>
      <c r="C298" s="428"/>
      <c r="D298" s="428"/>
      <c r="E298" s="428"/>
      <c r="F298" s="428"/>
      <c r="G298" s="428"/>
      <c r="H298" s="428"/>
      <c r="I298" s="428"/>
      <c r="J298" s="428"/>
      <c r="K298" s="428"/>
      <c r="L298" s="428"/>
      <c r="M298" s="428"/>
      <c r="N298" s="428"/>
      <c r="O298" s="428"/>
      <c r="P298" s="429"/>
      <c r="R298" s="35"/>
      <c r="S298" s="35"/>
      <c r="T298" s="35"/>
      <c r="U298" s="35"/>
      <c r="V298" s="35"/>
      <c r="W298" s="35"/>
    </row>
    <row r="299" spans="1:23" ht="15.75">
      <c r="B299" s="430"/>
      <c r="C299" s="431" t="s">
        <v>64</v>
      </c>
      <c r="D299" s="431" t="s">
        <v>502</v>
      </c>
      <c r="E299" s="431" t="s">
        <v>156</v>
      </c>
      <c r="F299" s="431" t="s">
        <v>203</v>
      </c>
      <c r="G299" s="431" t="s">
        <v>204</v>
      </c>
      <c r="H299" s="431" t="s">
        <v>230</v>
      </c>
      <c r="I299" s="431" t="s">
        <v>231</v>
      </c>
      <c r="J299" s="431" t="s">
        <v>232</v>
      </c>
      <c r="K299" s="431" t="s">
        <v>233</v>
      </c>
      <c r="L299" s="431" t="s">
        <v>234</v>
      </c>
      <c r="M299" s="431" t="s">
        <v>235</v>
      </c>
      <c r="N299" s="431" t="s">
        <v>236</v>
      </c>
      <c r="O299" s="431" t="s">
        <v>237</v>
      </c>
      <c r="P299" s="429"/>
      <c r="R299" s="35"/>
      <c r="S299" s="35"/>
      <c r="T299" s="35"/>
      <c r="U299" s="35"/>
      <c r="V299" s="35"/>
      <c r="W299" s="35"/>
    </row>
    <row r="300" spans="1:23" ht="15.75">
      <c r="B300" s="430"/>
      <c r="C300" s="432"/>
      <c r="D300" s="433"/>
      <c r="E300" s="433"/>
      <c r="F300" s="354"/>
      <c r="G300" s="354"/>
      <c r="H300" s="354"/>
      <c r="I300" s="354"/>
      <c r="J300" s="354"/>
      <c r="K300" s="354"/>
      <c r="L300" s="354"/>
      <c r="M300" s="354"/>
      <c r="N300" s="354"/>
      <c r="O300" s="354"/>
      <c r="P300" s="429"/>
      <c r="R300" s="35"/>
      <c r="S300" s="35"/>
      <c r="T300" s="35"/>
      <c r="U300" s="35"/>
      <c r="V300" s="35"/>
      <c r="W300" s="35"/>
    </row>
    <row r="301" spans="1:23" ht="15.75">
      <c r="B301" s="355"/>
      <c r="C301" s="432"/>
      <c r="D301" s="433"/>
      <c r="E301" s="433"/>
      <c r="F301" s="354"/>
      <c r="G301" s="354"/>
      <c r="H301" s="354"/>
      <c r="I301" s="354"/>
      <c r="J301" s="354"/>
      <c r="K301" s="354"/>
      <c r="L301" s="354"/>
      <c r="M301" s="354"/>
      <c r="N301" s="354"/>
      <c r="O301" s="354"/>
      <c r="P301" s="352"/>
      <c r="R301" s="35"/>
      <c r="S301" s="35"/>
      <c r="T301" s="35"/>
      <c r="U301" s="35"/>
      <c r="V301" s="35"/>
      <c r="W301" s="35"/>
    </row>
    <row r="302" spans="1:23" ht="21.75" customHeight="1" collapsed="1">
      <c r="C302" s="434"/>
      <c r="D302" s="434"/>
      <c r="E302" s="434"/>
      <c r="F302" s="434"/>
      <c r="G302" s="434"/>
      <c r="H302" s="434"/>
      <c r="I302" s="434"/>
      <c r="J302" s="434"/>
      <c r="K302" s="434"/>
      <c r="L302" s="434"/>
      <c r="M302" s="434"/>
      <c r="N302" s="434"/>
      <c r="O302" s="434"/>
      <c r="R302" s="35"/>
      <c r="S302" s="35"/>
      <c r="T302" s="32"/>
      <c r="U302" s="35"/>
      <c r="V302" s="35"/>
      <c r="W302" s="35"/>
    </row>
    <row r="436" spans="31:87">
      <c r="AE436" s="1638"/>
      <c r="AF436" s="1638"/>
      <c r="AG436" s="1638"/>
      <c r="AH436" s="1638"/>
      <c r="AI436" s="1638"/>
      <c r="AJ436" s="1638"/>
      <c r="AK436" s="1638"/>
      <c r="AL436" s="1638"/>
      <c r="AM436" s="1638"/>
      <c r="AN436" s="1638"/>
      <c r="AO436" s="1638"/>
      <c r="AP436" s="1638"/>
      <c r="AQ436" s="1638"/>
      <c r="AR436" s="1638"/>
      <c r="AS436" s="1638"/>
      <c r="AT436" s="1638"/>
      <c r="AU436" s="1638"/>
      <c r="AV436" s="1638"/>
      <c r="AW436" s="1638"/>
      <c r="AX436" s="1638"/>
      <c r="AY436" s="1638"/>
      <c r="AZ436" s="1638"/>
      <c r="BA436" s="1638"/>
      <c r="BB436" s="1638"/>
      <c r="BC436" s="1638"/>
      <c r="BD436" s="1638"/>
      <c r="BE436" s="1638"/>
      <c r="BF436" s="1638"/>
      <c r="BG436" s="1638"/>
      <c r="BH436" s="1638"/>
      <c r="BI436" s="1638"/>
      <c r="BJ436" s="1638"/>
      <c r="BK436" s="1638"/>
      <c r="BL436" s="1638"/>
      <c r="BM436" s="1638"/>
      <c r="BN436" s="1638"/>
      <c r="BO436" s="1638"/>
      <c r="BP436" s="1638"/>
      <c r="BQ436" s="1638"/>
      <c r="BR436" s="1638"/>
      <c r="BS436" s="1638"/>
      <c r="BT436" s="1638"/>
      <c r="BU436" s="1638"/>
      <c r="BV436" s="1638"/>
      <c r="BW436" s="1638"/>
      <c r="BX436" s="1638"/>
      <c r="BY436" s="1638"/>
      <c r="BZ436" s="1638"/>
      <c r="CA436" s="1638"/>
      <c r="CB436" s="1638"/>
      <c r="CC436" s="1638"/>
      <c r="CD436" s="1638"/>
      <c r="CE436" s="1638"/>
      <c r="CF436" s="1638"/>
      <c r="CG436" s="1638"/>
      <c r="CH436" s="1638"/>
      <c r="CI436" s="1638"/>
    </row>
    <row r="439" spans="31:87">
      <c r="AE439" s="1638"/>
      <c r="AF439" s="1638"/>
      <c r="AG439" s="1638"/>
      <c r="AH439" s="1638"/>
      <c r="AI439" s="1638"/>
      <c r="AJ439" s="1638"/>
      <c r="AK439" s="1638"/>
      <c r="AL439" s="1638"/>
      <c r="AM439" s="1638"/>
      <c r="AN439" s="1638"/>
      <c r="AO439" s="1638"/>
      <c r="AP439" s="1638"/>
      <c r="AQ439" s="1638"/>
      <c r="AR439" s="1638"/>
      <c r="AS439" s="1638"/>
      <c r="AT439" s="1638"/>
      <c r="AU439" s="1638"/>
      <c r="AV439" s="1638"/>
      <c r="AW439" s="1638"/>
      <c r="AX439" s="1638"/>
      <c r="AY439" s="1638"/>
      <c r="AZ439" s="1638"/>
      <c r="BA439" s="1638"/>
      <c r="BB439" s="1638"/>
      <c r="BC439" s="1638"/>
      <c r="BD439" s="1638"/>
      <c r="BE439" s="1638"/>
      <c r="BF439" s="1638"/>
      <c r="BG439" s="1638"/>
      <c r="BH439" s="1638"/>
      <c r="BI439" s="1638"/>
      <c r="BJ439" s="1638"/>
      <c r="BK439" s="1638"/>
      <c r="BL439" s="1638"/>
      <c r="BM439" s="1638"/>
      <c r="BN439" s="1638"/>
      <c r="BO439" s="1638"/>
      <c r="BP439" s="1638"/>
      <c r="BQ439" s="1638"/>
      <c r="BR439" s="1638"/>
      <c r="BS439" s="1638"/>
      <c r="BT439" s="1638"/>
      <c r="BU439" s="1638"/>
      <c r="BV439" s="1638"/>
      <c r="BW439" s="1638"/>
      <c r="BX439" s="1638"/>
      <c r="BY439" s="1638"/>
      <c r="BZ439" s="1638"/>
      <c r="CA439" s="1638"/>
      <c r="CB439" s="1638"/>
      <c r="CC439" s="1638"/>
      <c r="CD439" s="1638"/>
      <c r="CE439" s="1638"/>
      <c r="CF439" s="1638"/>
      <c r="CG439" s="1638"/>
      <c r="CH439" s="1638"/>
      <c r="CI439" s="1638"/>
    </row>
    <row r="491" spans="36:36">
      <c r="AJ491" s="605" t="s">
        <v>1371</v>
      </c>
    </row>
  </sheetData>
  <pageMargins left="0.7" right="0.7" top="0.75" bottom="0.75" header="0.3" footer="0.3"/>
  <pageSetup paperSize="9" orientation="portrait"/>
  <legacyDrawing r:id="rId1"/>
  <tableParts count="4">
    <tablePart r:id="rId2"/>
    <tablePart r:id="rId3"/>
    <tablePart r:id="rId4"/>
    <tablePart r:id="rId5"/>
  </tableParts>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sheetPr>
    <tabColor theme="9"/>
    <outlinePr summaryBelow="0"/>
    <pageSetUpPr autoPageBreaks="0"/>
  </sheetPr>
  <dimension ref="A1:CI443"/>
  <sheetViews>
    <sheetView showGridLines="0" topLeftCell="A188" zoomScale="87" zoomScaleNormal="87" zoomScalePageLayoutView="87" workbookViewId="0">
      <selection activeCell="F199" sqref="F199"/>
    </sheetView>
  </sheetViews>
  <sheetFormatPr defaultColWidth="8.85546875" defaultRowHeight="12.75"/>
  <cols>
    <col min="1" max="1" width="7.7109375" style="605" customWidth="1"/>
    <col min="2" max="2" width="5.85546875" style="605" customWidth="1"/>
    <col min="3" max="3" width="20.42578125" style="605" customWidth="1"/>
    <col min="4" max="4" width="26.7109375" style="605" customWidth="1"/>
    <col min="5" max="5" width="20.7109375" style="605" customWidth="1"/>
    <col min="6" max="15" width="17.7109375" style="605" customWidth="1"/>
    <col min="16" max="16" width="12.42578125" style="605" customWidth="1"/>
    <col min="17" max="17" width="10.85546875" style="605" customWidth="1"/>
    <col min="18" max="18" width="15.42578125" style="605" bestFit="1" customWidth="1"/>
    <col min="19" max="46" width="10.42578125" style="605" bestFit="1" customWidth="1"/>
    <col min="47" max="16384" width="8.85546875" style="605"/>
  </cols>
  <sheetData>
    <row r="1" spans="1:18" ht="21">
      <c r="A1" s="835" t="s">
        <v>196</v>
      </c>
      <c r="B1" s="1415" t="str">
        <f>INDEX(Workstreams[Workstream], MATCH($A1, Workstreams[Code], 0))</f>
        <v>Lighting and appliances</v>
      </c>
      <c r="C1" s="835"/>
      <c r="E1" s="885"/>
    </row>
    <row r="2" spans="1:18" s="51" customFormat="1" ht="19.5" customHeight="1">
      <c r="A2" s="6" t="s">
        <v>301</v>
      </c>
      <c r="B2" s="53" t="str">
        <f>INDEX(Modules[Module], MATCH($A2,Modules[Code], 0))</f>
        <v>Commercial Lighting &amp; Appliances</v>
      </c>
      <c r="C2" s="6"/>
      <c r="E2" s="404"/>
    </row>
    <row r="4" spans="1:18" ht="22.5" collapsed="1">
      <c r="A4" s="420"/>
      <c r="B4" s="206" t="s">
        <v>412</v>
      </c>
      <c r="C4" s="175"/>
      <c r="D4" s="175"/>
      <c r="E4" s="175"/>
      <c r="F4" s="175"/>
      <c r="G4" s="175"/>
      <c r="H4" s="175"/>
      <c r="I4" s="175"/>
      <c r="J4" s="175"/>
      <c r="K4" s="175"/>
      <c r="L4" s="175"/>
      <c r="M4" s="175"/>
      <c r="N4" s="175"/>
      <c r="O4" s="175"/>
      <c r="P4" s="177"/>
    </row>
    <row r="5" spans="1:18">
      <c r="B5" s="164"/>
      <c r="C5" s="166"/>
      <c r="D5" s="166"/>
      <c r="E5" s="166"/>
      <c r="F5" s="166"/>
      <c r="G5" s="166"/>
      <c r="H5" s="166"/>
      <c r="I5" s="166"/>
      <c r="J5" s="166"/>
      <c r="K5" s="166"/>
      <c r="L5" s="166"/>
      <c r="M5" s="166"/>
      <c r="N5" s="166"/>
      <c r="O5" s="166"/>
      <c r="P5" s="168"/>
    </row>
    <row r="6" spans="1:18" ht="5.25" customHeight="1">
      <c r="B6" s="164"/>
      <c r="C6" s="165"/>
      <c r="D6" s="166"/>
      <c r="E6" s="167"/>
      <c r="F6" s="166"/>
      <c r="G6" s="166"/>
      <c r="H6" s="166"/>
      <c r="I6" s="166"/>
      <c r="J6" s="166"/>
      <c r="K6" s="166"/>
      <c r="L6" s="166"/>
      <c r="M6" s="166"/>
      <c r="N6" s="166"/>
      <c r="O6" s="166"/>
      <c r="P6" s="168"/>
    </row>
    <row r="7" spans="1:18" ht="15.75">
      <c r="B7" s="169"/>
      <c r="C7" s="166"/>
      <c r="D7" s="118" t="s">
        <v>274</v>
      </c>
      <c r="E7" s="118" t="s">
        <v>411</v>
      </c>
      <c r="F7" s="166"/>
      <c r="G7" s="166"/>
      <c r="H7" s="166"/>
      <c r="I7" s="166"/>
      <c r="J7" s="166"/>
      <c r="K7" s="166"/>
      <c r="L7" s="166"/>
      <c r="M7" s="166"/>
      <c r="N7" s="166"/>
      <c r="O7" s="166"/>
      <c r="P7" s="168"/>
    </row>
    <row r="8" spans="1:18" ht="15.75">
      <c r="B8" s="169"/>
      <c r="C8" s="166"/>
      <c r="D8" s="1523" t="s">
        <v>1372</v>
      </c>
      <c r="E8" s="1523">
        <f>X.b.scenario.efficiency</f>
        <v>1</v>
      </c>
      <c r="F8" s="166"/>
      <c r="G8" s="166"/>
      <c r="H8" s="166"/>
      <c r="I8" s="166"/>
      <c r="J8" s="166"/>
      <c r="K8" s="166"/>
      <c r="L8" s="166"/>
      <c r="M8" s="166"/>
      <c r="N8" s="166"/>
      <c r="O8" s="166"/>
      <c r="P8" s="168"/>
    </row>
    <row r="9" spans="1:18">
      <c r="B9" s="182"/>
      <c r="C9" s="172"/>
      <c r="D9" s="172"/>
      <c r="E9" s="172"/>
      <c r="F9" s="172"/>
      <c r="G9" s="172"/>
      <c r="H9" s="172"/>
      <c r="I9" s="172"/>
      <c r="J9" s="172"/>
      <c r="K9" s="172"/>
      <c r="L9" s="172"/>
      <c r="M9" s="172"/>
      <c r="N9" s="172"/>
      <c r="O9" s="172"/>
      <c r="P9" s="173"/>
    </row>
    <row r="11" spans="1:18" s="51" customFormat="1" ht="22.5" collapsed="1">
      <c r="A11" s="162"/>
      <c r="B11" s="421" t="s">
        <v>413</v>
      </c>
      <c r="C11" s="159"/>
      <c r="D11" s="159"/>
      <c r="E11" s="159"/>
      <c r="F11" s="159"/>
      <c r="G11" s="159"/>
      <c r="H11" s="159"/>
      <c r="I11" s="159"/>
      <c r="J11" s="159"/>
      <c r="K11" s="159"/>
      <c r="L11" s="159"/>
      <c r="M11" s="159"/>
      <c r="N11" s="159"/>
      <c r="O11" s="159"/>
      <c r="P11" s="160"/>
    </row>
    <row r="12" spans="1:18">
      <c r="B12" s="418"/>
      <c r="C12" s="416" t="s">
        <v>120</v>
      </c>
      <c r="D12" s="415"/>
      <c r="E12" s="1449"/>
      <c r="F12" s="415"/>
      <c r="G12" s="415"/>
      <c r="H12" s="415"/>
      <c r="I12" s="415"/>
      <c r="J12" s="415"/>
      <c r="K12" s="415"/>
      <c r="L12" s="415"/>
      <c r="M12" s="415"/>
      <c r="N12" s="415"/>
      <c r="P12" s="419"/>
    </row>
    <row r="13" spans="1:18" ht="15.75">
      <c r="B13" s="316"/>
      <c r="C13" s="416"/>
      <c r="D13" s="415"/>
      <c r="E13" s="1449"/>
      <c r="F13" s="415"/>
      <c r="G13" s="415"/>
      <c r="H13" s="415"/>
      <c r="I13" s="415"/>
      <c r="J13" s="415"/>
      <c r="K13" s="415"/>
      <c r="L13" s="415"/>
      <c r="M13" s="415"/>
      <c r="N13" s="415"/>
      <c r="O13" s="1449"/>
      <c r="P13" s="415"/>
    </row>
    <row r="14" spans="1:18" ht="5.25" customHeight="1">
      <c r="B14" s="152"/>
      <c r="C14" s="415"/>
      <c r="D14" s="415"/>
      <c r="E14" s="415"/>
      <c r="F14" s="415"/>
      <c r="G14" s="415"/>
      <c r="H14" s="415"/>
      <c r="I14" s="415"/>
      <c r="J14" s="415"/>
      <c r="K14" s="415"/>
      <c r="L14" s="415"/>
      <c r="M14" s="415"/>
      <c r="N14" s="415"/>
      <c r="O14" s="415"/>
      <c r="P14" s="415"/>
    </row>
    <row r="15" spans="1:18" ht="15.75">
      <c r="B15" s="152"/>
      <c r="C15" s="106" t="s">
        <v>1657</v>
      </c>
      <c r="D15" s="414"/>
      <c r="E15" s="218"/>
      <c r="F15" s="613"/>
      <c r="G15" s="613"/>
      <c r="H15" s="227"/>
      <c r="I15" s="227"/>
      <c r="J15" s="227"/>
      <c r="K15" s="227"/>
      <c r="L15" s="227"/>
      <c r="M15" s="227"/>
      <c r="N15" s="227"/>
      <c r="O15" s="227"/>
      <c r="P15" s="415"/>
    </row>
    <row r="16" spans="1:18" ht="15.75">
      <c r="B16" s="152"/>
      <c r="C16" s="413"/>
      <c r="D16" s="414"/>
      <c r="E16" s="414"/>
      <c r="F16" s="613"/>
      <c r="G16" s="104" t="s">
        <v>277</v>
      </c>
      <c r="H16" s="98"/>
      <c r="I16" s="98"/>
      <c r="J16" s="98"/>
      <c r="K16" s="98"/>
      <c r="L16" s="98"/>
      <c r="M16" s="98"/>
      <c r="N16" s="98"/>
      <c r="O16" s="98"/>
      <c r="P16" s="98"/>
      <c r="R16" s="1526"/>
    </row>
    <row r="17" spans="2:46" ht="15.75">
      <c r="B17" s="152"/>
      <c r="C17" s="1385"/>
      <c r="D17" s="1554" t="s">
        <v>831</v>
      </c>
      <c r="E17" s="1639" t="s">
        <v>439</v>
      </c>
      <c r="F17" s="1639" t="s">
        <v>1373</v>
      </c>
      <c r="G17" s="1639" t="s">
        <v>438</v>
      </c>
      <c r="H17" s="98"/>
      <c r="I17" s="98"/>
      <c r="J17" s="98"/>
      <c r="K17" s="98"/>
      <c r="L17" s="98"/>
      <c r="M17" s="98"/>
      <c r="N17" s="98"/>
      <c r="O17" s="98"/>
      <c r="P17" s="98"/>
      <c r="R17" s="1526"/>
    </row>
    <row r="18" spans="2:46" ht="15.75">
      <c r="B18" s="152"/>
      <c r="C18" s="239"/>
      <c r="D18" s="239" t="s">
        <v>1328</v>
      </c>
      <c r="E18" s="1640">
        <v>0</v>
      </c>
      <c r="F18" s="1640">
        <v>0.5</v>
      </c>
      <c r="G18" s="1640">
        <v>0.5</v>
      </c>
      <c r="H18" s="98"/>
      <c r="I18" s="98"/>
      <c r="J18" s="98"/>
      <c r="K18" s="98"/>
      <c r="L18" s="98"/>
      <c r="M18" s="98"/>
      <c r="N18" s="98"/>
      <c r="O18" s="98"/>
      <c r="P18" s="98"/>
      <c r="R18" s="1526"/>
    </row>
    <row r="19" spans="2:46" ht="15.75">
      <c r="B19" s="152"/>
      <c r="C19" s="239"/>
      <c r="D19" s="239" t="s">
        <v>423</v>
      </c>
      <c r="E19" s="1640">
        <v>0.3</v>
      </c>
      <c r="F19" s="1640">
        <v>0.5</v>
      </c>
      <c r="G19" s="1640">
        <v>0.2</v>
      </c>
      <c r="H19" s="98"/>
      <c r="I19" s="98"/>
      <c r="J19" s="98"/>
      <c r="K19" s="98"/>
      <c r="L19" s="98"/>
      <c r="M19" s="98"/>
      <c r="N19" s="98"/>
      <c r="O19" s="98"/>
      <c r="P19" s="98"/>
      <c r="R19" s="1526"/>
    </row>
    <row r="20" spans="2:46" ht="15.75">
      <c r="B20" s="152"/>
      <c r="C20" s="1578"/>
      <c r="D20" s="1578" t="s">
        <v>424</v>
      </c>
      <c r="E20" s="1641">
        <v>0.5</v>
      </c>
      <c r="F20" s="1641">
        <v>0.4</v>
      </c>
      <c r="G20" s="1641">
        <v>0.1</v>
      </c>
      <c r="H20" s="1551"/>
      <c r="I20" s="1551"/>
      <c r="J20" s="1551"/>
      <c r="K20" s="1551"/>
      <c r="L20" s="1551"/>
      <c r="M20" s="1551"/>
      <c r="N20" s="1551"/>
      <c r="O20" s="1551"/>
      <c r="P20" s="415"/>
    </row>
    <row r="21" spans="2:46" ht="15.75">
      <c r="B21" s="152"/>
      <c r="C21" s="1579"/>
      <c r="D21" s="1580" t="s">
        <v>425</v>
      </c>
      <c r="E21" s="1642">
        <v>0.8</v>
      </c>
      <c r="F21" s="1643">
        <v>0.2</v>
      </c>
      <c r="G21" s="1643">
        <v>0</v>
      </c>
      <c r="H21" s="618"/>
      <c r="I21" s="618"/>
      <c r="J21" s="618"/>
      <c r="K21" s="618"/>
      <c r="L21" s="618"/>
      <c r="M21" s="618"/>
      <c r="N21" s="618"/>
      <c r="O21" s="618"/>
      <c r="P21" s="415"/>
    </row>
    <row r="22" spans="2:46" ht="15.75">
      <c r="B22" s="152"/>
      <c r="C22" s="1386" t="s">
        <v>406</v>
      </c>
      <c r="D22" s="1384"/>
      <c r="E22" s="1644">
        <f>(INDEX(E18:E21,ROUNDDOWN($E$8,0))*(1-MOD($E$8,1)))+(INDEX(E18:E21,ROUNDUP($E$8,0))*MOD($E$8,1))</f>
        <v>0</v>
      </c>
      <c r="F22" s="1644">
        <f>(INDEX(F18:F21,ROUNDDOWN($E$8,0))*(1-MOD($E$8,1)))+(INDEX(F18:F21,ROUNDUP($E$8,0))*MOD($E$8,1))</f>
        <v>0.5</v>
      </c>
      <c r="G22" s="1644">
        <f>(INDEX(G18:G21,ROUNDDOWN($E$8,0))*(1-MOD($E$8,1)))+(INDEX(G18:G21,ROUNDUP($E$8,0))*MOD($E$8,1))</f>
        <v>0.5</v>
      </c>
      <c r="H22" s="415"/>
      <c r="I22" s="415"/>
      <c r="J22" s="415"/>
      <c r="K22" s="415"/>
      <c r="L22" s="415"/>
      <c r="M22" s="415"/>
      <c r="N22" s="415"/>
      <c r="O22" s="1449"/>
      <c r="P22" s="419"/>
    </row>
    <row r="23" spans="2:46" ht="15.75">
      <c r="B23" s="152"/>
      <c r="C23" s="416"/>
      <c r="D23" s="415"/>
      <c r="E23" s="1525"/>
      <c r="F23" s="1525"/>
      <c r="G23" s="1525"/>
      <c r="H23" s="415"/>
      <c r="I23" s="415"/>
      <c r="J23" s="415"/>
      <c r="K23" s="415"/>
      <c r="L23" s="415"/>
      <c r="M23" s="415"/>
      <c r="N23" s="415"/>
      <c r="O23" s="1449"/>
      <c r="P23" s="419"/>
    </row>
    <row r="24" spans="2:46" ht="15.75">
      <c r="B24" s="152"/>
      <c r="C24" s="416" t="s">
        <v>1658</v>
      </c>
      <c r="D24" s="415"/>
      <c r="E24" s="1525"/>
      <c r="F24" s="1525"/>
      <c r="G24" s="1525"/>
      <c r="H24" s="415"/>
      <c r="I24" s="415"/>
      <c r="J24" s="415"/>
      <c r="K24" s="415"/>
      <c r="L24" s="415"/>
      <c r="M24" s="415"/>
      <c r="N24" s="415"/>
      <c r="O24" s="1449"/>
      <c r="P24" s="419"/>
    </row>
    <row r="25" spans="2:46" s="495" customFormat="1" ht="15.75">
      <c r="B25" s="1980"/>
      <c r="C25" s="569"/>
      <c r="D25" s="650"/>
      <c r="E25" s="1981">
        <v>2007</v>
      </c>
      <c r="F25" s="569">
        <v>2012</v>
      </c>
      <c r="G25" s="1982">
        <v>2013</v>
      </c>
      <c r="H25" s="1982">
        <v>2014</v>
      </c>
      <c r="I25" s="569">
        <v>2015</v>
      </c>
      <c r="J25" s="1982">
        <v>2016</v>
      </c>
      <c r="K25" s="1982">
        <v>2017</v>
      </c>
      <c r="L25" s="569">
        <v>2018</v>
      </c>
      <c r="M25" s="1982">
        <v>2019</v>
      </c>
      <c r="N25" s="1982">
        <v>2020</v>
      </c>
      <c r="O25" s="569">
        <v>2021</v>
      </c>
      <c r="P25" s="1982">
        <v>2022</v>
      </c>
      <c r="Q25" s="1982">
        <v>2023</v>
      </c>
      <c r="R25" s="569">
        <v>2024</v>
      </c>
      <c r="S25" s="1982">
        <v>2025</v>
      </c>
      <c r="T25" s="1982">
        <v>2026</v>
      </c>
      <c r="U25" s="569">
        <v>2027</v>
      </c>
      <c r="V25" s="1982">
        <v>2028</v>
      </c>
      <c r="W25" s="1982">
        <v>2029</v>
      </c>
      <c r="X25" s="569">
        <v>2030</v>
      </c>
      <c r="Y25" s="1982">
        <v>2031</v>
      </c>
      <c r="Z25" s="1982">
        <v>2032</v>
      </c>
      <c r="AA25" s="569">
        <v>2033</v>
      </c>
      <c r="AB25" s="1982">
        <v>2034</v>
      </c>
      <c r="AC25" s="1982">
        <v>2035</v>
      </c>
      <c r="AD25" s="569">
        <v>2036</v>
      </c>
      <c r="AE25" s="1982">
        <v>2037</v>
      </c>
      <c r="AF25" s="1982">
        <v>2038</v>
      </c>
      <c r="AG25" s="569">
        <v>2039</v>
      </c>
      <c r="AH25" s="1982">
        <v>2040</v>
      </c>
      <c r="AI25" s="1982">
        <v>2041</v>
      </c>
      <c r="AJ25" s="569">
        <v>2042</v>
      </c>
      <c r="AK25" s="1982">
        <v>2043</v>
      </c>
      <c r="AL25" s="1982">
        <v>2044</v>
      </c>
      <c r="AM25" s="569">
        <v>2045</v>
      </c>
      <c r="AN25" s="1982">
        <v>2046</v>
      </c>
      <c r="AO25" s="1982">
        <v>2047</v>
      </c>
      <c r="AP25" s="569">
        <v>2048</v>
      </c>
      <c r="AQ25" s="1982">
        <v>2049</v>
      </c>
      <c r="AR25" s="1982">
        <v>2050</v>
      </c>
      <c r="AS25" s="569">
        <v>2051</v>
      </c>
      <c r="AT25" s="1982">
        <v>2052</v>
      </c>
    </row>
    <row r="26" spans="2:46" s="131" customFormat="1" ht="15.75">
      <c r="B26" s="1613"/>
      <c r="C26" s="1983" t="s">
        <v>438</v>
      </c>
      <c r="D26" s="1528" t="s">
        <v>1328</v>
      </c>
      <c r="E26" s="1525">
        <v>0.5</v>
      </c>
      <c r="F26" s="1525">
        <v>0.5</v>
      </c>
      <c r="G26" s="1525">
        <v>0.5</v>
      </c>
      <c r="H26" s="1525">
        <v>0.5</v>
      </c>
      <c r="I26" s="1528">
        <v>0.5</v>
      </c>
      <c r="J26" s="1528">
        <v>0.5</v>
      </c>
      <c r="K26" s="1528">
        <v>0.5</v>
      </c>
      <c r="L26" s="1528">
        <v>0.5</v>
      </c>
      <c r="M26" s="1528">
        <v>0.5</v>
      </c>
      <c r="N26" s="1528">
        <v>0.5</v>
      </c>
      <c r="O26" s="1528">
        <v>0.5</v>
      </c>
      <c r="P26" s="1529">
        <v>0.5</v>
      </c>
      <c r="Q26" s="1614">
        <v>0.5</v>
      </c>
      <c r="R26" s="1984">
        <v>0.5</v>
      </c>
      <c r="S26" s="1984">
        <v>0.5</v>
      </c>
      <c r="T26" s="1984">
        <v>0.5</v>
      </c>
      <c r="U26" s="1984">
        <v>0.5</v>
      </c>
      <c r="V26" s="1984">
        <v>0.5</v>
      </c>
      <c r="W26" s="1984">
        <v>0.5</v>
      </c>
      <c r="X26" s="1984">
        <v>0.5</v>
      </c>
      <c r="Y26" s="1984">
        <v>0.5</v>
      </c>
      <c r="Z26" s="1984">
        <v>0.5</v>
      </c>
      <c r="AA26" s="1984">
        <v>0.5</v>
      </c>
      <c r="AB26" s="1984">
        <v>0.5</v>
      </c>
      <c r="AC26" s="1984">
        <v>0.5</v>
      </c>
      <c r="AD26" s="1984">
        <v>0.5</v>
      </c>
      <c r="AE26" s="1984">
        <v>0.5</v>
      </c>
      <c r="AF26" s="1984">
        <v>0.5</v>
      </c>
      <c r="AG26" s="1984">
        <v>0.5</v>
      </c>
      <c r="AH26" s="1984">
        <v>0.5</v>
      </c>
      <c r="AI26" s="1984">
        <v>0.5</v>
      </c>
      <c r="AJ26" s="1984">
        <v>0.5</v>
      </c>
      <c r="AK26" s="1984">
        <v>0.5</v>
      </c>
      <c r="AL26" s="1984">
        <v>0.5</v>
      </c>
      <c r="AM26" s="1984">
        <v>0.5</v>
      </c>
      <c r="AN26" s="1984">
        <v>0.5</v>
      </c>
      <c r="AO26" s="1984">
        <v>0.5</v>
      </c>
      <c r="AP26" s="1984">
        <v>0.5</v>
      </c>
      <c r="AQ26" s="1984">
        <v>0.5</v>
      </c>
      <c r="AR26" s="1984">
        <v>0.5</v>
      </c>
      <c r="AS26" s="1984">
        <v>0.5</v>
      </c>
      <c r="AT26" s="1984">
        <v>0.5</v>
      </c>
    </row>
    <row r="27" spans="2:46" s="131" customFormat="1" ht="15.75">
      <c r="B27" s="1613"/>
      <c r="C27" s="1983"/>
      <c r="D27" s="1528" t="s">
        <v>423</v>
      </c>
      <c r="E27" s="1525">
        <v>0.5</v>
      </c>
      <c r="F27" s="1525">
        <v>0.5</v>
      </c>
      <c r="G27" s="1525">
        <v>0.47760955197616201</v>
      </c>
      <c r="H27" s="1525">
        <v>0.45622176827774041</v>
      </c>
      <c r="I27" s="1528">
        <v>0.43579174869780801</v>
      </c>
      <c r="J27" s="1528">
        <v>0.41627660370093655</v>
      </c>
      <c r="K27" s="1528">
        <v>0.39763536438352531</v>
      </c>
      <c r="L27" s="1528">
        <v>0.37982889646618689</v>
      </c>
      <c r="M27" s="1528">
        <v>0.36281981813763109</v>
      </c>
      <c r="N27" s="1528">
        <v>0.34657242157757312</v>
      </c>
      <c r="O27" s="1528">
        <v>0.33105259799391645</v>
      </c>
      <c r="P27" s="1529">
        <v>0.31622776601683783</v>
      </c>
      <c r="Q27" s="1614">
        <v>0.30206680329944902</v>
      </c>
      <c r="R27" s="1984">
        <v>0.28853998118144258</v>
      </c>
      <c r="S27" s="1984">
        <v>0.27561890227855801</v>
      </c>
      <c r="T27" s="1984">
        <v>0.26327644086684732</v>
      </c>
      <c r="U27" s="1984">
        <v>0.25148668593658691</v>
      </c>
      <c r="V27" s="1984">
        <v>0.24022488679628606</v>
      </c>
      <c r="W27" s="1984">
        <v>0.22946740111259684</v>
      </c>
      <c r="X27" s="1984">
        <v>0.21919164527704327</v>
      </c>
      <c r="Y27" s="1984">
        <v>0.20937604699537293</v>
      </c>
      <c r="Z27" s="1984">
        <v>0.2</v>
      </c>
      <c r="AA27" s="1984">
        <v>0.2</v>
      </c>
      <c r="AB27" s="1984">
        <v>0.2</v>
      </c>
      <c r="AC27" s="1984">
        <v>0.2</v>
      </c>
      <c r="AD27" s="1984">
        <v>0.2</v>
      </c>
      <c r="AE27" s="1984">
        <v>0.2</v>
      </c>
      <c r="AF27" s="1984">
        <v>0.2</v>
      </c>
      <c r="AG27" s="1984">
        <v>0.2</v>
      </c>
      <c r="AH27" s="1984">
        <v>0.2</v>
      </c>
      <c r="AI27" s="1984">
        <v>0.2</v>
      </c>
      <c r="AJ27" s="1984">
        <v>0.2</v>
      </c>
      <c r="AK27" s="1984">
        <v>0.2</v>
      </c>
      <c r="AL27" s="1984">
        <v>0.2</v>
      </c>
      <c r="AM27" s="1984">
        <v>0.2</v>
      </c>
      <c r="AN27" s="1984">
        <v>0.2</v>
      </c>
      <c r="AO27" s="1984">
        <v>0.2</v>
      </c>
      <c r="AP27" s="1984">
        <v>0.2</v>
      </c>
      <c r="AQ27" s="1984">
        <v>0.2</v>
      </c>
      <c r="AR27" s="1984">
        <v>0.2</v>
      </c>
      <c r="AS27" s="1984">
        <v>0.2</v>
      </c>
      <c r="AT27" s="1984">
        <v>0.2</v>
      </c>
    </row>
    <row r="28" spans="2:46" s="131" customFormat="1" ht="15.75">
      <c r="B28" s="1613"/>
      <c r="C28" s="1983"/>
      <c r="D28" s="1528" t="s">
        <v>424</v>
      </c>
      <c r="E28" s="1525">
        <v>0.5</v>
      </c>
      <c r="F28" s="1525">
        <v>0.5</v>
      </c>
      <c r="G28" s="1525">
        <v>0.46134041729529418</v>
      </c>
      <c r="H28" s="1525">
        <v>0.42566996126039236</v>
      </c>
      <c r="I28" s="1528">
        <v>0.39275751511588225</v>
      </c>
      <c r="J28" s="1528">
        <v>0.36238983183884788</v>
      </c>
      <c r="K28" s="1528">
        <v>0.33437015248821111</v>
      </c>
      <c r="L28" s="1528">
        <v>0.30851693136000491</v>
      </c>
      <c r="M28" s="1528">
        <v>0.28466265971257659</v>
      </c>
      <c r="N28" s="1528">
        <v>0.26265278044037682</v>
      </c>
      <c r="O28" s="1528">
        <v>0.24234468666426545</v>
      </c>
      <c r="P28" s="1529">
        <v>0.22360679774997907</v>
      </c>
      <c r="Q28" s="1614">
        <v>0.20631770676807959</v>
      </c>
      <c r="R28" s="1984">
        <v>0.19036539387158796</v>
      </c>
      <c r="S28" s="1984">
        <v>0.17564650049460287</v>
      </c>
      <c r="T28" s="1984">
        <v>0.16206565966927636</v>
      </c>
      <c r="U28" s="1984">
        <v>0.14953487812212216</v>
      </c>
      <c r="V28" s="1984">
        <v>0.13797296614612159</v>
      </c>
      <c r="W28" s="1984">
        <v>0.12730501155464247</v>
      </c>
      <c r="X28" s="1984">
        <v>0.11746189430880201</v>
      </c>
      <c r="Y28" s="1984">
        <v>0.10837983867343692</v>
      </c>
      <c r="Z28" s="1984">
        <v>0.1</v>
      </c>
      <c r="AA28" s="1984">
        <v>0.1</v>
      </c>
      <c r="AB28" s="1984">
        <v>0.1</v>
      </c>
      <c r="AC28" s="1984">
        <v>0.1</v>
      </c>
      <c r="AD28" s="1984">
        <v>0.1</v>
      </c>
      <c r="AE28" s="1984">
        <v>0.1</v>
      </c>
      <c r="AF28" s="1984">
        <v>0.1</v>
      </c>
      <c r="AG28" s="1984">
        <v>0.1</v>
      </c>
      <c r="AH28" s="1984">
        <v>0.1</v>
      </c>
      <c r="AI28" s="1984">
        <v>0.1</v>
      </c>
      <c r="AJ28" s="1984">
        <v>0.1</v>
      </c>
      <c r="AK28" s="1984">
        <v>0.1</v>
      </c>
      <c r="AL28" s="1984">
        <v>0.1</v>
      </c>
      <c r="AM28" s="1984">
        <v>0.1</v>
      </c>
      <c r="AN28" s="1984">
        <v>0.1</v>
      </c>
      <c r="AO28" s="1984">
        <v>0.1</v>
      </c>
      <c r="AP28" s="1984">
        <v>0.1</v>
      </c>
      <c r="AQ28" s="1984">
        <v>0.1</v>
      </c>
      <c r="AR28" s="1984">
        <v>0.1</v>
      </c>
      <c r="AS28" s="1984">
        <v>0.1</v>
      </c>
      <c r="AT28" s="1984">
        <v>0.1</v>
      </c>
    </row>
    <row r="29" spans="2:46" s="131" customFormat="1" ht="15.75">
      <c r="B29" s="1613"/>
      <c r="C29" s="1983"/>
      <c r="D29" s="1528" t="s">
        <v>425</v>
      </c>
      <c r="E29" s="1525">
        <v>0.5</v>
      </c>
      <c r="F29" s="1525">
        <v>0.5</v>
      </c>
      <c r="G29" s="1525">
        <v>0.47499999999999998</v>
      </c>
      <c r="H29" s="1525">
        <v>0.44999999999999996</v>
      </c>
      <c r="I29" s="1528">
        <v>0.42499999999999993</v>
      </c>
      <c r="J29" s="1528">
        <v>0.39999999999999991</v>
      </c>
      <c r="K29" s="1528">
        <v>0.37499999999999989</v>
      </c>
      <c r="L29" s="1528">
        <v>0.34999999999999987</v>
      </c>
      <c r="M29" s="1528">
        <v>0.32499999999999984</v>
      </c>
      <c r="N29" s="1528">
        <v>0.29999999999999982</v>
      </c>
      <c r="O29" s="1528">
        <v>0.2749999999999998</v>
      </c>
      <c r="P29" s="1529">
        <v>0.24999999999999981</v>
      </c>
      <c r="Q29" s="1614">
        <v>0.22499999999999981</v>
      </c>
      <c r="R29" s="1984">
        <v>0.19999999999999982</v>
      </c>
      <c r="S29" s="1984">
        <v>0.17499999999999982</v>
      </c>
      <c r="T29" s="1984">
        <v>0.14999999999999983</v>
      </c>
      <c r="U29" s="1984">
        <v>0.12499999999999983</v>
      </c>
      <c r="V29" s="1984">
        <v>9.9999999999999839E-2</v>
      </c>
      <c r="W29" s="1984">
        <v>7.4999999999999845E-2</v>
      </c>
      <c r="X29" s="1984">
        <v>4.9999999999999843E-2</v>
      </c>
      <c r="Y29" s="1984">
        <v>2.4999999999999842E-2</v>
      </c>
      <c r="Z29" s="1984">
        <v>0</v>
      </c>
      <c r="AA29" s="1984">
        <v>0</v>
      </c>
      <c r="AB29" s="1984">
        <v>0</v>
      </c>
      <c r="AC29" s="1984">
        <v>0</v>
      </c>
      <c r="AD29" s="1984">
        <v>0</v>
      </c>
      <c r="AE29" s="1984">
        <v>0</v>
      </c>
      <c r="AF29" s="1984">
        <v>0</v>
      </c>
      <c r="AG29" s="1984">
        <v>0</v>
      </c>
      <c r="AH29" s="1984">
        <v>0</v>
      </c>
      <c r="AI29" s="1984">
        <v>0</v>
      </c>
      <c r="AJ29" s="1984">
        <v>0</v>
      </c>
      <c r="AK29" s="1984">
        <v>0</v>
      </c>
      <c r="AL29" s="1984">
        <v>0</v>
      </c>
      <c r="AM29" s="1984">
        <v>0</v>
      </c>
      <c r="AN29" s="1984">
        <v>0</v>
      </c>
      <c r="AO29" s="1984">
        <v>0</v>
      </c>
      <c r="AP29" s="1984">
        <v>0</v>
      </c>
      <c r="AQ29" s="1984">
        <v>0</v>
      </c>
      <c r="AR29" s="1984">
        <v>0</v>
      </c>
      <c r="AS29" s="1984">
        <v>0</v>
      </c>
      <c r="AT29" s="1984">
        <v>0</v>
      </c>
    </row>
    <row r="30" spans="2:46" s="131" customFormat="1" ht="15.75">
      <c r="B30" s="1613"/>
      <c r="C30" s="1985" t="s">
        <v>406</v>
      </c>
      <c r="D30" s="1986"/>
      <c r="E30" s="1644">
        <f>(INDEX(E26:E29,ROUNDDOWN($E$8,0))*(1-MOD($E$8,1)))+(INDEX(E26:E29,ROUNDUP($E$8,0))*MOD($E$8,1))</f>
        <v>0.5</v>
      </c>
      <c r="F30" s="1644">
        <f>(INDEX(F26:F29,ROUNDDOWN($E$8,0))*(1-MOD($E$8,1)))+(INDEX(F26:F29,ROUNDUP($E$8,0))*MOD($E$8,1))</f>
        <v>0.5</v>
      </c>
      <c r="G30" s="1644">
        <f t="shared" ref="G30:AT30" si="0">(INDEX(G26:G29,ROUNDDOWN($E$8,0))*(1-MOD($E$8,1)))+(INDEX(G26:G29,ROUNDUP($E$8,0))*MOD($E$8,1))</f>
        <v>0.5</v>
      </c>
      <c r="H30" s="1644">
        <f t="shared" si="0"/>
        <v>0.5</v>
      </c>
      <c r="I30" s="1644">
        <f t="shared" si="0"/>
        <v>0.5</v>
      </c>
      <c r="J30" s="1644">
        <f t="shared" si="0"/>
        <v>0.5</v>
      </c>
      <c r="K30" s="1644">
        <f t="shared" si="0"/>
        <v>0.5</v>
      </c>
      <c r="L30" s="1644">
        <f t="shared" si="0"/>
        <v>0.5</v>
      </c>
      <c r="M30" s="1644">
        <f t="shared" si="0"/>
        <v>0.5</v>
      </c>
      <c r="N30" s="1644">
        <f t="shared" si="0"/>
        <v>0.5</v>
      </c>
      <c r="O30" s="1644">
        <f t="shared" si="0"/>
        <v>0.5</v>
      </c>
      <c r="P30" s="1644">
        <f t="shared" si="0"/>
        <v>0.5</v>
      </c>
      <c r="Q30" s="1644">
        <f t="shared" si="0"/>
        <v>0.5</v>
      </c>
      <c r="R30" s="1644">
        <f t="shared" si="0"/>
        <v>0.5</v>
      </c>
      <c r="S30" s="1644">
        <f t="shared" si="0"/>
        <v>0.5</v>
      </c>
      <c r="T30" s="1644">
        <f t="shared" si="0"/>
        <v>0.5</v>
      </c>
      <c r="U30" s="1644">
        <f t="shared" si="0"/>
        <v>0.5</v>
      </c>
      <c r="V30" s="1644">
        <f t="shared" si="0"/>
        <v>0.5</v>
      </c>
      <c r="W30" s="1644">
        <f t="shared" si="0"/>
        <v>0.5</v>
      </c>
      <c r="X30" s="1644">
        <f t="shared" si="0"/>
        <v>0.5</v>
      </c>
      <c r="Y30" s="1644">
        <f t="shared" si="0"/>
        <v>0.5</v>
      </c>
      <c r="Z30" s="1644">
        <f t="shared" si="0"/>
        <v>0.5</v>
      </c>
      <c r="AA30" s="1644">
        <f t="shared" si="0"/>
        <v>0.5</v>
      </c>
      <c r="AB30" s="1644">
        <f t="shared" si="0"/>
        <v>0.5</v>
      </c>
      <c r="AC30" s="1644">
        <f t="shared" si="0"/>
        <v>0.5</v>
      </c>
      <c r="AD30" s="1644">
        <f t="shared" si="0"/>
        <v>0.5</v>
      </c>
      <c r="AE30" s="1644">
        <f t="shared" si="0"/>
        <v>0.5</v>
      </c>
      <c r="AF30" s="1644">
        <f t="shared" si="0"/>
        <v>0.5</v>
      </c>
      <c r="AG30" s="1644">
        <f t="shared" si="0"/>
        <v>0.5</v>
      </c>
      <c r="AH30" s="1644">
        <f t="shared" si="0"/>
        <v>0.5</v>
      </c>
      <c r="AI30" s="1644">
        <f t="shared" si="0"/>
        <v>0.5</v>
      </c>
      <c r="AJ30" s="1644">
        <f t="shared" si="0"/>
        <v>0.5</v>
      </c>
      <c r="AK30" s="1644">
        <f t="shared" si="0"/>
        <v>0.5</v>
      </c>
      <c r="AL30" s="1644">
        <f t="shared" si="0"/>
        <v>0.5</v>
      </c>
      <c r="AM30" s="1644">
        <f t="shared" si="0"/>
        <v>0.5</v>
      </c>
      <c r="AN30" s="1644">
        <f t="shared" si="0"/>
        <v>0.5</v>
      </c>
      <c r="AO30" s="1644">
        <f t="shared" si="0"/>
        <v>0.5</v>
      </c>
      <c r="AP30" s="1644">
        <f t="shared" si="0"/>
        <v>0.5</v>
      </c>
      <c r="AQ30" s="1644">
        <f t="shared" si="0"/>
        <v>0.5</v>
      </c>
      <c r="AR30" s="1644">
        <f t="shared" si="0"/>
        <v>0.5</v>
      </c>
      <c r="AS30" s="1644">
        <f t="shared" si="0"/>
        <v>0.5</v>
      </c>
      <c r="AT30" s="1644">
        <f t="shared" si="0"/>
        <v>0.5</v>
      </c>
    </row>
    <row r="31" spans="2:46" s="131" customFormat="1" ht="15.75">
      <c r="B31" s="1613"/>
      <c r="C31" s="1983" t="s">
        <v>1333</v>
      </c>
      <c r="D31" s="1528" t="s">
        <v>1328</v>
      </c>
      <c r="E31" s="1525">
        <v>0.5</v>
      </c>
      <c r="F31" s="1525">
        <v>0.5</v>
      </c>
      <c r="G31" s="1525">
        <v>0.5</v>
      </c>
      <c r="H31" s="1525">
        <v>0.5</v>
      </c>
      <c r="I31" s="1528">
        <v>0.5</v>
      </c>
      <c r="J31" s="1528">
        <v>0.5</v>
      </c>
      <c r="K31" s="1528">
        <v>0.5</v>
      </c>
      <c r="L31" s="1528">
        <v>0.5</v>
      </c>
      <c r="M31" s="1528">
        <v>0.5</v>
      </c>
      <c r="N31" s="1528">
        <v>0.5</v>
      </c>
      <c r="O31" s="1528">
        <v>0.5</v>
      </c>
      <c r="P31" s="1529">
        <v>0.5</v>
      </c>
      <c r="Q31" s="1614">
        <v>0.5</v>
      </c>
      <c r="R31" s="1984">
        <v>0.5</v>
      </c>
      <c r="S31" s="1984">
        <v>0.5</v>
      </c>
      <c r="T31" s="1984">
        <v>0.5</v>
      </c>
      <c r="U31" s="1984">
        <v>0.5</v>
      </c>
      <c r="V31" s="1984">
        <v>0.5</v>
      </c>
      <c r="W31" s="1984">
        <v>0.5</v>
      </c>
      <c r="X31" s="1984">
        <v>0.5</v>
      </c>
      <c r="Y31" s="1984">
        <v>0.5</v>
      </c>
      <c r="Z31" s="1984">
        <v>0.5</v>
      </c>
      <c r="AA31" s="1984">
        <v>0.5</v>
      </c>
      <c r="AB31" s="1984">
        <v>0.5</v>
      </c>
      <c r="AC31" s="1984">
        <v>0.5</v>
      </c>
      <c r="AD31" s="1984">
        <v>0.5</v>
      </c>
      <c r="AE31" s="1984">
        <v>0.5</v>
      </c>
      <c r="AF31" s="1984">
        <v>0.5</v>
      </c>
      <c r="AG31" s="1984">
        <v>0.5</v>
      </c>
      <c r="AH31" s="1984">
        <v>0.5</v>
      </c>
      <c r="AI31" s="1984">
        <v>0.5</v>
      </c>
      <c r="AJ31" s="1984">
        <v>0.5</v>
      </c>
      <c r="AK31" s="1984">
        <v>0.5</v>
      </c>
      <c r="AL31" s="1984">
        <v>0.5</v>
      </c>
      <c r="AM31" s="1984">
        <v>0.5</v>
      </c>
      <c r="AN31" s="1984">
        <v>0.5</v>
      </c>
      <c r="AO31" s="1984">
        <v>0.5</v>
      </c>
      <c r="AP31" s="1984">
        <v>0.5</v>
      </c>
      <c r="AQ31" s="1984">
        <v>0.5</v>
      </c>
      <c r="AR31" s="1984">
        <v>0.5</v>
      </c>
      <c r="AS31" s="1984">
        <v>0.5</v>
      </c>
      <c r="AT31" s="1984">
        <v>0.5</v>
      </c>
    </row>
    <row r="32" spans="2:46" s="131" customFormat="1" ht="15.75">
      <c r="B32" s="1613"/>
      <c r="C32" s="1983"/>
      <c r="D32" s="1528" t="s">
        <v>423</v>
      </c>
      <c r="E32" s="1525">
        <v>0.5</v>
      </c>
      <c r="F32" s="1525">
        <v>0.5</v>
      </c>
      <c r="G32" s="1525">
        <v>0.5</v>
      </c>
      <c r="H32" s="1525">
        <v>0.5</v>
      </c>
      <c r="I32" s="1528">
        <v>0.5</v>
      </c>
      <c r="J32" s="1528">
        <v>0.5</v>
      </c>
      <c r="K32" s="1528">
        <v>0.5</v>
      </c>
      <c r="L32" s="1528">
        <v>0.5</v>
      </c>
      <c r="M32" s="1528">
        <v>0.5</v>
      </c>
      <c r="N32" s="1528">
        <v>0.5</v>
      </c>
      <c r="O32" s="1528">
        <v>0.5</v>
      </c>
      <c r="P32" s="1529">
        <v>0.5</v>
      </c>
      <c r="Q32" s="1614">
        <v>0.5</v>
      </c>
      <c r="R32" s="1984">
        <v>0.5</v>
      </c>
      <c r="S32" s="1984">
        <v>0.5</v>
      </c>
      <c r="T32" s="1984">
        <v>0.5</v>
      </c>
      <c r="U32" s="1984">
        <v>0.5</v>
      </c>
      <c r="V32" s="1984">
        <v>0.5</v>
      </c>
      <c r="W32" s="1984">
        <v>0.5</v>
      </c>
      <c r="X32" s="1984">
        <v>0.5</v>
      </c>
      <c r="Y32" s="1984">
        <v>0.5</v>
      </c>
      <c r="Z32" s="1984">
        <v>0.5</v>
      </c>
      <c r="AA32" s="1984">
        <v>0.5</v>
      </c>
      <c r="AB32" s="1984">
        <v>0.5</v>
      </c>
      <c r="AC32" s="1984">
        <v>0.5</v>
      </c>
      <c r="AD32" s="1984">
        <v>0.5</v>
      </c>
      <c r="AE32" s="1984">
        <v>0.5</v>
      </c>
      <c r="AF32" s="1984">
        <v>0.5</v>
      </c>
      <c r="AG32" s="1984">
        <v>0.5</v>
      </c>
      <c r="AH32" s="1984">
        <v>0.5</v>
      </c>
      <c r="AI32" s="1984">
        <v>0.5</v>
      </c>
      <c r="AJ32" s="1984">
        <v>0.5</v>
      </c>
      <c r="AK32" s="1984">
        <v>0.5</v>
      </c>
      <c r="AL32" s="1984">
        <v>0.5</v>
      </c>
      <c r="AM32" s="1984">
        <v>0.5</v>
      </c>
      <c r="AN32" s="1984">
        <v>0.5</v>
      </c>
      <c r="AO32" s="1984">
        <v>0.5</v>
      </c>
      <c r="AP32" s="1984">
        <v>0.5</v>
      </c>
      <c r="AQ32" s="1984">
        <v>0.5</v>
      </c>
      <c r="AR32" s="1984">
        <v>0.5</v>
      </c>
      <c r="AS32" s="1984">
        <v>0.5</v>
      </c>
      <c r="AT32" s="1984">
        <v>0.5</v>
      </c>
    </row>
    <row r="33" spans="1:46" s="131" customFormat="1" ht="15.75">
      <c r="B33" s="1613"/>
      <c r="C33" s="1983"/>
      <c r="D33" s="1528" t="s">
        <v>424</v>
      </c>
      <c r="E33" s="1525">
        <v>0.5</v>
      </c>
      <c r="F33" s="1525">
        <v>0.5</v>
      </c>
      <c r="G33" s="1525">
        <v>0.49445241645251581</v>
      </c>
      <c r="H33" s="1525">
        <v>0.48896638427146427</v>
      </c>
      <c r="I33" s="1528">
        <v>0.48354122053414983</v>
      </c>
      <c r="J33" s="1528">
        <v>0.4781762498950185</v>
      </c>
      <c r="K33" s="1528">
        <v>0.47287080450158792</v>
      </c>
      <c r="L33" s="1528">
        <v>0.46762422391131064</v>
      </c>
      <c r="M33" s="1528">
        <v>0.46243585500935974</v>
      </c>
      <c r="N33" s="1528">
        <v>0.45730505192732634</v>
      </c>
      <c r="O33" s="1528">
        <v>0.45223117596281948</v>
      </c>
      <c r="P33" s="1529">
        <v>0.44721359549995793</v>
      </c>
      <c r="Q33" s="1614">
        <v>0.44225168593074432</v>
      </c>
      <c r="R33" s="1984">
        <v>0.43734482957731124</v>
      </c>
      <c r="S33" s="1984">
        <v>0.43249241561503049</v>
      </c>
      <c r="T33" s="1984">
        <v>0.4276938399964752</v>
      </c>
      <c r="U33" s="1984">
        <v>0.42294850537622564</v>
      </c>
      <c r="V33" s="1984">
        <v>0.41825582103650927</v>
      </c>
      <c r="W33" s="1984">
        <v>0.41361520281366598</v>
      </c>
      <c r="X33" s="1984">
        <v>0.40902607302542915</v>
      </c>
      <c r="Y33" s="1984">
        <v>0.4044878603990133</v>
      </c>
      <c r="Z33" s="1984">
        <v>0.4</v>
      </c>
      <c r="AA33" s="1984">
        <v>0.4</v>
      </c>
      <c r="AB33" s="1984">
        <v>0.4</v>
      </c>
      <c r="AC33" s="1984">
        <v>0.4</v>
      </c>
      <c r="AD33" s="1984">
        <v>0.4</v>
      </c>
      <c r="AE33" s="1984">
        <v>0.4</v>
      </c>
      <c r="AF33" s="1984">
        <v>0.4</v>
      </c>
      <c r="AG33" s="1984">
        <v>0.4</v>
      </c>
      <c r="AH33" s="1984">
        <v>0.4</v>
      </c>
      <c r="AI33" s="1984">
        <v>0.4</v>
      </c>
      <c r="AJ33" s="1984">
        <v>0.4</v>
      </c>
      <c r="AK33" s="1984">
        <v>0.4</v>
      </c>
      <c r="AL33" s="1984">
        <v>0.4</v>
      </c>
      <c r="AM33" s="1984">
        <v>0.4</v>
      </c>
      <c r="AN33" s="1984">
        <v>0.4</v>
      </c>
      <c r="AO33" s="1984">
        <v>0.4</v>
      </c>
      <c r="AP33" s="1984">
        <v>0.4</v>
      </c>
      <c r="AQ33" s="1984">
        <v>0.4</v>
      </c>
      <c r="AR33" s="1984">
        <v>0.4</v>
      </c>
      <c r="AS33" s="1984">
        <v>0.4</v>
      </c>
      <c r="AT33" s="1984">
        <v>0.4</v>
      </c>
    </row>
    <row r="34" spans="1:46" s="131" customFormat="1" ht="15.75">
      <c r="B34" s="1613"/>
      <c r="C34" s="1983"/>
      <c r="D34" s="1528" t="s">
        <v>425</v>
      </c>
      <c r="E34" s="1525">
        <v>0.5</v>
      </c>
      <c r="F34" s="1525">
        <v>0.5</v>
      </c>
      <c r="G34" s="1525">
        <v>0.47760955197616201</v>
      </c>
      <c r="H34" s="1525">
        <v>0.45622176827774041</v>
      </c>
      <c r="I34" s="1528">
        <v>0.43579174869780801</v>
      </c>
      <c r="J34" s="1528">
        <v>0.41627660370093655</v>
      </c>
      <c r="K34" s="1528">
        <v>0.39763536438352531</v>
      </c>
      <c r="L34" s="1528">
        <v>0.37982889646618689</v>
      </c>
      <c r="M34" s="1528">
        <v>0.36281981813763109</v>
      </c>
      <c r="N34" s="1528">
        <v>0.34657242157757312</v>
      </c>
      <c r="O34" s="1528">
        <v>0.33105259799391645</v>
      </c>
      <c r="P34" s="1529">
        <v>0.31622776601683783</v>
      </c>
      <c r="Q34" s="1614">
        <v>0.30206680329944902</v>
      </c>
      <c r="R34" s="1984">
        <v>0.28853998118144258</v>
      </c>
      <c r="S34" s="1984">
        <v>0.27561890227855801</v>
      </c>
      <c r="T34" s="1984">
        <v>0.26327644086684732</v>
      </c>
      <c r="U34" s="1984">
        <v>0.25148668593658691</v>
      </c>
      <c r="V34" s="1984">
        <v>0.24022488679628606</v>
      </c>
      <c r="W34" s="1984">
        <v>0.22946740111259684</v>
      </c>
      <c r="X34" s="1984">
        <v>0.21919164527704327</v>
      </c>
      <c r="Y34" s="1984">
        <v>0.20937604699537293</v>
      </c>
      <c r="Z34" s="1984">
        <v>0.2</v>
      </c>
      <c r="AA34" s="1984">
        <v>0.2</v>
      </c>
      <c r="AB34" s="1984">
        <v>0.2</v>
      </c>
      <c r="AC34" s="1984">
        <v>0.2</v>
      </c>
      <c r="AD34" s="1984">
        <v>0.2</v>
      </c>
      <c r="AE34" s="1984">
        <v>0.2</v>
      </c>
      <c r="AF34" s="1984">
        <v>0.2</v>
      </c>
      <c r="AG34" s="1984">
        <v>0.2</v>
      </c>
      <c r="AH34" s="1984">
        <v>0.2</v>
      </c>
      <c r="AI34" s="1984">
        <v>0.2</v>
      </c>
      <c r="AJ34" s="1984">
        <v>0.2</v>
      </c>
      <c r="AK34" s="1984">
        <v>0.2</v>
      </c>
      <c r="AL34" s="1984">
        <v>0.2</v>
      </c>
      <c r="AM34" s="1984">
        <v>0.2</v>
      </c>
      <c r="AN34" s="1984">
        <v>0.2</v>
      </c>
      <c r="AO34" s="1984">
        <v>0.2</v>
      </c>
      <c r="AP34" s="1984">
        <v>0.2</v>
      </c>
      <c r="AQ34" s="1984">
        <v>0.2</v>
      </c>
      <c r="AR34" s="1984">
        <v>0.2</v>
      </c>
      <c r="AS34" s="1984">
        <v>0.2</v>
      </c>
      <c r="AT34" s="1984">
        <v>0.2</v>
      </c>
    </row>
    <row r="35" spans="1:46" s="131" customFormat="1" ht="15.75">
      <c r="B35" s="1613"/>
      <c r="C35" s="1985" t="s">
        <v>406</v>
      </c>
      <c r="D35" s="1986"/>
      <c r="E35" s="1644">
        <f>(INDEX(E31:E34,ROUNDDOWN($E$8,0))*(1-MOD($E$8,1)))+(INDEX(E31:E34,ROUNDUP($E$8,0))*MOD($E$8,1))</f>
        <v>0.5</v>
      </c>
      <c r="F35" s="1644">
        <f>(INDEX(F31:F34,ROUNDDOWN($E$8,0))*(1-MOD($E$8,1)))+(INDEX(F31:F34,ROUNDUP($E$8,0))*MOD($E$8,1))</f>
        <v>0.5</v>
      </c>
      <c r="G35" s="1644">
        <f t="shared" ref="G35:AT35" si="1">(INDEX(G31:G34,ROUNDDOWN($E$8,0))*(1-MOD($E$8,1)))+(INDEX(G31:G34,ROUNDUP($E$8,0))*MOD($E$8,1))</f>
        <v>0.5</v>
      </c>
      <c r="H35" s="1644">
        <f t="shared" si="1"/>
        <v>0.5</v>
      </c>
      <c r="I35" s="1644">
        <f t="shared" si="1"/>
        <v>0.5</v>
      </c>
      <c r="J35" s="1644">
        <f t="shared" si="1"/>
        <v>0.5</v>
      </c>
      <c r="K35" s="1644">
        <f t="shared" si="1"/>
        <v>0.5</v>
      </c>
      <c r="L35" s="1644">
        <f t="shared" si="1"/>
        <v>0.5</v>
      </c>
      <c r="M35" s="1644">
        <f t="shared" si="1"/>
        <v>0.5</v>
      </c>
      <c r="N35" s="1644">
        <f t="shared" si="1"/>
        <v>0.5</v>
      </c>
      <c r="O35" s="1644">
        <f t="shared" si="1"/>
        <v>0.5</v>
      </c>
      <c r="P35" s="1644">
        <f t="shared" si="1"/>
        <v>0.5</v>
      </c>
      <c r="Q35" s="1644">
        <f t="shared" si="1"/>
        <v>0.5</v>
      </c>
      <c r="R35" s="1644">
        <f t="shared" si="1"/>
        <v>0.5</v>
      </c>
      <c r="S35" s="1644">
        <f t="shared" si="1"/>
        <v>0.5</v>
      </c>
      <c r="T35" s="1644">
        <f t="shared" si="1"/>
        <v>0.5</v>
      </c>
      <c r="U35" s="1644">
        <f t="shared" si="1"/>
        <v>0.5</v>
      </c>
      <c r="V35" s="1644">
        <f t="shared" si="1"/>
        <v>0.5</v>
      </c>
      <c r="W35" s="1644">
        <f t="shared" si="1"/>
        <v>0.5</v>
      </c>
      <c r="X35" s="1644">
        <f t="shared" si="1"/>
        <v>0.5</v>
      </c>
      <c r="Y35" s="1644">
        <f t="shared" si="1"/>
        <v>0.5</v>
      </c>
      <c r="Z35" s="1644">
        <f t="shared" si="1"/>
        <v>0.5</v>
      </c>
      <c r="AA35" s="1644">
        <f t="shared" si="1"/>
        <v>0.5</v>
      </c>
      <c r="AB35" s="1644">
        <f t="shared" si="1"/>
        <v>0.5</v>
      </c>
      <c r="AC35" s="1644">
        <f t="shared" si="1"/>
        <v>0.5</v>
      </c>
      <c r="AD35" s="1644">
        <f t="shared" si="1"/>
        <v>0.5</v>
      </c>
      <c r="AE35" s="1644">
        <f t="shared" si="1"/>
        <v>0.5</v>
      </c>
      <c r="AF35" s="1644">
        <f t="shared" si="1"/>
        <v>0.5</v>
      </c>
      <c r="AG35" s="1644">
        <f t="shared" si="1"/>
        <v>0.5</v>
      </c>
      <c r="AH35" s="1644">
        <f t="shared" si="1"/>
        <v>0.5</v>
      </c>
      <c r="AI35" s="1644">
        <f t="shared" si="1"/>
        <v>0.5</v>
      </c>
      <c r="AJ35" s="1644">
        <f t="shared" si="1"/>
        <v>0.5</v>
      </c>
      <c r="AK35" s="1644">
        <f t="shared" si="1"/>
        <v>0.5</v>
      </c>
      <c r="AL35" s="1644">
        <f t="shared" si="1"/>
        <v>0.5</v>
      </c>
      <c r="AM35" s="1644">
        <f t="shared" si="1"/>
        <v>0.5</v>
      </c>
      <c r="AN35" s="1644">
        <f t="shared" si="1"/>
        <v>0.5</v>
      </c>
      <c r="AO35" s="1644">
        <f t="shared" si="1"/>
        <v>0.5</v>
      </c>
      <c r="AP35" s="1644">
        <f t="shared" si="1"/>
        <v>0.5</v>
      </c>
      <c r="AQ35" s="1644">
        <f t="shared" si="1"/>
        <v>0.5</v>
      </c>
      <c r="AR35" s="1644">
        <f t="shared" si="1"/>
        <v>0.5</v>
      </c>
      <c r="AS35" s="1644">
        <f t="shared" si="1"/>
        <v>0.5</v>
      </c>
      <c r="AT35" s="1644">
        <f t="shared" si="1"/>
        <v>0.5</v>
      </c>
    </row>
    <row r="36" spans="1:46" s="131" customFormat="1" ht="15.75">
      <c r="B36" s="1613"/>
      <c r="C36" s="1983" t="s">
        <v>439</v>
      </c>
      <c r="D36" s="1528" t="s">
        <v>1328</v>
      </c>
      <c r="E36" s="1525">
        <v>0</v>
      </c>
      <c r="F36" s="1525">
        <v>0</v>
      </c>
      <c r="G36" s="1525">
        <v>0</v>
      </c>
      <c r="H36" s="1525">
        <v>0</v>
      </c>
      <c r="I36" s="1528">
        <v>0</v>
      </c>
      <c r="J36" s="1528">
        <v>0</v>
      </c>
      <c r="K36" s="1528">
        <v>0</v>
      </c>
      <c r="L36" s="1528">
        <v>0</v>
      </c>
      <c r="M36" s="1528">
        <v>0</v>
      </c>
      <c r="N36" s="1528">
        <v>0</v>
      </c>
      <c r="O36" s="1528">
        <v>0</v>
      </c>
      <c r="P36" s="1529">
        <v>0</v>
      </c>
      <c r="Q36" s="1614">
        <v>0</v>
      </c>
      <c r="R36" s="1984">
        <v>0</v>
      </c>
      <c r="S36" s="1984">
        <v>0</v>
      </c>
      <c r="T36" s="1984">
        <v>0</v>
      </c>
      <c r="U36" s="1984">
        <v>0</v>
      </c>
      <c r="V36" s="1984">
        <v>0</v>
      </c>
      <c r="W36" s="1984">
        <v>0</v>
      </c>
      <c r="X36" s="1984">
        <v>0</v>
      </c>
      <c r="Y36" s="1984">
        <v>0</v>
      </c>
      <c r="Z36" s="1984">
        <v>0</v>
      </c>
      <c r="AA36" s="1984">
        <v>0</v>
      </c>
      <c r="AB36" s="1984">
        <v>0</v>
      </c>
      <c r="AC36" s="1984">
        <v>0</v>
      </c>
      <c r="AD36" s="1984">
        <v>0</v>
      </c>
      <c r="AE36" s="1984">
        <v>0</v>
      </c>
      <c r="AF36" s="1984">
        <v>0</v>
      </c>
      <c r="AG36" s="1984">
        <v>0</v>
      </c>
      <c r="AH36" s="1984">
        <v>0</v>
      </c>
      <c r="AI36" s="1984">
        <v>0</v>
      </c>
      <c r="AJ36" s="1984">
        <v>0</v>
      </c>
      <c r="AK36" s="1984">
        <v>0</v>
      </c>
      <c r="AL36" s="1984">
        <v>0</v>
      </c>
      <c r="AM36" s="1984">
        <v>0</v>
      </c>
      <c r="AN36" s="1984">
        <v>0</v>
      </c>
      <c r="AO36" s="1984">
        <v>0</v>
      </c>
      <c r="AP36" s="1984">
        <v>0</v>
      </c>
      <c r="AQ36" s="1984">
        <v>0</v>
      </c>
      <c r="AR36" s="1984">
        <v>0</v>
      </c>
      <c r="AS36" s="1984">
        <v>0</v>
      </c>
      <c r="AT36" s="1984">
        <v>0</v>
      </c>
    </row>
    <row r="37" spans="1:46" s="131" customFormat="1" ht="15.75">
      <c r="B37" s="1613"/>
      <c r="C37" s="1983"/>
      <c r="D37" s="1528" t="s">
        <v>423</v>
      </c>
      <c r="E37" s="1525">
        <v>0</v>
      </c>
      <c r="F37" s="1525">
        <v>0</v>
      </c>
      <c r="G37" s="1525">
        <v>2.2390448023837939E-2</v>
      </c>
      <c r="H37" s="1525">
        <v>4.3778231722259586E-2</v>
      </c>
      <c r="I37" s="1528">
        <v>6.4208251302191988E-2</v>
      </c>
      <c r="J37" s="1528">
        <v>8.3723396299063446E-2</v>
      </c>
      <c r="K37" s="1528">
        <v>0.10236463561647469</v>
      </c>
      <c r="L37" s="1528">
        <v>0.12017110353381311</v>
      </c>
      <c r="M37" s="1528">
        <v>0.13718018186236891</v>
      </c>
      <c r="N37" s="1528">
        <v>0.15342757842242682</v>
      </c>
      <c r="O37" s="1528">
        <v>0.16894740200608349</v>
      </c>
      <c r="P37" s="1529">
        <v>0.18377223398316223</v>
      </c>
      <c r="Q37" s="1614">
        <v>0.19793319670055098</v>
      </c>
      <c r="R37" s="1984">
        <v>0.21146001881855736</v>
      </c>
      <c r="S37" s="1984">
        <v>0.22438109772144199</v>
      </c>
      <c r="T37" s="1984">
        <v>0.23672355913315268</v>
      </c>
      <c r="U37" s="1984">
        <v>0.24851331406341304</v>
      </c>
      <c r="V37" s="1984">
        <v>0.25977511320371394</v>
      </c>
      <c r="W37" s="1984">
        <v>0.27053259888740322</v>
      </c>
      <c r="X37" s="1984">
        <v>0.28080835472295673</v>
      </c>
      <c r="Y37" s="1984">
        <v>0.29062395300462707</v>
      </c>
      <c r="Z37" s="1984">
        <v>0.30000000000000004</v>
      </c>
      <c r="AA37" s="1984">
        <v>0.30000000000000004</v>
      </c>
      <c r="AB37" s="1984">
        <v>0.30000000000000004</v>
      </c>
      <c r="AC37" s="1984">
        <v>0.30000000000000004</v>
      </c>
      <c r="AD37" s="1984">
        <v>0.30000000000000004</v>
      </c>
      <c r="AE37" s="1984">
        <v>0.30000000000000004</v>
      </c>
      <c r="AF37" s="1984">
        <v>0.30000000000000004</v>
      </c>
      <c r="AG37" s="1984">
        <v>0.30000000000000004</v>
      </c>
      <c r="AH37" s="1984">
        <v>0.30000000000000004</v>
      </c>
      <c r="AI37" s="1984">
        <v>0.30000000000000004</v>
      </c>
      <c r="AJ37" s="1984">
        <v>0.30000000000000004</v>
      </c>
      <c r="AK37" s="1984">
        <v>0.30000000000000004</v>
      </c>
      <c r="AL37" s="1984">
        <v>0.30000000000000004</v>
      </c>
      <c r="AM37" s="1984">
        <v>0.30000000000000004</v>
      </c>
      <c r="AN37" s="1984">
        <v>0.30000000000000004</v>
      </c>
      <c r="AO37" s="1984">
        <v>0.30000000000000004</v>
      </c>
      <c r="AP37" s="1984">
        <v>0.30000000000000004</v>
      </c>
      <c r="AQ37" s="1984">
        <v>0.30000000000000004</v>
      </c>
      <c r="AR37" s="1984">
        <v>0.30000000000000004</v>
      </c>
      <c r="AS37" s="1984">
        <v>0.30000000000000004</v>
      </c>
      <c r="AT37" s="1984">
        <v>0.30000000000000004</v>
      </c>
    </row>
    <row r="38" spans="1:46" s="131" customFormat="1" ht="15.75">
      <c r="B38" s="1613"/>
      <c r="C38" s="1983"/>
      <c r="D38" s="1528" t="s">
        <v>424</v>
      </c>
      <c r="E38" s="1525">
        <v>0</v>
      </c>
      <c r="F38" s="1525">
        <v>0</v>
      </c>
      <c r="G38" s="1525">
        <v>4.4207166252190011E-2</v>
      </c>
      <c r="H38" s="1525">
        <v>8.5363654468143313E-2</v>
      </c>
      <c r="I38" s="1528">
        <v>0.12370126434996798</v>
      </c>
      <c r="J38" s="1528">
        <v>0.15943391826613362</v>
      </c>
      <c r="K38" s="1528">
        <v>0.19275904301020097</v>
      </c>
      <c r="L38" s="1528">
        <v>0.22385884472868445</v>
      </c>
      <c r="M38" s="1528">
        <v>0.25290148527806366</v>
      </c>
      <c r="N38" s="1528">
        <v>0.28004216763229683</v>
      </c>
      <c r="O38" s="1528">
        <v>0.30542413737291507</v>
      </c>
      <c r="P38" s="1529">
        <v>0.32917960675006297</v>
      </c>
      <c r="Q38" s="1614">
        <v>0.35143060730117615</v>
      </c>
      <c r="R38" s="1984">
        <v>0.37228977655110085</v>
      </c>
      <c r="S38" s="1984">
        <v>0.39186108389036667</v>
      </c>
      <c r="T38" s="1984">
        <v>0.41024050033424841</v>
      </c>
      <c r="U38" s="1984">
        <v>0.42751661650165218</v>
      </c>
      <c r="V38" s="1984">
        <v>0.4437712128173692</v>
      </c>
      <c r="W38" s="1984">
        <v>0.45907978563169149</v>
      </c>
      <c r="X38" s="1984">
        <v>0.4735120326657688</v>
      </c>
      <c r="Y38" s="1984">
        <v>0.48713230092754978</v>
      </c>
      <c r="Z38" s="1984">
        <v>0.5</v>
      </c>
      <c r="AA38" s="1984">
        <v>0.5</v>
      </c>
      <c r="AB38" s="1984">
        <v>0.5</v>
      </c>
      <c r="AC38" s="1984">
        <v>0.5</v>
      </c>
      <c r="AD38" s="1984">
        <v>0.5</v>
      </c>
      <c r="AE38" s="1984">
        <v>0.5</v>
      </c>
      <c r="AF38" s="1984">
        <v>0.5</v>
      </c>
      <c r="AG38" s="1984">
        <v>0.5</v>
      </c>
      <c r="AH38" s="1984">
        <v>0.5</v>
      </c>
      <c r="AI38" s="1984">
        <v>0.5</v>
      </c>
      <c r="AJ38" s="1984">
        <v>0.5</v>
      </c>
      <c r="AK38" s="1984">
        <v>0.5</v>
      </c>
      <c r="AL38" s="1984">
        <v>0.5</v>
      </c>
      <c r="AM38" s="1984">
        <v>0.5</v>
      </c>
      <c r="AN38" s="1984">
        <v>0.5</v>
      </c>
      <c r="AO38" s="1984">
        <v>0.5</v>
      </c>
      <c r="AP38" s="1984">
        <v>0.5</v>
      </c>
      <c r="AQ38" s="1984">
        <v>0.5</v>
      </c>
      <c r="AR38" s="1984">
        <v>0.5</v>
      </c>
      <c r="AS38" s="1984">
        <v>0.5</v>
      </c>
      <c r="AT38" s="1984">
        <v>0.5</v>
      </c>
    </row>
    <row r="39" spans="1:46" s="131" customFormat="1" ht="15.75">
      <c r="B39" s="1613"/>
      <c r="C39" s="1983"/>
      <c r="D39" s="1528" t="s">
        <v>425</v>
      </c>
      <c r="E39" s="1525">
        <v>0</v>
      </c>
      <c r="F39" s="1525">
        <v>0</v>
      </c>
      <c r="G39" s="1525">
        <v>4.7390448023838072E-2</v>
      </c>
      <c r="H39" s="1525">
        <v>9.3778231722259631E-2</v>
      </c>
      <c r="I39" s="1528">
        <v>0.13920825130219205</v>
      </c>
      <c r="J39" s="1528">
        <v>0.18372339629906353</v>
      </c>
      <c r="K39" s="1528">
        <v>0.2273646356164748</v>
      </c>
      <c r="L39" s="1528">
        <v>0.27017110353381324</v>
      </c>
      <c r="M39" s="1528">
        <v>0.31218018186236907</v>
      </c>
      <c r="N39" s="1528">
        <v>0.353427578422427</v>
      </c>
      <c r="O39" s="1528">
        <v>0.3939474020060838</v>
      </c>
      <c r="P39" s="1529">
        <v>0.43377223398316234</v>
      </c>
      <c r="Q39" s="1614">
        <v>0.47293319670055123</v>
      </c>
      <c r="R39" s="1984">
        <v>0.51146001881855763</v>
      </c>
      <c r="S39" s="1984">
        <v>0.54938109772144217</v>
      </c>
      <c r="T39" s="1984">
        <v>0.58672355913315288</v>
      </c>
      <c r="U39" s="1984">
        <v>0.62351331406341326</v>
      </c>
      <c r="V39" s="1984">
        <v>0.65977511320371407</v>
      </c>
      <c r="W39" s="1984">
        <v>0.69553259888740326</v>
      </c>
      <c r="X39" s="1984">
        <v>0.73080835472295691</v>
      </c>
      <c r="Y39" s="1984">
        <v>0.76562395300462716</v>
      </c>
      <c r="Z39" s="1984">
        <v>0.8</v>
      </c>
      <c r="AA39" s="1984">
        <v>0.8</v>
      </c>
      <c r="AB39" s="1984">
        <v>0.8</v>
      </c>
      <c r="AC39" s="1984">
        <v>0.8</v>
      </c>
      <c r="AD39" s="1984">
        <v>0.8</v>
      </c>
      <c r="AE39" s="1984">
        <v>0.8</v>
      </c>
      <c r="AF39" s="1984">
        <v>0.8</v>
      </c>
      <c r="AG39" s="1984">
        <v>0.8</v>
      </c>
      <c r="AH39" s="1984">
        <v>0.8</v>
      </c>
      <c r="AI39" s="1984">
        <v>0.8</v>
      </c>
      <c r="AJ39" s="1984">
        <v>0.8</v>
      </c>
      <c r="AK39" s="1984">
        <v>0.8</v>
      </c>
      <c r="AL39" s="1984">
        <v>0.8</v>
      </c>
      <c r="AM39" s="1984">
        <v>0.8</v>
      </c>
      <c r="AN39" s="1984">
        <v>0.8</v>
      </c>
      <c r="AO39" s="1984">
        <v>0.8</v>
      </c>
      <c r="AP39" s="1984">
        <v>0.8</v>
      </c>
      <c r="AQ39" s="1984">
        <v>0.8</v>
      </c>
      <c r="AR39" s="1984">
        <v>0.8</v>
      </c>
      <c r="AS39" s="1984">
        <v>0.8</v>
      </c>
      <c r="AT39" s="1984">
        <v>0.8</v>
      </c>
    </row>
    <row r="40" spans="1:46" s="131" customFormat="1" ht="15.75">
      <c r="B40" s="1613"/>
      <c r="C40" s="1985" t="s">
        <v>406</v>
      </c>
      <c r="D40" s="1986"/>
      <c r="E40" s="1644">
        <f>(INDEX(E36:E39,ROUNDDOWN($E$8,0))*(1-MOD($E$8,1)))+(INDEX(E36:E39,ROUNDUP($E$8,0))*MOD($E$8,1))</f>
        <v>0</v>
      </c>
      <c r="F40" s="1644">
        <f>(INDEX(F36:F39,ROUNDDOWN($E$8,0))*(1-MOD($E$8,1)))+(INDEX(F36:F39,ROUNDUP($E$8,0))*MOD($E$8,1))</f>
        <v>0</v>
      </c>
      <c r="G40" s="1644">
        <f t="shared" ref="G40:AS40" si="2">(INDEX(G36:G39,ROUNDDOWN($E$8,0))*(1-MOD($E$8,1)))+(INDEX(G36:G39,ROUNDUP($E$8,0))*MOD($E$8,1))</f>
        <v>0</v>
      </c>
      <c r="H40" s="1644">
        <f t="shared" si="2"/>
        <v>0</v>
      </c>
      <c r="I40" s="1644">
        <f t="shared" si="2"/>
        <v>0</v>
      </c>
      <c r="J40" s="1644">
        <f t="shared" si="2"/>
        <v>0</v>
      </c>
      <c r="K40" s="1644">
        <f t="shared" si="2"/>
        <v>0</v>
      </c>
      <c r="L40" s="1644">
        <f t="shared" si="2"/>
        <v>0</v>
      </c>
      <c r="M40" s="1644">
        <f t="shared" si="2"/>
        <v>0</v>
      </c>
      <c r="N40" s="1644">
        <f t="shared" si="2"/>
        <v>0</v>
      </c>
      <c r="O40" s="1644">
        <f t="shared" si="2"/>
        <v>0</v>
      </c>
      <c r="P40" s="1644">
        <f t="shared" si="2"/>
        <v>0</v>
      </c>
      <c r="Q40" s="1644">
        <f t="shared" si="2"/>
        <v>0</v>
      </c>
      <c r="R40" s="1644">
        <f t="shared" si="2"/>
        <v>0</v>
      </c>
      <c r="S40" s="1644">
        <f t="shared" si="2"/>
        <v>0</v>
      </c>
      <c r="T40" s="1644">
        <f t="shared" si="2"/>
        <v>0</v>
      </c>
      <c r="U40" s="1644">
        <f t="shared" si="2"/>
        <v>0</v>
      </c>
      <c r="V40" s="1644">
        <f t="shared" si="2"/>
        <v>0</v>
      </c>
      <c r="W40" s="1644">
        <f t="shared" si="2"/>
        <v>0</v>
      </c>
      <c r="X40" s="1644">
        <f t="shared" si="2"/>
        <v>0</v>
      </c>
      <c r="Y40" s="1644">
        <f t="shared" si="2"/>
        <v>0</v>
      </c>
      <c r="Z40" s="1644">
        <f t="shared" si="2"/>
        <v>0</v>
      </c>
      <c r="AA40" s="1644">
        <f t="shared" si="2"/>
        <v>0</v>
      </c>
      <c r="AB40" s="1644">
        <f t="shared" si="2"/>
        <v>0</v>
      </c>
      <c r="AC40" s="1644">
        <f t="shared" si="2"/>
        <v>0</v>
      </c>
      <c r="AD40" s="1644">
        <f t="shared" si="2"/>
        <v>0</v>
      </c>
      <c r="AE40" s="1644">
        <f t="shared" si="2"/>
        <v>0</v>
      </c>
      <c r="AF40" s="1644">
        <f t="shared" si="2"/>
        <v>0</v>
      </c>
      <c r="AG40" s="1644">
        <f t="shared" si="2"/>
        <v>0</v>
      </c>
      <c r="AH40" s="1644">
        <f t="shared" si="2"/>
        <v>0</v>
      </c>
      <c r="AI40" s="1644">
        <f t="shared" si="2"/>
        <v>0</v>
      </c>
      <c r="AJ40" s="1644">
        <f t="shared" si="2"/>
        <v>0</v>
      </c>
      <c r="AK40" s="1644">
        <f t="shared" si="2"/>
        <v>0</v>
      </c>
      <c r="AL40" s="1644">
        <f t="shared" si="2"/>
        <v>0</v>
      </c>
      <c r="AM40" s="1644">
        <f t="shared" si="2"/>
        <v>0</v>
      </c>
      <c r="AN40" s="1644">
        <f t="shared" si="2"/>
        <v>0</v>
      </c>
      <c r="AO40" s="1644">
        <f t="shared" si="2"/>
        <v>0</v>
      </c>
      <c r="AP40" s="1644">
        <f t="shared" si="2"/>
        <v>0</v>
      </c>
      <c r="AQ40" s="1644">
        <f t="shared" si="2"/>
        <v>0</v>
      </c>
      <c r="AR40" s="1644">
        <f t="shared" si="2"/>
        <v>0</v>
      </c>
      <c r="AS40" s="1644">
        <f t="shared" si="2"/>
        <v>0</v>
      </c>
      <c r="AT40" s="1644">
        <f>(INDEX(AT36:AT39,ROUNDDOWN($E$8,0))*(1-MOD($E$8,1)))+(INDEX(AT36:AT39,ROUNDUP($E$8,0))*MOD($E$8,1))</f>
        <v>0</v>
      </c>
    </row>
    <row r="41" spans="1:46" ht="15.75">
      <c r="B41" s="152"/>
      <c r="C41" s="412"/>
      <c r="D41" s="412"/>
      <c r="E41" s="412"/>
      <c r="F41" s="227"/>
      <c r="G41" s="227"/>
      <c r="H41" s="227"/>
      <c r="I41" s="227"/>
      <c r="J41" s="227"/>
      <c r="K41" s="227"/>
      <c r="L41" s="227"/>
      <c r="M41" s="227"/>
      <c r="N41" s="227"/>
      <c r="O41" s="227"/>
      <c r="P41" s="419"/>
    </row>
    <row r="43" spans="1:46" s="51" customFormat="1" ht="22.5" collapsed="1">
      <c r="A43" s="162"/>
      <c r="B43" s="421" t="s">
        <v>265</v>
      </c>
      <c r="C43" s="159"/>
      <c r="D43" s="159"/>
      <c r="E43" s="159"/>
      <c r="F43" s="159"/>
      <c r="G43" s="159"/>
      <c r="H43" s="159"/>
      <c r="I43" s="159"/>
      <c r="J43" s="159"/>
      <c r="K43" s="159"/>
      <c r="L43" s="159"/>
      <c r="M43" s="159"/>
      <c r="N43" s="159"/>
      <c r="O43" s="159"/>
      <c r="P43" s="160"/>
    </row>
    <row r="44" spans="1:46">
      <c r="B44" s="418"/>
      <c r="C44" s="415"/>
      <c r="D44" s="415"/>
      <c r="E44" s="415"/>
      <c r="F44" s="415"/>
      <c r="G44" s="415"/>
      <c r="H44" s="415"/>
      <c r="I44" s="415"/>
      <c r="J44" s="415"/>
      <c r="K44" s="415"/>
      <c r="L44" s="415"/>
      <c r="M44" s="415"/>
      <c r="N44" s="415"/>
      <c r="O44" s="415"/>
      <c r="P44" s="419"/>
    </row>
    <row r="45" spans="1:46">
      <c r="B45" s="418"/>
      <c r="C45" s="1884" t="s">
        <v>1374</v>
      </c>
      <c r="D45" s="692"/>
      <c r="E45" s="692"/>
      <c r="F45" s="692"/>
      <c r="G45" s="692"/>
      <c r="H45" s="692"/>
      <c r="I45" s="692"/>
      <c r="J45" s="692"/>
      <c r="K45" s="692"/>
      <c r="L45" s="415"/>
      <c r="M45" s="415"/>
      <c r="N45" s="415"/>
      <c r="O45" s="415"/>
      <c r="P45" s="419"/>
    </row>
    <row r="46" spans="1:46">
      <c r="B46" s="418"/>
      <c r="C46" s="692"/>
      <c r="D46" s="692"/>
      <c r="E46" s="692"/>
      <c r="F46" s="692"/>
      <c r="G46" s="2918" t="s">
        <v>277</v>
      </c>
      <c r="H46" s="692"/>
      <c r="I46" s="692"/>
      <c r="J46" s="692"/>
      <c r="K46" s="692"/>
      <c r="L46" s="415"/>
      <c r="M46" s="415"/>
      <c r="N46" s="415"/>
      <c r="O46" s="415"/>
      <c r="P46" s="419"/>
    </row>
    <row r="47" spans="1:46">
      <c r="B47" s="418"/>
      <c r="C47" s="2919" t="s">
        <v>1571</v>
      </c>
      <c r="D47" s="2919" t="s">
        <v>1573</v>
      </c>
      <c r="E47" s="2919" t="s">
        <v>2240</v>
      </c>
      <c r="F47" s="2919" t="s">
        <v>2241</v>
      </c>
      <c r="G47" s="2920"/>
      <c r="H47" s="692"/>
      <c r="I47" s="692"/>
      <c r="J47" s="692"/>
      <c r="K47" s="692"/>
      <c r="L47" s="415"/>
      <c r="M47" s="415"/>
      <c r="N47" s="415"/>
      <c r="O47" s="415"/>
      <c r="P47" s="419"/>
    </row>
    <row r="48" spans="1:46">
      <c r="B48" s="418"/>
      <c r="C48" s="2921">
        <v>0.115</v>
      </c>
      <c r="D48" s="2921">
        <v>8.5000000000000006E-2</v>
      </c>
      <c r="E48" s="2921">
        <v>5.7500000000000002E-2</v>
      </c>
      <c r="F48" s="2921">
        <v>1.2500000000000001E-2</v>
      </c>
      <c r="G48" s="2920"/>
      <c r="H48" s="692"/>
      <c r="I48" s="692"/>
      <c r="J48" s="692"/>
      <c r="K48" s="692"/>
      <c r="L48" s="415"/>
      <c r="M48" s="415"/>
      <c r="N48" s="415"/>
      <c r="O48" s="415"/>
      <c r="P48" s="419"/>
    </row>
    <row r="49" spans="1:51">
      <c r="B49" s="418"/>
      <c r="C49" s="692"/>
      <c r="D49" s="692"/>
      <c r="E49" s="692"/>
      <c r="F49" s="692"/>
      <c r="G49" s="692"/>
      <c r="H49" s="692"/>
      <c r="I49" s="692"/>
      <c r="J49" s="692"/>
      <c r="K49" s="692"/>
      <c r="L49" s="415"/>
      <c r="M49" s="415"/>
      <c r="N49" s="415"/>
      <c r="O49" s="415"/>
      <c r="P49" s="419"/>
    </row>
    <row r="50" spans="1:51">
      <c r="B50" s="418"/>
      <c r="C50" s="692"/>
      <c r="D50" s="692"/>
      <c r="E50" s="692"/>
      <c r="F50" s="692"/>
      <c r="G50" s="692"/>
      <c r="H50" s="692"/>
      <c r="I50" s="692"/>
      <c r="J50" s="692"/>
      <c r="K50" s="692"/>
      <c r="L50" s="415"/>
      <c r="M50" s="415"/>
      <c r="N50" s="415"/>
      <c r="O50" s="415"/>
      <c r="P50" s="419"/>
    </row>
    <row r="51" spans="1:51">
      <c r="A51" s="242"/>
      <c r="B51" s="418"/>
      <c r="C51" s="1884" t="s">
        <v>1375</v>
      </c>
      <c r="D51" s="692"/>
      <c r="E51" s="692"/>
      <c r="F51" s="692"/>
      <c r="G51" s="692"/>
      <c r="H51" s="692"/>
      <c r="I51" s="692"/>
      <c r="J51" s="692"/>
      <c r="K51" s="692"/>
      <c r="L51" s="415"/>
      <c r="M51" s="415"/>
      <c r="N51" s="415"/>
      <c r="O51" s="415"/>
      <c r="P51" s="419"/>
    </row>
    <row r="52" spans="1:51">
      <c r="A52" s="242"/>
      <c r="B52" s="418"/>
      <c r="C52" s="692"/>
      <c r="D52" s="692"/>
      <c r="E52" s="692"/>
      <c r="F52" s="692"/>
      <c r="G52" s="692"/>
      <c r="H52" s="692"/>
      <c r="I52" s="692"/>
      <c r="J52" s="692"/>
      <c r="K52" s="692"/>
      <c r="L52" s="415"/>
      <c r="M52" s="415"/>
      <c r="N52" s="415"/>
      <c r="O52" s="415" t="str">
        <f>preferences.energyunits</f>
        <v>TWh</v>
      </c>
      <c r="P52" s="419"/>
    </row>
    <row r="53" spans="1:51">
      <c r="A53" s="242"/>
      <c r="B53" s="418"/>
      <c r="C53" s="2920"/>
      <c r="D53" s="2922" t="s">
        <v>109</v>
      </c>
      <c r="E53" s="2920"/>
      <c r="F53" s="2922">
        <v>2007</v>
      </c>
      <c r="G53" s="2922">
        <f>F53+5</f>
        <v>2012</v>
      </c>
      <c r="H53" s="2922">
        <f t="shared" ref="H53:O53" si="3">G53+5</f>
        <v>2017</v>
      </c>
      <c r="I53" s="2922">
        <f t="shared" si="3"/>
        <v>2022</v>
      </c>
      <c r="J53" s="2922">
        <f t="shared" si="3"/>
        <v>2027</v>
      </c>
      <c r="K53" s="2922">
        <f t="shared" si="3"/>
        <v>2032</v>
      </c>
      <c r="L53" s="1386">
        <f t="shared" si="3"/>
        <v>2037</v>
      </c>
      <c r="M53" s="1386">
        <f t="shared" si="3"/>
        <v>2042</v>
      </c>
      <c r="N53" s="1386">
        <f t="shared" si="3"/>
        <v>2047</v>
      </c>
      <c r="O53" s="1386">
        <f t="shared" si="3"/>
        <v>2052</v>
      </c>
      <c r="P53" s="419"/>
    </row>
    <row r="54" spans="1:51">
      <c r="A54" s="242"/>
      <c r="B54" s="418"/>
      <c r="C54" s="2923"/>
      <c r="D54" s="2923" t="s">
        <v>1376</v>
      </c>
      <c r="E54" s="2923"/>
      <c r="F54" s="2924">
        <f>(F59)</f>
        <v>69.837354022093393</v>
      </c>
      <c r="G54" s="2924">
        <f>(G59)</f>
        <v>69.837354022093393</v>
      </c>
      <c r="H54" s="2924">
        <f>(L59)</f>
        <v>120.3544391751762</v>
      </c>
      <c r="I54" s="2924">
        <f>(Q59)</f>
        <v>207.41322794945415</v>
      </c>
      <c r="J54" s="2924">
        <f>(V59)</f>
        <v>311.87828783763712</v>
      </c>
      <c r="K54" s="2924">
        <f>(AA59)</f>
        <v>468.95787402836191</v>
      </c>
      <c r="L54" s="1393">
        <f>(AF59)</f>
        <v>620.20564173836283</v>
      </c>
      <c r="M54" s="1393">
        <f>(AK59)</f>
        <v>820.23366990279192</v>
      </c>
      <c r="N54" s="1393">
        <f>(AP59)</f>
        <v>872.7960099463005</v>
      </c>
      <c r="O54" s="1393">
        <f>(AU59)</f>
        <v>928.72665793939223</v>
      </c>
      <c r="P54" s="419"/>
    </row>
    <row r="55" spans="1:51">
      <c r="B55" s="418"/>
      <c r="C55" s="692"/>
      <c r="D55" s="692"/>
      <c r="E55" s="692"/>
      <c r="F55" s="692"/>
      <c r="G55" s="692"/>
      <c r="H55" s="692"/>
      <c r="I55" s="692"/>
      <c r="J55" s="692"/>
      <c r="K55" s="692"/>
      <c r="L55" s="415"/>
      <c r="M55" s="415"/>
      <c r="N55" s="415"/>
      <c r="O55" s="415"/>
      <c r="P55" s="419"/>
    </row>
    <row r="56" spans="1:51">
      <c r="B56" s="418"/>
      <c r="C56" s="1884" t="s">
        <v>1377</v>
      </c>
      <c r="D56" s="692"/>
      <c r="E56" s="692"/>
      <c r="F56" s="692"/>
      <c r="G56" s="692"/>
      <c r="H56" s="692"/>
      <c r="I56" s="692"/>
      <c r="J56" s="692"/>
      <c r="K56" s="692"/>
      <c r="L56" s="415"/>
      <c r="M56" s="415"/>
      <c r="N56" s="415"/>
      <c r="O56" s="415"/>
      <c r="P56" s="415"/>
    </row>
    <row r="57" spans="1:51">
      <c r="B57" s="418"/>
      <c r="C57" s="692"/>
      <c r="D57" s="692" t="s">
        <v>2239</v>
      </c>
      <c r="E57" s="692"/>
      <c r="F57" s="692"/>
      <c r="G57" s="692"/>
      <c r="H57" s="978">
        <f>IF(H58&lt;=2022,$C48,0)</f>
        <v>0.115</v>
      </c>
      <c r="I57" s="978">
        <f t="shared" ref="I57:Q57" si="4">IF(I58&lt;=2022,$C48,0)</f>
        <v>0.115</v>
      </c>
      <c r="J57" s="978">
        <f t="shared" si="4"/>
        <v>0.115</v>
      </c>
      <c r="K57" s="978">
        <f t="shared" si="4"/>
        <v>0.115</v>
      </c>
      <c r="L57" s="978">
        <f t="shared" si="4"/>
        <v>0.115</v>
      </c>
      <c r="M57" s="978">
        <f t="shared" si="4"/>
        <v>0.115</v>
      </c>
      <c r="N57" s="978">
        <f t="shared" si="4"/>
        <v>0.115</v>
      </c>
      <c r="O57" s="978">
        <f t="shared" si="4"/>
        <v>0.115</v>
      </c>
      <c r="P57" s="978">
        <f t="shared" si="4"/>
        <v>0.115</v>
      </c>
      <c r="Q57" s="978">
        <f t="shared" si="4"/>
        <v>0.115</v>
      </c>
      <c r="R57" s="978">
        <f>IF(R58&lt;=2032,$D48,0)</f>
        <v>8.5000000000000006E-2</v>
      </c>
      <c r="S57" s="978">
        <f t="shared" ref="S57:AA57" si="5">IF(S58&lt;=2032,$D48,0)</f>
        <v>8.5000000000000006E-2</v>
      </c>
      <c r="T57" s="978">
        <f t="shared" si="5"/>
        <v>8.5000000000000006E-2</v>
      </c>
      <c r="U57" s="978">
        <f t="shared" si="5"/>
        <v>8.5000000000000006E-2</v>
      </c>
      <c r="V57" s="978">
        <f t="shared" si="5"/>
        <v>8.5000000000000006E-2</v>
      </c>
      <c r="W57" s="978">
        <f t="shared" si="5"/>
        <v>8.5000000000000006E-2</v>
      </c>
      <c r="X57" s="978">
        <f t="shared" si="5"/>
        <v>8.5000000000000006E-2</v>
      </c>
      <c r="Y57" s="978">
        <f t="shared" si="5"/>
        <v>8.5000000000000006E-2</v>
      </c>
      <c r="Z57" s="978">
        <f t="shared" si="5"/>
        <v>8.5000000000000006E-2</v>
      </c>
      <c r="AA57" s="978">
        <f t="shared" si="5"/>
        <v>8.5000000000000006E-2</v>
      </c>
      <c r="AB57" s="978">
        <f>IF(AB58&lt;=2042,$E48,0)</f>
        <v>5.7500000000000002E-2</v>
      </c>
      <c r="AC57" s="978">
        <f t="shared" ref="AC57:AK57" si="6">IF(AC58&lt;=2042,$E48,0)</f>
        <v>5.7500000000000002E-2</v>
      </c>
      <c r="AD57" s="978">
        <f t="shared" si="6"/>
        <v>5.7500000000000002E-2</v>
      </c>
      <c r="AE57" s="978">
        <f t="shared" si="6"/>
        <v>5.7500000000000002E-2</v>
      </c>
      <c r="AF57" s="978">
        <f t="shared" si="6"/>
        <v>5.7500000000000002E-2</v>
      </c>
      <c r="AG57" s="978">
        <f t="shared" si="6"/>
        <v>5.7500000000000002E-2</v>
      </c>
      <c r="AH57" s="978">
        <f t="shared" si="6"/>
        <v>5.7500000000000002E-2</v>
      </c>
      <c r="AI57" s="978">
        <f t="shared" si="6"/>
        <v>5.7500000000000002E-2</v>
      </c>
      <c r="AJ57" s="978">
        <f t="shared" si="6"/>
        <v>5.7500000000000002E-2</v>
      </c>
      <c r="AK57" s="978">
        <f t="shared" si="6"/>
        <v>5.7500000000000002E-2</v>
      </c>
      <c r="AL57" s="978">
        <f>IF(AL58&lt;=2052,$F48,0)</f>
        <v>1.2500000000000001E-2</v>
      </c>
      <c r="AM57" s="978">
        <f t="shared" ref="AM57:AU57" si="7">IF(AM58&lt;=2052,$F48,0)</f>
        <v>1.2500000000000001E-2</v>
      </c>
      <c r="AN57" s="978">
        <f t="shared" si="7"/>
        <v>1.2500000000000001E-2</v>
      </c>
      <c r="AO57" s="978">
        <f t="shared" si="7"/>
        <v>1.2500000000000001E-2</v>
      </c>
      <c r="AP57" s="978">
        <f t="shared" si="7"/>
        <v>1.2500000000000001E-2</v>
      </c>
      <c r="AQ57" s="978">
        <f t="shared" si="7"/>
        <v>1.2500000000000001E-2</v>
      </c>
      <c r="AR57" s="978">
        <f t="shared" si="7"/>
        <v>1.2500000000000001E-2</v>
      </c>
      <c r="AS57" s="978">
        <f t="shared" si="7"/>
        <v>1.2500000000000001E-2</v>
      </c>
      <c r="AT57" s="978">
        <f t="shared" si="7"/>
        <v>1.2500000000000001E-2</v>
      </c>
      <c r="AU57" s="978">
        <f t="shared" si="7"/>
        <v>1.2500000000000001E-2</v>
      </c>
    </row>
    <row r="58" spans="1:51">
      <c r="B58" s="418"/>
      <c r="C58" s="2920"/>
      <c r="D58" s="2922" t="s">
        <v>109</v>
      </c>
      <c r="E58" s="2920"/>
      <c r="F58" s="2922">
        <v>2007</v>
      </c>
      <c r="G58" s="2922">
        <v>2012</v>
      </c>
      <c r="H58" s="2922">
        <v>2013</v>
      </c>
      <c r="I58" s="2922">
        <v>2014</v>
      </c>
      <c r="J58" s="2922">
        <v>2015</v>
      </c>
      <c r="K58" s="2922">
        <v>2016</v>
      </c>
      <c r="L58" s="1386">
        <v>2017</v>
      </c>
      <c r="M58" s="1386">
        <v>2018</v>
      </c>
      <c r="N58" s="1386">
        <v>2019</v>
      </c>
      <c r="O58" s="1386">
        <v>2020</v>
      </c>
      <c r="P58" s="1386">
        <v>2021</v>
      </c>
      <c r="Q58" s="1386">
        <v>2022</v>
      </c>
      <c r="R58" s="1386">
        <v>2023</v>
      </c>
      <c r="S58" s="1386">
        <v>2024</v>
      </c>
      <c r="T58" s="1386">
        <v>2025</v>
      </c>
      <c r="U58" s="1386">
        <v>2026</v>
      </c>
      <c r="V58" s="1386">
        <v>2027</v>
      </c>
      <c r="W58" s="1386">
        <v>2028</v>
      </c>
      <c r="X58" s="1386">
        <v>2029</v>
      </c>
      <c r="Y58" s="1386">
        <v>2030</v>
      </c>
      <c r="Z58" s="1386">
        <v>2031</v>
      </c>
      <c r="AA58" s="1386">
        <v>2032</v>
      </c>
      <c r="AB58" s="1386">
        <v>2033</v>
      </c>
      <c r="AC58" s="1386">
        <v>2034</v>
      </c>
      <c r="AD58" s="1386">
        <v>2035</v>
      </c>
      <c r="AE58" s="1386">
        <v>2036</v>
      </c>
      <c r="AF58" s="1386">
        <v>2037</v>
      </c>
      <c r="AG58" s="1386">
        <v>2038</v>
      </c>
      <c r="AH58" s="1386">
        <v>2039</v>
      </c>
      <c r="AI58" s="1386">
        <v>2040</v>
      </c>
      <c r="AJ58" s="1386">
        <v>2041</v>
      </c>
      <c r="AK58" s="1386">
        <v>2042</v>
      </c>
      <c r="AL58" s="1386">
        <v>2043</v>
      </c>
      <c r="AM58" s="1386">
        <v>2044</v>
      </c>
      <c r="AN58" s="1386">
        <v>2045</v>
      </c>
      <c r="AO58" s="1386">
        <v>2046</v>
      </c>
      <c r="AP58" s="1386">
        <v>2047</v>
      </c>
      <c r="AQ58" s="1386">
        <v>2048</v>
      </c>
      <c r="AR58" s="1386">
        <v>2049</v>
      </c>
      <c r="AS58" s="1386">
        <v>2050</v>
      </c>
      <c r="AT58" s="1386">
        <v>2051</v>
      </c>
      <c r="AU58" s="1386">
        <v>2052</v>
      </c>
      <c r="AV58" s="1386"/>
      <c r="AW58" s="1386"/>
      <c r="AX58" s="1386"/>
      <c r="AY58" s="1386"/>
    </row>
    <row r="59" spans="1:51" s="1617" customFormat="1">
      <c r="B59" s="1646"/>
      <c r="C59" s="2924"/>
      <c r="D59" s="2924" t="s">
        <v>1376</v>
      </c>
      <c r="E59" s="2924"/>
      <c r="F59" s="2924">
        <f>69.8373540220934*(Unit.TWh)</f>
        <v>69.837354022093393</v>
      </c>
      <c r="G59" s="2924">
        <f>69.8373540220934*(Unit.TWh)</f>
        <v>69.837354022093393</v>
      </c>
      <c r="H59" s="2924">
        <f>G59*(1+H57)</f>
        <v>77.868649734634133</v>
      </c>
      <c r="I59" s="2924">
        <f t="shared" ref="I59:AU59" si="8">H59*(1+I57)</f>
        <v>86.823544454117055</v>
      </c>
      <c r="J59" s="2924">
        <f t="shared" si="8"/>
        <v>96.808252066340515</v>
      </c>
      <c r="K59" s="2924">
        <f t="shared" si="8"/>
        <v>107.94120105396968</v>
      </c>
      <c r="L59" s="2924">
        <f t="shared" si="8"/>
        <v>120.3544391751762</v>
      </c>
      <c r="M59" s="2924">
        <f t="shared" si="8"/>
        <v>134.19519968032145</v>
      </c>
      <c r="N59" s="2924">
        <f t="shared" si="8"/>
        <v>149.62764764355842</v>
      </c>
      <c r="O59" s="2924">
        <f t="shared" si="8"/>
        <v>166.83482712256765</v>
      </c>
      <c r="P59" s="2924">
        <f t="shared" si="8"/>
        <v>186.02083224166293</v>
      </c>
      <c r="Q59" s="2924">
        <f t="shared" si="8"/>
        <v>207.41322794945415</v>
      </c>
      <c r="R59" s="2924">
        <f t="shared" si="8"/>
        <v>225.04335232515774</v>
      </c>
      <c r="S59" s="2924">
        <f t="shared" si="8"/>
        <v>244.17203727279613</v>
      </c>
      <c r="T59" s="2924">
        <f t="shared" si="8"/>
        <v>264.92666044098377</v>
      </c>
      <c r="U59" s="2924">
        <f t="shared" si="8"/>
        <v>287.44542657846739</v>
      </c>
      <c r="V59" s="2924">
        <f t="shared" si="8"/>
        <v>311.87828783763712</v>
      </c>
      <c r="W59" s="2924">
        <f t="shared" si="8"/>
        <v>338.38794230383627</v>
      </c>
      <c r="X59" s="2924">
        <f t="shared" si="8"/>
        <v>367.15091739966232</v>
      </c>
      <c r="Y59" s="2924">
        <f t="shared" si="8"/>
        <v>398.35874537863361</v>
      </c>
      <c r="Z59" s="2924">
        <f t="shared" si="8"/>
        <v>432.21923873581744</v>
      </c>
      <c r="AA59" s="2924">
        <f t="shared" si="8"/>
        <v>468.95787402836191</v>
      </c>
      <c r="AB59" s="2924">
        <f t="shared" si="8"/>
        <v>495.92295178499279</v>
      </c>
      <c r="AC59" s="2924">
        <f t="shared" si="8"/>
        <v>524.4385215126299</v>
      </c>
      <c r="AD59" s="2924">
        <f t="shared" si="8"/>
        <v>554.59373649960617</v>
      </c>
      <c r="AE59" s="2924">
        <f t="shared" si="8"/>
        <v>586.48287634833355</v>
      </c>
      <c r="AF59" s="2924">
        <f t="shared" si="8"/>
        <v>620.20564173836283</v>
      </c>
      <c r="AG59" s="2924">
        <f t="shared" si="8"/>
        <v>655.86746613831872</v>
      </c>
      <c r="AH59" s="2924">
        <f t="shared" si="8"/>
        <v>693.57984544127214</v>
      </c>
      <c r="AI59" s="2924">
        <f t="shared" si="8"/>
        <v>733.46068655414535</v>
      </c>
      <c r="AJ59" s="2924">
        <f t="shared" si="8"/>
        <v>775.63467603100878</v>
      </c>
      <c r="AK59" s="2924">
        <f t="shared" si="8"/>
        <v>820.23366990279192</v>
      </c>
      <c r="AL59" s="2924">
        <f t="shared" si="8"/>
        <v>830.4865907765768</v>
      </c>
      <c r="AM59" s="2924">
        <f t="shared" si="8"/>
        <v>840.86767316128396</v>
      </c>
      <c r="AN59" s="2924">
        <f t="shared" si="8"/>
        <v>851.3785190758</v>
      </c>
      <c r="AO59" s="2924">
        <f t="shared" si="8"/>
        <v>862.02075056424746</v>
      </c>
      <c r="AP59" s="2924">
        <f t="shared" si="8"/>
        <v>872.7960099463005</v>
      </c>
      <c r="AQ59" s="2924">
        <f t="shared" si="8"/>
        <v>883.7059600706292</v>
      </c>
      <c r="AR59" s="2924">
        <f t="shared" si="8"/>
        <v>894.75228457151206</v>
      </c>
      <c r="AS59" s="2924">
        <f t="shared" si="8"/>
        <v>905.93668812865587</v>
      </c>
      <c r="AT59" s="2924">
        <f t="shared" si="8"/>
        <v>917.26089673026399</v>
      </c>
      <c r="AU59" s="2924">
        <f t="shared" si="8"/>
        <v>928.72665793939223</v>
      </c>
    </row>
    <row r="60" spans="1:51">
      <c r="B60" s="418"/>
      <c r="C60" s="415"/>
      <c r="D60" s="415"/>
      <c r="E60" s="415"/>
      <c r="F60" s="415"/>
      <c r="G60" s="415"/>
      <c r="H60" s="415"/>
      <c r="I60" s="415"/>
      <c r="J60" s="415"/>
      <c r="K60" s="415"/>
      <c r="L60" s="415"/>
      <c r="M60" s="415"/>
      <c r="N60" s="415"/>
      <c r="O60" s="415"/>
      <c r="P60" s="419"/>
    </row>
    <row r="61" spans="1:51">
      <c r="B61" s="418"/>
      <c r="C61" s="415"/>
      <c r="D61" s="415"/>
      <c r="E61" s="415"/>
      <c r="F61" s="415"/>
      <c r="G61" s="415"/>
      <c r="H61" s="415"/>
      <c r="I61" s="415"/>
      <c r="J61" s="415"/>
      <c r="K61" s="415"/>
      <c r="L61" s="415"/>
      <c r="M61" s="415"/>
      <c r="N61" s="415"/>
      <c r="O61" s="415"/>
      <c r="P61" s="419"/>
    </row>
    <row r="62" spans="1:51">
      <c r="B62" s="418"/>
      <c r="C62" s="416" t="s">
        <v>1378</v>
      </c>
      <c r="D62" s="415"/>
      <c r="E62" s="415"/>
      <c r="F62" s="415"/>
      <c r="G62" s="415"/>
      <c r="H62" s="415"/>
      <c r="I62" s="415"/>
      <c r="J62" s="415"/>
      <c r="K62" s="415"/>
      <c r="L62" s="415"/>
      <c r="M62" s="415"/>
      <c r="N62" s="415"/>
      <c r="O62" s="415"/>
      <c r="P62" s="419"/>
    </row>
    <row r="63" spans="1:51">
      <c r="B63" s="418"/>
      <c r="C63" s="415"/>
      <c r="D63" s="415"/>
      <c r="E63" s="415"/>
      <c r="F63" s="415"/>
      <c r="G63" s="415" t="str">
        <f>preferences.energyunits</f>
        <v>TWh</v>
      </c>
      <c r="H63" s="415"/>
      <c r="I63" s="415"/>
      <c r="J63" s="415"/>
      <c r="K63" s="415"/>
      <c r="L63" s="415"/>
      <c r="M63" s="415"/>
      <c r="N63" s="415"/>
      <c r="O63" s="415"/>
      <c r="P63" s="419"/>
    </row>
    <row r="64" spans="1:51">
      <c r="B64" s="418"/>
      <c r="C64" s="1384"/>
      <c r="D64" s="1384" t="s">
        <v>870</v>
      </c>
      <c r="E64" s="1384"/>
      <c r="F64" s="1384" t="s">
        <v>1379</v>
      </c>
      <c r="G64" s="1384" t="s">
        <v>1380</v>
      </c>
      <c r="H64" s="415"/>
      <c r="I64" s="415"/>
      <c r="J64" s="415"/>
      <c r="K64" s="415"/>
      <c r="L64" s="415"/>
      <c r="M64" s="415"/>
      <c r="N64" s="415"/>
      <c r="O64" s="415"/>
      <c r="P64" s="419"/>
    </row>
    <row r="65" spans="1:26">
      <c r="B65" s="418"/>
      <c r="C65" s="415"/>
      <c r="D65" s="415" t="s">
        <v>1381</v>
      </c>
      <c r="E65" s="415"/>
      <c r="F65" s="293">
        <v>0.55000000000000004</v>
      </c>
      <c r="G65" s="415">
        <f>(F65*$G$54)</f>
        <v>38.410544712151371</v>
      </c>
      <c r="H65" s="415"/>
      <c r="I65" s="415"/>
      <c r="J65" s="415"/>
      <c r="K65" s="415"/>
      <c r="L65" s="415"/>
      <c r="M65" s="415"/>
      <c r="N65" s="415"/>
      <c r="O65" s="415"/>
      <c r="P65" s="419"/>
    </row>
    <row r="66" spans="1:26">
      <c r="B66" s="418"/>
      <c r="C66" s="415"/>
      <c r="D66" s="415" t="s">
        <v>1341</v>
      </c>
      <c r="E66" s="415"/>
      <c r="F66" s="293">
        <v>0.25</v>
      </c>
      <c r="G66" s="415">
        <f>(F66*$G$54)</f>
        <v>17.459338505523348</v>
      </c>
      <c r="H66" s="415"/>
      <c r="I66" s="415"/>
      <c r="J66" s="415"/>
      <c r="K66" s="415"/>
      <c r="L66" s="415"/>
      <c r="M66" s="415"/>
      <c r="N66" s="415"/>
      <c r="O66" s="415"/>
      <c r="P66" s="419"/>
    </row>
    <row r="67" spans="1:26">
      <c r="B67" s="418"/>
      <c r="C67" s="228"/>
      <c r="D67" s="228" t="s">
        <v>1345</v>
      </c>
      <c r="E67" s="228"/>
      <c r="F67" s="1647">
        <v>0.2</v>
      </c>
      <c r="G67" s="228">
        <f>(F67*$G$54)</f>
        <v>13.96747080441868</v>
      </c>
      <c r="H67" s="415"/>
      <c r="I67" s="415"/>
      <c r="J67" s="415"/>
      <c r="K67" s="415"/>
      <c r="L67" s="415"/>
      <c r="M67" s="415"/>
      <c r="N67" s="415"/>
      <c r="O67" s="415"/>
      <c r="P67" s="419"/>
    </row>
    <row r="68" spans="1:26">
      <c r="B68" s="418"/>
      <c r="C68" s="415" t="s">
        <v>1382</v>
      </c>
      <c r="D68" s="415"/>
      <c r="E68" s="415"/>
      <c r="F68" s="415"/>
      <c r="G68" s="415"/>
      <c r="H68" s="415"/>
      <c r="I68" s="415"/>
      <c r="J68" s="415"/>
      <c r="K68" s="415"/>
      <c r="L68" s="415"/>
      <c r="M68" s="415"/>
      <c r="N68" s="415"/>
      <c r="O68" s="415"/>
      <c r="P68" s="419"/>
    </row>
    <row r="69" spans="1:26">
      <c r="B69" s="418"/>
      <c r="C69" s="415"/>
      <c r="D69" s="415"/>
      <c r="E69" s="415"/>
      <c r="F69" s="415">
        <f>Unit.W</f>
        <v>1.0000000000000001E-9</v>
      </c>
      <c r="G69" s="415"/>
      <c r="H69" s="415"/>
      <c r="I69" s="415"/>
      <c r="J69" s="415"/>
      <c r="K69" s="415"/>
      <c r="L69" s="415"/>
      <c r="M69" s="415"/>
      <c r="N69" s="415"/>
      <c r="O69" s="415"/>
      <c r="P69" s="419"/>
    </row>
    <row r="70" spans="1:26">
      <c r="B70" s="418"/>
      <c r="C70" s="416" t="s">
        <v>1383</v>
      </c>
      <c r="D70" s="415"/>
      <c r="E70" s="415"/>
      <c r="F70" s="415"/>
      <c r="G70" s="415"/>
      <c r="H70" s="415" t="s">
        <v>277</v>
      </c>
      <c r="I70" s="415"/>
      <c r="J70" s="415"/>
      <c r="K70" s="415" t="s">
        <v>277</v>
      </c>
      <c r="L70" s="415"/>
      <c r="M70" s="415"/>
      <c r="N70" s="415" t="s">
        <v>277</v>
      </c>
      <c r="O70" s="415"/>
      <c r="P70" s="419"/>
    </row>
    <row r="71" spans="1:26">
      <c r="B71" s="418"/>
      <c r="C71" s="1384"/>
      <c r="D71" s="1384" t="s">
        <v>1384</v>
      </c>
      <c r="E71" s="1384"/>
      <c r="F71" s="1382"/>
      <c r="G71" s="1382" t="s">
        <v>1341</v>
      </c>
      <c r="H71" s="595"/>
      <c r="I71" s="1384"/>
      <c r="J71" s="1384" t="s">
        <v>1381</v>
      </c>
      <c r="K71" s="1394"/>
      <c r="L71" s="1382"/>
      <c r="M71" s="1384" t="s">
        <v>1345</v>
      </c>
      <c r="N71" s="1384"/>
      <c r="O71" s="1384"/>
      <c r="P71" s="419"/>
    </row>
    <row r="72" spans="1:26">
      <c r="B72" s="418"/>
      <c r="C72" s="415"/>
      <c r="D72" s="415"/>
      <c r="E72" s="415"/>
      <c r="F72" s="1384" t="s">
        <v>1385</v>
      </c>
      <c r="G72" s="1384" t="s">
        <v>468</v>
      </c>
      <c r="H72" s="1394" t="s">
        <v>1386</v>
      </c>
      <c r="I72" s="1384" t="s">
        <v>1385</v>
      </c>
      <c r="J72" s="1384" t="s">
        <v>468</v>
      </c>
      <c r="K72" s="1394" t="s">
        <v>1386</v>
      </c>
      <c r="L72" s="1384" t="s">
        <v>1385</v>
      </c>
      <c r="M72" s="1384" t="s">
        <v>468</v>
      </c>
      <c r="N72" s="1384" t="s">
        <v>1386</v>
      </c>
      <c r="O72" s="415"/>
      <c r="P72" s="419"/>
    </row>
    <row r="73" spans="1:26">
      <c r="B73" s="418"/>
      <c r="C73" s="415"/>
      <c r="D73" s="415" t="s">
        <v>439</v>
      </c>
      <c r="E73" s="415"/>
      <c r="F73" s="415">
        <f>6*(Unit.W)</f>
        <v>6.0000000000000008E-9</v>
      </c>
      <c r="G73" s="415">
        <v>2400</v>
      </c>
      <c r="H73" s="1648">
        <f>($F$75-F73)/$F$75</f>
        <v>0.6</v>
      </c>
      <c r="I73" s="415">
        <f>1400*(Unit.W)</f>
        <v>1.4000000000000001E-6</v>
      </c>
      <c r="J73" s="415">
        <v>1200</v>
      </c>
      <c r="K73" s="1648">
        <f>($I$75-I73)/$I$75</f>
        <v>0.25133689839572187</v>
      </c>
      <c r="L73" s="692"/>
      <c r="M73" s="415"/>
      <c r="N73" s="1528">
        <f>AVERAGE(H73,K73)</f>
        <v>0.42566844919786095</v>
      </c>
      <c r="O73" s="415"/>
      <c r="P73" s="419"/>
    </row>
    <row r="74" spans="1:26">
      <c r="B74" s="418"/>
      <c r="C74" s="416"/>
      <c r="D74" s="415" t="s">
        <v>1333</v>
      </c>
      <c r="E74" s="1449"/>
      <c r="F74" s="104">
        <f>11*(Unit.W)</f>
        <v>1.1000000000000001E-8</v>
      </c>
      <c r="G74" s="415">
        <v>2400</v>
      </c>
      <c r="H74" s="1648">
        <f>($F$75-F74)/$F$75</f>
        <v>0.26666666666666672</v>
      </c>
      <c r="I74" s="415">
        <f>1570*(Unit.W)</f>
        <v>1.57E-6</v>
      </c>
      <c r="J74" s="415">
        <v>1200</v>
      </c>
      <c r="K74" s="1648">
        <f>($I$75-I74)/$I$75</f>
        <v>0.16042780748663105</v>
      </c>
      <c r="L74" s="415"/>
      <c r="M74" s="415"/>
      <c r="N74" s="1528">
        <f>AVERAGE(H74,K74)</f>
        <v>0.21354723707664888</v>
      </c>
      <c r="O74" s="104"/>
      <c r="P74" s="419"/>
    </row>
    <row r="75" spans="1:26" ht="14.25" customHeight="1">
      <c r="B75" s="418"/>
      <c r="C75" s="228"/>
      <c r="D75" s="228" t="s">
        <v>438</v>
      </c>
      <c r="E75" s="228"/>
      <c r="F75" s="228">
        <f>15*(Unit.W)</f>
        <v>1.5000000000000002E-8</v>
      </c>
      <c r="G75" s="228">
        <v>2400</v>
      </c>
      <c r="H75" s="1649">
        <f>($F$75-F75)/$F$75</f>
        <v>0</v>
      </c>
      <c r="I75" s="228">
        <f>1870*(Unit.W)</f>
        <v>1.8700000000000001E-6</v>
      </c>
      <c r="J75" s="228">
        <v>1200</v>
      </c>
      <c r="K75" s="1649">
        <f>($I$75-I75)/$I$75</f>
        <v>0</v>
      </c>
      <c r="L75" s="228"/>
      <c r="M75" s="228"/>
      <c r="N75" s="1615">
        <f>AVERAGE(H75,K75)</f>
        <v>0</v>
      </c>
      <c r="O75" s="228"/>
      <c r="P75" s="419"/>
    </row>
    <row r="76" spans="1:26" ht="18">
      <c r="B76" s="1650"/>
      <c r="C76" s="412"/>
      <c r="D76" s="412"/>
      <c r="E76" s="412"/>
      <c r="F76" s="227"/>
      <c r="G76" s="227"/>
      <c r="H76" s="227"/>
      <c r="I76" s="227"/>
      <c r="J76" s="227"/>
      <c r="K76" s="227"/>
      <c r="L76" s="227"/>
      <c r="M76" s="227"/>
      <c r="N76" s="227"/>
      <c r="O76" s="227"/>
      <c r="P76" s="419"/>
    </row>
    <row r="77" spans="1:26" s="410" customFormat="1" ht="10.5">
      <c r="X77" s="1389"/>
      <c r="Y77" s="1389"/>
      <c r="Z77" s="1389"/>
    </row>
    <row r="78" spans="1:26" ht="12" customHeight="1">
      <c r="S78" s="410"/>
    </row>
    <row r="79" spans="1:26">
      <c r="S79" s="410"/>
    </row>
    <row r="80" spans="1:26" ht="22.5" collapsed="1">
      <c r="A80" s="420"/>
      <c r="B80" s="421" t="s">
        <v>270</v>
      </c>
      <c r="C80" s="1603"/>
      <c r="D80" s="1603"/>
      <c r="E80" s="1603"/>
      <c r="F80" s="1603"/>
      <c r="G80" s="1603"/>
      <c r="H80" s="1603"/>
      <c r="I80" s="1603"/>
      <c r="J80" s="1603"/>
      <c r="K80" s="1603"/>
      <c r="L80" s="1603"/>
      <c r="M80" s="1603"/>
      <c r="N80" s="1603"/>
      <c r="O80" s="1603"/>
      <c r="P80" s="1604"/>
    </row>
    <row r="81" spans="2:18">
      <c r="B81" s="418"/>
      <c r="C81" s="415"/>
      <c r="D81" s="415"/>
      <c r="E81" s="415"/>
      <c r="F81" s="415"/>
      <c r="G81" s="415"/>
      <c r="H81" s="415"/>
      <c r="I81" s="415"/>
      <c r="J81" s="415"/>
      <c r="K81" s="415"/>
      <c r="L81" s="415"/>
      <c r="M81" s="415"/>
      <c r="N81" s="415"/>
      <c r="O81" s="415"/>
      <c r="P81" s="419"/>
    </row>
    <row r="82" spans="2:18">
      <c r="B82" s="418"/>
      <c r="C82" s="416" t="s">
        <v>1387</v>
      </c>
      <c r="D82" s="415"/>
      <c r="E82" s="415"/>
      <c r="F82" s="415"/>
      <c r="G82" s="415"/>
      <c r="H82" s="415"/>
      <c r="I82" s="415"/>
      <c r="J82" s="415"/>
      <c r="K82" s="415"/>
      <c r="L82" s="415"/>
      <c r="M82" s="415"/>
      <c r="N82" s="415"/>
      <c r="O82" s="415"/>
      <c r="P82" s="419"/>
    </row>
    <row r="83" spans="2:18" ht="6" customHeight="1">
      <c r="B83" s="418"/>
      <c r="C83" s="416"/>
      <c r="D83" s="415"/>
      <c r="E83" s="415"/>
      <c r="F83" s="415"/>
      <c r="G83" s="415"/>
      <c r="H83" s="415"/>
      <c r="I83" s="415"/>
      <c r="J83" s="415"/>
      <c r="K83" s="415"/>
      <c r="L83" s="415"/>
      <c r="M83" s="415"/>
      <c r="N83" s="415"/>
      <c r="O83" s="415"/>
      <c r="P83" s="419"/>
    </row>
    <row r="84" spans="2:18">
      <c r="B84" s="418"/>
      <c r="C84" s="61"/>
      <c r="D84" s="61" t="s">
        <v>870</v>
      </c>
      <c r="E84" s="1566" t="s">
        <v>156</v>
      </c>
      <c r="F84" s="1651" t="s">
        <v>1388</v>
      </c>
      <c r="G84" s="227"/>
      <c r="H84" s="227"/>
      <c r="I84" s="227"/>
      <c r="J84" s="227"/>
      <c r="K84" s="227"/>
      <c r="L84" s="227"/>
      <c r="M84" s="227"/>
      <c r="N84" s="227"/>
      <c r="O84" s="227"/>
      <c r="P84" s="419"/>
    </row>
    <row r="85" spans="2:18">
      <c r="B85" s="418"/>
      <c r="C85" s="412"/>
      <c r="D85" s="69" t="s">
        <v>438</v>
      </c>
      <c r="E85" s="412"/>
      <c r="F85" s="1652">
        <f>G22</f>
        <v>0.5</v>
      </c>
      <c r="G85" s="1653"/>
      <c r="H85" s="1653"/>
      <c r="I85" s="1653"/>
      <c r="J85" s="1653"/>
      <c r="K85" s="1653"/>
      <c r="L85" s="1653"/>
      <c r="M85" s="1653"/>
      <c r="N85" s="1653"/>
      <c r="O85" s="1653"/>
      <c r="P85" s="419"/>
    </row>
    <row r="86" spans="2:18">
      <c r="B86" s="418"/>
      <c r="C86" s="412"/>
      <c r="D86" s="69" t="s">
        <v>1333</v>
      </c>
      <c r="E86" s="412"/>
      <c r="F86" s="1652">
        <f>F22</f>
        <v>0.5</v>
      </c>
      <c r="G86" s="1653"/>
      <c r="H86" s="1653"/>
      <c r="I86" s="1653"/>
      <c r="J86" s="1653"/>
      <c r="K86" s="1653"/>
      <c r="L86" s="1653"/>
      <c r="M86" s="1653"/>
      <c r="N86" s="1653"/>
      <c r="O86" s="1653"/>
      <c r="P86" s="419"/>
    </row>
    <row r="87" spans="2:18">
      <c r="B87" s="418"/>
      <c r="C87" s="78"/>
      <c r="D87" s="79" t="s">
        <v>439</v>
      </c>
      <c r="E87" s="1654"/>
      <c r="F87" s="1655">
        <f>E22</f>
        <v>0</v>
      </c>
      <c r="G87" s="1550"/>
      <c r="H87" s="1550"/>
      <c r="I87" s="1550"/>
      <c r="J87" s="1550"/>
      <c r="K87" s="1550"/>
      <c r="L87" s="1550"/>
      <c r="M87" s="1550"/>
      <c r="N87" s="1550"/>
      <c r="O87" s="1550"/>
      <c r="P87" s="419"/>
    </row>
    <row r="88" spans="2:18">
      <c r="B88" s="418"/>
      <c r="C88" s="415"/>
      <c r="D88" s="415"/>
      <c r="E88" s="415"/>
      <c r="F88" s="1656"/>
      <c r="G88" s="415"/>
      <c r="H88" s="669"/>
      <c r="I88" s="669"/>
      <c r="J88" s="669"/>
      <c r="K88" s="669"/>
      <c r="L88" s="669"/>
      <c r="M88" s="669"/>
      <c r="N88" s="669"/>
      <c r="O88" s="669"/>
      <c r="P88" s="419"/>
      <c r="R88" s="1321"/>
    </row>
    <row r="89" spans="2:18">
      <c r="B89" s="418"/>
      <c r="C89" s="416" t="s">
        <v>1389</v>
      </c>
      <c r="D89" s="415"/>
      <c r="E89" s="415"/>
      <c r="F89" s="1657"/>
      <c r="G89" s="415"/>
      <c r="H89" s="415"/>
      <c r="I89" s="415"/>
      <c r="J89" s="415"/>
      <c r="K89" s="415"/>
      <c r="L89" s="415"/>
      <c r="M89" s="415"/>
      <c r="N89" s="415"/>
      <c r="O89" s="618"/>
      <c r="P89" s="419"/>
    </row>
    <row r="90" spans="2:18" ht="4.5" customHeight="1">
      <c r="B90" s="418"/>
      <c r="C90" s="415"/>
      <c r="D90" s="415"/>
      <c r="E90" s="415"/>
      <c r="F90" s="1656"/>
      <c r="G90" s="415"/>
      <c r="H90" s="415"/>
      <c r="I90" s="415"/>
      <c r="J90" s="415"/>
      <c r="K90" s="415"/>
      <c r="L90" s="415"/>
      <c r="M90" s="415"/>
      <c r="N90" s="415"/>
      <c r="O90" s="415"/>
      <c r="P90" s="419"/>
    </row>
    <row r="91" spans="2:18">
      <c r="B91" s="418"/>
      <c r="C91" s="61"/>
      <c r="D91" s="61" t="s">
        <v>870</v>
      </c>
      <c r="E91" s="1566" t="s">
        <v>156</v>
      </c>
      <c r="F91" s="1651" t="s">
        <v>1388</v>
      </c>
      <c r="G91" s="227"/>
      <c r="H91" s="227"/>
      <c r="I91" s="227"/>
      <c r="J91" s="227"/>
      <c r="K91" s="227"/>
      <c r="L91" s="227"/>
      <c r="M91" s="227"/>
      <c r="N91" s="227"/>
      <c r="O91" s="227"/>
      <c r="P91" s="419"/>
    </row>
    <row r="92" spans="2:18">
      <c r="B92" s="418"/>
      <c r="C92" s="412"/>
      <c r="D92" s="69" t="s">
        <v>438</v>
      </c>
      <c r="E92" s="412"/>
      <c r="F92" s="1652">
        <f>G19</f>
        <v>0.2</v>
      </c>
      <c r="G92" s="1653"/>
      <c r="H92" s="1653"/>
      <c r="I92" s="1653"/>
      <c r="J92" s="1653"/>
      <c r="K92" s="1653"/>
      <c r="L92" s="1653"/>
      <c r="M92" s="1653"/>
      <c r="N92" s="1653"/>
      <c r="O92" s="1653"/>
      <c r="P92" s="419"/>
    </row>
    <row r="93" spans="2:18">
      <c r="B93" s="418"/>
      <c r="C93" s="412"/>
      <c r="D93" s="69" t="s">
        <v>1333</v>
      </c>
      <c r="E93" s="412"/>
      <c r="F93" s="1652">
        <f>F19</f>
        <v>0.5</v>
      </c>
      <c r="G93" s="1653"/>
      <c r="H93" s="1653"/>
      <c r="I93" s="1653"/>
      <c r="J93" s="1653"/>
      <c r="K93" s="1653"/>
      <c r="L93" s="1653"/>
      <c r="M93" s="1653"/>
      <c r="N93" s="1653"/>
      <c r="O93" s="1653"/>
      <c r="P93" s="419"/>
    </row>
    <row r="94" spans="2:18">
      <c r="B94" s="418"/>
      <c r="C94" s="78"/>
      <c r="D94" s="79" t="s">
        <v>439</v>
      </c>
      <c r="E94" s="1654"/>
      <c r="F94" s="1655">
        <f>E19</f>
        <v>0.3</v>
      </c>
      <c r="G94" s="1550"/>
      <c r="H94" s="1550"/>
      <c r="I94" s="1550"/>
      <c r="J94" s="1550"/>
      <c r="K94" s="1550"/>
      <c r="L94" s="1550"/>
      <c r="M94" s="1550"/>
      <c r="N94" s="1550"/>
      <c r="O94" s="1550"/>
      <c r="P94" s="419"/>
    </row>
    <row r="95" spans="2:18" ht="15.75">
      <c r="B95" s="152" t="s">
        <v>195</v>
      </c>
      <c r="C95" s="106" t="s">
        <v>1353</v>
      </c>
      <c r="D95" s="414"/>
      <c r="E95" s="1610"/>
      <c r="F95" s="98"/>
      <c r="G95" s="618"/>
      <c r="H95" s="415"/>
      <c r="I95" s="415"/>
      <c r="J95" s="415"/>
      <c r="K95" s="415"/>
      <c r="L95" s="415"/>
      <c r="M95" s="415"/>
      <c r="N95" s="415"/>
      <c r="O95" s="104" t="s">
        <v>277</v>
      </c>
      <c r="P95" s="419"/>
    </row>
    <row r="96" spans="2:18" ht="3.75" customHeight="1">
      <c r="B96" s="152"/>
      <c r="C96" s="413"/>
      <c r="D96" s="414"/>
      <c r="E96" s="414"/>
      <c r="F96" s="98"/>
      <c r="G96" s="618"/>
      <c r="H96" s="415"/>
      <c r="I96" s="415"/>
      <c r="J96" s="415"/>
      <c r="K96" s="415"/>
      <c r="L96" s="415"/>
      <c r="M96" s="415"/>
      <c r="N96" s="415"/>
      <c r="O96" s="415"/>
      <c r="P96" s="419"/>
    </row>
    <row r="97" spans="1:47" ht="15.75" customHeight="1">
      <c r="B97" s="152"/>
      <c r="C97" s="61"/>
      <c r="D97" s="61" t="s">
        <v>65</v>
      </c>
      <c r="E97" s="61" t="s">
        <v>156</v>
      </c>
      <c r="F97" s="119">
        <v>2007</v>
      </c>
      <c r="G97" s="120">
        <f>F97+5</f>
        <v>2012</v>
      </c>
      <c r="H97" s="120">
        <f t="shared" ref="H97:O97" si="9">G97+5</f>
        <v>2017</v>
      </c>
      <c r="I97" s="120">
        <f t="shared" si="9"/>
        <v>2022</v>
      </c>
      <c r="J97" s="120">
        <f t="shared" si="9"/>
        <v>2027</v>
      </c>
      <c r="K97" s="120">
        <f t="shared" si="9"/>
        <v>2032</v>
      </c>
      <c r="L97" s="120">
        <f t="shared" si="9"/>
        <v>2037</v>
      </c>
      <c r="M97" s="120">
        <f t="shared" si="9"/>
        <v>2042</v>
      </c>
      <c r="N97" s="120">
        <f t="shared" si="9"/>
        <v>2047</v>
      </c>
      <c r="O97" s="120">
        <f t="shared" si="9"/>
        <v>2052</v>
      </c>
      <c r="P97" s="419"/>
    </row>
    <row r="98" spans="1:47" ht="15.75">
      <c r="B98" s="152"/>
      <c r="C98" s="781" t="s">
        <v>1281</v>
      </c>
      <c r="D98" s="96" t="s">
        <v>1354</v>
      </c>
      <c r="E98" s="96"/>
      <c r="F98" s="1611">
        <f ca="1">INDEX(INDIRECT($B95&amp;".outputs["&amp;F$97&amp;"]"),MATCH($C$98,INDIRECT($B95&amp;".outputs[Vector]"),0))</f>
        <v>2.6894420109200369E-4</v>
      </c>
      <c r="G98" s="1611">
        <f t="shared" ref="G98:O98" ca="1" si="10">INDEX(INDIRECT($B95&amp;".outputs["&amp;G$97&amp;"]"),MATCH($C$98,INDIRECT($B95&amp;".outputs[Vector]"),0))</f>
        <v>2.697097401791752E-4</v>
      </c>
      <c r="H98" s="1611">
        <f t="shared" ca="1" si="10"/>
        <v>2.9052459208514433E-4</v>
      </c>
      <c r="I98" s="1611">
        <f t="shared" ca="1" si="10"/>
        <v>3.1862959737653226E-4</v>
      </c>
      <c r="J98" s="1611">
        <f t="shared" ca="1" si="10"/>
        <v>3.4951112536671348E-4</v>
      </c>
      <c r="K98" s="1611">
        <f t="shared" ca="1" si="10"/>
        <v>3.9034789765937325E-4</v>
      </c>
      <c r="L98" s="1611">
        <f t="shared" ca="1" si="10"/>
        <v>3.9177924292343433E-4</v>
      </c>
      <c r="M98" s="1611">
        <f t="shared" ca="1" si="10"/>
        <v>3.9327654930063251E-4</v>
      </c>
      <c r="N98" s="1611">
        <f t="shared" ca="1" si="10"/>
        <v>3.9483775365680855E-4</v>
      </c>
      <c r="O98" s="1611">
        <f t="shared" ca="1" si="10"/>
        <v>3.9646005403767793E-4</v>
      </c>
      <c r="P98" s="419"/>
    </row>
    <row r="99" spans="1:47" ht="15.75">
      <c r="B99" s="316"/>
      <c r="C99" s="413"/>
      <c r="D99" s="414"/>
      <c r="E99" s="414"/>
      <c r="F99" s="1525"/>
      <c r="G99" s="1525"/>
      <c r="H99" s="1525"/>
      <c r="I99" s="1525"/>
      <c r="J99" s="1525"/>
      <c r="K99" s="1525"/>
      <c r="L99" s="1525"/>
      <c r="M99" s="1525"/>
      <c r="N99" s="1525"/>
      <c r="O99" s="1525"/>
      <c r="P99" s="415"/>
    </row>
    <row r="100" spans="1:47" ht="15.75">
      <c r="B100" s="316"/>
      <c r="C100" s="106" t="s">
        <v>1659</v>
      </c>
      <c r="D100" s="414"/>
      <c r="E100" s="414"/>
      <c r="F100" s="1525"/>
      <c r="G100" s="1525"/>
      <c r="H100" s="1525"/>
      <c r="I100" s="1525"/>
      <c r="J100" s="1525"/>
      <c r="K100" s="1525"/>
      <c r="L100" s="1525"/>
      <c r="M100" s="1525"/>
      <c r="N100" s="1525"/>
      <c r="O100" s="1525"/>
      <c r="P100" s="415"/>
    </row>
    <row r="101" spans="1:47" ht="15.75">
      <c r="B101" s="316"/>
      <c r="C101" s="1432"/>
      <c r="D101" s="1956"/>
      <c r="E101" s="1956"/>
      <c r="F101" s="1987">
        <v>2007</v>
      </c>
      <c r="G101" s="1987">
        <v>2012</v>
      </c>
      <c r="H101" s="1988">
        <v>2013</v>
      </c>
      <c r="I101" s="1988">
        <v>2014</v>
      </c>
      <c r="J101" s="1987">
        <v>2015</v>
      </c>
      <c r="K101" s="1988">
        <v>2016</v>
      </c>
      <c r="L101" s="1988">
        <v>2017</v>
      </c>
      <c r="M101" s="1987">
        <v>2018</v>
      </c>
      <c r="N101" s="1988">
        <v>2019</v>
      </c>
      <c r="O101" s="1988">
        <v>2020</v>
      </c>
      <c r="P101" s="1987">
        <v>2021</v>
      </c>
      <c r="Q101" s="1988">
        <v>2022</v>
      </c>
      <c r="R101" s="1988">
        <v>2023</v>
      </c>
      <c r="S101" s="1987">
        <v>2024</v>
      </c>
      <c r="T101" s="1988">
        <v>2025</v>
      </c>
      <c r="U101" s="1988">
        <v>2026</v>
      </c>
      <c r="V101" s="1987">
        <v>2027</v>
      </c>
      <c r="W101" s="1988">
        <v>2028</v>
      </c>
      <c r="X101" s="1988">
        <v>2029</v>
      </c>
      <c r="Y101" s="1987">
        <v>2030</v>
      </c>
      <c r="Z101" s="1988">
        <v>2031</v>
      </c>
      <c r="AA101" s="1988">
        <v>2032</v>
      </c>
      <c r="AB101" s="1987">
        <v>2033</v>
      </c>
      <c r="AC101" s="1988">
        <v>2034</v>
      </c>
      <c r="AD101" s="1988">
        <v>2035</v>
      </c>
      <c r="AE101" s="1987">
        <v>2036</v>
      </c>
      <c r="AF101" s="1988">
        <v>2037</v>
      </c>
      <c r="AG101" s="1988">
        <v>2038</v>
      </c>
      <c r="AH101" s="1987">
        <v>2039</v>
      </c>
      <c r="AI101" s="1988">
        <v>2040</v>
      </c>
      <c r="AJ101" s="1988">
        <v>2041</v>
      </c>
      <c r="AK101" s="1987">
        <v>2042</v>
      </c>
      <c r="AL101" s="1988">
        <v>2043</v>
      </c>
      <c r="AM101" s="1988">
        <v>2044</v>
      </c>
      <c r="AN101" s="1987">
        <v>2045</v>
      </c>
      <c r="AO101" s="1988">
        <v>2046</v>
      </c>
      <c r="AP101" s="1988">
        <v>2047</v>
      </c>
      <c r="AQ101" s="1987">
        <v>2048</v>
      </c>
      <c r="AR101" s="1988">
        <v>2049</v>
      </c>
      <c r="AS101" s="1988">
        <v>2050</v>
      </c>
      <c r="AT101" s="1987">
        <v>2051</v>
      </c>
      <c r="AU101" s="1988">
        <v>2052</v>
      </c>
    </row>
    <row r="102" spans="1:47" ht="15.75">
      <c r="B102" s="316"/>
      <c r="C102" s="413" t="s">
        <v>438</v>
      </c>
      <c r="D102" s="414"/>
      <c r="E102" s="414"/>
      <c r="F102" s="1525">
        <f>E30</f>
        <v>0.5</v>
      </c>
      <c r="G102" s="1525">
        <f t="shared" ref="G102:AU102" si="11">F30</f>
        <v>0.5</v>
      </c>
      <c r="H102" s="1525">
        <f t="shared" si="11"/>
        <v>0.5</v>
      </c>
      <c r="I102" s="1525">
        <f t="shared" si="11"/>
        <v>0.5</v>
      </c>
      <c r="J102" s="1525">
        <f t="shared" si="11"/>
        <v>0.5</v>
      </c>
      <c r="K102" s="1525">
        <f t="shared" si="11"/>
        <v>0.5</v>
      </c>
      <c r="L102" s="1525">
        <f t="shared" si="11"/>
        <v>0.5</v>
      </c>
      <c r="M102" s="1525">
        <f t="shared" si="11"/>
        <v>0.5</v>
      </c>
      <c r="N102" s="1525">
        <f t="shared" si="11"/>
        <v>0.5</v>
      </c>
      <c r="O102" s="1525">
        <f t="shared" si="11"/>
        <v>0.5</v>
      </c>
      <c r="P102" s="1525">
        <f t="shared" si="11"/>
        <v>0.5</v>
      </c>
      <c r="Q102" s="1525">
        <f t="shared" si="11"/>
        <v>0.5</v>
      </c>
      <c r="R102" s="1525">
        <f t="shared" si="11"/>
        <v>0.5</v>
      </c>
      <c r="S102" s="1525">
        <f t="shared" si="11"/>
        <v>0.5</v>
      </c>
      <c r="T102" s="1525">
        <f t="shared" si="11"/>
        <v>0.5</v>
      </c>
      <c r="U102" s="1525">
        <f t="shared" si="11"/>
        <v>0.5</v>
      </c>
      <c r="V102" s="1525">
        <f t="shared" si="11"/>
        <v>0.5</v>
      </c>
      <c r="W102" s="1525">
        <f t="shared" si="11"/>
        <v>0.5</v>
      </c>
      <c r="X102" s="1525">
        <f t="shared" si="11"/>
        <v>0.5</v>
      </c>
      <c r="Y102" s="1525">
        <f t="shared" si="11"/>
        <v>0.5</v>
      </c>
      <c r="Z102" s="1525">
        <f t="shared" si="11"/>
        <v>0.5</v>
      </c>
      <c r="AA102" s="1525">
        <f t="shared" si="11"/>
        <v>0.5</v>
      </c>
      <c r="AB102" s="1525">
        <f t="shared" si="11"/>
        <v>0.5</v>
      </c>
      <c r="AC102" s="1525">
        <f t="shared" si="11"/>
        <v>0.5</v>
      </c>
      <c r="AD102" s="1525">
        <f t="shared" si="11"/>
        <v>0.5</v>
      </c>
      <c r="AE102" s="1525">
        <f t="shared" si="11"/>
        <v>0.5</v>
      </c>
      <c r="AF102" s="1525">
        <f t="shared" si="11"/>
        <v>0.5</v>
      </c>
      <c r="AG102" s="1525">
        <f t="shared" si="11"/>
        <v>0.5</v>
      </c>
      <c r="AH102" s="1525">
        <f t="shared" si="11"/>
        <v>0.5</v>
      </c>
      <c r="AI102" s="1525">
        <f t="shared" si="11"/>
        <v>0.5</v>
      </c>
      <c r="AJ102" s="1525">
        <f t="shared" si="11"/>
        <v>0.5</v>
      </c>
      <c r="AK102" s="1525">
        <f t="shared" si="11"/>
        <v>0.5</v>
      </c>
      <c r="AL102" s="1525">
        <f t="shared" si="11"/>
        <v>0.5</v>
      </c>
      <c r="AM102" s="1525">
        <f t="shared" si="11"/>
        <v>0.5</v>
      </c>
      <c r="AN102" s="1525">
        <f t="shared" si="11"/>
        <v>0.5</v>
      </c>
      <c r="AO102" s="1525">
        <f t="shared" si="11"/>
        <v>0.5</v>
      </c>
      <c r="AP102" s="1525">
        <f t="shared" si="11"/>
        <v>0.5</v>
      </c>
      <c r="AQ102" s="1525">
        <f t="shared" si="11"/>
        <v>0.5</v>
      </c>
      <c r="AR102" s="1525">
        <f t="shared" si="11"/>
        <v>0.5</v>
      </c>
      <c r="AS102" s="1525">
        <f t="shared" si="11"/>
        <v>0.5</v>
      </c>
      <c r="AT102" s="1525">
        <f t="shared" si="11"/>
        <v>0.5</v>
      </c>
      <c r="AU102" s="1525">
        <f t="shared" si="11"/>
        <v>0.5</v>
      </c>
    </row>
    <row r="103" spans="1:47" ht="15.75">
      <c r="B103" s="316"/>
      <c r="C103" s="413" t="s">
        <v>1333</v>
      </c>
      <c r="D103" s="414"/>
      <c r="E103" s="414"/>
      <c r="F103" s="1525">
        <f>E35</f>
        <v>0.5</v>
      </c>
      <c r="G103" s="1525">
        <f t="shared" ref="G103:AU103" si="12">F35</f>
        <v>0.5</v>
      </c>
      <c r="H103" s="1525">
        <f t="shared" si="12"/>
        <v>0.5</v>
      </c>
      <c r="I103" s="1525">
        <f t="shared" si="12"/>
        <v>0.5</v>
      </c>
      <c r="J103" s="1525">
        <f t="shared" si="12"/>
        <v>0.5</v>
      </c>
      <c r="K103" s="1525">
        <f t="shared" si="12"/>
        <v>0.5</v>
      </c>
      <c r="L103" s="1525">
        <f t="shared" si="12"/>
        <v>0.5</v>
      </c>
      <c r="M103" s="1525">
        <f t="shared" si="12"/>
        <v>0.5</v>
      </c>
      <c r="N103" s="1525">
        <f t="shared" si="12"/>
        <v>0.5</v>
      </c>
      <c r="O103" s="1525">
        <f t="shared" si="12"/>
        <v>0.5</v>
      </c>
      <c r="P103" s="1525">
        <f t="shared" si="12"/>
        <v>0.5</v>
      </c>
      <c r="Q103" s="1525">
        <f t="shared" si="12"/>
        <v>0.5</v>
      </c>
      <c r="R103" s="1525">
        <f t="shared" si="12"/>
        <v>0.5</v>
      </c>
      <c r="S103" s="1525">
        <f t="shared" si="12"/>
        <v>0.5</v>
      </c>
      <c r="T103" s="1525">
        <f t="shared" si="12"/>
        <v>0.5</v>
      </c>
      <c r="U103" s="1525">
        <f t="shared" si="12"/>
        <v>0.5</v>
      </c>
      <c r="V103" s="1525">
        <f t="shared" si="12"/>
        <v>0.5</v>
      </c>
      <c r="W103" s="1525">
        <f t="shared" si="12"/>
        <v>0.5</v>
      </c>
      <c r="X103" s="1525">
        <f t="shared" si="12"/>
        <v>0.5</v>
      </c>
      <c r="Y103" s="1525">
        <f t="shared" si="12"/>
        <v>0.5</v>
      </c>
      <c r="Z103" s="1525">
        <f t="shared" si="12"/>
        <v>0.5</v>
      </c>
      <c r="AA103" s="1525">
        <f t="shared" si="12"/>
        <v>0.5</v>
      </c>
      <c r="AB103" s="1525">
        <f t="shared" si="12"/>
        <v>0.5</v>
      </c>
      <c r="AC103" s="1525">
        <f t="shared" si="12"/>
        <v>0.5</v>
      </c>
      <c r="AD103" s="1525">
        <f t="shared" si="12"/>
        <v>0.5</v>
      </c>
      <c r="AE103" s="1525">
        <f t="shared" si="12"/>
        <v>0.5</v>
      </c>
      <c r="AF103" s="1525">
        <f t="shared" si="12"/>
        <v>0.5</v>
      </c>
      <c r="AG103" s="1525">
        <f t="shared" si="12"/>
        <v>0.5</v>
      </c>
      <c r="AH103" s="1525">
        <f t="shared" si="12"/>
        <v>0.5</v>
      </c>
      <c r="AI103" s="1525">
        <f t="shared" si="12"/>
        <v>0.5</v>
      </c>
      <c r="AJ103" s="1525">
        <f t="shared" si="12"/>
        <v>0.5</v>
      </c>
      <c r="AK103" s="1525">
        <f t="shared" si="12"/>
        <v>0.5</v>
      </c>
      <c r="AL103" s="1525">
        <f t="shared" si="12"/>
        <v>0.5</v>
      </c>
      <c r="AM103" s="1525">
        <f t="shared" si="12"/>
        <v>0.5</v>
      </c>
      <c r="AN103" s="1525">
        <f t="shared" si="12"/>
        <v>0.5</v>
      </c>
      <c r="AO103" s="1525">
        <f t="shared" si="12"/>
        <v>0.5</v>
      </c>
      <c r="AP103" s="1525">
        <f t="shared" si="12"/>
        <v>0.5</v>
      </c>
      <c r="AQ103" s="1525">
        <f t="shared" si="12"/>
        <v>0.5</v>
      </c>
      <c r="AR103" s="1525">
        <f t="shared" si="12"/>
        <v>0.5</v>
      </c>
      <c r="AS103" s="1525">
        <f t="shared" si="12"/>
        <v>0.5</v>
      </c>
      <c r="AT103" s="1525">
        <f t="shared" si="12"/>
        <v>0.5</v>
      </c>
      <c r="AU103" s="1525">
        <f t="shared" si="12"/>
        <v>0.5</v>
      </c>
    </row>
    <row r="104" spans="1:47" ht="15.75">
      <c r="B104" s="316"/>
      <c r="C104" s="111" t="s">
        <v>439</v>
      </c>
      <c r="D104" s="112"/>
      <c r="E104" s="112"/>
      <c r="F104" s="1612">
        <f>E40</f>
        <v>0</v>
      </c>
      <c r="G104" s="1612">
        <f t="shared" ref="G104:AU104" si="13">F40</f>
        <v>0</v>
      </c>
      <c r="H104" s="1612">
        <f t="shared" si="13"/>
        <v>0</v>
      </c>
      <c r="I104" s="1612">
        <f t="shared" si="13"/>
        <v>0</v>
      </c>
      <c r="J104" s="1612">
        <f t="shared" si="13"/>
        <v>0</v>
      </c>
      <c r="K104" s="1612">
        <f t="shared" si="13"/>
        <v>0</v>
      </c>
      <c r="L104" s="1612">
        <f t="shared" si="13"/>
        <v>0</v>
      </c>
      <c r="M104" s="1612">
        <f t="shared" si="13"/>
        <v>0</v>
      </c>
      <c r="N104" s="1612">
        <f t="shared" si="13"/>
        <v>0</v>
      </c>
      <c r="O104" s="1612">
        <f t="shared" si="13"/>
        <v>0</v>
      </c>
      <c r="P104" s="1612">
        <f t="shared" si="13"/>
        <v>0</v>
      </c>
      <c r="Q104" s="1612">
        <f t="shared" si="13"/>
        <v>0</v>
      </c>
      <c r="R104" s="1612">
        <f t="shared" si="13"/>
        <v>0</v>
      </c>
      <c r="S104" s="1612">
        <f t="shared" si="13"/>
        <v>0</v>
      </c>
      <c r="T104" s="1612">
        <f t="shared" si="13"/>
        <v>0</v>
      </c>
      <c r="U104" s="1612">
        <f t="shared" si="13"/>
        <v>0</v>
      </c>
      <c r="V104" s="1612">
        <f t="shared" si="13"/>
        <v>0</v>
      </c>
      <c r="W104" s="1612">
        <f t="shared" si="13"/>
        <v>0</v>
      </c>
      <c r="X104" s="1612">
        <f t="shared" si="13"/>
        <v>0</v>
      </c>
      <c r="Y104" s="1612">
        <f t="shared" si="13"/>
        <v>0</v>
      </c>
      <c r="Z104" s="1612">
        <f t="shared" si="13"/>
        <v>0</v>
      </c>
      <c r="AA104" s="1612">
        <f t="shared" si="13"/>
        <v>0</v>
      </c>
      <c r="AB104" s="1612">
        <f t="shared" si="13"/>
        <v>0</v>
      </c>
      <c r="AC104" s="1612">
        <f t="shared" si="13"/>
        <v>0</v>
      </c>
      <c r="AD104" s="1612">
        <f t="shared" si="13"/>
        <v>0</v>
      </c>
      <c r="AE104" s="1612">
        <f t="shared" si="13"/>
        <v>0</v>
      </c>
      <c r="AF104" s="1612">
        <f t="shared" si="13"/>
        <v>0</v>
      </c>
      <c r="AG104" s="1612">
        <f t="shared" si="13"/>
        <v>0</v>
      </c>
      <c r="AH104" s="1612">
        <f t="shared" si="13"/>
        <v>0</v>
      </c>
      <c r="AI104" s="1612">
        <f t="shared" si="13"/>
        <v>0</v>
      </c>
      <c r="AJ104" s="1612">
        <f t="shared" si="13"/>
        <v>0</v>
      </c>
      <c r="AK104" s="1612">
        <f t="shared" si="13"/>
        <v>0</v>
      </c>
      <c r="AL104" s="1612">
        <f t="shared" si="13"/>
        <v>0</v>
      </c>
      <c r="AM104" s="1612">
        <f t="shared" si="13"/>
        <v>0</v>
      </c>
      <c r="AN104" s="1612">
        <f t="shared" si="13"/>
        <v>0</v>
      </c>
      <c r="AO104" s="1612">
        <f t="shared" si="13"/>
        <v>0</v>
      </c>
      <c r="AP104" s="1612">
        <f t="shared" si="13"/>
        <v>0</v>
      </c>
      <c r="AQ104" s="1612">
        <f t="shared" si="13"/>
        <v>0</v>
      </c>
      <c r="AR104" s="1612">
        <f t="shared" si="13"/>
        <v>0</v>
      </c>
      <c r="AS104" s="1612">
        <f t="shared" si="13"/>
        <v>0</v>
      </c>
      <c r="AT104" s="1612">
        <f t="shared" si="13"/>
        <v>0</v>
      </c>
      <c r="AU104" s="1612">
        <f t="shared" si="13"/>
        <v>0</v>
      </c>
    </row>
    <row r="105" spans="1:47" ht="15.75">
      <c r="B105" s="316"/>
      <c r="C105" s="413"/>
      <c r="D105" s="414"/>
      <c r="E105" s="414"/>
      <c r="F105" s="1525"/>
      <c r="G105" s="1525"/>
      <c r="H105" s="1525"/>
      <c r="I105" s="1525"/>
      <c r="J105" s="1525"/>
      <c r="K105" s="1525"/>
      <c r="L105" s="1525"/>
      <c r="M105" s="1525"/>
      <c r="N105" s="1525"/>
      <c r="O105" s="1525"/>
      <c r="P105" s="415"/>
    </row>
    <row r="106" spans="1:47" ht="15.75">
      <c r="B106" s="316"/>
      <c r="C106" s="413"/>
      <c r="D106" s="414"/>
      <c r="E106" s="414"/>
      <c r="F106" s="1525"/>
      <c r="G106" s="1525"/>
      <c r="H106" s="1525"/>
      <c r="I106" s="1525"/>
      <c r="J106" s="1525"/>
      <c r="K106" s="1525"/>
      <c r="L106" s="1525"/>
      <c r="M106" s="1525"/>
      <c r="N106" s="1525"/>
      <c r="O106" s="1525"/>
      <c r="P106" s="415"/>
    </row>
    <row r="107" spans="1:47" ht="15.75">
      <c r="B107" s="316"/>
      <c r="C107" s="413"/>
      <c r="D107" s="414"/>
      <c r="E107" s="414"/>
      <c r="F107" s="1525"/>
      <c r="G107" s="1525"/>
      <c r="H107" s="1525"/>
      <c r="I107" s="1525"/>
      <c r="J107" s="1525"/>
      <c r="K107" s="1525"/>
      <c r="L107" s="1525"/>
      <c r="M107" s="1525"/>
      <c r="N107" s="1525"/>
      <c r="O107" s="1525"/>
      <c r="P107" s="415"/>
    </row>
    <row r="109" spans="1:47" ht="18" collapsed="1">
      <c r="A109" s="62"/>
      <c r="B109" s="89" t="s">
        <v>241</v>
      </c>
    </row>
    <row r="110" spans="1:47" ht="18">
      <c r="A110" s="62"/>
      <c r="B110" s="89"/>
    </row>
    <row r="111" spans="1:47" ht="18">
      <c r="A111" s="62"/>
      <c r="B111" s="89"/>
    </row>
    <row r="112" spans="1:47" s="19" customFormat="1">
      <c r="B112" s="423"/>
      <c r="C112" s="423"/>
      <c r="F112" s="423"/>
      <c r="G112" s="423"/>
      <c r="H112" s="423"/>
      <c r="I112" s="423"/>
      <c r="J112" s="423"/>
      <c r="K112" s="423"/>
      <c r="L112" s="423"/>
      <c r="M112" s="423"/>
      <c r="N112" s="423"/>
      <c r="O112" s="423"/>
    </row>
    <row r="113" spans="2:46">
      <c r="B113" s="605">
        <v>1</v>
      </c>
      <c r="C113" s="605" t="s">
        <v>1390</v>
      </c>
      <c r="F113" s="1658"/>
      <c r="G113" s="1658"/>
      <c r="H113" s="1658"/>
      <c r="I113" s="1658"/>
      <c r="J113" s="1658"/>
    </row>
    <row r="114" spans="2:46" s="495" customFormat="1">
      <c r="B114" s="1659"/>
      <c r="C114" s="643"/>
      <c r="D114" s="643"/>
      <c r="E114" s="1660"/>
      <c r="F114" s="1661">
        <v>2012</v>
      </c>
      <c r="G114" s="1661">
        <v>2013</v>
      </c>
      <c r="H114" s="1661">
        <v>2014</v>
      </c>
      <c r="I114" s="1661">
        <v>2015</v>
      </c>
      <c r="J114" s="1661">
        <v>2016</v>
      </c>
      <c r="K114" s="1661">
        <v>2017</v>
      </c>
      <c r="L114" s="1661">
        <v>2018</v>
      </c>
      <c r="M114" s="1661">
        <v>2019</v>
      </c>
      <c r="N114" s="1661">
        <v>2020</v>
      </c>
      <c r="O114" s="1661">
        <v>2021</v>
      </c>
      <c r="P114" s="1661">
        <v>2022</v>
      </c>
      <c r="Q114" s="1661">
        <v>2023</v>
      </c>
      <c r="R114" s="1661">
        <v>2024</v>
      </c>
      <c r="S114" s="1661">
        <v>2025</v>
      </c>
      <c r="T114" s="1661">
        <v>2026</v>
      </c>
      <c r="U114" s="1661">
        <v>2027</v>
      </c>
      <c r="V114" s="1661">
        <v>2028</v>
      </c>
      <c r="W114" s="1661">
        <v>2029</v>
      </c>
      <c r="X114" s="1661">
        <v>2030</v>
      </c>
      <c r="Y114" s="1661">
        <v>2031</v>
      </c>
      <c r="Z114" s="1661">
        <v>2032</v>
      </c>
      <c r="AA114" s="1661">
        <v>2033</v>
      </c>
      <c r="AB114" s="1661">
        <v>2034</v>
      </c>
      <c r="AC114" s="1661">
        <v>2035</v>
      </c>
      <c r="AD114" s="1661">
        <v>2036</v>
      </c>
      <c r="AE114" s="1661">
        <v>2037</v>
      </c>
      <c r="AF114" s="1661">
        <v>2038</v>
      </c>
      <c r="AG114" s="1661">
        <v>2039</v>
      </c>
      <c r="AH114" s="1661">
        <v>2040</v>
      </c>
      <c r="AI114" s="1661">
        <v>2041</v>
      </c>
      <c r="AJ114" s="1661">
        <v>2042</v>
      </c>
      <c r="AK114" s="1661">
        <v>2043</v>
      </c>
      <c r="AL114" s="1661">
        <v>2044</v>
      </c>
      <c r="AM114" s="1661">
        <v>2045</v>
      </c>
      <c r="AN114" s="1661">
        <v>2046</v>
      </c>
      <c r="AO114" s="1661">
        <v>2047</v>
      </c>
      <c r="AP114" s="1661">
        <v>2048</v>
      </c>
      <c r="AQ114" s="1661">
        <v>2049</v>
      </c>
      <c r="AR114" s="1661">
        <v>2050</v>
      </c>
      <c r="AS114" s="1661">
        <v>2051</v>
      </c>
      <c r="AT114" s="1661">
        <v>2052</v>
      </c>
    </row>
    <row r="115" spans="2:46" s="1617" customFormat="1">
      <c r="B115" s="1662"/>
      <c r="C115" s="1624" t="s">
        <v>1391</v>
      </c>
      <c r="F115" s="1618"/>
      <c r="G115" s="1618">
        <f>H59/G59</f>
        <v>1.115</v>
      </c>
      <c r="H115" s="1618">
        <f t="shared" ref="H115:AT115" si="14">I59/H59</f>
        <v>1.115</v>
      </c>
      <c r="I115" s="1618">
        <f t="shared" si="14"/>
        <v>1.115</v>
      </c>
      <c r="J115" s="1618">
        <f t="shared" si="14"/>
        <v>1.115</v>
      </c>
      <c r="K115" s="1618">
        <f t="shared" si="14"/>
        <v>1.115</v>
      </c>
      <c r="L115" s="1618">
        <f t="shared" si="14"/>
        <v>1.115</v>
      </c>
      <c r="M115" s="1618">
        <f t="shared" si="14"/>
        <v>1.115</v>
      </c>
      <c r="N115" s="1618">
        <f t="shared" si="14"/>
        <v>1.115</v>
      </c>
      <c r="O115" s="1618">
        <f t="shared" si="14"/>
        <v>1.115</v>
      </c>
      <c r="P115" s="1618">
        <f t="shared" si="14"/>
        <v>1.115</v>
      </c>
      <c r="Q115" s="1618">
        <f t="shared" si="14"/>
        <v>1.085</v>
      </c>
      <c r="R115" s="1618">
        <f t="shared" si="14"/>
        <v>1.085</v>
      </c>
      <c r="S115" s="1618">
        <f t="shared" si="14"/>
        <v>1.0849999999999997</v>
      </c>
      <c r="T115" s="1618">
        <f t="shared" si="14"/>
        <v>1.085</v>
      </c>
      <c r="U115" s="1618">
        <f t="shared" si="14"/>
        <v>1.085</v>
      </c>
      <c r="V115" s="1618">
        <f t="shared" si="14"/>
        <v>1.085</v>
      </c>
      <c r="W115" s="1618">
        <f t="shared" si="14"/>
        <v>1.085</v>
      </c>
      <c r="X115" s="1618">
        <f t="shared" si="14"/>
        <v>1.085</v>
      </c>
      <c r="Y115" s="1618">
        <f t="shared" si="14"/>
        <v>1.085</v>
      </c>
      <c r="Z115" s="1618">
        <f t="shared" si="14"/>
        <v>1.085</v>
      </c>
      <c r="AA115" s="1618">
        <f t="shared" si="14"/>
        <v>1.0575000000000001</v>
      </c>
      <c r="AB115" s="1618">
        <f t="shared" si="14"/>
        <v>1.0575000000000001</v>
      </c>
      <c r="AC115" s="1618">
        <f t="shared" si="14"/>
        <v>1.0575000000000001</v>
      </c>
      <c r="AD115" s="1618">
        <f t="shared" si="14"/>
        <v>1.0575000000000001</v>
      </c>
      <c r="AE115" s="1618">
        <f t="shared" si="14"/>
        <v>1.0575000000000001</v>
      </c>
      <c r="AF115" s="1618">
        <f t="shared" si="14"/>
        <v>1.0575000000000001</v>
      </c>
      <c r="AG115" s="1618">
        <f t="shared" si="14"/>
        <v>1.0575000000000001</v>
      </c>
      <c r="AH115" s="1618">
        <f t="shared" si="14"/>
        <v>1.0575000000000001</v>
      </c>
      <c r="AI115" s="1618">
        <f t="shared" si="14"/>
        <v>1.0575000000000001</v>
      </c>
      <c r="AJ115" s="1618">
        <f t="shared" si="14"/>
        <v>1.0575000000000001</v>
      </c>
      <c r="AK115" s="1618">
        <f t="shared" si="14"/>
        <v>1.0125</v>
      </c>
      <c r="AL115" s="1618">
        <f t="shared" si="14"/>
        <v>1.0125</v>
      </c>
      <c r="AM115" s="1618">
        <f t="shared" si="14"/>
        <v>1.0125</v>
      </c>
      <c r="AN115" s="1618">
        <f t="shared" si="14"/>
        <v>1.0125</v>
      </c>
      <c r="AO115" s="1618">
        <f t="shared" si="14"/>
        <v>1.0125</v>
      </c>
      <c r="AP115" s="1618">
        <f t="shared" si="14"/>
        <v>1.0125</v>
      </c>
      <c r="AQ115" s="1618">
        <f t="shared" si="14"/>
        <v>1.0125</v>
      </c>
      <c r="AR115" s="1618">
        <f t="shared" si="14"/>
        <v>1.0125</v>
      </c>
      <c r="AS115" s="1618">
        <f t="shared" si="14"/>
        <v>1.0125</v>
      </c>
      <c r="AT115" s="1618">
        <f t="shared" si="14"/>
        <v>1.0125</v>
      </c>
    </row>
    <row r="116" spans="2:46" s="1617" customFormat="1">
      <c r="B116" s="1662" t="s">
        <v>1311</v>
      </c>
      <c r="C116" s="1617" t="s">
        <v>1392</v>
      </c>
      <c r="D116" s="1662" t="str">
        <f>preferences.energyunits</f>
        <v>TWh</v>
      </c>
      <c r="F116" s="1618">
        <f>$G$66</f>
        <v>17.459338505523348</v>
      </c>
      <c r="G116" s="1618"/>
      <c r="H116" s="1618"/>
      <c r="I116" s="1618"/>
      <c r="J116" s="1618"/>
      <c r="K116" s="1618"/>
      <c r="L116" s="1618"/>
      <c r="M116" s="1618"/>
      <c r="N116" s="1618"/>
      <c r="O116" s="1618"/>
    </row>
    <row r="117" spans="2:46" s="1617" customFormat="1">
      <c r="B117" s="1663" t="s">
        <v>276</v>
      </c>
      <c r="C117" s="1624" t="s">
        <v>1393</v>
      </c>
      <c r="D117" s="1662" t="str">
        <f>preferences.energyunits</f>
        <v>TWh</v>
      </c>
      <c r="E117" s="1662"/>
      <c r="F117" s="1664">
        <f>F116</f>
        <v>17.459338505523348</v>
      </c>
      <c r="G117" s="1664">
        <f>$F$116*G115</f>
        <v>19.467162433658533</v>
      </c>
      <c r="H117" s="1664">
        <f t="shared" ref="H117:AT117" si="15">G117*H115</f>
        <v>21.705886113529264</v>
      </c>
      <c r="I117" s="1664">
        <f t="shared" si="15"/>
        <v>24.202063016585129</v>
      </c>
      <c r="J117" s="1664">
        <f t="shared" si="15"/>
        <v>26.98530026349242</v>
      </c>
      <c r="K117" s="1664">
        <f t="shared" si="15"/>
        <v>30.088609793794049</v>
      </c>
      <c r="L117" s="1664">
        <f t="shared" si="15"/>
        <v>33.548799920080363</v>
      </c>
      <c r="M117" s="1664">
        <f t="shared" si="15"/>
        <v>37.406911910889605</v>
      </c>
      <c r="N117" s="1664">
        <f t="shared" si="15"/>
        <v>41.708706780641911</v>
      </c>
      <c r="O117" s="1664">
        <f t="shared" si="15"/>
        <v>46.505208060415733</v>
      </c>
      <c r="P117" s="1664">
        <f t="shared" si="15"/>
        <v>51.853306987363538</v>
      </c>
      <c r="Q117" s="1664">
        <f t="shared" si="15"/>
        <v>56.260838081289435</v>
      </c>
      <c r="R117" s="1664">
        <f t="shared" si="15"/>
        <v>61.043009318199033</v>
      </c>
      <c r="S117" s="1664">
        <f t="shared" si="15"/>
        <v>66.231665110245942</v>
      </c>
      <c r="T117" s="1664">
        <f t="shared" si="15"/>
        <v>71.861356644616848</v>
      </c>
      <c r="U117" s="1664">
        <f t="shared" si="15"/>
        <v>77.969571959409279</v>
      </c>
      <c r="V117" s="1664">
        <f t="shared" si="15"/>
        <v>84.596985575959067</v>
      </c>
      <c r="W117" s="1664">
        <f t="shared" si="15"/>
        <v>91.78772934991558</v>
      </c>
      <c r="X117" s="1664">
        <f t="shared" si="15"/>
        <v>99.589686344658404</v>
      </c>
      <c r="Y117" s="1664">
        <f t="shared" si="15"/>
        <v>108.05480968395436</v>
      </c>
      <c r="Z117" s="1664">
        <f t="shared" si="15"/>
        <v>117.23946850709048</v>
      </c>
      <c r="AA117" s="1664">
        <f t="shared" si="15"/>
        <v>123.9807379462482</v>
      </c>
      <c r="AB117" s="1664">
        <f t="shared" si="15"/>
        <v>131.10963037815748</v>
      </c>
      <c r="AC117" s="1664">
        <f t="shared" si="15"/>
        <v>138.64843412490154</v>
      </c>
      <c r="AD117" s="1664">
        <f t="shared" si="15"/>
        <v>146.62071908708339</v>
      </c>
      <c r="AE117" s="1664">
        <f t="shared" si="15"/>
        <v>155.05141043459071</v>
      </c>
      <c r="AF117" s="1664">
        <f t="shared" si="15"/>
        <v>163.96686653457968</v>
      </c>
      <c r="AG117" s="1664">
        <f t="shared" si="15"/>
        <v>173.39496136031804</v>
      </c>
      <c r="AH117" s="1664">
        <f t="shared" si="15"/>
        <v>183.36517163853634</v>
      </c>
      <c r="AI117" s="1664">
        <f t="shared" si="15"/>
        <v>193.9086690077522</v>
      </c>
      <c r="AJ117" s="1664">
        <f t="shared" si="15"/>
        <v>205.05841747569798</v>
      </c>
      <c r="AK117" s="1664">
        <f t="shared" si="15"/>
        <v>207.6216476941442</v>
      </c>
      <c r="AL117" s="1664">
        <f t="shared" si="15"/>
        <v>210.21691829032099</v>
      </c>
      <c r="AM117" s="1664">
        <f t="shared" si="15"/>
        <v>212.84462976895</v>
      </c>
      <c r="AN117" s="1664">
        <f t="shared" si="15"/>
        <v>215.50518764106187</v>
      </c>
      <c r="AO117" s="1664">
        <f t="shared" si="15"/>
        <v>218.19900248657513</v>
      </c>
      <c r="AP117" s="1664">
        <f t="shared" si="15"/>
        <v>220.9264900176573</v>
      </c>
      <c r="AQ117" s="1664">
        <f t="shared" si="15"/>
        <v>223.68807114287802</v>
      </c>
      <c r="AR117" s="1664">
        <f t="shared" si="15"/>
        <v>226.48417203216397</v>
      </c>
      <c r="AS117" s="1664">
        <f t="shared" si="15"/>
        <v>229.315224182566</v>
      </c>
      <c r="AT117" s="1664">
        <f t="shared" si="15"/>
        <v>232.18166448484806</v>
      </c>
    </row>
    <row r="118" spans="2:46" s="1617" customFormat="1">
      <c r="B118" s="1663" t="s">
        <v>276</v>
      </c>
      <c r="C118" s="1665" t="s">
        <v>1394</v>
      </c>
      <c r="D118" s="1662" t="str">
        <f>preferences.energyunits</f>
        <v>TWh</v>
      </c>
      <c r="E118" s="1662"/>
      <c r="F118" s="1666">
        <f>F117</f>
        <v>17.459338505523348</v>
      </c>
      <c r="G118" s="1666">
        <f>($Z$118/$F$118)^(1/20)*F118</f>
        <v>19.203486658893706</v>
      </c>
      <c r="H118" s="1666">
        <f t="shared" ref="H118:Y118" si="16">($Z$118/$F$118)^(1/20)*G118</f>
        <v>21.121871240519511</v>
      </c>
      <c r="I118" s="1666">
        <f t="shared" si="16"/>
        <v>23.231898072763133</v>
      </c>
      <c r="J118" s="1666">
        <f t="shared" si="16"/>
        <v>25.552711779999491</v>
      </c>
      <c r="K118" s="1666">
        <f t="shared" si="16"/>
        <v>28.105369490977019</v>
      </c>
      <c r="L118" s="1666">
        <f t="shared" si="16"/>
        <v>30.913031893648885</v>
      </c>
      <c r="M118" s="1666">
        <f t="shared" si="16"/>
        <v>34.001173375946721</v>
      </c>
      <c r="N118" s="1666">
        <f t="shared" si="16"/>
        <v>37.397813159139076</v>
      </c>
      <c r="O118" s="1666">
        <f t="shared" si="16"/>
        <v>41.133769520885942</v>
      </c>
      <c r="P118" s="1666">
        <f t="shared" si="16"/>
        <v>45.242939414597473</v>
      </c>
      <c r="Q118" s="1666">
        <f t="shared" si="16"/>
        <v>49.762606022129788</v>
      </c>
      <c r="R118" s="1666">
        <f t="shared" si="16"/>
        <v>54.733777030294654</v>
      </c>
      <c r="S118" s="1666">
        <f t="shared" si="16"/>
        <v>60.20155670042206</v>
      </c>
      <c r="T118" s="1666">
        <f t="shared" si="16"/>
        <v>66.215555106824709</v>
      </c>
      <c r="U118" s="1666">
        <f t="shared" si="16"/>
        <v>72.830338257253089</v>
      </c>
      <c r="V118" s="1666">
        <f t="shared" si="16"/>
        <v>80.105923179358854</v>
      </c>
      <c r="W118" s="1666">
        <f t="shared" si="16"/>
        <v>88.108322465168357</v>
      </c>
      <c r="X118" s="1666">
        <f t="shared" si="16"/>
        <v>96.91014321430886</v>
      </c>
      <c r="Y118" s="1666">
        <f t="shared" si="16"/>
        <v>106.59124581029904</v>
      </c>
      <c r="Z118" s="1666">
        <f>Z117</f>
        <v>117.23946850709048</v>
      </c>
      <c r="AA118" s="1666">
        <f>AA117</f>
        <v>123.9807379462482</v>
      </c>
      <c r="AB118" s="1666">
        <f t="shared" ref="AB118:AT118" si="17">AB117</f>
        <v>131.10963037815748</v>
      </c>
      <c r="AC118" s="1666">
        <f t="shared" si="17"/>
        <v>138.64843412490154</v>
      </c>
      <c r="AD118" s="1666">
        <f t="shared" si="17"/>
        <v>146.62071908708339</v>
      </c>
      <c r="AE118" s="1666">
        <f t="shared" si="17"/>
        <v>155.05141043459071</v>
      </c>
      <c r="AF118" s="1666">
        <f t="shared" si="17"/>
        <v>163.96686653457968</v>
      </c>
      <c r="AG118" s="1666">
        <f t="shared" si="17"/>
        <v>173.39496136031804</v>
      </c>
      <c r="AH118" s="1666">
        <f t="shared" si="17"/>
        <v>183.36517163853634</v>
      </c>
      <c r="AI118" s="1666">
        <f t="shared" si="17"/>
        <v>193.9086690077522</v>
      </c>
      <c r="AJ118" s="1666">
        <f t="shared" si="17"/>
        <v>205.05841747569798</v>
      </c>
      <c r="AK118" s="1666">
        <f t="shared" si="17"/>
        <v>207.6216476941442</v>
      </c>
      <c r="AL118" s="1666">
        <f t="shared" si="17"/>
        <v>210.21691829032099</v>
      </c>
      <c r="AM118" s="1666">
        <f t="shared" si="17"/>
        <v>212.84462976895</v>
      </c>
      <c r="AN118" s="1666">
        <f t="shared" si="17"/>
        <v>215.50518764106187</v>
      </c>
      <c r="AO118" s="1666">
        <f t="shared" si="17"/>
        <v>218.19900248657513</v>
      </c>
      <c r="AP118" s="1666">
        <f t="shared" si="17"/>
        <v>220.9264900176573</v>
      </c>
      <c r="AQ118" s="1666">
        <f t="shared" si="17"/>
        <v>223.68807114287802</v>
      </c>
      <c r="AR118" s="1666">
        <f t="shared" si="17"/>
        <v>226.48417203216397</v>
      </c>
      <c r="AS118" s="1666">
        <f t="shared" si="17"/>
        <v>229.315224182566</v>
      </c>
      <c r="AT118" s="1666">
        <f t="shared" si="17"/>
        <v>232.18166448484806</v>
      </c>
    </row>
    <row r="119" spans="2:46" s="1617" customFormat="1">
      <c r="C119" s="1624"/>
      <c r="E119" s="1662"/>
      <c r="F119" s="1666"/>
      <c r="G119" s="1666"/>
      <c r="H119" s="1666"/>
      <c r="I119" s="1666"/>
      <c r="J119" s="1666"/>
      <c r="K119" s="1666"/>
      <c r="L119" s="1666"/>
      <c r="M119" s="1666"/>
      <c r="N119" s="1666"/>
      <c r="O119" s="1666"/>
      <c r="P119" s="1666"/>
      <c r="Q119" s="1666"/>
      <c r="R119" s="1666"/>
      <c r="S119" s="1666"/>
      <c r="T119" s="1666"/>
      <c r="U119" s="1666"/>
      <c r="V119" s="1666"/>
      <c r="W119" s="1666"/>
      <c r="X119" s="1666"/>
      <c r="Y119" s="1666"/>
      <c r="Z119" s="1666"/>
      <c r="AA119" s="1666"/>
      <c r="AB119" s="1666"/>
      <c r="AC119" s="1666"/>
      <c r="AD119" s="1666"/>
      <c r="AE119" s="1666"/>
      <c r="AF119" s="1666"/>
      <c r="AG119" s="1666"/>
      <c r="AH119" s="1666"/>
      <c r="AI119" s="1666"/>
      <c r="AJ119" s="1666"/>
      <c r="AK119" s="1666"/>
      <c r="AL119" s="1666"/>
      <c r="AM119" s="1666"/>
      <c r="AN119" s="1666"/>
      <c r="AO119" s="1666"/>
      <c r="AP119" s="1666"/>
      <c r="AQ119" s="1666"/>
      <c r="AR119" s="1666"/>
      <c r="AS119" s="1666"/>
      <c r="AT119" s="1666"/>
    </row>
    <row r="120" spans="2:46">
      <c r="C120" s="423"/>
      <c r="E120" s="422"/>
      <c r="F120" s="858"/>
      <c r="G120" s="858"/>
      <c r="H120" s="858"/>
      <c r="I120" s="858"/>
      <c r="J120" s="858"/>
      <c r="K120" s="858"/>
      <c r="L120" s="858"/>
      <c r="M120" s="858"/>
      <c r="N120" s="858"/>
      <c r="O120" s="858"/>
    </row>
    <row r="121" spans="2:46">
      <c r="B121" s="19" t="s">
        <v>1311</v>
      </c>
      <c r="C121" s="19" t="s">
        <v>1395</v>
      </c>
      <c r="D121" s="1662" t="str">
        <f>preferences.energyunits</f>
        <v>TWh</v>
      </c>
      <c r="E121" s="422"/>
      <c r="F121" s="858">
        <f>G65</f>
        <v>38.410544712151371</v>
      </c>
      <c r="G121" s="858"/>
      <c r="H121" s="858"/>
      <c r="I121" s="858"/>
      <c r="J121" s="858"/>
      <c r="K121" s="858"/>
      <c r="L121" s="858"/>
      <c r="M121" s="858"/>
      <c r="N121" s="858"/>
      <c r="O121" s="858"/>
    </row>
    <row r="122" spans="2:46" s="1617" customFormat="1" ht="25.5">
      <c r="B122" s="1663" t="s">
        <v>276</v>
      </c>
      <c r="C122" s="1989" t="s">
        <v>1396</v>
      </c>
      <c r="D122" s="1662" t="str">
        <f>preferences.energyunits</f>
        <v>TWh</v>
      </c>
      <c r="E122" s="1662"/>
      <c r="F122" s="1667">
        <f>F121</f>
        <v>38.410544712151371</v>
      </c>
      <c r="G122" s="1667">
        <f t="shared" ref="G122:AT122" si="18">F122*G115</f>
        <v>42.827757354048778</v>
      </c>
      <c r="H122" s="1667">
        <f t="shared" si="18"/>
        <v>47.752949449764387</v>
      </c>
      <c r="I122" s="1667">
        <f t="shared" si="18"/>
        <v>53.244538636487292</v>
      </c>
      <c r="J122" s="1667">
        <f t="shared" si="18"/>
        <v>59.367660579683331</v>
      </c>
      <c r="K122" s="1667">
        <f t="shared" si="18"/>
        <v>66.194941546346911</v>
      </c>
      <c r="L122" s="1667">
        <f t="shared" si="18"/>
        <v>73.8073598241768</v>
      </c>
      <c r="M122" s="1667">
        <f t="shared" si="18"/>
        <v>82.295206203957136</v>
      </c>
      <c r="N122" s="1667">
        <f t="shared" si="18"/>
        <v>91.759154917412204</v>
      </c>
      <c r="O122" s="1667">
        <f t="shared" si="18"/>
        <v>102.3114577329146</v>
      </c>
      <c r="P122" s="1667">
        <f t="shared" si="18"/>
        <v>114.07727537219978</v>
      </c>
      <c r="Q122" s="1667">
        <f t="shared" si="18"/>
        <v>123.77384377883675</v>
      </c>
      <c r="R122" s="1667">
        <f t="shared" si="18"/>
        <v>134.29462050003787</v>
      </c>
      <c r="S122" s="1667">
        <f t="shared" si="18"/>
        <v>145.70966324254104</v>
      </c>
      <c r="T122" s="1667">
        <f t="shared" si="18"/>
        <v>158.09498461815701</v>
      </c>
      <c r="U122" s="1667">
        <f t="shared" si="18"/>
        <v>171.53305831070034</v>
      </c>
      <c r="V122" s="1667">
        <f t="shared" si="18"/>
        <v>186.11336826710988</v>
      </c>
      <c r="W122" s="1667">
        <f t="shared" si="18"/>
        <v>201.93300456981422</v>
      </c>
      <c r="X122" s="1667">
        <f t="shared" si="18"/>
        <v>219.09730995824842</v>
      </c>
      <c r="Y122" s="1667">
        <f t="shared" si="18"/>
        <v>237.72058130469952</v>
      </c>
      <c r="Z122" s="1667">
        <f t="shared" si="18"/>
        <v>257.92683071559895</v>
      </c>
      <c r="AA122" s="1667">
        <f t="shared" si="18"/>
        <v>272.7576234817459</v>
      </c>
      <c r="AB122" s="1667">
        <f t="shared" si="18"/>
        <v>288.44118683194631</v>
      </c>
      <c r="AC122" s="1667">
        <f t="shared" si="18"/>
        <v>305.02655507478323</v>
      </c>
      <c r="AD122" s="1667">
        <f t="shared" si="18"/>
        <v>322.56558199158331</v>
      </c>
      <c r="AE122" s="1667">
        <f t="shared" si="18"/>
        <v>341.1131029560994</v>
      </c>
      <c r="AF122" s="1667">
        <f t="shared" si="18"/>
        <v>360.72710637607514</v>
      </c>
      <c r="AG122" s="1667">
        <f t="shared" si="18"/>
        <v>381.46891499269952</v>
      </c>
      <c r="AH122" s="1667">
        <f t="shared" si="18"/>
        <v>403.40337760477979</v>
      </c>
      <c r="AI122" s="1667">
        <f t="shared" si="18"/>
        <v>426.59907181705466</v>
      </c>
      <c r="AJ122" s="1667">
        <f t="shared" si="18"/>
        <v>451.12851844653534</v>
      </c>
      <c r="AK122" s="1667">
        <f t="shared" si="18"/>
        <v>456.76762492711703</v>
      </c>
      <c r="AL122" s="1667">
        <f t="shared" si="18"/>
        <v>462.47722023870597</v>
      </c>
      <c r="AM122" s="1667">
        <f t="shared" si="18"/>
        <v>468.25818549168974</v>
      </c>
      <c r="AN122" s="1667">
        <f t="shared" si="18"/>
        <v>474.11141281033582</v>
      </c>
      <c r="AO122" s="1667">
        <f t="shared" si="18"/>
        <v>480.037805470465</v>
      </c>
      <c r="AP122" s="1667">
        <f t="shared" si="18"/>
        <v>486.03827803884582</v>
      </c>
      <c r="AQ122" s="1667">
        <f t="shared" si="18"/>
        <v>492.11375651433139</v>
      </c>
      <c r="AR122" s="1667">
        <f t="shared" si="18"/>
        <v>498.26517847076053</v>
      </c>
      <c r="AS122" s="1667">
        <f t="shared" si="18"/>
        <v>504.49349320164504</v>
      </c>
      <c r="AT122" s="1667">
        <f t="shared" si="18"/>
        <v>510.79966186666559</v>
      </c>
    </row>
    <row r="123" spans="2:46" s="1617" customFormat="1" ht="25.5">
      <c r="C123" s="1990" t="s">
        <v>1397</v>
      </c>
      <c r="D123" s="1662" t="str">
        <f>preferences.energyunits</f>
        <v>TWh</v>
      </c>
      <c r="E123" s="1662"/>
      <c r="F123" s="1619">
        <f>F122</f>
        <v>38.410544712151371</v>
      </c>
      <c r="G123" s="1619">
        <f>($Z$123/$F$123)^(1/20)*F123</f>
        <v>42.247670649566153</v>
      </c>
      <c r="H123" s="1619">
        <f t="shared" ref="H123:Y123" si="19">($Z$123/$F$123)^(1/20)*G123</f>
        <v>46.468116729142928</v>
      </c>
      <c r="I123" s="1619">
        <f t="shared" si="19"/>
        <v>51.110175760078896</v>
      </c>
      <c r="J123" s="1619">
        <f t="shared" si="19"/>
        <v>56.215965915998886</v>
      </c>
      <c r="K123" s="1619">
        <f t="shared" si="19"/>
        <v>61.83181288014945</v>
      </c>
      <c r="L123" s="1619">
        <f t="shared" si="19"/>
        <v>68.008670166027557</v>
      </c>
      <c r="M123" s="1619">
        <f t="shared" si="19"/>
        <v>74.802581427082799</v>
      </c>
      <c r="N123" s="1619">
        <f t="shared" si="19"/>
        <v>82.275188950105985</v>
      </c>
      <c r="O123" s="1619">
        <f t="shared" si="19"/>
        <v>90.494292945949098</v>
      </c>
      <c r="P123" s="1619">
        <f t="shared" si="19"/>
        <v>99.534466712114465</v>
      </c>
      <c r="Q123" s="1619">
        <f t="shared" si="19"/>
        <v>109.47773324868557</v>
      </c>
      <c r="R123" s="1619">
        <f t="shared" si="19"/>
        <v>120.41430946664828</v>
      </c>
      <c r="S123" s="1619">
        <f t="shared" si="19"/>
        <v>132.44342474092858</v>
      </c>
      <c r="T123" s="1619">
        <f t="shared" si="19"/>
        <v>145.67422123501441</v>
      </c>
      <c r="U123" s="1619">
        <f t="shared" si="19"/>
        <v>160.22674416595686</v>
      </c>
      <c r="V123" s="1619">
        <f t="shared" si="19"/>
        <v>176.23303099458957</v>
      </c>
      <c r="W123" s="1619">
        <f t="shared" si="19"/>
        <v>193.83830942337048</v>
      </c>
      <c r="X123" s="1619">
        <f t="shared" si="19"/>
        <v>213.2023150714796</v>
      </c>
      <c r="Y123" s="1619">
        <f t="shared" si="19"/>
        <v>234.50074078265803</v>
      </c>
      <c r="Z123" s="1619">
        <f>Z122</f>
        <v>257.92683071559895</v>
      </c>
      <c r="AA123" s="1619">
        <f>AA122</f>
        <v>272.7576234817459</v>
      </c>
      <c r="AB123" s="1619">
        <f t="shared" ref="AB123:AT123" si="20">AB122</f>
        <v>288.44118683194631</v>
      </c>
      <c r="AC123" s="1619">
        <f t="shared" si="20"/>
        <v>305.02655507478323</v>
      </c>
      <c r="AD123" s="1619">
        <f t="shared" si="20"/>
        <v>322.56558199158331</v>
      </c>
      <c r="AE123" s="1619">
        <f t="shared" si="20"/>
        <v>341.1131029560994</v>
      </c>
      <c r="AF123" s="1619">
        <f t="shared" si="20"/>
        <v>360.72710637607514</v>
      </c>
      <c r="AG123" s="1619">
        <f t="shared" si="20"/>
        <v>381.46891499269952</v>
      </c>
      <c r="AH123" s="1619">
        <f t="shared" si="20"/>
        <v>403.40337760477979</v>
      </c>
      <c r="AI123" s="1619">
        <f t="shared" si="20"/>
        <v>426.59907181705466</v>
      </c>
      <c r="AJ123" s="1619">
        <f t="shared" si="20"/>
        <v>451.12851844653534</v>
      </c>
      <c r="AK123" s="1619">
        <f t="shared" si="20"/>
        <v>456.76762492711703</v>
      </c>
      <c r="AL123" s="1619">
        <f t="shared" si="20"/>
        <v>462.47722023870597</v>
      </c>
      <c r="AM123" s="1619">
        <f t="shared" si="20"/>
        <v>468.25818549168974</v>
      </c>
      <c r="AN123" s="1619">
        <f t="shared" si="20"/>
        <v>474.11141281033582</v>
      </c>
      <c r="AO123" s="1619">
        <f t="shared" si="20"/>
        <v>480.037805470465</v>
      </c>
      <c r="AP123" s="1619">
        <f t="shared" si="20"/>
        <v>486.03827803884582</v>
      </c>
      <c r="AQ123" s="1619">
        <f t="shared" si="20"/>
        <v>492.11375651433139</v>
      </c>
      <c r="AR123" s="1619">
        <f t="shared" si="20"/>
        <v>498.26517847076053</v>
      </c>
      <c r="AS123" s="1619">
        <f t="shared" si="20"/>
        <v>504.49349320164504</v>
      </c>
      <c r="AT123" s="1619">
        <f t="shared" si="20"/>
        <v>510.79966186666559</v>
      </c>
    </row>
    <row r="124" spans="2:46">
      <c r="B124" s="1479"/>
      <c r="C124" s="423"/>
      <c r="E124" s="856"/>
      <c r="F124" s="858"/>
      <c r="G124" s="858"/>
      <c r="H124" s="858"/>
      <c r="I124" s="858"/>
      <c r="J124" s="858"/>
      <c r="K124" s="858"/>
      <c r="L124" s="858"/>
      <c r="M124" s="858"/>
      <c r="N124" s="858"/>
      <c r="O124" s="858"/>
    </row>
    <row r="125" spans="2:46" ht="25.5">
      <c r="B125" s="422" t="s">
        <v>1311</v>
      </c>
      <c r="C125" s="1991" t="s">
        <v>1398</v>
      </c>
      <c r="D125" s="1662" t="str">
        <f>preferences.energyunits</f>
        <v>TWh</v>
      </c>
      <c r="E125" s="422"/>
      <c r="F125" s="858">
        <f>G67</f>
        <v>13.96747080441868</v>
      </c>
      <c r="G125" s="1668"/>
      <c r="H125" s="1668"/>
      <c r="I125" s="1668"/>
      <c r="J125" s="1668"/>
      <c r="K125" s="1668"/>
      <c r="L125" s="1668"/>
      <c r="M125" s="1668"/>
      <c r="N125" s="1668"/>
      <c r="O125" s="1668"/>
    </row>
    <row r="126" spans="2:46" s="1617" customFormat="1">
      <c r="B126" s="1663" t="s">
        <v>276</v>
      </c>
      <c r="C126" s="1624" t="s">
        <v>1399</v>
      </c>
      <c r="D126" s="1662" t="str">
        <f>preferences.energyunits</f>
        <v>TWh</v>
      </c>
      <c r="E126" s="1662"/>
      <c r="F126" s="1664">
        <f>F125</f>
        <v>13.96747080441868</v>
      </c>
      <c r="G126" s="1664">
        <f t="shared" ref="G126:AT126" si="21">F126*G115</f>
        <v>15.573729946926827</v>
      </c>
      <c r="H126" s="1664">
        <f t="shared" si="21"/>
        <v>17.364708890823412</v>
      </c>
      <c r="I126" s="1664">
        <f t="shared" si="21"/>
        <v>19.361650413268105</v>
      </c>
      <c r="J126" s="1664">
        <f t="shared" si="21"/>
        <v>21.588240210793938</v>
      </c>
      <c r="K126" s="1664">
        <f t="shared" si="21"/>
        <v>24.07088783503524</v>
      </c>
      <c r="L126" s="1664">
        <f t="shared" si="21"/>
        <v>26.839039936064292</v>
      </c>
      <c r="M126" s="1664">
        <f t="shared" si="21"/>
        <v>29.925529528711685</v>
      </c>
      <c r="N126" s="1664">
        <f t="shared" si="21"/>
        <v>33.366965424513531</v>
      </c>
      <c r="O126" s="1664">
        <f t="shared" si="21"/>
        <v>37.204166448332586</v>
      </c>
      <c r="P126" s="1664">
        <f t="shared" si="21"/>
        <v>41.482645589890836</v>
      </c>
      <c r="Q126" s="1664">
        <f t="shared" si="21"/>
        <v>45.008670465031557</v>
      </c>
      <c r="R126" s="1664">
        <f t="shared" si="21"/>
        <v>48.834407454559241</v>
      </c>
      <c r="S126" s="1664">
        <f t="shared" si="21"/>
        <v>52.985332088196763</v>
      </c>
      <c r="T126" s="1664">
        <f t="shared" si="21"/>
        <v>57.489085315693487</v>
      </c>
      <c r="U126" s="1664">
        <f t="shared" si="21"/>
        <v>62.375657567527433</v>
      </c>
      <c r="V126" s="1664">
        <f t="shared" si="21"/>
        <v>67.677588460767268</v>
      </c>
      <c r="W126" s="1664">
        <f t="shared" si="21"/>
        <v>73.430183479932481</v>
      </c>
      <c r="X126" s="1664">
        <f t="shared" si="21"/>
        <v>79.671749075726737</v>
      </c>
      <c r="Y126" s="1664">
        <f t="shared" si="21"/>
        <v>86.443847747163503</v>
      </c>
      <c r="Z126" s="1664">
        <f t="shared" si="21"/>
        <v>93.791574805672397</v>
      </c>
      <c r="AA126" s="1664">
        <f t="shared" si="21"/>
        <v>99.184590356998569</v>
      </c>
      <c r="AB126" s="1664">
        <f t="shared" si="21"/>
        <v>104.887704302526</v>
      </c>
      <c r="AC126" s="1664">
        <f t="shared" si="21"/>
        <v>110.91874729992126</v>
      </c>
      <c r="AD126" s="1664">
        <f t="shared" si="21"/>
        <v>117.29657526966675</v>
      </c>
      <c r="AE126" s="1664">
        <f t="shared" si="21"/>
        <v>124.0411283476726</v>
      </c>
      <c r="AF126" s="1664">
        <f t="shared" si="21"/>
        <v>131.17349322766378</v>
      </c>
      <c r="AG126" s="1664">
        <f t="shared" si="21"/>
        <v>138.71596908825447</v>
      </c>
      <c r="AH126" s="1664">
        <f t="shared" si="21"/>
        <v>146.69213731082911</v>
      </c>
      <c r="AI126" s="1664">
        <f t="shared" si="21"/>
        <v>155.12693520620181</v>
      </c>
      <c r="AJ126" s="1664">
        <f t="shared" si="21"/>
        <v>164.04673398055843</v>
      </c>
      <c r="AK126" s="1664">
        <f t="shared" si="21"/>
        <v>166.09731815531541</v>
      </c>
      <c r="AL126" s="1664">
        <f t="shared" si="21"/>
        <v>168.17353463225683</v>
      </c>
      <c r="AM126" s="1664">
        <f t="shared" si="21"/>
        <v>170.27570381516003</v>
      </c>
      <c r="AN126" s="1664">
        <f t="shared" si="21"/>
        <v>172.40415011284952</v>
      </c>
      <c r="AO126" s="1664">
        <f t="shared" si="21"/>
        <v>174.55920198926015</v>
      </c>
      <c r="AP126" s="1664">
        <f t="shared" si="21"/>
        <v>176.74119201412589</v>
      </c>
      <c r="AQ126" s="1664">
        <f t="shared" si="21"/>
        <v>178.95045691430246</v>
      </c>
      <c r="AR126" s="1664">
        <f t="shared" si="21"/>
        <v>181.18733762573123</v>
      </c>
      <c r="AS126" s="1664">
        <f t="shared" si="21"/>
        <v>183.45217934605287</v>
      </c>
      <c r="AT126" s="1664">
        <f t="shared" si="21"/>
        <v>185.74533158787852</v>
      </c>
    </row>
    <row r="127" spans="2:46" s="1617" customFormat="1" ht="25.5">
      <c r="C127" s="1989" t="s">
        <v>1400</v>
      </c>
      <c r="D127" s="1662" t="str">
        <f>preferences.energyunits</f>
        <v>TWh</v>
      </c>
      <c r="E127" s="1662"/>
      <c r="F127" s="1666">
        <f>F126</f>
        <v>13.96747080441868</v>
      </c>
      <c r="G127" s="1666">
        <f>($Z$127/$F$127)^(1/20)*F127</f>
        <v>15.362789327114964</v>
      </c>
      <c r="H127" s="1666">
        <f t="shared" ref="H127:Y127" si="22">($Z$127/$F$127)^(1/20)*G127</f>
        <v>16.897496992415608</v>
      </c>
      <c r="I127" s="1666">
        <f t="shared" si="22"/>
        <v>18.585518458210505</v>
      </c>
      <c r="J127" s="1666">
        <f t="shared" si="22"/>
        <v>20.442169423999591</v>
      </c>
      <c r="K127" s="1666">
        <f t="shared" si="22"/>
        <v>22.484295592781613</v>
      </c>
      <c r="L127" s="1666">
        <f t="shared" si="22"/>
        <v>24.730425514919105</v>
      </c>
      <c r="M127" s="1666">
        <f t="shared" si="22"/>
        <v>27.200938700757376</v>
      </c>
      <c r="N127" s="1666">
        <f t="shared" si="22"/>
        <v>29.918250527311262</v>
      </c>
      <c r="O127" s="1666">
        <f t="shared" si="22"/>
        <v>32.907015616708755</v>
      </c>
      <c r="P127" s="1666">
        <f t="shared" si="22"/>
        <v>36.194351531677981</v>
      </c>
      <c r="Q127" s="1666">
        <f t="shared" si="22"/>
        <v>39.810084817703832</v>
      </c>
      <c r="R127" s="1666">
        <f t="shared" si="22"/>
        <v>43.787021624235727</v>
      </c>
      <c r="S127" s="1666">
        <f t="shared" si="22"/>
        <v>48.161245360337652</v>
      </c>
      <c r="T127" s="1666">
        <f t="shared" si="22"/>
        <v>52.972444085459777</v>
      </c>
      <c r="U127" s="1666">
        <f t="shared" si="22"/>
        <v>58.264270605802487</v>
      </c>
      <c r="V127" s="1666">
        <f t="shared" si="22"/>
        <v>64.084738543487106</v>
      </c>
      <c r="W127" s="1666">
        <f t="shared" si="22"/>
        <v>70.486657972134708</v>
      </c>
      <c r="X127" s="1666">
        <f t="shared" si="22"/>
        <v>77.528114571447119</v>
      </c>
      <c r="Y127" s="1666">
        <f t="shared" si="22"/>
        <v>85.272996648239271</v>
      </c>
      <c r="Z127" s="1666">
        <f>Z126</f>
        <v>93.791574805672397</v>
      </c>
      <c r="AA127" s="1666">
        <f>AA126</f>
        <v>99.184590356998569</v>
      </c>
      <c r="AB127" s="1666">
        <f t="shared" ref="AB127:AT127" si="23">AB126</f>
        <v>104.887704302526</v>
      </c>
      <c r="AC127" s="1666">
        <f t="shared" si="23"/>
        <v>110.91874729992126</v>
      </c>
      <c r="AD127" s="1666">
        <f t="shared" si="23"/>
        <v>117.29657526966675</v>
      </c>
      <c r="AE127" s="1666">
        <f t="shared" si="23"/>
        <v>124.0411283476726</v>
      </c>
      <c r="AF127" s="1666">
        <f t="shared" si="23"/>
        <v>131.17349322766378</v>
      </c>
      <c r="AG127" s="1666">
        <f t="shared" si="23"/>
        <v>138.71596908825447</v>
      </c>
      <c r="AH127" s="1666">
        <f t="shared" si="23"/>
        <v>146.69213731082911</v>
      </c>
      <c r="AI127" s="1666">
        <f t="shared" si="23"/>
        <v>155.12693520620181</v>
      </c>
      <c r="AJ127" s="1666">
        <f t="shared" si="23"/>
        <v>164.04673398055843</v>
      </c>
      <c r="AK127" s="1666">
        <f t="shared" si="23"/>
        <v>166.09731815531541</v>
      </c>
      <c r="AL127" s="1666">
        <f t="shared" si="23"/>
        <v>168.17353463225683</v>
      </c>
      <c r="AM127" s="1666">
        <f t="shared" si="23"/>
        <v>170.27570381516003</v>
      </c>
      <c r="AN127" s="1666">
        <f t="shared" si="23"/>
        <v>172.40415011284952</v>
      </c>
      <c r="AO127" s="1666">
        <f t="shared" si="23"/>
        <v>174.55920198926015</v>
      </c>
      <c r="AP127" s="1666">
        <f t="shared" si="23"/>
        <v>176.74119201412589</v>
      </c>
      <c r="AQ127" s="1666">
        <f t="shared" si="23"/>
        <v>178.95045691430246</v>
      </c>
      <c r="AR127" s="1666">
        <f t="shared" si="23"/>
        <v>181.18733762573123</v>
      </c>
      <c r="AS127" s="1666">
        <f t="shared" si="23"/>
        <v>183.45217934605287</v>
      </c>
      <c r="AT127" s="1666">
        <f t="shared" si="23"/>
        <v>185.74533158787852</v>
      </c>
    </row>
    <row r="128" spans="2:46">
      <c r="B128" s="423"/>
      <c r="C128" s="423"/>
      <c r="E128" s="422"/>
      <c r="F128" s="1668"/>
      <c r="G128" s="1668"/>
      <c r="H128" s="1668"/>
      <c r="I128" s="1668"/>
      <c r="J128" s="1668"/>
      <c r="K128" s="1668"/>
      <c r="L128" s="1668"/>
      <c r="M128" s="1668"/>
      <c r="N128" s="1668"/>
      <c r="O128" s="1668"/>
    </row>
    <row r="129" spans="2:46">
      <c r="B129" s="423"/>
      <c r="C129" s="423" t="s">
        <v>1401</v>
      </c>
      <c r="D129" s="605" t="str">
        <f>preferences.energyunits</f>
        <v>TWh</v>
      </c>
      <c r="E129" s="422"/>
      <c r="F129" s="1619">
        <f>F118+F123+F127</f>
        <v>69.837354022093393</v>
      </c>
      <c r="G129" s="1619">
        <f t="shared" ref="G129:AT129" si="24">G118+G123+G127</f>
        <v>76.813946635574823</v>
      </c>
      <c r="H129" s="1619">
        <f t="shared" si="24"/>
        <v>84.487484962078057</v>
      </c>
      <c r="I129" s="1619">
        <f t="shared" si="24"/>
        <v>92.927592291052534</v>
      </c>
      <c r="J129" s="1619">
        <f t="shared" si="24"/>
        <v>102.21084711999796</v>
      </c>
      <c r="K129" s="1619">
        <f t="shared" si="24"/>
        <v>112.42147796390807</v>
      </c>
      <c r="L129" s="1619">
        <f t="shared" si="24"/>
        <v>123.65212757459555</v>
      </c>
      <c r="M129" s="1619">
        <f t="shared" si="24"/>
        <v>136.00469350378688</v>
      </c>
      <c r="N129" s="1619">
        <f t="shared" si="24"/>
        <v>149.59125263655633</v>
      </c>
      <c r="O129" s="1619">
        <f t="shared" si="24"/>
        <v>164.53507808354379</v>
      </c>
      <c r="P129" s="1619">
        <f t="shared" si="24"/>
        <v>180.97175765838989</v>
      </c>
      <c r="Q129" s="1619">
        <f t="shared" si="24"/>
        <v>199.05042408851918</v>
      </c>
      <c r="R129" s="1619">
        <f t="shared" si="24"/>
        <v>218.93510812117867</v>
      </c>
      <c r="S129" s="1619">
        <f t="shared" si="24"/>
        <v>240.8062268016883</v>
      </c>
      <c r="T129" s="1619">
        <f t="shared" si="24"/>
        <v>264.86222042729889</v>
      </c>
      <c r="U129" s="1619">
        <f t="shared" si="24"/>
        <v>291.32135302901241</v>
      </c>
      <c r="V129" s="1619">
        <f t="shared" si="24"/>
        <v>320.42369271743553</v>
      </c>
      <c r="W129" s="1619">
        <f t="shared" si="24"/>
        <v>352.43328986067354</v>
      </c>
      <c r="X129" s="1619">
        <f t="shared" si="24"/>
        <v>387.64057285723561</v>
      </c>
      <c r="Y129" s="1619">
        <f t="shared" si="24"/>
        <v>426.36498324119634</v>
      </c>
      <c r="Z129" s="1619">
        <f t="shared" si="24"/>
        <v>468.9578740283618</v>
      </c>
      <c r="AA129" s="1619">
        <f t="shared" si="24"/>
        <v>495.92295178499268</v>
      </c>
      <c r="AB129" s="1619">
        <f t="shared" si="24"/>
        <v>524.43852151262979</v>
      </c>
      <c r="AC129" s="1619">
        <f t="shared" si="24"/>
        <v>554.59373649960605</v>
      </c>
      <c r="AD129" s="1619">
        <f t="shared" si="24"/>
        <v>586.48287634833343</v>
      </c>
      <c r="AE129" s="1619">
        <f t="shared" si="24"/>
        <v>620.20564173836271</v>
      </c>
      <c r="AF129" s="1619">
        <f t="shared" si="24"/>
        <v>655.8674661383186</v>
      </c>
      <c r="AG129" s="1619">
        <f t="shared" si="24"/>
        <v>693.57984544127203</v>
      </c>
      <c r="AH129" s="1619">
        <f t="shared" si="24"/>
        <v>733.46068655414524</v>
      </c>
      <c r="AI129" s="1619">
        <f t="shared" si="24"/>
        <v>775.63467603100867</v>
      </c>
      <c r="AJ129" s="1619">
        <f t="shared" si="24"/>
        <v>820.23366990279169</v>
      </c>
      <c r="AK129" s="1619">
        <f t="shared" si="24"/>
        <v>830.48659077657658</v>
      </c>
      <c r="AL129" s="1619">
        <f t="shared" si="24"/>
        <v>840.86767316128385</v>
      </c>
      <c r="AM129" s="1619">
        <f t="shared" si="24"/>
        <v>851.37851907579977</v>
      </c>
      <c r="AN129" s="1619">
        <f t="shared" si="24"/>
        <v>862.02075056424724</v>
      </c>
      <c r="AO129" s="1619">
        <f t="shared" si="24"/>
        <v>872.79600994630027</v>
      </c>
      <c r="AP129" s="1619">
        <f t="shared" si="24"/>
        <v>883.70596007062898</v>
      </c>
      <c r="AQ129" s="1619">
        <f t="shared" si="24"/>
        <v>894.75228457151184</v>
      </c>
      <c r="AR129" s="1619">
        <f t="shared" si="24"/>
        <v>905.93668812865576</v>
      </c>
      <c r="AS129" s="1619">
        <f t="shared" si="24"/>
        <v>917.26089673026388</v>
      </c>
      <c r="AT129" s="1619">
        <f t="shared" si="24"/>
        <v>928.72665793939223</v>
      </c>
    </row>
    <row r="130" spans="2:46">
      <c r="B130" s="423"/>
      <c r="C130" s="423"/>
      <c r="E130" s="422"/>
      <c r="F130" s="1619"/>
      <c r="G130" s="1619"/>
      <c r="H130" s="1619"/>
      <c r="I130" s="1619"/>
      <c r="J130" s="1619"/>
      <c r="K130" s="1619"/>
      <c r="L130" s="1619"/>
      <c r="M130" s="1619"/>
      <c r="N130" s="1619"/>
      <c r="O130" s="1619"/>
      <c r="P130" s="1619"/>
      <c r="Q130" s="1619"/>
      <c r="R130" s="1619"/>
      <c r="S130" s="1619"/>
      <c r="T130" s="1619"/>
      <c r="U130" s="1619"/>
      <c r="V130" s="1619"/>
      <c r="W130" s="1619"/>
      <c r="X130" s="1619"/>
      <c r="Y130" s="1619"/>
      <c r="Z130" s="1619"/>
      <c r="AA130" s="1619"/>
      <c r="AB130" s="1619"/>
      <c r="AC130" s="1619"/>
      <c r="AD130" s="1619"/>
      <c r="AE130" s="1619"/>
      <c r="AF130" s="1619"/>
      <c r="AG130" s="1619"/>
      <c r="AH130" s="1619"/>
      <c r="AI130" s="1619"/>
      <c r="AJ130" s="1619"/>
      <c r="AK130" s="1619"/>
      <c r="AL130" s="1619"/>
      <c r="AM130" s="1619"/>
      <c r="AN130" s="1619"/>
      <c r="AO130" s="1619"/>
      <c r="AP130" s="1619"/>
      <c r="AQ130" s="1619"/>
      <c r="AR130" s="1619"/>
      <c r="AS130" s="1619"/>
      <c r="AT130" s="1619"/>
    </row>
    <row r="131" spans="2:46" s="495" customFormat="1">
      <c r="B131" s="643"/>
      <c r="C131" s="643"/>
      <c r="E131" s="976"/>
      <c r="F131" s="1661">
        <v>2007</v>
      </c>
      <c r="G131" s="1661">
        <v>2012</v>
      </c>
      <c r="H131" s="1661">
        <f>G131+5</f>
        <v>2017</v>
      </c>
      <c r="I131" s="1661">
        <f t="shared" ref="I131:N131" si="25">H131+5</f>
        <v>2022</v>
      </c>
      <c r="J131" s="1661">
        <f t="shared" si="25"/>
        <v>2027</v>
      </c>
      <c r="K131" s="1661">
        <f t="shared" si="25"/>
        <v>2032</v>
      </c>
      <c r="L131" s="1661">
        <f t="shared" si="25"/>
        <v>2037</v>
      </c>
      <c r="M131" s="1661">
        <f t="shared" si="25"/>
        <v>2042</v>
      </c>
      <c r="N131" s="1661">
        <f t="shared" si="25"/>
        <v>2047</v>
      </c>
      <c r="O131" s="1661">
        <f>N131+5</f>
        <v>2052</v>
      </c>
      <c r="P131" s="1661"/>
      <c r="Q131" s="1661"/>
      <c r="R131" s="1661"/>
      <c r="S131" s="1661"/>
      <c r="T131" s="1661"/>
      <c r="U131" s="1661"/>
      <c r="V131" s="1661"/>
      <c r="W131" s="1661"/>
      <c r="X131" s="1661"/>
      <c r="Y131" s="1661"/>
      <c r="Z131" s="1661"/>
      <c r="AA131" s="1661"/>
      <c r="AB131" s="1661"/>
      <c r="AC131" s="1661"/>
      <c r="AD131" s="1661"/>
      <c r="AE131" s="1661"/>
      <c r="AF131" s="1661"/>
      <c r="AG131" s="1661"/>
      <c r="AH131" s="1661"/>
      <c r="AI131" s="1661"/>
      <c r="AJ131" s="1661"/>
      <c r="AK131" s="1661"/>
      <c r="AL131" s="1661"/>
      <c r="AM131" s="1661"/>
      <c r="AN131" s="1661"/>
      <c r="AO131" s="1661"/>
      <c r="AP131" s="1661"/>
      <c r="AQ131" s="1661"/>
      <c r="AR131" s="1661"/>
      <c r="AS131" s="1661"/>
      <c r="AT131" s="1661"/>
    </row>
    <row r="132" spans="2:46" s="131" customFormat="1">
      <c r="B132" s="1544"/>
      <c r="C132" s="1544" t="s">
        <v>1402</v>
      </c>
      <c r="E132" s="1669" t="s">
        <v>277</v>
      </c>
      <c r="F132" s="1670">
        <f ca="1">F98</f>
        <v>2.6894420109200369E-4</v>
      </c>
      <c r="G132" s="1670">
        <f t="shared" ref="G132:O132" ca="1" si="26">G98</f>
        <v>2.697097401791752E-4</v>
      </c>
      <c r="H132" s="1670">
        <f t="shared" ca="1" si="26"/>
        <v>2.9052459208514433E-4</v>
      </c>
      <c r="I132" s="1670">
        <f t="shared" ca="1" si="26"/>
        <v>3.1862959737653226E-4</v>
      </c>
      <c r="J132" s="1670">
        <f t="shared" ca="1" si="26"/>
        <v>3.4951112536671348E-4</v>
      </c>
      <c r="K132" s="1670">
        <f t="shared" ca="1" si="26"/>
        <v>3.9034789765937325E-4</v>
      </c>
      <c r="L132" s="1670">
        <f t="shared" ca="1" si="26"/>
        <v>3.9177924292343433E-4</v>
      </c>
      <c r="M132" s="1670">
        <f t="shared" ca="1" si="26"/>
        <v>3.9327654930063251E-4</v>
      </c>
      <c r="N132" s="1670">
        <f t="shared" ca="1" si="26"/>
        <v>3.9483775365680855E-4</v>
      </c>
      <c r="O132" s="1670">
        <f t="shared" ca="1" si="26"/>
        <v>3.9646005403767793E-4</v>
      </c>
      <c r="P132" s="1671"/>
      <c r="Q132" s="1671"/>
      <c r="R132" s="1671"/>
      <c r="S132" s="1671"/>
      <c r="T132" s="1671"/>
      <c r="U132" s="1671"/>
      <c r="V132" s="1671"/>
      <c r="W132" s="1671"/>
      <c r="X132" s="1671"/>
      <c r="Y132" s="1671"/>
      <c r="Z132" s="1671"/>
      <c r="AA132" s="1671"/>
      <c r="AB132" s="1671"/>
      <c r="AC132" s="1671"/>
      <c r="AD132" s="1671"/>
      <c r="AE132" s="1671"/>
      <c r="AF132" s="1671"/>
      <c r="AG132" s="1671"/>
      <c r="AH132" s="1671"/>
      <c r="AI132" s="1671"/>
      <c r="AJ132" s="1671"/>
      <c r="AK132" s="1671"/>
      <c r="AL132" s="1671"/>
      <c r="AM132" s="1671"/>
      <c r="AN132" s="1671"/>
      <c r="AO132" s="1671"/>
      <c r="AP132" s="1671"/>
      <c r="AQ132" s="1671"/>
      <c r="AR132" s="1671"/>
      <c r="AS132" s="1671"/>
      <c r="AT132" s="1671"/>
    </row>
    <row r="133" spans="2:46" s="1617" customFormat="1">
      <c r="B133" s="1624"/>
      <c r="C133" s="1624" t="s">
        <v>1660</v>
      </c>
      <c r="E133" s="1662" t="str">
        <f>preferences.energyunits</f>
        <v>TWh</v>
      </c>
      <c r="F133" s="1992">
        <f ca="1">F132*F129</f>
        <v>1.8782351383851339E-2</v>
      </c>
      <c r="G133" s="1992">
        <f ca="1">G132*F129</f>
        <v>1.8835814608099886E-2</v>
      </c>
      <c r="H133" s="1992">
        <f ca="1">H132*K129</f>
        <v>3.2661204027073433E-2</v>
      </c>
      <c r="I133" s="1992">
        <f ca="1">I132*P129</f>
        <v>5.7662958279216137E-2</v>
      </c>
      <c r="J133" s="1992">
        <f ca="1">J132*U129</f>
        <v>0.10182005394052375</v>
      </c>
      <c r="K133" s="1992">
        <f ca="1">K132*Z129</f>
        <v>0.18305672021778022</v>
      </c>
      <c r="L133" s="1992">
        <f ca="1">L132*AE129</f>
        <v>0.2429836967770985</v>
      </c>
      <c r="M133" s="1992">
        <f ca="1">M132*AJ129</f>
        <v>0.32257866731956397</v>
      </c>
      <c r="N133" s="1992">
        <f ca="1">N132*AO129</f>
        <v>0.34461281596782273</v>
      </c>
      <c r="O133" s="1992">
        <f ca="1">O132*AT129</f>
        <v>0.36820302099288349</v>
      </c>
      <c r="P133" s="1619"/>
      <c r="Q133" s="1619"/>
      <c r="R133" s="1619"/>
      <c r="S133" s="1619"/>
      <c r="T133" s="1619"/>
      <c r="U133" s="1619"/>
      <c r="V133" s="1619"/>
      <c r="W133" s="1619"/>
      <c r="X133" s="1619"/>
      <c r="Y133" s="1619"/>
      <c r="Z133" s="1619"/>
      <c r="AA133" s="1619"/>
      <c r="AB133" s="1619"/>
      <c r="AC133" s="1619"/>
      <c r="AD133" s="1619"/>
      <c r="AE133" s="1619"/>
      <c r="AF133" s="1619"/>
      <c r="AG133" s="1619"/>
      <c r="AH133" s="1619"/>
      <c r="AI133" s="1619"/>
      <c r="AJ133" s="1619"/>
      <c r="AK133" s="1619"/>
      <c r="AL133" s="1619"/>
      <c r="AM133" s="1619"/>
      <c r="AN133" s="1619"/>
      <c r="AO133" s="1619"/>
      <c r="AP133" s="1619"/>
      <c r="AQ133" s="1619"/>
      <c r="AR133" s="1619"/>
      <c r="AS133" s="1619"/>
      <c r="AT133" s="1619"/>
    </row>
    <row r="134" spans="2:46">
      <c r="B134" s="423"/>
      <c r="C134" s="423" t="s">
        <v>1403</v>
      </c>
      <c r="E134" s="1662" t="str">
        <f>preferences.energyunits</f>
        <v>TWh</v>
      </c>
      <c r="F134" s="1619">
        <f ca="1">F129-F133</f>
        <v>69.818571670709545</v>
      </c>
      <c r="G134" s="1619">
        <f ca="1">F129-G133</f>
        <v>69.818518207485297</v>
      </c>
      <c r="H134" s="1619">
        <f ca="1">K129-H133</f>
        <v>112.388816759881</v>
      </c>
      <c r="I134" s="1619">
        <f ca="1">P129-I133</f>
        <v>180.91409470011067</v>
      </c>
      <c r="J134" s="1619">
        <f ca="1">U129-J133</f>
        <v>291.2195329750719</v>
      </c>
      <c r="K134" s="1619">
        <f ca="1">Z129-K133</f>
        <v>468.77481730814401</v>
      </c>
      <c r="L134" s="1619">
        <f ca="1">AE129-L133</f>
        <v>619.96265804158566</v>
      </c>
      <c r="M134" s="1619">
        <f ca="1">AJ129-M133</f>
        <v>819.9110912354721</v>
      </c>
      <c r="N134" s="1619">
        <f ca="1">(AO129-N133)</f>
        <v>872.45139713033245</v>
      </c>
      <c r="O134" s="1619">
        <f ca="1">AT129-O133</f>
        <v>928.35845491839939</v>
      </c>
      <c r="P134" s="1619"/>
      <c r="Q134" s="1619"/>
      <c r="R134" s="1619"/>
      <c r="S134" s="1619"/>
      <c r="T134" s="1619"/>
      <c r="U134" s="1619"/>
      <c r="V134" s="1619"/>
      <c r="W134" s="1619"/>
      <c r="X134" s="1619"/>
      <c r="Y134" s="1619"/>
      <c r="Z134" s="1619"/>
      <c r="AA134" s="1619"/>
      <c r="AB134" s="1619"/>
      <c r="AC134" s="1619"/>
      <c r="AD134" s="1619"/>
      <c r="AE134" s="1619"/>
      <c r="AF134" s="1619"/>
      <c r="AG134" s="1619"/>
      <c r="AH134" s="1619"/>
      <c r="AI134" s="1619"/>
      <c r="AJ134" s="1619"/>
      <c r="AK134" s="1619"/>
      <c r="AL134" s="1619"/>
      <c r="AM134" s="1619"/>
      <c r="AN134" s="1619"/>
      <c r="AO134" s="1619"/>
      <c r="AP134" s="1619"/>
      <c r="AQ134" s="1619"/>
      <c r="AR134" s="1619"/>
      <c r="AS134" s="1619"/>
      <c r="AT134" s="1619"/>
    </row>
    <row r="135" spans="2:46">
      <c r="B135" s="422"/>
      <c r="C135" s="145"/>
      <c r="E135" s="1401"/>
      <c r="F135" s="1668"/>
      <c r="G135" s="1668"/>
      <c r="H135" s="1668"/>
      <c r="I135" s="1668"/>
      <c r="J135" s="1668"/>
      <c r="K135" s="1668"/>
      <c r="L135" s="1668"/>
      <c r="M135" s="1668"/>
      <c r="N135" s="1668"/>
      <c r="O135" s="1668"/>
    </row>
    <row r="136" spans="2:46">
      <c r="B136" s="422"/>
      <c r="E136" s="1401"/>
      <c r="F136" s="1668"/>
      <c r="G136" s="1668"/>
      <c r="H136" s="1668"/>
      <c r="I136" s="1668"/>
      <c r="J136" s="1668"/>
      <c r="K136" s="1668"/>
      <c r="L136" s="1668"/>
      <c r="M136" s="1668"/>
      <c r="N136" s="1668"/>
      <c r="O136" s="1668"/>
    </row>
    <row r="137" spans="2:46">
      <c r="C137" s="145" t="s">
        <v>1404</v>
      </c>
      <c r="E137" s="422"/>
      <c r="F137" s="858"/>
      <c r="G137" s="858"/>
      <c r="H137" s="858"/>
      <c r="I137" s="858"/>
      <c r="J137" s="858"/>
      <c r="K137" s="858"/>
      <c r="L137" s="858"/>
      <c r="M137" s="858"/>
      <c r="N137" s="858"/>
      <c r="O137" s="858"/>
    </row>
    <row r="138" spans="2:46">
      <c r="B138" s="423"/>
      <c r="C138" s="423"/>
      <c r="F138" s="1668"/>
      <c r="G138" s="1668"/>
      <c r="H138" s="1668"/>
      <c r="I138" s="1668"/>
      <c r="J138" s="1668"/>
      <c r="K138" s="1668"/>
      <c r="L138" s="1668"/>
      <c r="M138" s="1668"/>
      <c r="N138" s="1668"/>
      <c r="O138" s="1668"/>
    </row>
    <row r="139" spans="2:46">
      <c r="B139" s="423">
        <v>2</v>
      </c>
      <c r="C139" s="423" t="s">
        <v>1405</v>
      </c>
      <c r="F139" s="1668"/>
      <c r="G139" s="1668"/>
      <c r="H139" s="1668"/>
      <c r="I139" s="1668"/>
      <c r="J139" s="1668"/>
      <c r="K139" s="1668"/>
      <c r="L139" s="1668"/>
      <c r="M139" s="1668"/>
      <c r="N139" s="1668"/>
      <c r="O139" s="1668"/>
    </row>
    <row r="140" spans="2:46">
      <c r="B140" s="423"/>
      <c r="E140" s="422"/>
      <c r="F140" s="97"/>
      <c r="G140" s="97"/>
      <c r="H140" s="97"/>
      <c r="I140" s="97"/>
      <c r="J140" s="97"/>
      <c r="K140" s="97"/>
      <c r="L140" s="97"/>
      <c r="M140" s="97"/>
      <c r="N140" s="97"/>
      <c r="O140" s="97"/>
    </row>
    <row r="141" spans="2:46" s="495" customFormat="1">
      <c r="B141" s="1659"/>
      <c r="C141" s="643"/>
      <c r="D141" s="643"/>
      <c r="E141" s="1660"/>
      <c r="F141" s="1661">
        <v>2012</v>
      </c>
      <c r="G141" s="1661">
        <v>2013</v>
      </c>
      <c r="H141" s="1661">
        <v>2014</v>
      </c>
      <c r="I141" s="1661">
        <v>2015</v>
      </c>
      <c r="J141" s="1661">
        <v>2016</v>
      </c>
      <c r="K141" s="1661">
        <v>2017</v>
      </c>
      <c r="L141" s="1661">
        <v>2018</v>
      </c>
      <c r="M141" s="1661">
        <v>2019</v>
      </c>
      <c r="N141" s="1661">
        <v>2020</v>
      </c>
      <c r="O141" s="1661">
        <v>2021</v>
      </c>
      <c r="P141" s="1661">
        <v>2022</v>
      </c>
      <c r="Q141" s="1661">
        <v>2023</v>
      </c>
      <c r="R141" s="1661">
        <v>2024</v>
      </c>
      <c r="S141" s="1661">
        <v>2025</v>
      </c>
      <c r="T141" s="1661">
        <v>2026</v>
      </c>
      <c r="U141" s="1661">
        <v>2027</v>
      </c>
      <c r="V141" s="1661">
        <v>2028</v>
      </c>
      <c r="W141" s="1661">
        <v>2029</v>
      </c>
      <c r="X141" s="1661">
        <v>2030</v>
      </c>
      <c r="Y141" s="1661">
        <v>2031</v>
      </c>
      <c r="Z141" s="1661">
        <v>2032</v>
      </c>
      <c r="AA141" s="1661">
        <v>2033</v>
      </c>
      <c r="AB141" s="1661">
        <v>2034</v>
      </c>
      <c r="AC141" s="1661">
        <v>2035</v>
      </c>
      <c r="AD141" s="1661">
        <v>2036</v>
      </c>
      <c r="AE141" s="1661">
        <v>2037</v>
      </c>
      <c r="AF141" s="1661">
        <v>2038</v>
      </c>
      <c r="AG141" s="1661">
        <v>2039</v>
      </c>
      <c r="AH141" s="1661">
        <v>2040</v>
      </c>
      <c r="AI141" s="1661">
        <v>2041</v>
      </c>
      <c r="AJ141" s="1661">
        <v>2042</v>
      </c>
      <c r="AK141" s="1661">
        <v>2043</v>
      </c>
      <c r="AL141" s="1661">
        <v>2044</v>
      </c>
      <c r="AM141" s="1661">
        <v>2045</v>
      </c>
      <c r="AN141" s="1661">
        <v>2046</v>
      </c>
      <c r="AO141" s="1661">
        <v>2047</v>
      </c>
      <c r="AP141" s="1661">
        <v>2048</v>
      </c>
      <c r="AQ141" s="1661">
        <v>2049</v>
      </c>
      <c r="AR141" s="1661">
        <v>2050</v>
      </c>
      <c r="AS141" s="1661">
        <v>2051</v>
      </c>
      <c r="AT141" s="1661">
        <v>2052</v>
      </c>
    </row>
    <row r="142" spans="2:46">
      <c r="B142" s="423"/>
      <c r="E142" s="422"/>
      <c r="F142" s="97"/>
      <c r="G142" s="97"/>
      <c r="H142" s="97"/>
      <c r="I142" s="97"/>
      <c r="J142" s="97"/>
      <c r="K142" s="97"/>
      <c r="L142" s="97"/>
      <c r="M142" s="97"/>
      <c r="N142" s="97"/>
      <c r="O142" s="97"/>
    </row>
    <row r="143" spans="2:46" ht="12" customHeight="1">
      <c r="C143" s="605" t="s">
        <v>1406</v>
      </c>
      <c r="E143" s="1662" t="str">
        <f>preferences.energyunits</f>
        <v>TWh</v>
      </c>
      <c r="F143" s="1668">
        <f>$G$66</f>
        <v>17.459338505523348</v>
      </c>
      <c r="G143" s="1668"/>
      <c r="H143" s="1668"/>
      <c r="I143" s="1668"/>
      <c r="J143" s="1668"/>
      <c r="K143" s="1668"/>
      <c r="L143" s="1668"/>
      <c r="M143" s="1668"/>
      <c r="N143" s="1668"/>
      <c r="O143" s="1668"/>
      <c r="P143" s="1668"/>
      <c r="Q143" s="1668"/>
      <c r="R143" s="1668"/>
      <c r="S143" s="1668"/>
      <c r="T143" s="1668"/>
      <c r="U143" s="1668"/>
      <c r="V143" s="1668"/>
      <c r="W143" s="1668"/>
      <c r="X143" s="1668"/>
      <c r="Y143" s="1668"/>
      <c r="Z143" s="1668"/>
      <c r="AA143" s="1668"/>
      <c r="AB143" s="1668"/>
      <c r="AC143" s="1668"/>
      <c r="AD143" s="1668"/>
      <c r="AE143" s="1668"/>
      <c r="AF143" s="1668"/>
      <c r="AG143" s="1668"/>
      <c r="AH143" s="1668"/>
      <c r="AI143" s="1668"/>
      <c r="AJ143" s="1668"/>
      <c r="AK143" s="1668"/>
      <c r="AL143" s="1668"/>
      <c r="AM143" s="1668"/>
      <c r="AN143" s="1668"/>
      <c r="AO143" s="1668"/>
      <c r="AP143" s="1668"/>
      <c r="AQ143" s="1668"/>
      <c r="AR143" s="1668"/>
      <c r="AS143" s="1668"/>
      <c r="AT143" s="1668"/>
    </row>
    <row r="144" spans="2:46" s="1672" customFormat="1">
      <c r="C144" s="1673" t="s">
        <v>1407</v>
      </c>
      <c r="F144" s="1674">
        <f>(1-((($F$86-$F$93)*$H$74)+(($F$87-$F$94)*$H$73)))</f>
        <v>1.18</v>
      </c>
      <c r="G144" s="1674"/>
      <c r="H144" s="1674"/>
      <c r="I144" s="1674"/>
      <c r="J144" s="1674"/>
      <c r="K144" s="1674"/>
      <c r="L144" s="1674"/>
      <c r="M144" s="1674"/>
      <c r="N144" s="1674"/>
      <c r="O144" s="1674"/>
      <c r="P144" s="1674"/>
    </row>
    <row r="145" spans="2:46" s="423" customFormat="1">
      <c r="C145" s="423" t="s">
        <v>1661</v>
      </c>
      <c r="E145" s="1662" t="str">
        <f>preferences.energyunits</f>
        <v>TWh</v>
      </c>
      <c r="F145" s="1675">
        <f>F143</f>
        <v>17.459338505523348</v>
      </c>
      <c r="G145" s="1658">
        <f>($Z$145/$F$145)^(1/20)*F145</f>
        <v>19.363068792350155</v>
      </c>
      <c r="H145" s="1658">
        <f t="shared" ref="H145:Y145" si="27">($Z$145/$F$145)^(1/20)*G145</f>
        <v>21.474377906051483</v>
      </c>
      <c r="I145" s="1658">
        <f t="shared" si="27"/>
        <v>23.815899814088354</v>
      </c>
      <c r="J145" s="1658">
        <f t="shared" si="27"/>
        <v>26.412736445084981</v>
      </c>
      <c r="K145" s="1658">
        <f t="shared" si="27"/>
        <v>29.292726790227515</v>
      </c>
      <c r="L145" s="1658">
        <f t="shared" si="27"/>
        <v>32.486745346924693</v>
      </c>
      <c r="M145" s="1658">
        <f t="shared" si="27"/>
        <v>36.029033104150152</v>
      </c>
      <c r="N145" s="1658">
        <f t="shared" si="27"/>
        <v>39.957564617744303</v>
      </c>
      <c r="O145" s="1658">
        <f t="shared" si="27"/>
        <v>44.314455110850581</v>
      </c>
      <c r="P145" s="1658">
        <f t="shared" si="27"/>
        <v>49.146411963744214</v>
      </c>
      <c r="Q145" s="1658">
        <f t="shared" si="27"/>
        <v>54.505235433181419</v>
      </c>
      <c r="R145" s="1658">
        <f t="shared" si="27"/>
        <v>60.448373969154424</v>
      </c>
      <c r="S145" s="1658">
        <f t="shared" si="27"/>
        <v>67.039540082240961</v>
      </c>
      <c r="T145" s="1658">
        <f t="shared" si="27"/>
        <v>74.349393363860244</v>
      </c>
      <c r="U145" s="1658">
        <f t="shared" si="27"/>
        <v>82.456297981649939</v>
      </c>
      <c r="V145" s="1658">
        <f t="shared" si="27"/>
        <v>91.447162770577847</v>
      </c>
      <c r="W145" s="1658">
        <f t="shared" si="27"/>
        <v>101.41837292585696</v>
      </c>
      <c r="X145" s="1658">
        <f t="shared" si="27"/>
        <v>112.47682328573572</v>
      </c>
      <c r="Y145" s="1658">
        <f t="shared" si="27"/>
        <v>124.74106428131422</v>
      </c>
      <c r="Z145" s="423">
        <f>Z118*$F$144</f>
        <v>138.34257283836675</v>
      </c>
      <c r="AA145" s="423">
        <f t="shared" ref="AA145:AT145" si="28">AA118*$F$144</f>
        <v>146.29727077657287</v>
      </c>
      <c r="AB145" s="423">
        <f t="shared" si="28"/>
        <v>154.70936384622581</v>
      </c>
      <c r="AC145" s="423">
        <f t="shared" si="28"/>
        <v>163.6051522673838</v>
      </c>
      <c r="AD145" s="423">
        <f t="shared" si="28"/>
        <v>173.01244852275838</v>
      </c>
      <c r="AE145" s="423">
        <f t="shared" si="28"/>
        <v>182.96066431281702</v>
      </c>
      <c r="AF145" s="423">
        <f t="shared" si="28"/>
        <v>193.48090251080401</v>
      </c>
      <c r="AG145" s="423">
        <f t="shared" si="28"/>
        <v>204.60605440517526</v>
      </c>
      <c r="AH145" s="423">
        <f t="shared" si="28"/>
        <v>216.37090253347287</v>
      </c>
      <c r="AI145" s="423">
        <f t="shared" si="28"/>
        <v>228.81222942914758</v>
      </c>
      <c r="AJ145" s="423">
        <f t="shared" si="28"/>
        <v>241.9689326213236</v>
      </c>
      <c r="AK145" s="423">
        <f t="shared" si="28"/>
        <v>244.99354427909014</v>
      </c>
      <c r="AL145" s="423">
        <f t="shared" si="28"/>
        <v>248.05596358257876</v>
      </c>
      <c r="AM145" s="423">
        <f t="shared" si="28"/>
        <v>251.15666312736099</v>
      </c>
      <c r="AN145" s="423">
        <f t="shared" si="28"/>
        <v>254.29612141645299</v>
      </c>
      <c r="AO145" s="423">
        <f t="shared" si="28"/>
        <v>257.47482293415862</v>
      </c>
      <c r="AP145" s="423">
        <f t="shared" si="28"/>
        <v>260.69325822083562</v>
      </c>
      <c r="AQ145" s="423">
        <f t="shared" si="28"/>
        <v>263.95192394859606</v>
      </c>
      <c r="AR145" s="423">
        <f t="shared" si="28"/>
        <v>267.25132299795348</v>
      </c>
      <c r="AS145" s="423">
        <f t="shared" si="28"/>
        <v>270.59196453542785</v>
      </c>
      <c r="AT145" s="423">
        <f t="shared" si="28"/>
        <v>273.97436409212071</v>
      </c>
    </row>
    <row r="146" spans="2:46" s="37" customFormat="1">
      <c r="E146" s="113"/>
      <c r="F146" s="141"/>
      <c r="G146" s="141"/>
      <c r="H146" s="141"/>
      <c r="I146" s="141"/>
      <c r="J146" s="141"/>
      <c r="K146" s="141"/>
      <c r="L146" s="141"/>
      <c r="M146" s="141"/>
      <c r="N146" s="141"/>
      <c r="O146" s="141"/>
      <c r="P146" s="141"/>
    </row>
    <row r="147" spans="2:46" s="37" customFormat="1">
      <c r="C147" s="605" t="s">
        <v>1408</v>
      </c>
      <c r="E147" s="1662" t="str">
        <f>preferences.energyunits</f>
        <v>TWh</v>
      </c>
      <c r="F147" s="90">
        <f>G65</f>
        <v>38.410544712151371</v>
      </c>
      <c r="G147" s="141"/>
      <c r="H147" s="141"/>
      <c r="I147" s="141"/>
      <c r="J147" s="141"/>
      <c r="K147" s="141"/>
      <c r="L147" s="141"/>
      <c r="M147" s="141"/>
      <c r="N147" s="141"/>
      <c r="O147" s="141"/>
      <c r="P147" s="141"/>
    </row>
    <row r="148" spans="2:46">
      <c r="C148" s="605" t="s">
        <v>1409</v>
      </c>
      <c r="E148" s="51"/>
      <c r="F148" s="1674">
        <f>(1-((($F$86-$F$93)*$K$74)+(($F$87-$F$94)*$K$73)))</f>
        <v>1.0754010695187166</v>
      </c>
      <c r="G148" s="90"/>
      <c r="H148" s="90"/>
      <c r="I148" s="90"/>
      <c r="J148" s="90"/>
      <c r="K148" s="90"/>
      <c r="L148" s="90"/>
      <c r="M148" s="90"/>
      <c r="N148" s="90"/>
      <c r="O148" s="90"/>
      <c r="P148" s="90"/>
    </row>
    <row r="149" spans="2:46" s="423" customFormat="1">
      <c r="C149" s="423" t="s">
        <v>1662</v>
      </c>
      <c r="E149" s="1662" t="str">
        <f>preferences.energyunits</f>
        <v>TWh</v>
      </c>
      <c r="F149" s="73">
        <f>F147</f>
        <v>38.410544712151371</v>
      </c>
      <c r="G149" s="73">
        <f>($Z$149/$F$149)^(1/20)*F149</f>
        <v>42.401506985827602</v>
      </c>
      <c r="H149" s="73">
        <f t="shared" ref="H149:Y149" si="29">($Z$149/$F$149)^(1/20)*G149</f>
        <v>46.807141323887969</v>
      </c>
      <c r="I149" s="73">
        <f t="shared" si="29"/>
        <v>51.670533305495866</v>
      </c>
      <c r="J149" s="73">
        <f t="shared" si="29"/>
        <v>57.03924522115188</v>
      </c>
      <c r="K149" s="73">
        <f t="shared" si="29"/>
        <v>62.965781215434951</v>
      </c>
      <c r="L149" s="73">
        <f t="shared" si="29"/>
        <v>69.508100759366187</v>
      </c>
      <c r="M149" s="73">
        <f t="shared" si="29"/>
        <v>76.730185473977343</v>
      </c>
      <c r="N149" s="73">
        <f t="shared" si="29"/>
        <v>84.70266484842233</v>
      </c>
      <c r="O149" s="73">
        <f t="shared" si="29"/>
        <v>93.503506971938293</v>
      </c>
      <c r="P149" s="73">
        <f t="shared" si="29"/>
        <v>103.2187810347759</v>
      </c>
      <c r="Q149" s="73">
        <f t="shared" si="29"/>
        <v>113.94349905509385</v>
      </c>
      <c r="R149" s="73">
        <f t="shared" si="29"/>
        <v>125.78254506361563</v>
      </c>
      <c r="S149" s="73">
        <f t="shared" si="29"/>
        <v>138.85170083315259</v>
      </c>
      <c r="T149" s="73">
        <f t="shared" si="29"/>
        <v>153.27877818427336</v>
      </c>
      <c r="U149" s="73">
        <f t="shared" si="29"/>
        <v>169.20486894067699</v>
      </c>
      <c r="V149" s="73">
        <f t="shared" si="29"/>
        <v>186.78572475840096</v>
      </c>
      <c r="W149" s="73">
        <f t="shared" si="29"/>
        <v>206.19328032311603</v>
      </c>
      <c r="X149" s="73">
        <f t="shared" si="29"/>
        <v>227.61733481185053</v>
      </c>
      <c r="Y149" s="73">
        <f t="shared" si="29"/>
        <v>251.26740806325762</v>
      </c>
      <c r="Z149" s="423">
        <f>Z123*$F$148</f>
        <v>277.37478960912807</v>
      </c>
      <c r="AA149" s="423">
        <f t="shared" ref="AA149:AT149" si="30">AA123*$F$148</f>
        <v>293.32384001165298</v>
      </c>
      <c r="AB149" s="423">
        <f t="shared" si="30"/>
        <v>310.18996081232302</v>
      </c>
      <c r="AC149" s="423">
        <f t="shared" si="30"/>
        <v>328.02588355903163</v>
      </c>
      <c r="AD149" s="423">
        <f t="shared" si="30"/>
        <v>346.88737186367598</v>
      </c>
      <c r="AE149" s="423">
        <f t="shared" si="30"/>
        <v>366.83339574583738</v>
      </c>
      <c r="AF149" s="423">
        <f t="shared" si="30"/>
        <v>387.92631600122309</v>
      </c>
      <c r="AG149" s="423">
        <f t="shared" si="30"/>
        <v>410.23207917129344</v>
      </c>
      <c r="AH149" s="423">
        <f t="shared" si="30"/>
        <v>433.82042372364288</v>
      </c>
      <c r="AI149" s="423">
        <f t="shared" si="30"/>
        <v>458.76509808775239</v>
      </c>
      <c r="AJ149" s="423">
        <f t="shared" si="30"/>
        <v>485.14409122779819</v>
      </c>
      <c r="AK149" s="423">
        <f t="shared" si="30"/>
        <v>491.20839236814567</v>
      </c>
      <c r="AL149" s="423">
        <f t="shared" si="30"/>
        <v>497.34849727274747</v>
      </c>
      <c r="AM149" s="423">
        <f t="shared" si="30"/>
        <v>503.56535348865674</v>
      </c>
      <c r="AN149" s="423">
        <f t="shared" si="30"/>
        <v>509.85992040726489</v>
      </c>
      <c r="AO149" s="423">
        <f t="shared" si="30"/>
        <v>516.23316941235566</v>
      </c>
      <c r="AP149" s="423">
        <f t="shared" si="30"/>
        <v>522.68608403001019</v>
      </c>
      <c r="AQ149" s="423">
        <f t="shared" si="30"/>
        <v>529.21966008038521</v>
      </c>
      <c r="AR149" s="423">
        <f t="shared" si="30"/>
        <v>535.83490583139007</v>
      </c>
      <c r="AS149" s="423">
        <f t="shared" si="30"/>
        <v>542.53284215428243</v>
      </c>
      <c r="AT149" s="423">
        <f t="shared" si="30"/>
        <v>549.31450268121102</v>
      </c>
    </row>
    <row r="150" spans="2:46">
      <c r="E150" s="51"/>
      <c r="F150" s="90"/>
      <c r="G150" s="90"/>
      <c r="H150" s="90"/>
      <c r="I150" s="90"/>
      <c r="J150" s="90"/>
      <c r="K150" s="90"/>
      <c r="L150" s="90"/>
      <c r="M150" s="90"/>
      <c r="N150" s="90"/>
      <c r="O150" s="90"/>
      <c r="P150" s="90"/>
    </row>
    <row r="151" spans="2:46">
      <c r="C151" s="605" t="s">
        <v>1410</v>
      </c>
      <c r="E151" s="1662" t="str">
        <f>preferences.energyunits</f>
        <v>TWh</v>
      </c>
      <c r="F151" s="90">
        <f>G67</f>
        <v>13.96747080441868</v>
      </c>
      <c r="G151" s="90"/>
      <c r="H151" s="90"/>
      <c r="I151" s="90"/>
      <c r="J151" s="90"/>
      <c r="K151" s="90"/>
      <c r="L151" s="90"/>
      <c r="M151" s="90"/>
      <c r="N151" s="90"/>
      <c r="O151" s="90"/>
      <c r="P151" s="90"/>
    </row>
    <row r="152" spans="2:46">
      <c r="C152" s="605" t="s">
        <v>1411</v>
      </c>
      <c r="E152" s="51"/>
      <c r="F152" s="1674">
        <f>(1-((($F$86-$F$93)*$N$74)+(($F$87-$F$94)*$N$73)))</f>
        <v>1.1277005347593583</v>
      </c>
      <c r="G152" s="90"/>
      <c r="H152" s="90"/>
      <c r="I152" s="90"/>
      <c r="J152" s="90"/>
      <c r="K152" s="90"/>
      <c r="L152" s="90"/>
      <c r="M152" s="90"/>
      <c r="N152" s="90"/>
      <c r="O152" s="90"/>
      <c r="P152" s="90"/>
    </row>
    <row r="153" spans="2:46" s="423" customFormat="1">
      <c r="C153" s="423" t="s">
        <v>1663</v>
      </c>
      <c r="E153" s="1662" t="str">
        <f>preferences.energyunits</f>
        <v>TWh</v>
      </c>
      <c r="F153" s="73">
        <f>F151</f>
        <v>13.96747080441868</v>
      </c>
      <c r="G153" s="73">
        <f>($Z$153/$F$153)^(1/20)*F153</f>
        <v>15.455382735281566</v>
      </c>
      <c r="H153" s="73">
        <f t="shared" ref="H153:Y153" si="31">($Z$153/$F$153)^(1/20)*G153</f>
        <v>17.101797371824262</v>
      </c>
      <c r="I153" s="73">
        <f t="shared" si="31"/>
        <v>18.923599522338648</v>
      </c>
      <c r="J153" s="73">
        <f t="shared" si="31"/>
        <v>20.939472682084318</v>
      </c>
      <c r="K153" s="73">
        <f t="shared" si="31"/>
        <v>23.170090641908107</v>
      </c>
      <c r="L153" s="73">
        <f t="shared" si="31"/>
        <v>25.638329508343627</v>
      </c>
      <c r="M153" s="73">
        <f t="shared" si="31"/>
        <v>28.36950230956332</v>
      </c>
      <c r="N153" s="73">
        <f t="shared" si="31"/>
        <v>31.391618593184809</v>
      </c>
      <c r="O153" s="73">
        <f t="shared" si="31"/>
        <v>34.735671678237296</v>
      </c>
      <c r="P153" s="73">
        <f t="shared" si="31"/>
        <v>38.435956507201098</v>
      </c>
      <c r="Q153" s="73">
        <f t="shared" si="31"/>
        <v>42.530421357852468</v>
      </c>
      <c r="R153" s="73">
        <f t="shared" si="31"/>
        <v>47.061057021895159</v>
      </c>
      <c r="S153" s="73">
        <f t="shared" si="31"/>
        <v>52.07432744160095</v>
      </c>
      <c r="T153" s="73">
        <f t="shared" si="31"/>
        <v>57.621646220853869</v>
      </c>
      <c r="U153" s="73">
        <f t="shared" si="31"/>
        <v>63.759903897458123</v>
      </c>
      <c r="V153" s="73">
        <f t="shared" si="31"/>
        <v>70.552051384151753</v>
      </c>
      <c r="W153" s="73">
        <f t="shared" si="31"/>
        <v>78.067745561806404</v>
      </c>
      <c r="X153" s="73">
        <f t="shared" si="31"/>
        <v>86.384063645695491</v>
      </c>
      <c r="Y153" s="73">
        <f t="shared" si="31"/>
        <v>95.586293651015239</v>
      </c>
      <c r="Z153" s="423">
        <f>Z127*$F$152</f>
        <v>105.76880906427911</v>
      </c>
      <c r="AA153" s="423">
        <f t="shared" ref="AA153:AT153" si="32">AA127*$F$152</f>
        <v>111.85051558547518</v>
      </c>
      <c r="AB153" s="423">
        <f t="shared" si="32"/>
        <v>118.28192023164002</v>
      </c>
      <c r="AC153" s="423">
        <f t="shared" si="32"/>
        <v>125.08313064495934</v>
      </c>
      <c r="AD153" s="423">
        <f t="shared" si="32"/>
        <v>132.27541065704452</v>
      </c>
      <c r="AE153" s="423">
        <f t="shared" si="32"/>
        <v>139.88124676982457</v>
      </c>
      <c r="AF153" s="423">
        <f t="shared" si="32"/>
        <v>147.92441845908951</v>
      </c>
      <c r="AG153" s="423">
        <f t="shared" si="32"/>
        <v>156.43007252048719</v>
      </c>
      <c r="AH153" s="423">
        <f t="shared" si="32"/>
        <v>165.42480169041519</v>
      </c>
      <c r="AI153" s="423">
        <f t="shared" si="32"/>
        <v>174.9367277876141</v>
      </c>
      <c r="AJ153" s="423">
        <f t="shared" si="32"/>
        <v>184.99558963540193</v>
      </c>
      <c r="AK153" s="423">
        <f t="shared" si="32"/>
        <v>187.30803450584446</v>
      </c>
      <c r="AL153" s="423">
        <f t="shared" si="32"/>
        <v>189.6493849371675</v>
      </c>
      <c r="AM153" s="423">
        <f t="shared" si="32"/>
        <v>192.02000224888207</v>
      </c>
      <c r="AN153" s="423">
        <f t="shared" si="32"/>
        <v>194.4202522769931</v>
      </c>
      <c r="AO153" s="423">
        <f t="shared" si="32"/>
        <v>196.85050543045551</v>
      </c>
      <c r="AP153" s="423">
        <f t="shared" si="32"/>
        <v>199.3111367483362</v>
      </c>
      <c r="AQ153" s="423">
        <f t="shared" si="32"/>
        <v>201.80252595769039</v>
      </c>
      <c r="AR153" s="423">
        <f t="shared" si="32"/>
        <v>204.32505753216151</v>
      </c>
      <c r="AS153" s="423">
        <f t="shared" si="32"/>
        <v>206.87912075131354</v>
      </c>
      <c r="AT153" s="423">
        <f t="shared" si="32"/>
        <v>209.46510976070493</v>
      </c>
    </row>
    <row r="154" spans="2:46">
      <c r="E154" s="51"/>
      <c r="F154" s="90"/>
      <c r="G154" s="90"/>
      <c r="H154" s="90"/>
      <c r="I154" s="90"/>
      <c r="J154" s="90"/>
      <c r="K154" s="90"/>
      <c r="L154" s="90"/>
      <c r="M154" s="90"/>
      <c r="N154" s="90"/>
      <c r="O154" s="90"/>
      <c r="P154" s="90"/>
    </row>
    <row r="155" spans="2:46" s="423" customFormat="1">
      <c r="C155" s="423" t="s">
        <v>1412</v>
      </c>
      <c r="E155" s="1662" t="str">
        <f>preferences.energyunits</f>
        <v>TWh</v>
      </c>
      <c r="F155" s="1676">
        <f>F145+F149+F153</f>
        <v>69.837354022093393</v>
      </c>
      <c r="G155" s="1676">
        <f t="shared" ref="G155:AT155" si="33">G145+G149+G153</f>
        <v>77.219958513459318</v>
      </c>
      <c r="H155" s="1676">
        <f t="shared" si="33"/>
        <v>85.38331660176371</v>
      </c>
      <c r="I155" s="1676">
        <f t="shared" si="33"/>
        <v>94.410032641922868</v>
      </c>
      <c r="J155" s="1676">
        <f t="shared" si="33"/>
        <v>104.39145434832118</v>
      </c>
      <c r="K155" s="1676">
        <f t="shared" si="33"/>
        <v>115.42859864757057</v>
      </c>
      <c r="L155" s="1676">
        <f t="shared" si="33"/>
        <v>127.63317561463451</v>
      </c>
      <c r="M155" s="1676">
        <f t="shared" si="33"/>
        <v>141.12872088769083</v>
      </c>
      <c r="N155" s="1676">
        <f t="shared" si="33"/>
        <v>156.05184805935144</v>
      </c>
      <c r="O155" s="1676">
        <f t="shared" si="33"/>
        <v>172.55363376102616</v>
      </c>
      <c r="P155" s="1676">
        <f t="shared" si="33"/>
        <v>190.80114950572121</v>
      </c>
      <c r="Q155" s="1676">
        <f t="shared" si="33"/>
        <v>210.97915584612775</v>
      </c>
      <c r="R155" s="1676">
        <f t="shared" si="33"/>
        <v>233.29197605466521</v>
      </c>
      <c r="S155" s="1676">
        <f t="shared" si="33"/>
        <v>257.96556835699448</v>
      </c>
      <c r="T155" s="1676">
        <f t="shared" si="33"/>
        <v>285.24981776898744</v>
      </c>
      <c r="U155" s="1676">
        <f t="shared" si="33"/>
        <v>315.42107081978503</v>
      </c>
      <c r="V155" s="1676">
        <f t="shared" si="33"/>
        <v>348.78493891313059</v>
      </c>
      <c r="W155" s="1676">
        <f t="shared" si="33"/>
        <v>385.67939881077939</v>
      </c>
      <c r="X155" s="1676">
        <f t="shared" si="33"/>
        <v>426.47822174328178</v>
      </c>
      <c r="Y155" s="1676">
        <f t="shared" si="33"/>
        <v>471.59476599558707</v>
      </c>
      <c r="Z155" s="1676">
        <f t="shared" si="33"/>
        <v>521.48617151177393</v>
      </c>
      <c r="AA155" s="1676">
        <f t="shared" si="33"/>
        <v>551.47162637370104</v>
      </c>
      <c r="AB155" s="1676">
        <f t="shared" si="33"/>
        <v>583.18124489018885</v>
      </c>
      <c r="AC155" s="1676">
        <f t="shared" si="33"/>
        <v>616.71416647137471</v>
      </c>
      <c r="AD155" s="1676">
        <f t="shared" si="33"/>
        <v>652.1752310434789</v>
      </c>
      <c r="AE155" s="1676">
        <f t="shared" si="33"/>
        <v>689.67530682847894</v>
      </c>
      <c r="AF155" s="1676">
        <f t="shared" si="33"/>
        <v>729.33163697111672</v>
      </c>
      <c r="AG155" s="1676">
        <f t="shared" si="33"/>
        <v>771.26820609695585</v>
      </c>
      <c r="AH155" s="1676">
        <f t="shared" si="33"/>
        <v>815.61612794753091</v>
      </c>
      <c r="AI155" s="1676">
        <f t="shared" si="33"/>
        <v>862.51405530451405</v>
      </c>
      <c r="AJ155" s="1676">
        <f t="shared" si="33"/>
        <v>912.10861348452363</v>
      </c>
      <c r="AK155" s="1676">
        <f t="shared" si="33"/>
        <v>923.5099711530803</v>
      </c>
      <c r="AL155" s="1676">
        <f t="shared" si="33"/>
        <v>935.05384579249369</v>
      </c>
      <c r="AM155" s="1676">
        <f t="shared" si="33"/>
        <v>946.74201886489982</v>
      </c>
      <c r="AN155" s="1676">
        <f t="shared" si="33"/>
        <v>958.57629410071104</v>
      </c>
      <c r="AO155" s="1676">
        <f t="shared" si="33"/>
        <v>970.55849777696983</v>
      </c>
      <c r="AP155" s="1676">
        <f t="shared" si="33"/>
        <v>982.69047899918201</v>
      </c>
      <c r="AQ155" s="1676">
        <f t="shared" si="33"/>
        <v>994.97410998667158</v>
      </c>
      <c r="AR155" s="1676">
        <f t="shared" si="33"/>
        <v>1007.4112863615051</v>
      </c>
      <c r="AS155" s="1676">
        <f t="shared" si="33"/>
        <v>1020.0039274410238</v>
      </c>
      <c r="AT155" s="1676">
        <f t="shared" si="33"/>
        <v>1032.7539765340366</v>
      </c>
    </row>
    <row r="156" spans="2:46">
      <c r="E156" s="51"/>
      <c r="F156" s="90"/>
      <c r="G156" s="90"/>
      <c r="H156" s="90"/>
      <c r="I156" s="90"/>
      <c r="J156" s="90"/>
      <c r="K156" s="90"/>
      <c r="L156" s="90"/>
      <c r="M156" s="90"/>
      <c r="N156" s="90"/>
      <c r="O156" s="90"/>
      <c r="P156" s="90"/>
    </row>
    <row r="157" spans="2:46" s="495" customFormat="1">
      <c r="B157" s="643"/>
      <c r="C157" s="145" t="s">
        <v>1404</v>
      </c>
      <c r="E157" s="976"/>
      <c r="F157" s="1661">
        <v>2007</v>
      </c>
      <c r="G157" s="1661">
        <v>2012</v>
      </c>
      <c r="H157" s="1661">
        <f>G157+5</f>
        <v>2017</v>
      </c>
      <c r="I157" s="1661">
        <f t="shared" ref="I157:N157" si="34">H157+5</f>
        <v>2022</v>
      </c>
      <c r="J157" s="1661">
        <f t="shared" si="34"/>
        <v>2027</v>
      </c>
      <c r="K157" s="1661">
        <f t="shared" si="34"/>
        <v>2032</v>
      </c>
      <c r="L157" s="1661">
        <f t="shared" si="34"/>
        <v>2037</v>
      </c>
      <c r="M157" s="1661">
        <f t="shared" si="34"/>
        <v>2042</v>
      </c>
      <c r="N157" s="1661">
        <f t="shared" si="34"/>
        <v>2047</v>
      </c>
      <c r="O157" s="1661">
        <f>N157+5</f>
        <v>2052</v>
      </c>
      <c r="P157" s="1661"/>
      <c r="Q157" s="1661"/>
      <c r="R157" s="1661"/>
      <c r="S157" s="1661"/>
      <c r="T157" s="1661"/>
      <c r="U157" s="1661"/>
      <c r="V157" s="1661"/>
      <c r="W157" s="1661"/>
      <c r="X157" s="1661"/>
      <c r="Y157" s="1661"/>
      <c r="Z157" s="1661"/>
      <c r="AA157" s="1661"/>
      <c r="AB157" s="1661"/>
      <c r="AC157" s="1661"/>
      <c r="AD157" s="1661"/>
      <c r="AE157" s="1661"/>
      <c r="AF157" s="1661"/>
      <c r="AG157" s="1661"/>
      <c r="AH157" s="1661"/>
      <c r="AI157" s="1661"/>
      <c r="AJ157" s="1661"/>
      <c r="AK157" s="1661"/>
      <c r="AL157" s="1661"/>
      <c r="AM157" s="1661"/>
      <c r="AN157" s="1661"/>
      <c r="AO157" s="1661"/>
      <c r="AP157" s="1661"/>
      <c r="AQ157" s="1661"/>
      <c r="AR157" s="1661"/>
      <c r="AS157" s="1661"/>
      <c r="AT157" s="1661"/>
    </row>
    <row r="158" spans="2:46" s="131" customFormat="1">
      <c r="B158" s="1544"/>
      <c r="C158" s="1544" t="s">
        <v>1402</v>
      </c>
      <c r="E158" s="1669" t="s">
        <v>277</v>
      </c>
      <c r="F158" s="1670">
        <f ca="1">F98</f>
        <v>2.6894420109200369E-4</v>
      </c>
      <c r="G158" s="1670">
        <f t="shared" ref="G158:O158" ca="1" si="35">G98</f>
        <v>2.697097401791752E-4</v>
      </c>
      <c r="H158" s="1670">
        <f t="shared" ca="1" si="35"/>
        <v>2.9052459208514433E-4</v>
      </c>
      <c r="I158" s="1670">
        <f t="shared" ca="1" si="35"/>
        <v>3.1862959737653226E-4</v>
      </c>
      <c r="J158" s="1670">
        <f t="shared" ca="1" si="35"/>
        <v>3.4951112536671348E-4</v>
      </c>
      <c r="K158" s="1670">
        <f t="shared" ca="1" si="35"/>
        <v>3.9034789765937325E-4</v>
      </c>
      <c r="L158" s="1670">
        <f t="shared" ca="1" si="35"/>
        <v>3.9177924292343433E-4</v>
      </c>
      <c r="M158" s="1670">
        <f t="shared" ca="1" si="35"/>
        <v>3.9327654930063251E-4</v>
      </c>
      <c r="N158" s="1670">
        <f t="shared" ca="1" si="35"/>
        <v>3.9483775365680855E-4</v>
      </c>
      <c r="O158" s="1670">
        <f t="shared" ca="1" si="35"/>
        <v>3.9646005403767793E-4</v>
      </c>
      <c r="P158" s="1671"/>
      <c r="Q158" s="1671"/>
      <c r="R158" s="1671"/>
      <c r="S158" s="1671"/>
      <c r="T158" s="1671"/>
      <c r="U158" s="1671"/>
      <c r="V158" s="1671"/>
      <c r="W158" s="1671"/>
      <c r="X158" s="1671"/>
      <c r="Y158" s="1671"/>
      <c r="Z158" s="1671"/>
      <c r="AA158" s="1671"/>
      <c r="AB158" s="1671"/>
      <c r="AC158" s="1671"/>
      <c r="AD158" s="1671"/>
      <c r="AE158" s="1671"/>
      <c r="AF158" s="1671"/>
      <c r="AG158" s="1671"/>
      <c r="AH158" s="1671"/>
      <c r="AI158" s="1671"/>
      <c r="AJ158" s="1671"/>
      <c r="AK158" s="1671"/>
      <c r="AL158" s="1671"/>
      <c r="AM158" s="1671"/>
      <c r="AN158" s="1671"/>
      <c r="AO158" s="1671"/>
      <c r="AP158" s="1671"/>
      <c r="AQ158" s="1671"/>
      <c r="AR158" s="1671"/>
      <c r="AS158" s="1671"/>
      <c r="AT158" s="1671"/>
    </row>
    <row r="159" spans="2:46" s="1617" customFormat="1">
      <c r="B159" s="1624"/>
      <c r="C159" s="1624" t="s">
        <v>1660</v>
      </c>
      <c r="E159" s="1662" t="str">
        <f>preferences.energyunits</f>
        <v>TWh</v>
      </c>
      <c r="F159" s="1992">
        <f ca="1">(F158*F155)</f>
        <v>1.8782351383851339E-2</v>
      </c>
      <c r="G159" s="1992">
        <f ca="1">(G158*F155)</f>
        <v>1.8835814608099886E-2</v>
      </c>
      <c r="H159" s="1992">
        <f ca="1">(H158*K155)</f>
        <v>3.3534846537045283E-2</v>
      </c>
      <c r="I159" s="1992">
        <f ca="1">(I158*P155)</f>
        <v>6.0794893445987486E-2</v>
      </c>
      <c r="J159" s="1992">
        <f ca="1">(J158*U155)</f>
        <v>0.1102431734265969</v>
      </c>
      <c r="K159" s="1992">
        <f ca="1">(K158*Z155)</f>
        <v>0.20356103070805628</v>
      </c>
      <c r="L159" s="1992">
        <f ca="1">(L158*AE155)</f>
        <v>0.27020046957224875</v>
      </c>
      <c r="M159" s="1992">
        <f ca="1">(M158*AJ155)</f>
        <v>0.3587109280985778</v>
      </c>
      <c r="N159" s="1992">
        <f ca="1">(N158*AO155)</f>
        <v>0.38321313705478538</v>
      </c>
      <c r="O159" s="1992">
        <f ca="1">(O158*AT155)</f>
        <v>0.40944569734431091</v>
      </c>
      <c r="P159" s="1619"/>
      <c r="Q159" s="1619"/>
      <c r="R159" s="1619"/>
      <c r="S159" s="1619"/>
      <c r="T159" s="1619"/>
      <c r="U159" s="1619"/>
      <c r="V159" s="1619"/>
      <c r="W159" s="1619"/>
      <c r="X159" s="1619"/>
      <c r="Y159" s="1619"/>
      <c r="Z159" s="1619"/>
      <c r="AA159" s="1619"/>
      <c r="AB159" s="1619"/>
      <c r="AC159" s="1619"/>
      <c r="AD159" s="1619"/>
      <c r="AE159" s="1619"/>
      <c r="AF159" s="1619"/>
      <c r="AG159" s="1619"/>
      <c r="AH159" s="1619"/>
      <c r="AI159" s="1619"/>
      <c r="AJ159" s="1619"/>
      <c r="AK159" s="1619"/>
      <c r="AL159" s="1619"/>
      <c r="AM159" s="1619"/>
      <c r="AN159" s="1619"/>
      <c r="AO159" s="1619"/>
      <c r="AP159" s="1619"/>
      <c r="AQ159" s="1619"/>
      <c r="AR159" s="1619"/>
      <c r="AS159" s="1619"/>
      <c r="AT159" s="1619"/>
    </row>
    <row r="160" spans="2:46">
      <c r="C160" s="423" t="s">
        <v>1413</v>
      </c>
      <c r="E160" s="1662" t="str">
        <f>preferences.energyunits</f>
        <v>TWh</v>
      </c>
      <c r="F160" s="90">
        <f ca="1">F155-F159</f>
        <v>69.818571670709545</v>
      </c>
      <c r="G160" s="90">
        <f ca="1">F155-G159</f>
        <v>69.818518207485297</v>
      </c>
      <c r="H160" s="90">
        <f ca="1">K155-H159</f>
        <v>115.39506380103352</v>
      </c>
      <c r="I160" s="90">
        <f ca="1">P155-I159</f>
        <v>190.74035461227521</v>
      </c>
      <c r="J160" s="90">
        <f ca="1">U155-J159</f>
        <v>315.3108276463584</v>
      </c>
      <c r="K160" s="90">
        <f ca="1">Z155-K159</f>
        <v>521.28261048106583</v>
      </c>
      <c r="L160" s="90">
        <f ca="1">AE155-L159</f>
        <v>689.40510635890666</v>
      </c>
      <c r="M160" s="90">
        <f ca="1">AJ155-M159</f>
        <v>911.74990255642501</v>
      </c>
      <c r="N160" s="90">
        <f ca="1">AO155-N159</f>
        <v>970.17528463991505</v>
      </c>
      <c r="O160" s="90">
        <f ca="1">AT155-O159</f>
        <v>1032.3445308366922</v>
      </c>
      <c r="P160" s="90"/>
    </row>
    <row r="161" spans="1:19">
      <c r="E161" s="51"/>
      <c r="F161" s="90"/>
      <c r="G161" s="90"/>
      <c r="H161" s="90"/>
      <c r="I161" s="90"/>
      <c r="J161" s="90"/>
      <c r="K161" s="90"/>
      <c r="L161" s="90"/>
      <c r="M161" s="90"/>
      <c r="N161" s="90"/>
      <c r="O161" s="90"/>
      <c r="P161" s="90"/>
    </row>
    <row r="162" spans="1:19">
      <c r="C162" s="605" t="s">
        <v>1664</v>
      </c>
      <c r="E162" s="1662" t="str">
        <f>preferences.energyunits</f>
        <v>TWh</v>
      </c>
      <c r="F162" s="90">
        <f>G162</f>
        <v>17.459338505523348</v>
      </c>
      <c r="G162" s="90">
        <f>(IF($E$8=2,F118,F145))</f>
        <v>17.459338505523348</v>
      </c>
      <c r="H162" s="90">
        <f>(IF($E$8=2,K118,K145))</f>
        <v>29.292726790227515</v>
      </c>
      <c r="I162" s="90">
        <f>(IF($E$8=2,P118,P145))</f>
        <v>49.146411963744214</v>
      </c>
      <c r="J162" s="90">
        <f>(IF($E$8=2,U118,U145))</f>
        <v>82.456297981649939</v>
      </c>
      <c r="K162" s="90">
        <f>(IF($E$8=2,Z118,Z145))</f>
        <v>138.34257283836675</v>
      </c>
      <c r="L162" s="90">
        <f>(IF($E$8=2,AE118,AE145))</f>
        <v>182.96066431281702</v>
      </c>
      <c r="M162" s="90">
        <f>(IF($E$8=2,AJ118,AJ145))</f>
        <v>241.9689326213236</v>
      </c>
      <c r="N162" s="90">
        <f>(IF($E$8=2,AO118,AO145))</f>
        <v>257.47482293415862</v>
      </c>
      <c r="O162" s="90">
        <f>(IF($E$8=2,AT118,AT145))</f>
        <v>273.97436409212071</v>
      </c>
      <c r="P162" s="90"/>
    </row>
    <row r="163" spans="1:19">
      <c r="C163" s="605" t="s">
        <v>1665</v>
      </c>
      <c r="E163" s="1662" t="str">
        <f>preferences.energyunits</f>
        <v>TWh</v>
      </c>
      <c r="F163" s="90">
        <f>G163</f>
        <v>38.410544712151371</v>
      </c>
      <c r="G163" s="90">
        <f>(IF($E$8=2,F123,F149))</f>
        <v>38.410544712151371</v>
      </c>
      <c r="H163" s="90">
        <f>(IF($E$8=2,K123,K149))</f>
        <v>62.965781215434951</v>
      </c>
      <c r="I163" s="90">
        <f>(IF($E$8=2,P123,P149))</f>
        <v>103.2187810347759</v>
      </c>
      <c r="J163" s="90">
        <f>(IF($E$8=2,U123,U149))</f>
        <v>169.20486894067699</v>
      </c>
      <c r="K163" s="90">
        <f>(IF($E$8=2,Z123,Z149))</f>
        <v>277.37478960912807</v>
      </c>
      <c r="L163" s="90">
        <f>(IF($E$8=2,AE123,AE149))</f>
        <v>366.83339574583738</v>
      </c>
      <c r="M163" s="90">
        <f>(IF($E$8=2,AJ123,AJ149))</f>
        <v>485.14409122779819</v>
      </c>
      <c r="N163" s="90">
        <f>(IF($E$8=2,AO123,AO149))</f>
        <v>516.23316941235566</v>
      </c>
      <c r="O163" s="90">
        <f>(IF($E$8=2,AT123,AT149))</f>
        <v>549.31450268121102</v>
      </c>
      <c r="P163" s="90"/>
    </row>
    <row r="164" spans="1:19">
      <c r="C164" s="605" t="s">
        <v>1666</v>
      </c>
      <c r="E164" s="1662" t="str">
        <f>preferences.energyunits</f>
        <v>TWh</v>
      </c>
      <c r="F164" s="90">
        <f>G164</f>
        <v>13.96747080441868</v>
      </c>
      <c r="G164" s="90">
        <f>(IF($E$8=2,F127,F153))</f>
        <v>13.96747080441868</v>
      </c>
      <c r="H164" s="90">
        <f>(IF($E$8=2,K127,K153))</f>
        <v>23.170090641908107</v>
      </c>
      <c r="I164" s="90">
        <f>(IF($E$8=2,P127,P153))</f>
        <v>38.435956507201098</v>
      </c>
      <c r="J164" s="90">
        <f>(IF($E$8=2,U127,U153))</f>
        <v>63.759903897458123</v>
      </c>
      <c r="K164" s="90">
        <f>(IF($E$8=2,Z127,Z153))</f>
        <v>105.76880906427911</v>
      </c>
      <c r="L164" s="90">
        <f>(IF($E$8=2,AE127,AE153))</f>
        <v>139.88124676982457</v>
      </c>
      <c r="M164" s="90">
        <f>(IF($E$8=2,AJ127,AJ153))</f>
        <v>184.99558963540193</v>
      </c>
      <c r="N164" s="90">
        <f>(IF($E$8=2,AO127,AO153))</f>
        <v>196.85050543045551</v>
      </c>
      <c r="O164" s="90">
        <f>(IF($E$8=2,AT127,AT153))</f>
        <v>209.46510976070493</v>
      </c>
      <c r="P164" s="90"/>
    </row>
    <row r="165" spans="1:19">
      <c r="C165" s="605" t="s">
        <v>1667</v>
      </c>
      <c r="E165" s="1662" t="str">
        <f>preferences.energyunits</f>
        <v>TWh</v>
      </c>
      <c r="F165" s="90">
        <f>G165</f>
        <v>69.837354022093393</v>
      </c>
      <c r="G165" s="90">
        <f>(IF($E$8=2,F129,F155))</f>
        <v>69.837354022093393</v>
      </c>
      <c r="H165" s="90">
        <f>(IF($E$8=2,K129,K155))</f>
        <v>115.42859864757057</v>
      </c>
      <c r="I165" s="90">
        <f>(IF($E$8=2,P129,P155))</f>
        <v>190.80114950572121</v>
      </c>
      <c r="J165" s="90">
        <f>(IF($E$8=2,U129,U155))</f>
        <v>315.42107081978503</v>
      </c>
      <c r="K165" s="90">
        <f>(IF($E$8=2,Z129,Z155))</f>
        <v>521.48617151177393</v>
      </c>
      <c r="L165" s="90">
        <f>(IF($E$8=2,AE129,AE155))</f>
        <v>689.67530682847894</v>
      </c>
      <c r="M165" s="90">
        <f>(IF($E$8=2,AJ129,AJ155))</f>
        <v>912.10861348452363</v>
      </c>
      <c r="N165" s="90">
        <f>(IF($E$8=2,AO129,AO155))</f>
        <v>970.55849777696983</v>
      </c>
      <c r="O165" s="90">
        <f>(IF($E$8=2,AT129,AT155))</f>
        <v>1032.7539765340366</v>
      </c>
      <c r="P165" s="90"/>
    </row>
    <row r="166" spans="1:19">
      <c r="E166" s="51"/>
      <c r="F166" s="90"/>
      <c r="G166" s="90"/>
      <c r="H166" s="90"/>
      <c r="I166" s="90"/>
      <c r="J166" s="90"/>
      <c r="K166" s="90"/>
      <c r="L166" s="90"/>
      <c r="M166" s="90"/>
      <c r="N166" s="90"/>
      <c r="O166" s="90"/>
      <c r="P166" s="90"/>
    </row>
    <row r="167" spans="1:19" s="1617" customFormat="1" ht="63.75">
      <c r="C167" s="1989" t="s">
        <v>1668</v>
      </c>
      <c r="E167" s="1993" t="str">
        <f>preferences.energyunits</f>
        <v>TWh</v>
      </c>
      <c r="F167" s="1994">
        <f ca="1">IF($E$8=2,F133,F159)</f>
        <v>1.8782351383851339E-2</v>
      </c>
      <c r="G167" s="1994">
        <f t="shared" ref="G167:O167" ca="1" si="36">IF($E$8=2,G133,G159)</f>
        <v>1.8835814608099886E-2</v>
      </c>
      <c r="H167" s="1994">
        <f t="shared" ca="1" si="36"/>
        <v>3.3534846537045283E-2</v>
      </c>
      <c r="I167" s="1994">
        <f t="shared" ca="1" si="36"/>
        <v>6.0794893445987486E-2</v>
      </c>
      <c r="J167" s="1994">
        <f t="shared" ca="1" si="36"/>
        <v>0.1102431734265969</v>
      </c>
      <c r="K167" s="1994">
        <f t="shared" ca="1" si="36"/>
        <v>0.20356103070805628</v>
      </c>
      <c r="L167" s="1994">
        <f t="shared" ca="1" si="36"/>
        <v>0.27020046957224875</v>
      </c>
      <c r="M167" s="1994">
        <f t="shared" ca="1" si="36"/>
        <v>0.3587109280985778</v>
      </c>
      <c r="N167" s="1994">
        <f t="shared" ca="1" si="36"/>
        <v>0.38321313705478538</v>
      </c>
      <c r="O167" s="1994">
        <f t="shared" ca="1" si="36"/>
        <v>0.40944569734431091</v>
      </c>
      <c r="P167" s="1994"/>
    </row>
    <row r="168" spans="1:19">
      <c r="E168" s="51"/>
      <c r="F168" s="90"/>
      <c r="G168" s="90"/>
      <c r="H168" s="90"/>
      <c r="I168" s="90"/>
      <c r="J168" s="90"/>
      <c r="K168" s="90"/>
      <c r="L168" s="90"/>
      <c r="M168" s="90"/>
      <c r="N168" s="90"/>
      <c r="O168" s="90"/>
      <c r="P168" s="90"/>
    </row>
    <row r="169" spans="1:19" s="51" customFormat="1">
      <c r="F169" s="22"/>
      <c r="S169" s="22"/>
    </row>
    <row r="170" spans="1:19" ht="22.5" collapsed="1">
      <c r="A170" s="420"/>
      <c r="B170" s="206" t="s">
        <v>202</v>
      </c>
      <c r="C170" s="175"/>
      <c r="D170" s="175"/>
      <c r="E170" s="175"/>
      <c r="F170" s="175"/>
      <c r="G170" s="175"/>
      <c r="H170" s="175"/>
      <c r="I170" s="175"/>
      <c r="J170" s="175"/>
      <c r="K170" s="175"/>
      <c r="L170" s="175"/>
      <c r="M170" s="175"/>
      <c r="N170" s="175"/>
      <c r="O170" s="175"/>
      <c r="P170" s="177"/>
      <c r="S170" s="22"/>
    </row>
    <row r="171" spans="1:19">
      <c r="B171" s="164"/>
      <c r="C171" s="166"/>
      <c r="D171" s="166"/>
      <c r="E171" s="166"/>
      <c r="F171" s="166"/>
      <c r="G171" s="166"/>
      <c r="H171" s="166"/>
      <c r="I171" s="166"/>
      <c r="J171" s="166"/>
      <c r="K171" s="166"/>
      <c r="L171" s="166"/>
      <c r="M171" s="166"/>
      <c r="N171" s="166"/>
      <c r="O171" s="166"/>
      <c r="P171" s="168"/>
      <c r="S171" s="22"/>
    </row>
    <row r="172" spans="1:19">
      <c r="B172" s="164"/>
      <c r="C172" s="178" t="s">
        <v>239</v>
      </c>
      <c r="D172" s="166"/>
      <c r="E172" s="167" t="str">
        <f>preferences.energyunits</f>
        <v>TWh</v>
      </c>
      <c r="F172" s="166"/>
      <c r="G172" s="167"/>
      <c r="H172" s="166"/>
      <c r="I172" s="166"/>
      <c r="J172" s="166"/>
      <c r="K172" s="166"/>
      <c r="L172" s="166"/>
      <c r="M172" s="166"/>
      <c r="N172" s="166"/>
      <c r="O172" s="166"/>
      <c r="P172" s="168"/>
      <c r="S172" s="22"/>
    </row>
    <row r="173" spans="1:19" ht="6" customHeight="1">
      <c r="B173" s="164"/>
      <c r="C173" s="166"/>
      <c r="D173" s="166"/>
      <c r="E173" s="166"/>
      <c r="F173" s="166"/>
      <c r="G173" s="166"/>
      <c r="H173" s="166"/>
      <c r="I173" s="166"/>
      <c r="J173" s="166"/>
      <c r="K173" s="166"/>
      <c r="L173" s="166"/>
      <c r="M173" s="166"/>
      <c r="N173" s="166"/>
      <c r="O173" s="166"/>
      <c r="P173" s="168"/>
      <c r="S173" s="22"/>
    </row>
    <row r="174" spans="1:19" ht="15.75">
      <c r="A174" s="3"/>
      <c r="B174" s="169"/>
      <c r="C174" s="180" t="s">
        <v>64</v>
      </c>
      <c r="D174" s="180" t="s">
        <v>137</v>
      </c>
      <c r="E174" s="180" t="s">
        <v>156</v>
      </c>
      <c r="F174" s="180" t="s">
        <v>203</v>
      </c>
      <c r="G174" s="180" t="s">
        <v>712</v>
      </c>
      <c r="H174" s="180" t="s">
        <v>713</v>
      </c>
      <c r="I174" s="180" t="s">
        <v>714</v>
      </c>
      <c r="J174" s="180" t="s">
        <v>715</v>
      </c>
      <c r="K174" s="180" t="s">
        <v>716</v>
      </c>
      <c r="L174" s="180" t="s">
        <v>717</v>
      </c>
      <c r="M174" s="180" t="s">
        <v>718</v>
      </c>
      <c r="N174" s="180" t="s">
        <v>719</v>
      </c>
      <c r="O174" s="180" t="s">
        <v>720</v>
      </c>
      <c r="P174" s="168"/>
    </row>
    <row r="175" spans="1:19" ht="15.75">
      <c r="A175" s="3"/>
      <c r="B175" s="169"/>
      <c r="C175" s="180" t="s">
        <v>1670</v>
      </c>
      <c r="D175" s="1996" t="str">
        <f>INDEX(Vectors[Description], MATCH([Vector], Vectors[Code], 0))</f>
        <v>Commercial Lighting &amp; Appliances</v>
      </c>
      <c r="E175" s="180"/>
      <c r="F175" s="220">
        <f>F165</f>
        <v>69.837354022093393</v>
      </c>
      <c r="G175" s="220">
        <f t="shared" ref="G175:O175" si="37">G165</f>
        <v>69.837354022093393</v>
      </c>
      <c r="H175" s="220">
        <f t="shared" si="37"/>
        <v>115.42859864757057</v>
      </c>
      <c r="I175" s="220">
        <f t="shared" si="37"/>
        <v>190.80114950572121</v>
      </c>
      <c r="J175" s="220">
        <f t="shared" si="37"/>
        <v>315.42107081978503</v>
      </c>
      <c r="K175" s="220">
        <f t="shared" si="37"/>
        <v>521.48617151177393</v>
      </c>
      <c r="L175" s="220">
        <f t="shared" si="37"/>
        <v>689.67530682847894</v>
      </c>
      <c r="M175" s="220">
        <f t="shared" si="37"/>
        <v>912.10861348452363</v>
      </c>
      <c r="N175" s="220">
        <f t="shared" si="37"/>
        <v>970.55849777696983</v>
      </c>
      <c r="O175" s="220">
        <f t="shared" si="37"/>
        <v>1032.7539765340366</v>
      </c>
      <c r="P175" s="168"/>
    </row>
    <row r="176" spans="1:19" s="1617" customFormat="1" ht="15.75">
      <c r="A176" s="1995"/>
      <c r="B176" s="1977" t="s">
        <v>692</v>
      </c>
      <c r="C176" s="1996" t="s">
        <v>1528</v>
      </c>
      <c r="D176" s="1996" t="str">
        <f>INDEX(Vectors[Description], MATCH([Vector], Vectors[Code], 0))</f>
        <v>Green Building Design &amp; Envelope Savings</v>
      </c>
      <c r="E176" s="1996"/>
      <c r="F176" s="2000">
        <f ca="1">-F167</f>
        <v>-1.8782351383851339E-2</v>
      </c>
      <c r="G176" s="2000">
        <f t="shared" ref="G176:O176" ca="1" si="38">-G167</f>
        <v>-1.8835814608099886E-2</v>
      </c>
      <c r="H176" s="2000">
        <f t="shared" ca="1" si="38"/>
        <v>-3.3534846537045283E-2</v>
      </c>
      <c r="I176" s="2000">
        <f t="shared" ca="1" si="38"/>
        <v>-6.0794893445987486E-2</v>
      </c>
      <c r="J176" s="2000">
        <f t="shared" ca="1" si="38"/>
        <v>-0.1102431734265969</v>
      </c>
      <c r="K176" s="2000">
        <f t="shared" ca="1" si="38"/>
        <v>-0.20356103070805628</v>
      </c>
      <c r="L176" s="2000">
        <f t="shared" ca="1" si="38"/>
        <v>-0.27020046957224875</v>
      </c>
      <c r="M176" s="2000">
        <f t="shared" ca="1" si="38"/>
        <v>-0.3587109280985778</v>
      </c>
      <c r="N176" s="2000">
        <f t="shared" ca="1" si="38"/>
        <v>-0.38321313705478538</v>
      </c>
      <c r="O176" s="2000">
        <f t="shared" ca="1" si="38"/>
        <v>-0.40944569734431091</v>
      </c>
      <c r="P176" s="1979"/>
    </row>
    <row r="177" spans="1:16" ht="15.75">
      <c r="A177" s="3"/>
      <c r="B177" s="169"/>
      <c r="C177" s="1997" t="s">
        <v>34</v>
      </c>
      <c r="D177" s="1996" t="str">
        <f>INDEX(Vectors[Description], MATCH([Vector], Vectors[Code], 0))</f>
        <v>Electricity (delivered to end user)</v>
      </c>
      <c r="E177" s="1997"/>
      <c r="F177" s="220">
        <f ca="1">-(F175+F176)</f>
        <v>-69.818571670709545</v>
      </c>
      <c r="G177" s="220">
        <f t="shared" ref="G177:O177" ca="1" si="39">-(G175+G176)</f>
        <v>-69.818518207485297</v>
      </c>
      <c r="H177" s="220">
        <f t="shared" ca="1" si="39"/>
        <v>-115.39506380103352</v>
      </c>
      <c r="I177" s="220">
        <f t="shared" ca="1" si="39"/>
        <v>-190.74035461227521</v>
      </c>
      <c r="J177" s="220">
        <f t="shared" ca="1" si="39"/>
        <v>-315.3108276463584</v>
      </c>
      <c r="K177" s="220">
        <f t="shared" ca="1" si="39"/>
        <v>-521.28261048106583</v>
      </c>
      <c r="L177" s="220">
        <f t="shared" ca="1" si="39"/>
        <v>-689.40510635890666</v>
      </c>
      <c r="M177" s="220">
        <f t="shared" ca="1" si="39"/>
        <v>-911.74990255642501</v>
      </c>
      <c r="N177" s="220">
        <f t="shared" ca="1" si="39"/>
        <v>-970.17528463991505</v>
      </c>
      <c r="O177" s="220">
        <f t="shared" ca="1" si="39"/>
        <v>-1032.3445308366922</v>
      </c>
      <c r="P177" s="168"/>
    </row>
    <row r="178" spans="1:16" ht="15.75">
      <c r="A178" s="3"/>
      <c r="B178" s="169"/>
      <c r="C178" s="60" t="s">
        <v>103</v>
      </c>
      <c r="D178" s="60"/>
      <c r="E178" s="60"/>
      <c r="F178" s="231">
        <f ca="1">SUBTOTAL(109,[2007])</f>
        <v>0</v>
      </c>
      <c r="G178" s="231">
        <f ca="1">SUBTOTAL(109,[2012])</f>
        <v>0</v>
      </c>
      <c r="H178" s="231">
        <f ca="1">SUBTOTAL(109,[2017])</f>
        <v>0</v>
      </c>
      <c r="I178" s="231">
        <f ca="1">SUBTOTAL(109,[2022])</f>
        <v>0</v>
      </c>
      <c r="J178" s="231">
        <f ca="1">SUBTOTAL(109,[2027])</f>
        <v>0</v>
      </c>
      <c r="K178" s="231">
        <f ca="1">SUBTOTAL(109,[2032])</f>
        <v>0</v>
      </c>
      <c r="L178" s="231">
        <f ca="1">SUBTOTAL(109,[2037])</f>
        <v>0</v>
      </c>
      <c r="M178" s="231">
        <f ca="1">SUBTOTAL(109,[2042])</f>
        <v>0</v>
      </c>
      <c r="N178" s="231">
        <f ca="1">SUBTOTAL(109,[2047])</f>
        <v>0</v>
      </c>
      <c r="O178" s="231">
        <f ca="1">SUBTOTAL(109,[2052])</f>
        <v>0</v>
      </c>
      <c r="P178" s="168"/>
    </row>
    <row r="179" spans="1:16" ht="15.75">
      <c r="A179" s="3"/>
      <c r="B179" s="170"/>
      <c r="C179" s="171"/>
      <c r="D179" s="171"/>
      <c r="E179" s="171"/>
      <c r="F179" s="1677"/>
      <c r="G179" s="171"/>
      <c r="H179" s="171"/>
      <c r="I179" s="171"/>
      <c r="J179" s="171"/>
      <c r="K179" s="171"/>
      <c r="L179" s="171"/>
      <c r="M179" s="171"/>
      <c r="N179" s="171"/>
      <c r="O179" s="171"/>
      <c r="P179" s="173"/>
    </row>
    <row r="181" spans="1:16" ht="22.5">
      <c r="A181" s="420"/>
      <c r="B181" s="216" t="s">
        <v>281</v>
      </c>
      <c r="C181" s="183"/>
      <c r="D181" s="184"/>
      <c r="E181" s="184"/>
      <c r="F181" s="184"/>
      <c r="G181" s="184"/>
      <c r="H181" s="184"/>
      <c r="I181" s="184"/>
      <c r="J181" s="184"/>
      <c r="K181" s="184"/>
      <c r="L181" s="184"/>
      <c r="M181" s="184"/>
      <c r="N181" s="184"/>
      <c r="O181" s="184"/>
      <c r="P181" s="185"/>
    </row>
    <row r="182" spans="1:16">
      <c r="B182" s="190"/>
      <c r="C182" s="191"/>
      <c r="D182" s="191"/>
      <c r="E182" s="191"/>
      <c r="F182" s="191"/>
      <c r="G182" s="191"/>
      <c r="H182" s="191"/>
      <c r="I182" s="191"/>
      <c r="J182" s="191"/>
      <c r="K182" s="191"/>
      <c r="L182" s="191"/>
      <c r="M182" s="191"/>
      <c r="N182" s="191"/>
      <c r="O182" s="191"/>
      <c r="P182" s="192"/>
    </row>
    <row r="183" spans="1:16" ht="14.25">
      <c r="B183" s="193"/>
      <c r="C183" s="186" t="s">
        <v>1367</v>
      </c>
      <c r="D183" s="187"/>
      <c r="E183" s="188"/>
      <c r="F183" s="187"/>
      <c r="G183" s="188"/>
      <c r="H183" s="187"/>
      <c r="I183" s="187"/>
      <c r="J183" s="187"/>
      <c r="K183" s="187"/>
      <c r="L183" s="187"/>
      <c r="M183" s="187"/>
      <c r="N183" s="187"/>
      <c r="O183" s="1625" t="s">
        <v>1368</v>
      </c>
      <c r="P183" s="194"/>
    </row>
    <row r="184" spans="1:16" ht="5.25" customHeight="1">
      <c r="B184" s="193"/>
      <c r="C184" s="187"/>
      <c r="D184" s="187"/>
      <c r="E184" s="187"/>
      <c r="F184" s="187"/>
      <c r="G184" s="187"/>
      <c r="H184" s="187"/>
      <c r="I184" s="187"/>
      <c r="J184" s="187"/>
      <c r="K184" s="187"/>
      <c r="L184" s="187"/>
      <c r="M184" s="187"/>
      <c r="N184" s="187"/>
      <c r="O184" s="187"/>
      <c r="P184" s="194"/>
    </row>
    <row r="185" spans="1:16" ht="15.75">
      <c r="B185" s="195"/>
      <c r="C185" s="221" t="s">
        <v>365</v>
      </c>
      <c r="D185" s="221" t="s">
        <v>337</v>
      </c>
      <c r="E185" s="221" t="s">
        <v>156</v>
      </c>
      <c r="F185" s="432" t="s">
        <v>203</v>
      </c>
      <c r="G185" s="432" t="s">
        <v>712</v>
      </c>
      <c r="H185" s="432" t="s">
        <v>713</v>
      </c>
      <c r="I185" s="432" t="s">
        <v>714</v>
      </c>
      <c r="J185" s="432" t="s">
        <v>715</v>
      </c>
      <c r="K185" s="432" t="s">
        <v>716</v>
      </c>
      <c r="L185" s="432" t="s">
        <v>717</v>
      </c>
      <c r="M185" s="432" t="s">
        <v>718</v>
      </c>
      <c r="N185" s="432" t="s">
        <v>719</v>
      </c>
      <c r="O185" s="432" t="s">
        <v>720</v>
      </c>
      <c r="P185" s="194"/>
    </row>
    <row r="186" spans="1:16" ht="15.75">
      <c r="B186" s="195"/>
      <c r="C186" s="189" t="s">
        <v>350</v>
      </c>
      <c r="D186" s="196" t="s">
        <v>359</v>
      </c>
      <c r="E186" s="189" t="str">
        <f>INDEX(IPCC[Sector_description], MATCH([IPCC Sector], IPCC[Sector_code], 0))</f>
        <v>Fuel Combustion</v>
      </c>
      <c r="F186" s="1413">
        <f>F140</f>
        <v>0</v>
      </c>
      <c r="G186" s="1413">
        <f t="shared" ref="G186:O186" si="40">G140</f>
        <v>0</v>
      </c>
      <c r="H186" s="1413">
        <f t="shared" si="40"/>
        <v>0</v>
      </c>
      <c r="I186" s="1413">
        <f t="shared" si="40"/>
        <v>0</v>
      </c>
      <c r="J186" s="1413">
        <f t="shared" si="40"/>
        <v>0</v>
      </c>
      <c r="K186" s="1413">
        <f t="shared" si="40"/>
        <v>0</v>
      </c>
      <c r="L186" s="1413">
        <f t="shared" si="40"/>
        <v>0</v>
      </c>
      <c r="M186" s="1413">
        <f t="shared" si="40"/>
        <v>0</v>
      </c>
      <c r="N186" s="1413">
        <f t="shared" si="40"/>
        <v>0</v>
      </c>
      <c r="O186" s="1413">
        <f t="shared" si="40"/>
        <v>0</v>
      </c>
      <c r="P186" s="194"/>
    </row>
    <row r="187" spans="1:16" ht="15.75">
      <c r="B187" s="195"/>
      <c r="C187" s="189" t="s">
        <v>351</v>
      </c>
      <c r="D187" s="196" t="s">
        <v>359</v>
      </c>
      <c r="E187" s="189" t="str">
        <f>INDEX(IPCC[Sector_description], MATCH([IPCC Sector], IPCC[Sector_code], 0))</f>
        <v>Fuel Combustion</v>
      </c>
      <c r="F187" s="1413">
        <v>0</v>
      </c>
      <c r="G187" s="1413">
        <v>0</v>
      </c>
      <c r="H187" s="1413">
        <v>0</v>
      </c>
      <c r="I187" s="1413">
        <v>0</v>
      </c>
      <c r="J187" s="1413">
        <v>0</v>
      </c>
      <c r="K187" s="1413">
        <v>0</v>
      </c>
      <c r="L187" s="1413">
        <v>0</v>
      </c>
      <c r="M187" s="1413">
        <v>0</v>
      </c>
      <c r="N187" s="1413">
        <v>0</v>
      </c>
      <c r="O187" s="1413">
        <v>0</v>
      </c>
      <c r="P187" s="194"/>
    </row>
    <row r="188" spans="1:16" ht="15.75">
      <c r="B188" s="195"/>
      <c r="C188" s="189" t="s">
        <v>352</v>
      </c>
      <c r="D188" s="196" t="s">
        <v>359</v>
      </c>
      <c r="E188" s="189" t="str">
        <f>INDEX(IPCC[Sector_description], MATCH([IPCC Sector], IPCC[Sector_code], 0))</f>
        <v>Fuel Combustion</v>
      </c>
      <c r="F188" s="1413">
        <f>F142</f>
        <v>0</v>
      </c>
      <c r="G188" s="1413">
        <f t="shared" ref="G188:O188" si="41">G142</f>
        <v>0</v>
      </c>
      <c r="H188" s="1413">
        <f t="shared" si="41"/>
        <v>0</v>
      </c>
      <c r="I188" s="1413">
        <f t="shared" si="41"/>
        <v>0</v>
      </c>
      <c r="J188" s="1413">
        <f t="shared" si="41"/>
        <v>0</v>
      </c>
      <c r="K188" s="1413">
        <f t="shared" si="41"/>
        <v>0</v>
      </c>
      <c r="L188" s="1413">
        <f t="shared" si="41"/>
        <v>0</v>
      </c>
      <c r="M188" s="1413">
        <f t="shared" si="41"/>
        <v>0</v>
      </c>
      <c r="N188" s="1413">
        <f t="shared" si="41"/>
        <v>0</v>
      </c>
      <c r="O188" s="1413">
        <f t="shared" si="41"/>
        <v>0</v>
      </c>
      <c r="P188" s="194"/>
    </row>
    <row r="189" spans="1:16" ht="15.75">
      <c r="B189" s="195"/>
      <c r="C189" s="189" t="s">
        <v>103</v>
      </c>
      <c r="D189" s="189"/>
      <c r="E189" s="189"/>
      <c r="F189" s="223">
        <f>SUBTOTAL(109,[2007])</f>
        <v>0</v>
      </c>
      <c r="G189" s="223">
        <f>SUBTOTAL(109,[2012])</f>
        <v>0</v>
      </c>
      <c r="H189" s="223">
        <f>SUBTOTAL(109,[2017])</f>
        <v>0</v>
      </c>
      <c r="I189" s="223">
        <f>SUBTOTAL(109,[2022])</f>
        <v>0</v>
      </c>
      <c r="J189" s="223">
        <f>SUBTOTAL(109,[2027])</f>
        <v>0</v>
      </c>
      <c r="K189" s="223">
        <f>SUBTOTAL(109,[2032])</f>
        <v>0</v>
      </c>
      <c r="L189" s="223">
        <f>SUBTOTAL(109,[2037])</f>
        <v>0</v>
      </c>
      <c r="M189" s="223">
        <f>SUBTOTAL(109,[2042])</f>
        <v>0</v>
      </c>
      <c r="N189" s="223">
        <f>SUBTOTAL(109,[2047])</f>
        <v>0</v>
      </c>
      <c r="O189" s="223">
        <f>SUBTOTAL(109,[2052])</f>
        <v>0</v>
      </c>
      <c r="P189" s="194"/>
    </row>
    <row r="190" spans="1:16">
      <c r="B190" s="1678"/>
      <c r="C190" s="1678"/>
      <c r="D190" s="1678"/>
      <c r="E190" s="1678"/>
      <c r="F190" s="1678"/>
      <c r="G190" s="1678"/>
      <c r="H190" s="1678"/>
      <c r="I190" s="1678"/>
      <c r="J190" s="1678"/>
      <c r="K190" s="1678"/>
      <c r="L190" s="1678"/>
      <c r="M190" s="1678"/>
      <c r="N190" s="1678"/>
      <c r="O190" s="1678"/>
      <c r="P190" s="1678"/>
    </row>
    <row r="191" spans="1:16">
      <c r="B191" s="1678"/>
      <c r="C191" s="1627" t="s">
        <v>1369</v>
      </c>
      <c r="D191" s="1405"/>
      <c r="E191" s="189"/>
      <c r="F191" s="223"/>
      <c r="G191" s="223"/>
      <c r="H191" s="223"/>
      <c r="I191" s="223"/>
      <c r="J191" s="223"/>
      <c r="K191" s="223"/>
      <c r="L191" s="223"/>
      <c r="M191" s="223"/>
      <c r="N191" s="223"/>
      <c r="O191" s="1628" t="s">
        <v>1370</v>
      </c>
      <c r="P191" s="1678"/>
    </row>
    <row r="192" spans="1:16" ht="4.5" customHeight="1">
      <c r="B192" s="1678"/>
      <c r="C192" s="1679"/>
      <c r="D192" s="1679"/>
      <c r="E192" s="1679"/>
      <c r="F192" s="1679"/>
      <c r="G192" s="1679"/>
      <c r="H192" s="1679"/>
      <c r="I192" s="1679"/>
      <c r="J192" s="1679"/>
      <c r="K192" s="1679"/>
      <c r="L192" s="1679"/>
      <c r="M192" s="1679"/>
      <c r="N192" s="1679"/>
      <c r="O192" s="1679"/>
      <c r="P192" s="1678"/>
    </row>
    <row r="193" spans="2:22">
      <c r="B193" s="1678"/>
      <c r="C193" s="1680" t="s">
        <v>64</v>
      </c>
      <c r="D193" s="1681" t="s">
        <v>137</v>
      </c>
      <c r="E193" s="1681" t="s">
        <v>337</v>
      </c>
      <c r="F193" s="1998" t="s">
        <v>203</v>
      </c>
      <c r="G193" s="1998" t="s">
        <v>712</v>
      </c>
      <c r="H193" s="1998" t="s">
        <v>713</v>
      </c>
      <c r="I193" s="1998" t="s">
        <v>714</v>
      </c>
      <c r="J193" s="1998" t="s">
        <v>715</v>
      </c>
      <c r="K193" s="1998" t="s">
        <v>716</v>
      </c>
      <c r="L193" s="1998" t="s">
        <v>717</v>
      </c>
      <c r="M193" s="1998" t="s">
        <v>718</v>
      </c>
      <c r="N193" s="1998" t="s">
        <v>719</v>
      </c>
      <c r="O193" s="1998" t="s">
        <v>720</v>
      </c>
      <c r="P193" s="1678"/>
    </row>
    <row r="194" spans="2:22">
      <c r="B194" s="1678"/>
      <c r="C194" s="1682" t="str">
        <f>INDEX(AirQualityVectors[Code],MATCH(D194,AirQualityVectors[Description],0))</f>
        <v>AQ.01</v>
      </c>
      <c r="D194" s="1632" t="s">
        <v>666</v>
      </c>
      <c r="E194" s="1631" t="s">
        <v>359</v>
      </c>
      <c r="F194" s="1633">
        <v>0</v>
      </c>
      <c r="G194" s="1633">
        <v>0</v>
      </c>
      <c r="H194" s="1633">
        <v>0</v>
      </c>
      <c r="I194" s="1633">
        <v>0</v>
      </c>
      <c r="J194" s="1633">
        <v>0</v>
      </c>
      <c r="K194" s="1633">
        <v>0</v>
      </c>
      <c r="L194" s="1633">
        <v>0</v>
      </c>
      <c r="M194" s="1633">
        <v>0</v>
      </c>
      <c r="N194" s="1633">
        <v>0</v>
      </c>
      <c r="O194" s="1633">
        <v>0</v>
      </c>
      <c r="P194" s="1678"/>
    </row>
    <row r="195" spans="2:22">
      <c r="B195" s="1678"/>
      <c r="C195" s="1682" t="str">
        <f>INDEX(AirQualityVectors[Code],MATCH(D195,AirQualityVectors[Description],0))</f>
        <v>AQ.02</v>
      </c>
      <c r="D195" s="1634" t="s">
        <v>668</v>
      </c>
      <c r="E195" s="1629" t="s">
        <v>359</v>
      </c>
      <c r="F195" s="1633">
        <v>0</v>
      </c>
      <c r="G195" s="1633">
        <v>0</v>
      </c>
      <c r="H195" s="1633">
        <v>0</v>
      </c>
      <c r="I195" s="1633">
        <v>0</v>
      </c>
      <c r="J195" s="1633">
        <v>0</v>
      </c>
      <c r="K195" s="1633">
        <v>0</v>
      </c>
      <c r="L195" s="1633">
        <v>0</v>
      </c>
      <c r="M195" s="1633">
        <v>0</v>
      </c>
      <c r="N195" s="1633">
        <v>0</v>
      </c>
      <c r="O195" s="1633">
        <v>0</v>
      </c>
      <c r="P195" s="1678"/>
    </row>
    <row r="196" spans="2:22">
      <c r="B196" s="1678"/>
      <c r="C196" s="1682" t="str">
        <f>INDEX(AirQualityVectors[Code],MATCH(D196,AirQualityVectors[Description],0))</f>
        <v>AQ.03</v>
      </c>
      <c r="D196" s="1634" t="s">
        <v>669</v>
      </c>
      <c r="E196" s="1629" t="s">
        <v>359</v>
      </c>
      <c r="F196" s="1633">
        <v>0</v>
      </c>
      <c r="G196" s="1633">
        <v>0</v>
      </c>
      <c r="H196" s="1633">
        <v>0</v>
      </c>
      <c r="I196" s="1633">
        <v>0</v>
      </c>
      <c r="J196" s="1633">
        <v>0</v>
      </c>
      <c r="K196" s="1633">
        <v>0</v>
      </c>
      <c r="L196" s="1633">
        <v>0</v>
      </c>
      <c r="M196" s="1633">
        <v>0</v>
      </c>
      <c r="N196" s="1633">
        <v>0</v>
      </c>
      <c r="O196" s="1633">
        <v>0</v>
      </c>
      <c r="P196" s="1678"/>
    </row>
    <row r="197" spans="2:22">
      <c r="B197" s="1678"/>
      <c r="C197" s="1682" t="str">
        <f>INDEX(AirQualityVectors[Code],MATCH(D197,AirQualityVectors[Description],0))</f>
        <v>AQ.04</v>
      </c>
      <c r="D197" s="1683" t="s">
        <v>667</v>
      </c>
      <c r="E197" s="1684" t="s">
        <v>359</v>
      </c>
      <c r="F197" s="1633">
        <v>0</v>
      </c>
      <c r="G197" s="1633">
        <v>0</v>
      </c>
      <c r="H197" s="1633">
        <v>0</v>
      </c>
      <c r="I197" s="1633">
        <v>0</v>
      </c>
      <c r="J197" s="1633">
        <v>0</v>
      </c>
      <c r="K197" s="1633">
        <v>0</v>
      </c>
      <c r="L197" s="1633">
        <v>0</v>
      </c>
      <c r="M197" s="1633">
        <v>0</v>
      </c>
      <c r="N197" s="1633">
        <v>0</v>
      </c>
      <c r="O197" s="1633">
        <v>0</v>
      </c>
      <c r="P197" s="1678"/>
    </row>
    <row r="198" spans="2:22">
      <c r="B198" s="1678"/>
      <c r="C198" s="1678"/>
      <c r="D198" s="1678"/>
      <c r="E198" s="1678"/>
      <c r="F198" s="1678"/>
      <c r="G198" s="1678"/>
      <c r="H198" s="1678"/>
      <c r="I198" s="1678"/>
      <c r="J198" s="1678"/>
      <c r="K198" s="1678"/>
      <c r="L198" s="1678"/>
      <c r="M198" s="1678"/>
      <c r="N198" s="1678"/>
      <c r="O198" s="1678"/>
      <c r="P198" s="1678"/>
    </row>
    <row r="199" spans="2:22" ht="15.75">
      <c r="B199" s="1637"/>
      <c r="C199" s="1407"/>
      <c r="D199" s="1407"/>
      <c r="E199" s="1407"/>
      <c r="F199" s="1407"/>
      <c r="G199" s="1407"/>
      <c r="H199" s="1407"/>
      <c r="I199" s="1407"/>
      <c r="J199" s="1407"/>
      <c r="K199" s="1407"/>
      <c r="L199" s="1407"/>
      <c r="M199" s="1407"/>
      <c r="N199" s="1407"/>
      <c r="O199" s="1407"/>
      <c r="P199" s="1408"/>
    </row>
    <row r="202" spans="2:22" ht="21.75" customHeight="1" collapsed="1">
      <c r="B202" s="424" t="s">
        <v>501</v>
      </c>
      <c r="C202" s="346"/>
      <c r="D202" s="425"/>
      <c r="E202" s="425"/>
      <c r="F202" s="425"/>
      <c r="G202" s="425"/>
      <c r="H202" s="425"/>
      <c r="I202" s="425"/>
      <c r="J202" s="425"/>
      <c r="K202" s="425"/>
      <c r="L202" s="425"/>
      <c r="M202" s="425"/>
      <c r="N202" s="425"/>
      <c r="O202" s="425"/>
      <c r="P202" s="426"/>
      <c r="S202" s="623"/>
      <c r="T202" s="630"/>
      <c r="U202" s="623"/>
      <c r="V202" s="623"/>
    </row>
    <row r="203" spans="2:22">
      <c r="B203" s="347"/>
      <c r="C203" s="348"/>
      <c r="D203" s="348"/>
      <c r="E203" s="348"/>
      <c r="F203" s="348"/>
      <c r="G203" s="348"/>
      <c r="H203" s="348"/>
      <c r="I203" s="348"/>
      <c r="J203" s="348"/>
      <c r="K203" s="348"/>
      <c r="L203" s="348"/>
      <c r="M203" s="348"/>
      <c r="N203" s="348"/>
      <c r="O203" s="348"/>
      <c r="P203" s="349"/>
      <c r="T203" s="51"/>
    </row>
    <row r="204" spans="2:22">
      <c r="B204" s="427"/>
      <c r="C204" s="350" t="s">
        <v>506</v>
      </c>
      <c r="D204" s="428"/>
      <c r="E204" s="351"/>
      <c r="F204" s="428"/>
      <c r="G204" s="351"/>
      <c r="H204" s="428"/>
      <c r="I204" s="428"/>
      <c r="J204" s="428"/>
      <c r="K204" s="428"/>
      <c r="L204" s="428"/>
      <c r="M204" s="428"/>
      <c r="N204" s="428"/>
      <c r="O204" s="351"/>
      <c r="P204" s="429"/>
      <c r="T204" s="51"/>
    </row>
    <row r="205" spans="2:22">
      <c r="B205" s="427"/>
      <c r="C205" s="428"/>
      <c r="D205" s="428"/>
      <c r="E205" s="428"/>
      <c r="F205" s="428"/>
      <c r="G205" s="428"/>
      <c r="H205" s="428"/>
      <c r="I205" s="428"/>
      <c r="J205" s="428"/>
      <c r="K205" s="428"/>
      <c r="L205" s="428"/>
      <c r="M205" s="428"/>
      <c r="N205" s="428"/>
      <c r="O205" s="428"/>
      <c r="P205" s="429"/>
      <c r="T205" s="51"/>
    </row>
    <row r="206" spans="2:22" ht="15.75">
      <c r="B206" s="430"/>
      <c r="C206" s="431" t="s">
        <v>64</v>
      </c>
      <c r="D206" s="431" t="s">
        <v>502</v>
      </c>
      <c r="E206" s="431" t="s">
        <v>156</v>
      </c>
      <c r="F206" s="432" t="s">
        <v>203</v>
      </c>
      <c r="G206" s="432" t="s">
        <v>712</v>
      </c>
      <c r="H206" s="432" t="s">
        <v>713</v>
      </c>
      <c r="I206" s="432" t="s">
        <v>714</v>
      </c>
      <c r="J206" s="432" t="s">
        <v>715</v>
      </c>
      <c r="K206" s="432" t="s">
        <v>716</v>
      </c>
      <c r="L206" s="432" t="s">
        <v>717</v>
      </c>
      <c r="M206" s="432" t="s">
        <v>718</v>
      </c>
      <c r="N206" s="432" t="s">
        <v>719</v>
      </c>
      <c r="O206" s="432" t="s">
        <v>720</v>
      </c>
      <c r="P206" s="429"/>
    </row>
    <row r="207" spans="2:22" ht="15.75">
      <c r="B207" s="430"/>
      <c r="C207" s="432"/>
      <c r="D207" s="433"/>
      <c r="E207" s="433"/>
      <c r="F207" s="354"/>
      <c r="G207" s="354"/>
      <c r="H207" s="354"/>
      <c r="I207" s="354"/>
      <c r="J207" s="354"/>
      <c r="K207" s="354"/>
      <c r="L207" s="354"/>
      <c r="M207" s="354"/>
      <c r="N207" s="354"/>
      <c r="O207" s="354"/>
      <c r="P207" s="429"/>
    </row>
    <row r="208" spans="2:22" ht="15.75">
      <c r="B208" s="430"/>
      <c r="C208" s="432"/>
      <c r="D208" s="433"/>
      <c r="E208" s="433"/>
      <c r="F208" s="354"/>
      <c r="G208" s="354"/>
      <c r="H208" s="354"/>
      <c r="I208" s="354"/>
      <c r="J208" s="354"/>
      <c r="K208" s="354"/>
      <c r="L208" s="354"/>
      <c r="M208" s="354"/>
      <c r="N208" s="354"/>
      <c r="O208" s="354"/>
      <c r="P208" s="429"/>
    </row>
    <row r="209" spans="2:16" ht="15.75">
      <c r="B209" s="355"/>
      <c r="C209" s="434"/>
      <c r="D209" s="434"/>
      <c r="E209" s="434"/>
      <c r="F209" s="434"/>
      <c r="G209" s="434"/>
      <c r="H209" s="434"/>
      <c r="I209" s="434"/>
      <c r="J209" s="434"/>
      <c r="K209" s="434"/>
      <c r="L209" s="434"/>
      <c r="M209" s="434"/>
      <c r="N209" s="434"/>
      <c r="O209" s="434"/>
      <c r="P209" s="352"/>
    </row>
    <row r="388" spans="31:87">
      <c r="AE388" s="1638"/>
      <c r="AF388" s="1638"/>
      <c r="AG388" s="1638"/>
      <c r="AH388" s="1638"/>
      <c r="AI388" s="1638"/>
      <c r="AJ388" s="1638"/>
      <c r="AK388" s="1638"/>
      <c r="AL388" s="1638"/>
      <c r="AM388" s="1638"/>
      <c r="AN388" s="1638"/>
      <c r="AO388" s="1638"/>
      <c r="AP388" s="1638"/>
      <c r="AQ388" s="1638"/>
      <c r="AR388" s="1638"/>
      <c r="AS388" s="1638"/>
      <c r="AT388" s="1638"/>
      <c r="AU388" s="1638"/>
      <c r="AV388" s="1685"/>
      <c r="AW388" s="1638"/>
      <c r="AX388" s="1638"/>
      <c r="AY388" s="1638"/>
      <c r="AZ388" s="1638"/>
      <c r="BA388" s="1638"/>
      <c r="BB388" s="1638"/>
      <c r="BC388" s="1638"/>
      <c r="BD388" s="1638"/>
      <c r="BE388" s="1638"/>
      <c r="BF388" s="1638"/>
      <c r="BG388" s="1638"/>
      <c r="BH388" s="1638"/>
      <c r="BI388" s="1638"/>
      <c r="BJ388" s="1638"/>
      <c r="BK388" s="1638">
        <f t="shared" ref="BK388:BU389" si="42">IFERROR(INDEX($G$201:$Q$302,MATCH($C388,$C$201:$C$302,0),MATCH(BK$1,$G$1:$Q$1,0)),0)</f>
        <v>0</v>
      </c>
      <c r="BL388" s="1638">
        <f t="shared" si="42"/>
        <v>0</v>
      </c>
      <c r="BM388" s="1638">
        <f t="shared" si="42"/>
        <v>0</v>
      </c>
      <c r="BN388" s="1638">
        <f t="shared" si="42"/>
        <v>0</v>
      </c>
      <c r="BO388" s="1638">
        <f t="shared" si="42"/>
        <v>0</v>
      </c>
      <c r="BP388" s="1638">
        <f t="shared" si="42"/>
        <v>0</v>
      </c>
      <c r="BQ388" s="1638">
        <f t="shared" si="42"/>
        <v>0</v>
      </c>
      <c r="BR388" s="1638">
        <f t="shared" si="42"/>
        <v>0</v>
      </c>
      <c r="BS388" s="1638">
        <f t="shared" si="42"/>
        <v>0</v>
      </c>
      <c r="BT388" s="1638">
        <f t="shared" si="42"/>
        <v>0</v>
      </c>
      <c r="BU388" s="1638">
        <f t="shared" si="42"/>
        <v>0</v>
      </c>
      <c r="BV388" s="1686"/>
      <c r="BW388" s="1686"/>
      <c r="BX388" s="1638">
        <f t="shared" ref="BX388:CH389" si="43">AX388+BK388</f>
        <v>0</v>
      </c>
      <c r="BY388" s="1638">
        <f t="shared" si="43"/>
        <v>0</v>
      </c>
      <c r="BZ388" s="1638">
        <f t="shared" si="43"/>
        <v>0</v>
      </c>
      <c r="CA388" s="1638">
        <f t="shared" si="43"/>
        <v>0</v>
      </c>
      <c r="CB388" s="1638">
        <f t="shared" si="43"/>
        <v>0</v>
      </c>
      <c r="CC388" s="1638">
        <f t="shared" si="43"/>
        <v>0</v>
      </c>
      <c r="CD388" s="1638">
        <f t="shared" si="43"/>
        <v>0</v>
      </c>
      <c r="CE388" s="1638">
        <f t="shared" si="43"/>
        <v>0</v>
      </c>
      <c r="CF388" s="1638">
        <f t="shared" si="43"/>
        <v>0</v>
      </c>
      <c r="CG388" s="1638">
        <f t="shared" si="43"/>
        <v>0</v>
      </c>
      <c r="CH388" s="1638">
        <f t="shared" si="43"/>
        <v>0</v>
      </c>
      <c r="CI388" s="1686"/>
    </row>
    <row r="389" spans="31:87">
      <c r="AV389" s="242"/>
      <c r="AW389" s="242"/>
      <c r="AX389" s="1414"/>
      <c r="AY389" s="1414"/>
      <c r="AZ389" s="1414"/>
      <c r="BA389" s="1414"/>
      <c r="BB389" s="1414"/>
      <c r="BC389" s="1414"/>
      <c r="BD389" s="1414"/>
      <c r="BE389" s="1414"/>
      <c r="BF389" s="1414"/>
      <c r="BG389" s="1414"/>
      <c r="BH389" s="1414"/>
      <c r="BI389" s="242"/>
      <c r="BJ389" s="242"/>
      <c r="BK389" s="1414">
        <f t="shared" si="42"/>
        <v>0</v>
      </c>
      <c r="BL389" s="1414">
        <f t="shared" si="42"/>
        <v>0</v>
      </c>
      <c r="BM389" s="1414">
        <f t="shared" si="42"/>
        <v>0</v>
      </c>
      <c r="BN389" s="1414">
        <f t="shared" si="42"/>
        <v>0</v>
      </c>
      <c r="BO389" s="1414">
        <f t="shared" si="42"/>
        <v>0</v>
      </c>
      <c r="BP389" s="1414">
        <f t="shared" si="42"/>
        <v>0</v>
      </c>
      <c r="BQ389" s="1414">
        <f t="shared" si="42"/>
        <v>0</v>
      </c>
      <c r="BR389" s="1414">
        <f t="shared" si="42"/>
        <v>0</v>
      </c>
      <c r="BS389" s="1414">
        <f t="shared" si="42"/>
        <v>0</v>
      </c>
      <c r="BT389" s="1414">
        <f t="shared" si="42"/>
        <v>0</v>
      </c>
      <c r="BU389" s="1414">
        <f t="shared" si="42"/>
        <v>0</v>
      </c>
      <c r="BV389" s="35"/>
      <c r="BW389" s="35"/>
      <c r="BX389" s="1414">
        <f t="shared" si="43"/>
        <v>0</v>
      </c>
      <c r="BY389" s="1414">
        <f t="shared" si="43"/>
        <v>0</v>
      </c>
      <c r="BZ389" s="1414">
        <f t="shared" si="43"/>
        <v>0</v>
      </c>
      <c r="CA389" s="1414">
        <f t="shared" si="43"/>
        <v>0</v>
      </c>
      <c r="CB389" s="1414">
        <f t="shared" si="43"/>
        <v>0</v>
      </c>
      <c r="CC389" s="1414">
        <f t="shared" si="43"/>
        <v>0</v>
      </c>
      <c r="CD389" s="1414">
        <f t="shared" si="43"/>
        <v>0</v>
      </c>
      <c r="CE389" s="1414">
        <f t="shared" si="43"/>
        <v>0</v>
      </c>
      <c r="CF389" s="1414">
        <f t="shared" si="43"/>
        <v>0</v>
      </c>
      <c r="CG389" s="1414">
        <f t="shared" si="43"/>
        <v>0</v>
      </c>
      <c r="CH389" s="1414">
        <f t="shared" si="43"/>
        <v>0</v>
      </c>
      <c r="CI389" s="35"/>
    </row>
    <row r="391" spans="31:87">
      <c r="AE391" s="1638"/>
      <c r="AF391" s="1638"/>
      <c r="AG391" s="1638"/>
      <c r="AH391" s="1638"/>
      <c r="AI391" s="1638"/>
      <c r="AJ391" s="1638"/>
      <c r="AK391" s="1638"/>
      <c r="AL391" s="1638"/>
      <c r="AM391" s="1638"/>
      <c r="AN391" s="1638"/>
      <c r="AO391" s="1638"/>
      <c r="AP391" s="1638"/>
      <c r="AQ391" s="1638"/>
      <c r="AR391" s="1638"/>
      <c r="AS391" s="1638"/>
      <c r="AT391" s="1638"/>
      <c r="AU391" s="1638"/>
      <c r="AV391" s="1685"/>
      <c r="AW391" s="1638"/>
      <c r="AX391" s="1638"/>
      <c r="AY391" s="1638"/>
      <c r="AZ391" s="1638"/>
      <c r="BA391" s="1638"/>
      <c r="BB391" s="1638"/>
      <c r="BC391" s="1638"/>
      <c r="BD391" s="1638"/>
      <c r="BE391" s="1638"/>
      <c r="BF391" s="1638"/>
      <c r="BG391" s="1638"/>
      <c r="BH391" s="1638"/>
      <c r="BI391" s="1638"/>
      <c r="BJ391" s="1638"/>
      <c r="BK391" s="1638">
        <f t="shared" ref="BK391:BU392" si="44">IFERROR(INDEX($G$201:$Q$302,MATCH($C391,$C$201:$C$302,0),MATCH(BK$1,$G$1:$Q$1,0)),0)</f>
        <v>0</v>
      </c>
      <c r="BL391" s="1638">
        <f t="shared" si="44"/>
        <v>0</v>
      </c>
      <c r="BM391" s="1638">
        <f t="shared" si="44"/>
        <v>0</v>
      </c>
      <c r="BN391" s="1638">
        <f t="shared" si="44"/>
        <v>0</v>
      </c>
      <c r="BO391" s="1638">
        <f t="shared" si="44"/>
        <v>0</v>
      </c>
      <c r="BP391" s="1638">
        <f t="shared" si="44"/>
        <v>0</v>
      </c>
      <c r="BQ391" s="1638">
        <f t="shared" si="44"/>
        <v>0</v>
      </c>
      <c r="BR391" s="1638">
        <f t="shared" si="44"/>
        <v>0</v>
      </c>
      <c r="BS391" s="1638">
        <f t="shared" si="44"/>
        <v>0</v>
      </c>
      <c r="BT391" s="1638">
        <f t="shared" si="44"/>
        <v>0</v>
      </c>
      <c r="BU391" s="1638">
        <f t="shared" si="44"/>
        <v>0</v>
      </c>
      <c r="BV391" s="1686"/>
      <c r="BW391" s="1686"/>
      <c r="BX391" s="1638">
        <f t="shared" ref="BX391:CH392" si="45">AX391+BK391</f>
        <v>0</v>
      </c>
      <c r="BY391" s="1638">
        <f t="shared" si="45"/>
        <v>0</v>
      </c>
      <c r="BZ391" s="1638">
        <f t="shared" si="45"/>
        <v>0</v>
      </c>
      <c r="CA391" s="1638">
        <f t="shared" si="45"/>
        <v>0</v>
      </c>
      <c r="CB391" s="1638">
        <f t="shared" si="45"/>
        <v>0</v>
      </c>
      <c r="CC391" s="1638">
        <f t="shared" si="45"/>
        <v>0</v>
      </c>
      <c r="CD391" s="1638">
        <f t="shared" si="45"/>
        <v>0</v>
      </c>
      <c r="CE391" s="1638">
        <f t="shared" si="45"/>
        <v>0</v>
      </c>
      <c r="CF391" s="1638">
        <f t="shared" si="45"/>
        <v>0</v>
      </c>
      <c r="CG391" s="1638">
        <f t="shared" si="45"/>
        <v>0</v>
      </c>
      <c r="CH391" s="1638">
        <f t="shared" si="45"/>
        <v>0</v>
      </c>
      <c r="CI391" s="1686"/>
    </row>
    <row r="392" spans="31:87">
      <c r="AV392" s="242"/>
      <c r="AW392" s="242"/>
      <c r="AX392" s="1414"/>
      <c r="AY392" s="1414"/>
      <c r="AZ392" s="1414"/>
      <c r="BA392" s="1414"/>
      <c r="BB392" s="1414"/>
      <c r="BC392" s="1414"/>
      <c r="BD392" s="1414"/>
      <c r="BE392" s="1414"/>
      <c r="BF392" s="1414"/>
      <c r="BG392" s="1414"/>
      <c r="BH392" s="1414"/>
      <c r="BI392" s="242"/>
      <c r="BJ392" s="242"/>
      <c r="BK392" s="1414">
        <f t="shared" si="44"/>
        <v>0</v>
      </c>
      <c r="BL392" s="1414">
        <f t="shared" si="44"/>
        <v>0</v>
      </c>
      <c r="BM392" s="1414">
        <f t="shared" si="44"/>
        <v>0</v>
      </c>
      <c r="BN392" s="1414">
        <f t="shared" si="44"/>
        <v>0</v>
      </c>
      <c r="BO392" s="1414">
        <f t="shared" si="44"/>
        <v>0</v>
      </c>
      <c r="BP392" s="1414">
        <f t="shared" si="44"/>
        <v>0</v>
      </c>
      <c r="BQ392" s="1414">
        <f t="shared" si="44"/>
        <v>0</v>
      </c>
      <c r="BR392" s="1414">
        <f t="shared" si="44"/>
        <v>0</v>
      </c>
      <c r="BS392" s="1414">
        <f t="shared" si="44"/>
        <v>0</v>
      </c>
      <c r="BT392" s="1414">
        <f t="shared" si="44"/>
        <v>0</v>
      </c>
      <c r="BU392" s="1414">
        <f t="shared" si="44"/>
        <v>0</v>
      </c>
      <c r="BV392" s="35"/>
      <c r="BW392" s="35"/>
      <c r="BX392" s="1414">
        <f t="shared" si="45"/>
        <v>0</v>
      </c>
      <c r="BY392" s="1414">
        <f t="shared" si="45"/>
        <v>0</v>
      </c>
      <c r="BZ392" s="1414">
        <f t="shared" si="45"/>
        <v>0</v>
      </c>
      <c r="CA392" s="1414">
        <f t="shared" si="45"/>
        <v>0</v>
      </c>
      <c r="CB392" s="1414">
        <f t="shared" si="45"/>
        <v>0</v>
      </c>
      <c r="CC392" s="1414">
        <f t="shared" si="45"/>
        <v>0</v>
      </c>
      <c r="CD392" s="1414">
        <f t="shared" si="45"/>
        <v>0</v>
      </c>
      <c r="CE392" s="1414">
        <f t="shared" si="45"/>
        <v>0</v>
      </c>
      <c r="CF392" s="1414">
        <f t="shared" si="45"/>
        <v>0</v>
      </c>
      <c r="CG392" s="1414">
        <f t="shared" si="45"/>
        <v>0</v>
      </c>
      <c r="CH392" s="1414">
        <f t="shared" si="45"/>
        <v>0</v>
      </c>
      <c r="CI392" s="35"/>
    </row>
    <row r="443" spans="36:36">
      <c r="AJ443" s="605" t="s">
        <v>1371</v>
      </c>
    </row>
  </sheetData>
  <pageMargins left="0.7" right="0.7" top="0.75" bottom="0.75" header="0.3" footer="0.3"/>
  <tableParts count="4">
    <tablePart r:id="rId1"/>
    <tablePart r:id="rId2"/>
    <tablePart r:id="rId3"/>
    <tablePart r:id="rId4"/>
  </tableParts>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sheetPr>
    <tabColor theme="9"/>
    <outlinePr summaryBelow="0"/>
    <pageSetUpPr autoPageBreaks="0"/>
  </sheetPr>
  <dimension ref="A1:AK712"/>
  <sheetViews>
    <sheetView showGridLines="0" topLeftCell="A415" zoomScale="90" zoomScaleNormal="90" zoomScalePageLayoutView="90" workbookViewId="0">
      <selection activeCell="E430" sqref="E430"/>
    </sheetView>
  </sheetViews>
  <sheetFormatPr defaultColWidth="8.85546875" defaultRowHeight="12.75"/>
  <cols>
    <col min="1" max="1" width="7.7109375" style="3069" customWidth="1"/>
    <col min="2" max="2" width="5.85546875" style="3069" customWidth="1"/>
    <col min="3" max="3" width="20.42578125" style="3069" customWidth="1"/>
    <col min="4" max="4" width="32.28515625" style="3069" customWidth="1"/>
    <col min="5" max="5" width="25" style="3069" customWidth="1"/>
    <col min="6" max="14" width="17.7109375" style="3069" customWidth="1"/>
    <col min="15" max="15" width="21.140625" style="3069" customWidth="1"/>
    <col min="16" max="16" width="2" style="3069" customWidth="1"/>
    <col min="17" max="17" width="10.85546875" style="3069" customWidth="1"/>
    <col min="18" max="16384" width="8.85546875" style="3069"/>
  </cols>
  <sheetData>
    <row r="1" spans="1:16" ht="20.25" customHeight="1">
      <c r="A1" s="834" t="s">
        <v>198</v>
      </c>
      <c r="B1" s="77" t="str">
        <f>INDEX(Workstreams[Workstream],MATCH($A1,Workstreams[Code]))</f>
        <v>Transport</v>
      </c>
      <c r="C1" s="835"/>
    </row>
    <row r="2" spans="1:16" s="51" customFormat="1" ht="19.5" customHeight="1">
      <c r="A2" s="6" t="s">
        <v>282</v>
      </c>
      <c r="B2" s="6" t="str">
        <f>INDEX(Modules[Module], MATCH($A2, Modules[Code], 0))</f>
        <v>Domestic passenger transport</v>
      </c>
      <c r="C2" s="6"/>
      <c r="E2" s="404"/>
    </row>
    <row r="4" spans="1:16" ht="22.5" collapsed="1">
      <c r="A4" s="420"/>
      <c r="B4" s="206" t="s">
        <v>412</v>
      </c>
      <c r="C4" s="175"/>
      <c r="D4" s="175"/>
      <c r="E4" s="175"/>
      <c r="F4" s="175"/>
      <c r="G4" s="175"/>
      <c r="H4" s="175"/>
      <c r="I4" s="175"/>
      <c r="J4" s="175"/>
      <c r="K4" s="175"/>
      <c r="L4" s="175"/>
      <c r="M4" s="175"/>
      <c r="N4" s="175"/>
      <c r="O4" s="175"/>
      <c r="P4" s="177"/>
    </row>
    <row r="5" spans="1:16">
      <c r="B5" s="164"/>
      <c r="C5" s="166"/>
      <c r="D5" s="166"/>
      <c r="E5" s="166"/>
      <c r="F5" s="166"/>
      <c r="G5" s="166"/>
      <c r="H5" s="166"/>
      <c r="I5" s="166"/>
      <c r="J5" s="166"/>
      <c r="K5" s="166"/>
      <c r="L5" s="166"/>
      <c r="M5" s="166"/>
      <c r="N5" s="166"/>
      <c r="O5" s="166"/>
      <c r="P5" s="168"/>
    </row>
    <row r="6" spans="1:16" ht="5.25" customHeight="1">
      <c r="B6" s="164"/>
      <c r="C6" s="165"/>
      <c r="D6" s="166"/>
      <c r="E6" s="167"/>
      <c r="F6" s="166"/>
      <c r="G6" s="166"/>
      <c r="H6" s="166"/>
      <c r="I6" s="166"/>
      <c r="J6" s="166"/>
      <c r="K6" s="166"/>
      <c r="L6" s="166"/>
      <c r="M6" s="166"/>
      <c r="N6" s="166"/>
      <c r="O6" s="166"/>
      <c r="P6" s="168"/>
    </row>
    <row r="7" spans="1:16" ht="15.75">
      <c r="B7" s="169"/>
      <c r="C7" s="166"/>
      <c r="D7" s="864" t="s">
        <v>274</v>
      </c>
      <c r="E7" s="864" t="s">
        <v>411</v>
      </c>
      <c r="F7" s="166"/>
      <c r="G7" s="166"/>
      <c r="H7" s="166"/>
      <c r="I7" s="166"/>
      <c r="J7" s="166"/>
      <c r="K7" s="166"/>
      <c r="L7" s="166"/>
      <c r="M7" s="166"/>
      <c r="N7" s="166"/>
      <c r="O7" s="166"/>
      <c r="P7" s="168"/>
    </row>
    <row r="8" spans="1:16" ht="15.75">
      <c r="B8" s="169"/>
      <c r="C8" s="166"/>
      <c r="D8" s="60" t="s">
        <v>1002</v>
      </c>
      <c r="E8" s="60">
        <f>XII.a.scenario</f>
        <v>1</v>
      </c>
      <c r="F8" s="166"/>
      <c r="G8" s="166"/>
      <c r="H8" s="166"/>
      <c r="I8" s="166"/>
      <c r="J8" s="166"/>
      <c r="K8" s="166"/>
      <c r="L8" s="166"/>
      <c r="M8" s="166"/>
      <c r="N8" s="166"/>
      <c r="O8" s="166"/>
      <c r="P8" s="168"/>
    </row>
    <row r="9" spans="1:16" ht="15.75">
      <c r="B9" s="169"/>
      <c r="C9" s="166"/>
      <c r="D9" s="60" t="s">
        <v>1003</v>
      </c>
      <c r="E9" s="60">
        <f>XII.a.scenario.mode</f>
        <v>1</v>
      </c>
      <c r="F9" s="166"/>
      <c r="G9" s="166"/>
      <c r="H9" s="166"/>
      <c r="I9" s="166"/>
      <c r="J9" s="166"/>
      <c r="K9" s="166"/>
      <c r="L9" s="166"/>
      <c r="M9" s="166"/>
      <c r="N9" s="166"/>
      <c r="O9" s="166"/>
      <c r="P9" s="168"/>
    </row>
    <row r="10" spans="1:16" ht="15.75">
      <c r="B10" s="169"/>
      <c r="C10" s="166"/>
      <c r="D10" s="60" t="s">
        <v>1004</v>
      </c>
      <c r="E10" s="60">
        <f>XII.a.scenario.pub_pri</f>
        <v>1</v>
      </c>
      <c r="F10" s="166"/>
      <c r="G10" s="166"/>
      <c r="H10" s="166"/>
      <c r="I10" s="166"/>
      <c r="J10" s="166"/>
      <c r="K10" s="166"/>
      <c r="L10" s="166"/>
      <c r="M10" s="166"/>
      <c r="N10" s="166"/>
      <c r="O10" s="166"/>
      <c r="P10" s="168"/>
    </row>
    <row r="11" spans="1:16">
      <c r="B11" s="182"/>
      <c r="C11" s="172"/>
      <c r="D11" s="2478" t="s">
        <v>2055</v>
      </c>
      <c r="E11" s="2478">
        <f>XII.a.scenario.EVs</f>
        <v>1</v>
      </c>
      <c r="F11" s="172"/>
      <c r="G11" s="172"/>
      <c r="H11" s="172"/>
      <c r="I11" s="172"/>
      <c r="J11" s="172"/>
      <c r="K11" s="172"/>
      <c r="L11" s="172"/>
      <c r="M11" s="172"/>
      <c r="N11" s="172"/>
      <c r="O11" s="172"/>
      <c r="P11" s="173"/>
    </row>
    <row r="13" spans="1:16" s="51" customFormat="1" ht="22.5" collapsed="1">
      <c r="A13" s="162"/>
      <c r="B13" s="421" t="s">
        <v>413</v>
      </c>
      <c r="C13" s="159"/>
      <c r="D13" s="159"/>
      <c r="E13" s="159"/>
      <c r="F13" s="159"/>
      <c r="G13" s="159"/>
      <c r="H13" s="159"/>
      <c r="I13" s="159"/>
      <c r="J13" s="159"/>
      <c r="K13" s="159"/>
      <c r="L13" s="159"/>
      <c r="M13" s="159"/>
      <c r="N13" s="159"/>
      <c r="O13" s="159"/>
      <c r="P13" s="160"/>
    </row>
    <row r="14" spans="1:16">
      <c r="B14" s="418"/>
      <c r="C14" s="415"/>
      <c r="D14" s="415"/>
      <c r="E14" s="415"/>
      <c r="F14" s="415"/>
      <c r="G14" s="415"/>
      <c r="H14" s="415"/>
      <c r="I14" s="415"/>
      <c r="J14" s="415"/>
      <c r="K14" s="415"/>
      <c r="L14" s="415"/>
      <c r="M14" s="415"/>
      <c r="N14" s="415"/>
      <c r="O14" s="415"/>
      <c r="P14" s="419"/>
    </row>
    <row r="15" spans="1:16">
      <c r="B15" s="418"/>
      <c r="C15" s="416" t="s">
        <v>1043</v>
      </c>
      <c r="D15" s="415"/>
      <c r="E15" s="104"/>
      <c r="F15" s="415"/>
      <c r="G15" s="415"/>
      <c r="H15" s="415"/>
      <c r="I15" s="415"/>
      <c r="J15" s="415"/>
      <c r="K15" s="415"/>
      <c r="L15" s="415"/>
      <c r="M15" s="415"/>
      <c r="N15" s="415"/>
      <c r="O15" s="361" t="s">
        <v>1006</v>
      </c>
      <c r="P15" s="419"/>
    </row>
    <row r="16" spans="1:16" ht="5.25" customHeight="1">
      <c r="B16" s="418"/>
      <c r="C16" s="415"/>
      <c r="D16" s="415"/>
      <c r="E16" s="415"/>
      <c r="F16" s="415"/>
      <c r="G16" s="415"/>
      <c r="H16" s="415"/>
      <c r="I16" s="415"/>
      <c r="J16" s="415"/>
      <c r="K16" s="415"/>
      <c r="L16" s="415"/>
      <c r="M16" s="415"/>
      <c r="N16" s="415"/>
      <c r="O16" s="415"/>
      <c r="P16" s="419"/>
    </row>
    <row r="17" spans="2:17">
      <c r="B17" s="418"/>
      <c r="C17" s="61" t="s">
        <v>411</v>
      </c>
      <c r="D17" s="61" t="s">
        <v>66</v>
      </c>
      <c r="E17" s="61" t="s">
        <v>156</v>
      </c>
      <c r="F17" s="119">
        <v>2007</v>
      </c>
      <c r="G17" s="120">
        <f>F17+5</f>
        <v>2012</v>
      </c>
      <c r="H17" s="120">
        <f t="shared" ref="H17:O17" si="0">G17+5</f>
        <v>2017</v>
      </c>
      <c r="I17" s="120">
        <f t="shared" si="0"/>
        <v>2022</v>
      </c>
      <c r="J17" s="120">
        <f t="shared" si="0"/>
        <v>2027</v>
      </c>
      <c r="K17" s="120">
        <f t="shared" si="0"/>
        <v>2032</v>
      </c>
      <c r="L17" s="120">
        <f t="shared" si="0"/>
        <v>2037</v>
      </c>
      <c r="M17" s="120">
        <f t="shared" si="0"/>
        <v>2042</v>
      </c>
      <c r="N17" s="120">
        <f t="shared" si="0"/>
        <v>2047</v>
      </c>
      <c r="O17" s="120">
        <f t="shared" si="0"/>
        <v>2052</v>
      </c>
      <c r="P17" s="419"/>
    </row>
    <row r="18" spans="2:17" ht="15.75">
      <c r="B18" s="152"/>
      <c r="C18" s="413">
        <v>1</v>
      </c>
      <c r="D18" s="414"/>
      <c r="E18" s="3072" t="s">
        <v>2376</v>
      </c>
      <c r="F18" s="2925">
        <f>G18</f>
        <v>5966.9436242252623</v>
      </c>
      <c r="G18" s="2659">
        <f t="shared" ref="G18:O21" si="1">(G27/G$143)*1000</f>
        <v>5966.9436242252623</v>
      </c>
      <c r="H18" s="2659">
        <f t="shared" si="1"/>
        <v>7728.3164939389126</v>
      </c>
      <c r="I18" s="2659">
        <f t="shared" si="1"/>
        <v>9685.2668763628844</v>
      </c>
      <c r="J18" s="2659">
        <f t="shared" si="1"/>
        <v>11679.52868868045</v>
      </c>
      <c r="K18" s="2659">
        <f t="shared" si="1"/>
        <v>13596.02966744992</v>
      </c>
      <c r="L18" s="2659">
        <f t="shared" si="1"/>
        <v>15618.966158775262</v>
      </c>
      <c r="M18" s="2659">
        <f t="shared" si="1"/>
        <v>17208.614426361844</v>
      </c>
      <c r="N18" s="2659">
        <f t="shared" si="1"/>
        <v>18978.285861116226</v>
      </c>
      <c r="O18" s="2659">
        <f t="shared" si="1"/>
        <v>20779.749892611115</v>
      </c>
      <c r="P18" s="419"/>
    </row>
    <row r="19" spans="2:17" ht="15.75">
      <c r="B19" s="152"/>
      <c r="C19" s="413">
        <v>2</v>
      </c>
      <c r="D19" s="414"/>
      <c r="E19" s="3072" t="s">
        <v>2377</v>
      </c>
      <c r="F19" s="2925">
        <f t="shared" ref="F19:F21" si="2">G19</f>
        <v>5966.9436242252623</v>
      </c>
      <c r="G19" s="2659">
        <f t="shared" si="1"/>
        <v>5966.9436242252623</v>
      </c>
      <c r="H19" s="2659">
        <f t="shared" si="1"/>
        <v>7615.2191793934635</v>
      </c>
      <c r="I19" s="2659">
        <f t="shared" si="1"/>
        <v>9425.4182528507099</v>
      </c>
      <c r="J19" s="2659">
        <f t="shared" si="1"/>
        <v>11223.742203268526</v>
      </c>
      <c r="K19" s="2659">
        <f t="shared" si="1"/>
        <v>12899.647660092729</v>
      </c>
      <c r="L19" s="2659">
        <f t="shared" si="1"/>
        <v>14628.495134072442</v>
      </c>
      <c r="M19" s="2659">
        <f t="shared" si="1"/>
        <v>15907.475286807656</v>
      </c>
      <c r="N19" s="2659">
        <f t="shared" si="1"/>
        <v>17311.899785506019</v>
      </c>
      <c r="O19" s="2659">
        <f t="shared" si="1"/>
        <v>18701.774903350008</v>
      </c>
      <c r="P19" s="419"/>
    </row>
    <row r="20" spans="2:17" ht="15.75">
      <c r="B20" s="152"/>
      <c r="C20" s="413">
        <v>3</v>
      </c>
      <c r="D20" s="414"/>
      <c r="E20" s="3072" t="s">
        <v>2378</v>
      </c>
      <c r="F20" s="2925">
        <f t="shared" si="2"/>
        <v>5966.9436242252623</v>
      </c>
      <c r="G20" s="2659">
        <f t="shared" si="1"/>
        <v>5966.9436242252623</v>
      </c>
      <c r="H20" s="2659">
        <f t="shared" si="1"/>
        <v>7502.1218648480171</v>
      </c>
      <c r="I20" s="2659">
        <f t="shared" si="1"/>
        <v>9165.5696293385354</v>
      </c>
      <c r="J20" s="2659">
        <f t="shared" si="1"/>
        <v>10767.955717856608</v>
      </c>
      <c r="K20" s="2659">
        <f t="shared" si="1"/>
        <v>12203.265652735538</v>
      </c>
      <c r="L20" s="2659">
        <f t="shared" si="1"/>
        <v>13638.024109369622</v>
      </c>
      <c r="M20" s="2659">
        <f t="shared" si="1"/>
        <v>14606.336147253469</v>
      </c>
      <c r="N20" s="2659">
        <f t="shared" si="1"/>
        <v>15645.513709895815</v>
      </c>
      <c r="O20" s="2659">
        <f t="shared" si="1"/>
        <v>16623.799914088893</v>
      </c>
      <c r="P20" s="419"/>
    </row>
    <row r="21" spans="2:17" ht="15.75">
      <c r="B21" s="152"/>
      <c r="C21" s="411">
        <v>4</v>
      </c>
      <c r="D21" s="65"/>
      <c r="E21" s="3073" t="s">
        <v>2379</v>
      </c>
      <c r="F21" s="2925">
        <f t="shared" si="2"/>
        <v>5966.9436242252623</v>
      </c>
      <c r="G21" s="2659">
        <f t="shared" si="1"/>
        <v>5966.9436242252623</v>
      </c>
      <c r="H21" s="2659">
        <f t="shared" si="1"/>
        <v>7389.0245503025681</v>
      </c>
      <c r="I21" s="2659">
        <f t="shared" si="1"/>
        <v>8905.721005826359</v>
      </c>
      <c r="J21" s="2659">
        <f t="shared" si="1"/>
        <v>10312.169232444687</v>
      </c>
      <c r="K21" s="2659">
        <f t="shared" si="1"/>
        <v>11506.883645378344</v>
      </c>
      <c r="L21" s="2659">
        <f t="shared" si="1"/>
        <v>12647.553084666795</v>
      </c>
      <c r="M21" s="2659">
        <f t="shared" si="1"/>
        <v>13305.197007699277</v>
      </c>
      <c r="N21" s="2659">
        <f t="shared" si="1"/>
        <v>13979.127634285605</v>
      </c>
      <c r="O21" s="2659">
        <f t="shared" si="1"/>
        <v>14545.824924827781</v>
      </c>
      <c r="P21" s="419"/>
    </row>
    <row r="22" spans="2:17" ht="15.75">
      <c r="B22" s="152"/>
      <c r="C22" s="406" t="s">
        <v>406</v>
      </c>
      <c r="D22" s="407"/>
      <c r="E22" s="407"/>
      <c r="F22" s="807">
        <f>(INDEX(F$18:F$21,ROUNDDOWN($E$8,0))*(1-MOD($E$8,1)))+(INDEX(F$18:F$21,ROUNDUP($E$8,0))*MOD($E$8,1))</f>
        <v>5966.9436242252623</v>
      </c>
      <c r="G22" s="807">
        <f t="shared" ref="G22:O22" si="3">(INDEX(G$18:G$21,ROUNDDOWN($E$8,0))*(1-MOD($E$8,1)))+(INDEX(G$18:G$21,ROUNDUP($E$8,0))*MOD($E$8,1))</f>
        <v>5966.9436242252623</v>
      </c>
      <c r="H22" s="807">
        <f t="shared" si="3"/>
        <v>7728.3164939389126</v>
      </c>
      <c r="I22" s="807">
        <f t="shared" si="3"/>
        <v>9685.2668763628844</v>
      </c>
      <c r="J22" s="807">
        <f t="shared" si="3"/>
        <v>11679.52868868045</v>
      </c>
      <c r="K22" s="807">
        <f t="shared" si="3"/>
        <v>13596.02966744992</v>
      </c>
      <c r="L22" s="807">
        <f t="shared" si="3"/>
        <v>15618.966158775262</v>
      </c>
      <c r="M22" s="807">
        <f t="shared" si="3"/>
        <v>17208.614426361844</v>
      </c>
      <c r="N22" s="807">
        <f t="shared" si="3"/>
        <v>18978.285861116226</v>
      </c>
      <c r="O22" s="807">
        <f t="shared" si="3"/>
        <v>20779.749892611115</v>
      </c>
      <c r="P22" s="419"/>
    </row>
    <row r="23" spans="2:17" ht="15.75">
      <c r="B23" s="152"/>
      <c r="C23" s="3070"/>
      <c r="D23" s="414"/>
      <c r="E23" s="414"/>
      <c r="F23" s="678"/>
      <c r="G23" s="678"/>
      <c r="H23" s="678"/>
      <c r="I23" s="678"/>
      <c r="J23" s="678"/>
      <c r="K23" s="678"/>
      <c r="L23" s="678"/>
      <c r="M23" s="678"/>
      <c r="N23" s="678"/>
      <c r="O23" s="678"/>
      <c r="P23" s="419"/>
    </row>
    <row r="24" spans="2:17" ht="15.75">
      <c r="B24" s="152"/>
      <c r="C24" s="416" t="s">
        <v>1044</v>
      </c>
      <c r="D24" s="415"/>
      <c r="E24" s="104"/>
      <c r="F24" s="2984"/>
      <c r="G24" s="415"/>
      <c r="H24" s="415"/>
      <c r="I24" s="415"/>
      <c r="J24" s="415"/>
      <c r="K24" s="415"/>
      <c r="L24" s="415"/>
      <c r="M24" s="415"/>
      <c r="N24" s="415"/>
      <c r="O24" s="361" t="s">
        <v>1007</v>
      </c>
      <c r="P24" s="419"/>
    </row>
    <row r="25" spans="2:17" ht="15.75">
      <c r="B25" s="152"/>
      <c r="C25" s="415"/>
      <c r="D25" s="415"/>
      <c r="E25" s="415"/>
      <c r="F25" s="415"/>
      <c r="G25" s="415"/>
      <c r="H25" s="415"/>
      <c r="I25" s="415"/>
      <c r="J25" s="415"/>
      <c r="K25" s="415"/>
      <c r="L25" s="415"/>
      <c r="M25" s="415"/>
      <c r="N25" s="415"/>
      <c r="O25" s="415"/>
      <c r="P25" s="419"/>
    </row>
    <row r="26" spans="2:17" ht="15.75">
      <c r="B26" s="152"/>
      <c r="C26" s="61" t="s">
        <v>411</v>
      </c>
      <c r="D26" s="61" t="s">
        <v>66</v>
      </c>
      <c r="E26" s="61" t="s">
        <v>156</v>
      </c>
      <c r="F26" s="119">
        <v>2007</v>
      </c>
      <c r="G26" s="120">
        <f t="shared" ref="G26:O26" si="4">F26+5</f>
        <v>2012</v>
      </c>
      <c r="H26" s="120">
        <f t="shared" si="4"/>
        <v>2017</v>
      </c>
      <c r="I26" s="120">
        <f t="shared" si="4"/>
        <v>2022</v>
      </c>
      <c r="J26" s="120">
        <f t="shared" si="4"/>
        <v>2027</v>
      </c>
      <c r="K26" s="120">
        <f t="shared" si="4"/>
        <v>2032</v>
      </c>
      <c r="L26" s="120">
        <f t="shared" si="4"/>
        <v>2037</v>
      </c>
      <c r="M26" s="120">
        <f t="shared" si="4"/>
        <v>2042</v>
      </c>
      <c r="N26" s="120">
        <f t="shared" si="4"/>
        <v>2047</v>
      </c>
      <c r="O26" s="120">
        <f t="shared" si="4"/>
        <v>2052</v>
      </c>
      <c r="P26" s="419"/>
    </row>
    <row r="27" spans="2:17" ht="15.75">
      <c r="B27" s="152"/>
      <c r="C27" s="413">
        <v>1</v>
      </c>
      <c r="D27" s="414"/>
      <c r="E27" s="3072" t="s">
        <v>2376</v>
      </c>
      <c r="F27" s="2925">
        <f>G27</f>
        <v>7255.4913568342299</v>
      </c>
      <c r="G27" s="2659">
        <v>7255.4913568342299</v>
      </c>
      <c r="H27" s="2659">
        <v>9997.0422858053134</v>
      </c>
      <c r="I27" s="2659">
        <v>13400.456779050764</v>
      </c>
      <c r="J27" s="2659">
        <v>16975.808530728584</v>
      </c>
      <c r="K27" s="2659">
        <v>20855.460812221685</v>
      </c>
      <c r="L27" s="2659">
        <v>24867.727891074366</v>
      </c>
      <c r="M27" s="2659">
        <v>28559.056583594127</v>
      </c>
      <c r="N27" s="2659">
        <v>32342.280118828523</v>
      </c>
      <c r="O27" s="2659">
        <v>36531.274077336981</v>
      </c>
      <c r="P27" s="419"/>
    </row>
    <row r="28" spans="2:17" ht="15.75">
      <c r="B28" s="152"/>
      <c r="C28" s="413">
        <v>2</v>
      </c>
      <c r="D28" s="414"/>
      <c r="E28" s="3072" t="s">
        <v>2377</v>
      </c>
      <c r="F28" s="2925">
        <f t="shared" ref="F28:F30" si="5">G28</f>
        <v>7255.4913568342299</v>
      </c>
      <c r="G28" s="2659">
        <v>7255.4913568342299</v>
      </c>
      <c r="H28" s="2659">
        <v>9850.7441060130386</v>
      </c>
      <c r="I28" s="2659">
        <v>13040.932328881108</v>
      </c>
      <c r="J28" s="2659">
        <v>16313.337953919659</v>
      </c>
      <c r="K28" s="2659">
        <v>19787.254282815207</v>
      </c>
      <c r="L28" s="2659">
        <v>23290.750024811114</v>
      </c>
      <c r="M28" s="2659">
        <v>26399.713280932134</v>
      </c>
      <c r="N28" s="2659">
        <v>29502.470157175285</v>
      </c>
      <c r="O28" s="2659">
        <v>32878.146669603288</v>
      </c>
      <c r="P28" s="419"/>
      <c r="Q28" s="497"/>
    </row>
    <row r="29" spans="2:17" ht="15.75">
      <c r="B29" s="152"/>
      <c r="C29" s="413">
        <v>3</v>
      </c>
      <c r="D29" s="414"/>
      <c r="E29" s="3072" t="s">
        <v>2378</v>
      </c>
      <c r="F29" s="2925">
        <f t="shared" si="5"/>
        <v>7255.4913568342299</v>
      </c>
      <c r="G29" s="2659">
        <v>7255.4913568342299</v>
      </c>
      <c r="H29" s="2659">
        <v>9704.4459262207674</v>
      </c>
      <c r="I29" s="2659">
        <v>12681.407878711454</v>
      </c>
      <c r="J29" s="2659">
        <v>15650.867377110741</v>
      </c>
      <c r="K29" s="2659">
        <v>18719.047753408729</v>
      </c>
      <c r="L29" s="2659">
        <v>21713.772158547865</v>
      </c>
      <c r="M29" s="2659">
        <v>24240.369978270141</v>
      </c>
      <c r="N29" s="2659">
        <v>26662.66019552205</v>
      </c>
      <c r="O29" s="2659">
        <v>29225.019261869587</v>
      </c>
      <c r="P29" s="419"/>
      <c r="Q29" s="497"/>
    </row>
    <row r="30" spans="2:17" ht="15.75">
      <c r="B30" s="152"/>
      <c r="C30" s="411">
        <v>4</v>
      </c>
      <c r="D30" s="65"/>
      <c r="E30" s="3073" t="s">
        <v>2379</v>
      </c>
      <c r="F30" s="2925">
        <f t="shared" si="5"/>
        <v>7255.4913568342299</v>
      </c>
      <c r="G30" s="2659">
        <v>7255.4913568342299</v>
      </c>
      <c r="H30" s="2659">
        <v>9558.1477464284926</v>
      </c>
      <c r="I30" s="2659">
        <v>12321.8834285418</v>
      </c>
      <c r="J30" s="2659">
        <v>14988.396800301818</v>
      </c>
      <c r="K30" s="2659">
        <v>17650.841224002252</v>
      </c>
      <c r="L30" s="2659">
        <v>20136.794292284605</v>
      </c>
      <c r="M30" s="2659">
        <v>22081.02667560814</v>
      </c>
      <c r="N30" s="2659">
        <v>23822.850233868809</v>
      </c>
      <c r="O30" s="2659">
        <v>25571.891854135887</v>
      </c>
      <c r="P30" s="419"/>
      <c r="Q30" s="497"/>
    </row>
    <row r="31" spans="2:17" ht="15.75">
      <c r="B31" s="152"/>
      <c r="C31" s="406" t="s">
        <v>406</v>
      </c>
      <c r="D31" s="407"/>
      <c r="E31" s="407"/>
      <c r="F31" s="2983">
        <f>(INDEX(F$27:F$30,ROUNDDOWN($E$8,0))*(1-MOD($E$8,1)))+(INDEX(F$27:F$30,ROUNDUP($E$8,0))*MOD($E$8,1))</f>
        <v>7255.4913568342299</v>
      </c>
      <c r="G31" s="807">
        <f t="shared" ref="G31:O31" si="6">(INDEX(G$27:G$30,ROUNDDOWN($E$8,0))*(1-MOD($E$8,1)))+(INDEX(G$27:G$30,ROUNDUP($E$8,0))*MOD($E$8,1))</f>
        <v>7255.4913568342299</v>
      </c>
      <c r="H31" s="807">
        <f t="shared" si="6"/>
        <v>9997.0422858053134</v>
      </c>
      <c r="I31" s="807">
        <f t="shared" si="6"/>
        <v>13400.456779050764</v>
      </c>
      <c r="J31" s="807">
        <f t="shared" si="6"/>
        <v>16975.808530728584</v>
      </c>
      <c r="K31" s="807">
        <f t="shared" si="6"/>
        <v>20855.460812221685</v>
      </c>
      <c r="L31" s="807">
        <f t="shared" si="6"/>
        <v>24867.727891074366</v>
      </c>
      <c r="M31" s="807">
        <f t="shared" si="6"/>
        <v>28559.056583594127</v>
      </c>
      <c r="N31" s="807">
        <f t="shared" si="6"/>
        <v>32342.280118828523</v>
      </c>
      <c r="O31" s="807">
        <f t="shared" si="6"/>
        <v>36531.274077336981</v>
      </c>
      <c r="P31" s="419"/>
    </row>
    <row r="32" spans="2:17" ht="15.75">
      <c r="B32" s="152"/>
      <c r="C32" s="413"/>
      <c r="D32" s="414"/>
      <c r="E32" s="414"/>
      <c r="F32" s="2657"/>
      <c r="G32" s="2657"/>
      <c r="H32" s="2661"/>
      <c r="I32" s="2661"/>
      <c r="J32" s="2661"/>
      <c r="K32" s="2661"/>
      <c r="L32" s="2661"/>
      <c r="M32" s="2661"/>
      <c r="N32" s="2661"/>
      <c r="O32" s="2661"/>
      <c r="P32" s="419"/>
    </row>
    <row r="33" spans="2:16" ht="15.75">
      <c r="B33" s="152"/>
      <c r="C33" s="106" t="s">
        <v>1045</v>
      </c>
      <c r="D33" s="414"/>
      <c r="E33" s="414"/>
      <c r="F33" s="2657"/>
      <c r="G33" s="2657"/>
      <c r="H33" s="2661"/>
      <c r="I33" s="2661"/>
      <c r="J33" s="2661"/>
      <c r="K33" s="2661"/>
      <c r="L33" s="2661"/>
      <c r="M33" s="2661"/>
      <c r="N33" s="2661"/>
      <c r="O33" s="2661"/>
      <c r="P33" s="419"/>
    </row>
    <row r="34" spans="2:16" ht="15.75">
      <c r="B34" s="152"/>
      <c r="C34" s="413"/>
      <c r="D34" s="414"/>
      <c r="E34" s="414"/>
      <c r="F34" s="2657"/>
      <c r="G34" s="2657"/>
      <c r="H34" s="2661"/>
      <c r="I34" s="2661"/>
      <c r="J34" s="2661"/>
      <c r="K34" s="2661"/>
      <c r="L34" s="2661"/>
      <c r="M34" s="2661"/>
      <c r="N34" s="2661"/>
      <c r="O34" s="2661"/>
      <c r="P34" s="419"/>
    </row>
    <row r="35" spans="2:16" ht="15.75">
      <c r="B35" s="152"/>
      <c r="C35" s="61" t="s">
        <v>411</v>
      </c>
      <c r="D35" s="61" t="s">
        <v>65</v>
      </c>
      <c r="E35" s="61" t="s">
        <v>533</v>
      </c>
      <c r="F35" s="238">
        <v>2007</v>
      </c>
      <c r="G35" s="119">
        <f>F35+5</f>
        <v>2012</v>
      </c>
      <c r="H35" s="119">
        <f t="shared" ref="H35:O35" si="7">G35+5</f>
        <v>2017</v>
      </c>
      <c r="I35" s="119">
        <f t="shared" si="7"/>
        <v>2022</v>
      </c>
      <c r="J35" s="119">
        <f t="shared" si="7"/>
        <v>2027</v>
      </c>
      <c r="K35" s="119">
        <f t="shared" si="7"/>
        <v>2032</v>
      </c>
      <c r="L35" s="119">
        <f t="shared" si="7"/>
        <v>2037</v>
      </c>
      <c r="M35" s="119">
        <f t="shared" si="7"/>
        <v>2042</v>
      </c>
      <c r="N35" s="119">
        <f t="shared" si="7"/>
        <v>2047</v>
      </c>
      <c r="O35" s="119">
        <f t="shared" si="7"/>
        <v>2052</v>
      </c>
      <c r="P35" s="419"/>
    </row>
    <row r="36" spans="2:16" ht="15.75">
      <c r="B36" s="152"/>
      <c r="C36" s="413">
        <v>1</v>
      </c>
      <c r="D36" s="414" t="s">
        <v>955</v>
      </c>
      <c r="E36" s="865"/>
      <c r="F36" s="869">
        <f>G36</f>
        <v>0.84816017504281249</v>
      </c>
      <c r="G36" s="869">
        <v>0.84816017504281249</v>
      </c>
      <c r="H36" s="869">
        <v>0.84914445210407208</v>
      </c>
      <c r="I36" s="869">
        <v>0.85012872916533166</v>
      </c>
      <c r="J36" s="869">
        <v>0.85111300622659114</v>
      </c>
      <c r="K36" s="869">
        <v>0.85209728328785073</v>
      </c>
      <c r="L36" s="869">
        <v>0.85308156034911031</v>
      </c>
      <c r="M36" s="869">
        <v>0.85406583741036979</v>
      </c>
      <c r="N36" s="869">
        <v>0.85505011447162937</v>
      </c>
      <c r="O36" s="869">
        <v>0.85603439153288896</v>
      </c>
      <c r="P36" s="419"/>
    </row>
    <row r="37" spans="2:16" ht="15.75">
      <c r="B37" s="152"/>
      <c r="C37" s="413"/>
      <c r="D37" s="414" t="s">
        <v>952</v>
      </c>
      <c r="E37" s="865"/>
      <c r="F37" s="869">
        <f t="shared" ref="F37:F47" si="8">G37</f>
        <v>0.14423867048152983</v>
      </c>
      <c r="G37" s="869">
        <v>0.14423867048152983</v>
      </c>
      <c r="H37" s="869">
        <v>0.14087936234702517</v>
      </c>
      <c r="I37" s="869">
        <v>0.13752005421252053</v>
      </c>
      <c r="J37" s="869">
        <v>0.13416074607801587</v>
      </c>
      <c r="K37" s="869">
        <v>0.13080143794351123</v>
      </c>
      <c r="L37" s="869">
        <v>0.12744212980900657</v>
      </c>
      <c r="M37" s="869">
        <v>0.12408282167450192</v>
      </c>
      <c r="N37" s="869">
        <v>0.12072351353999727</v>
      </c>
      <c r="O37" s="869">
        <v>0.11736420540549262</v>
      </c>
      <c r="P37" s="419"/>
    </row>
    <row r="38" spans="2:16" ht="15.75">
      <c r="B38" s="152"/>
      <c r="C38" s="413"/>
      <c r="D38" s="112" t="s">
        <v>970</v>
      </c>
      <c r="E38" s="867"/>
      <c r="F38" s="871">
        <f t="shared" si="8"/>
        <v>7.6011544756576328E-3</v>
      </c>
      <c r="G38" s="870">
        <v>7.6011544756576328E-3</v>
      </c>
      <c r="H38" s="871">
        <v>9.9761855489027256E-3</v>
      </c>
      <c r="I38" s="871">
        <v>1.2351216622147818E-2</v>
      </c>
      <c r="J38" s="871">
        <v>1.4726247695392911E-2</v>
      </c>
      <c r="K38" s="871">
        <v>1.7101278768638005E-2</v>
      </c>
      <c r="L38" s="871">
        <v>1.9476309841883095E-2</v>
      </c>
      <c r="M38" s="871">
        <v>2.1851340915128189E-2</v>
      </c>
      <c r="N38" s="871">
        <v>2.4226371988373283E-2</v>
      </c>
      <c r="O38" s="870">
        <v>2.6601403061618376E-2</v>
      </c>
      <c r="P38" s="419"/>
    </row>
    <row r="39" spans="2:16" ht="15.75">
      <c r="B39" s="152"/>
      <c r="C39" s="413">
        <v>2</v>
      </c>
      <c r="D39" s="414" t="s">
        <v>955</v>
      </c>
      <c r="E39" s="866"/>
      <c r="F39" s="869">
        <f t="shared" si="8"/>
        <v>0.84816017504281249</v>
      </c>
      <c r="G39" s="869">
        <v>0.84816017504281249</v>
      </c>
      <c r="H39" s="869">
        <v>0.84526515316246087</v>
      </c>
      <c r="I39" s="869">
        <v>0.84237013128210936</v>
      </c>
      <c r="J39" s="869">
        <v>0.83947510940175785</v>
      </c>
      <c r="K39" s="869">
        <v>0.83658008752140622</v>
      </c>
      <c r="L39" s="869">
        <v>0.8336850656410546</v>
      </c>
      <c r="M39" s="869">
        <v>0.83079004376070309</v>
      </c>
      <c r="N39" s="869">
        <v>0.82789502188035158</v>
      </c>
      <c r="O39" s="869">
        <v>0.82499999999999996</v>
      </c>
      <c r="P39" s="419"/>
    </row>
    <row r="40" spans="2:16" ht="15.75">
      <c r="B40" s="152"/>
      <c r="C40" s="413"/>
      <c r="D40" s="414" t="s">
        <v>952</v>
      </c>
      <c r="E40" s="865"/>
      <c r="F40" s="869">
        <f t="shared" si="8"/>
        <v>0.14423867048152983</v>
      </c>
      <c r="G40" s="869">
        <v>0.14423867048152983</v>
      </c>
      <c r="H40" s="869">
        <v>0.1449588366713386</v>
      </c>
      <c r="I40" s="869">
        <v>0.14567900286114738</v>
      </c>
      <c r="J40" s="869">
        <v>0.14639916905095615</v>
      </c>
      <c r="K40" s="869">
        <v>0.14711933524076493</v>
      </c>
      <c r="L40" s="869">
        <v>0.14783950143057367</v>
      </c>
      <c r="M40" s="869">
        <v>0.14855966762038245</v>
      </c>
      <c r="N40" s="869">
        <v>0.14927983381019122</v>
      </c>
      <c r="O40" s="869">
        <v>0.15</v>
      </c>
      <c r="P40" s="419"/>
    </row>
    <row r="41" spans="2:16" ht="15.75">
      <c r="B41" s="152"/>
      <c r="C41" s="413"/>
      <c r="D41" s="112" t="s">
        <v>970</v>
      </c>
      <c r="E41" s="867"/>
      <c r="F41" s="871">
        <f t="shared" si="8"/>
        <v>7.6011544756576328E-3</v>
      </c>
      <c r="G41" s="870">
        <v>7.6011544756576328E-3</v>
      </c>
      <c r="H41" s="871">
        <v>9.7760101662004283E-3</v>
      </c>
      <c r="I41" s="871">
        <v>1.1950865856743225E-2</v>
      </c>
      <c r="J41" s="871">
        <v>1.4125721547286019E-2</v>
      </c>
      <c r="K41" s="871">
        <v>1.6300577237828816E-2</v>
      </c>
      <c r="L41" s="871">
        <v>1.8475432928371612E-2</v>
      </c>
      <c r="M41" s="871">
        <v>2.0650288618914409E-2</v>
      </c>
      <c r="N41" s="871">
        <v>2.2825144309457205E-2</v>
      </c>
      <c r="O41" s="870">
        <v>2.5000000000000001E-2</v>
      </c>
      <c r="P41" s="419"/>
    </row>
    <row r="42" spans="2:16" ht="15.75">
      <c r="B42" s="152"/>
      <c r="C42" s="413">
        <v>3</v>
      </c>
      <c r="D42" s="414" t="s">
        <v>955</v>
      </c>
      <c r="E42" s="866"/>
      <c r="F42" s="869">
        <f t="shared" si="8"/>
        <v>0.84816017504281249</v>
      </c>
      <c r="G42" s="869">
        <v>0.84816017504281249</v>
      </c>
      <c r="H42" s="869">
        <v>0.84214015316246094</v>
      </c>
      <c r="I42" s="869">
        <v>0.83612013128210938</v>
      </c>
      <c r="J42" s="869">
        <v>0.83010010940175782</v>
      </c>
      <c r="K42" s="869">
        <v>0.82408008752140627</v>
      </c>
      <c r="L42" s="869">
        <v>0.81806006564105471</v>
      </c>
      <c r="M42" s="869">
        <v>0.81204004376070316</v>
      </c>
      <c r="N42" s="869">
        <v>0.8060200218803516</v>
      </c>
      <c r="O42" s="869">
        <v>0.8</v>
      </c>
      <c r="P42" s="419"/>
    </row>
    <row r="43" spans="2:16" ht="15.75">
      <c r="B43" s="152"/>
      <c r="C43" s="413"/>
      <c r="D43" s="414" t="s">
        <v>952</v>
      </c>
      <c r="E43" s="865"/>
      <c r="F43" s="869">
        <f t="shared" si="8"/>
        <v>0.14423867048152983</v>
      </c>
      <c r="G43" s="869">
        <v>0.14423867048152983</v>
      </c>
      <c r="H43" s="869">
        <v>0.14870883667133861</v>
      </c>
      <c r="I43" s="869">
        <v>0.15317900286114738</v>
      </c>
      <c r="J43" s="869">
        <v>0.15764916905095613</v>
      </c>
      <c r="K43" s="869">
        <v>0.16211933524076491</v>
      </c>
      <c r="L43" s="869">
        <v>0.16658950143057369</v>
      </c>
      <c r="M43" s="869">
        <v>0.17105966762038244</v>
      </c>
      <c r="N43" s="869">
        <v>0.17552983381019122</v>
      </c>
      <c r="O43" s="869">
        <v>0.18</v>
      </c>
      <c r="P43" s="419"/>
    </row>
    <row r="44" spans="2:16" ht="15.75">
      <c r="B44" s="152"/>
      <c r="C44" s="413"/>
      <c r="D44" s="112" t="s">
        <v>970</v>
      </c>
      <c r="E44" s="867"/>
      <c r="F44" s="871">
        <f t="shared" si="8"/>
        <v>7.6011544756576328E-3</v>
      </c>
      <c r="G44" s="870">
        <v>7.6011544756576328E-3</v>
      </c>
      <c r="H44" s="871">
        <v>9.1510101662004295E-3</v>
      </c>
      <c r="I44" s="871">
        <v>1.0700865856743225E-2</v>
      </c>
      <c r="J44" s="871">
        <v>1.2250721547286021E-2</v>
      </c>
      <c r="K44" s="871">
        <v>1.3800577237828817E-2</v>
      </c>
      <c r="L44" s="871">
        <v>1.5350432928371613E-2</v>
      </c>
      <c r="M44" s="871">
        <v>1.6900288618914409E-2</v>
      </c>
      <c r="N44" s="871">
        <v>1.8450144309457205E-2</v>
      </c>
      <c r="O44" s="870">
        <v>0.02</v>
      </c>
      <c r="P44" s="419"/>
    </row>
    <row r="45" spans="2:16" ht="15.75">
      <c r="B45" s="152"/>
      <c r="C45" s="413">
        <v>4</v>
      </c>
      <c r="D45" s="414" t="s">
        <v>955</v>
      </c>
      <c r="E45" s="866"/>
      <c r="F45" s="869">
        <f t="shared" si="8"/>
        <v>0.84816017504281249</v>
      </c>
      <c r="G45" s="869">
        <v>0.84816017504281249</v>
      </c>
      <c r="H45" s="869">
        <v>0.84026515316246098</v>
      </c>
      <c r="I45" s="869">
        <v>0.83237013128210935</v>
      </c>
      <c r="J45" s="869">
        <v>0.82447510940175772</v>
      </c>
      <c r="K45" s="869">
        <v>0.81658008752140621</v>
      </c>
      <c r="L45" s="869">
        <v>0.80868506564105469</v>
      </c>
      <c r="M45" s="869">
        <v>0.80079004376070306</v>
      </c>
      <c r="N45" s="869">
        <v>0.79289502188035144</v>
      </c>
      <c r="O45" s="869">
        <v>0.78499999999999992</v>
      </c>
      <c r="P45" s="419"/>
    </row>
    <row r="46" spans="2:16" ht="15.75">
      <c r="B46" s="152"/>
      <c r="C46" s="413"/>
      <c r="D46" s="414" t="s">
        <v>952</v>
      </c>
      <c r="E46" s="865"/>
      <c r="F46" s="869">
        <f t="shared" si="8"/>
        <v>0.14423867048152983</v>
      </c>
      <c r="G46" s="869">
        <v>0.14423867048152983</v>
      </c>
      <c r="H46" s="869">
        <v>0.15120883667133861</v>
      </c>
      <c r="I46" s="869">
        <v>0.15817900286114739</v>
      </c>
      <c r="J46" s="869">
        <v>0.16514916905095614</v>
      </c>
      <c r="K46" s="869">
        <v>0.17211933524076492</v>
      </c>
      <c r="L46" s="869">
        <v>0.1790895014305737</v>
      </c>
      <c r="M46" s="869">
        <v>0.18605966762038245</v>
      </c>
      <c r="N46" s="869">
        <v>0.19302983381019123</v>
      </c>
      <c r="O46" s="869">
        <v>0.2</v>
      </c>
      <c r="P46" s="419"/>
    </row>
    <row r="47" spans="2:16" ht="15.75">
      <c r="B47" s="152"/>
      <c r="C47" s="413"/>
      <c r="D47" s="112" t="s">
        <v>970</v>
      </c>
      <c r="E47" s="867"/>
      <c r="F47" s="871">
        <f t="shared" si="8"/>
        <v>7.6011544756576328E-3</v>
      </c>
      <c r="G47" s="870">
        <v>7.6011544756576328E-3</v>
      </c>
      <c r="H47" s="871">
        <v>8.526010166200429E-3</v>
      </c>
      <c r="I47" s="871">
        <v>9.4508658567432242E-3</v>
      </c>
      <c r="J47" s="871">
        <v>1.037572154728602E-2</v>
      </c>
      <c r="K47" s="871">
        <v>1.1300577237828817E-2</v>
      </c>
      <c r="L47" s="871">
        <v>1.2225432928371612E-2</v>
      </c>
      <c r="M47" s="871">
        <v>1.3150288618914409E-2</v>
      </c>
      <c r="N47" s="871">
        <v>1.4075144309457204E-2</v>
      </c>
      <c r="O47" s="870">
        <v>1.4999999999999999E-2</v>
      </c>
      <c r="P47" s="419"/>
    </row>
    <row r="48" spans="2:16" ht="15.75">
      <c r="B48" s="152"/>
      <c r="C48" s="413"/>
      <c r="D48" s="65"/>
      <c r="E48" s="65"/>
      <c r="F48" s="872"/>
      <c r="G48" s="873"/>
      <c r="H48" s="873"/>
      <c r="I48" s="873"/>
      <c r="J48" s="873"/>
      <c r="K48" s="873"/>
      <c r="L48" s="873"/>
      <c r="M48" s="873"/>
      <c r="N48" s="873"/>
      <c r="O48" s="873"/>
      <c r="P48" s="419"/>
    </row>
    <row r="49" spans="2:16" ht="15.75">
      <c r="B49" s="152"/>
      <c r="C49" s="2665" t="s">
        <v>406</v>
      </c>
      <c r="D49" s="2666" t="s">
        <v>955</v>
      </c>
      <c r="E49" s="407"/>
      <c r="F49" s="874">
        <f>(INDEX(F$36:F$47,ROUNDDOWN(3*$E$9-2,0))*(1-MOD(3*$E$9-2,1)))+(INDEX(F$36:F$47,ROUNDUP(3*$E$9-2,0))*MOD(3*$E$9-2,1))</f>
        <v>0.84816017504281249</v>
      </c>
      <c r="G49" s="874">
        <f t="shared" ref="G49:O49" si="9">(INDEX(G$36:G$47,ROUNDDOWN(3*$E$9-2,0))*(1-MOD(3*$E$9-2,1)))+(INDEX(G$36:G$47,ROUNDUP(3*$E$9-2,0))*MOD(3*$E$9-2,1))</f>
        <v>0.84816017504281249</v>
      </c>
      <c r="H49" s="874">
        <f t="shared" si="9"/>
        <v>0.84914445210407208</v>
      </c>
      <c r="I49" s="874">
        <f t="shared" si="9"/>
        <v>0.85012872916533166</v>
      </c>
      <c r="J49" s="874">
        <f t="shared" si="9"/>
        <v>0.85111300622659114</v>
      </c>
      <c r="K49" s="874">
        <f t="shared" si="9"/>
        <v>0.85209728328785073</v>
      </c>
      <c r="L49" s="874">
        <f t="shared" si="9"/>
        <v>0.85308156034911031</v>
      </c>
      <c r="M49" s="874">
        <f t="shared" si="9"/>
        <v>0.85406583741036979</v>
      </c>
      <c r="N49" s="874">
        <f t="shared" si="9"/>
        <v>0.85505011447162937</v>
      </c>
      <c r="O49" s="874">
        <f t="shared" si="9"/>
        <v>0.85603439153288896</v>
      </c>
      <c r="P49" s="419"/>
    </row>
    <row r="50" spans="2:16" ht="15.75">
      <c r="B50" s="152"/>
      <c r="C50" s="455"/>
      <c r="D50" s="414" t="s">
        <v>952</v>
      </c>
      <c r="E50" s="414"/>
      <c r="F50" s="874">
        <f>(INDEX(F$36:F$47,ROUNDDOWN(3*$E$9-1,0))*(1-MOD(3*$E$9-1,1)))+(INDEX(F$36:F$47,ROUNDUP(3*$E$9-1,0))*MOD(3*$E$9-1,1))</f>
        <v>0.14423867048152983</v>
      </c>
      <c r="G50" s="874">
        <f t="shared" ref="G50:O50" si="10">(INDEX(G$36:G$47,ROUNDDOWN(3*$E$9-1,0))*(1-MOD(3*$E$9-1,1)))+(INDEX(G$36:G$47,ROUNDUP(3*$E$9-1,0))*MOD(3*$E$9-1,1))</f>
        <v>0.14423867048152983</v>
      </c>
      <c r="H50" s="874">
        <f t="shared" si="10"/>
        <v>0.14087936234702517</v>
      </c>
      <c r="I50" s="874">
        <f t="shared" si="10"/>
        <v>0.13752005421252053</v>
      </c>
      <c r="J50" s="874">
        <f t="shared" si="10"/>
        <v>0.13416074607801587</v>
      </c>
      <c r="K50" s="874">
        <f t="shared" si="10"/>
        <v>0.13080143794351123</v>
      </c>
      <c r="L50" s="874">
        <f t="shared" si="10"/>
        <v>0.12744212980900657</v>
      </c>
      <c r="M50" s="874">
        <f t="shared" si="10"/>
        <v>0.12408282167450192</v>
      </c>
      <c r="N50" s="874">
        <f t="shared" si="10"/>
        <v>0.12072351353999727</v>
      </c>
      <c r="O50" s="874">
        <f t="shared" si="10"/>
        <v>0.11736420540549262</v>
      </c>
      <c r="P50" s="419"/>
    </row>
    <row r="51" spans="2:16" ht="15.75">
      <c r="B51" s="152"/>
      <c r="C51" s="455"/>
      <c r="D51" s="112" t="s">
        <v>970</v>
      </c>
      <c r="E51" s="414"/>
      <c r="F51" s="874">
        <f>(INDEX(F$36:F$47,ROUNDDOWN(3*$E$9,0))*(1-MOD(3*$E$9,1)))+(INDEX(F$36:F$47,ROUNDUP(3*$E$9,0))*MOD(3*$E$9,1))</f>
        <v>7.6011544756576328E-3</v>
      </c>
      <c r="G51" s="874">
        <f t="shared" ref="G51:O51" si="11">(INDEX(G$36:G$47,ROUNDDOWN(3*$E$9,0))*(1-MOD(3*$E$9,1)))+(INDEX(G$36:G$47,ROUNDUP(3*$E$9,0))*MOD(3*$E$9,1))</f>
        <v>7.6011544756576328E-3</v>
      </c>
      <c r="H51" s="874">
        <f t="shared" si="11"/>
        <v>9.9761855489027256E-3</v>
      </c>
      <c r="I51" s="874">
        <f t="shared" si="11"/>
        <v>1.2351216622147818E-2</v>
      </c>
      <c r="J51" s="874">
        <f t="shared" si="11"/>
        <v>1.4726247695392911E-2</v>
      </c>
      <c r="K51" s="874">
        <f t="shared" si="11"/>
        <v>1.7101278768638005E-2</v>
      </c>
      <c r="L51" s="874">
        <f t="shared" si="11"/>
        <v>1.9476309841883095E-2</v>
      </c>
      <c r="M51" s="874">
        <f t="shared" si="11"/>
        <v>2.1851340915128189E-2</v>
      </c>
      <c r="N51" s="874">
        <f t="shared" si="11"/>
        <v>2.4226371988373283E-2</v>
      </c>
      <c r="O51" s="874">
        <f t="shared" si="11"/>
        <v>2.6601403061618376E-2</v>
      </c>
      <c r="P51" s="419"/>
    </row>
    <row r="52" spans="2:16" ht="15.75">
      <c r="B52" s="152"/>
      <c r="C52" s="413"/>
      <c r="D52" s="414"/>
      <c r="E52" s="414"/>
      <c r="F52" s="2657"/>
      <c r="G52" s="2657"/>
      <c r="H52" s="2661"/>
      <c r="I52" s="2661"/>
      <c r="J52" s="2661"/>
      <c r="K52" s="2661"/>
      <c r="L52" s="2661"/>
      <c r="M52" s="2661"/>
      <c r="N52" s="2661"/>
      <c r="O52" s="2661"/>
      <c r="P52" s="419"/>
    </row>
    <row r="53" spans="2:16" ht="15.75">
      <c r="B53" s="152"/>
      <c r="C53" s="413"/>
      <c r="D53" s="414"/>
      <c r="E53" s="414"/>
      <c r="F53" s="2657"/>
      <c r="G53" s="2657"/>
      <c r="H53" s="2661"/>
      <c r="I53" s="2661"/>
      <c r="J53" s="2661"/>
      <c r="K53" s="2661"/>
      <c r="L53" s="2661"/>
      <c r="M53" s="2661"/>
      <c r="N53" s="2661"/>
      <c r="O53" s="2661"/>
      <c r="P53" s="419"/>
    </row>
    <row r="54" spans="2:16" ht="15.75">
      <c r="B54" s="152"/>
      <c r="C54" s="413"/>
      <c r="D54" s="414"/>
      <c r="E54" s="414"/>
      <c r="F54" s="2657"/>
      <c r="G54" s="2657"/>
      <c r="H54" s="2661"/>
      <c r="I54" s="2661"/>
      <c r="J54" s="2661"/>
      <c r="K54" s="2661"/>
      <c r="L54" s="2661"/>
      <c r="M54" s="2661"/>
      <c r="N54" s="2661"/>
      <c r="O54" s="2661"/>
      <c r="P54" s="419"/>
    </row>
    <row r="55" spans="2:16" ht="15.75">
      <c r="B55" s="152"/>
      <c r="C55" s="412" t="s">
        <v>1016</v>
      </c>
      <c r="D55" s="412"/>
      <c r="E55" s="412"/>
      <c r="F55" s="412"/>
      <c r="G55" s="412"/>
      <c r="H55" s="412"/>
      <c r="I55" s="913" t="s">
        <v>1008</v>
      </c>
      <c r="J55" s="2661"/>
      <c r="K55" s="2661"/>
      <c r="L55" s="2661"/>
      <c r="M55" s="2661"/>
      <c r="N55" s="2661"/>
      <c r="O55" s="2661"/>
      <c r="P55" s="419"/>
    </row>
    <row r="56" spans="2:16" ht="15.75">
      <c r="B56" s="152"/>
      <c r="C56" s="1701" t="s">
        <v>1009</v>
      </c>
      <c r="D56" s="1701"/>
      <c r="E56" s="1701"/>
      <c r="F56" s="3374" t="s">
        <v>1010</v>
      </c>
      <c r="G56" s="3375"/>
      <c r="H56" s="3375"/>
      <c r="I56" s="3375"/>
      <c r="J56" s="2661"/>
      <c r="K56" s="2661"/>
      <c r="L56" s="2661"/>
      <c r="M56" s="2661"/>
      <c r="N56" s="2661"/>
      <c r="O56" s="2661"/>
      <c r="P56" s="419"/>
    </row>
    <row r="57" spans="2:16" ht="15.75">
      <c r="B57" s="152"/>
      <c r="C57" s="61" t="s">
        <v>840</v>
      </c>
      <c r="D57" s="61" t="s">
        <v>156</v>
      </c>
      <c r="E57" s="909" t="s">
        <v>1011</v>
      </c>
      <c r="F57" s="916" t="s">
        <v>1017</v>
      </c>
      <c r="G57" s="916" t="s">
        <v>811</v>
      </c>
      <c r="H57" s="916" t="s">
        <v>1018</v>
      </c>
      <c r="I57" s="917" t="s">
        <v>1019</v>
      </c>
      <c r="J57" s="2661"/>
      <c r="K57" s="2661"/>
      <c r="L57" s="2661"/>
      <c r="M57" s="2661"/>
      <c r="N57" s="2661"/>
      <c r="O57" s="2661"/>
      <c r="P57" s="419"/>
    </row>
    <row r="58" spans="2:16" ht="15.75">
      <c r="B58" s="152"/>
      <c r="C58" s="910" t="s">
        <v>1012</v>
      </c>
      <c r="D58" s="910" t="s">
        <v>1013</v>
      </c>
      <c r="E58" s="914">
        <v>0.74</v>
      </c>
      <c r="F58" s="911">
        <v>0.41855738176555535</v>
      </c>
      <c r="G58" s="912">
        <v>0.55000000000000004</v>
      </c>
      <c r="H58" s="912">
        <v>0.65</v>
      </c>
      <c r="I58" s="912">
        <v>0.8</v>
      </c>
      <c r="J58" s="2661"/>
      <c r="K58" s="2661"/>
      <c r="L58" s="2661"/>
      <c r="M58" s="2661"/>
      <c r="N58" s="2661"/>
      <c r="O58" s="2661"/>
      <c r="P58" s="419"/>
    </row>
    <row r="59" spans="2:16" ht="15.75">
      <c r="B59" s="152"/>
      <c r="C59" s="910" t="s">
        <v>1014</v>
      </c>
      <c r="D59" s="910" t="s">
        <v>1015</v>
      </c>
      <c r="E59" s="914">
        <v>0.26</v>
      </c>
      <c r="F59" s="911">
        <v>0.58144261823444465</v>
      </c>
      <c r="G59" s="912">
        <v>0.45</v>
      </c>
      <c r="H59" s="912">
        <v>0.35</v>
      </c>
      <c r="I59" s="912">
        <v>0.2</v>
      </c>
      <c r="J59" s="2661"/>
      <c r="K59" s="2661"/>
      <c r="L59" s="2661"/>
      <c r="M59" s="2661"/>
      <c r="N59" s="2661"/>
      <c r="O59" s="2661"/>
      <c r="P59" s="419"/>
    </row>
    <row r="60" spans="2:16" ht="15.75">
      <c r="B60" s="152"/>
      <c r="C60" s="2667" t="s">
        <v>103</v>
      </c>
      <c r="D60" s="2668"/>
      <c r="E60" s="915">
        <f>SUM(E58:E59)</f>
        <v>1</v>
      </c>
      <c r="F60" s="3176">
        <f>SUM(F58:F59)</f>
        <v>1</v>
      </c>
      <c r="G60" s="3176">
        <f>SUM(G58:G59)</f>
        <v>1</v>
      </c>
      <c r="H60" s="3176">
        <f>SUM(H58:H59)</f>
        <v>1</v>
      </c>
      <c r="I60" s="3177">
        <f>SUM(I58:I59)</f>
        <v>1</v>
      </c>
      <c r="J60" s="2661"/>
      <c r="K60" s="2661"/>
      <c r="L60" s="2661"/>
      <c r="M60" s="2661"/>
      <c r="N60" s="2661"/>
      <c r="O60" s="2661"/>
      <c r="P60" s="419"/>
    </row>
    <row r="61" spans="2:16" ht="15.75">
      <c r="B61" s="152"/>
      <c r="C61" s="921"/>
      <c r="D61" s="908"/>
      <c r="E61" s="255"/>
      <c r="F61" s="2657"/>
      <c r="G61" s="2657"/>
      <c r="H61" s="2661"/>
      <c r="I61" s="2661"/>
      <c r="J61" s="2661"/>
      <c r="K61" s="2661"/>
      <c r="L61" s="2661"/>
      <c r="M61" s="2661"/>
      <c r="N61" s="2661"/>
      <c r="O61" s="2661"/>
      <c r="P61" s="419"/>
    </row>
    <row r="62" spans="2:16" ht="15.75">
      <c r="B62" s="152"/>
      <c r="C62" s="412" t="s">
        <v>1964</v>
      </c>
      <c r="D62" s="412"/>
      <c r="E62" s="412"/>
      <c r="F62" s="412"/>
      <c r="G62" s="412"/>
      <c r="H62" s="412"/>
      <c r="I62" s="913"/>
      <c r="J62" s="2661"/>
      <c r="K62" s="2661"/>
      <c r="L62" s="2661"/>
      <c r="M62" s="2661"/>
      <c r="N62" s="2661"/>
      <c r="O62" s="2661"/>
      <c r="P62" s="419"/>
    </row>
    <row r="63" spans="2:16" ht="15.75">
      <c r="B63" s="152"/>
      <c r="C63" s="1701" t="s">
        <v>1009</v>
      </c>
      <c r="D63" s="1701"/>
      <c r="E63" s="1701"/>
      <c r="F63" s="3376" t="s">
        <v>1010</v>
      </c>
      <c r="G63" s="3377"/>
      <c r="H63" s="3377"/>
      <c r="I63" s="3377"/>
      <c r="J63" s="3377"/>
      <c r="K63" s="2661"/>
      <c r="L63" s="2661"/>
      <c r="M63" s="2661"/>
      <c r="N63" s="2661"/>
      <c r="O63" s="2661"/>
      <c r="P63" s="419"/>
    </row>
    <row r="64" spans="2:16" ht="15.75">
      <c r="B64" s="152"/>
      <c r="C64" s="61" t="s">
        <v>1960</v>
      </c>
      <c r="D64" s="61" t="s">
        <v>156</v>
      </c>
      <c r="E64" s="909" t="s">
        <v>1011</v>
      </c>
      <c r="F64" s="916">
        <v>1</v>
      </c>
      <c r="G64" s="916">
        <v>2</v>
      </c>
      <c r="H64" s="916">
        <v>3</v>
      </c>
      <c r="I64" s="916">
        <v>4</v>
      </c>
      <c r="J64" s="2669" t="s">
        <v>875</v>
      </c>
      <c r="K64" s="2661"/>
      <c r="L64" s="2661"/>
      <c r="M64" s="2661"/>
      <c r="N64" s="2661"/>
      <c r="O64" s="2661"/>
      <c r="P64" s="419"/>
    </row>
    <row r="65" spans="2:16" ht="15.75">
      <c r="B65" s="152"/>
      <c r="C65" s="910" t="s">
        <v>1961</v>
      </c>
      <c r="D65" s="910" t="s">
        <v>1962</v>
      </c>
      <c r="E65" s="914">
        <v>0</v>
      </c>
      <c r="F65" s="911">
        <v>3.2636363636363646E-4</v>
      </c>
      <c r="G65" s="912">
        <v>0.2</v>
      </c>
      <c r="H65" s="912">
        <v>0.4</v>
      </c>
      <c r="I65" s="912">
        <v>0.5</v>
      </c>
      <c r="J65" s="2484">
        <f>(INDEX($F65:$I65,ROUNDDOWN($E$11,0))*(1-MOD($E$11,1)))+(INDEX($F65:$I65,ROUNDUP($E$11,0))*MOD($E$11,1))</f>
        <v>3.2636363636363646E-4</v>
      </c>
      <c r="K65" s="2661"/>
      <c r="L65" s="2661"/>
      <c r="M65" s="2661"/>
      <c r="N65" s="2661"/>
      <c r="O65" s="2661"/>
      <c r="P65" s="419"/>
    </row>
    <row r="66" spans="2:16" ht="15.75">
      <c r="B66" s="152"/>
      <c r="C66" s="910" t="s">
        <v>1024</v>
      </c>
      <c r="D66" s="910" t="s">
        <v>1963</v>
      </c>
      <c r="E66" s="914">
        <v>8.7499999999999991E-3</v>
      </c>
      <c r="F66" s="911">
        <v>0.2</v>
      </c>
      <c r="G66" s="912">
        <v>0.3</v>
      </c>
      <c r="H66" s="912">
        <v>0.45</v>
      </c>
      <c r="I66" s="912">
        <v>0.8</v>
      </c>
      <c r="J66" s="2484">
        <f t="shared" ref="J66:J67" si="12">(INDEX($F66:$I66,ROUNDDOWN($E$11,0))*(1-MOD($E$11,1)))+(INDEX($F66:$I66,ROUNDUP($E$11,0))*MOD($E$11,1))</f>
        <v>0.2</v>
      </c>
      <c r="K66" s="2661"/>
      <c r="L66" s="2661"/>
      <c r="M66" s="2705"/>
      <c r="N66" s="2661"/>
      <c r="O66" s="2661"/>
      <c r="P66" s="419"/>
    </row>
    <row r="67" spans="2:16" ht="15.75">
      <c r="B67" s="152"/>
      <c r="C67" s="3074" t="s">
        <v>2380</v>
      </c>
      <c r="D67" s="3074" t="s">
        <v>2381</v>
      </c>
      <c r="E67" s="3074">
        <v>0</v>
      </c>
      <c r="F67" s="3075">
        <v>0</v>
      </c>
      <c r="G67" s="3076">
        <v>0.05</v>
      </c>
      <c r="H67" s="3076">
        <v>0.1</v>
      </c>
      <c r="I67" s="3076">
        <v>0.15</v>
      </c>
      <c r="J67" s="3077">
        <f t="shared" si="12"/>
        <v>0</v>
      </c>
      <c r="K67" s="2661"/>
      <c r="L67" s="2661"/>
      <c r="M67" s="2661"/>
      <c r="N67" s="2661"/>
      <c r="O67" s="2661"/>
      <c r="P67" s="419"/>
    </row>
    <row r="68" spans="2:16" ht="15.75">
      <c r="B68" s="152"/>
      <c r="C68" s="921"/>
      <c r="D68" s="908"/>
      <c r="E68" s="255"/>
      <c r="F68" s="2657"/>
      <c r="G68" s="2657"/>
      <c r="H68" s="2661"/>
      <c r="I68" s="2661"/>
      <c r="J68" s="2661"/>
      <c r="K68" s="2661"/>
      <c r="L68" s="2661"/>
      <c r="M68" s="2661"/>
      <c r="N68" s="2661"/>
      <c r="O68" s="2661"/>
      <c r="P68" s="419"/>
    </row>
    <row r="69" spans="2:16" ht="15.75">
      <c r="B69" s="152"/>
      <c r="C69" s="921"/>
      <c r="D69" s="908"/>
      <c r="E69" s="255"/>
      <c r="F69" s="2657"/>
      <c r="G69" s="2657"/>
      <c r="H69" s="2661"/>
      <c r="I69" s="2661"/>
      <c r="J69" s="2661"/>
      <c r="K69" s="2661"/>
      <c r="L69" s="2661"/>
      <c r="M69" s="2661"/>
      <c r="N69" s="2661"/>
      <c r="O69" s="2661"/>
      <c r="P69" s="419"/>
    </row>
    <row r="70" spans="2:16" ht="15.75">
      <c r="B70" s="152"/>
      <c r="C70" s="413"/>
      <c r="D70" s="414"/>
      <c r="E70" s="414"/>
      <c r="F70" s="2657"/>
      <c r="G70" s="2657"/>
      <c r="H70" s="2661"/>
      <c r="I70" s="2661"/>
      <c r="J70" s="2661"/>
      <c r="K70" s="2661"/>
      <c r="L70" s="2661"/>
      <c r="M70" s="2661"/>
      <c r="N70" s="2661"/>
      <c r="O70" s="2661"/>
      <c r="P70" s="419"/>
    </row>
    <row r="71" spans="2:16" ht="15.75">
      <c r="B71" s="152"/>
      <c r="C71" s="920" t="s">
        <v>1027</v>
      </c>
      <c r="D71" s="414"/>
      <c r="E71" s="414"/>
      <c r="F71" s="2657"/>
      <c r="G71" s="2657"/>
      <c r="H71" s="2661"/>
      <c r="I71" s="2661"/>
      <c r="J71" s="2661"/>
      <c r="K71" s="2661"/>
      <c r="L71" s="2661"/>
      <c r="M71" s="2661"/>
      <c r="N71" s="2661"/>
      <c r="O71" s="2661"/>
      <c r="P71" s="419"/>
    </row>
    <row r="72" spans="2:16" ht="15.75">
      <c r="B72" s="152"/>
      <c r="C72" s="416"/>
      <c r="D72" s="415"/>
      <c r="E72" s="104"/>
      <c r="F72" s="415"/>
      <c r="G72" s="415"/>
      <c r="H72" s="415"/>
      <c r="I72" s="415"/>
      <c r="J72" s="415"/>
      <c r="K72" s="415"/>
      <c r="L72" s="415"/>
      <c r="M72" s="415"/>
      <c r="N72" s="415"/>
      <c r="O72" s="104" t="s">
        <v>277</v>
      </c>
      <c r="P72" s="419"/>
    </row>
    <row r="73" spans="2:16" ht="15.75">
      <c r="B73" s="152"/>
      <c r="C73" s="416" t="s">
        <v>460</v>
      </c>
      <c r="D73" s="415"/>
      <c r="E73" s="415"/>
      <c r="F73" s="415"/>
      <c r="G73" s="415"/>
      <c r="H73" s="415"/>
      <c r="I73" s="415"/>
      <c r="J73" s="415"/>
      <c r="K73" s="415"/>
      <c r="L73" s="415"/>
      <c r="M73" s="415"/>
      <c r="N73" s="415"/>
      <c r="O73" s="415"/>
      <c r="P73" s="419"/>
    </row>
    <row r="74" spans="2:16" ht="15.75">
      <c r="B74" s="152"/>
      <c r="C74" s="61" t="s">
        <v>840</v>
      </c>
      <c r="D74" s="61" t="s">
        <v>1020</v>
      </c>
      <c r="E74" s="61" t="s">
        <v>533</v>
      </c>
      <c r="F74" s="119">
        <v>2007</v>
      </c>
      <c r="G74" s="120">
        <f t="shared" ref="G74:O74" si="13">F74+5</f>
        <v>2012</v>
      </c>
      <c r="H74" s="120">
        <f t="shared" si="13"/>
        <v>2017</v>
      </c>
      <c r="I74" s="120">
        <f t="shared" si="13"/>
        <v>2022</v>
      </c>
      <c r="J74" s="120">
        <f t="shared" si="13"/>
        <v>2027</v>
      </c>
      <c r="K74" s="120">
        <f t="shared" si="13"/>
        <v>2032</v>
      </c>
      <c r="L74" s="120">
        <f t="shared" si="13"/>
        <v>2037</v>
      </c>
      <c r="M74" s="120">
        <f t="shared" si="13"/>
        <v>2042</v>
      </c>
      <c r="N74" s="120">
        <f t="shared" si="13"/>
        <v>2047</v>
      </c>
      <c r="O74" s="120">
        <f t="shared" si="13"/>
        <v>2052</v>
      </c>
      <c r="P74" s="419"/>
    </row>
    <row r="75" spans="2:16" ht="15.75">
      <c r="B75" s="152"/>
      <c r="C75" s="413" t="s">
        <v>955</v>
      </c>
      <c r="D75" s="414" t="s">
        <v>1021</v>
      </c>
      <c r="E75" s="132">
        <f t="shared" ref="E75:E80" si="14">(O75-G75)/40</f>
        <v>-7.9753954017819824E-3</v>
      </c>
      <c r="F75" s="2670">
        <f>G75</f>
        <v>0.72850685218433164</v>
      </c>
      <c r="G75" s="2670">
        <v>0.72850685218433164</v>
      </c>
      <c r="H75" s="2675">
        <f>G75+$E75*(H$74-G$74)</f>
        <v>0.68862987517542174</v>
      </c>
      <c r="I75" s="2675">
        <f t="shared" ref="I75:N75" si="15">H75+$E75*(I$74-H$74)</f>
        <v>0.64875289816651183</v>
      </c>
      <c r="J75" s="2675">
        <f t="shared" si="15"/>
        <v>0.60887592115760192</v>
      </c>
      <c r="K75" s="2675">
        <f t="shared" si="15"/>
        <v>0.56899894414869201</v>
      </c>
      <c r="L75" s="2675">
        <f t="shared" si="15"/>
        <v>0.5291219671397821</v>
      </c>
      <c r="M75" s="2675">
        <f t="shared" si="15"/>
        <v>0.48924499013087219</v>
      </c>
      <c r="N75" s="2675">
        <f t="shared" si="15"/>
        <v>0.44936801312196228</v>
      </c>
      <c r="O75" s="2670">
        <f>F$58*O150</f>
        <v>0.40949103611305232</v>
      </c>
      <c r="P75" s="419"/>
    </row>
    <row r="76" spans="2:16" ht="15.75">
      <c r="B76" s="152"/>
      <c r="C76" s="413"/>
      <c r="D76" s="414" t="s">
        <v>1022</v>
      </c>
      <c r="E76" s="1409">
        <f t="shared" si="14"/>
        <v>-1.6289016159154582E-4</v>
      </c>
      <c r="F76" s="2670">
        <f t="shared" ref="F76:F80" si="16">G76</f>
        <v>1.5581952116164871E-2</v>
      </c>
      <c r="G76" s="2670">
        <v>1.5581952116164871E-2</v>
      </c>
      <c r="H76" s="2675">
        <f t="shared" ref="H76:N80" si="17">G76+$E76*(H$74-G$74)</f>
        <v>1.4767501308207141E-2</v>
      </c>
      <c r="I76" s="2675">
        <f t="shared" si="17"/>
        <v>1.3953050500249411E-2</v>
      </c>
      <c r="J76" s="2675">
        <f t="shared" si="17"/>
        <v>1.3138599692291681E-2</v>
      </c>
      <c r="K76" s="2675">
        <f t="shared" si="17"/>
        <v>1.2324148884333952E-2</v>
      </c>
      <c r="L76" s="2675">
        <f t="shared" si="17"/>
        <v>1.1509698076376222E-2</v>
      </c>
      <c r="M76" s="2675">
        <f t="shared" si="17"/>
        <v>1.0695247268418492E-2</v>
      </c>
      <c r="N76" s="2675">
        <f t="shared" si="17"/>
        <v>9.8807964604607623E-3</v>
      </c>
      <c r="O76" s="2670">
        <f>F58*O151</f>
        <v>9.0663456525030377E-3</v>
      </c>
      <c r="P76" s="419"/>
    </row>
    <row r="77" spans="2:16" ht="15.75">
      <c r="B77" s="152"/>
      <c r="C77" s="413"/>
      <c r="D77" s="414" t="s">
        <v>1023</v>
      </c>
      <c r="E77" s="132">
        <f t="shared" si="14"/>
        <v>5.4770124106726754E-3</v>
      </c>
      <c r="F77" s="2670">
        <f t="shared" si="16"/>
        <v>6.7825765529703486E-2</v>
      </c>
      <c r="G77" s="2670">
        <v>6.7825765529703486E-2</v>
      </c>
      <c r="H77" s="2675">
        <f t="shared" si="17"/>
        <v>9.521082758306687E-2</v>
      </c>
      <c r="I77" s="2675">
        <f t="shared" si="17"/>
        <v>0.12259588963643026</v>
      </c>
      <c r="J77" s="2675">
        <f t="shared" si="17"/>
        <v>0.14998095168979364</v>
      </c>
      <c r="K77" s="2675">
        <f t="shared" si="17"/>
        <v>0.17736601374315702</v>
      </c>
      <c r="L77" s="2675">
        <f t="shared" si="17"/>
        <v>0.20475107579652041</v>
      </c>
      <c r="M77" s="2675">
        <f t="shared" si="17"/>
        <v>0.23213613784988379</v>
      </c>
      <c r="N77" s="2675">
        <f t="shared" si="17"/>
        <v>0.25952119990324718</v>
      </c>
      <c r="O77" s="2670">
        <f>F$59*O152</f>
        <v>0.28690626195661051</v>
      </c>
      <c r="P77" s="419"/>
    </row>
    <row r="78" spans="2:16" ht="15.75">
      <c r="B78" s="152"/>
      <c r="C78" s="413"/>
      <c r="D78" s="414" t="s">
        <v>1024</v>
      </c>
      <c r="E78" s="132">
        <f t="shared" si="14"/>
        <v>-3.2892062454205337E-5</v>
      </c>
      <c r="F78" s="2670">
        <f t="shared" si="16"/>
        <v>0.13491450467750982</v>
      </c>
      <c r="G78" s="2670">
        <v>0.13491450467750982</v>
      </c>
      <c r="H78" s="2675">
        <f t="shared" si="17"/>
        <v>0.1347500443652388</v>
      </c>
      <c r="I78" s="2675">
        <f t="shared" si="17"/>
        <v>0.13458558405296778</v>
      </c>
      <c r="J78" s="2675">
        <f t="shared" si="17"/>
        <v>0.13442112374069676</v>
      </c>
      <c r="K78" s="2675">
        <f t="shared" si="17"/>
        <v>0.13425666342842574</v>
      </c>
      <c r="L78" s="2675">
        <f t="shared" si="17"/>
        <v>0.13409220311615472</v>
      </c>
      <c r="M78" s="2675">
        <f t="shared" si="17"/>
        <v>0.1339277428038837</v>
      </c>
      <c r="N78" s="2675">
        <f t="shared" si="17"/>
        <v>0.13376328249161268</v>
      </c>
      <c r="O78" s="2670">
        <f>F$59*O153</f>
        <v>0.1335988221793416</v>
      </c>
      <c r="P78" s="419"/>
    </row>
    <row r="79" spans="2:16" ht="15.75">
      <c r="B79" s="152"/>
      <c r="C79" s="413"/>
      <c r="D79" s="414" t="s">
        <v>1025</v>
      </c>
      <c r="E79" s="132">
        <f t="shared" si="14"/>
        <v>1.8048155838147999E-3</v>
      </c>
      <c r="F79" s="2670">
        <f t="shared" si="16"/>
        <v>3.278227171512902E-2</v>
      </c>
      <c r="G79" s="918">
        <v>3.278227171512902E-2</v>
      </c>
      <c r="H79" s="2675">
        <f t="shared" si="17"/>
        <v>4.1806349634203016E-2</v>
      </c>
      <c r="I79" s="2675">
        <f t="shared" si="17"/>
        <v>5.0830427553277019E-2</v>
      </c>
      <c r="J79" s="2675">
        <f t="shared" si="17"/>
        <v>5.9854505472351022E-2</v>
      </c>
      <c r="K79" s="2675">
        <f t="shared" si="17"/>
        <v>6.8878583391425025E-2</v>
      </c>
      <c r="L79" s="2675">
        <f t="shared" si="17"/>
        <v>7.7902661310499027E-2</v>
      </c>
      <c r="M79" s="2675">
        <f t="shared" si="17"/>
        <v>8.692673922957303E-2</v>
      </c>
      <c r="N79" s="2675">
        <f t="shared" si="17"/>
        <v>9.5950817148647033E-2</v>
      </c>
      <c r="O79" s="2670">
        <f>F$59*O154</f>
        <v>0.10497489506772102</v>
      </c>
      <c r="P79" s="419"/>
    </row>
    <row r="80" spans="2:16" ht="15.75">
      <c r="B80" s="152"/>
      <c r="C80" s="413"/>
      <c r="D80" s="414" t="s">
        <v>1026</v>
      </c>
      <c r="E80" s="132">
        <f t="shared" si="14"/>
        <v>8.893496313402572E-4</v>
      </c>
      <c r="F80" s="2670">
        <f t="shared" si="16"/>
        <v>2.0388653777161182E-2</v>
      </c>
      <c r="G80" s="919">
        <v>2.0388653777161182E-2</v>
      </c>
      <c r="H80" s="2675">
        <f t="shared" si="17"/>
        <v>2.4835401933862467E-2</v>
      </c>
      <c r="I80" s="2675">
        <f t="shared" si="17"/>
        <v>2.9282150090563751E-2</v>
      </c>
      <c r="J80" s="2675">
        <f t="shared" si="17"/>
        <v>3.3728898247265035E-2</v>
      </c>
      <c r="K80" s="2675">
        <f t="shared" si="17"/>
        <v>3.8175646403966319E-2</v>
      </c>
      <c r="L80" s="2675">
        <f t="shared" si="17"/>
        <v>4.2622394560667604E-2</v>
      </c>
      <c r="M80" s="2675">
        <f t="shared" si="17"/>
        <v>4.7069142717368888E-2</v>
      </c>
      <c r="N80" s="2675">
        <f t="shared" si="17"/>
        <v>5.1515890874070172E-2</v>
      </c>
      <c r="O80" s="2670">
        <f>F$59*O155</f>
        <v>5.596263903077147E-2</v>
      </c>
      <c r="P80" s="419"/>
    </row>
    <row r="81" spans="2:16" ht="15.75">
      <c r="B81" s="152"/>
      <c r="C81" s="411"/>
      <c r="D81" s="65"/>
      <c r="E81" s="844"/>
      <c r="F81" s="847"/>
      <c r="G81" s="847"/>
      <c r="H81" s="847"/>
      <c r="I81" s="847"/>
      <c r="J81" s="847"/>
      <c r="K81" s="847"/>
      <c r="L81" s="847"/>
      <c r="M81" s="847"/>
      <c r="N81" s="847"/>
      <c r="O81" s="847"/>
      <c r="P81" s="419"/>
    </row>
    <row r="82" spans="2:16" ht="15.75">
      <c r="B82" s="152"/>
      <c r="C82" s="413"/>
      <c r="D82" s="414"/>
      <c r="E82" s="414"/>
      <c r="F82" s="2657"/>
      <c r="G82" s="2657"/>
      <c r="H82" s="2661"/>
      <c r="I82" s="2661"/>
      <c r="J82" s="2661"/>
      <c r="K82" s="2661"/>
      <c r="L82" s="2661"/>
      <c r="M82" s="2661"/>
      <c r="N82" s="2661"/>
      <c r="O82" s="2661"/>
      <c r="P82" s="419"/>
    </row>
    <row r="83" spans="2:16" ht="15.75">
      <c r="B83" s="152"/>
      <c r="C83" s="413"/>
      <c r="D83" s="414"/>
      <c r="E83" s="414"/>
      <c r="F83" s="2657"/>
      <c r="G83" s="2657"/>
      <c r="H83" s="2661"/>
      <c r="I83" s="2661"/>
      <c r="J83" s="2661"/>
      <c r="K83" s="2661"/>
      <c r="L83" s="2661"/>
      <c r="M83" s="2661"/>
      <c r="N83" s="2661"/>
      <c r="O83" s="2661"/>
      <c r="P83" s="419"/>
    </row>
    <row r="84" spans="2:16" ht="15.75">
      <c r="B84" s="152"/>
      <c r="C84" s="416" t="s">
        <v>461</v>
      </c>
      <c r="D84" s="415"/>
      <c r="E84" s="415"/>
      <c r="F84" s="415"/>
      <c r="G84" s="415"/>
      <c r="H84" s="415"/>
      <c r="I84" s="415"/>
      <c r="J84" s="415"/>
      <c r="K84" s="415"/>
      <c r="L84" s="415"/>
      <c r="M84" s="415"/>
      <c r="N84" s="415"/>
      <c r="O84" s="415"/>
      <c r="P84" s="419"/>
    </row>
    <row r="85" spans="2:16" ht="15.75">
      <c r="B85" s="152"/>
      <c r="C85" s="61" t="s">
        <v>840</v>
      </c>
      <c r="D85" s="61" t="s">
        <v>1020</v>
      </c>
      <c r="E85" s="61" t="s">
        <v>533</v>
      </c>
      <c r="F85" s="119">
        <v>2007</v>
      </c>
      <c r="G85" s="120">
        <f t="shared" ref="G85:O85" si="18">F85+5</f>
        <v>2012</v>
      </c>
      <c r="H85" s="120">
        <f t="shared" si="18"/>
        <v>2017</v>
      </c>
      <c r="I85" s="120">
        <f t="shared" si="18"/>
        <v>2022</v>
      </c>
      <c r="J85" s="120">
        <f t="shared" si="18"/>
        <v>2027</v>
      </c>
      <c r="K85" s="120">
        <f t="shared" si="18"/>
        <v>2032</v>
      </c>
      <c r="L85" s="120">
        <f t="shared" si="18"/>
        <v>2037</v>
      </c>
      <c r="M85" s="120">
        <f t="shared" si="18"/>
        <v>2042</v>
      </c>
      <c r="N85" s="120">
        <f t="shared" si="18"/>
        <v>2047</v>
      </c>
      <c r="O85" s="120">
        <f t="shared" si="18"/>
        <v>2052</v>
      </c>
      <c r="P85" s="419"/>
    </row>
    <row r="86" spans="2:16" ht="15.75">
      <c r="B86" s="152"/>
      <c r="C86" s="413" t="s">
        <v>955</v>
      </c>
      <c r="D86" s="414" t="s">
        <v>1021</v>
      </c>
      <c r="E86" s="132">
        <f t="shared" ref="E86:E91" si="19">(O86-G86)/40</f>
        <v>-4.7605092072539627E-3</v>
      </c>
      <c r="F86" s="2670">
        <f>G86</f>
        <v>0.72850685218433164</v>
      </c>
      <c r="G86" s="2670">
        <v>0.72850685218433164</v>
      </c>
      <c r="H86" s="2671">
        <f>G86+$E86*(H$85-G$85)</f>
        <v>0.70470430614806179</v>
      </c>
      <c r="I86" s="2671">
        <f t="shared" ref="I86:N86" si="20">H86+$E86*(I$85-H$85)</f>
        <v>0.68090176011179193</v>
      </c>
      <c r="J86" s="2671">
        <f t="shared" si="20"/>
        <v>0.65709921407552208</v>
      </c>
      <c r="K86" s="2671">
        <f t="shared" si="20"/>
        <v>0.63329666803925222</v>
      </c>
      <c r="L86" s="2671">
        <f t="shared" si="20"/>
        <v>0.60949412200298236</v>
      </c>
      <c r="M86" s="2671">
        <f t="shared" si="20"/>
        <v>0.58569157596671251</v>
      </c>
      <c r="N86" s="2671">
        <f t="shared" si="20"/>
        <v>0.56188902993044265</v>
      </c>
      <c r="O86" s="2670">
        <f>G$58*O150</f>
        <v>0.53808648389417313</v>
      </c>
      <c r="P86" s="419"/>
    </row>
    <row r="87" spans="2:16" ht="15.75">
      <c r="B87" s="152"/>
      <c r="C87" s="413"/>
      <c r="D87" s="414" t="s">
        <v>1022</v>
      </c>
      <c r="E87" s="132">
        <f t="shared" si="19"/>
        <v>-9.1710900258449915E-5</v>
      </c>
      <c r="F87" s="2670">
        <f t="shared" ref="F87:F91" si="21">G87</f>
        <v>1.5581952116164871E-2</v>
      </c>
      <c r="G87" s="2670">
        <v>1.5581952116164871E-2</v>
      </c>
      <c r="H87" s="2671">
        <f t="shared" ref="H87:N91" si="22">G87+$E87*(H$85-G$85)</f>
        <v>1.5123397614872622E-2</v>
      </c>
      <c r="I87" s="2671">
        <f t="shared" si="22"/>
        <v>1.4664843113580373E-2</v>
      </c>
      <c r="J87" s="2671">
        <f t="shared" si="22"/>
        <v>1.4206288612288124E-2</v>
      </c>
      <c r="K87" s="2671">
        <f t="shared" si="22"/>
        <v>1.3747734110995875E-2</v>
      </c>
      <c r="L87" s="2671">
        <f t="shared" si="22"/>
        <v>1.3289179609703626E-2</v>
      </c>
      <c r="M87" s="2671">
        <f t="shared" si="22"/>
        <v>1.2830625108411377E-2</v>
      </c>
      <c r="N87" s="2671">
        <f t="shared" si="22"/>
        <v>1.2372070607119128E-2</v>
      </c>
      <c r="O87" s="2670">
        <f>G$58*O151</f>
        <v>1.1913516105826874E-2</v>
      </c>
      <c r="P87" s="419"/>
    </row>
    <row r="88" spans="2:16" ht="15.75">
      <c r="B88" s="152"/>
      <c r="C88" s="413"/>
      <c r="D88" s="414" t="s">
        <v>1023</v>
      </c>
      <c r="E88" s="132">
        <f t="shared" si="19"/>
        <v>3.8555407006204334E-3</v>
      </c>
      <c r="F88" s="2670">
        <f t="shared" si="21"/>
        <v>6.7825765529703486E-2</v>
      </c>
      <c r="G88" s="2670">
        <v>6.7825765529703486E-2</v>
      </c>
      <c r="H88" s="2671">
        <f t="shared" si="22"/>
        <v>8.710346903280565E-2</v>
      </c>
      <c r="I88" s="2671">
        <f t="shared" si="22"/>
        <v>0.10638117253590781</v>
      </c>
      <c r="J88" s="2671">
        <f t="shared" si="22"/>
        <v>0.12565887603900999</v>
      </c>
      <c r="K88" s="2671">
        <f t="shared" si="22"/>
        <v>0.14493657954211217</v>
      </c>
      <c r="L88" s="2671">
        <f t="shared" si="22"/>
        <v>0.16421428304521435</v>
      </c>
      <c r="M88" s="2671">
        <f t="shared" si="22"/>
        <v>0.18349198654831653</v>
      </c>
      <c r="N88" s="2671">
        <f t="shared" si="22"/>
        <v>0.20276969005141871</v>
      </c>
      <c r="O88" s="2670">
        <f>G$59*O152</f>
        <v>0.22204739355452083</v>
      </c>
      <c r="P88" s="419"/>
    </row>
    <row r="89" spans="2:16" ht="15.75">
      <c r="B89" s="152"/>
      <c r="C89" s="413"/>
      <c r="D89" s="414" t="s">
        <v>1024</v>
      </c>
      <c r="E89" s="132">
        <f t="shared" si="19"/>
        <v>-7.8793557103006007E-4</v>
      </c>
      <c r="F89" s="2670">
        <f t="shared" si="21"/>
        <v>0.13491450467750982</v>
      </c>
      <c r="G89" s="2670">
        <v>0.13491450467750982</v>
      </c>
      <c r="H89" s="2671">
        <f t="shared" si="22"/>
        <v>0.1309748268223595</v>
      </c>
      <c r="I89" s="2671">
        <f t="shared" si="22"/>
        <v>0.12703514896720919</v>
      </c>
      <c r="J89" s="2671">
        <f t="shared" si="22"/>
        <v>0.12309547111205889</v>
      </c>
      <c r="K89" s="2671">
        <f t="shared" si="22"/>
        <v>0.11915579325690859</v>
      </c>
      <c r="L89" s="2671">
        <f t="shared" si="22"/>
        <v>0.11521611540175829</v>
      </c>
      <c r="M89" s="2671">
        <f t="shared" si="22"/>
        <v>0.11127643754660799</v>
      </c>
      <c r="N89" s="2671">
        <f t="shared" si="22"/>
        <v>0.10733675969145769</v>
      </c>
      <c r="O89" s="2670">
        <f>G$59*O153</f>
        <v>0.10339708183630741</v>
      </c>
      <c r="P89" s="419"/>
    </row>
    <row r="90" spans="2:16" ht="15.75">
      <c r="B90" s="152"/>
      <c r="C90" s="413"/>
      <c r="D90" s="414" t="s">
        <v>1025</v>
      </c>
      <c r="E90" s="132">
        <f t="shared" si="19"/>
        <v>1.2115422914955334E-3</v>
      </c>
      <c r="F90" s="2670">
        <f t="shared" si="21"/>
        <v>3.278227171512902E-2</v>
      </c>
      <c r="G90" s="918">
        <v>3.278227171512902E-2</v>
      </c>
      <c r="H90" s="2671">
        <f t="shared" si="22"/>
        <v>3.8839983172606687E-2</v>
      </c>
      <c r="I90" s="2671">
        <f t="shared" si="22"/>
        <v>4.4897694630084355E-2</v>
      </c>
      <c r="J90" s="2671">
        <f t="shared" si="22"/>
        <v>5.0955406087562022E-2</v>
      </c>
      <c r="K90" s="2671">
        <f t="shared" si="22"/>
        <v>5.7013117545039689E-2</v>
      </c>
      <c r="L90" s="2671">
        <f t="shared" si="22"/>
        <v>6.3070829002517356E-2</v>
      </c>
      <c r="M90" s="2671">
        <f t="shared" si="22"/>
        <v>6.912854045999503E-2</v>
      </c>
      <c r="N90" s="2671">
        <f t="shared" si="22"/>
        <v>7.5186251917472691E-2</v>
      </c>
      <c r="O90" s="2670">
        <f>G$59*O154</f>
        <v>8.1243963374950351E-2</v>
      </c>
      <c r="P90" s="419"/>
    </row>
    <row r="91" spans="2:16" ht="15.75">
      <c r="B91" s="152"/>
      <c r="C91" s="413"/>
      <c r="D91" s="414" t="s">
        <v>1026</v>
      </c>
      <c r="E91" s="132">
        <f t="shared" si="19"/>
        <v>5.7307268642650536E-4</v>
      </c>
      <c r="F91" s="2670">
        <f t="shared" si="21"/>
        <v>2.0388653777161182E-2</v>
      </c>
      <c r="G91" s="919">
        <v>2.0388653777161182E-2</v>
      </c>
      <c r="H91" s="2671">
        <f t="shared" si="22"/>
        <v>2.3254017209293709E-2</v>
      </c>
      <c r="I91" s="2671">
        <f t="shared" si="22"/>
        <v>2.6119380641426236E-2</v>
      </c>
      <c r="J91" s="2671">
        <f t="shared" si="22"/>
        <v>2.8984744073558763E-2</v>
      </c>
      <c r="K91" s="2671">
        <f t="shared" si="22"/>
        <v>3.185010750569129E-2</v>
      </c>
      <c r="L91" s="2671">
        <f t="shared" si="22"/>
        <v>3.4715470937823817E-2</v>
      </c>
      <c r="M91" s="2671">
        <f t="shared" si="22"/>
        <v>3.7580834369956344E-2</v>
      </c>
      <c r="N91" s="2671">
        <f t="shared" si="22"/>
        <v>4.0446197802088871E-2</v>
      </c>
      <c r="O91" s="2670">
        <f>G$59*O155</f>
        <v>4.3311561234221398E-2</v>
      </c>
      <c r="P91" s="419"/>
    </row>
    <row r="92" spans="2:16" ht="15.75">
      <c r="B92" s="152"/>
      <c r="C92" s="411"/>
      <c r="D92" s="65"/>
      <c r="E92" s="844"/>
      <c r="F92" s="847"/>
      <c r="G92" s="847"/>
      <c r="H92" s="847"/>
      <c r="I92" s="847"/>
      <c r="J92" s="847"/>
      <c r="K92" s="847"/>
      <c r="L92" s="847"/>
      <c r="M92" s="847"/>
      <c r="N92" s="847"/>
      <c r="O92" s="847"/>
      <c r="P92" s="419"/>
    </row>
    <row r="93" spans="2:16" ht="15.75">
      <c r="B93" s="152"/>
      <c r="C93" s="413"/>
      <c r="D93" s="414"/>
      <c r="E93" s="414"/>
      <c r="F93" s="2657"/>
      <c r="G93" s="2657"/>
      <c r="H93" s="2661"/>
      <c r="I93" s="2661"/>
      <c r="J93" s="2661"/>
      <c r="K93" s="2661"/>
      <c r="L93" s="2661"/>
      <c r="M93" s="2661"/>
      <c r="N93" s="2661"/>
      <c r="O93" s="2661"/>
      <c r="P93" s="419"/>
    </row>
    <row r="94" spans="2:16" ht="15.75">
      <c r="B94" s="152"/>
      <c r="C94" s="413"/>
      <c r="D94" s="414"/>
      <c r="E94" s="414"/>
      <c r="F94" s="2657"/>
      <c r="G94" s="2657"/>
      <c r="H94" s="2661"/>
      <c r="I94" s="2661"/>
      <c r="J94" s="2661"/>
      <c r="K94" s="2661"/>
      <c r="L94" s="2661"/>
      <c r="M94" s="2661"/>
      <c r="N94" s="2661"/>
      <c r="O94" s="2661"/>
      <c r="P94" s="419"/>
    </row>
    <row r="95" spans="2:16" ht="15.75">
      <c r="B95" s="152"/>
      <c r="C95" s="416" t="s">
        <v>462</v>
      </c>
      <c r="D95" s="415"/>
      <c r="E95" s="415"/>
      <c r="F95" s="415"/>
      <c r="G95" s="415"/>
      <c r="H95" s="415"/>
      <c r="I95" s="415"/>
      <c r="J95" s="415"/>
      <c r="K95" s="415"/>
      <c r="L95" s="415"/>
      <c r="M95" s="415"/>
      <c r="N95" s="415"/>
      <c r="O95" s="415"/>
      <c r="P95" s="419"/>
    </row>
    <row r="96" spans="2:16" ht="15.75">
      <c r="B96" s="152"/>
      <c r="C96" s="61" t="s">
        <v>840</v>
      </c>
      <c r="D96" s="61" t="s">
        <v>1020</v>
      </c>
      <c r="E96" s="61" t="s">
        <v>533</v>
      </c>
      <c r="F96" s="119">
        <v>2007</v>
      </c>
      <c r="G96" s="120">
        <f t="shared" ref="G96:O96" si="23">F96+5</f>
        <v>2012</v>
      </c>
      <c r="H96" s="120">
        <f t="shared" si="23"/>
        <v>2017</v>
      </c>
      <c r="I96" s="120">
        <f t="shared" si="23"/>
        <v>2022</v>
      </c>
      <c r="J96" s="120">
        <f t="shared" si="23"/>
        <v>2027</v>
      </c>
      <c r="K96" s="120">
        <f t="shared" si="23"/>
        <v>2032</v>
      </c>
      <c r="L96" s="120">
        <f t="shared" si="23"/>
        <v>2037</v>
      </c>
      <c r="M96" s="120">
        <f t="shared" si="23"/>
        <v>2042</v>
      </c>
      <c r="N96" s="120">
        <f t="shared" si="23"/>
        <v>2047</v>
      </c>
      <c r="O96" s="120">
        <f t="shared" si="23"/>
        <v>2052</v>
      </c>
      <c r="P96" s="419"/>
    </row>
    <row r="97" spans="2:16" ht="15.75">
      <c r="B97" s="152"/>
      <c r="C97" s="413" t="s">
        <v>955</v>
      </c>
      <c r="D97" s="414" t="s">
        <v>1021</v>
      </c>
      <c r="E97" s="132">
        <f t="shared" ref="E97:E102" si="24">(O97-G97)/40</f>
        <v>-2.3146615531895397E-3</v>
      </c>
      <c r="F97" s="2670">
        <f>G97</f>
        <v>0.72850685218433164</v>
      </c>
      <c r="G97" s="2670">
        <v>0.72850685218433164</v>
      </c>
      <c r="H97" s="2671">
        <f>G97+$E97*(H$96-G$96)</f>
        <v>0.71693354441838397</v>
      </c>
      <c r="I97" s="2671">
        <f t="shared" ref="I97:N97" si="25">H97+$E97*(I$96-H$96)</f>
        <v>0.7053602366524363</v>
      </c>
      <c r="J97" s="2671">
        <f t="shared" si="25"/>
        <v>0.69378692888648863</v>
      </c>
      <c r="K97" s="2671">
        <f t="shared" si="25"/>
        <v>0.68221362112054096</v>
      </c>
      <c r="L97" s="2671">
        <f t="shared" si="25"/>
        <v>0.67064031335459329</v>
      </c>
      <c r="M97" s="2671">
        <f t="shared" si="25"/>
        <v>0.65906700558864562</v>
      </c>
      <c r="N97" s="2671">
        <f t="shared" si="25"/>
        <v>0.64749369782269794</v>
      </c>
      <c r="O97" s="2670">
        <f>H$58*O150</f>
        <v>0.63592039005675005</v>
      </c>
      <c r="P97" s="419"/>
    </row>
    <row r="98" spans="2:16" ht="15.75">
      <c r="B98" s="152"/>
      <c r="C98" s="413"/>
      <c r="D98" s="414" t="s">
        <v>1022</v>
      </c>
      <c r="E98" s="132">
        <f t="shared" si="24"/>
        <v>-3.7558554322873229E-5</v>
      </c>
      <c r="F98" s="2670">
        <f t="shared" ref="F98:F102" si="26">G98</f>
        <v>1.5581952116164871E-2</v>
      </c>
      <c r="G98" s="2670">
        <v>1.5581952116164871E-2</v>
      </c>
      <c r="H98" s="2671">
        <f t="shared" ref="H98:N102" si="27">G98+$E98*(H$96-G$96)</f>
        <v>1.5394159344550504E-2</v>
      </c>
      <c r="I98" s="2671">
        <f t="shared" si="27"/>
        <v>1.5206366572936138E-2</v>
      </c>
      <c r="J98" s="2671">
        <f t="shared" si="27"/>
        <v>1.5018573801321773E-2</v>
      </c>
      <c r="K98" s="2671">
        <f t="shared" si="27"/>
        <v>1.4830781029707408E-2</v>
      </c>
      <c r="L98" s="2671">
        <f t="shared" si="27"/>
        <v>1.4642988258093043E-2</v>
      </c>
      <c r="M98" s="2671">
        <f t="shared" si="27"/>
        <v>1.4455195486478677E-2</v>
      </c>
      <c r="N98" s="2671">
        <f t="shared" si="27"/>
        <v>1.4267402714864312E-2</v>
      </c>
      <c r="O98" s="2670">
        <f>H$58*O151</f>
        <v>1.4079609943249942E-2</v>
      </c>
      <c r="P98" s="419"/>
    </row>
    <row r="99" spans="2:16" ht="15.75">
      <c r="B99" s="152"/>
      <c r="C99" s="413"/>
      <c r="D99" s="414" t="s">
        <v>1023</v>
      </c>
      <c r="E99" s="132">
        <f t="shared" si="24"/>
        <v>2.6219440697619841E-3</v>
      </c>
      <c r="F99" s="2670">
        <f t="shared" si="26"/>
        <v>6.7825765529703486E-2</v>
      </c>
      <c r="G99" s="2670">
        <v>6.7825765529703486E-2</v>
      </c>
      <c r="H99" s="2671">
        <f t="shared" si="27"/>
        <v>8.0935485878513402E-2</v>
      </c>
      <c r="I99" s="2671">
        <f t="shared" si="27"/>
        <v>9.4045206227323319E-2</v>
      </c>
      <c r="J99" s="2671">
        <f t="shared" si="27"/>
        <v>0.10715492657613324</v>
      </c>
      <c r="K99" s="2671">
        <f t="shared" si="27"/>
        <v>0.12026464692494315</v>
      </c>
      <c r="L99" s="2671">
        <f t="shared" si="27"/>
        <v>0.13337436727375307</v>
      </c>
      <c r="M99" s="2671">
        <f t="shared" si="27"/>
        <v>0.14648408762256299</v>
      </c>
      <c r="N99" s="2671">
        <f t="shared" si="27"/>
        <v>0.1595938079713729</v>
      </c>
      <c r="O99" s="2670">
        <f>H$59*O152</f>
        <v>0.17270352832018285</v>
      </c>
      <c r="P99" s="419"/>
    </row>
    <row r="100" spans="2:16" ht="15.75">
      <c r="B100" s="152"/>
      <c r="C100" s="413"/>
      <c r="D100" s="414" t="s">
        <v>1024</v>
      </c>
      <c r="E100" s="132">
        <f t="shared" si="24"/>
        <v>-1.3623638034539903E-3</v>
      </c>
      <c r="F100" s="2670">
        <f t="shared" si="26"/>
        <v>0.13491450467750982</v>
      </c>
      <c r="G100" s="2670">
        <v>0.13491450467750982</v>
      </c>
      <c r="H100" s="2671">
        <f t="shared" si="27"/>
        <v>0.12810268566023986</v>
      </c>
      <c r="I100" s="2671">
        <f t="shared" si="27"/>
        <v>0.12129086664296991</v>
      </c>
      <c r="J100" s="2671">
        <f t="shared" si="27"/>
        <v>0.11447904762569996</v>
      </c>
      <c r="K100" s="2671">
        <f t="shared" si="27"/>
        <v>0.10766722860843002</v>
      </c>
      <c r="L100" s="2671">
        <f t="shared" si="27"/>
        <v>0.10085540959116007</v>
      </c>
      <c r="M100" s="2671">
        <f t="shared" si="27"/>
        <v>9.4043590573890126E-2</v>
      </c>
      <c r="N100" s="2671">
        <f t="shared" si="27"/>
        <v>8.723177155662018E-2</v>
      </c>
      <c r="O100" s="2670">
        <f>H$59*O153</f>
        <v>8.0419952539350206E-2</v>
      </c>
      <c r="P100" s="419"/>
    </row>
    <row r="101" spans="2:16" ht="15.75">
      <c r="B101" s="152"/>
      <c r="C101" s="413"/>
      <c r="D101" s="414" t="s">
        <v>1025</v>
      </c>
      <c r="E101" s="132">
        <f t="shared" si="24"/>
        <v>7.6018693941247559E-4</v>
      </c>
      <c r="F101" s="2670">
        <f t="shared" si="26"/>
        <v>3.278227171512902E-2</v>
      </c>
      <c r="G101" s="918">
        <v>3.278227171512902E-2</v>
      </c>
      <c r="H101" s="2671">
        <f t="shared" si="27"/>
        <v>3.6583206412191399E-2</v>
      </c>
      <c r="I101" s="2671">
        <f t="shared" si="27"/>
        <v>4.0384141109253778E-2</v>
      </c>
      <c r="J101" s="2671">
        <f t="shared" si="27"/>
        <v>4.4185075806316157E-2</v>
      </c>
      <c r="K101" s="2671">
        <f t="shared" si="27"/>
        <v>4.7986010503378536E-2</v>
      </c>
      <c r="L101" s="2671">
        <f t="shared" si="27"/>
        <v>5.1786945200440915E-2</v>
      </c>
      <c r="M101" s="2671">
        <f t="shared" si="27"/>
        <v>5.5587879897503294E-2</v>
      </c>
      <c r="N101" s="2671">
        <f t="shared" si="27"/>
        <v>5.9388814594565673E-2</v>
      </c>
      <c r="O101" s="2670">
        <f>H$59*O154</f>
        <v>6.3189749291628045E-2</v>
      </c>
      <c r="P101" s="419"/>
    </row>
    <row r="102" spans="2:16" ht="15.75">
      <c r="B102" s="152"/>
      <c r="C102" s="413"/>
      <c r="D102" s="414" t="s">
        <v>1026</v>
      </c>
      <c r="E102" s="132">
        <f t="shared" si="24"/>
        <v>3.3245290179194191E-4</v>
      </c>
      <c r="F102" s="2670">
        <f t="shared" si="26"/>
        <v>2.0388653777161182E-2</v>
      </c>
      <c r="G102" s="919">
        <v>2.0388653777161182E-2</v>
      </c>
      <c r="H102" s="2671">
        <f t="shared" si="27"/>
        <v>2.2050918286120894E-2</v>
      </c>
      <c r="I102" s="2671">
        <f t="shared" si="27"/>
        <v>2.3713182795080605E-2</v>
      </c>
      <c r="J102" s="2671">
        <f t="shared" si="27"/>
        <v>2.5375447304040316E-2</v>
      </c>
      <c r="K102" s="2671">
        <f t="shared" si="27"/>
        <v>2.7037711813000027E-2</v>
      </c>
      <c r="L102" s="2671">
        <f t="shared" si="27"/>
        <v>2.8699976321959739E-2</v>
      </c>
      <c r="M102" s="2671">
        <f t="shared" si="27"/>
        <v>3.036224083091945E-2</v>
      </c>
      <c r="N102" s="2671">
        <f t="shared" si="27"/>
        <v>3.2024505339879161E-2</v>
      </c>
      <c r="O102" s="2670">
        <f>H$59*O155</f>
        <v>3.3686769848838859E-2</v>
      </c>
      <c r="P102" s="419"/>
    </row>
    <row r="103" spans="2:16" ht="15.75">
      <c r="B103" s="152"/>
      <c r="C103" s="411"/>
      <c r="D103" s="65"/>
      <c r="E103" s="844"/>
      <c r="F103" s="847"/>
      <c r="G103" s="847"/>
      <c r="H103" s="847"/>
      <c r="I103" s="847"/>
      <c r="J103" s="847"/>
      <c r="K103" s="847"/>
      <c r="L103" s="847"/>
      <c r="M103" s="847"/>
      <c r="N103" s="847"/>
      <c r="O103" s="847"/>
      <c r="P103" s="419"/>
    </row>
    <row r="104" spans="2:16" ht="15.75">
      <c r="B104" s="152"/>
      <c r="C104" s="413"/>
      <c r="D104" s="414"/>
      <c r="E104" s="414"/>
      <c r="F104" s="2657"/>
      <c r="G104" s="2657"/>
      <c r="H104" s="2661"/>
      <c r="I104" s="2661"/>
      <c r="J104" s="2661"/>
      <c r="K104" s="2661"/>
      <c r="L104" s="2661"/>
      <c r="M104" s="2661"/>
      <c r="N104" s="2661"/>
      <c r="O104" s="2661"/>
      <c r="P104" s="419"/>
    </row>
    <row r="105" spans="2:16" ht="15.75">
      <c r="B105" s="152"/>
      <c r="C105" s="413"/>
      <c r="D105" s="414"/>
      <c r="E105" s="414"/>
      <c r="F105" s="2657"/>
      <c r="G105" s="2657"/>
      <c r="H105" s="2661"/>
      <c r="I105" s="2661"/>
      <c r="J105" s="2661"/>
      <c r="K105" s="2661"/>
      <c r="L105" s="2661"/>
      <c r="M105" s="2661"/>
      <c r="N105" s="2661"/>
      <c r="O105" s="2661"/>
      <c r="P105" s="419"/>
    </row>
    <row r="106" spans="2:16" ht="15.75">
      <c r="B106" s="152"/>
      <c r="C106" s="416" t="s">
        <v>463</v>
      </c>
      <c r="D106" s="415"/>
      <c r="E106" s="415"/>
      <c r="F106" s="415"/>
      <c r="G106" s="415"/>
      <c r="H106" s="415"/>
      <c r="I106" s="415"/>
      <c r="J106" s="415"/>
      <c r="K106" s="415"/>
      <c r="L106" s="415"/>
      <c r="M106" s="415"/>
      <c r="N106" s="415"/>
      <c r="O106" s="415"/>
      <c r="P106" s="419"/>
    </row>
    <row r="107" spans="2:16" ht="15.75">
      <c r="B107" s="152"/>
      <c r="C107" s="61" t="s">
        <v>840</v>
      </c>
      <c r="D107" s="61" t="s">
        <v>1020</v>
      </c>
      <c r="E107" s="61" t="s">
        <v>533</v>
      </c>
      <c r="F107" s="119">
        <v>2007</v>
      </c>
      <c r="G107" s="120">
        <f t="shared" ref="G107:O107" si="28">F107+5</f>
        <v>2012</v>
      </c>
      <c r="H107" s="120">
        <f t="shared" si="28"/>
        <v>2017</v>
      </c>
      <c r="I107" s="120">
        <f t="shared" si="28"/>
        <v>2022</v>
      </c>
      <c r="J107" s="120">
        <f t="shared" si="28"/>
        <v>2027</v>
      </c>
      <c r="K107" s="120">
        <f t="shared" si="28"/>
        <v>2032</v>
      </c>
      <c r="L107" s="120">
        <f t="shared" si="28"/>
        <v>2037</v>
      </c>
      <c r="M107" s="120">
        <f t="shared" si="28"/>
        <v>2042</v>
      </c>
      <c r="N107" s="120">
        <f t="shared" si="28"/>
        <v>2047</v>
      </c>
      <c r="O107" s="120">
        <f t="shared" si="28"/>
        <v>2052</v>
      </c>
      <c r="P107" s="419"/>
    </row>
    <row r="108" spans="2:16" ht="15.75">
      <c r="B108" s="152"/>
      <c r="C108" s="413" t="s">
        <v>955</v>
      </c>
      <c r="D108" s="414" t="s">
        <v>1021</v>
      </c>
      <c r="E108" s="132">
        <f t="shared" ref="E108:E113" si="29">(O108-G108)/40</f>
        <v>1.3541099279070963E-3</v>
      </c>
      <c r="F108" s="2670">
        <v>0.72850685218433164</v>
      </c>
      <c r="G108" s="2670">
        <v>0.72850685218433164</v>
      </c>
      <c r="H108" s="2671">
        <f>G108+$E108*(H$107-G$107)</f>
        <v>0.73527740182386714</v>
      </c>
      <c r="I108" s="2671">
        <f t="shared" ref="I108:N108" si="30">H108+$E108*(I$107-H$107)</f>
        <v>0.74204795146340263</v>
      </c>
      <c r="J108" s="2671">
        <f t="shared" si="30"/>
        <v>0.74881850110293813</v>
      </c>
      <c r="K108" s="2671">
        <f t="shared" si="30"/>
        <v>0.75558905074247362</v>
      </c>
      <c r="L108" s="2671">
        <f t="shared" si="30"/>
        <v>0.76235960038200912</v>
      </c>
      <c r="M108" s="2671">
        <f t="shared" si="30"/>
        <v>0.76913015002154461</v>
      </c>
      <c r="N108" s="2671">
        <f t="shared" si="30"/>
        <v>0.77590069966108011</v>
      </c>
      <c r="O108" s="2670">
        <f>I$58*O150</f>
        <v>0.78267124930061549</v>
      </c>
      <c r="P108" s="419"/>
    </row>
    <row r="109" spans="2:16" ht="15.75">
      <c r="B109" s="152"/>
      <c r="C109" s="413"/>
      <c r="D109" s="414" t="s">
        <v>1022</v>
      </c>
      <c r="E109" s="132">
        <f t="shared" si="29"/>
        <v>4.3669964580491826E-5</v>
      </c>
      <c r="F109" s="2670">
        <v>1.5581952116164871E-2</v>
      </c>
      <c r="G109" s="2670">
        <v>1.5581952116164871E-2</v>
      </c>
      <c r="H109" s="2671">
        <f t="shared" ref="H109:N113" si="31">G109+$E109*(H$107-G$107)</f>
        <v>1.580030193906733E-2</v>
      </c>
      <c r="I109" s="2671">
        <f t="shared" si="31"/>
        <v>1.6018651761969788E-2</v>
      </c>
      <c r="J109" s="2671">
        <f t="shared" si="31"/>
        <v>1.6237001584872245E-2</v>
      </c>
      <c r="K109" s="2671">
        <f t="shared" si="31"/>
        <v>1.6455351407774703E-2</v>
      </c>
      <c r="L109" s="2671">
        <f t="shared" si="31"/>
        <v>1.6673701230677161E-2</v>
      </c>
      <c r="M109" s="2671">
        <f t="shared" si="31"/>
        <v>1.6892051053579618E-2</v>
      </c>
      <c r="N109" s="2671">
        <f t="shared" si="31"/>
        <v>1.7110400876482076E-2</v>
      </c>
      <c r="O109" s="2670">
        <f>I$58*O151</f>
        <v>1.7328750699384544E-2</v>
      </c>
      <c r="P109" s="419"/>
    </row>
    <row r="110" spans="2:16" ht="15.75">
      <c r="B110" s="152"/>
      <c r="C110" s="413"/>
      <c r="D110" s="414" t="s">
        <v>1023</v>
      </c>
      <c r="E110" s="132">
        <f t="shared" si="29"/>
        <v>7.7154912347431081E-4</v>
      </c>
      <c r="F110" s="2670">
        <v>6.7825765529703486E-2</v>
      </c>
      <c r="G110" s="2670">
        <v>6.7825765529703486E-2</v>
      </c>
      <c r="H110" s="2671">
        <f t="shared" si="31"/>
        <v>7.1683511147075038E-2</v>
      </c>
      <c r="I110" s="2671">
        <f t="shared" si="31"/>
        <v>7.554125676444659E-2</v>
      </c>
      <c r="J110" s="2671">
        <f t="shared" si="31"/>
        <v>7.9399002381818143E-2</v>
      </c>
      <c r="K110" s="2671">
        <f t="shared" si="31"/>
        <v>8.3256747999189695E-2</v>
      </c>
      <c r="L110" s="2671">
        <f t="shared" si="31"/>
        <v>8.7114493616561248E-2</v>
      </c>
      <c r="M110" s="2671">
        <f t="shared" si="31"/>
        <v>9.09722392339328E-2</v>
      </c>
      <c r="N110" s="2671">
        <f t="shared" si="31"/>
        <v>9.4829984851304353E-2</v>
      </c>
      <c r="O110" s="2670">
        <f>I$59*O152</f>
        <v>9.8687730468675919E-2</v>
      </c>
      <c r="P110" s="419"/>
    </row>
    <row r="111" spans="2:16" ht="15.75">
      <c r="B111" s="152"/>
      <c r="C111" s="413"/>
      <c r="D111" s="414" t="s">
        <v>1024</v>
      </c>
      <c r="E111" s="132">
        <f t="shared" si="29"/>
        <v>-2.2240061520898851E-3</v>
      </c>
      <c r="F111" s="2670">
        <v>0.13491450467750982</v>
      </c>
      <c r="G111" s="2670">
        <v>0.13491450467750982</v>
      </c>
      <c r="H111" s="2671">
        <f t="shared" si="31"/>
        <v>0.12379447391706039</v>
      </c>
      <c r="I111" s="2671">
        <f t="shared" si="31"/>
        <v>0.11267444315661096</v>
      </c>
      <c r="J111" s="2671">
        <f t="shared" si="31"/>
        <v>0.10155441239616153</v>
      </c>
      <c r="K111" s="2671">
        <f t="shared" si="31"/>
        <v>9.0434381635712102E-2</v>
      </c>
      <c r="L111" s="2671">
        <f t="shared" si="31"/>
        <v>7.9314350875262674E-2</v>
      </c>
      <c r="M111" s="2671">
        <f t="shared" si="31"/>
        <v>6.8194320114813245E-2</v>
      </c>
      <c r="N111" s="2671">
        <f t="shared" si="31"/>
        <v>5.7074289354363816E-2</v>
      </c>
      <c r="O111" s="2670">
        <f>I$59*O153</f>
        <v>4.5954258593914409E-2</v>
      </c>
      <c r="P111" s="419"/>
    </row>
    <row r="112" spans="2:16" ht="15.75">
      <c r="B112" s="152"/>
      <c r="C112" s="413"/>
      <c r="D112" s="414" t="s">
        <v>1025</v>
      </c>
      <c r="E112" s="132">
        <f t="shared" si="29"/>
        <v>8.315391128788964E-5</v>
      </c>
      <c r="F112" s="918">
        <v>3.278227171512902E-2</v>
      </c>
      <c r="G112" s="918">
        <v>3.278227171512902E-2</v>
      </c>
      <c r="H112" s="2671">
        <f t="shared" si="31"/>
        <v>3.3198041271568467E-2</v>
      </c>
      <c r="I112" s="2671">
        <f t="shared" si="31"/>
        <v>3.3613810828007913E-2</v>
      </c>
      <c r="J112" s="2671">
        <f t="shared" si="31"/>
        <v>3.402958038444736E-2</v>
      </c>
      <c r="K112" s="2671">
        <f t="shared" si="31"/>
        <v>3.4445349940886806E-2</v>
      </c>
      <c r="L112" s="2671">
        <f t="shared" si="31"/>
        <v>3.4861119497326253E-2</v>
      </c>
      <c r="M112" s="2671">
        <f t="shared" si="31"/>
        <v>3.5276889053765699E-2</v>
      </c>
      <c r="N112" s="2671">
        <f t="shared" si="31"/>
        <v>3.5692658610205145E-2</v>
      </c>
      <c r="O112" s="2670">
        <f>I$59*O154</f>
        <v>3.6108428166644606E-2</v>
      </c>
      <c r="P112" s="419"/>
    </row>
    <row r="113" spans="2:16" ht="15.75">
      <c r="B113" s="152"/>
      <c r="C113" s="413"/>
      <c r="D113" s="414" t="s">
        <v>1026</v>
      </c>
      <c r="E113" s="132">
        <f t="shared" si="29"/>
        <v>-2.8476775159902954E-5</v>
      </c>
      <c r="F113" s="919">
        <v>2.0388653777161182E-2</v>
      </c>
      <c r="G113" s="919">
        <v>2.0388653777161182E-2</v>
      </c>
      <c r="H113" s="2671">
        <f t="shared" si="31"/>
        <v>2.0246269901361667E-2</v>
      </c>
      <c r="I113" s="2671">
        <f t="shared" si="31"/>
        <v>2.0103886025562151E-2</v>
      </c>
      <c r="J113" s="2671">
        <f t="shared" si="31"/>
        <v>1.9961502149762635E-2</v>
      </c>
      <c r="K113" s="2671">
        <f t="shared" si="31"/>
        <v>1.981911827396312E-2</v>
      </c>
      <c r="L113" s="2671">
        <f t="shared" si="31"/>
        <v>1.9676734398163604E-2</v>
      </c>
      <c r="M113" s="2671">
        <f t="shared" si="31"/>
        <v>1.9534350522364088E-2</v>
      </c>
      <c r="N113" s="2671">
        <f t="shared" si="31"/>
        <v>1.9391966646564573E-2</v>
      </c>
      <c r="O113" s="2670">
        <f>I$59*O155</f>
        <v>1.9249582770765064E-2</v>
      </c>
      <c r="P113" s="419"/>
    </row>
    <row r="114" spans="2:16" ht="15.75">
      <c r="B114" s="152"/>
      <c r="C114" s="411"/>
      <c r="D114" s="65"/>
      <c r="E114" s="844"/>
      <c r="F114" s="847"/>
      <c r="G114" s="847"/>
      <c r="H114" s="847"/>
      <c r="I114" s="847"/>
      <c r="J114" s="847"/>
      <c r="K114" s="847"/>
      <c r="L114" s="847"/>
      <c r="M114" s="847"/>
      <c r="N114" s="847"/>
      <c r="O114" s="847"/>
      <c r="P114" s="419"/>
    </row>
    <row r="115" spans="2:16" ht="15.75">
      <c r="B115" s="152"/>
      <c r="C115" s="413"/>
      <c r="D115" s="414"/>
      <c r="E115" s="414"/>
      <c r="F115" s="2657"/>
      <c r="G115" s="2657"/>
      <c r="H115" s="2661"/>
      <c r="I115" s="2661"/>
      <c r="J115" s="2661"/>
      <c r="K115" s="2661"/>
      <c r="L115" s="2661"/>
      <c r="M115" s="2661"/>
      <c r="N115" s="2661"/>
      <c r="O115" s="2661"/>
      <c r="P115" s="419"/>
    </row>
    <row r="116" spans="2:16" ht="15.75">
      <c r="B116" s="152"/>
      <c r="C116" s="413"/>
      <c r="D116" s="414"/>
      <c r="E116" s="414"/>
      <c r="F116" s="2657"/>
      <c r="G116" s="2657"/>
      <c r="H116" s="2661"/>
      <c r="I116" s="2661"/>
      <c r="J116" s="2661"/>
      <c r="K116" s="2661"/>
      <c r="L116" s="2661"/>
      <c r="M116" s="2661"/>
      <c r="N116" s="2661"/>
      <c r="O116" s="2661"/>
      <c r="P116" s="419"/>
    </row>
    <row r="117" spans="2:16" ht="15.75">
      <c r="B117" s="152"/>
      <c r="C117" s="416" t="s">
        <v>1028</v>
      </c>
      <c r="D117" s="415"/>
      <c r="E117" s="415"/>
      <c r="F117" s="415"/>
      <c r="G117" s="415"/>
      <c r="H117" s="415"/>
      <c r="I117" s="415"/>
      <c r="J117" s="415"/>
      <c r="K117" s="415"/>
      <c r="L117" s="415"/>
      <c r="M117" s="415"/>
      <c r="N117" s="415"/>
      <c r="O117" s="415"/>
      <c r="P117" s="419"/>
    </row>
    <row r="118" spans="2:16" ht="15.75">
      <c r="B118" s="152"/>
      <c r="C118" s="924" t="s">
        <v>840</v>
      </c>
      <c r="D118" s="924" t="s">
        <v>1020</v>
      </c>
      <c r="E118" s="924" t="s">
        <v>533</v>
      </c>
      <c r="F118" s="922">
        <v>2007</v>
      </c>
      <c r="G118" s="923">
        <f t="shared" ref="G118:O118" si="32">F118+5</f>
        <v>2012</v>
      </c>
      <c r="H118" s="923">
        <f t="shared" si="32"/>
        <v>2017</v>
      </c>
      <c r="I118" s="923">
        <f t="shared" si="32"/>
        <v>2022</v>
      </c>
      <c r="J118" s="923">
        <f t="shared" si="32"/>
        <v>2027</v>
      </c>
      <c r="K118" s="923">
        <f t="shared" si="32"/>
        <v>2032</v>
      </c>
      <c r="L118" s="923">
        <f t="shared" si="32"/>
        <v>2037</v>
      </c>
      <c r="M118" s="923">
        <f t="shared" si="32"/>
        <v>2042</v>
      </c>
      <c r="N118" s="923">
        <f t="shared" si="32"/>
        <v>2047</v>
      </c>
      <c r="O118" s="923">
        <f t="shared" si="32"/>
        <v>2052</v>
      </c>
      <c r="P118" s="419"/>
    </row>
    <row r="119" spans="2:16" ht="15.75">
      <c r="B119" s="152"/>
      <c r="C119" s="413" t="s">
        <v>955</v>
      </c>
      <c r="D119" s="414" t="s">
        <v>1021</v>
      </c>
      <c r="E119" s="132"/>
      <c r="F119" s="918">
        <f>CHOOSE($E$10,F75,F86,F97,F108)</f>
        <v>0.72850685218433164</v>
      </c>
      <c r="G119" s="918">
        <f t="shared" ref="G119:O119" si="33">CHOOSE($E$10,G75,G86,G97,G108)</f>
        <v>0.72850685218433164</v>
      </c>
      <c r="H119" s="918">
        <f t="shared" si="33"/>
        <v>0.68862987517542174</v>
      </c>
      <c r="I119" s="918">
        <f t="shared" si="33"/>
        <v>0.64875289816651183</v>
      </c>
      <c r="J119" s="918">
        <f t="shared" si="33"/>
        <v>0.60887592115760192</v>
      </c>
      <c r="K119" s="918">
        <f t="shared" si="33"/>
        <v>0.56899894414869201</v>
      </c>
      <c r="L119" s="918">
        <f t="shared" si="33"/>
        <v>0.5291219671397821</v>
      </c>
      <c r="M119" s="918">
        <f t="shared" si="33"/>
        <v>0.48924499013087219</v>
      </c>
      <c r="N119" s="918">
        <f t="shared" si="33"/>
        <v>0.44936801312196228</v>
      </c>
      <c r="O119" s="918">
        <f t="shared" si="33"/>
        <v>0.40949103611305232</v>
      </c>
      <c r="P119" s="419"/>
    </row>
    <row r="120" spans="2:16" ht="15.75">
      <c r="B120" s="152"/>
      <c r="C120" s="413"/>
      <c r="D120" s="414" t="s">
        <v>1022</v>
      </c>
      <c r="E120" s="132"/>
      <c r="F120" s="918">
        <f t="shared" ref="F120:O124" si="34">CHOOSE($E$10,F76,F87,F98,F109)</f>
        <v>1.5581952116164871E-2</v>
      </c>
      <c r="G120" s="918">
        <f t="shared" si="34"/>
        <v>1.5581952116164871E-2</v>
      </c>
      <c r="H120" s="918">
        <f t="shared" si="34"/>
        <v>1.4767501308207141E-2</v>
      </c>
      <c r="I120" s="918">
        <f t="shared" si="34"/>
        <v>1.3953050500249411E-2</v>
      </c>
      <c r="J120" s="918">
        <f t="shared" si="34"/>
        <v>1.3138599692291681E-2</v>
      </c>
      <c r="K120" s="918">
        <f t="shared" si="34"/>
        <v>1.2324148884333952E-2</v>
      </c>
      <c r="L120" s="918">
        <f t="shared" si="34"/>
        <v>1.1509698076376222E-2</v>
      </c>
      <c r="M120" s="918">
        <f t="shared" si="34"/>
        <v>1.0695247268418492E-2</v>
      </c>
      <c r="N120" s="918">
        <f t="shared" si="34"/>
        <v>9.8807964604607623E-3</v>
      </c>
      <c r="O120" s="918">
        <f t="shared" si="34"/>
        <v>9.0663456525030377E-3</v>
      </c>
      <c r="P120" s="419"/>
    </row>
    <row r="121" spans="2:16" ht="15.75">
      <c r="B121" s="152"/>
      <c r="C121" s="413"/>
      <c r="D121" s="414" t="s">
        <v>1023</v>
      </c>
      <c r="E121" s="132"/>
      <c r="F121" s="918">
        <f t="shared" si="34"/>
        <v>6.7825765529703486E-2</v>
      </c>
      <c r="G121" s="918">
        <f t="shared" si="34"/>
        <v>6.7825765529703486E-2</v>
      </c>
      <c r="H121" s="918">
        <f t="shared" si="34"/>
        <v>9.521082758306687E-2</v>
      </c>
      <c r="I121" s="918">
        <f t="shared" si="34"/>
        <v>0.12259588963643026</v>
      </c>
      <c r="J121" s="918">
        <f t="shared" si="34"/>
        <v>0.14998095168979364</v>
      </c>
      <c r="K121" s="918">
        <f t="shared" si="34"/>
        <v>0.17736601374315702</v>
      </c>
      <c r="L121" s="918">
        <f t="shared" si="34"/>
        <v>0.20475107579652041</v>
      </c>
      <c r="M121" s="918">
        <f t="shared" si="34"/>
        <v>0.23213613784988379</v>
      </c>
      <c r="N121" s="918">
        <f t="shared" si="34"/>
        <v>0.25952119990324718</v>
      </c>
      <c r="O121" s="918">
        <f t="shared" si="34"/>
        <v>0.28690626195661051</v>
      </c>
      <c r="P121" s="419"/>
    </row>
    <row r="122" spans="2:16" ht="15.75">
      <c r="B122" s="152"/>
      <c r="C122" s="413"/>
      <c r="D122" s="414" t="s">
        <v>1024</v>
      </c>
      <c r="E122" s="132"/>
      <c r="F122" s="918">
        <f t="shared" si="34"/>
        <v>0.13491450467750982</v>
      </c>
      <c r="G122" s="918">
        <f t="shared" si="34"/>
        <v>0.13491450467750982</v>
      </c>
      <c r="H122" s="918">
        <f t="shared" si="34"/>
        <v>0.1347500443652388</v>
      </c>
      <c r="I122" s="918">
        <f t="shared" si="34"/>
        <v>0.13458558405296778</v>
      </c>
      <c r="J122" s="918">
        <f t="shared" si="34"/>
        <v>0.13442112374069676</v>
      </c>
      <c r="K122" s="918">
        <f t="shared" si="34"/>
        <v>0.13425666342842574</v>
      </c>
      <c r="L122" s="918">
        <f t="shared" si="34"/>
        <v>0.13409220311615472</v>
      </c>
      <c r="M122" s="918">
        <f t="shared" si="34"/>
        <v>0.1339277428038837</v>
      </c>
      <c r="N122" s="918">
        <f t="shared" si="34"/>
        <v>0.13376328249161268</v>
      </c>
      <c r="O122" s="918">
        <f t="shared" si="34"/>
        <v>0.1335988221793416</v>
      </c>
      <c r="P122" s="419"/>
    </row>
    <row r="123" spans="2:16" ht="15.75">
      <c r="B123" s="152"/>
      <c r="C123" s="413"/>
      <c r="D123" s="414" t="s">
        <v>1025</v>
      </c>
      <c r="E123" s="132"/>
      <c r="F123" s="918">
        <f t="shared" si="34"/>
        <v>3.278227171512902E-2</v>
      </c>
      <c r="G123" s="918">
        <f t="shared" si="34"/>
        <v>3.278227171512902E-2</v>
      </c>
      <c r="H123" s="918">
        <f t="shared" si="34"/>
        <v>4.1806349634203016E-2</v>
      </c>
      <c r="I123" s="918">
        <f t="shared" si="34"/>
        <v>5.0830427553277019E-2</v>
      </c>
      <c r="J123" s="918">
        <f t="shared" si="34"/>
        <v>5.9854505472351022E-2</v>
      </c>
      <c r="K123" s="918">
        <f t="shared" si="34"/>
        <v>6.8878583391425025E-2</v>
      </c>
      <c r="L123" s="918">
        <f t="shared" si="34"/>
        <v>7.7902661310499027E-2</v>
      </c>
      <c r="M123" s="918">
        <f t="shared" si="34"/>
        <v>8.692673922957303E-2</v>
      </c>
      <c r="N123" s="918">
        <f t="shared" si="34"/>
        <v>9.5950817148647033E-2</v>
      </c>
      <c r="O123" s="918">
        <f t="shared" si="34"/>
        <v>0.10497489506772102</v>
      </c>
      <c r="P123" s="419"/>
    </row>
    <row r="124" spans="2:16" ht="15.75">
      <c r="B124" s="152"/>
      <c r="C124" s="413"/>
      <c r="D124" s="414" t="s">
        <v>1026</v>
      </c>
      <c r="E124" s="132"/>
      <c r="F124" s="918">
        <f t="shared" si="34"/>
        <v>2.0388653777161182E-2</v>
      </c>
      <c r="G124" s="918">
        <f t="shared" si="34"/>
        <v>2.0388653777161182E-2</v>
      </c>
      <c r="H124" s="918">
        <f t="shared" si="34"/>
        <v>2.4835401933862467E-2</v>
      </c>
      <c r="I124" s="918">
        <f t="shared" si="34"/>
        <v>2.9282150090563751E-2</v>
      </c>
      <c r="J124" s="918">
        <f t="shared" si="34"/>
        <v>3.3728898247265035E-2</v>
      </c>
      <c r="K124" s="918">
        <f t="shared" si="34"/>
        <v>3.8175646403966319E-2</v>
      </c>
      <c r="L124" s="918">
        <f t="shared" si="34"/>
        <v>4.2622394560667604E-2</v>
      </c>
      <c r="M124" s="918">
        <f t="shared" si="34"/>
        <v>4.7069142717368888E-2</v>
      </c>
      <c r="N124" s="918">
        <f t="shared" si="34"/>
        <v>5.1515890874070172E-2</v>
      </c>
      <c r="O124" s="918">
        <f t="shared" si="34"/>
        <v>5.596263903077147E-2</v>
      </c>
      <c r="P124" s="419"/>
    </row>
    <row r="125" spans="2:16" ht="15.75">
      <c r="B125" s="152"/>
      <c r="C125" s="411"/>
      <c r="D125" s="65"/>
      <c r="E125" s="844"/>
      <c r="F125" s="847"/>
      <c r="G125" s="847"/>
      <c r="H125" s="847"/>
      <c r="I125" s="847"/>
      <c r="J125" s="847"/>
      <c r="K125" s="847"/>
      <c r="L125" s="847"/>
      <c r="M125" s="847"/>
      <c r="N125" s="847"/>
      <c r="O125" s="847"/>
      <c r="P125" s="419"/>
    </row>
    <row r="126" spans="2:16" ht="15.75">
      <c r="B126" s="152"/>
      <c r="C126" s="413"/>
      <c r="D126" s="414"/>
      <c r="E126" s="414"/>
      <c r="F126" s="2657"/>
      <c r="G126" s="2657"/>
      <c r="H126" s="2661"/>
      <c r="I126" s="2661"/>
      <c r="J126" s="2661"/>
      <c r="K126" s="2661"/>
      <c r="L126" s="2661"/>
      <c r="M126" s="2661"/>
      <c r="N126" s="2661"/>
      <c r="O126" s="2661"/>
      <c r="P126" s="419"/>
    </row>
    <row r="127" spans="2:16" ht="15.75">
      <c r="B127" s="152"/>
      <c r="C127" s="413"/>
      <c r="D127" s="414"/>
      <c r="E127" s="414"/>
      <c r="F127" s="2657"/>
      <c r="G127" s="2657"/>
      <c r="H127" s="2661"/>
      <c r="I127" s="2661"/>
      <c r="J127" s="2661"/>
      <c r="K127" s="2661"/>
      <c r="L127" s="2661"/>
      <c r="M127" s="2661"/>
      <c r="N127" s="2661"/>
      <c r="O127" s="2661"/>
      <c r="P127" s="419"/>
    </row>
    <row r="128" spans="2:16" ht="15.75">
      <c r="B128" s="152"/>
      <c r="C128" s="413"/>
      <c r="D128" s="414"/>
      <c r="E128" s="414"/>
      <c r="F128" s="2657"/>
      <c r="G128" s="2657"/>
      <c r="H128" s="2661"/>
      <c r="I128" s="2661"/>
      <c r="J128" s="2661"/>
      <c r="K128" s="2661"/>
      <c r="L128" s="2661"/>
      <c r="M128" s="2661"/>
      <c r="N128" s="2661"/>
      <c r="O128" s="2661"/>
      <c r="P128" s="419"/>
    </row>
    <row r="129" spans="1:19" ht="15.75">
      <c r="B129" s="152"/>
      <c r="C129" s="413"/>
      <c r="D129" s="414"/>
      <c r="E129" s="414"/>
      <c r="F129" s="2657"/>
      <c r="G129" s="2657"/>
      <c r="H129" s="2661"/>
      <c r="I129" s="2661"/>
      <c r="J129" s="2661"/>
      <c r="K129" s="2661"/>
      <c r="L129" s="2661"/>
      <c r="M129" s="2661"/>
      <c r="N129" s="2661"/>
      <c r="O129" s="2661"/>
      <c r="P129" s="419"/>
    </row>
    <row r="130" spans="1:19" ht="15.75">
      <c r="B130" s="152"/>
      <c r="C130" s="413"/>
      <c r="D130" s="414"/>
      <c r="E130" s="414"/>
      <c r="F130" s="2657"/>
      <c r="G130" s="2657"/>
      <c r="H130" s="2661"/>
      <c r="I130" s="2661"/>
      <c r="J130" s="2661"/>
      <c r="K130" s="2661"/>
      <c r="L130" s="2661"/>
      <c r="M130" s="2661"/>
      <c r="N130" s="2661"/>
      <c r="O130" s="2661"/>
      <c r="P130" s="419"/>
    </row>
    <row r="131" spans="1:19" ht="15.75">
      <c r="B131" s="152"/>
      <c r="C131" s="413"/>
      <c r="D131" s="414"/>
      <c r="E131" s="414"/>
      <c r="F131" s="98"/>
      <c r="G131" s="618"/>
      <c r="H131" s="618"/>
      <c r="I131" s="618"/>
      <c r="J131" s="618"/>
      <c r="K131" s="618"/>
      <c r="L131" s="618"/>
      <c r="M131" s="618"/>
      <c r="N131" s="618"/>
      <c r="O131" s="618"/>
      <c r="P131" s="419"/>
    </row>
    <row r="132" spans="1:19">
      <c r="B132" s="155"/>
      <c r="C132" s="413"/>
      <c r="D132" s="414"/>
      <c r="E132" s="414"/>
      <c r="F132" s="836"/>
      <c r="G132" s="123"/>
      <c r="H132" s="123"/>
      <c r="I132" s="123"/>
      <c r="J132" s="123"/>
      <c r="K132" s="123"/>
      <c r="L132" s="123"/>
      <c r="M132" s="123"/>
      <c r="N132" s="123"/>
      <c r="O132" s="123"/>
      <c r="P132" s="419"/>
    </row>
    <row r="133" spans="1:19">
      <c r="B133" s="155"/>
      <c r="C133" s="202"/>
      <c r="D133" s="105"/>
      <c r="E133" s="415"/>
      <c r="F133" s="415"/>
      <c r="G133" s="415"/>
      <c r="H133" s="415"/>
      <c r="I133" s="415"/>
      <c r="J133" s="415"/>
      <c r="K133" s="415"/>
      <c r="L133" s="415"/>
      <c r="M133" s="415"/>
      <c r="N133" s="415"/>
      <c r="O133" s="415"/>
      <c r="P133" s="419"/>
    </row>
    <row r="134" spans="1:19">
      <c r="B134" s="155"/>
      <c r="C134" s="201"/>
      <c r="D134" s="105"/>
      <c r="E134" s="415"/>
      <c r="F134" s="415"/>
      <c r="G134" s="415"/>
      <c r="H134" s="415"/>
      <c r="I134" s="415"/>
      <c r="J134" s="415"/>
      <c r="K134" s="415"/>
      <c r="L134" s="415"/>
      <c r="M134" s="415"/>
      <c r="N134" s="415"/>
      <c r="O134" s="415"/>
      <c r="P134" s="419"/>
    </row>
    <row r="135" spans="1:19">
      <c r="B135" s="155"/>
      <c r="C135" s="201"/>
      <c r="D135" s="415"/>
      <c r="E135" s="415"/>
      <c r="F135" s="415"/>
      <c r="G135" s="415"/>
      <c r="H135" s="415"/>
      <c r="I135" s="415"/>
      <c r="J135" s="415"/>
      <c r="K135" s="415"/>
      <c r="L135" s="415"/>
      <c r="M135" s="415"/>
      <c r="N135" s="415"/>
      <c r="O135" s="415"/>
      <c r="P135" s="419"/>
    </row>
    <row r="136" spans="1:19" ht="15.75">
      <c r="B136" s="837"/>
      <c r="C136" s="637"/>
      <c r="D136" s="638"/>
      <c r="E136" s="638"/>
      <c r="F136" s="838"/>
      <c r="G136" s="839"/>
      <c r="H136" s="839"/>
      <c r="I136" s="839"/>
      <c r="J136" s="839"/>
      <c r="K136" s="839"/>
      <c r="L136" s="839"/>
      <c r="M136" s="839"/>
      <c r="N136" s="839"/>
      <c r="O136" s="839"/>
      <c r="P136" s="158"/>
    </row>
    <row r="138" spans="1:19" s="51" customFormat="1" ht="22.5" collapsed="1">
      <c r="A138" s="162"/>
      <c r="B138" s="421" t="s">
        <v>265</v>
      </c>
      <c r="C138" s="159"/>
      <c r="D138" s="159"/>
      <c r="E138" s="159"/>
      <c r="F138" s="159"/>
      <c r="G138" s="159"/>
      <c r="H138" s="159"/>
      <c r="I138" s="159"/>
      <c r="J138" s="159"/>
      <c r="K138" s="159"/>
      <c r="L138" s="159"/>
      <c r="M138" s="159"/>
      <c r="N138" s="159"/>
      <c r="O138" s="159"/>
      <c r="P138" s="160"/>
      <c r="R138" s="3069"/>
      <c r="S138" s="3069"/>
    </row>
    <row r="139" spans="1:19">
      <c r="B139" s="418"/>
      <c r="C139" s="415"/>
      <c r="D139" s="415"/>
      <c r="E139" s="415"/>
      <c r="F139" s="415"/>
      <c r="G139" s="415"/>
      <c r="H139" s="415"/>
      <c r="I139" s="415"/>
      <c r="J139" s="415"/>
      <c r="K139" s="415"/>
      <c r="L139" s="415"/>
      <c r="M139" s="415"/>
      <c r="N139" s="415"/>
      <c r="O139" s="415"/>
      <c r="P139" s="419"/>
    </row>
    <row r="140" spans="1:19">
      <c r="A140" s="410"/>
      <c r="B140" s="840"/>
      <c r="C140" s="416" t="s">
        <v>1005</v>
      </c>
      <c r="D140" s="415"/>
      <c r="E140" s="104"/>
      <c r="F140" s="415"/>
      <c r="G140" s="841"/>
      <c r="H140" s="247"/>
      <c r="I140" s="247"/>
      <c r="J140" s="842"/>
      <c r="K140" s="255"/>
      <c r="L140" s="255"/>
      <c r="M140" s="255"/>
      <c r="N140" s="255"/>
      <c r="O140" s="842" t="s">
        <v>913</v>
      </c>
      <c r="P140" s="419"/>
    </row>
    <row r="141" spans="1:19" ht="6.75" customHeight="1">
      <c r="A141" s="410"/>
      <c r="B141" s="152"/>
      <c r="C141" s="415"/>
      <c r="D141" s="415"/>
      <c r="E141" s="415"/>
      <c r="F141" s="415"/>
      <c r="G141" s="247"/>
      <c r="H141" s="247"/>
      <c r="I141" s="247"/>
      <c r="J141" s="247"/>
      <c r="K141" s="255"/>
      <c r="L141" s="255"/>
      <c r="M141" s="255"/>
      <c r="N141" s="255"/>
      <c r="O141" s="255"/>
      <c r="P141" s="419"/>
    </row>
    <row r="142" spans="1:19" ht="15.75">
      <c r="A142" s="410"/>
      <c r="B142" s="152"/>
      <c r="C142" s="66" t="s">
        <v>69</v>
      </c>
      <c r="D142" s="61" t="s">
        <v>65</v>
      </c>
      <c r="E142" s="61" t="s">
        <v>156</v>
      </c>
      <c r="F142" s="119">
        <v>2007</v>
      </c>
      <c r="G142" s="120">
        <f t="shared" ref="G142:O142" si="35">F142+5</f>
        <v>2012</v>
      </c>
      <c r="H142" s="120">
        <f t="shared" si="35"/>
        <v>2017</v>
      </c>
      <c r="I142" s="120">
        <f t="shared" si="35"/>
        <v>2022</v>
      </c>
      <c r="J142" s="120">
        <f t="shared" si="35"/>
        <v>2027</v>
      </c>
      <c r="K142" s="120">
        <f t="shared" si="35"/>
        <v>2032</v>
      </c>
      <c r="L142" s="120">
        <f t="shared" si="35"/>
        <v>2037</v>
      </c>
      <c r="M142" s="120">
        <f t="shared" si="35"/>
        <v>2042</v>
      </c>
      <c r="N142" s="120">
        <f t="shared" si="35"/>
        <v>2047</v>
      </c>
      <c r="O142" s="120">
        <f t="shared" si="35"/>
        <v>2052</v>
      </c>
      <c r="P142" s="419"/>
    </row>
    <row r="143" spans="1:19" ht="15.75">
      <c r="A143" s="410"/>
      <c r="B143" s="152"/>
      <c r="C143" s="907"/>
      <c r="D143" s="79" t="s">
        <v>271</v>
      </c>
      <c r="E143" s="82"/>
      <c r="F143" s="3187">
        <f>INDEX(Global.Assumptions[Population],MATCH(F142,Global.Assumptions[Year]),0)/10^6</f>
        <v>1215.9476968037</v>
      </c>
      <c r="G143" s="3187">
        <f>INDEX(Global.Assumptions[Population],MATCH(G142,Global.Assumptions[Year]),0)/10^6</f>
        <v>1215.9476968037</v>
      </c>
      <c r="H143" s="3187">
        <f>INDEX(Global.Assumptions[Population],MATCH(H142,Global.Assumptions[Year]),0)/10^6</f>
        <v>1293.56015551973</v>
      </c>
      <c r="I143" s="3187">
        <f>INDEX(Global.Assumptions[Population],MATCH(I142,Global.Assumptions[Year]),0)/10^6</f>
        <v>1383.5918978913101</v>
      </c>
      <c r="J143" s="3187">
        <f>INDEX(Global.Assumptions[Population],MATCH(J142,Global.Assumptions[Year]),0)/10^6</f>
        <v>1453.4669149090901</v>
      </c>
      <c r="K143" s="3187">
        <f>INDEX(Global.Assumptions[Population],MATCH(K142,Global.Assumptions[Year]),0)/10^6</f>
        <v>1533.9375775379099</v>
      </c>
      <c r="L143" s="3187">
        <f>INDEX(Global.Assumptions[Population],MATCH(L142,Global.Assumptions[Year]),0)/10^6</f>
        <v>1592.14941874388</v>
      </c>
      <c r="M143" s="3187">
        <f>INDEX(Global.Assumptions[Population],MATCH(M142,Global.Assumptions[Year]),0)/10^6</f>
        <v>1659.5790849869099</v>
      </c>
      <c r="N143" s="3187">
        <f>INDEX(Global.Assumptions[Population],MATCH(N142,Global.Assumptions[Year]),0)/10^6</f>
        <v>1704.1728823936201</v>
      </c>
      <c r="O143" s="3187">
        <f>INDEX(Global.Assumptions[Population],MATCH(O142,Global.Assumptions[Year]),0)/10^6</f>
        <v>1758.0227994142899</v>
      </c>
      <c r="P143" s="419"/>
    </row>
    <row r="144" spans="1:19" ht="15.75">
      <c r="A144" s="410"/>
      <c r="B144" s="152"/>
      <c r="C144" s="126"/>
      <c r="D144" s="414"/>
      <c r="E144" s="218"/>
      <c r="F144" s="843"/>
      <c r="G144" s="843"/>
      <c r="H144" s="843"/>
      <c r="I144" s="843"/>
      <c r="J144" s="843"/>
      <c r="K144" s="843"/>
      <c r="L144" s="843"/>
      <c r="M144" s="843"/>
      <c r="N144" s="843"/>
      <c r="O144" s="843"/>
      <c r="P144" s="419"/>
    </row>
    <row r="145" spans="1:16" ht="15.75">
      <c r="A145" s="410"/>
      <c r="B145" s="152"/>
      <c r="C145" s="126"/>
      <c r="D145" s="414"/>
      <c r="E145" s="218"/>
      <c r="F145" s="843"/>
      <c r="G145" s="843"/>
      <c r="H145" s="843"/>
      <c r="I145" s="843"/>
      <c r="J145" s="843"/>
      <c r="K145" s="843"/>
      <c r="L145" s="843"/>
      <c r="M145" s="843"/>
      <c r="N145" s="843"/>
      <c r="O145" s="843"/>
      <c r="P145" s="419"/>
    </row>
    <row r="146" spans="1:16" ht="15.75">
      <c r="A146" s="410"/>
      <c r="B146" s="152"/>
      <c r="C146" s="126"/>
      <c r="D146" s="414"/>
      <c r="E146" s="218"/>
      <c r="F146" s="843"/>
      <c r="G146" s="843"/>
      <c r="H146" s="843"/>
      <c r="I146" s="843"/>
      <c r="J146" s="843"/>
      <c r="K146" s="843"/>
      <c r="L146" s="843"/>
      <c r="M146" s="843"/>
      <c r="N146" s="843"/>
      <c r="O146" s="843"/>
      <c r="P146" s="419"/>
    </row>
    <row r="147" spans="1:16" ht="15.75">
      <c r="A147" s="410"/>
      <c r="B147" s="152"/>
      <c r="C147" s="416" t="s">
        <v>2382</v>
      </c>
      <c r="D147" s="415"/>
      <c r="E147" s="104"/>
      <c r="F147" s="415"/>
      <c r="G147" s="415"/>
      <c r="H147" s="415"/>
      <c r="I147" s="415"/>
      <c r="J147" s="415"/>
      <c r="K147" s="415"/>
      <c r="L147" s="415"/>
      <c r="M147" s="415"/>
      <c r="N147" s="415"/>
      <c r="O147" s="104" t="s">
        <v>277</v>
      </c>
      <c r="P147" s="419"/>
    </row>
    <row r="148" spans="1:16" ht="15.75">
      <c r="A148" s="410"/>
      <c r="B148" s="152"/>
      <c r="C148" s="415"/>
      <c r="D148" s="415"/>
      <c r="E148" s="415"/>
      <c r="F148" s="415"/>
      <c r="G148" s="415"/>
      <c r="H148" s="415"/>
      <c r="I148" s="415"/>
      <c r="J148" s="415"/>
      <c r="K148" s="415"/>
      <c r="L148" s="415"/>
      <c r="M148" s="415"/>
      <c r="N148" s="415"/>
      <c r="O148" s="415"/>
      <c r="P148" s="419"/>
    </row>
    <row r="149" spans="1:16" ht="15.75">
      <c r="A149" s="410"/>
      <c r="B149" s="152"/>
      <c r="C149" s="61" t="s">
        <v>840</v>
      </c>
      <c r="D149" s="61" t="s">
        <v>1020</v>
      </c>
      <c r="E149" s="61" t="s">
        <v>66</v>
      </c>
      <c r="F149" s="119">
        <v>2007</v>
      </c>
      <c r="G149" s="120">
        <f t="shared" ref="G149:O149" si="36">F149+5</f>
        <v>2012</v>
      </c>
      <c r="H149" s="120">
        <f t="shared" si="36"/>
        <v>2017</v>
      </c>
      <c r="I149" s="120">
        <f t="shared" si="36"/>
        <v>2022</v>
      </c>
      <c r="J149" s="120">
        <f t="shared" si="36"/>
        <v>2027</v>
      </c>
      <c r="K149" s="120">
        <f t="shared" si="36"/>
        <v>2032</v>
      </c>
      <c r="L149" s="120">
        <f t="shared" si="36"/>
        <v>2037</v>
      </c>
      <c r="M149" s="120">
        <f t="shared" si="36"/>
        <v>2042</v>
      </c>
      <c r="N149" s="120">
        <f t="shared" si="36"/>
        <v>2047</v>
      </c>
      <c r="O149" s="120">
        <f t="shared" si="36"/>
        <v>2052</v>
      </c>
      <c r="P149" s="419"/>
    </row>
    <row r="150" spans="1:16" ht="15.75">
      <c r="A150" s="410"/>
      <c r="B150" s="152"/>
      <c r="C150" s="413" t="s">
        <v>1012</v>
      </c>
      <c r="D150" s="414" t="s">
        <v>1021</v>
      </c>
      <c r="E150" s="218"/>
      <c r="F150" s="2670">
        <f>G150</f>
        <v>0.97905901550176777</v>
      </c>
      <c r="G150" s="2670">
        <v>0.97905901550176777</v>
      </c>
      <c r="H150" s="2671">
        <v>0.97900546433364344</v>
      </c>
      <c r="I150" s="2670">
        <v>0.9789453368747929</v>
      </c>
      <c r="J150" s="2670">
        <v>0.97887734248657143</v>
      </c>
      <c r="K150" s="2670">
        <v>0.97879982916207009</v>
      </c>
      <c r="L150" s="2670">
        <v>0.97871064753157888</v>
      </c>
      <c r="M150" s="2670">
        <v>0.97860694845436813</v>
      </c>
      <c r="N150" s="2670">
        <v>0.97848487300501663</v>
      </c>
      <c r="O150" s="2670">
        <v>0.97833906162576934</v>
      </c>
      <c r="P150" s="419"/>
    </row>
    <row r="151" spans="1:16" ht="15.75">
      <c r="A151" s="410"/>
      <c r="B151" s="152"/>
      <c r="C151" s="413"/>
      <c r="D151" s="414" t="s">
        <v>1022</v>
      </c>
      <c r="E151" s="218"/>
      <c r="F151" s="2670">
        <f t="shared" ref="F151:F155" si="37">G151</f>
        <v>2.0940984498232253E-2</v>
      </c>
      <c r="G151" s="2670">
        <v>2.0940984498232253E-2</v>
      </c>
      <c r="H151" s="2672">
        <v>2.0994535666356506E-2</v>
      </c>
      <c r="I151" s="2673">
        <v>2.1054663125207047E-2</v>
      </c>
      <c r="J151" s="2670">
        <v>2.112265751342858E-2</v>
      </c>
      <c r="K151" s="2673">
        <v>2.1200170837929876E-2</v>
      </c>
      <c r="L151" s="2670">
        <v>2.1289352468421091E-2</v>
      </c>
      <c r="M151" s="2673">
        <v>2.1393051545631946E-2</v>
      </c>
      <c r="N151" s="2670">
        <v>2.1515126994983369E-2</v>
      </c>
      <c r="O151" s="2670">
        <v>2.1660938374230679E-2</v>
      </c>
      <c r="P151" s="419"/>
    </row>
    <row r="152" spans="1:16" ht="15.75">
      <c r="A152" s="410"/>
      <c r="B152" s="152"/>
      <c r="C152" s="413" t="s">
        <v>1014</v>
      </c>
      <c r="D152" s="414" t="s">
        <v>1023</v>
      </c>
      <c r="E152" s="218"/>
      <c r="F152" s="2670">
        <f t="shared" si="37"/>
        <v>0.26503633553158801</v>
      </c>
      <c r="G152" s="2670">
        <v>0.26503633553158801</v>
      </c>
      <c r="H152" s="2672">
        <v>0.32100467101165631</v>
      </c>
      <c r="I152" s="2673">
        <v>0.36346887575348402</v>
      </c>
      <c r="J152" s="2673">
        <v>0.39679024714659167</v>
      </c>
      <c r="K152" s="2673">
        <v>0.42363457547265188</v>
      </c>
      <c r="L152" s="2673">
        <v>0.4457230947206387</v>
      </c>
      <c r="M152" s="2673">
        <v>0.46421679009442957</v>
      </c>
      <c r="N152" s="2673">
        <v>0.47992719110399112</v>
      </c>
      <c r="O152" s="2673">
        <v>0.49343865234337958</v>
      </c>
      <c r="P152" s="419"/>
    </row>
    <row r="153" spans="1:16" ht="15.75">
      <c r="A153" s="410"/>
      <c r="B153" s="152"/>
      <c r="C153" s="413"/>
      <c r="D153" s="414" t="s">
        <v>1024</v>
      </c>
      <c r="E153" s="218"/>
      <c r="F153" s="2670">
        <f t="shared" si="37"/>
        <v>0.52719266270761111</v>
      </c>
      <c r="G153" s="2670">
        <v>0.52719266270761111</v>
      </c>
      <c r="H153" s="2672">
        <v>0.45431170758946843</v>
      </c>
      <c r="I153" s="2673">
        <v>0.3990155874999417</v>
      </c>
      <c r="J153" s="2673">
        <v>0.35562509978674367</v>
      </c>
      <c r="K153" s="2673">
        <v>0.32066890051572899</v>
      </c>
      <c r="L153" s="2673">
        <v>0.29190562988903557</v>
      </c>
      <c r="M153" s="2673">
        <v>0.26782347395309841</v>
      </c>
      <c r="N153" s="2673">
        <v>0.24736567364432138</v>
      </c>
      <c r="O153" s="2673">
        <v>0.22977129296957202</v>
      </c>
      <c r="P153" s="419"/>
    </row>
    <row r="154" spans="1:16" ht="15.75">
      <c r="A154" s="410"/>
      <c r="B154" s="152"/>
      <c r="C154" s="413"/>
      <c r="D154" s="414" t="s">
        <v>1025</v>
      </c>
      <c r="E154" s="218"/>
      <c r="F154" s="2670">
        <f t="shared" si="37"/>
        <v>0.12810018579110027</v>
      </c>
      <c r="G154" s="918">
        <v>0.12810018579110027</v>
      </c>
      <c r="H154" s="918">
        <v>0.1409507075108373</v>
      </c>
      <c r="I154" s="918">
        <v>0.15070063451269622</v>
      </c>
      <c r="J154" s="918">
        <v>0.15835133563049247</v>
      </c>
      <c r="K154" s="918">
        <v>0.16451488545284942</v>
      </c>
      <c r="L154" s="918">
        <v>0.16958648520507305</v>
      </c>
      <c r="M154" s="918">
        <v>0.17383270107053744</v>
      </c>
      <c r="N154" s="918">
        <v>0.17743986300714792</v>
      </c>
      <c r="O154" s="918">
        <v>0.18054214083322301</v>
      </c>
      <c r="P154" s="419"/>
    </row>
    <row r="155" spans="1:16" ht="15.75">
      <c r="A155" s="410"/>
      <c r="B155" s="152"/>
      <c r="C155" s="413"/>
      <c r="D155" s="414" t="s">
        <v>1026</v>
      </c>
      <c r="E155" s="218"/>
      <c r="F155" s="2670">
        <f t="shared" si="37"/>
        <v>7.9670815969700617E-2</v>
      </c>
      <c r="G155" s="919">
        <v>7.9670815969700617E-2</v>
      </c>
      <c r="H155" s="919">
        <v>8.3732913888038024E-2</v>
      </c>
      <c r="I155" s="919">
        <v>8.6814902233878E-2</v>
      </c>
      <c r="J155" s="919">
        <v>8.9233317436172049E-2</v>
      </c>
      <c r="K155" s="919">
        <v>9.1181638558769831E-2</v>
      </c>
      <c r="L155" s="919">
        <v>9.2784790185252555E-2</v>
      </c>
      <c r="M155" s="919">
        <v>9.4127034881934593E-2</v>
      </c>
      <c r="N155" s="919">
        <v>9.5267272244539625E-2</v>
      </c>
      <c r="O155" s="919">
        <v>9.624791385382532E-2</v>
      </c>
      <c r="P155" s="419"/>
    </row>
    <row r="156" spans="1:16" ht="15.75">
      <c r="A156" s="410"/>
      <c r="B156" s="152"/>
      <c r="C156" s="411"/>
      <c r="D156" s="65"/>
      <c r="E156" s="844"/>
      <c r="F156" s="847"/>
      <c r="G156" s="847"/>
      <c r="H156" s="847"/>
      <c r="I156" s="847"/>
      <c r="J156" s="847"/>
      <c r="K156" s="847"/>
      <c r="L156" s="847"/>
      <c r="M156" s="847"/>
      <c r="N156" s="847"/>
      <c r="O156" s="847"/>
      <c r="P156" s="419"/>
    </row>
    <row r="157" spans="1:16" ht="15.75">
      <c r="A157" s="410"/>
      <c r="B157" s="152"/>
      <c r="C157" s="126"/>
      <c r="D157" s="414"/>
      <c r="E157" s="218"/>
      <c r="F157" s="843"/>
      <c r="G157" s="843"/>
      <c r="H157" s="843"/>
      <c r="I157" s="843"/>
      <c r="J157" s="843"/>
      <c r="K157" s="843"/>
      <c r="L157" s="843"/>
      <c r="M157" s="843"/>
      <c r="N157" s="843"/>
      <c r="O157" s="843"/>
      <c r="P157" s="419"/>
    </row>
    <row r="158" spans="1:16" ht="15.75">
      <c r="A158" s="410"/>
      <c r="B158" s="152"/>
      <c r="C158" s="126"/>
      <c r="D158" s="414"/>
      <c r="E158" s="218"/>
      <c r="F158" s="843"/>
      <c r="G158" s="843"/>
      <c r="H158" s="843"/>
      <c r="I158" s="843"/>
      <c r="J158" s="843"/>
      <c r="K158" s="843"/>
      <c r="L158" s="843"/>
      <c r="M158" s="843"/>
      <c r="N158" s="843"/>
      <c r="O158" s="843"/>
      <c r="P158" s="419"/>
    </row>
    <row r="159" spans="1:16" ht="15.75">
      <c r="A159" s="410"/>
      <c r="B159" s="152"/>
      <c r="C159" s="126"/>
      <c r="D159" s="414"/>
      <c r="E159" s="218"/>
      <c r="F159" s="843"/>
      <c r="G159" s="843"/>
      <c r="H159" s="843"/>
      <c r="I159" s="843"/>
      <c r="J159" s="843"/>
      <c r="K159" s="843"/>
      <c r="L159" s="843"/>
      <c r="M159" s="843"/>
      <c r="N159" s="843"/>
      <c r="O159" s="843"/>
      <c r="P159" s="419"/>
    </row>
    <row r="160" spans="1:16" ht="15.75">
      <c r="A160" s="410"/>
      <c r="B160" s="152"/>
      <c r="C160" s="126"/>
      <c r="D160" s="414"/>
      <c r="E160" s="218"/>
      <c r="F160" s="843"/>
      <c r="G160" s="843"/>
      <c r="H160" s="843"/>
      <c r="I160" s="843"/>
      <c r="J160" s="843"/>
      <c r="K160" s="843"/>
      <c r="L160" s="843"/>
      <c r="M160" s="843"/>
      <c r="N160" s="843"/>
      <c r="O160" s="843"/>
      <c r="P160" s="419"/>
    </row>
    <row r="161" spans="1:16" ht="15.75">
      <c r="A161" s="410"/>
      <c r="B161" s="152"/>
      <c r="C161" s="416" t="s">
        <v>2383</v>
      </c>
      <c r="D161" s="415"/>
      <c r="E161" s="104"/>
      <c r="F161" s="415"/>
      <c r="G161" s="415"/>
      <c r="H161" s="415"/>
      <c r="I161" s="415"/>
      <c r="J161" s="415"/>
      <c r="K161" s="415"/>
      <c r="L161" s="415"/>
      <c r="M161" s="415"/>
      <c r="N161" s="415"/>
      <c r="O161" s="104" t="s">
        <v>277</v>
      </c>
      <c r="P161" s="419"/>
    </row>
    <row r="162" spans="1:16" ht="15.75">
      <c r="A162" s="410"/>
      <c r="B162" s="152"/>
      <c r="C162" s="415"/>
      <c r="D162" s="415"/>
      <c r="E162" s="415"/>
      <c r="F162" s="415"/>
      <c r="G162" s="415"/>
      <c r="H162" s="415"/>
      <c r="I162" s="415"/>
      <c r="J162" s="415"/>
      <c r="K162" s="415"/>
      <c r="L162" s="415"/>
      <c r="M162" s="415"/>
      <c r="N162" s="415"/>
      <c r="O162" s="415"/>
      <c r="P162" s="419"/>
    </row>
    <row r="163" spans="1:16" ht="15.75">
      <c r="A163" s="410"/>
      <c r="B163" s="152"/>
      <c r="C163" s="61" t="s">
        <v>840</v>
      </c>
      <c r="D163" s="61" t="s">
        <v>1029</v>
      </c>
      <c r="E163" s="61" t="s">
        <v>275</v>
      </c>
      <c r="F163" s="119">
        <v>2007</v>
      </c>
      <c r="G163" s="120">
        <f>F163+5</f>
        <v>2012</v>
      </c>
      <c r="H163" s="120">
        <f t="shared" ref="H163:O163" si="38">G163+5</f>
        <v>2017</v>
      </c>
      <c r="I163" s="120">
        <f t="shared" si="38"/>
        <v>2022</v>
      </c>
      <c r="J163" s="120">
        <f t="shared" si="38"/>
        <v>2027</v>
      </c>
      <c r="K163" s="120">
        <f t="shared" si="38"/>
        <v>2032</v>
      </c>
      <c r="L163" s="120">
        <f t="shared" si="38"/>
        <v>2037</v>
      </c>
      <c r="M163" s="120">
        <f t="shared" si="38"/>
        <v>2042</v>
      </c>
      <c r="N163" s="120">
        <f t="shared" si="38"/>
        <v>2047</v>
      </c>
      <c r="O163" s="120">
        <f t="shared" si="38"/>
        <v>2052</v>
      </c>
      <c r="P163" s="419"/>
    </row>
    <row r="164" spans="1:16" ht="15.75">
      <c r="A164" s="410"/>
      <c r="B164" s="3078"/>
      <c r="C164" s="413" t="s">
        <v>955</v>
      </c>
      <c r="D164" s="414" t="s">
        <v>1021</v>
      </c>
      <c r="E164" s="218" t="s">
        <v>953</v>
      </c>
      <c r="F164" s="2674">
        <v>0.98823643505090775</v>
      </c>
      <c r="G164" s="2674">
        <v>0.98823643505090775</v>
      </c>
      <c r="H164" s="2675">
        <v>0.98643841557818124</v>
      </c>
      <c r="I164" s="2674">
        <v>0.98450000000000004</v>
      </c>
      <c r="J164" s="2674">
        <v>0.9820000000000001</v>
      </c>
      <c r="K164" s="2674">
        <v>0.97899999999999998</v>
      </c>
      <c r="L164" s="2674">
        <v>0.97399999999999998</v>
      </c>
      <c r="M164" s="2674">
        <v>0.96899999999999997</v>
      </c>
      <c r="N164" s="2674">
        <v>0.96400000000000008</v>
      </c>
      <c r="O164" s="2674">
        <v>0.9592857142857143</v>
      </c>
      <c r="P164" s="419"/>
    </row>
    <row r="165" spans="1:16" ht="15.75">
      <c r="A165" s="410"/>
      <c r="B165" s="152"/>
      <c r="C165" s="413"/>
      <c r="D165" s="414"/>
      <c r="E165" s="218" t="s">
        <v>1030</v>
      </c>
      <c r="F165" s="2674">
        <v>1.1763564949092236E-2</v>
      </c>
      <c r="G165" s="2674">
        <v>1.1763564949092236E-2</v>
      </c>
      <c r="H165" s="2676">
        <v>1.3561584421818769E-2</v>
      </c>
      <c r="I165" s="2677">
        <v>1.55E-2</v>
      </c>
      <c r="J165" s="2674">
        <v>1.8000000000000002E-2</v>
      </c>
      <c r="K165" s="2677">
        <v>2.0999999999999994E-2</v>
      </c>
      <c r="L165" s="2674">
        <v>2.6000000000000006E-2</v>
      </c>
      <c r="M165" s="2677">
        <v>3.1E-2</v>
      </c>
      <c r="N165" s="2674">
        <v>3.6000000000000004E-2</v>
      </c>
      <c r="O165" s="2674">
        <v>4.0714285714285724E-2</v>
      </c>
      <c r="P165" s="419"/>
    </row>
    <row r="166" spans="1:16" ht="15.75">
      <c r="A166" s="410"/>
      <c r="B166" s="152"/>
      <c r="C166" s="413"/>
      <c r="D166" s="414" t="s">
        <v>1022</v>
      </c>
      <c r="E166" s="218" t="s">
        <v>953</v>
      </c>
      <c r="F166" s="2674">
        <v>0.98823643505090786</v>
      </c>
      <c r="G166" s="2674">
        <v>0.98823643505090786</v>
      </c>
      <c r="H166" s="2676">
        <v>0.98643841557818113</v>
      </c>
      <c r="I166" s="2677">
        <v>0.98450000000000004</v>
      </c>
      <c r="J166" s="2677">
        <v>0.9820000000000001</v>
      </c>
      <c r="K166" s="2677">
        <v>0.97899999999999998</v>
      </c>
      <c r="L166" s="2677">
        <v>0.97399999999999998</v>
      </c>
      <c r="M166" s="2677">
        <v>0.96899999999999986</v>
      </c>
      <c r="N166" s="2677">
        <v>0.96400000000000008</v>
      </c>
      <c r="O166" s="2677">
        <v>0.9592857142857143</v>
      </c>
      <c r="P166" s="419"/>
    </row>
    <row r="167" spans="1:16" ht="15.75">
      <c r="A167" s="410"/>
      <c r="B167" s="152"/>
      <c r="C167" s="413"/>
      <c r="D167" s="414"/>
      <c r="E167" s="218" t="s">
        <v>1030</v>
      </c>
      <c r="F167" s="2674">
        <v>1.1763564949092239E-2</v>
      </c>
      <c r="G167" s="2674">
        <v>1.1763564949092239E-2</v>
      </c>
      <c r="H167" s="2676">
        <v>1.3561584421818769E-2</v>
      </c>
      <c r="I167" s="2677">
        <v>1.5500000000000003E-2</v>
      </c>
      <c r="J167" s="2677">
        <v>1.7999999999999999E-2</v>
      </c>
      <c r="K167" s="2677">
        <v>2.1000000000000005E-2</v>
      </c>
      <c r="L167" s="2677">
        <v>2.6000000000000009E-2</v>
      </c>
      <c r="M167" s="2677">
        <v>3.1E-2</v>
      </c>
      <c r="N167" s="2677">
        <v>3.6000000000000004E-2</v>
      </c>
      <c r="O167" s="2677">
        <v>4.0714285714285724E-2</v>
      </c>
      <c r="P167" s="419"/>
    </row>
    <row r="168" spans="1:16" ht="15.75">
      <c r="A168" s="410"/>
      <c r="B168" s="152"/>
      <c r="C168" s="413"/>
      <c r="D168" s="414" t="s">
        <v>1023</v>
      </c>
      <c r="E168" s="218" t="s">
        <v>1031</v>
      </c>
      <c r="F168" s="2674">
        <v>0.77359454545454531</v>
      </c>
      <c r="G168" s="2674">
        <v>0.77359454545454531</v>
      </c>
      <c r="H168" s="2677">
        <v>0.7270672727272729</v>
      </c>
      <c r="I168" s="2677">
        <v>0.68283999999999989</v>
      </c>
      <c r="J168" s="2677">
        <v>0.64781272727272732</v>
      </c>
      <c r="K168" s="2677">
        <v>0.61478545454545441</v>
      </c>
      <c r="L168" s="2677">
        <v>0.58975818181818185</v>
      </c>
      <c r="M168" s="2677">
        <v>0.56473090909090906</v>
      </c>
      <c r="N168" s="2677">
        <v>0.53970363636363639</v>
      </c>
      <c r="O168" s="2677">
        <v>0.50882580515631193</v>
      </c>
      <c r="P168" s="419"/>
    </row>
    <row r="169" spans="1:16" ht="15.75">
      <c r="A169" s="410"/>
      <c r="B169" s="152"/>
      <c r="C169" s="413"/>
      <c r="D169" s="414"/>
      <c r="E169" s="218" t="s">
        <v>953</v>
      </c>
      <c r="F169" s="2674">
        <v>0.18430000000000005</v>
      </c>
      <c r="G169" s="2674">
        <v>0.18430000000000005</v>
      </c>
      <c r="H169" s="2677">
        <v>0.2208</v>
      </c>
      <c r="I169" s="2677">
        <v>0.255</v>
      </c>
      <c r="J169" s="2677">
        <v>0.28000000000000003</v>
      </c>
      <c r="K169" s="2677">
        <v>0.30499999999999999</v>
      </c>
      <c r="L169" s="2677">
        <v>0.33</v>
      </c>
      <c r="M169" s="2677">
        <v>0.35499999999999987</v>
      </c>
      <c r="N169" s="2677">
        <v>0.37999999999999995</v>
      </c>
      <c r="O169" s="2677">
        <v>0.41053790510409827</v>
      </c>
      <c r="P169" s="419"/>
    </row>
    <row r="170" spans="1:16" ht="15.75">
      <c r="A170" s="410"/>
      <c r="B170" s="152"/>
      <c r="C170" s="413"/>
      <c r="D170" s="414"/>
      <c r="E170" s="218" t="s">
        <v>1030</v>
      </c>
      <c r="F170" s="2674">
        <v>2.1000000000000005E-2</v>
      </c>
      <c r="G170" s="2674">
        <v>2.1000000000000005E-2</v>
      </c>
      <c r="H170" s="2677">
        <v>2.6000000000000009E-2</v>
      </c>
      <c r="I170" s="2677">
        <v>3.1E-2</v>
      </c>
      <c r="J170" s="2677">
        <v>3.6000000000000004E-2</v>
      </c>
      <c r="K170" s="2677">
        <v>0.04</v>
      </c>
      <c r="L170" s="2677">
        <v>0.04</v>
      </c>
      <c r="M170" s="2677">
        <v>3.9999999999999987E-2</v>
      </c>
      <c r="N170" s="2677">
        <v>3.9999999999999994E-2</v>
      </c>
      <c r="O170" s="2677">
        <v>4.0154333441324172E-2</v>
      </c>
      <c r="P170" s="419"/>
    </row>
    <row r="171" spans="1:16" ht="15.75">
      <c r="A171" s="410"/>
      <c r="B171" s="152"/>
      <c r="C171" s="413"/>
      <c r="D171" s="414"/>
      <c r="E171" s="218" t="s">
        <v>918</v>
      </c>
      <c r="F171" s="2674">
        <v>2.1000000000000005E-2</v>
      </c>
      <c r="G171" s="2674">
        <v>2.1000000000000005E-2</v>
      </c>
      <c r="H171" s="2677">
        <v>2.6000000000000009E-2</v>
      </c>
      <c r="I171" s="2677">
        <v>3.1E-2</v>
      </c>
      <c r="J171" s="2677">
        <v>3.6000000000000004E-2</v>
      </c>
      <c r="K171" s="2677">
        <v>0.04</v>
      </c>
      <c r="L171" s="2677">
        <v>0.04</v>
      </c>
      <c r="M171" s="2677">
        <v>3.9999999999999987E-2</v>
      </c>
      <c r="N171" s="2677">
        <v>3.9999999999999994E-2</v>
      </c>
      <c r="O171" s="2677">
        <v>4.0154333441324172E-2</v>
      </c>
      <c r="P171" s="419"/>
    </row>
    <row r="172" spans="1:16" ht="15.75">
      <c r="A172" s="410"/>
      <c r="B172" s="152"/>
      <c r="C172" s="413"/>
      <c r="D172" s="414"/>
      <c r="E172" s="218" t="s">
        <v>954</v>
      </c>
      <c r="F172" s="2674">
        <v>1.0545454545454545E-4</v>
      </c>
      <c r="G172" s="2674">
        <v>1.0545454545454545E-4</v>
      </c>
      <c r="H172" s="2677">
        <v>1.3272727272727278E-4</v>
      </c>
      <c r="I172" s="2677">
        <v>1.6000000000000001E-4</v>
      </c>
      <c r="J172" s="2677">
        <v>1.8727272727272736E-4</v>
      </c>
      <c r="K172" s="2677">
        <v>2.1454545454545448E-4</v>
      </c>
      <c r="L172" s="2677">
        <v>2.4181818181818194E-4</v>
      </c>
      <c r="M172" s="2677">
        <v>2.6909090909090904E-4</v>
      </c>
      <c r="N172" s="2677">
        <v>2.9636363636363638E-4</v>
      </c>
      <c r="O172" s="2677">
        <v>3.2762285694171313E-4</v>
      </c>
      <c r="P172" s="419"/>
    </row>
    <row r="173" spans="1:16" ht="15.75">
      <c r="A173" s="410"/>
      <c r="B173" s="152"/>
      <c r="C173" s="413"/>
      <c r="D173" s="414" t="s">
        <v>1024</v>
      </c>
      <c r="E173" s="218" t="s">
        <v>1031</v>
      </c>
      <c r="F173" s="2674">
        <v>0.14751731242569505</v>
      </c>
      <c r="G173" s="2674">
        <v>0.14751731242569505</v>
      </c>
      <c r="H173" s="2677">
        <v>0.10724058700596935</v>
      </c>
      <c r="I173" s="2677">
        <v>6.8797923793795082E-2</v>
      </c>
      <c r="J173" s="2677">
        <v>2.975651535543871E-2</v>
      </c>
      <c r="K173" s="2677">
        <v>0</v>
      </c>
      <c r="L173" s="2677">
        <v>0</v>
      </c>
      <c r="M173" s="2677">
        <v>0</v>
      </c>
      <c r="N173" s="2677">
        <v>0</v>
      </c>
      <c r="O173" s="2677">
        <v>3.4897171966163015E-2</v>
      </c>
      <c r="P173" s="419"/>
    </row>
    <row r="174" spans="1:16" ht="15.75">
      <c r="A174" s="410"/>
      <c r="B174" s="152"/>
      <c r="C174" s="413"/>
      <c r="D174" s="414"/>
      <c r="E174" s="218" t="s">
        <v>1031</v>
      </c>
      <c r="F174" s="2674">
        <v>0.8401787143956343</v>
      </c>
      <c r="G174" s="2674">
        <v>0.8401787143956343</v>
      </c>
      <c r="H174" s="2677">
        <v>0.88374187440104357</v>
      </c>
      <c r="I174" s="2677">
        <v>0.92346938775510201</v>
      </c>
      <c r="J174" s="2677">
        <v>0.95583017251927072</v>
      </c>
      <c r="K174" s="2677">
        <v>0.9766358102967283</v>
      </c>
      <c r="L174" s="2677">
        <v>0.96188459502382206</v>
      </c>
      <c r="M174" s="2677">
        <v>0.94144081858407069</v>
      </c>
      <c r="N174" s="2677">
        <v>0.90454016298020945</v>
      </c>
      <c r="O174" s="2677">
        <v>0.82717939064557222</v>
      </c>
      <c r="P174" s="419"/>
    </row>
    <row r="175" spans="1:16" ht="15.75">
      <c r="A175" s="410"/>
      <c r="B175" s="152"/>
      <c r="C175" s="413"/>
      <c r="D175" s="414"/>
      <c r="E175" s="218" t="s">
        <v>1031</v>
      </c>
      <c r="F175" s="2674">
        <v>9.9729774538158192E-3</v>
      </c>
      <c r="G175" s="2674">
        <v>9.9729774538158192E-3</v>
      </c>
      <c r="H175" s="2677">
        <v>4.5145423685760133E-3</v>
      </c>
      <c r="I175" s="2677">
        <v>0</v>
      </c>
      <c r="J175" s="2677">
        <v>0</v>
      </c>
      <c r="K175" s="2677">
        <v>0</v>
      </c>
      <c r="L175" s="2677">
        <v>0</v>
      </c>
      <c r="M175" s="2677">
        <v>0</v>
      </c>
      <c r="N175" s="2677">
        <v>0</v>
      </c>
      <c r="O175" s="2677">
        <v>0</v>
      </c>
      <c r="P175" s="419"/>
    </row>
    <row r="176" spans="1:16" ht="15.75">
      <c r="A176" s="410"/>
      <c r="B176" s="152"/>
      <c r="C176" s="413"/>
      <c r="D176" s="414"/>
      <c r="E176" s="218" t="s">
        <v>954</v>
      </c>
      <c r="F176" s="2674">
        <v>2.3309957248546483E-3</v>
      </c>
      <c r="G176" s="2674">
        <v>2.3309957248546483E-3</v>
      </c>
      <c r="H176" s="2677">
        <v>4.5029962244108575E-3</v>
      </c>
      <c r="I176" s="2677">
        <v>7.7326884511029897E-3</v>
      </c>
      <c r="J176" s="2677">
        <v>1.4413312125290604E-2</v>
      </c>
      <c r="K176" s="2677">
        <v>2.3364189703271646E-2</v>
      </c>
      <c r="L176" s="2677">
        <v>3.8115404976177929E-2</v>
      </c>
      <c r="M176" s="2677">
        <v>5.8559181415929286E-2</v>
      </c>
      <c r="N176" s="2677">
        <v>9.5459837019790619E-2</v>
      </c>
      <c r="O176" s="2677">
        <v>0.13792343738826476</v>
      </c>
      <c r="P176" s="419"/>
    </row>
    <row r="177" spans="1:37" ht="15.75">
      <c r="A177" s="410"/>
      <c r="B177" s="152"/>
      <c r="C177" s="413"/>
      <c r="D177" s="414" t="s">
        <v>1025</v>
      </c>
      <c r="E177" s="218" t="s">
        <v>1030</v>
      </c>
      <c r="F177" s="2674">
        <v>9.815563690100397E-2</v>
      </c>
      <c r="G177" s="2674">
        <v>9.815563690100397E-2</v>
      </c>
      <c r="H177" s="2677">
        <v>0.11306917195600179</v>
      </c>
      <c r="I177" s="2677">
        <v>0.1275</v>
      </c>
      <c r="J177" s="2677">
        <v>0.14000000000000004</v>
      </c>
      <c r="K177" s="2677">
        <v>0.15249999999999997</v>
      </c>
      <c r="L177" s="2677">
        <v>0.16500000000000001</v>
      </c>
      <c r="M177" s="2677">
        <v>0.17749999999999999</v>
      </c>
      <c r="N177" s="2677">
        <v>0.19000000000000003</v>
      </c>
      <c r="O177" s="2677">
        <v>0.20142857142857143</v>
      </c>
      <c r="P177" s="419"/>
    </row>
    <row r="178" spans="1:37" ht="15.75">
      <c r="A178" s="410"/>
      <c r="B178" s="152"/>
      <c r="C178" s="413"/>
      <c r="D178" s="414"/>
      <c r="E178" s="218" t="s">
        <v>918</v>
      </c>
      <c r="F178" s="2674">
        <v>6.9958945830702765E-2</v>
      </c>
      <c r="G178" s="2674">
        <v>6.9958945830702765E-2</v>
      </c>
      <c r="H178" s="2677">
        <v>8.6648420369201201E-2</v>
      </c>
      <c r="I178" s="2677">
        <v>9.799999999999999E-2</v>
      </c>
      <c r="J178" s="2677">
        <v>8.8000000000000009E-2</v>
      </c>
      <c r="K178" s="2677">
        <v>7.6999999999999999E-2</v>
      </c>
      <c r="L178" s="2677">
        <v>6.1999999999999979E-2</v>
      </c>
      <c r="M178" s="2677">
        <v>4.6999999999999993E-2</v>
      </c>
      <c r="N178" s="2677">
        <v>3.1999999999999987E-2</v>
      </c>
      <c r="O178" s="2677">
        <v>1.8571428571428569E-2</v>
      </c>
      <c r="P178" s="419"/>
    </row>
    <row r="179" spans="1:37" ht="15.75">
      <c r="A179" s="410"/>
      <c r="B179" s="152"/>
      <c r="C179" s="413"/>
      <c r="D179" s="414"/>
      <c r="E179" s="218" t="s">
        <v>1031</v>
      </c>
      <c r="F179" s="2674">
        <v>0.4</v>
      </c>
      <c r="G179" s="2674">
        <v>0.4</v>
      </c>
      <c r="H179" s="2677">
        <v>0.4</v>
      </c>
      <c r="I179" s="2677">
        <v>0.4</v>
      </c>
      <c r="J179" s="2677">
        <v>0.4</v>
      </c>
      <c r="K179" s="2677">
        <v>0.4</v>
      </c>
      <c r="L179" s="2677">
        <v>0.40000000000000008</v>
      </c>
      <c r="M179" s="2677">
        <v>0.4</v>
      </c>
      <c r="N179" s="2677">
        <v>0.4</v>
      </c>
      <c r="O179" s="2677">
        <v>0.4</v>
      </c>
      <c r="P179" s="419"/>
    </row>
    <row r="180" spans="1:37" ht="15.75">
      <c r="A180" s="410"/>
      <c r="B180" s="152"/>
      <c r="C180" s="413"/>
      <c r="D180" s="414"/>
      <c r="E180" s="218" t="s">
        <v>953</v>
      </c>
      <c r="F180" s="2674">
        <v>0.43188541726829333</v>
      </c>
      <c r="G180" s="2674">
        <v>0.43188541726829333</v>
      </c>
      <c r="H180" s="2677">
        <v>0.400282407674797</v>
      </c>
      <c r="I180" s="2677">
        <v>0.37449999999999994</v>
      </c>
      <c r="J180" s="2677">
        <v>0.37199999999999994</v>
      </c>
      <c r="K180" s="2677">
        <v>0.37049999999999988</v>
      </c>
      <c r="L180" s="2677">
        <v>0.373</v>
      </c>
      <c r="M180" s="2677">
        <v>0.37549999999999994</v>
      </c>
      <c r="N180" s="2677">
        <v>0.37799999999999995</v>
      </c>
      <c r="O180" s="2677">
        <v>0.38</v>
      </c>
      <c r="P180" s="419"/>
    </row>
    <row r="181" spans="1:37" ht="15.75">
      <c r="A181" s="410"/>
      <c r="B181" s="152"/>
      <c r="C181" s="413"/>
      <c r="D181" s="414" t="s">
        <v>1026</v>
      </c>
      <c r="E181" s="218" t="s">
        <v>1030</v>
      </c>
      <c r="F181" s="2674">
        <v>2.5092390985443861E-2</v>
      </c>
      <c r="G181" s="2674">
        <v>2.5092390985443861E-2</v>
      </c>
      <c r="H181" s="2677">
        <v>2.781884043797505E-2</v>
      </c>
      <c r="I181" s="2677">
        <v>3.0999999999999993E-2</v>
      </c>
      <c r="J181" s="2677">
        <v>3.6000000000000011E-2</v>
      </c>
      <c r="K181" s="2677">
        <v>4.1000000000000002E-2</v>
      </c>
      <c r="L181" s="2677">
        <v>4.6000000000000006E-2</v>
      </c>
      <c r="M181" s="2677">
        <v>5.1000000000000004E-2</v>
      </c>
      <c r="N181" s="2677">
        <v>5.6000000000000015E-2</v>
      </c>
      <c r="O181" s="2677">
        <v>6.0499999999999991E-2</v>
      </c>
      <c r="P181" s="419"/>
    </row>
    <row r="182" spans="1:37" ht="15.75">
      <c r="A182" s="410"/>
      <c r="B182" s="152"/>
      <c r="C182" s="413"/>
      <c r="D182" s="414"/>
      <c r="E182" s="218" t="s">
        <v>918</v>
      </c>
      <c r="F182" s="2674">
        <v>1.7064673689810701E-2</v>
      </c>
      <c r="G182" s="2674">
        <v>1.7064673689810701E-2</v>
      </c>
      <c r="H182" s="2677">
        <v>1.647318830658253E-2</v>
      </c>
      <c r="I182" s="2677">
        <v>1.5900000000000001E-2</v>
      </c>
      <c r="J182" s="2677">
        <v>1.5400000000000004E-2</v>
      </c>
      <c r="K182" s="2677">
        <v>1.4699999999999996E-2</v>
      </c>
      <c r="L182" s="2677">
        <v>1.3200000000000002E-2</v>
      </c>
      <c r="M182" s="2677">
        <v>1.1800000000000003E-2</v>
      </c>
      <c r="N182" s="2677">
        <v>1.0799999999999999E-2</v>
      </c>
      <c r="O182" s="2677">
        <v>9.499999999999998E-3</v>
      </c>
      <c r="P182" s="419"/>
    </row>
    <row r="183" spans="1:37" ht="15.75">
      <c r="A183" s="410"/>
      <c r="B183" s="152"/>
      <c r="C183" s="413"/>
      <c r="D183" s="414"/>
      <c r="E183" s="218" t="s">
        <v>953</v>
      </c>
      <c r="F183" s="2674">
        <v>0.9578429353247454</v>
      </c>
      <c r="G183" s="2674">
        <v>0.9578429353247454</v>
      </c>
      <c r="H183" s="2677">
        <v>0.95570797125544238</v>
      </c>
      <c r="I183" s="2677">
        <v>0.95309999999999995</v>
      </c>
      <c r="J183" s="2677">
        <v>0.9486</v>
      </c>
      <c r="K183" s="2677">
        <v>0.94429999999999992</v>
      </c>
      <c r="L183" s="2677">
        <v>0.94079999999999997</v>
      </c>
      <c r="M183" s="2677">
        <v>0.93719999999999992</v>
      </c>
      <c r="N183" s="2677">
        <v>0.93320000000000003</v>
      </c>
      <c r="O183" s="2677">
        <v>0.93</v>
      </c>
      <c r="P183" s="419"/>
    </row>
    <row r="184" spans="1:37" ht="15.75">
      <c r="A184" s="410"/>
      <c r="B184" s="152"/>
      <c r="C184" s="413" t="s">
        <v>952</v>
      </c>
      <c r="D184" s="414"/>
      <c r="E184" s="218" t="s">
        <v>953</v>
      </c>
      <c r="F184" s="2674">
        <v>0.496</v>
      </c>
      <c r="G184" s="2674">
        <v>0.496</v>
      </c>
      <c r="H184" s="2674">
        <v>0.49266666666666675</v>
      </c>
      <c r="I184" s="2674">
        <v>0.48</v>
      </c>
      <c r="J184" s="2674">
        <v>0.47</v>
      </c>
      <c r="K184" s="2674">
        <v>0.45</v>
      </c>
      <c r="L184" s="2674">
        <v>0.42</v>
      </c>
      <c r="M184" s="2674">
        <v>0.38</v>
      </c>
      <c r="N184" s="2674">
        <v>0.35</v>
      </c>
      <c r="O184" s="2674">
        <v>0.35</v>
      </c>
      <c r="P184" s="419"/>
    </row>
    <row r="185" spans="1:37" ht="15.75">
      <c r="A185" s="410"/>
      <c r="B185" s="152"/>
      <c r="C185" s="413"/>
      <c r="D185" s="414"/>
      <c r="E185" s="218" t="s">
        <v>954</v>
      </c>
      <c r="F185" s="2674">
        <f>100%-F184</f>
        <v>0.504</v>
      </c>
      <c r="G185" s="2674">
        <f t="shared" ref="G185:O185" si="39">100%-G184</f>
        <v>0.504</v>
      </c>
      <c r="H185" s="2674">
        <f t="shared" si="39"/>
        <v>0.50733333333333319</v>
      </c>
      <c r="I185" s="2674">
        <f t="shared" si="39"/>
        <v>0.52</v>
      </c>
      <c r="J185" s="2674">
        <f t="shared" si="39"/>
        <v>0.53</v>
      </c>
      <c r="K185" s="2674">
        <f t="shared" si="39"/>
        <v>0.55000000000000004</v>
      </c>
      <c r="L185" s="2674">
        <f t="shared" si="39"/>
        <v>0.58000000000000007</v>
      </c>
      <c r="M185" s="2674">
        <f t="shared" si="39"/>
        <v>0.62</v>
      </c>
      <c r="N185" s="2674">
        <f t="shared" si="39"/>
        <v>0.65</v>
      </c>
      <c r="O185" s="2674">
        <f t="shared" si="39"/>
        <v>0.65</v>
      </c>
      <c r="P185" s="419"/>
    </row>
    <row r="186" spans="1:37" ht="15.75">
      <c r="A186" s="410"/>
      <c r="B186" s="152"/>
      <c r="C186" s="413" t="s">
        <v>970</v>
      </c>
      <c r="D186" s="414"/>
      <c r="E186" s="218" t="s">
        <v>970</v>
      </c>
      <c r="F186" s="2674"/>
      <c r="G186" s="2674"/>
      <c r="H186" s="2674"/>
      <c r="I186" s="2674"/>
      <c r="J186" s="2674"/>
      <c r="K186" s="2674"/>
      <c r="L186" s="2674"/>
      <c r="M186" s="2674"/>
      <c r="N186" s="2674"/>
      <c r="O186" s="2674"/>
      <c r="P186" s="419"/>
    </row>
    <row r="187" spans="1:37" ht="15.75">
      <c r="A187" s="876"/>
      <c r="B187" s="152"/>
      <c r="C187" s="111"/>
      <c r="D187" s="112"/>
      <c r="E187" s="112"/>
      <c r="F187" s="847"/>
      <c r="G187" s="847"/>
      <c r="H187" s="847"/>
      <c r="I187" s="847"/>
      <c r="J187" s="847"/>
      <c r="K187" s="847"/>
      <c r="L187" s="847"/>
      <c r="M187" s="847"/>
      <c r="N187" s="847"/>
      <c r="O187" s="847"/>
      <c r="P187" s="419"/>
    </row>
    <row r="188" spans="1:37" ht="15.75">
      <c r="A188" s="410"/>
      <c r="B188" s="152"/>
      <c r="C188" s="126"/>
      <c r="D188" s="414"/>
      <c r="E188" s="218"/>
      <c r="F188" s="843"/>
      <c r="G188" s="843"/>
      <c r="H188" s="843"/>
      <c r="I188" s="843"/>
      <c r="J188" s="843"/>
      <c r="K188" s="843"/>
      <c r="L188" s="843"/>
      <c r="M188" s="843"/>
      <c r="N188" s="843"/>
      <c r="O188" s="875"/>
      <c r="P188" s="419"/>
    </row>
    <row r="189" spans="1:37" ht="15.75">
      <c r="A189" s="410"/>
      <c r="B189" s="152"/>
      <c r="C189" s="126"/>
      <c r="D189" s="414"/>
      <c r="E189" s="218"/>
      <c r="F189" s="843"/>
      <c r="G189" s="843"/>
      <c r="H189" s="843"/>
      <c r="I189" s="843"/>
      <c r="J189" s="843"/>
      <c r="K189" s="843"/>
      <c r="L189" s="843"/>
      <c r="M189" s="843"/>
      <c r="N189" s="843"/>
      <c r="O189" s="875"/>
      <c r="P189" s="419"/>
    </row>
    <row r="190" spans="1:37" ht="15.75">
      <c r="A190" s="410"/>
      <c r="B190" s="152"/>
      <c r="C190" s="455" t="s">
        <v>1956</v>
      </c>
      <c r="D190" s="414"/>
      <c r="E190" s="218"/>
      <c r="F190" s="843"/>
      <c r="G190" s="843"/>
      <c r="H190" s="843"/>
      <c r="I190" s="843"/>
      <c r="J190" s="843"/>
      <c r="K190" s="843"/>
      <c r="L190" s="843"/>
      <c r="M190" s="843"/>
      <c r="N190" s="843"/>
      <c r="O190" s="889" t="str">
        <f>"litres of fuel/vehicle-passenger km"</f>
        <v>litres of fuel/vehicle-passenger km</v>
      </c>
      <c r="P190" s="419"/>
    </row>
    <row r="191" spans="1:37" ht="15.75">
      <c r="A191" s="410"/>
      <c r="B191" s="152"/>
      <c r="C191" s="61" t="s">
        <v>840</v>
      </c>
      <c r="D191" s="61" t="s">
        <v>1029</v>
      </c>
      <c r="E191" s="61" t="s">
        <v>275</v>
      </c>
      <c r="F191" s="119">
        <v>2007</v>
      </c>
      <c r="G191" s="120">
        <f>F191+5</f>
        <v>2012</v>
      </c>
      <c r="H191" s="120">
        <f t="shared" ref="H191" si="40">G191+5</f>
        <v>2017</v>
      </c>
      <c r="I191" s="120">
        <f t="shared" ref="I191" si="41">H191+5</f>
        <v>2022</v>
      </c>
      <c r="J191" s="120">
        <f t="shared" ref="J191" si="42">I191+5</f>
        <v>2027</v>
      </c>
      <c r="K191" s="120">
        <f t="shared" ref="K191" si="43">J191+5</f>
        <v>2032</v>
      </c>
      <c r="L191" s="120">
        <f t="shared" ref="L191" si="44">K191+5</f>
        <v>2037</v>
      </c>
      <c r="M191" s="120">
        <f t="shared" ref="M191" si="45">L191+5</f>
        <v>2042</v>
      </c>
      <c r="N191" s="120">
        <f t="shared" ref="N191" si="46">M191+5</f>
        <v>2047</v>
      </c>
      <c r="O191" s="120">
        <f t="shared" ref="O191" si="47">N191+5</f>
        <v>2052</v>
      </c>
      <c r="P191" s="419"/>
    </row>
    <row r="192" spans="1:37" ht="15.75">
      <c r="A192" s="410"/>
      <c r="B192" s="152"/>
      <c r="C192" s="413" t="s">
        <v>955</v>
      </c>
      <c r="D192" s="414" t="s">
        <v>1021</v>
      </c>
      <c r="E192" s="218" t="s">
        <v>953</v>
      </c>
      <c r="F192" s="2678">
        <v>4.2059980055157466E-3</v>
      </c>
      <c r="G192" s="2678">
        <v>4.2059980055157466E-3</v>
      </c>
      <c r="H192" s="2679">
        <v>4.1850309585422128E-3</v>
      </c>
      <c r="I192" s="2680">
        <v>4.1641684330302247E-3</v>
      </c>
      <c r="J192" s="2680">
        <v>4.1434099079366441E-3</v>
      </c>
      <c r="K192" s="2680">
        <v>4.1227548648157522E-3</v>
      </c>
      <c r="L192" s="2680">
        <v>4.1022027878063021E-3</v>
      </c>
      <c r="M192" s="2680">
        <v>4.0817531636186295E-3</v>
      </c>
      <c r="N192" s="2680">
        <v>4.0614054815218412E-3</v>
      </c>
      <c r="O192" s="2680">
        <v>4.0411592333310532E-3</v>
      </c>
      <c r="P192" s="419"/>
      <c r="S192" s="3079"/>
      <c r="T192" s="3079"/>
      <c r="U192" s="3079"/>
      <c r="V192" s="3079"/>
      <c r="W192" s="3079"/>
      <c r="X192" s="3079"/>
      <c r="Y192" s="3079"/>
      <c r="Z192" s="3079"/>
      <c r="AA192" s="3079"/>
      <c r="AD192" s="15"/>
      <c r="AE192" s="15"/>
      <c r="AF192" s="15"/>
      <c r="AG192" s="15"/>
      <c r="AH192" s="15"/>
      <c r="AI192" s="15"/>
      <c r="AJ192" s="15"/>
      <c r="AK192" s="15"/>
    </row>
    <row r="193" spans="1:37" ht="15.75">
      <c r="A193" s="410"/>
      <c r="B193" s="152"/>
      <c r="C193" s="413"/>
      <c r="D193" s="414"/>
      <c r="E193" s="218" t="s">
        <v>1030</v>
      </c>
      <c r="F193" s="2678">
        <v>6.3428634857206284E-3</v>
      </c>
      <c r="G193" s="2678">
        <v>6.3428634857206284E-3</v>
      </c>
      <c r="H193" s="2679">
        <v>6.3112440896872955E-3</v>
      </c>
      <c r="I193" s="2680">
        <v>6.2797823174476587E-3</v>
      </c>
      <c r="J193" s="2680">
        <v>6.2484773832415987E-3</v>
      </c>
      <c r="K193" s="2680">
        <v>6.2173285052260418E-3</v>
      </c>
      <c r="L193" s="2680">
        <v>6.1863349054554267E-3</v>
      </c>
      <c r="M193" s="2680">
        <v>6.1554958098622783E-3</v>
      </c>
      <c r="N193" s="2680">
        <v>6.1248104482378753E-3</v>
      </c>
      <c r="O193" s="2680">
        <v>6.0942780542130141E-3</v>
      </c>
      <c r="P193" s="419"/>
      <c r="S193" s="3079"/>
      <c r="T193" s="3079"/>
      <c r="U193" s="3079"/>
      <c r="V193" s="3079"/>
      <c r="W193" s="3079"/>
      <c r="X193" s="3079"/>
      <c r="Y193" s="3079"/>
      <c r="Z193" s="3079"/>
      <c r="AA193" s="3079"/>
      <c r="AF193" s="15"/>
      <c r="AG193" s="15"/>
      <c r="AH193" s="15"/>
      <c r="AI193" s="15"/>
      <c r="AJ193" s="15"/>
      <c r="AK193" s="15"/>
    </row>
    <row r="194" spans="1:37" ht="15.75">
      <c r="A194" s="218" t="s">
        <v>1950</v>
      </c>
      <c r="B194" s="152"/>
      <c r="C194" s="413"/>
      <c r="D194" s="414"/>
      <c r="E194" s="218" t="s">
        <v>2384</v>
      </c>
      <c r="F194" s="2678">
        <v>2.8906278906278911E-3</v>
      </c>
      <c r="G194" s="2678">
        <v>2.8906278906278911E-3</v>
      </c>
      <c r="H194" s="2679">
        <v>2.8762180096231168E-3</v>
      </c>
      <c r="I194" s="2680">
        <v>2.8618799623784906E-3</v>
      </c>
      <c r="J194" s="2680">
        <v>2.8476133908002083E-3</v>
      </c>
      <c r="K194" s="2680">
        <v>2.8334179385795769E-3</v>
      </c>
      <c r="L194" s="2680">
        <v>2.8192932511841148E-3</v>
      </c>
      <c r="M194" s="2680">
        <v>2.8052389758486959E-3</v>
      </c>
      <c r="N194" s="2680">
        <v>2.7912547615667415E-3</v>
      </c>
      <c r="O194" s="2680">
        <v>2.777340259081453E-3</v>
      </c>
      <c r="P194" s="419"/>
      <c r="S194" s="3079"/>
      <c r="T194" s="3079"/>
      <c r="U194" s="3079"/>
      <c r="V194" s="3079"/>
      <c r="W194" s="3079"/>
      <c r="X194" s="3079"/>
      <c r="Y194" s="3079"/>
      <c r="Z194" s="3079"/>
      <c r="AA194" s="3079"/>
      <c r="AF194" s="15"/>
      <c r="AG194" s="15"/>
      <c r="AH194" s="15"/>
      <c r="AI194" s="15"/>
      <c r="AJ194" s="15"/>
      <c r="AK194" s="15"/>
    </row>
    <row r="195" spans="1:37" ht="15.75">
      <c r="A195" s="410"/>
      <c r="B195" s="152"/>
      <c r="C195" s="413"/>
      <c r="D195" s="414" t="s">
        <v>1022</v>
      </c>
      <c r="E195" s="218" t="s">
        <v>953</v>
      </c>
      <c r="F195" s="2678">
        <v>1.4271442842871416E-2</v>
      </c>
      <c r="G195" s="2678">
        <v>1.4271442842871416E-2</v>
      </c>
      <c r="H195" s="2679">
        <v>1.4200299201796416E-2</v>
      </c>
      <c r="I195" s="2680">
        <v>1.412951021425723E-2</v>
      </c>
      <c r="J195" s="2680">
        <v>1.4059074112293599E-2</v>
      </c>
      <c r="K195" s="2680">
        <v>1.3988989136758593E-2</v>
      </c>
      <c r="L195" s="2680">
        <v>1.391925353727471E-2</v>
      </c>
      <c r="M195" s="2680">
        <v>1.3849865572190126E-2</v>
      </c>
      <c r="N195" s="2680">
        <v>1.3780823508535218E-2</v>
      </c>
      <c r="O195" s="2680">
        <v>1.3712125621979279E-2</v>
      </c>
      <c r="P195" s="419"/>
      <c r="S195" s="3079"/>
      <c r="T195" s="3079"/>
      <c r="U195" s="3079"/>
      <c r="V195" s="3079"/>
      <c r="W195" s="3079"/>
      <c r="X195" s="3079"/>
      <c r="Y195" s="3079"/>
      <c r="Z195" s="3079"/>
      <c r="AA195" s="3079"/>
      <c r="AF195" s="15"/>
      <c r="AG195" s="15"/>
      <c r="AH195" s="15"/>
      <c r="AI195" s="15"/>
      <c r="AJ195" s="15"/>
      <c r="AK195" s="15"/>
    </row>
    <row r="196" spans="1:37" ht="15.75">
      <c r="A196" s="410"/>
      <c r="B196" s="152"/>
      <c r="C196" s="413"/>
      <c r="D196" s="414"/>
      <c r="E196" s="218" t="s">
        <v>1030</v>
      </c>
      <c r="F196" s="2678">
        <v>1.4271442842871416E-2</v>
      </c>
      <c r="G196" s="2678">
        <v>1.4271442842871416E-2</v>
      </c>
      <c r="H196" s="2679">
        <v>1.4200299201796416E-2</v>
      </c>
      <c r="I196" s="2680">
        <v>1.412951021425723E-2</v>
      </c>
      <c r="J196" s="2680">
        <v>1.4059074112293599E-2</v>
      </c>
      <c r="K196" s="2680">
        <v>1.3988989136758593E-2</v>
      </c>
      <c r="L196" s="2680">
        <v>1.391925353727471E-2</v>
      </c>
      <c r="M196" s="2680">
        <v>1.3849865572190126E-2</v>
      </c>
      <c r="N196" s="2680">
        <v>1.3780823508535218E-2</v>
      </c>
      <c r="O196" s="2680">
        <v>1.3712125621979279E-2</v>
      </c>
      <c r="P196" s="419"/>
      <c r="S196" s="3079"/>
      <c r="T196" s="3079"/>
      <c r="U196" s="3079"/>
      <c r="V196" s="3079"/>
      <c r="W196" s="3079"/>
      <c r="X196" s="3079"/>
      <c r="Y196" s="3079"/>
      <c r="Z196" s="3079"/>
      <c r="AA196" s="3079"/>
      <c r="AF196" s="15"/>
      <c r="AG196" s="15"/>
      <c r="AH196" s="15"/>
      <c r="AI196" s="15"/>
      <c r="AJ196" s="15"/>
      <c r="AK196" s="15"/>
    </row>
    <row r="197" spans="1:37" ht="15.75">
      <c r="A197" s="410"/>
      <c r="B197" s="152"/>
      <c r="C197" s="413"/>
      <c r="D197" s="414" t="s">
        <v>1023</v>
      </c>
      <c r="E197" s="218" t="s">
        <v>1031</v>
      </c>
      <c r="F197" s="2678">
        <v>2.3125023125023129E-2</v>
      </c>
      <c r="G197" s="3367">
        <v>2.3125023125023129E-2</v>
      </c>
      <c r="H197" s="3368">
        <v>2.3009744076984934E-2</v>
      </c>
      <c r="I197" s="3369">
        <v>2.1645327515947121E-2</v>
      </c>
      <c r="J197" s="3369">
        <v>1.9684398187425119E-2</v>
      </c>
      <c r="K197" s="3369">
        <v>1.8646060929236482E-2</v>
      </c>
      <c r="L197" s="3369">
        <v>1.7731305494069011E-2</v>
      </c>
      <c r="M197" s="3369">
        <v>1.7521433641637635E-2</v>
      </c>
      <c r="N197" s="3369">
        <v>1.7350480883331618E-2</v>
      </c>
      <c r="O197" s="3369">
        <v>1.5977040598998484E-2</v>
      </c>
      <c r="P197" s="419"/>
      <c r="S197" s="3079"/>
      <c r="T197" s="3079"/>
      <c r="U197" s="3079"/>
      <c r="V197" s="3079"/>
      <c r="W197" s="3079"/>
      <c r="X197" s="3079"/>
      <c r="Y197" s="3079"/>
      <c r="Z197" s="3079"/>
      <c r="AA197" s="3079"/>
      <c r="AD197" s="15"/>
      <c r="AE197" s="15"/>
    </row>
    <row r="198" spans="1:37" ht="15.75">
      <c r="A198" s="410"/>
      <c r="B198" s="152"/>
      <c r="C198" s="413"/>
      <c r="D198" s="414"/>
      <c r="E198" s="218" t="s">
        <v>953</v>
      </c>
      <c r="F198" s="2678">
        <v>2.7750027750027755E-2</v>
      </c>
      <c r="G198" s="3367">
        <v>2.7750027750027755E-2</v>
      </c>
      <c r="H198" s="3368">
        <v>2.7611692892381922E-2</v>
      </c>
      <c r="I198" s="3369">
        <v>2.6154525669173451E-2</v>
      </c>
      <c r="J198" s="3369">
        <v>2.4127565469833575E-2</v>
      </c>
      <c r="K198" s="3369">
        <v>2.2990838758226776E-2</v>
      </c>
      <c r="L198" s="3369">
        <v>2.1592721173017422E-2</v>
      </c>
      <c r="M198" s="3369">
        <v>2.112521194403167E-2</v>
      </c>
      <c r="N198" s="3369">
        <v>2.0776372297272305E-2</v>
      </c>
      <c r="O198" s="3369">
        <v>1.9328636437293913E-2</v>
      </c>
      <c r="P198" s="419"/>
      <c r="S198" s="3079"/>
      <c r="T198" s="3079"/>
      <c r="U198" s="3079"/>
      <c r="V198" s="3079"/>
      <c r="W198" s="3079"/>
      <c r="X198" s="3079"/>
      <c r="Y198" s="3079"/>
      <c r="Z198" s="3079"/>
      <c r="AA198" s="3079"/>
      <c r="AD198" s="15"/>
      <c r="AE198" s="15"/>
    </row>
    <row r="199" spans="1:37" ht="15.75">
      <c r="A199" s="410"/>
      <c r="B199" s="152"/>
      <c r="C199" s="413"/>
      <c r="D199" s="414"/>
      <c r="E199" s="218" t="s">
        <v>1030</v>
      </c>
      <c r="F199" s="2678">
        <v>2.3125023125023129E-2</v>
      </c>
      <c r="G199" s="3367">
        <v>2.3125023125023129E-2</v>
      </c>
      <c r="H199" s="3368">
        <v>2.3009744076984934E-2</v>
      </c>
      <c r="I199" s="3369">
        <v>2.165438726447378E-2</v>
      </c>
      <c r="J199" s="3369">
        <v>1.9305093817137103E-2</v>
      </c>
      <c r="K199" s="3369">
        <v>1.8224748766344469E-2</v>
      </c>
      <c r="L199" s="3369">
        <v>1.7365400744040825E-2</v>
      </c>
      <c r="M199" s="3369">
        <v>1.7170046269265708E-2</v>
      </c>
      <c r="N199" s="3369">
        <v>1.7006069986573107E-2</v>
      </c>
      <c r="O199" s="3369">
        <v>1.5547315129777988E-2</v>
      </c>
      <c r="P199" s="419"/>
      <c r="S199" s="3079"/>
      <c r="T199" s="3079"/>
      <c r="U199" s="3079"/>
      <c r="V199" s="3079"/>
      <c r="W199" s="3079"/>
      <c r="X199" s="3079"/>
      <c r="Y199" s="3079"/>
      <c r="Z199" s="3079"/>
      <c r="AA199" s="3079"/>
      <c r="AD199" s="15"/>
      <c r="AE199" s="15"/>
    </row>
    <row r="200" spans="1:37" ht="15.75">
      <c r="A200" s="410"/>
      <c r="B200" s="152"/>
      <c r="C200" s="413"/>
      <c r="D200" s="414"/>
      <c r="E200" s="218" t="s">
        <v>918</v>
      </c>
      <c r="F200" s="2678">
        <v>2.3125023125023129E-2</v>
      </c>
      <c r="G200" s="3367">
        <v>2.3125023125023129E-2</v>
      </c>
      <c r="H200" s="3368">
        <v>2.3009744076984934E-2</v>
      </c>
      <c r="I200" s="3369">
        <v>2.165438726447378E-2</v>
      </c>
      <c r="J200" s="3369">
        <v>2.1440410684823642E-2</v>
      </c>
      <c r="K200" s="3369">
        <v>2.0843958787250181E-2</v>
      </c>
      <c r="L200" s="3369">
        <v>1.7473843279528081E-2</v>
      </c>
      <c r="M200" s="3369">
        <v>1.7259368165795385E-2</v>
      </c>
      <c r="N200" s="3369">
        <v>1.7081736986720115E-2</v>
      </c>
      <c r="O200" s="3369">
        <v>1.5943463689892173E-2</v>
      </c>
      <c r="P200" s="419"/>
      <c r="S200" s="3079"/>
      <c r="T200" s="3079"/>
      <c r="U200" s="3079"/>
      <c r="V200" s="3079"/>
      <c r="W200" s="3079"/>
      <c r="X200" s="3079"/>
      <c r="Y200" s="3079"/>
      <c r="Z200" s="3079"/>
      <c r="AA200" s="3079"/>
      <c r="AD200" s="15"/>
      <c r="AE200" s="15"/>
    </row>
    <row r="201" spans="1:37" ht="15.75">
      <c r="A201" s="218" t="s">
        <v>1950</v>
      </c>
      <c r="B201" s="152"/>
      <c r="C201" s="413"/>
      <c r="D201" s="414"/>
      <c r="E201" s="218" t="s">
        <v>954</v>
      </c>
      <c r="F201" s="2678">
        <v>2.8906278906278911E-3</v>
      </c>
      <c r="G201" s="3367">
        <v>2.8906278906278911E-3</v>
      </c>
      <c r="H201" s="3368">
        <v>2.8762180096231168E-3</v>
      </c>
      <c r="I201" s="3369">
        <v>2.861879962378491E-3</v>
      </c>
      <c r="J201" s="3369">
        <v>2.8476133908002083E-3</v>
      </c>
      <c r="K201" s="3369">
        <v>2.8334179385795769E-3</v>
      </c>
      <c r="L201" s="3369">
        <v>2.8192932511841144E-3</v>
      </c>
      <c r="M201" s="3369">
        <v>2.8052389758486959E-3</v>
      </c>
      <c r="N201" s="3369">
        <v>2.7912547615667415E-3</v>
      </c>
      <c r="O201" s="3369">
        <v>2.777340259081453E-3</v>
      </c>
      <c r="P201" s="419"/>
      <c r="S201" s="3079"/>
      <c r="T201" s="3079"/>
      <c r="U201" s="3079"/>
      <c r="V201" s="3079"/>
      <c r="W201" s="3079"/>
      <c r="X201" s="3079"/>
      <c r="Y201" s="3079"/>
      <c r="Z201" s="3079"/>
      <c r="AA201" s="3079"/>
      <c r="AD201" s="15"/>
    </row>
    <row r="202" spans="1:37" ht="15.75">
      <c r="A202" s="218"/>
      <c r="B202" s="152"/>
      <c r="C202" s="413"/>
      <c r="D202" s="414" t="s">
        <v>1951</v>
      </c>
      <c r="E202" s="218" t="s">
        <v>1031</v>
      </c>
      <c r="F202" s="2678">
        <v>1.5609390609390612E-2</v>
      </c>
      <c r="G202" s="2678">
        <v>1.5609390609390612E-2</v>
      </c>
      <c r="H202" s="2679">
        <v>1.5531577251964834E-2</v>
      </c>
      <c r="I202" s="2680">
        <v>1.5454151796843849E-2</v>
      </c>
      <c r="J202" s="2680">
        <v>1.5377112310321125E-2</v>
      </c>
      <c r="K202" s="2680">
        <v>1.5300456868329718E-2</v>
      </c>
      <c r="L202" s="2680">
        <v>1.5224183556394221E-2</v>
      </c>
      <c r="M202" s="2680">
        <v>1.5148290469582961E-2</v>
      </c>
      <c r="N202" s="2680">
        <v>1.5072775712460403E-2</v>
      </c>
      <c r="O202" s="2680">
        <v>1.4997637399039847E-2</v>
      </c>
      <c r="P202" s="419"/>
      <c r="S202" s="3079"/>
      <c r="T202" s="3079"/>
      <c r="U202" s="3079"/>
      <c r="V202" s="3079"/>
      <c r="W202" s="3079"/>
      <c r="X202" s="3079"/>
      <c r="Y202" s="3079"/>
      <c r="Z202" s="3079"/>
      <c r="AA202" s="3079"/>
      <c r="AD202" s="15"/>
      <c r="AE202" s="15"/>
    </row>
    <row r="203" spans="1:37" ht="15.75">
      <c r="A203" s="218"/>
      <c r="B203" s="152"/>
      <c r="C203" s="413"/>
      <c r="D203" s="414" t="s">
        <v>1952</v>
      </c>
      <c r="E203" s="218" t="s">
        <v>1031</v>
      </c>
      <c r="F203" s="2678">
        <v>1.1352284079556808E-2</v>
      </c>
      <c r="G203" s="2678">
        <v>1.1352284079556808E-2</v>
      </c>
      <c r="H203" s="2679">
        <v>1.1295692546883512E-2</v>
      </c>
      <c r="I203" s="2680">
        <v>1.1239383124977345E-2</v>
      </c>
      <c r="J203" s="2680">
        <v>1.1183354407506273E-2</v>
      </c>
      <c r="K203" s="2680">
        <v>1.1127604995148883E-2</v>
      </c>
      <c r="L203" s="2680">
        <v>1.1072133495559426E-2</v>
      </c>
      <c r="M203" s="2680">
        <v>1.1016938523333053E-2</v>
      </c>
      <c r="N203" s="2680">
        <v>1.0962018699971196E-2</v>
      </c>
      <c r="O203" s="2680">
        <v>1.0907372653847152E-2</v>
      </c>
      <c r="P203" s="419"/>
      <c r="S203" s="3079"/>
      <c r="T203" s="3079"/>
      <c r="U203" s="3079"/>
      <c r="V203" s="3079"/>
      <c r="W203" s="3079"/>
      <c r="X203" s="3079"/>
      <c r="Y203" s="3079"/>
      <c r="Z203" s="3079"/>
      <c r="AA203" s="3079"/>
    </row>
    <row r="204" spans="1:37" ht="15.75">
      <c r="A204" s="218"/>
      <c r="B204" s="152"/>
      <c r="C204" s="413"/>
      <c r="D204" s="414" t="s">
        <v>1953</v>
      </c>
      <c r="E204" s="218" t="s">
        <v>1031</v>
      </c>
      <c r="F204" s="2678">
        <v>1.2487512487512488E-2</v>
      </c>
      <c r="G204" s="2678">
        <v>1.2487512487512488E-2</v>
      </c>
      <c r="H204" s="2679">
        <v>1.2425261801571863E-2</v>
      </c>
      <c r="I204" s="2680">
        <v>1.2363321437475072E-2</v>
      </c>
      <c r="J204" s="2680">
        <v>1.2301689848256891E-2</v>
      </c>
      <c r="K204" s="2680">
        <v>1.2240365494663764E-2</v>
      </c>
      <c r="L204" s="2680">
        <v>1.2179346845115364E-2</v>
      </c>
      <c r="M204" s="2680">
        <v>1.2118632375666351E-2</v>
      </c>
      <c r="N204" s="2680">
        <v>1.205822056996831E-2</v>
      </c>
      <c r="O204" s="2680">
        <v>1.1998109919231862E-2</v>
      </c>
      <c r="P204" s="419"/>
      <c r="S204" s="3079"/>
      <c r="T204" s="3079"/>
      <c r="U204" s="3079"/>
      <c r="V204" s="3079"/>
      <c r="W204" s="3079"/>
      <c r="X204" s="3079"/>
      <c r="Y204" s="3079"/>
      <c r="Z204" s="3079"/>
      <c r="AA204" s="3079"/>
    </row>
    <row r="205" spans="1:37" ht="15.75">
      <c r="A205" s="218" t="s">
        <v>1950</v>
      </c>
      <c r="B205" s="152"/>
      <c r="C205" s="413"/>
      <c r="D205" s="414" t="s">
        <v>1954</v>
      </c>
      <c r="E205" s="218" t="s">
        <v>954</v>
      </c>
      <c r="F205" s="2678">
        <v>9.2913039341610787E-4</v>
      </c>
      <c r="G205" s="2678">
        <v>9.2913039341610787E-4</v>
      </c>
      <c r="H205" s="2679">
        <v>9.2449864595028756E-4</v>
      </c>
      <c r="I205" s="2680">
        <v>9.1988998790737213E-4</v>
      </c>
      <c r="J205" s="2680">
        <v>9.153043041857812E-4</v>
      </c>
      <c r="K205" s="2680">
        <v>9.1074148025772114E-4</v>
      </c>
      <c r="L205" s="2680">
        <v>9.062014021663222E-4</v>
      </c>
      <c r="M205" s="2680">
        <v>9.0168395652279469E-4</v>
      </c>
      <c r="N205" s="2680">
        <v>8.9718903050359494E-4</v>
      </c>
      <c r="O205" s="2680">
        <v>8.9271651184760932E-4</v>
      </c>
      <c r="P205" s="419"/>
      <c r="S205" s="3079"/>
      <c r="T205" s="3079"/>
      <c r="U205" s="3079"/>
      <c r="V205" s="3079"/>
      <c r="W205" s="3079"/>
      <c r="X205" s="3079"/>
      <c r="Y205" s="3079"/>
      <c r="Z205" s="3079"/>
      <c r="AA205" s="3079"/>
    </row>
    <row r="206" spans="1:37" ht="15.75">
      <c r="A206" s="218"/>
      <c r="B206" s="152"/>
      <c r="C206" s="413"/>
      <c r="D206" s="414" t="s">
        <v>1025</v>
      </c>
      <c r="E206" s="218" t="s">
        <v>1030</v>
      </c>
      <c r="F206" s="2678">
        <v>1.6217548685081153E-2</v>
      </c>
      <c r="G206" s="2678">
        <v>1.6217548685081153E-2</v>
      </c>
      <c r="H206" s="2679">
        <v>1.6136703638405022E-2</v>
      </c>
      <c r="I206" s="2680">
        <v>1.6056261607110489E-2</v>
      </c>
      <c r="J206" s="2680">
        <v>1.5976220582151816E-2</v>
      </c>
      <c r="K206" s="2680">
        <v>1.5896578564498401E-2</v>
      </c>
      <c r="L206" s="2680">
        <v>1.5817333565084898E-2</v>
      </c>
      <c r="M206" s="2680">
        <v>1.5738483604761509E-2</v>
      </c>
      <c r="N206" s="2680">
        <v>1.5660026714244567E-2</v>
      </c>
      <c r="O206" s="2680">
        <v>1.5581960934067367E-2</v>
      </c>
      <c r="P206" s="419"/>
      <c r="S206" s="3079"/>
      <c r="T206" s="3079"/>
      <c r="U206" s="3079"/>
      <c r="V206" s="3079"/>
      <c r="W206" s="3079"/>
      <c r="X206" s="3079"/>
      <c r="Y206" s="3079"/>
      <c r="Z206" s="3079"/>
      <c r="AA206" s="3079"/>
      <c r="AD206" s="15"/>
      <c r="AE206" s="15"/>
    </row>
    <row r="207" spans="1:37" ht="15.75">
      <c r="A207" s="218"/>
      <c r="B207" s="152"/>
      <c r="C207" s="413"/>
      <c r="D207" s="414"/>
      <c r="E207" s="218" t="s">
        <v>918</v>
      </c>
      <c r="F207" s="2678">
        <v>1.8920473465928012E-2</v>
      </c>
      <c r="G207" s="2678">
        <v>1.8920473465928012E-2</v>
      </c>
      <c r="H207" s="2679">
        <v>1.8826154244805854E-2</v>
      </c>
      <c r="I207" s="2680">
        <v>1.8732305208295569E-2</v>
      </c>
      <c r="J207" s="2680">
        <v>1.8638924012510452E-2</v>
      </c>
      <c r="K207" s="2680">
        <v>1.854600832524814E-2</v>
      </c>
      <c r="L207" s="2680">
        <v>1.8453555825932385E-2</v>
      </c>
      <c r="M207" s="2680">
        <v>1.8361564205555094E-2</v>
      </c>
      <c r="N207" s="2680">
        <v>1.8270031166618666E-2</v>
      </c>
      <c r="O207" s="2680">
        <v>1.8178954423078597E-2</v>
      </c>
      <c r="P207" s="419"/>
      <c r="S207" s="3079"/>
      <c r="T207" s="3079"/>
      <c r="U207" s="3079"/>
      <c r="V207" s="3079"/>
      <c r="W207" s="3079"/>
      <c r="X207" s="3079"/>
      <c r="Y207" s="3079"/>
      <c r="Z207" s="3079"/>
      <c r="AA207" s="3079"/>
      <c r="AD207" s="15"/>
      <c r="AE207" s="15"/>
    </row>
    <row r="208" spans="1:37" ht="15.75">
      <c r="A208" s="218"/>
      <c r="B208" s="152"/>
      <c r="C208" s="413"/>
      <c r="D208" s="414"/>
      <c r="E208" s="218" t="s">
        <v>1031</v>
      </c>
      <c r="F208" s="2678">
        <v>1.6217548685081153E-2</v>
      </c>
      <c r="G208" s="2678">
        <v>1.6217548685081153E-2</v>
      </c>
      <c r="H208" s="2679">
        <v>1.6136703638405022E-2</v>
      </c>
      <c r="I208" s="2680">
        <v>1.6056261607110489E-2</v>
      </c>
      <c r="J208" s="2680">
        <v>1.5976220582151816E-2</v>
      </c>
      <c r="K208" s="2680">
        <v>1.5896578564498401E-2</v>
      </c>
      <c r="L208" s="2680">
        <v>1.5817333565084898E-2</v>
      </c>
      <c r="M208" s="2680">
        <v>1.5738483604761509E-2</v>
      </c>
      <c r="N208" s="2680">
        <v>1.5660026714244567E-2</v>
      </c>
      <c r="O208" s="2680">
        <v>1.5581960934067367E-2</v>
      </c>
      <c r="P208" s="419"/>
      <c r="S208" s="3079"/>
      <c r="T208" s="3079"/>
      <c r="U208" s="3079"/>
      <c r="V208" s="3079"/>
      <c r="W208" s="3079"/>
      <c r="X208" s="3079"/>
      <c r="Y208" s="3079"/>
      <c r="Z208" s="3079"/>
      <c r="AA208" s="3079"/>
    </row>
    <row r="209" spans="1:27" ht="15.75">
      <c r="A209" s="218"/>
      <c r="B209" s="152"/>
      <c r="C209" s="413"/>
      <c r="D209" s="414"/>
      <c r="E209" s="218" t="s">
        <v>953</v>
      </c>
      <c r="F209" s="2678">
        <v>2.0271935856351442E-2</v>
      </c>
      <c r="G209" s="2678">
        <v>2.0271935856351442E-2</v>
      </c>
      <c r="H209" s="2679">
        <v>2.0170879548006272E-2</v>
      </c>
      <c r="I209" s="2680">
        <v>2.0070327008888111E-2</v>
      </c>
      <c r="J209" s="2680">
        <v>1.9970275727689769E-2</v>
      </c>
      <c r="K209" s="2680">
        <v>1.9870723205623001E-2</v>
      </c>
      <c r="L209" s="2680">
        <v>1.9771666956356123E-2</v>
      </c>
      <c r="M209" s="2680">
        <v>1.9673104505951881E-2</v>
      </c>
      <c r="N209" s="2680">
        <v>1.957503339280571E-2</v>
      </c>
      <c r="O209" s="2680">
        <v>1.9477451167584203E-2</v>
      </c>
      <c r="P209" s="419"/>
      <c r="S209" s="3079"/>
      <c r="T209" s="3079"/>
      <c r="U209" s="3079"/>
      <c r="V209" s="3079"/>
      <c r="W209" s="3079"/>
      <c r="X209" s="3079"/>
      <c r="Y209" s="3079"/>
      <c r="Z209" s="3079"/>
      <c r="AA209" s="3079"/>
    </row>
    <row r="210" spans="1:27" ht="15.75">
      <c r="A210" s="218"/>
      <c r="B210" s="152"/>
      <c r="C210" s="413"/>
      <c r="D210" s="414" t="s">
        <v>1026</v>
      </c>
      <c r="E210" s="218" t="s">
        <v>1030</v>
      </c>
      <c r="F210" s="2678">
        <v>3.2019262788493562E-2</v>
      </c>
      <c r="G210" s="2678">
        <v>3.2019262788493562E-2</v>
      </c>
      <c r="H210" s="2679">
        <v>3.1859645645056063E-2</v>
      </c>
      <c r="I210" s="2680">
        <v>3.1700824198654047E-2</v>
      </c>
      <c r="J210" s="2680">
        <v>3.1542794482709996E-2</v>
      </c>
      <c r="K210" s="2680">
        <v>3.1385552550419929E-2</v>
      </c>
      <c r="L210" s="2680">
        <v>3.1229094474654811E-2</v>
      </c>
      <c r="M210" s="2680">
        <v>3.1073416347862478E-2</v>
      </c>
      <c r="N210" s="2680">
        <v>3.0918514281970056E-2</v>
      </c>
      <c r="O210" s="2680">
        <v>3.0764384408286861E-2</v>
      </c>
      <c r="P210" s="419"/>
      <c r="S210" s="3079"/>
      <c r="T210" s="3079"/>
      <c r="U210" s="3079"/>
      <c r="V210" s="3079"/>
      <c r="W210" s="3079"/>
      <c r="X210" s="3079"/>
      <c r="Y210" s="3079"/>
      <c r="Z210" s="3079"/>
      <c r="AA210" s="3079"/>
    </row>
    <row r="211" spans="1:27" ht="15.75">
      <c r="A211" s="218"/>
      <c r="B211" s="152"/>
      <c r="C211" s="413"/>
      <c r="D211" s="414"/>
      <c r="E211" s="218" t="s">
        <v>918</v>
      </c>
      <c r="F211" s="2678">
        <v>3.2019262788493562E-2</v>
      </c>
      <c r="G211" s="2678">
        <v>3.2019262788493562E-2</v>
      </c>
      <c r="H211" s="2679">
        <v>3.1859645645056063E-2</v>
      </c>
      <c r="I211" s="2680">
        <v>3.1700824198654047E-2</v>
      </c>
      <c r="J211" s="2680">
        <v>3.1542794482709996E-2</v>
      </c>
      <c r="K211" s="2680">
        <v>3.1385552550419929E-2</v>
      </c>
      <c r="L211" s="2680">
        <v>3.1229094474654811E-2</v>
      </c>
      <c r="M211" s="2680">
        <v>3.1073416347862478E-2</v>
      </c>
      <c r="N211" s="2680">
        <v>3.0918514281970056E-2</v>
      </c>
      <c r="O211" s="2680">
        <v>3.0764384408286861E-2</v>
      </c>
      <c r="P211" s="419"/>
      <c r="S211" s="3079"/>
      <c r="T211" s="3079"/>
      <c r="U211" s="3079"/>
      <c r="V211" s="3079"/>
      <c r="W211" s="3079"/>
      <c r="X211" s="3079"/>
      <c r="Y211" s="3079"/>
      <c r="Z211" s="3079"/>
      <c r="AA211" s="3079"/>
    </row>
    <row r="212" spans="1:27" ht="15.75">
      <c r="A212" s="218"/>
      <c r="B212" s="152"/>
      <c r="C212" s="413"/>
      <c r="D212" s="414"/>
      <c r="E212" s="218" t="s">
        <v>953</v>
      </c>
      <c r="F212" s="2678">
        <v>3.8423115346192277E-2</v>
      </c>
      <c r="G212" s="2678">
        <v>3.8423115346192277E-2</v>
      </c>
      <c r="H212" s="2679">
        <v>3.823157477406728E-2</v>
      </c>
      <c r="I212" s="2680">
        <v>3.8040989038384855E-2</v>
      </c>
      <c r="J212" s="2680">
        <v>3.7851353379252002E-2</v>
      </c>
      <c r="K212" s="2680">
        <v>3.766266306050392E-2</v>
      </c>
      <c r="L212" s="2680">
        <v>3.7474913369585777E-2</v>
      </c>
      <c r="M212" s="2680">
        <v>3.7288099617434976E-2</v>
      </c>
      <c r="N212" s="2680">
        <v>3.7102217138364077E-2</v>
      </c>
      <c r="O212" s="2680">
        <v>3.6917261289944242E-2</v>
      </c>
      <c r="P212" s="419"/>
      <c r="S212" s="3079"/>
      <c r="T212" s="3079"/>
      <c r="U212" s="3079"/>
      <c r="V212" s="3079"/>
      <c r="W212" s="3079"/>
      <c r="X212" s="3079"/>
      <c r="Y212" s="3079"/>
      <c r="Z212" s="3079"/>
      <c r="AA212" s="3079"/>
    </row>
    <row r="213" spans="1:27" ht="15.75">
      <c r="A213" s="218"/>
      <c r="B213" s="152"/>
      <c r="C213" s="413" t="s">
        <v>952</v>
      </c>
      <c r="D213" s="414"/>
      <c r="E213" s="218" t="s">
        <v>953</v>
      </c>
      <c r="F213" s="2678">
        <v>2.8662444640598474E-3</v>
      </c>
      <c r="G213" s="2678">
        <v>2.8662444640598474E-3</v>
      </c>
      <c r="H213" s="2679">
        <v>2.3129155621993938E-3</v>
      </c>
      <c r="I213" s="2680">
        <v>1.8664068836217861E-3</v>
      </c>
      <c r="J213" s="2680">
        <v>1.5060967690140349E-3</v>
      </c>
      <c r="K213" s="2680">
        <v>1.2153445733294754E-3</v>
      </c>
      <c r="L213" s="2680">
        <v>9.8072213041686725E-4</v>
      </c>
      <c r="M213" s="2680">
        <v>7.9139358351226546E-4</v>
      </c>
      <c r="N213" s="2680">
        <v>6.386149395427301E-4</v>
      </c>
      <c r="O213" s="2680">
        <v>5.1533023454295433E-4</v>
      </c>
      <c r="P213" s="419"/>
      <c r="S213" s="3079"/>
      <c r="T213" s="3079"/>
      <c r="U213" s="3079"/>
      <c r="V213" s="3079"/>
      <c r="W213" s="3079"/>
      <c r="X213" s="3079"/>
      <c r="Y213" s="3079"/>
      <c r="Z213" s="3079"/>
      <c r="AA213" s="3079"/>
    </row>
    <row r="214" spans="1:27" ht="15.75">
      <c r="A214" s="218" t="s">
        <v>1955</v>
      </c>
      <c r="B214" s="152"/>
      <c r="C214" s="413"/>
      <c r="D214" s="414"/>
      <c r="E214" s="218" t="s">
        <v>954</v>
      </c>
      <c r="F214" s="2678">
        <v>1.4763235023934222E-2</v>
      </c>
      <c r="G214" s="2678">
        <v>1.4763235023934222E-2</v>
      </c>
      <c r="H214" s="2679">
        <v>1.3596669540827696E-2</v>
      </c>
      <c r="I214" s="2680">
        <v>1.2522284059202506E-2</v>
      </c>
      <c r="J214" s="2680">
        <v>1.1532794673614722E-2</v>
      </c>
      <c r="K214" s="2680">
        <v>1.0621493040322125E-2</v>
      </c>
      <c r="L214" s="2680">
        <v>9.7822008973867721E-3</v>
      </c>
      <c r="M214" s="2680">
        <v>9.0092281785209838E-3</v>
      </c>
      <c r="N214" s="2680">
        <v>8.2973344367052743E-3</v>
      </c>
      <c r="O214" s="2680">
        <v>7.6416933160457952E-3</v>
      </c>
      <c r="P214" s="419"/>
      <c r="S214" s="3079"/>
      <c r="T214" s="3079"/>
      <c r="U214" s="3079"/>
      <c r="V214" s="3079"/>
      <c r="W214" s="3079"/>
      <c r="X214" s="3079"/>
      <c r="Y214" s="3079"/>
      <c r="Z214" s="3079"/>
      <c r="AA214" s="3079"/>
    </row>
    <row r="215" spans="1:27" ht="15.75">
      <c r="A215" s="410"/>
      <c r="B215" s="152"/>
      <c r="C215" s="413" t="s">
        <v>970</v>
      </c>
      <c r="D215" s="414"/>
      <c r="E215" s="218" t="s">
        <v>970</v>
      </c>
      <c r="F215" s="2678">
        <v>3.4986699547218635E-2</v>
      </c>
      <c r="G215" s="2678">
        <v>3.4986699547218635E-2</v>
      </c>
      <c r="H215" s="2679">
        <v>3.4551547011758228E-2</v>
      </c>
      <c r="I215" s="2680">
        <v>3.4121806753865246E-2</v>
      </c>
      <c r="J215" s="2680">
        <v>3.3697411457492839E-2</v>
      </c>
      <c r="K215" s="2680">
        <v>3.3278294643847982E-2</v>
      </c>
      <c r="L215" s="2680">
        <v>3.2864390660978016E-2</v>
      </c>
      <c r="M215" s="2680">
        <v>3.2455634673486687E-2</v>
      </c>
      <c r="N215" s="2680">
        <v>3.2051962652378113E-2</v>
      </c>
      <c r="O215" s="2680">
        <v>3.1653311365027019E-2</v>
      </c>
      <c r="P215" s="419"/>
      <c r="S215" s="3079"/>
      <c r="T215" s="3079"/>
      <c r="U215" s="3079"/>
      <c r="V215" s="3079"/>
      <c r="W215" s="3079"/>
      <c r="X215" s="3079"/>
      <c r="Y215" s="3079"/>
      <c r="Z215" s="3079"/>
      <c r="AA215" s="3079"/>
    </row>
    <row r="216" spans="1:27" ht="15.75">
      <c r="A216" s="410"/>
      <c r="B216" s="152"/>
      <c r="C216" s="411"/>
      <c r="D216" s="65"/>
      <c r="E216" s="65"/>
      <c r="F216" s="65"/>
      <c r="G216" s="2662"/>
      <c r="H216" s="2663"/>
      <c r="I216" s="2664"/>
      <c r="J216" s="2664"/>
      <c r="K216" s="2664"/>
      <c r="L216" s="2664"/>
      <c r="M216" s="2664"/>
      <c r="N216" s="2664"/>
      <c r="O216" s="2664"/>
      <c r="P216" s="419"/>
    </row>
    <row r="217" spans="1:27" ht="15.75">
      <c r="A217" s="410"/>
      <c r="B217" s="152"/>
      <c r="C217" s="111"/>
      <c r="D217" s="112"/>
      <c r="E217" s="112"/>
      <c r="F217" s="927"/>
      <c r="G217" s="927"/>
      <c r="H217" s="927"/>
      <c r="I217" s="927"/>
      <c r="J217" s="927"/>
      <c r="K217" s="927"/>
      <c r="L217" s="927"/>
      <c r="M217" s="927"/>
      <c r="N217" s="927"/>
      <c r="O217" s="927"/>
      <c r="P217" s="419"/>
    </row>
    <row r="218" spans="1:27" ht="15.75">
      <c r="A218" s="410"/>
      <c r="B218" s="152"/>
      <c r="C218" s="126"/>
      <c r="D218" s="414"/>
      <c r="E218" s="218"/>
      <c r="F218" s="843"/>
      <c r="G218" s="843"/>
      <c r="H218" s="843"/>
      <c r="I218" s="843"/>
      <c r="J218" s="843"/>
      <c r="K218" s="843"/>
      <c r="L218" s="843"/>
      <c r="M218" s="843"/>
      <c r="N218" s="843"/>
      <c r="O218" s="875"/>
      <c r="P218" s="419"/>
    </row>
    <row r="219" spans="1:27" ht="15.75">
      <c r="A219" s="410"/>
      <c r="B219" s="152"/>
      <c r="C219" s="455" t="s">
        <v>1957</v>
      </c>
      <c r="D219" s="414"/>
      <c r="E219" s="218"/>
      <c r="F219" s="255"/>
      <c r="G219" s="843"/>
      <c r="H219" s="843"/>
      <c r="I219" s="843"/>
      <c r="J219" s="843"/>
      <c r="K219" s="843"/>
      <c r="L219" s="843"/>
      <c r="M219" s="843"/>
      <c r="N219" s="843"/>
      <c r="O219" s="921"/>
      <c r="P219" s="419"/>
    </row>
    <row r="220" spans="1:27" ht="15.75">
      <c r="A220" s="410"/>
      <c r="B220" s="152"/>
      <c r="C220" s="61" t="s">
        <v>840</v>
      </c>
      <c r="D220" s="61" t="s">
        <v>1029</v>
      </c>
      <c r="E220" s="61" t="s">
        <v>275</v>
      </c>
      <c r="F220" s="119">
        <v>2007</v>
      </c>
      <c r="G220" s="120">
        <f>F220+5</f>
        <v>2012</v>
      </c>
      <c r="H220" s="120">
        <f t="shared" ref="H220" si="48">G220+5</f>
        <v>2017</v>
      </c>
      <c r="I220" s="120">
        <f t="shared" ref="I220" si="49">H220+5</f>
        <v>2022</v>
      </c>
      <c r="J220" s="120">
        <f t="shared" ref="J220" si="50">I220+5</f>
        <v>2027</v>
      </c>
      <c r="K220" s="120">
        <f t="shared" ref="K220" si="51">J220+5</f>
        <v>2032</v>
      </c>
      <c r="L220" s="120">
        <f t="shared" ref="L220" si="52">K220+5</f>
        <v>2037</v>
      </c>
      <c r="M220" s="120">
        <f t="shared" ref="M220" si="53">L220+5</f>
        <v>2042</v>
      </c>
      <c r="N220" s="120">
        <f t="shared" ref="N220" si="54">M220+5</f>
        <v>2047</v>
      </c>
      <c r="O220" s="120">
        <f t="shared" ref="O220" si="55">N220+5</f>
        <v>2052</v>
      </c>
      <c r="P220" s="419"/>
    </row>
    <row r="221" spans="1:27" ht="15.75">
      <c r="A221" s="410"/>
      <c r="B221" s="152"/>
      <c r="C221" s="413" t="s">
        <v>955</v>
      </c>
      <c r="D221" s="414" t="s">
        <v>1021</v>
      </c>
      <c r="E221" s="218" t="s">
        <v>953</v>
      </c>
      <c r="F221" s="2678">
        <f>G221</f>
        <v>4.2059980055157466E-3</v>
      </c>
      <c r="G221" s="2678">
        <v>4.2059980055157466E-3</v>
      </c>
      <c r="H221" s="2679">
        <v>4.1850309585422128E-3</v>
      </c>
      <c r="I221" s="2680">
        <v>4.1641684330302247E-3</v>
      </c>
      <c r="J221" s="2680">
        <v>4.1434099079366441E-3</v>
      </c>
      <c r="K221" s="2680">
        <v>4.1227548648157522E-3</v>
      </c>
      <c r="L221" s="2680">
        <v>4.1022027878063021E-3</v>
      </c>
      <c r="M221" s="2680">
        <v>4.0817531636186295E-3</v>
      </c>
      <c r="N221" s="2680">
        <v>4.0614054815218412E-3</v>
      </c>
      <c r="O221" s="2680">
        <v>4.0411592333310532E-3</v>
      </c>
      <c r="P221" s="419"/>
      <c r="S221" s="3079"/>
      <c r="T221" s="3079"/>
      <c r="U221" s="3079"/>
      <c r="V221" s="3079"/>
      <c r="W221" s="3079"/>
      <c r="X221" s="3079"/>
      <c r="Y221" s="3079"/>
      <c r="Z221" s="3079"/>
      <c r="AA221" s="3079"/>
    </row>
    <row r="222" spans="1:27" ht="15.75">
      <c r="A222" s="410"/>
      <c r="B222" s="152"/>
      <c r="C222" s="413"/>
      <c r="D222" s="414"/>
      <c r="E222" s="218" t="s">
        <v>1030</v>
      </c>
      <c r="F222" s="2678">
        <f t="shared" ref="F222:F244" si="56">G222</f>
        <v>6.3428634857206284E-3</v>
      </c>
      <c r="G222" s="2678">
        <v>6.3428634857206284E-3</v>
      </c>
      <c r="H222" s="2679">
        <v>6.3112440896872955E-3</v>
      </c>
      <c r="I222" s="2680">
        <v>6.2797823174476587E-3</v>
      </c>
      <c r="J222" s="2680">
        <v>6.2484773832415987E-3</v>
      </c>
      <c r="K222" s="2680">
        <v>6.2173285052260418E-3</v>
      </c>
      <c r="L222" s="2680">
        <v>6.1863349054554267E-3</v>
      </c>
      <c r="M222" s="2680">
        <v>6.1554958098622783E-3</v>
      </c>
      <c r="N222" s="2680">
        <v>6.1248104482378753E-3</v>
      </c>
      <c r="O222" s="2680">
        <v>6.0942780542130141E-3</v>
      </c>
      <c r="P222" s="419"/>
      <c r="S222" s="3079"/>
      <c r="T222" s="3079"/>
      <c r="U222" s="3079"/>
      <c r="V222" s="3079"/>
      <c r="W222" s="3079"/>
      <c r="X222" s="3079"/>
      <c r="Y222" s="3079"/>
      <c r="Z222" s="3079"/>
      <c r="AA222" s="3079"/>
    </row>
    <row r="223" spans="1:27" ht="15.75">
      <c r="A223" s="218" t="s">
        <v>1950</v>
      </c>
      <c r="B223" s="152"/>
      <c r="C223" s="413"/>
      <c r="D223" s="414"/>
      <c r="E223" s="218" t="s">
        <v>2384</v>
      </c>
      <c r="F223" s="2678">
        <v>2.8906278906278911E-3</v>
      </c>
      <c r="G223" s="2678">
        <v>2.8906278906278911E-3</v>
      </c>
      <c r="H223" s="2679">
        <v>2.8762180096231168E-3</v>
      </c>
      <c r="I223" s="2680">
        <v>2.8618799623784906E-3</v>
      </c>
      <c r="J223" s="2680">
        <v>2.8476133908002083E-3</v>
      </c>
      <c r="K223" s="2680">
        <v>2.8334179385795769E-3</v>
      </c>
      <c r="L223" s="2680">
        <v>2.8192932511841148E-3</v>
      </c>
      <c r="M223" s="2680">
        <v>2.8052389758486959E-3</v>
      </c>
      <c r="N223" s="2680">
        <v>2.7912547615667415E-3</v>
      </c>
      <c r="O223" s="2680">
        <v>2.777340259081453E-3</v>
      </c>
      <c r="P223" s="419"/>
      <c r="S223" s="3079"/>
      <c r="T223" s="3079"/>
      <c r="U223" s="3079"/>
      <c r="V223" s="3079"/>
      <c r="W223" s="3079"/>
      <c r="X223" s="3079"/>
      <c r="Y223" s="3079"/>
      <c r="Z223" s="3079"/>
      <c r="AA223" s="3079"/>
    </row>
    <row r="224" spans="1:27" ht="15.75">
      <c r="A224" s="410"/>
      <c r="B224" s="152"/>
      <c r="C224" s="413"/>
      <c r="D224" s="414" t="s">
        <v>1022</v>
      </c>
      <c r="E224" s="218" t="s">
        <v>953</v>
      </c>
      <c r="F224" s="2678">
        <f t="shared" si="56"/>
        <v>1.4271442842871416E-2</v>
      </c>
      <c r="G224" s="2678">
        <v>1.4271442842871416E-2</v>
      </c>
      <c r="H224" s="2679">
        <v>1.4200299201796416E-2</v>
      </c>
      <c r="I224" s="2680">
        <v>1.412951021425723E-2</v>
      </c>
      <c r="J224" s="2680">
        <v>1.4059074112293599E-2</v>
      </c>
      <c r="K224" s="2680">
        <v>1.3988989136758593E-2</v>
      </c>
      <c r="L224" s="2680">
        <v>1.391925353727471E-2</v>
      </c>
      <c r="M224" s="2680">
        <v>1.3849865572190126E-2</v>
      </c>
      <c r="N224" s="2680">
        <v>1.3780823508535218E-2</v>
      </c>
      <c r="O224" s="2680">
        <v>1.3712125621979279E-2</v>
      </c>
      <c r="P224" s="419"/>
      <c r="S224" s="3079"/>
      <c r="T224" s="3079"/>
      <c r="U224" s="3079"/>
      <c r="V224" s="3079"/>
      <c r="W224" s="3079"/>
      <c r="X224" s="3079"/>
      <c r="Y224" s="3079"/>
      <c r="Z224" s="3079"/>
      <c r="AA224" s="3079"/>
    </row>
    <row r="225" spans="1:27" ht="15.75">
      <c r="A225" s="410"/>
      <c r="B225" s="152"/>
      <c r="C225" s="413"/>
      <c r="D225" s="414"/>
      <c r="E225" s="218" t="s">
        <v>1030</v>
      </c>
      <c r="F225" s="2678">
        <f t="shared" si="56"/>
        <v>1.4271442842871416E-2</v>
      </c>
      <c r="G225" s="2678">
        <v>1.4271442842871416E-2</v>
      </c>
      <c r="H225" s="2679">
        <v>1.4200299201796416E-2</v>
      </c>
      <c r="I225" s="2680">
        <v>1.412951021425723E-2</v>
      </c>
      <c r="J225" s="2680">
        <v>1.4059074112293599E-2</v>
      </c>
      <c r="K225" s="2680">
        <v>1.3988989136758593E-2</v>
      </c>
      <c r="L225" s="2680">
        <v>1.391925353727471E-2</v>
      </c>
      <c r="M225" s="2680">
        <v>1.3849865572190126E-2</v>
      </c>
      <c r="N225" s="2680">
        <v>1.3780823508535218E-2</v>
      </c>
      <c r="O225" s="2680">
        <v>1.3712125621979279E-2</v>
      </c>
      <c r="P225" s="419"/>
      <c r="S225" s="3079"/>
      <c r="T225" s="3079"/>
      <c r="U225" s="3079"/>
      <c r="V225" s="3079"/>
      <c r="W225" s="3079"/>
      <c r="X225" s="3079"/>
      <c r="Y225" s="3079"/>
      <c r="Z225" s="3079"/>
      <c r="AA225" s="3079"/>
    </row>
    <row r="226" spans="1:27" ht="15.75">
      <c r="A226" s="410"/>
      <c r="B226" s="152"/>
      <c r="C226" s="413"/>
      <c r="D226" s="414" t="s">
        <v>1023</v>
      </c>
      <c r="E226" s="218" t="s">
        <v>1031</v>
      </c>
      <c r="F226" s="2678">
        <f t="shared" si="56"/>
        <v>2.3125023125023129E-2</v>
      </c>
      <c r="G226" s="3367">
        <v>2.3125023125023129E-2</v>
      </c>
      <c r="H226" s="3368">
        <v>2.3009744076984934E-2</v>
      </c>
      <c r="I226" s="3369">
        <v>2.1645327515947121E-2</v>
      </c>
      <c r="J226" s="3369">
        <v>1.9684398187425119E-2</v>
      </c>
      <c r="K226" s="3369">
        <v>1.8646060929236482E-2</v>
      </c>
      <c r="L226" s="3369">
        <v>1.7731305494069011E-2</v>
      </c>
      <c r="M226" s="3369">
        <v>1.7521433641637635E-2</v>
      </c>
      <c r="N226" s="3369">
        <v>1.7350480883331618E-2</v>
      </c>
      <c r="O226" s="3369">
        <v>1.5977040598998484E-2</v>
      </c>
      <c r="P226" s="419"/>
      <c r="S226" s="3079"/>
      <c r="T226" s="3079"/>
      <c r="U226" s="3079"/>
      <c r="V226" s="3079"/>
      <c r="W226" s="3079"/>
      <c r="X226" s="3079"/>
      <c r="Y226" s="3079"/>
      <c r="Z226" s="3079"/>
      <c r="AA226" s="3079"/>
    </row>
    <row r="227" spans="1:27" ht="15.75">
      <c r="A227" s="410"/>
      <c r="B227" s="152"/>
      <c r="C227" s="413"/>
      <c r="D227" s="414"/>
      <c r="E227" s="218" t="s">
        <v>953</v>
      </c>
      <c r="F227" s="2678">
        <f t="shared" si="56"/>
        <v>2.7750027750027755E-2</v>
      </c>
      <c r="G227" s="3367">
        <v>2.7750027750027755E-2</v>
      </c>
      <c r="H227" s="3368">
        <v>2.7611692892381922E-2</v>
      </c>
      <c r="I227" s="3369">
        <v>2.6154525669173451E-2</v>
      </c>
      <c r="J227" s="3369">
        <v>2.4127565469833575E-2</v>
      </c>
      <c r="K227" s="3369">
        <v>2.2990838758226776E-2</v>
      </c>
      <c r="L227" s="3369">
        <v>2.1592721173017422E-2</v>
      </c>
      <c r="M227" s="3369">
        <v>2.112521194403167E-2</v>
      </c>
      <c r="N227" s="3369">
        <v>2.0776372297272305E-2</v>
      </c>
      <c r="O227" s="3369">
        <v>1.9328636437293913E-2</v>
      </c>
      <c r="P227" s="419"/>
      <c r="S227" s="3079"/>
      <c r="T227" s="3079"/>
      <c r="U227" s="3079"/>
      <c r="V227" s="3079"/>
      <c r="W227" s="3079"/>
      <c r="X227" s="3079"/>
      <c r="Y227" s="3079"/>
      <c r="Z227" s="3079"/>
      <c r="AA227" s="3079"/>
    </row>
    <row r="228" spans="1:27" ht="15.75">
      <c r="A228" s="410"/>
      <c r="B228" s="152"/>
      <c r="C228" s="413"/>
      <c r="D228" s="414"/>
      <c r="E228" s="218" t="s">
        <v>1030</v>
      </c>
      <c r="F228" s="2678">
        <f t="shared" si="56"/>
        <v>2.3125023125023129E-2</v>
      </c>
      <c r="G228" s="3367">
        <v>2.3125023125023129E-2</v>
      </c>
      <c r="H228" s="3368">
        <v>2.3009744076984934E-2</v>
      </c>
      <c r="I228" s="3369">
        <v>2.165438726447378E-2</v>
      </c>
      <c r="J228" s="3369">
        <v>1.9305093817137103E-2</v>
      </c>
      <c r="K228" s="3369">
        <v>1.8224748766344469E-2</v>
      </c>
      <c r="L228" s="3369">
        <v>1.7365400744040825E-2</v>
      </c>
      <c r="M228" s="3369">
        <v>1.7170046269265708E-2</v>
      </c>
      <c r="N228" s="3369">
        <v>1.7006069986573107E-2</v>
      </c>
      <c r="O228" s="3369">
        <v>1.5547315129777988E-2</v>
      </c>
      <c r="P228" s="419"/>
      <c r="S228" s="3079"/>
      <c r="T228" s="3079"/>
      <c r="U228" s="3079"/>
      <c r="V228" s="3079"/>
      <c r="W228" s="3079"/>
      <c r="X228" s="3079"/>
      <c r="Y228" s="3079"/>
      <c r="Z228" s="3079"/>
      <c r="AA228" s="3079"/>
    </row>
    <row r="229" spans="1:27" ht="15.75">
      <c r="A229" s="410"/>
      <c r="B229" s="152"/>
      <c r="C229" s="413"/>
      <c r="D229" s="414"/>
      <c r="E229" s="218" t="s">
        <v>918</v>
      </c>
      <c r="F229" s="2678">
        <f t="shared" si="56"/>
        <v>2.3125023125023129E-2</v>
      </c>
      <c r="G229" s="3367">
        <v>2.3125023125023129E-2</v>
      </c>
      <c r="H229" s="3368">
        <v>2.3009744076984934E-2</v>
      </c>
      <c r="I229" s="3369">
        <v>2.165438726447378E-2</v>
      </c>
      <c r="J229" s="3369">
        <v>2.1440410684823642E-2</v>
      </c>
      <c r="K229" s="3369">
        <v>2.0843958787250181E-2</v>
      </c>
      <c r="L229" s="3369">
        <v>1.7473843279528081E-2</v>
      </c>
      <c r="M229" s="3369">
        <v>1.7259368165795385E-2</v>
      </c>
      <c r="N229" s="3369">
        <v>1.7081736986720115E-2</v>
      </c>
      <c r="O229" s="3369">
        <v>1.5943463689892173E-2</v>
      </c>
      <c r="P229" s="419"/>
      <c r="S229" s="3079"/>
      <c r="T229" s="3079"/>
      <c r="U229" s="3079"/>
      <c r="V229" s="3079"/>
      <c r="W229" s="3079"/>
      <c r="X229" s="3079"/>
      <c r="Y229" s="3079"/>
      <c r="Z229" s="3079"/>
      <c r="AA229" s="3079"/>
    </row>
    <row r="230" spans="1:27" ht="15.75">
      <c r="A230" s="218" t="s">
        <v>1950</v>
      </c>
      <c r="B230" s="152"/>
      <c r="C230" s="413"/>
      <c r="D230" s="613"/>
      <c r="E230" s="218" t="s">
        <v>954</v>
      </c>
      <c r="F230" s="2678">
        <f t="shared" si="56"/>
        <v>2.8906278906278911E-3</v>
      </c>
      <c r="G230" s="3367">
        <v>2.8906278906278911E-3</v>
      </c>
      <c r="H230" s="3368">
        <v>2.8762180096231168E-3</v>
      </c>
      <c r="I230" s="3369">
        <v>2.861879962378491E-3</v>
      </c>
      <c r="J230" s="3369">
        <v>2.8476133908002083E-3</v>
      </c>
      <c r="K230" s="3369">
        <v>2.8334179385795769E-3</v>
      </c>
      <c r="L230" s="3369">
        <v>2.8192932511841144E-3</v>
      </c>
      <c r="M230" s="3369">
        <v>2.8052389758486959E-3</v>
      </c>
      <c r="N230" s="3369">
        <v>2.7912547615667415E-3</v>
      </c>
      <c r="O230" s="3369">
        <v>2.777340259081453E-3</v>
      </c>
      <c r="P230" s="419"/>
      <c r="S230" s="3079"/>
      <c r="T230" s="3079"/>
      <c r="U230" s="3079"/>
      <c r="V230" s="3079"/>
      <c r="W230" s="3079"/>
      <c r="X230" s="3079"/>
      <c r="Y230" s="3079"/>
      <c r="Z230" s="3079"/>
      <c r="AA230" s="3079"/>
    </row>
    <row r="231" spans="1:27" ht="15.75">
      <c r="A231" s="218"/>
      <c r="B231" s="152"/>
      <c r="C231" s="413"/>
      <c r="D231" s="414" t="s">
        <v>1951</v>
      </c>
      <c r="E231" s="218" t="s">
        <v>1031</v>
      </c>
      <c r="F231" s="2678">
        <f t="shared" si="56"/>
        <v>1.5609390609390612E-2</v>
      </c>
      <c r="G231" s="2678">
        <v>1.5609390609390612E-2</v>
      </c>
      <c r="H231" s="2679">
        <v>1.5531577251964834E-2</v>
      </c>
      <c r="I231" s="2680">
        <v>1.5454151796843849E-2</v>
      </c>
      <c r="J231" s="2680">
        <v>1.5377112310321125E-2</v>
      </c>
      <c r="K231" s="2680">
        <v>1.5300456868329718E-2</v>
      </c>
      <c r="L231" s="2680">
        <v>1.5224183556394221E-2</v>
      </c>
      <c r="M231" s="2680">
        <v>1.5148290469582961E-2</v>
      </c>
      <c r="N231" s="2680">
        <v>1.5072775712460403E-2</v>
      </c>
      <c r="O231" s="2680">
        <v>1.4997637399039847E-2</v>
      </c>
      <c r="P231" s="419"/>
      <c r="S231" s="3079"/>
      <c r="T231" s="3079"/>
      <c r="U231" s="3079"/>
      <c r="V231" s="3079"/>
      <c r="W231" s="3079"/>
      <c r="X231" s="3079"/>
      <c r="Y231" s="3079"/>
      <c r="Z231" s="3079"/>
      <c r="AA231" s="3079"/>
    </row>
    <row r="232" spans="1:27" ht="15.75">
      <c r="A232" s="218"/>
      <c r="B232" s="152"/>
      <c r="C232" s="413"/>
      <c r="D232" s="414" t="s">
        <v>1952</v>
      </c>
      <c r="E232" s="218" t="s">
        <v>1031</v>
      </c>
      <c r="F232" s="2678">
        <f t="shared" si="56"/>
        <v>1.1352284079556808E-2</v>
      </c>
      <c r="G232" s="2678">
        <v>1.1352284079556808E-2</v>
      </c>
      <c r="H232" s="2679">
        <v>1.1295692546883512E-2</v>
      </c>
      <c r="I232" s="2680">
        <v>1.1239383124977345E-2</v>
      </c>
      <c r="J232" s="2680">
        <v>1.1183354407506273E-2</v>
      </c>
      <c r="K232" s="2680">
        <v>1.1127604995148883E-2</v>
      </c>
      <c r="L232" s="2680">
        <v>1.1072133495559426E-2</v>
      </c>
      <c r="M232" s="2680">
        <v>1.1016938523333053E-2</v>
      </c>
      <c r="N232" s="2680">
        <v>1.0962018699971196E-2</v>
      </c>
      <c r="O232" s="2680">
        <v>1.0907372653847152E-2</v>
      </c>
      <c r="P232" s="419"/>
      <c r="S232" s="3079"/>
      <c r="T232" s="3079"/>
      <c r="U232" s="3079"/>
      <c r="V232" s="3079"/>
      <c r="W232" s="3079"/>
      <c r="X232" s="3079"/>
      <c r="Y232" s="3079"/>
      <c r="Z232" s="3079"/>
      <c r="AA232" s="3079"/>
    </row>
    <row r="233" spans="1:27" ht="15.75">
      <c r="A233" s="218"/>
      <c r="B233" s="152"/>
      <c r="C233" s="413"/>
      <c r="D233" s="414" t="s">
        <v>1953</v>
      </c>
      <c r="E233" s="218" t="s">
        <v>1031</v>
      </c>
      <c r="F233" s="2678">
        <f t="shared" si="56"/>
        <v>1.2487512487512488E-2</v>
      </c>
      <c r="G233" s="2678">
        <v>1.2487512487512488E-2</v>
      </c>
      <c r="H233" s="2679">
        <v>1.2425261801571863E-2</v>
      </c>
      <c r="I233" s="2680">
        <v>1.2363321437475072E-2</v>
      </c>
      <c r="J233" s="2680">
        <v>1.2301689848256891E-2</v>
      </c>
      <c r="K233" s="2680">
        <v>1.2240365494663764E-2</v>
      </c>
      <c r="L233" s="2680">
        <v>1.2179346845115364E-2</v>
      </c>
      <c r="M233" s="2680">
        <v>1.2118632375666351E-2</v>
      </c>
      <c r="N233" s="2680">
        <v>1.205822056996831E-2</v>
      </c>
      <c r="O233" s="2680">
        <v>1.1998109919231862E-2</v>
      </c>
      <c r="P233" s="419"/>
      <c r="S233" s="3079"/>
      <c r="T233" s="3079"/>
      <c r="U233" s="3079"/>
      <c r="V233" s="3079"/>
      <c r="W233" s="3079"/>
      <c r="X233" s="3079"/>
      <c r="Y233" s="3079"/>
      <c r="Z233" s="3079"/>
      <c r="AA233" s="3079"/>
    </row>
    <row r="234" spans="1:27" ht="15.75">
      <c r="A234" s="218" t="s">
        <v>1950</v>
      </c>
      <c r="B234" s="152"/>
      <c r="C234" s="413"/>
      <c r="D234" s="414" t="s">
        <v>1954</v>
      </c>
      <c r="E234" s="218" t="s">
        <v>954</v>
      </c>
      <c r="F234" s="2678">
        <f t="shared" si="56"/>
        <v>9.2913039341610787E-4</v>
      </c>
      <c r="G234" s="2678">
        <v>9.2913039341610787E-4</v>
      </c>
      <c r="H234" s="2679">
        <v>9.2449864595028756E-4</v>
      </c>
      <c r="I234" s="2680">
        <v>9.1988998790737213E-4</v>
      </c>
      <c r="J234" s="2680">
        <v>9.153043041857812E-4</v>
      </c>
      <c r="K234" s="2680">
        <v>9.1074148025772114E-4</v>
      </c>
      <c r="L234" s="2680">
        <v>9.062014021663222E-4</v>
      </c>
      <c r="M234" s="2680">
        <v>9.0168395652279469E-4</v>
      </c>
      <c r="N234" s="2680">
        <v>8.9718903050359494E-4</v>
      </c>
      <c r="O234" s="2680">
        <v>8.9271651184760932E-4</v>
      </c>
      <c r="P234" s="419"/>
      <c r="S234" s="3079"/>
      <c r="T234" s="3079"/>
      <c r="U234" s="3079"/>
      <c r="V234" s="3079"/>
      <c r="W234" s="3079"/>
      <c r="X234" s="3079"/>
      <c r="Y234" s="3079"/>
      <c r="Z234" s="3079"/>
      <c r="AA234" s="3079"/>
    </row>
    <row r="235" spans="1:27" ht="15.75">
      <c r="A235" s="218"/>
      <c r="B235" s="152"/>
      <c r="C235" s="413"/>
      <c r="D235" s="414" t="s">
        <v>1025</v>
      </c>
      <c r="E235" s="218" t="s">
        <v>1030</v>
      </c>
      <c r="F235" s="2678">
        <f t="shared" si="56"/>
        <v>1.6217548685081153E-2</v>
      </c>
      <c r="G235" s="2678">
        <v>1.6217548685081153E-2</v>
      </c>
      <c r="H235" s="2679">
        <v>1.6136703638405022E-2</v>
      </c>
      <c r="I235" s="2680">
        <v>1.6056261607110489E-2</v>
      </c>
      <c r="J235" s="2680">
        <v>1.5976220582151816E-2</v>
      </c>
      <c r="K235" s="2680">
        <v>1.5896578564498401E-2</v>
      </c>
      <c r="L235" s="2680">
        <v>1.5817333565084898E-2</v>
      </c>
      <c r="M235" s="2680">
        <v>1.5738483604761509E-2</v>
      </c>
      <c r="N235" s="2680">
        <v>1.5660026714244567E-2</v>
      </c>
      <c r="O235" s="2680">
        <v>1.5581960934067367E-2</v>
      </c>
      <c r="P235" s="419"/>
      <c r="S235" s="3079"/>
      <c r="T235" s="3079"/>
      <c r="U235" s="3079"/>
      <c r="V235" s="3079"/>
      <c r="W235" s="3079"/>
      <c r="X235" s="3079"/>
      <c r="Y235" s="3079"/>
      <c r="Z235" s="3079"/>
      <c r="AA235" s="3079"/>
    </row>
    <row r="236" spans="1:27" ht="15.75">
      <c r="A236" s="218"/>
      <c r="B236" s="152"/>
      <c r="C236" s="413"/>
      <c r="D236" s="414"/>
      <c r="E236" s="218" t="s">
        <v>918</v>
      </c>
      <c r="F236" s="2678">
        <f t="shared" si="56"/>
        <v>1.8920473465928012E-2</v>
      </c>
      <c r="G236" s="2678">
        <v>1.8920473465928012E-2</v>
      </c>
      <c r="H236" s="2679">
        <v>1.8826154244805854E-2</v>
      </c>
      <c r="I236" s="2680">
        <v>1.8732305208295569E-2</v>
      </c>
      <c r="J236" s="2680">
        <v>1.8638924012510452E-2</v>
      </c>
      <c r="K236" s="2680">
        <v>1.854600832524814E-2</v>
      </c>
      <c r="L236" s="2680">
        <v>1.8453555825932385E-2</v>
      </c>
      <c r="M236" s="2680">
        <v>1.8361564205555094E-2</v>
      </c>
      <c r="N236" s="2680">
        <v>1.8270031166618666E-2</v>
      </c>
      <c r="O236" s="2680">
        <v>1.8178954423078597E-2</v>
      </c>
      <c r="P236" s="419"/>
      <c r="S236" s="3079"/>
      <c r="T236" s="3079"/>
      <c r="U236" s="3079"/>
      <c r="V236" s="3079"/>
      <c r="W236" s="3079"/>
      <c r="X236" s="3079"/>
      <c r="Y236" s="3079"/>
      <c r="Z236" s="3079"/>
      <c r="AA236" s="3079"/>
    </row>
    <row r="237" spans="1:27" ht="15.75">
      <c r="A237" s="218"/>
      <c r="B237" s="152"/>
      <c r="C237" s="413"/>
      <c r="D237" s="414"/>
      <c r="E237" s="218" t="s">
        <v>1031</v>
      </c>
      <c r="F237" s="2678">
        <f t="shared" si="56"/>
        <v>1.6217548685081153E-2</v>
      </c>
      <c r="G237" s="2678">
        <v>1.6217548685081153E-2</v>
      </c>
      <c r="H237" s="2679">
        <v>1.6136703638405022E-2</v>
      </c>
      <c r="I237" s="2680">
        <v>1.6056261607110489E-2</v>
      </c>
      <c r="J237" s="2680">
        <v>1.5976220582151816E-2</v>
      </c>
      <c r="K237" s="2680">
        <v>1.5896578564498401E-2</v>
      </c>
      <c r="L237" s="2680">
        <v>1.5817333565084898E-2</v>
      </c>
      <c r="M237" s="2680">
        <v>1.5738483604761509E-2</v>
      </c>
      <c r="N237" s="2680">
        <v>1.5660026714244567E-2</v>
      </c>
      <c r="O237" s="2680">
        <v>1.5581960934067367E-2</v>
      </c>
      <c r="P237" s="419"/>
      <c r="S237" s="3079"/>
      <c r="T237" s="3079"/>
      <c r="U237" s="3079"/>
      <c r="V237" s="3079"/>
      <c r="W237" s="3079"/>
      <c r="X237" s="3079"/>
      <c r="Y237" s="3079"/>
      <c r="Z237" s="3079"/>
      <c r="AA237" s="3079"/>
    </row>
    <row r="238" spans="1:27" ht="15.75">
      <c r="A238" s="218"/>
      <c r="B238" s="152"/>
      <c r="C238" s="413"/>
      <c r="D238" s="414"/>
      <c r="E238" s="218" t="s">
        <v>953</v>
      </c>
      <c r="F238" s="2678">
        <f t="shared" si="56"/>
        <v>2.0271935856351442E-2</v>
      </c>
      <c r="G238" s="2678">
        <v>2.0271935856351442E-2</v>
      </c>
      <c r="H238" s="2679">
        <v>2.0170879548006272E-2</v>
      </c>
      <c r="I238" s="2680">
        <v>2.0070327008888111E-2</v>
      </c>
      <c r="J238" s="2680">
        <v>1.9970275727689769E-2</v>
      </c>
      <c r="K238" s="2680">
        <v>1.9870723205623001E-2</v>
      </c>
      <c r="L238" s="2680">
        <v>1.9771666956356123E-2</v>
      </c>
      <c r="M238" s="2680">
        <v>1.9673104505951881E-2</v>
      </c>
      <c r="N238" s="2680">
        <v>1.957503339280571E-2</v>
      </c>
      <c r="O238" s="2680">
        <v>1.9477451167584203E-2</v>
      </c>
      <c r="P238" s="419"/>
      <c r="S238" s="3079"/>
      <c r="T238" s="3079"/>
      <c r="U238" s="3079"/>
      <c r="V238" s="3079"/>
      <c r="W238" s="3079"/>
      <c r="X238" s="3079"/>
      <c r="Y238" s="3079"/>
      <c r="Z238" s="3079"/>
      <c r="AA238" s="3079"/>
    </row>
    <row r="239" spans="1:27" ht="15.75">
      <c r="A239" s="218"/>
      <c r="B239" s="152"/>
      <c r="C239" s="413"/>
      <c r="D239" s="414" t="s">
        <v>1026</v>
      </c>
      <c r="E239" s="218" t="s">
        <v>1030</v>
      </c>
      <c r="F239" s="2678">
        <f t="shared" si="56"/>
        <v>3.2019262788493562E-2</v>
      </c>
      <c r="G239" s="2678">
        <v>3.2019262788493562E-2</v>
      </c>
      <c r="H239" s="2679">
        <v>3.1859645645056063E-2</v>
      </c>
      <c r="I239" s="2680">
        <v>3.1700824198654047E-2</v>
      </c>
      <c r="J239" s="2680">
        <v>3.1542794482709996E-2</v>
      </c>
      <c r="K239" s="2680">
        <v>3.1385552550419929E-2</v>
      </c>
      <c r="L239" s="2680">
        <v>3.1229094474654811E-2</v>
      </c>
      <c r="M239" s="2680">
        <v>3.1073416347862478E-2</v>
      </c>
      <c r="N239" s="2680">
        <v>3.0918514281970056E-2</v>
      </c>
      <c r="O239" s="2680">
        <v>3.0764384408286861E-2</v>
      </c>
      <c r="P239" s="419"/>
      <c r="S239" s="3079"/>
      <c r="T239" s="3079"/>
      <c r="U239" s="3079"/>
      <c r="V239" s="3079"/>
      <c r="W239" s="3079"/>
      <c r="X239" s="3079"/>
      <c r="Y239" s="3079"/>
      <c r="Z239" s="3079"/>
      <c r="AA239" s="3079"/>
    </row>
    <row r="240" spans="1:27" ht="15.75">
      <c r="A240" s="218"/>
      <c r="B240" s="152"/>
      <c r="C240" s="413"/>
      <c r="D240" s="414"/>
      <c r="E240" s="218" t="s">
        <v>918</v>
      </c>
      <c r="F240" s="2678">
        <f t="shared" si="56"/>
        <v>3.2019262788493562E-2</v>
      </c>
      <c r="G240" s="2678">
        <v>3.2019262788493562E-2</v>
      </c>
      <c r="H240" s="2679">
        <v>3.1859645645056063E-2</v>
      </c>
      <c r="I240" s="2680">
        <v>3.1700824198654047E-2</v>
      </c>
      <c r="J240" s="2680">
        <v>3.1542794482709996E-2</v>
      </c>
      <c r="K240" s="2680">
        <v>3.1385552550419929E-2</v>
      </c>
      <c r="L240" s="2680">
        <v>3.1229094474654811E-2</v>
      </c>
      <c r="M240" s="2680">
        <v>3.1073416347862478E-2</v>
      </c>
      <c r="N240" s="2680">
        <v>3.0918514281970056E-2</v>
      </c>
      <c r="O240" s="2680">
        <v>3.0764384408286861E-2</v>
      </c>
      <c r="P240" s="419"/>
      <c r="S240" s="3079"/>
      <c r="T240" s="3079"/>
      <c r="U240" s="3079"/>
      <c r="V240" s="3079"/>
      <c r="W240" s="3079"/>
      <c r="X240" s="3079"/>
      <c r="Y240" s="3079"/>
      <c r="Z240" s="3079"/>
      <c r="AA240" s="3079"/>
    </row>
    <row r="241" spans="1:27" ht="15.75">
      <c r="A241" s="218"/>
      <c r="B241" s="152"/>
      <c r="C241" s="413"/>
      <c r="D241" s="414"/>
      <c r="E241" s="218" t="s">
        <v>953</v>
      </c>
      <c r="F241" s="2678">
        <f t="shared" si="56"/>
        <v>3.8423115346192277E-2</v>
      </c>
      <c r="G241" s="2678">
        <v>3.8423115346192277E-2</v>
      </c>
      <c r="H241" s="2679">
        <v>3.823157477406728E-2</v>
      </c>
      <c r="I241" s="2680">
        <v>3.8040989038384855E-2</v>
      </c>
      <c r="J241" s="2680">
        <v>3.7851353379252002E-2</v>
      </c>
      <c r="K241" s="2680">
        <v>3.766266306050392E-2</v>
      </c>
      <c r="L241" s="2680">
        <v>3.7474913369585777E-2</v>
      </c>
      <c r="M241" s="2680">
        <v>3.7288099617434976E-2</v>
      </c>
      <c r="N241" s="2680">
        <v>3.7102217138364077E-2</v>
      </c>
      <c r="O241" s="2680">
        <v>3.6917261289944242E-2</v>
      </c>
      <c r="P241" s="419"/>
      <c r="S241" s="3079"/>
      <c r="T241" s="3079"/>
      <c r="U241" s="3079"/>
      <c r="V241" s="3079"/>
      <c r="W241" s="3079"/>
      <c r="X241" s="3079"/>
      <c r="Y241" s="3079"/>
      <c r="Z241" s="3079"/>
      <c r="AA241" s="3079"/>
    </row>
    <row r="242" spans="1:27" ht="15.75">
      <c r="A242" s="218"/>
      <c r="B242" s="152"/>
      <c r="C242" s="413" t="s">
        <v>952</v>
      </c>
      <c r="D242" s="414"/>
      <c r="E242" s="218" t="s">
        <v>953</v>
      </c>
      <c r="F242" s="2678">
        <f t="shared" si="56"/>
        <v>2.8662444640598474E-3</v>
      </c>
      <c r="G242" s="2678">
        <v>2.8662444640598474E-3</v>
      </c>
      <c r="H242" s="2679">
        <v>2.3129155621993938E-3</v>
      </c>
      <c r="I242" s="2680">
        <v>1.8664068836217861E-3</v>
      </c>
      <c r="J242" s="2680">
        <v>1.5060967690140349E-3</v>
      </c>
      <c r="K242" s="2680">
        <v>1.2153445733294754E-3</v>
      </c>
      <c r="L242" s="2680">
        <v>9.8072213041686725E-4</v>
      </c>
      <c r="M242" s="2680">
        <v>7.9139358351226546E-4</v>
      </c>
      <c r="N242" s="2680">
        <v>6.386149395427301E-4</v>
      </c>
      <c r="O242" s="2680">
        <v>5.1533023454295433E-4</v>
      </c>
      <c r="P242" s="419"/>
      <c r="S242" s="3079"/>
      <c r="T242" s="3079"/>
      <c r="U242" s="3079"/>
      <c r="V242" s="3079"/>
      <c r="W242" s="3079"/>
      <c r="X242" s="3079"/>
      <c r="Y242" s="3079"/>
      <c r="Z242" s="3079"/>
      <c r="AA242" s="3079"/>
    </row>
    <row r="243" spans="1:27" ht="15.75">
      <c r="A243" s="218" t="s">
        <v>1955</v>
      </c>
      <c r="B243" s="152"/>
      <c r="C243" s="413"/>
      <c r="D243" s="414"/>
      <c r="E243" s="218" t="s">
        <v>954</v>
      </c>
      <c r="F243" s="2678">
        <f t="shared" si="56"/>
        <v>1.4763235023934222E-2</v>
      </c>
      <c r="G243" s="2678">
        <v>1.4763235023934222E-2</v>
      </c>
      <c r="H243" s="2679">
        <v>1.3596669540827696E-2</v>
      </c>
      <c r="I243" s="2680">
        <v>1.2522284059202506E-2</v>
      </c>
      <c r="J243" s="2680">
        <v>1.1532794673614722E-2</v>
      </c>
      <c r="K243" s="2680">
        <v>1.0621493040322125E-2</v>
      </c>
      <c r="L243" s="2680">
        <v>9.7822008973867721E-3</v>
      </c>
      <c r="M243" s="2680">
        <v>9.0092281785209838E-3</v>
      </c>
      <c r="N243" s="2680">
        <v>8.2973344367052743E-3</v>
      </c>
      <c r="O243" s="2680">
        <v>7.6416933160457952E-3</v>
      </c>
      <c r="P243" s="419"/>
      <c r="S243" s="3079"/>
      <c r="T243" s="3079"/>
      <c r="U243" s="3079"/>
      <c r="V243" s="3079"/>
      <c r="W243" s="3079"/>
      <c r="X243" s="3079"/>
      <c r="Y243" s="3079"/>
      <c r="Z243" s="3079"/>
      <c r="AA243" s="3079"/>
    </row>
    <row r="244" spans="1:27" ht="15.75">
      <c r="A244" s="410"/>
      <c r="B244" s="152"/>
      <c r="C244" s="413" t="s">
        <v>970</v>
      </c>
      <c r="D244" s="414"/>
      <c r="E244" s="218" t="s">
        <v>970</v>
      </c>
      <c r="F244" s="2678">
        <f t="shared" si="56"/>
        <v>3.4986699547218635E-2</v>
      </c>
      <c r="G244" s="2678">
        <v>3.4986699547218635E-2</v>
      </c>
      <c r="H244" s="2679">
        <v>3.4551547011758228E-2</v>
      </c>
      <c r="I244" s="2680">
        <v>3.4121806753865246E-2</v>
      </c>
      <c r="J244" s="2680">
        <v>3.3697411457492839E-2</v>
      </c>
      <c r="K244" s="2680">
        <v>3.3278294643847982E-2</v>
      </c>
      <c r="L244" s="2680">
        <v>3.2864390660978016E-2</v>
      </c>
      <c r="M244" s="2680">
        <v>3.2455634673486687E-2</v>
      </c>
      <c r="N244" s="2680">
        <v>3.2051962652378113E-2</v>
      </c>
      <c r="O244" s="2680">
        <v>3.1653311365027019E-2</v>
      </c>
      <c r="P244" s="419"/>
      <c r="S244" s="3079"/>
      <c r="T244" s="3079"/>
      <c r="U244" s="3079"/>
      <c r="V244" s="3079"/>
      <c r="W244" s="3079"/>
      <c r="X244" s="3079"/>
      <c r="Y244" s="3079"/>
      <c r="Z244" s="3079"/>
      <c r="AA244" s="3079"/>
    </row>
    <row r="245" spans="1:27" ht="15.75">
      <c r="A245" s="410"/>
      <c r="B245" s="152"/>
      <c r="C245" s="411"/>
      <c r="D245" s="65"/>
      <c r="E245" s="65"/>
      <c r="F245" s="65"/>
      <c r="G245" s="2662"/>
      <c r="H245" s="2663"/>
      <c r="I245" s="2664"/>
      <c r="J245" s="2664"/>
      <c r="K245" s="2664"/>
      <c r="L245" s="2664"/>
      <c r="M245" s="2664"/>
      <c r="N245" s="2664"/>
      <c r="O245" s="2664"/>
      <c r="P245" s="419"/>
    </row>
    <row r="246" spans="1:27" ht="15.75">
      <c r="A246" s="410"/>
      <c r="B246" s="152"/>
      <c r="C246" s="111"/>
      <c r="D246" s="112"/>
      <c r="E246" s="112"/>
      <c r="F246" s="927"/>
      <c r="G246" s="927"/>
      <c r="H246" s="927"/>
      <c r="I246" s="927"/>
      <c r="J246" s="927"/>
      <c r="K246" s="927"/>
      <c r="L246" s="927"/>
      <c r="M246" s="927"/>
      <c r="N246" s="927"/>
      <c r="O246" s="927"/>
      <c r="P246" s="419"/>
    </row>
    <row r="247" spans="1:27" ht="15.75">
      <c r="A247" s="410"/>
      <c r="B247" s="152"/>
      <c r="C247" s="416"/>
      <c r="D247" s="415"/>
      <c r="E247" s="104"/>
      <c r="F247" s="415"/>
      <c r="G247" s="415"/>
      <c r="H247" s="415"/>
      <c r="I247" s="415"/>
      <c r="J247" s="415"/>
      <c r="K247" s="415"/>
      <c r="L247" s="415"/>
      <c r="M247" s="415"/>
      <c r="N247" s="415"/>
      <c r="O247" s="889"/>
      <c r="P247" s="419"/>
    </row>
    <row r="248" spans="1:27" ht="15.75">
      <c r="A248" s="410"/>
      <c r="B248" s="152"/>
      <c r="C248" s="455" t="s">
        <v>1958</v>
      </c>
      <c r="D248" s="414"/>
      <c r="E248" s="218"/>
      <c r="F248" s="843"/>
      <c r="G248" s="843"/>
      <c r="H248" s="843"/>
      <c r="I248" s="843"/>
      <c r="J248" s="843"/>
      <c r="K248" s="843"/>
      <c r="L248" s="843"/>
      <c r="M248" s="843"/>
      <c r="N248" s="843"/>
      <c r="O248" s="889"/>
      <c r="P248" s="419"/>
    </row>
    <row r="249" spans="1:27" ht="15.75">
      <c r="A249" s="410"/>
      <c r="B249" s="152"/>
      <c r="C249" s="61" t="s">
        <v>840</v>
      </c>
      <c r="D249" s="61" t="s">
        <v>1029</v>
      </c>
      <c r="E249" s="61" t="s">
        <v>275</v>
      </c>
      <c r="F249" s="119">
        <v>2007</v>
      </c>
      <c r="G249" s="120">
        <f>F249+5</f>
        <v>2012</v>
      </c>
      <c r="H249" s="120">
        <f t="shared" ref="H249" si="57">G249+5</f>
        <v>2017</v>
      </c>
      <c r="I249" s="120">
        <f t="shared" ref="I249" si="58">H249+5</f>
        <v>2022</v>
      </c>
      <c r="J249" s="120">
        <f t="shared" ref="J249" si="59">I249+5</f>
        <v>2027</v>
      </c>
      <c r="K249" s="120">
        <f t="shared" ref="K249" si="60">J249+5</f>
        <v>2032</v>
      </c>
      <c r="L249" s="120">
        <f t="shared" ref="L249" si="61">K249+5</f>
        <v>2037</v>
      </c>
      <c r="M249" s="120">
        <f t="shared" ref="M249" si="62">L249+5</f>
        <v>2042</v>
      </c>
      <c r="N249" s="120">
        <f t="shared" ref="N249" si="63">M249+5</f>
        <v>2047</v>
      </c>
      <c r="O249" s="120">
        <f t="shared" ref="O249" si="64">N249+5</f>
        <v>2052</v>
      </c>
      <c r="P249" s="419"/>
    </row>
    <row r="250" spans="1:27" ht="15.75">
      <c r="A250" s="410"/>
      <c r="B250" s="152"/>
      <c r="C250" s="413" t="s">
        <v>955</v>
      </c>
      <c r="D250" s="414" t="s">
        <v>1021</v>
      </c>
      <c r="E250" s="218" t="s">
        <v>953</v>
      </c>
      <c r="F250" s="2678">
        <f>G250</f>
        <v>4.2059980055157466E-3</v>
      </c>
      <c r="G250" s="2678">
        <v>4.2059980055157466E-3</v>
      </c>
      <c r="H250" s="2679">
        <v>4.1850309585422128E-3</v>
      </c>
      <c r="I250" s="2680">
        <v>4.1641684330302247E-3</v>
      </c>
      <c r="J250" s="2680">
        <v>4.1434099079366441E-3</v>
      </c>
      <c r="K250" s="2680">
        <v>4.1227548648157522E-3</v>
      </c>
      <c r="L250" s="2680">
        <v>4.1022027878063021E-3</v>
      </c>
      <c r="M250" s="2680">
        <v>4.0817531636186295E-3</v>
      </c>
      <c r="N250" s="2680">
        <v>4.0614054815218412E-3</v>
      </c>
      <c r="O250" s="2680">
        <v>4.0411592333310532E-3</v>
      </c>
      <c r="P250" s="419"/>
      <c r="S250" s="3079"/>
      <c r="T250" s="3079"/>
      <c r="U250" s="3079"/>
      <c r="V250" s="3079"/>
      <c r="W250" s="3079"/>
      <c r="X250" s="3079"/>
      <c r="Y250" s="3079"/>
      <c r="Z250" s="3079"/>
      <c r="AA250" s="3079"/>
    </row>
    <row r="251" spans="1:27" ht="15.75">
      <c r="A251" s="410"/>
      <c r="B251" s="152"/>
      <c r="C251" s="413"/>
      <c r="D251" s="414"/>
      <c r="E251" s="218" t="s">
        <v>1030</v>
      </c>
      <c r="F251" s="2678">
        <f t="shared" ref="F251:F273" si="65">G251</f>
        <v>6.3428634857206284E-3</v>
      </c>
      <c r="G251" s="2678">
        <v>6.3428634857206284E-3</v>
      </c>
      <c r="H251" s="2679">
        <v>6.3112440896872955E-3</v>
      </c>
      <c r="I251" s="2680">
        <v>6.2797823174476587E-3</v>
      </c>
      <c r="J251" s="2680">
        <v>6.2484773832415987E-3</v>
      </c>
      <c r="K251" s="2680">
        <v>6.2173285052260418E-3</v>
      </c>
      <c r="L251" s="2680">
        <v>6.1863349054554267E-3</v>
      </c>
      <c r="M251" s="2680">
        <v>6.1554958098622783E-3</v>
      </c>
      <c r="N251" s="2680">
        <v>6.1248104482378753E-3</v>
      </c>
      <c r="O251" s="2680">
        <v>6.0942780542130141E-3</v>
      </c>
      <c r="P251" s="419"/>
      <c r="S251" s="3079"/>
      <c r="T251" s="3079"/>
      <c r="U251" s="3079"/>
      <c r="V251" s="3079"/>
      <c r="W251" s="3079"/>
      <c r="X251" s="3079"/>
      <c r="Y251" s="3079"/>
      <c r="Z251" s="3079"/>
      <c r="AA251" s="3079"/>
    </row>
    <row r="252" spans="1:27" ht="15.75">
      <c r="A252" s="218" t="s">
        <v>1950</v>
      </c>
      <c r="B252" s="152"/>
      <c r="C252" s="413"/>
      <c r="D252" s="414"/>
      <c r="E252" s="218" t="s">
        <v>2385</v>
      </c>
      <c r="F252" s="2678">
        <v>2.8906278906278911E-3</v>
      </c>
      <c r="G252" s="2678">
        <v>2.8906278906278911E-3</v>
      </c>
      <c r="H252" s="2679">
        <v>2.8762180096231168E-3</v>
      </c>
      <c r="I252" s="2680">
        <v>2.8618799623784906E-3</v>
      </c>
      <c r="J252" s="2680">
        <v>2.8476133908002083E-3</v>
      </c>
      <c r="K252" s="2680">
        <v>2.8334179385795769E-3</v>
      </c>
      <c r="L252" s="2680">
        <v>2.8192932511841148E-3</v>
      </c>
      <c r="M252" s="2680">
        <v>2.8052389758486959E-3</v>
      </c>
      <c r="N252" s="2680">
        <v>2.7912547615667415E-3</v>
      </c>
      <c r="O252" s="2680">
        <v>2.777340259081453E-3</v>
      </c>
      <c r="P252" s="419"/>
      <c r="S252" s="3079"/>
      <c r="T252" s="3079"/>
      <c r="U252" s="3079"/>
      <c r="V252" s="3079"/>
      <c r="W252" s="3079"/>
      <c r="X252" s="3079"/>
      <c r="Y252" s="3079"/>
      <c r="Z252" s="3079"/>
      <c r="AA252" s="3079"/>
    </row>
    <row r="253" spans="1:27" ht="15.75">
      <c r="A253" s="410"/>
      <c r="B253" s="152"/>
      <c r="C253" s="413"/>
      <c r="D253" s="414" t="s">
        <v>1022</v>
      </c>
      <c r="E253" s="218" t="s">
        <v>953</v>
      </c>
      <c r="F253" s="2678">
        <f t="shared" si="65"/>
        <v>1.4271442842871416E-2</v>
      </c>
      <c r="G253" s="2678">
        <v>1.4271442842871416E-2</v>
      </c>
      <c r="H253" s="2679">
        <v>1.4200299201796416E-2</v>
      </c>
      <c r="I253" s="2680">
        <v>1.412951021425723E-2</v>
      </c>
      <c r="J253" s="2680">
        <v>1.4059074112293599E-2</v>
      </c>
      <c r="K253" s="2680">
        <v>1.3988989136758593E-2</v>
      </c>
      <c r="L253" s="2680">
        <v>1.391925353727471E-2</v>
      </c>
      <c r="M253" s="2680">
        <v>1.3849865572190126E-2</v>
      </c>
      <c r="N253" s="2680">
        <v>1.3780823508535218E-2</v>
      </c>
      <c r="O253" s="2680">
        <v>1.3712125621979279E-2</v>
      </c>
      <c r="P253" s="419"/>
      <c r="S253" s="3079"/>
      <c r="T253" s="3079"/>
      <c r="U253" s="3079"/>
      <c r="V253" s="3079"/>
      <c r="W253" s="3079"/>
      <c r="X253" s="3079"/>
      <c r="Y253" s="3079"/>
      <c r="Z253" s="3079"/>
      <c r="AA253" s="3079"/>
    </row>
    <row r="254" spans="1:27" ht="15.75">
      <c r="A254" s="410"/>
      <c r="B254" s="152"/>
      <c r="C254" s="413"/>
      <c r="D254" s="414"/>
      <c r="E254" s="218" t="s">
        <v>1030</v>
      </c>
      <c r="F254" s="2678">
        <f t="shared" si="65"/>
        <v>1.4271442842871416E-2</v>
      </c>
      <c r="G254" s="2678">
        <v>1.4271442842871416E-2</v>
      </c>
      <c r="H254" s="2679">
        <v>1.4200299201796416E-2</v>
      </c>
      <c r="I254" s="2680">
        <v>1.412951021425723E-2</v>
      </c>
      <c r="J254" s="2680">
        <v>1.4059074112293599E-2</v>
      </c>
      <c r="K254" s="2680">
        <v>1.3988989136758593E-2</v>
      </c>
      <c r="L254" s="2680">
        <v>1.391925353727471E-2</v>
      </c>
      <c r="M254" s="2680">
        <v>1.3849865572190126E-2</v>
      </c>
      <c r="N254" s="2680">
        <v>1.3780823508535218E-2</v>
      </c>
      <c r="O254" s="2680">
        <v>1.3712125621979279E-2</v>
      </c>
      <c r="P254" s="419"/>
      <c r="S254" s="3079"/>
      <c r="T254" s="3079"/>
      <c r="U254" s="3079"/>
      <c r="V254" s="3079"/>
      <c r="W254" s="3079"/>
      <c r="X254" s="3079"/>
      <c r="Y254" s="3079"/>
      <c r="Z254" s="3079"/>
      <c r="AA254" s="3079"/>
    </row>
    <row r="255" spans="1:27" ht="15.75">
      <c r="A255" s="410"/>
      <c r="B255" s="152"/>
      <c r="C255" s="413"/>
      <c r="D255" s="414" t="s">
        <v>1023</v>
      </c>
      <c r="E255" s="218" t="s">
        <v>1031</v>
      </c>
      <c r="F255" s="2678">
        <f t="shared" si="65"/>
        <v>2.3125023125023129E-2</v>
      </c>
      <c r="G255" s="3367">
        <v>2.3125023125023129E-2</v>
      </c>
      <c r="H255" s="3368">
        <v>2.3009744076984934E-2</v>
      </c>
      <c r="I255" s="3369">
        <v>2.1645327515947121E-2</v>
      </c>
      <c r="J255" s="3369">
        <v>1.9684398187425119E-2</v>
      </c>
      <c r="K255" s="3369">
        <v>1.8646060929236482E-2</v>
      </c>
      <c r="L255" s="3369">
        <v>1.7731305494069011E-2</v>
      </c>
      <c r="M255" s="3369">
        <v>1.7521433641637635E-2</v>
      </c>
      <c r="N255" s="3369">
        <v>1.7350480883331618E-2</v>
      </c>
      <c r="O255" s="3369">
        <v>1.5977040598998484E-2</v>
      </c>
      <c r="P255" s="419"/>
      <c r="S255" s="3079"/>
      <c r="T255" s="3079"/>
      <c r="U255" s="3079"/>
      <c r="V255" s="3079"/>
      <c r="W255" s="3079"/>
      <c r="X255" s="3079"/>
      <c r="Y255" s="3079"/>
      <c r="Z255" s="3079"/>
      <c r="AA255" s="3079"/>
    </row>
    <row r="256" spans="1:27" ht="15.75">
      <c r="A256" s="410"/>
      <c r="B256" s="152"/>
      <c r="C256" s="413"/>
      <c r="D256" s="414"/>
      <c r="E256" s="218" t="s">
        <v>953</v>
      </c>
      <c r="F256" s="2678">
        <f t="shared" si="65"/>
        <v>2.7750027750027755E-2</v>
      </c>
      <c r="G256" s="3367">
        <v>2.7750027750027755E-2</v>
      </c>
      <c r="H256" s="3368">
        <v>2.7611692892381922E-2</v>
      </c>
      <c r="I256" s="3369">
        <v>2.6154525669173451E-2</v>
      </c>
      <c r="J256" s="3369">
        <v>2.4127565469833575E-2</v>
      </c>
      <c r="K256" s="3369">
        <v>2.2990838758226776E-2</v>
      </c>
      <c r="L256" s="3369">
        <v>2.1592721173017422E-2</v>
      </c>
      <c r="M256" s="3369">
        <v>2.112521194403167E-2</v>
      </c>
      <c r="N256" s="3369">
        <v>2.0776372297272305E-2</v>
      </c>
      <c r="O256" s="3369">
        <v>1.9328636437293913E-2</v>
      </c>
      <c r="P256" s="419"/>
      <c r="S256" s="3079"/>
      <c r="T256" s="3079"/>
      <c r="U256" s="3079"/>
      <c r="V256" s="3079"/>
      <c r="W256" s="3079"/>
      <c r="X256" s="3079"/>
      <c r="Y256" s="3079"/>
      <c r="Z256" s="3079"/>
      <c r="AA256" s="3079"/>
    </row>
    <row r="257" spans="1:27" ht="15.75">
      <c r="A257" s="410"/>
      <c r="B257" s="152"/>
      <c r="C257" s="413"/>
      <c r="D257" s="414"/>
      <c r="E257" s="218" t="s">
        <v>1030</v>
      </c>
      <c r="F257" s="2678">
        <f t="shared" si="65"/>
        <v>2.3125023125023129E-2</v>
      </c>
      <c r="G257" s="3367">
        <v>2.3125023125023129E-2</v>
      </c>
      <c r="H257" s="3368">
        <v>2.3009744076984934E-2</v>
      </c>
      <c r="I257" s="3369">
        <v>2.165438726447378E-2</v>
      </c>
      <c r="J257" s="3369">
        <v>1.9305093817137103E-2</v>
      </c>
      <c r="K257" s="3369">
        <v>1.8224748766344469E-2</v>
      </c>
      <c r="L257" s="3369">
        <v>1.7365400744040825E-2</v>
      </c>
      <c r="M257" s="3369">
        <v>1.7170046269265708E-2</v>
      </c>
      <c r="N257" s="3369">
        <v>1.7006069986573107E-2</v>
      </c>
      <c r="O257" s="3369">
        <v>1.5547315129777988E-2</v>
      </c>
      <c r="P257" s="419"/>
      <c r="S257" s="3079"/>
      <c r="T257" s="3079"/>
      <c r="U257" s="3079"/>
      <c r="V257" s="3079"/>
      <c r="W257" s="3079"/>
      <c r="X257" s="3079"/>
      <c r="Y257" s="3079"/>
      <c r="Z257" s="3079"/>
      <c r="AA257" s="3079"/>
    </row>
    <row r="258" spans="1:27" ht="15.75">
      <c r="A258" s="410"/>
      <c r="B258" s="152"/>
      <c r="C258" s="413"/>
      <c r="D258" s="414"/>
      <c r="E258" s="218" t="s">
        <v>918</v>
      </c>
      <c r="F258" s="2678">
        <f t="shared" si="65"/>
        <v>2.3125023125023129E-2</v>
      </c>
      <c r="G258" s="3367">
        <v>2.3125023125023129E-2</v>
      </c>
      <c r="H258" s="3368">
        <v>2.3009744076984934E-2</v>
      </c>
      <c r="I258" s="3369">
        <v>2.165438726447378E-2</v>
      </c>
      <c r="J258" s="3369">
        <v>2.1440410684823642E-2</v>
      </c>
      <c r="K258" s="3369">
        <v>2.0843958787250181E-2</v>
      </c>
      <c r="L258" s="3369">
        <v>1.7473843279528081E-2</v>
      </c>
      <c r="M258" s="3369">
        <v>1.7259368165795385E-2</v>
      </c>
      <c r="N258" s="3369">
        <v>1.7081736986720115E-2</v>
      </c>
      <c r="O258" s="3369">
        <v>1.5943463689892173E-2</v>
      </c>
      <c r="P258" s="419"/>
      <c r="S258" s="3079"/>
      <c r="T258" s="3079"/>
      <c r="U258" s="3079"/>
      <c r="V258" s="3079"/>
      <c r="W258" s="3079"/>
      <c r="X258" s="3079"/>
      <c r="Y258" s="3079"/>
      <c r="Z258" s="3079"/>
      <c r="AA258" s="3079"/>
    </row>
    <row r="259" spans="1:27" ht="15.75">
      <c r="A259" s="218" t="s">
        <v>1950</v>
      </c>
      <c r="B259" s="152"/>
      <c r="C259" s="413"/>
      <c r="D259" s="414"/>
      <c r="E259" s="218" t="s">
        <v>954</v>
      </c>
      <c r="F259" s="2678">
        <f t="shared" si="65"/>
        <v>2.8906278906278911E-3</v>
      </c>
      <c r="G259" s="3367">
        <v>2.8906278906278911E-3</v>
      </c>
      <c r="H259" s="3368">
        <v>2.8762180096231168E-3</v>
      </c>
      <c r="I259" s="3369">
        <v>2.861879962378491E-3</v>
      </c>
      <c r="J259" s="3369">
        <v>2.8476133908002083E-3</v>
      </c>
      <c r="K259" s="3369">
        <v>2.8334179385795769E-3</v>
      </c>
      <c r="L259" s="3369">
        <v>2.8192932511841144E-3</v>
      </c>
      <c r="M259" s="3369">
        <v>2.8052389758486959E-3</v>
      </c>
      <c r="N259" s="3369">
        <v>2.7912547615667415E-3</v>
      </c>
      <c r="O259" s="3369">
        <v>2.777340259081453E-3</v>
      </c>
      <c r="P259" s="419"/>
      <c r="S259" s="3079"/>
      <c r="T259" s="3079"/>
      <c r="U259" s="3079"/>
      <c r="V259" s="3079"/>
      <c r="W259" s="3079"/>
      <c r="X259" s="3079"/>
      <c r="Y259" s="3079"/>
      <c r="Z259" s="3079"/>
      <c r="AA259" s="3079"/>
    </row>
    <row r="260" spans="1:27" ht="15.75">
      <c r="A260" s="218"/>
      <c r="B260" s="152"/>
      <c r="C260" s="413"/>
      <c r="D260" s="414" t="s">
        <v>1951</v>
      </c>
      <c r="E260" s="218" t="s">
        <v>1031</v>
      </c>
      <c r="F260" s="2678">
        <f t="shared" si="65"/>
        <v>1.5609390609390612E-2</v>
      </c>
      <c r="G260" s="2678">
        <v>1.5609390609390612E-2</v>
      </c>
      <c r="H260" s="2679">
        <v>1.5531577251964834E-2</v>
      </c>
      <c r="I260" s="2680">
        <v>1.5454151796843849E-2</v>
      </c>
      <c r="J260" s="2680">
        <v>1.5377112310321125E-2</v>
      </c>
      <c r="K260" s="2680">
        <v>1.5300456868329718E-2</v>
      </c>
      <c r="L260" s="2680">
        <v>1.5224183556394221E-2</v>
      </c>
      <c r="M260" s="2680">
        <v>1.5148290469582961E-2</v>
      </c>
      <c r="N260" s="2680">
        <v>1.5072775712460403E-2</v>
      </c>
      <c r="O260" s="2680">
        <v>1.4997637399039847E-2</v>
      </c>
      <c r="P260" s="419"/>
      <c r="S260" s="3079"/>
      <c r="T260" s="3079"/>
      <c r="U260" s="3079"/>
      <c r="V260" s="3079"/>
      <c r="W260" s="3079"/>
      <c r="X260" s="3079"/>
      <c r="Y260" s="3079"/>
      <c r="Z260" s="3079"/>
      <c r="AA260" s="3079"/>
    </row>
    <row r="261" spans="1:27" ht="15.75">
      <c r="A261" s="218"/>
      <c r="B261" s="152"/>
      <c r="C261" s="413"/>
      <c r="D261" s="414" t="s">
        <v>1952</v>
      </c>
      <c r="E261" s="218" t="s">
        <v>1031</v>
      </c>
      <c r="F261" s="2678">
        <f t="shared" si="65"/>
        <v>1.1352284079556808E-2</v>
      </c>
      <c r="G261" s="2678">
        <v>1.1352284079556808E-2</v>
      </c>
      <c r="H261" s="2679">
        <v>1.1295692546883512E-2</v>
      </c>
      <c r="I261" s="2680">
        <v>1.1239383124977345E-2</v>
      </c>
      <c r="J261" s="2680">
        <v>1.1183354407506273E-2</v>
      </c>
      <c r="K261" s="2680">
        <v>1.1127604995148883E-2</v>
      </c>
      <c r="L261" s="2680">
        <v>1.1072133495559426E-2</v>
      </c>
      <c r="M261" s="2680">
        <v>1.1016938523333053E-2</v>
      </c>
      <c r="N261" s="2680">
        <v>1.0962018699971196E-2</v>
      </c>
      <c r="O261" s="2680">
        <v>1.0907372653847152E-2</v>
      </c>
      <c r="P261" s="419"/>
      <c r="S261" s="3079"/>
      <c r="T261" s="3079"/>
      <c r="U261" s="3079"/>
      <c r="V261" s="3079"/>
      <c r="W261" s="3079"/>
      <c r="X261" s="3079"/>
      <c r="Y261" s="3079"/>
      <c r="Z261" s="3079"/>
      <c r="AA261" s="3079"/>
    </row>
    <row r="262" spans="1:27" ht="15.75">
      <c r="A262" s="218"/>
      <c r="B262" s="152"/>
      <c r="C262" s="413"/>
      <c r="D262" s="414" t="s">
        <v>1953</v>
      </c>
      <c r="E262" s="218" t="s">
        <v>1031</v>
      </c>
      <c r="F262" s="2678">
        <f t="shared" si="65"/>
        <v>1.2487512487512488E-2</v>
      </c>
      <c r="G262" s="2678">
        <v>1.2487512487512488E-2</v>
      </c>
      <c r="H262" s="2679">
        <v>1.2425261801571863E-2</v>
      </c>
      <c r="I262" s="2680">
        <v>1.2363321437475072E-2</v>
      </c>
      <c r="J262" s="2680">
        <v>1.2301689848256891E-2</v>
      </c>
      <c r="K262" s="2680">
        <v>1.2240365494663764E-2</v>
      </c>
      <c r="L262" s="2680">
        <v>1.2179346845115364E-2</v>
      </c>
      <c r="M262" s="2680">
        <v>1.2118632375666351E-2</v>
      </c>
      <c r="N262" s="2680">
        <v>1.205822056996831E-2</v>
      </c>
      <c r="O262" s="2680">
        <v>1.1998109919231862E-2</v>
      </c>
      <c r="P262" s="419"/>
      <c r="S262" s="3079"/>
      <c r="T262" s="3079"/>
      <c r="U262" s="3079"/>
      <c r="V262" s="3079"/>
      <c r="W262" s="3079"/>
      <c r="X262" s="3079"/>
      <c r="Y262" s="3079"/>
      <c r="Z262" s="3079"/>
      <c r="AA262" s="3079"/>
    </row>
    <row r="263" spans="1:27" ht="15.75">
      <c r="A263" s="218" t="s">
        <v>1950</v>
      </c>
      <c r="B263" s="152"/>
      <c r="C263" s="413"/>
      <c r="D263" s="414" t="s">
        <v>1954</v>
      </c>
      <c r="E263" s="218" t="s">
        <v>954</v>
      </c>
      <c r="F263" s="2678">
        <f t="shared" si="65"/>
        <v>9.2913039341610787E-4</v>
      </c>
      <c r="G263" s="2678">
        <v>9.2913039341610787E-4</v>
      </c>
      <c r="H263" s="2679">
        <v>9.2449864595028756E-4</v>
      </c>
      <c r="I263" s="2680">
        <v>9.1988998790737213E-4</v>
      </c>
      <c r="J263" s="2680">
        <v>9.153043041857812E-4</v>
      </c>
      <c r="K263" s="2680">
        <v>9.1074148025772114E-4</v>
      </c>
      <c r="L263" s="2680">
        <v>9.062014021663222E-4</v>
      </c>
      <c r="M263" s="2680">
        <v>9.0168395652279469E-4</v>
      </c>
      <c r="N263" s="2680">
        <v>8.9718903050359494E-4</v>
      </c>
      <c r="O263" s="2680">
        <v>8.9271651184760932E-4</v>
      </c>
      <c r="P263" s="419"/>
      <c r="S263" s="3079"/>
      <c r="T263" s="3079"/>
      <c r="U263" s="3079"/>
      <c r="V263" s="3079"/>
      <c r="W263" s="3079"/>
      <c r="X263" s="3079"/>
      <c r="Y263" s="3079"/>
      <c r="Z263" s="3079"/>
      <c r="AA263" s="3079"/>
    </row>
    <row r="264" spans="1:27" ht="15.75">
      <c r="A264" s="218"/>
      <c r="B264" s="152"/>
      <c r="C264" s="413"/>
      <c r="D264" s="414" t="s">
        <v>1025</v>
      </c>
      <c r="E264" s="218" t="s">
        <v>1030</v>
      </c>
      <c r="F264" s="2678">
        <f t="shared" si="65"/>
        <v>1.6217548685081153E-2</v>
      </c>
      <c r="G264" s="2678">
        <v>1.6217548685081153E-2</v>
      </c>
      <c r="H264" s="2679">
        <v>1.6136703638405022E-2</v>
      </c>
      <c r="I264" s="2680">
        <v>1.6056261607110489E-2</v>
      </c>
      <c r="J264" s="2680">
        <v>1.5976220582151816E-2</v>
      </c>
      <c r="K264" s="2680">
        <v>1.5896578564498401E-2</v>
      </c>
      <c r="L264" s="2680">
        <v>1.5817333565084898E-2</v>
      </c>
      <c r="M264" s="2680">
        <v>1.5738483604761509E-2</v>
      </c>
      <c r="N264" s="2680">
        <v>1.5660026714244567E-2</v>
      </c>
      <c r="O264" s="2680">
        <v>1.5581960934067367E-2</v>
      </c>
      <c r="P264" s="419"/>
      <c r="S264" s="3079"/>
      <c r="T264" s="3079"/>
      <c r="U264" s="3079"/>
      <c r="V264" s="3079"/>
      <c r="W264" s="3079"/>
      <c r="X264" s="3079"/>
      <c r="Y264" s="3079"/>
      <c r="Z264" s="3079"/>
      <c r="AA264" s="3079"/>
    </row>
    <row r="265" spans="1:27" ht="15.75">
      <c r="A265" s="218"/>
      <c r="B265" s="152"/>
      <c r="C265" s="413"/>
      <c r="D265" s="414"/>
      <c r="E265" s="218" t="s">
        <v>918</v>
      </c>
      <c r="F265" s="2678">
        <f t="shared" si="65"/>
        <v>1.8920473465928012E-2</v>
      </c>
      <c r="G265" s="2678">
        <v>1.8920473465928012E-2</v>
      </c>
      <c r="H265" s="2679">
        <v>1.8826154244805854E-2</v>
      </c>
      <c r="I265" s="2680">
        <v>1.8732305208295569E-2</v>
      </c>
      <c r="J265" s="2680">
        <v>1.8638924012510452E-2</v>
      </c>
      <c r="K265" s="2680">
        <v>1.854600832524814E-2</v>
      </c>
      <c r="L265" s="2680">
        <v>1.8453555825932385E-2</v>
      </c>
      <c r="M265" s="2680">
        <v>1.8361564205555094E-2</v>
      </c>
      <c r="N265" s="2680">
        <v>1.8270031166618666E-2</v>
      </c>
      <c r="O265" s="2680">
        <v>1.8178954423078597E-2</v>
      </c>
      <c r="P265" s="419"/>
      <c r="S265" s="3079"/>
      <c r="T265" s="3079"/>
      <c r="U265" s="3079"/>
      <c r="V265" s="3079"/>
      <c r="W265" s="3079"/>
      <c r="X265" s="3079"/>
      <c r="Y265" s="3079"/>
      <c r="Z265" s="3079"/>
      <c r="AA265" s="3079"/>
    </row>
    <row r="266" spans="1:27" ht="15.75">
      <c r="A266" s="218"/>
      <c r="B266" s="152"/>
      <c r="C266" s="413"/>
      <c r="D266" s="414"/>
      <c r="E266" s="218" t="s">
        <v>1031</v>
      </c>
      <c r="F266" s="2678">
        <f t="shared" si="65"/>
        <v>1.6217548685081153E-2</v>
      </c>
      <c r="G266" s="2678">
        <v>1.6217548685081153E-2</v>
      </c>
      <c r="H266" s="2679">
        <v>1.6136703638405022E-2</v>
      </c>
      <c r="I266" s="2680">
        <v>1.6056261607110489E-2</v>
      </c>
      <c r="J266" s="2680">
        <v>1.5976220582151816E-2</v>
      </c>
      <c r="K266" s="2680">
        <v>1.5896578564498401E-2</v>
      </c>
      <c r="L266" s="2680">
        <v>1.5817333565084898E-2</v>
      </c>
      <c r="M266" s="2680">
        <v>1.5738483604761509E-2</v>
      </c>
      <c r="N266" s="2680">
        <v>1.5660026714244567E-2</v>
      </c>
      <c r="O266" s="2680">
        <v>1.5581960934067367E-2</v>
      </c>
      <c r="P266" s="419"/>
      <c r="S266" s="3079"/>
      <c r="T266" s="3079"/>
      <c r="U266" s="3079"/>
      <c r="V266" s="3079"/>
      <c r="W266" s="3079"/>
      <c r="X266" s="3079"/>
      <c r="Y266" s="3079"/>
      <c r="Z266" s="3079"/>
      <c r="AA266" s="3079"/>
    </row>
    <row r="267" spans="1:27" ht="15.75">
      <c r="A267" s="218"/>
      <c r="B267" s="152"/>
      <c r="C267" s="413"/>
      <c r="D267" s="414"/>
      <c r="E267" s="218" t="s">
        <v>953</v>
      </c>
      <c r="F267" s="2678">
        <f t="shared" si="65"/>
        <v>2.0271935856351442E-2</v>
      </c>
      <c r="G267" s="2678">
        <v>2.0271935856351442E-2</v>
      </c>
      <c r="H267" s="2679">
        <v>2.0170879548006272E-2</v>
      </c>
      <c r="I267" s="2680">
        <v>2.0070327008888111E-2</v>
      </c>
      <c r="J267" s="2680">
        <v>1.9970275727689769E-2</v>
      </c>
      <c r="K267" s="2680">
        <v>1.9870723205623001E-2</v>
      </c>
      <c r="L267" s="2680">
        <v>1.9771666956356123E-2</v>
      </c>
      <c r="M267" s="2680">
        <v>1.9673104505951881E-2</v>
      </c>
      <c r="N267" s="2680">
        <v>1.957503339280571E-2</v>
      </c>
      <c r="O267" s="2680">
        <v>1.9477451167584203E-2</v>
      </c>
      <c r="P267" s="419"/>
      <c r="S267" s="3079"/>
      <c r="T267" s="3079"/>
      <c r="U267" s="3079"/>
      <c r="V267" s="3079"/>
      <c r="W267" s="3079"/>
      <c r="X267" s="3079"/>
      <c r="Y267" s="3079"/>
      <c r="Z267" s="3079"/>
      <c r="AA267" s="3079"/>
    </row>
    <row r="268" spans="1:27" ht="15.75">
      <c r="A268" s="218"/>
      <c r="B268" s="152"/>
      <c r="C268" s="413"/>
      <c r="D268" s="414" t="s">
        <v>1026</v>
      </c>
      <c r="E268" s="218" t="s">
        <v>1030</v>
      </c>
      <c r="F268" s="2678">
        <f t="shared" si="65"/>
        <v>3.2019262788493562E-2</v>
      </c>
      <c r="G268" s="2678">
        <v>3.2019262788493562E-2</v>
      </c>
      <c r="H268" s="2679">
        <v>3.1859645645056063E-2</v>
      </c>
      <c r="I268" s="2680">
        <v>3.1700824198654047E-2</v>
      </c>
      <c r="J268" s="2680">
        <v>3.1542794482709996E-2</v>
      </c>
      <c r="K268" s="2680">
        <v>3.1385552550419929E-2</v>
      </c>
      <c r="L268" s="2680">
        <v>3.1229094474654811E-2</v>
      </c>
      <c r="M268" s="2680">
        <v>3.1073416347862478E-2</v>
      </c>
      <c r="N268" s="2680">
        <v>3.0918514281970056E-2</v>
      </c>
      <c r="O268" s="2680">
        <v>3.0764384408286861E-2</v>
      </c>
      <c r="P268" s="419"/>
      <c r="S268" s="3079"/>
      <c r="T268" s="3079"/>
      <c r="U268" s="3079"/>
      <c r="V268" s="3079"/>
      <c r="W268" s="3079"/>
      <c r="X268" s="3079"/>
      <c r="Y268" s="3079"/>
      <c r="Z268" s="3079"/>
      <c r="AA268" s="3079"/>
    </row>
    <row r="269" spans="1:27" ht="15.75">
      <c r="A269" s="218"/>
      <c r="B269" s="152"/>
      <c r="C269" s="413"/>
      <c r="D269" s="414"/>
      <c r="E269" s="218" t="s">
        <v>918</v>
      </c>
      <c r="F269" s="2678">
        <f t="shared" si="65"/>
        <v>3.2019262788493562E-2</v>
      </c>
      <c r="G269" s="2678">
        <v>3.2019262788493562E-2</v>
      </c>
      <c r="H269" s="2679">
        <v>3.1859645645056063E-2</v>
      </c>
      <c r="I269" s="2680">
        <v>3.1700824198654047E-2</v>
      </c>
      <c r="J269" s="2680">
        <v>3.1542794482709996E-2</v>
      </c>
      <c r="K269" s="2680">
        <v>3.1385552550419929E-2</v>
      </c>
      <c r="L269" s="2680">
        <v>3.1229094474654811E-2</v>
      </c>
      <c r="M269" s="2680">
        <v>3.1073416347862478E-2</v>
      </c>
      <c r="N269" s="2680">
        <v>3.0918514281970056E-2</v>
      </c>
      <c r="O269" s="2680">
        <v>3.0764384408286861E-2</v>
      </c>
      <c r="P269" s="419"/>
      <c r="S269" s="3079"/>
      <c r="T269" s="3079"/>
      <c r="U269" s="3079"/>
      <c r="V269" s="3079"/>
      <c r="W269" s="3079"/>
      <c r="X269" s="3079"/>
      <c r="Y269" s="3079"/>
      <c r="Z269" s="3079"/>
      <c r="AA269" s="3079"/>
    </row>
    <row r="270" spans="1:27" ht="15.75">
      <c r="A270" s="218"/>
      <c r="B270" s="152"/>
      <c r="C270" s="413"/>
      <c r="D270" s="414"/>
      <c r="E270" s="218" t="s">
        <v>953</v>
      </c>
      <c r="F270" s="2678">
        <f t="shared" si="65"/>
        <v>3.8423115346192277E-2</v>
      </c>
      <c r="G270" s="2678">
        <v>3.8423115346192277E-2</v>
      </c>
      <c r="H270" s="2679">
        <v>3.823157477406728E-2</v>
      </c>
      <c r="I270" s="2680">
        <v>3.8040989038384855E-2</v>
      </c>
      <c r="J270" s="2680">
        <v>3.7851353379252002E-2</v>
      </c>
      <c r="K270" s="2680">
        <v>3.766266306050392E-2</v>
      </c>
      <c r="L270" s="2680">
        <v>3.7474913369585777E-2</v>
      </c>
      <c r="M270" s="2680">
        <v>3.7288099617434976E-2</v>
      </c>
      <c r="N270" s="2680">
        <v>3.7102217138364077E-2</v>
      </c>
      <c r="O270" s="2680">
        <v>3.6917261289944242E-2</v>
      </c>
      <c r="P270" s="419"/>
      <c r="S270" s="3079"/>
      <c r="T270" s="3079"/>
      <c r="U270" s="3079"/>
      <c r="V270" s="3079"/>
      <c r="W270" s="3079"/>
      <c r="X270" s="3079"/>
      <c r="Y270" s="3079"/>
      <c r="Z270" s="3079"/>
      <c r="AA270" s="3079"/>
    </row>
    <row r="271" spans="1:27" ht="15.75">
      <c r="A271" s="218"/>
      <c r="B271" s="152"/>
      <c r="C271" s="413" t="s">
        <v>952</v>
      </c>
      <c r="D271" s="414"/>
      <c r="E271" s="218" t="s">
        <v>953</v>
      </c>
      <c r="F271" s="2678">
        <f t="shared" si="65"/>
        <v>2.8662444640598474E-3</v>
      </c>
      <c r="G271" s="2678">
        <v>2.8662444640598474E-3</v>
      </c>
      <c r="H271" s="2679">
        <v>2.3129155621993938E-3</v>
      </c>
      <c r="I271" s="2680">
        <v>1.8664068836217861E-3</v>
      </c>
      <c r="J271" s="2680">
        <v>1.5060967690140349E-3</v>
      </c>
      <c r="K271" s="2680">
        <v>1.2153445733294754E-3</v>
      </c>
      <c r="L271" s="2680">
        <v>9.8072213041686725E-4</v>
      </c>
      <c r="M271" s="2680">
        <v>7.9139358351226546E-4</v>
      </c>
      <c r="N271" s="2680">
        <v>6.386149395427301E-4</v>
      </c>
      <c r="O271" s="2680">
        <v>5.1533023454295433E-4</v>
      </c>
      <c r="P271" s="419"/>
      <c r="S271" s="3079"/>
      <c r="T271" s="3079"/>
      <c r="U271" s="3079"/>
      <c r="V271" s="3079"/>
      <c r="W271" s="3079"/>
      <c r="X271" s="3079"/>
      <c r="Y271" s="3079"/>
      <c r="Z271" s="3079"/>
      <c r="AA271" s="3079"/>
    </row>
    <row r="272" spans="1:27" ht="15.75">
      <c r="A272" s="218" t="s">
        <v>1955</v>
      </c>
      <c r="B272" s="152"/>
      <c r="C272" s="413"/>
      <c r="D272" s="414"/>
      <c r="E272" s="218" t="s">
        <v>954</v>
      </c>
      <c r="F272" s="2678">
        <f t="shared" si="65"/>
        <v>1.4763235023934222E-2</v>
      </c>
      <c r="G272" s="2678">
        <v>1.4763235023934222E-2</v>
      </c>
      <c r="H272" s="2679">
        <v>1.3596669540827696E-2</v>
      </c>
      <c r="I272" s="2680">
        <v>1.2522284059202506E-2</v>
      </c>
      <c r="J272" s="2680">
        <v>1.1532794673614722E-2</v>
      </c>
      <c r="K272" s="2680">
        <v>1.0621493040322125E-2</v>
      </c>
      <c r="L272" s="2680">
        <v>9.7822008973867721E-3</v>
      </c>
      <c r="M272" s="2680">
        <v>9.0092281785209838E-3</v>
      </c>
      <c r="N272" s="2680">
        <v>8.2973344367052743E-3</v>
      </c>
      <c r="O272" s="2680">
        <v>7.6416933160457952E-3</v>
      </c>
      <c r="P272" s="419"/>
      <c r="S272" s="3079"/>
      <c r="T272" s="3079"/>
      <c r="U272" s="3079"/>
      <c r="V272" s="3079"/>
      <c r="W272" s="3079"/>
      <c r="X272" s="3079"/>
      <c r="Y272" s="3079"/>
      <c r="Z272" s="3079"/>
      <c r="AA272" s="3079"/>
    </row>
    <row r="273" spans="1:27" ht="15.75">
      <c r="A273" s="410"/>
      <c r="B273" s="152"/>
      <c r="C273" s="413" t="s">
        <v>970</v>
      </c>
      <c r="D273" s="414"/>
      <c r="E273" s="218" t="s">
        <v>970</v>
      </c>
      <c r="F273" s="2678">
        <f t="shared" si="65"/>
        <v>3.4986699547218635E-2</v>
      </c>
      <c r="G273" s="2678">
        <v>3.4986699547218635E-2</v>
      </c>
      <c r="H273" s="2679">
        <v>3.4551547011758228E-2</v>
      </c>
      <c r="I273" s="2680">
        <v>3.4121806753865246E-2</v>
      </c>
      <c r="J273" s="2680">
        <v>3.3697411457492839E-2</v>
      </c>
      <c r="K273" s="2680">
        <v>3.3278294643847982E-2</v>
      </c>
      <c r="L273" s="2680">
        <v>3.2864390660978016E-2</v>
      </c>
      <c r="M273" s="2680">
        <v>3.2455634673486687E-2</v>
      </c>
      <c r="N273" s="2680">
        <v>3.2051962652378113E-2</v>
      </c>
      <c r="O273" s="2680">
        <v>3.1653311365027019E-2</v>
      </c>
      <c r="P273" s="419"/>
      <c r="S273" s="3079"/>
      <c r="T273" s="3079"/>
      <c r="U273" s="3079"/>
      <c r="V273" s="3079"/>
      <c r="W273" s="3079"/>
      <c r="X273" s="3079"/>
      <c r="Y273" s="3079"/>
      <c r="Z273" s="3079"/>
      <c r="AA273" s="3079"/>
    </row>
    <row r="274" spans="1:27" ht="15.75">
      <c r="A274" s="410"/>
      <c r="B274" s="152"/>
      <c r="C274" s="411"/>
      <c r="D274" s="65"/>
      <c r="E274" s="65"/>
      <c r="F274" s="65"/>
      <c r="G274" s="2662"/>
      <c r="H274" s="2663"/>
      <c r="I274" s="2664"/>
      <c r="J274" s="2664"/>
      <c r="K274" s="2664"/>
      <c r="L274" s="2664"/>
      <c r="M274" s="2664"/>
      <c r="N274" s="2664"/>
      <c r="O274" s="2664"/>
      <c r="P274" s="419"/>
    </row>
    <row r="275" spans="1:27" ht="15.75">
      <c r="A275" s="410"/>
      <c r="B275" s="152"/>
      <c r="C275" s="111"/>
      <c r="D275" s="112"/>
      <c r="E275" s="112"/>
      <c r="F275" s="927"/>
      <c r="G275" s="927"/>
      <c r="H275" s="927"/>
      <c r="I275" s="927"/>
      <c r="J275" s="927"/>
      <c r="K275" s="927"/>
      <c r="L275" s="927"/>
      <c r="M275" s="927"/>
      <c r="N275" s="927"/>
      <c r="O275" s="927"/>
      <c r="P275" s="419"/>
    </row>
    <row r="276" spans="1:27" ht="15.75">
      <c r="A276" s="410"/>
      <c r="B276" s="152"/>
      <c r="C276" s="126"/>
      <c r="D276" s="414"/>
      <c r="E276" s="218"/>
      <c r="F276" s="843"/>
      <c r="G276" s="843"/>
      <c r="H276" s="843"/>
      <c r="I276" s="843"/>
      <c r="J276" s="843"/>
      <c r="K276" s="843"/>
      <c r="L276" s="843"/>
      <c r="M276" s="843"/>
      <c r="N276" s="843"/>
      <c r="O276" s="875"/>
      <c r="P276" s="419"/>
    </row>
    <row r="277" spans="1:27" ht="15.75">
      <c r="A277" s="410"/>
      <c r="B277" s="152"/>
      <c r="C277" s="455" t="s">
        <v>1959</v>
      </c>
      <c r="D277" s="414"/>
      <c r="E277" s="218"/>
      <c r="F277" s="843"/>
      <c r="G277" s="843"/>
      <c r="H277" s="843"/>
      <c r="I277" s="843"/>
      <c r="J277" s="843"/>
      <c r="K277" s="843"/>
      <c r="L277" s="843"/>
      <c r="M277" s="843"/>
      <c r="N277" s="843"/>
      <c r="O277" s="889"/>
      <c r="P277" s="419"/>
    </row>
    <row r="278" spans="1:27" ht="15.75">
      <c r="A278" s="410"/>
      <c r="B278" s="152"/>
      <c r="C278" s="61" t="s">
        <v>840</v>
      </c>
      <c r="D278" s="61" t="s">
        <v>1029</v>
      </c>
      <c r="E278" s="61" t="s">
        <v>275</v>
      </c>
      <c r="F278" s="119">
        <v>2007</v>
      </c>
      <c r="G278" s="120">
        <f>F278+5</f>
        <v>2012</v>
      </c>
      <c r="H278" s="120">
        <f t="shared" ref="H278" si="66">G278+5</f>
        <v>2017</v>
      </c>
      <c r="I278" s="120">
        <f t="shared" ref="I278" si="67">H278+5</f>
        <v>2022</v>
      </c>
      <c r="J278" s="120">
        <f t="shared" ref="J278" si="68">I278+5</f>
        <v>2027</v>
      </c>
      <c r="K278" s="120">
        <f t="shared" ref="K278" si="69">J278+5</f>
        <v>2032</v>
      </c>
      <c r="L278" s="120">
        <f t="shared" ref="L278" si="70">K278+5</f>
        <v>2037</v>
      </c>
      <c r="M278" s="120">
        <f t="shared" ref="M278" si="71">L278+5</f>
        <v>2042</v>
      </c>
      <c r="N278" s="120">
        <f t="shared" ref="N278" si="72">M278+5</f>
        <v>2047</v>
      </c>
      <c r="O278" s="120">
        <f t="shared" ref="O278" si="73">N278+5</f>
        <v>2052</v>
      </c>
      <c r="P278" s="419"/>
    </row>
    <row r="279" spans="1:27" ht="15.75">
      <c r="A279" s="410"/>
      <c r="B279" s="152"/>
      <c r="C279" s="413" t="s">
        <v>955</v>
      </c>
      <c r="D279" s="414" t="s">
        <v>1021</v>
      </c>
      <c r="E279" s="218" t="s">
        <v>953</v>
      </c>
      <c r="F279" s="2678">
        <f>G279</f>
        <v>4.2059980055157466E-3</v>
      </c>
      <c r="G279" s="2678">
        <v>4.2059980055157466E-3</v>
      </c>
      <c r="H279" s="2679">
        <v>4.1850309585422128E-3</v>
      </c>
      <c r="I279" s="2680">
        <v>4.1641684330302247E-3</v>
      </c>
      <c r="J279" s="2680">
        <v>4.1434099079366441E-3</v>
      </c>
      <c r="K279" s="2680">
        <v>4.1227548648157522E-3</v>
      </c>
      <c r="L279" s="2680">
        <v>4.1022027878063021E-3</v>
      </c>
      <c r="M279" s="2680">
        <v>4.0817531636186295E-3</v>
      </c>
      <c r="N279" s="2680">
        <v>4.0614054815218412E-3</v>
      </c>
      <c r="O279" s="2680">
        <v>4.0411592333310532E-3</v>
      </c>
      <c r="P279" s="419"/>
      <c r="S279" s="3079"/>
      <c r="T279" s="3079"/>
      <c r="U279" s="3079"/>
      <c r="V279" s="3079"/>
      <c r="W279" s="3079"/>
      <c r="X279" s="3079"/>
      <c r="Y279" s="3079"/>
      <c r="Z279" s="3079"/>
      <c r="AA279" s="3079"/>
    </row>
    <row r="280" spans="1:27" ht="15.75">
      <c r="A280" s="410"/>
      <c r="B280" s="152"/>
      <c r="C280" s="413"/>
      <c r="D280" s="414"/>
      <c r="E280" s="218" t="s">
        <v>1030</v>
      </c>
      <c r="F280" s="2678">
        <f t="shared" ref="F280:F302" si="74">G280</f>
        <v>6.3428634857206284E-3</v>
      </c>
      <c r="G280" s="2678">
        <v>6.3428634857206284E-3</v>
      </c>
      <c r="H280" s="2679">
        <v>6.3112440896872955E-3</v>
      </c>
      <c r="I280" s="2680">
        <v>6.2797823174476587E-3</v>
      </c>
      <c r="J280" s="2680">
        <v>6.2484773832415987E-3</v>
      </c>
      <c r="K280" s="2680">
        <v>6.2173285052260418E-3</v>
      </c>
      <c r="L280" s="2680">
        <v>6.1863349054554267E-3</v>
      </c>
      <c r="M280" s="2680">
        <v>6.1554958098622783E-3</v>
      </c>
      <c r="N280" s="2680">
        <v>6.1248104482378753E-3</v>
      </c>
      <c r="O280" s="2680">
        <v>6.0942780542130141E-3</v>
      </c>
      <c r="P280" s="419"/>
      <c r="S280" s="3079"/>
      <c r="T280" s="3079"/>
      <c r="U280" s="3079"/>
      <c r="V280" s="3079"/>
      <c r="W280" s="3079"/>
      <c r="X280" s="3079"/>
      <c r="Y280" s="3079"/>
      <c r="Z280" s="3079"/>
      <c r="AA280" s="3079"/>
    </row>
    <row r="281" spans="1:27" ht="15.75">
      <c r="A281" s="410"/>
      <c r="B281" s="152"/>
      <c r="C281" s="413"/>
      <c r="D281" s="414"/>
      <c r="E281" s="218" t="s">
        <v>954</v>
      </c>
      <c r="F281" s="2678">
        <v>2.8906278906278911E-3</v>
      </c>
      <c r="G281" s="2678">
        <v>2.8906278906278911E-3</v>
      </c>
      <c r="H281" s="2679">
        <v>2.8762180096231168E-3</v>
      </c>
      <c r="I281" s="2680">
        <v>2.8618799623784906E-3</v>
      </c>
      <c r="J281" s="2680">
        <v>2.8476133908002083E-3</v>
      </c>
      <c r="K281" s="2680">
        <v>2.8334179385795769E-3</v>
      </c>
      <c r="L281" s="2680">
        <v>2.8192932511841148E-3</v>
      </c>
      <c r="M281" s="2680">
        <v>2.8052389758486959E-3</v>
      </c>
      <c r="N281" s="2680">
        <v>2.7912547615667415E-3</v>
      </c>
      <c r="O281" s="2680">
        <v>2.777340259081453E-3</v>
      </c>
      <c r="P281" s="419"/>
      <c r="S281" s="3079"/>
      <c r="T281" s="3079"/>
      <c r="U281" s="3079"/>
      <c r="V281" s="3079"/>
      <c r="W281" s="3079"/>
      <c r="X281" s="3079"/>
      <c r="Y281" s="3079"/>
      <c r="Z281" s="3079"/>
      <c r="AA281" s="3079"/>
    </row>
    <row r="282" spans="1:27" ht="15.75">
      <c r="A282" s="410"/>
      <c r="B282" s="152"/>
      <c r="C282" s="413"/>
      <c r="D282" s="414" t="s">
        <v>1022</v>
      </c>
      <c r="E282" s="218" t="s">
        <v>953</v>
      </c>
      <c r="F282" s="2678">
        <f t="shared" si="74"/>
        <v>1.4271442842871416E-2</v>
      </c>
      <c r="G282" s="2678">
        <v>1.4271442842871416E-2</v>
      </c>
      <c r="H282" s="2679">
        <v>1.4200299201796416E-2</v>
      </c>
      <c r="I282" s="2680">
        <v>1.412951021425723E-2</v>
      </c>
      <c r="J282" s="2680">
        <v>1.4059074112293599E-2</v>
      </c>
      <c r="K282" s="2680">
        <v>1.3988989136758593E-2</v>
      </c>
      <c r="L282" s="2680">
        <v>1.391925353727471E-2</v>
      </c>
      <c r="M282" s="2680">
        <v>1.3849865572190126E-2</v>
      </c>
      <c r="N282" s="2680">
        <v>1.3780823508535218E-2</v>
      </c>
      <c r="O282" s="2680">
        <v>1.3712125621979279E-2</v>
      </c>
      <c r="P282" s="419"/>
      <c r="S282" s="3079"/>
      <c r="T282" s="3079"/>
      <c r="U282" s="3079"/>
      <c r="V282" s="3079"/>
      <c r="W282" s="3079"/>
      <c r="X282" s="3079"/>
      <c r="Y282" s="3079"/>
      <c r="Z282" s="3079"/>
      <c r="AA282" s="3079"/>
    </row>
    <row r="283" spans="1:27" ht="15.75">
      <c r="A283" s="410"/>
      <c r="B283" s="152"/>
      <c r="C283" s="413"/>
      <c r="D283" s="414"/>
      <c r="E283" s="218" t="s">
        <v>1030</v>
      </c>
      <c r="F283" s="2678">
        <f t="shared" si="74"/>
        <v>1.4271442842871416E-2</v>
      </c>
      <c r="G283" s="2678">
        <v>1.4271442842871416E-2</v>
      </c>
      <c r="H283" s="2679">
        <v>1.4200299201796416E-2</v>
      </c>
      <c r="I283" s="2680">
        <v>1.412951021425723E-2</v>
      </c>
      <c r="J283" s="2680">
        <v>1.4059074112293599E-2</v>
      </c>
      <c r="K283" s="2680">
        <v>1.3988989136758593E-2</v>
      </c>
      <c r="L283" s="2680">
        <v>1.391925353727471E-2</v>
      </c>
      <c r="M283" s="2680">
        <v>1.3849865572190126E-2</v>
      </c>
      <c r="N283" s="2680">
        <v>1.3780823508535218E-2</v>
      </c>
      <c r="O283" s="2680">
        <v>1.3712125621979279E-2</v>
      </c>
      <c r="P283" s="419"/>
      <c r="S283" s="3079"/>
      <c r="T283" s="3079"/>
      <c r="U283" s="3079"/>
      <c r="V283" s="3079"/>
      <c r="W283" s="3079"/>
      <c r="X283" s="3079"/>
      <c r="Y283" s="3079"/>
      <c r="Z283" s="3079"/>
      <c r="AA283" s="3079"/>
    </row>
    <row r="284" spans="1:27" ht="15.75">
      <c r="A284" s="410"/>
      <c r="B284" s="152"/>
      <c r="C284" s="413"/>
      <c r="D284" s="414" t="s">
        <v>1023</v>
      </c>
      <c r="E284" s="218" t="s">
        <v>1031</v>
      </c>
      <c r="F284" s="2678">
        <f t="shared" si="74"/>
        <v>2.3125023125023129E-2</v>
      </c>
      <c r="G284" s="3367">
        <v>2.3125023125023129E-2</v>
      </c>
      <c r="H284" s="3368">
        <v>2.3009744076984934E-2</v>
      </c>
      <c r="I284" s="3369">
        <v>2.1645327515947121E-2</v>
      </c>
      <c r="J284" s="3369">
        <v>1.9684398187425119E-2</v>
      </c>
      <c r="K284" s="3369">
        <v>1.8646060929236482E-2</v>
      </c>
      <c r="L284" s="3369">
        <v>1.7731305494069011E-2</v>
      </c>
      <c r="M284" s="3369">
        <v>1.7521433641637635E-2</v>
      </c>
      <c r="N284" s="3369">
        <v>1.7350480883331618E-2</v>
      </c>
      <c r="O284" s="3369">
        <v>1.5977040598998484E-2</v>
      </c>
      <c r="P284" s="419"/>
      <c r="S284" s="3079"/>
      <c r="T284" s="3079"/>
      <c r="U284" s="3079"/>
      <c r="V284" s="3079"/>
      <c r="W284" s="3079"/>
      <c r="X284" s="3079"/>
      <c r="Y284" s="3079"/>
      <c r="Z284" s="3079"/>
      <c r="AA284" s="3079"/>
    </row>
    <row r="285" spans="1:27" ht="15.75">
      <c r="A285" s="410"/>
      <c r="B285" s="152"/>
      <c r="C285" s="413"/>
      <c r="D285" s="414"/>
      <c r="E285" s="218" t="s">
        <v>953</v>
      </c>
      <c r="F285" s="2678">
        <f t="shared" si="74"/>
        <v>2.7750027750027755E-2</v>
      </c>
      <c r="G285" s="3367">
        <v>2.7750027750027755E-2</v>
      </c>
      <c r="H285" s="3368">
        <v>2.7611692892381922E-2</v>
      </c>
      <c r="I285" s="3369">
        <v>2.6154525669173451E-2</v>
      </c>
      <c r="J285" s="3369">
        <v>2.4127565469833575E-2</v>
      </c>
      <c r="K285" s="3369">
        <v>2.2990838758226776E-2</v>
      </c>
      <c r="L285" s="3369">
        <v>2.1592721173017422E-2</v>
      </c>
      <c r="M285" s="3369">
        <v>2.112521194403167E-2</v>
      </c>
      <c r="N285" s="3369">
        <v>2.0776372297272305E-2</v>
      </c>
      <c r="O285" s="3369">
        <v>1.9328636437293913E-2</v>
      </c>
      <c r="P285" s="419"/>
      <c r="S285" s="3079"/>
      <c r="T285" s="3079"/>
      <c r="U285" s="3079"/>
      <c r="V285" s="3079"/>
      <c r="W285" s="3079"/>
      <c r="X285" s="3079"/>
      <c r="Y285" s="3079"/>
      <c r="Z285" s="3079"/>
      <c r="AA285" s="3079"/>
    </row>
    <row r="286" spans="1:27" ht="15.75">
      <c r="A286" s="410"/>
      <c r="B286" s="152"/>
      <c r="C286" s="413"/>
      <c r="D286" s="414"/>
      <c r="E286" s="218" t="s">
        <v>1030</v>
      </c>
      <c r="F286" s="2678">
        <f t="shared" si="74"/>
        <v>2.3125023125023129E-2</v>
      </c>
      <c r="G286" s="3367">
        <v>2.3125023125023129E-2</v>
      </c>
      <c r="H286" s="3368">
        <v>2.3009744076984934E-2</v>
      </c>
      <c r="I286" s="3369">
        <v>2.165438726447378E-2</v>
      </c>
      <c r="J286" s="3369">
        <v>1.9305093817137103E-2</v>
      </c>
      <c r="K286" s="3369">
        <v>1.8224748766344469E-2</v>
      </c>
      <c r="L286" s="3369">
        <v>1.7365400744040825E-2</v>
      </c>
      <c r="M286" s="3369">
        <v>1.7170046269265708E-2</v>
      </c>
      <c r="N286" s="3369">
        <v>1.7006069986573107E-2</v>
      </c>
      <c r="O286" s="3369">
        <v>1.5547315129777988E-2</v>
      </c>
      <c r="P286" s="419"/>
      <c r="S286" s="3079"/>
      <c r="T286" s="3079"/>
      <c r="U286" s="3079"/>
      <c r="V286" s="3079"/>
      <c r="W286" s="3079"/>
      <c r="X286" s="3079"/>
      <c r="Y286" s="3079"/>
      <c r="Z286" s="3079"/>
      <c r="AA286" s="3079"/>
    </row>
    <row r="287" spans="1:27" ht="15.75">
      <c r="A287" s="410"/>
      <c r="B287" s="152"/>
      <c r="C287" s="413"/>
      <c r="D287" s="414"/>
      <c r="E287" s="218" t="s">
        <v>918</v>
      </c>
      <c r="F287" s="2678">
        <f t="shared" si="74"/>
        <v>2.3125023125023129E-2</v>
      </c>
      <c r="G287" s="3367">
        <v>2.3125023125023129E-2</v>
      </c>
      <c r="H287" s="3368">
        <v>2.3009744076984934E-2</v>
      </c>
      <c r="I287" s="3369">
        <v>2.165438726447378E-2</v>
      </c>
      <c r="J287" s="3369">
        <v>2.1440410684823642E-2</v>
      </c>
      <c r="K287" s="3369">
        <v>2.0843958787250181E-2</v>
      </c>
      <c r="L287" s="3369">
        <v>1.7473843279528081E-2</v>
      </c>
      <c r="M287" s="3369">
        <v>1.7259368165795385E-2</v>
      </c>
      <c r="N287" s="3369">
        <v>1.7081736986720115E-2</v>
      </c>
      <c r="O287" s="3369">
        <v>1.5943463689892173E-2</v>
      </c>
      <c r="P287" s="419"/>
      <c r="S287" s="3079"/>
      <c r="T287" s="3079"/>
      <c r="U287" s="3079"/>
      <c r="V287" s="3079"/>
      <c r="W287" s="3079"/>
      <c r="X287" s="3079"/>
      <c r="Y287" s="3079"/>
      <c r="Z287" s="3079"/>
      <c r="AA287" s="3079"/>
    </row>
    <row r="288" spans="1:27" ht="15.75">
      <c r="A288" s="218" t="s">
        <v>1950</v>
      </c>
      <c r="B288" s="152"/>
      <c r="C288" s="413"/>
      <c r="D288" s="414"/>
      <c r="E288" s="218" t="s">
        <v>954</v>
      </c>
      <c r="F288" s="2678">
        <f t="shared" si="74"/>
        <v>2.8906278906278911E-3</v>
      </c>
      <c r="G288" s="3367">
        <v>2.8906278906278911E-3</v>
      </c>
      <c r="H288" s="3368">
        <v>2.8762180096231168E-3</v>
      </c>
      <c r="I288" s="3369">
        <v>2.861879962378491E-3</v>
      </c>
      <c r="J288" s="3369">
        <v>2.8476133908002083E-3</v>
      </c>
      <c r="K288" s="3369">
        <v>2.8334179385795769E-3</v>
      </c>
      <c r="L288" s="3369">
        <v>2.8192932511841144E-3</v>
      </c>
      <c r="M288" s="3369">
        <v>2.8052389758486959E-3</v>
      </c>
      <c r="N288" s="3369">
        <v>2.7912547615667415E-3</v>
      </c>
      <c r="O288" s="3369">
        <v>2.777340259081453E-3</v>
      </c>
      <c r="P288" s="419"/>
      <c r="S288" s="3079"/>
      <c r="T288" s="3079"/>
      <c r="U288" s="3079"/>
      <c r="V288" s="3079"/>
      <c r="W288" s="3079"/>
      <c r="X288" s="3079"/>
      <c r="Y288" s="3079"/>
      <c r="Z288" s="3079"/>
      <c r="AA288" s="3079"/>
    </row>
    <row r="289" spans="1:27" ht="15.75">
      <c r="A289" s="218"/>
      <c r="B289" s="152"/>
      <c r="C289" s="413"/>
      <c r="D289" s="414" t="s">
        <v>1951</v>
      </c>
      <c r="E289" s="218" t="s">
        <v>1031</v>
      </c>
      <c r="F289" s="2678">
        <f t="shared" si="74"/>
        <v>1.5609390609390612E-2</v>
      </c>
      <c r="G289" s="2678">
        <v>1.5609390609390612E-2</v>
      </c>
      <c r="H289" s="2679">
        <v>1.5531577251964834E-2</v>
      </c>
      <c r="I289" s="2680">
        <v>1.5454151796843849E-2</v>
      </c>
      <c r="J289" s="2680">
        <v>1.5377112310321125E-2</v>
      </c>
      <c r="K289" s="2680">
        <v>1.5300456868329718E-2</v>
      </c>
      <c r="L289" s="2680">
        <v>1.5224183556394221E-2</v>
      </c>
      <c r="M289" s="2680">
        <v>1.5148290469582961E-2</v>
      </c>
      <c r="N289" s="2680">
        <v>1.5072775712460403E-2</v>
      </c>
      <c r="O289" s="2680">
        <v>1.4997637399039847E-2</v>
      </c>
      <c r="P289" s="419"/>
      <c r="S289" s="3079"/>
      <c r="T289" s="3079"/>
      <c r="U289" s="3079"/>
      <c r="V289" s="3079"/>
      <c r="W289" s="3079"/>
      <c r="X289" s="3079"/>
      <c r="Y289" s="3079"/>
      <c r="Z289" s="3079"/>
      <c r="AA289" s="3079"/>
    </row>
    <row r="290" spans="1:27" ht="15.75">
      <c r="A290" s="218"/>
      <c r="B290" s="152"/>
      <c r="C290" s="413"/>
      <c r="D290" s="414" t="s">
        <v>1952</v>
      </c>
      <c r="E290" s="218" t="s">
        <v>1031</v>
      </c>
      <c r="F290" s="2678">
        <f t="shared" si="74"/>
        <v>1.1352284079556808E-2</v>
      </c>
      <c r="G290" s="2678">
        <v>1.1352284079556808E-2</v>
      </c>
      <c r="H290" s="2679">
        <v>1.1295692546883512E-2</v>
      </c>
      <c r="I290" s="2680">
        <v>1.1239383124977345E-2</v>
      </c>
      <c r="J290" s="2680">
        <v>1.1183354407506273E-2</v>
      </c>
      <c r="K290" s="2680">
        <v>1.1127604995148883E-2</v>
      </c>
      <c r="L290" s="2680">
        <v>1.1072133495559426E-2</v>
      </c>
      <c r="M290" s="2680">
        <v>1.1016938523333053E-2</v>
      </c>
      <c r="N290" s="2680">
        <v>1.0962018699971196E-2</v>
      </c>
      <c r="O290" s="2680">
        <v>1.0907372653847152E-2</v>
      </c>
      <c r="P290" s="419"/>
      <c r="S290" s="3079"/>
      <c r="T290" s="3079"/>
      <c r="U290" s="3079"/>
      <c r="V290" s="3079"/>
      <c r="W290" s="3079"/>
      <c r="X290" s="3079"/>
      <c r="Y290" s="3079"/>
      <c r="Z290" s="3079"/>
      <c r="AA290" s="3079"/>
    </row>
    <row r="291" spans="1:27" ht="15.75">
      <c r="A291" s="218"/>
      <c r="B291" s="152"/>
      <c r="C291" s="413"/>
      <c r="D291" s="414" t="s">
        <v>1953</v>
      </c>
      <c r="E291" s="218" t="s">
        <v>1031</v>
      </c>
      <c r="F291" s="2678">
        <f t="shared" si="74"/>
        <v>1.2487512487512488E-2</v>
      </c>
      <c r="G291" s="2678">
        <v>1.2487512487512488E-2</v>
      </c>
      <c r="H291" s="2679">
        <v>1.2425261801571863E-2</v>
      </c>
      <c r="I291" s="2680">
        <v>1.2363321437475072E-2</v>
      </c>
      <c r="J291" s="2680">
        <v>1.2301689848256891E-2</v>
      </c>
      <c r="K291" s="2680">
        <v>1.2240365494663764E-2</v>
      </c>
      <c r="L291" s="2680">
        <v>1.2179346845115364E-2</v>
      </c>
      <c r="M291" s="2680">
        <v>1.2118632375666351E-2</v>
      </c>
      <c r="N291" s="2680">
        <v>1.205822056996831E-2</v>
      </c>
      <c r="O291" s="2680">
        <v>1.1998109919231862E-2</v>
      </c>
      <c r="P291" s="419"/>
      <c r="S291" s="3079"/>
      <c r="T291" s="3079"/>
      <c r="U291" s="3079"/>
      <c r="V291" s="3079"/>
      <c r="W291" s="3079"/>
      <c r="X291" s="3079"/>
      <c r="Y291" s="3079"/>
      <c r="Z291" s="3079"/>
      <c r="AA291" s="3079"/>
    </row>
    <row r="292" spans="1:27" ht="15.75">
      <c r="A292" s="218" t="s">
        <v>1950</v>
      </c>
      <c r="B292" s="152"/>
      <c r="C292" s="413"/>
      <c r="D292" s="414" t="s">
        <v>1954</v>
      </c>
      <c r="E292" s="218" t="s">
        <v>954</v>
      </c>
      <c r="F292" s="2678">
        <f t="shared" si="74"/>
        <v>9.2913039341610787E-4</v>
      </c>
      <c r="G292" s="2678">
        <v>9.2913039341610787E-4</v>
      </c>
      <c r="H292" s="2679">
        <v>9.2449864595028756E-4</v>
      </c>
      <c r="I292" s="2680">
        <v>9.1988998790737213E-4</v>
      </c>
      <c r="J292" s="2680">
        <v>9.153043041857812E-4</v>
      </c>
      <c r="K292" s="2680">
        <v>9.1074148025772114E-4</v>
      </c>
      <c r="L292" s="2680">
        <v>9.062014021663222E-4</v>
      </c>
      <c r="M292" s="2680">
        <v>9.0168395652279469E-4</v>
      </c>
      <c r="N292" s="2680">
        <v>8.9718903050359494E-4</v>
      </c>
      <c r="O292" s="2680">
        <v>8.9271651184760932E-4</v>
      </c>
      <c r="P292" s="419"/>
      <c r="S292" s="3079"/>
      <c r="T292" s="3079"/>
      <c r="U292" s="3079"/>
      <c r="V292" s="3079"/>
      <c r="W292" s="3079"/>
      <c r="X292" s="3079"/>
      <c r="Y292" s="3079"/>
      <c r="Z292" s="3079"/>
      <c r="AA292" s="3079"/>
    </row>
    <row r="293" spans="1:27" ht="15.75">
      <c r="A293" s="218"/>
      <c r="B293" s="152"/>
      <c r="C293" s="413"/>
      <c r="D293" s="414" t="s">
        <v>1025</v>
      </c>
      <c r="E293" s="218" t="s">
        <v>1030</v>
      </c>
      <c r="F293" s="2678">
        <f t="shared" si="74"/>
        <v>1.6217548685081153E-2</v>
      </c>
      <c r="G293" s="2678">
        <v>1.6217548685081153E-2</v>
      </c>
      <c r="H293" s="2679">
        <v>1.6136703638405022E-2</v>
      </c>
      <c r="I293" s="2680">
        <v>1.6056261607110489E-2</v>
      </c>
      <c r="J293" s="2680">
        <v>1.5976220582151816E-2</v>
      </c>
      <c r="K293" s="2680">
        <v>1.5896578564498401E-2</v>
      </c>
      <c r="L293" s="2680">
        <v>1.5817333565084898E-2</v>
      </c>
      <c r="M293" s="2680">
        <v>1.5738483604761509E-2</v>
      </c>
      <c r="N293" s="2680">
        <v>1.5660026714244567E-2</v>
      </c>
      <c r="O293" s="2680">
        <v>1.5581960934067367E-2</v>
      </c>
      <c r="P293" s="419"/>
      <c r="S293" s="3079"/>
      <c r="T293" s="3079"/>
      <c r="U293" s="3079"/>
      <c r="V293" s="3079"/>
      <c r="W293" s="3079"/>
      <c r="X293" s="3079"/>
      <c r="Y293" s="3079"/>
      <c r="Z293" s="3079"/>
      <c r="AA293" s="3079"/>
    </row>
    <row r="294" spans="1:27" ht="15.75">
      <c r="A294" s="218"/>
      <c r="B294" s="152"/>
      <c r="C294" s="413"/>
      <c r="D294" s="414"/>
      <c r="E294" s="218" t="s">
        <v>918</v>
      </c>
      <c r="F294" s="2678">
        <f t="shared" si="74"/>
        <v>1.8920473465928012E-2</v>
      </c>
      <c r="G294" s="2678">
        <v>1.8920473465928012E-2</v>
      </c>
      <c r="H294" s="2679">
        <v>1.8826154244805854E-2</v>
      </c>
      <c r="I294" s="2680">
        <v>1.8732305208295569E-2</v>
      </c>
      <c r="J294" s="2680">
        <v>1.8638924012510452E-2</v>
      </c>
      <c r="K294" s="2680">
        <v>1.854600832524814E-2</v>
      </c>
      <c r="L294" s="2680">
        <v>1.8453555825932385E-2</v>
      </c>
      <c r="M294" s="2680">
        <v>1.8361564205555094E-2</v>
      </c>
      <c r="N294" s="2680">
        <v>1.8270031166618666E-2</v>
      </c>
      <c r="O294" s="2680">
        <v>1.8178954423078597E-2</v>
      </c>
      <c r="P294" s="419"/>
      <c r="S294" s="3079"/>
      <c r="T294" s="3079"/>
      <c r="U294" s="3079"/>
      <c r="V294" s="3079"/>
      <c r="W294" s="3079"/>
      <c r="X294" s="3079"/>
      <c r="Y294" s="3079"/>
      <c r="Z294" s="3079"/>
      <c r="AA294" s="3079"/>
    </row>
    <row r="295" spans="1:27" ht="15.75">
      <c r="A295" s="218"/>
      <c r="B295" s="152"/>
      <c r="C295" s="413"/>
      <c r="D295" s="414"/>
      <c r="E295" s="218" t="s">
        <v>1031</v>
      </c>
      <c r="F295" s="2678">
        <f t="shared" si="74"/>
        <v>1.6217548685081153E-2</v>
      </c>
      <c r="G295" s="2678">
        <v>1.6217548685081153E-2</v>
      </c>
      <c r="H295" s="2679">
        <v>1.6136703638405022E-2</v>
      </c>
      <c r="I295" s="2680">
        <v>1.6056261607110489E-2</v>
      </c>
      <c r="J295" s="2680">
        <v>1.5976220582151816E-2</v>
      </c>
      <c r="K295" s="2680">
        <v>1.5896578564498401E-2</v>
      </c>
      <c r="L295" s="2680">
        <v>1.5817333565084898E-2</v>
      </c>
      <c r="M295" s="2680">
        <v>1.5738483604761509E-2</v>
      </c>
      <c r="N295" s="2680">
        <v>1.5660026714244567E-2</v>
      </c>
      <c r="O295" s="2680">
        <v>1.5581960934067367E-2</v>
      </c>
      <c r="P295" s="419"/>
      <c r="S295" s="3079"/>
      <c r="T295" s="3079"/>
      <c r="U295" s="3079"/>
      <c r="V295" s="3079"/>
      <c r="W295" s="3079"/>
      <c r="X295" s="3079"/>
      <c r="Y295" s="3079"/>
      <c r="Z295" s="3079"/>
      <c r="AA295" s="3079"/>
    </row>
    <row r="296" spans="1:27" ht="15.75">
      <c r="A296" s="218"/>
      <c r="B296" s="152"/>
      <c r="C296" s="413"/>
      <c r="D296" s="414"/>
      <c r="E296" s="218" t="s">
        <v>953</v>
      </c>
      <c r="F296" s="2678">
        <f t="shared" si="74"/>
        <v>2.0271935856351442E-2</v>
      </c>
      <c r="G296" s="2678">
        <v>2.0271935856351442E-2</v>
      </c>
      <c r="H296" s="2679">
        <v>2.0170879548006272E-2</v>
      </c>
      <c r="I296" s="2680">
        <v>2.0070327008888111E-2</v>
      </c>
      <c r="J296" s="2680">
        <v>1.9970275727689769E-2</v>
      </c>
      <c r="K296" s="2680">
        <v>1.9870723205623001E-2</v>
      </c>
      <c r="L296" s="2680">
        <v>1.9771666956356123E-2</v>
      </c>
      <c r="M296" s="2680">
        <v>1.9673104505951881E-2</v>
      </c>
      <c r="N296" s="2680">
        <v>1.957503339280571E-2</v>
      </c>
      <c r="O296" s="2680">
        <v>1.9477451167584203E-2</v>
      </c>
      <c r="P296" s="419"/>
      <c r="S296" s="3079"/>
      <c r="T296" s="3079"/>
      <c r="U296" s="3079"/>
      <c r="V296" s="3079"/>
      <c r="W296" s="3079"/>
      <c r="X296" s="3079"/>
      <c r="Y296" s="3079"/>
      <c r="Z296" s="3079"/>
      <c r="AA296" s="3079"/>
    </row>
    <row r="297" spans="1:27" ht="15.75">
      <c r="A297" s="218"/>
      <c r="B297" s="152"/>
      <c r="C297" s="413"/>
      <c r="D297" s="414" t="s">
        <v>1026</v>
      </c>
      <c r="E297" s="218" t="s">
        <v>1030</v>
      </c>
      <c r="F297" s="2678">
        <f t="shared" si="74"/>
        <v>3.2019262788493562E-2</v>
      </c>
      <c r="G297" s="2678">
        <v>3.2019262788493562E-2</v>
      </c>
      <c r="H297" s="2679">
        <v>3.1859645645056063E-2</v>
      </c>
      <c r="I297" s="2680">
        <v>3.1700824198654047E-2</v>
      </c>
      <c r="J297" s="2680">
        <v>3.1542794482709996E-2</v>
      </c>
      <c r="K297" s="2680">
        <v>3.1385552550419929E-2</v>
      </c>
      <c r="L297" s="2680">
        <v>3.1229094474654811E-2</v>
      </c>
      <c r="M297" s="2680">
        <v>3.1073416347862478E-2</v>
      </c>
      <c r="N297" s="2680">
        <v>3.0918514281970056E-2</v>
      </c>
      <c r="O297" s="2680">
        <v>3.0764384408286861E-2</v>
      </c>
      <c r="P297" s="419"/>
      <c r="S297" s="3079"/>
      <c r="T297" s="3079"/>
      <c r="U297" s="3079"/>
      <c r="V297" s="3079"/>
      <c r="W297" s="3079"/>
      <c r="X297" s="3079"/>
      <c r="Y297" s="3079"/>
      <c r="Z297" s="3079"/>
      <c r="AA297" s="3079"/>
    </row>
    <row r="298" spans="1:27" ht="15.75">
      <c r="A298" s="218"/>
      <c r="B298" s="152"/>
      <c r="C298" s="413"/>
      <c r="D298" s="414"/>
      <c r="E298" s="218" t="s">
        <v>918</v>
      </c>
      <c r="F298" s="2678">
        <f t="shared" si="74"/>
        <v>3.2019262788493562E-2</v>
      </c>
      <c r="G298" s="2678">
        <v>3.2019262788493562E-2</v>
      </c>
      <c r="H298" s="2679">
        <v>3.1859645645056063E-2</v>
      </c>
      <c r="I298" s="2680">
        <v>3.1700824198654047E-2</v>
      </c>
      <c r="J298" s="2680">
        <v>3.1542794482709996E-2</v>
      </c>
      <c r="K298" s="2680">
        <v>3.1385552550419929E-2</v>
      </c>
      <c r="L298" s="2680">
        <v>3.1229094474654811E-2</v>
      </c>
      <c r="M298" s="2680">
        <v>3.1073416347862478E-2</v>
      </c>
      <c r="N298" s="2680">
        <v>3.0918514281970056E-2</v>
      </c>
      <c r="O298" s="2680">
        <v>3.0764384408286861E-2</v>
      </c>
      <c r="P298" s="419"/>
      <c r="S298" s="3079"/>
      <c r="T298" s="3079"/>
      <c r="U298" s="3079"/>
      <c r="V298" s="3079"/>
      <c r="W298" s="3079"/>
      <c r="X298" s="3079"/>
      <c r="Y298" s="3079"/>
      <c r="Z298" s="3079"/>
      <c r="AA298" s="3079"/>
    </row>
    <row r="299" spans="1:27" ht="15.75">
      <c r="A299" s="218"/>
      <c r="B299" s="152"/>
      <c r="C299" s="413"/>
      <c r="D299" s="414"/>
      <c r="E299" s="218" t="s">
        <v>953</v>
      </c>
      <c r="F299" s="2678">
        <f t="shared" si="74"/>
        <v>3.8423115346192277E-2</v>
      </c>
      <c r="G299" s="2678">
        <v>3.8423115346192277E-2</v>
      </c>
      <c r="H299" s="2679">
        <v>3.823157477406728E-2</v>
      </c>
      <c r="I299" s="2680">
        <v>3.8040989038384855E-2</v>
      </c>
      <c r="J299" s="2680">
        <v>3.7851353379252002E-2</v>
      </c>
      <c r="K299" s="2680">
        <v>3.766266306050392E-2</v>
      </c>
      <c r="L299" s="2680">
        <v>3.7474913369585777E-2</v>
      </c>
      <c r="M299" s="2680">
        <v>3.7288099617434976E-2</v>
      </c>
      <c r="N299" s="2680">
        <v>3.7102217138364077E-2</v>
      </c>
      <c r="O299" s="2680">
        <v>3.6917261289944242E-2</v>
      </c>
      <c r="P299" s="419"/>
      <c r="S299" s="3079"/>
      <c r="T299" s="3079"/>
      <c r="U299" s="3079"/>
      <c r="V299" s="3079"/>
      <c r="W299" s="3079"/>
      <c r="X299" s="3079"/>
      <c r="Y299" s="3079"/>
      <c r="Z299" s="3079"/>
      <c r="AA299" s="3079"/>
    </row>
    <row r="300" spans="1:27" ht="15.75">
      <c r="A300" s="218"/>
      <c r="B300" s="152"/>
      <c r="C300" s="413" t="s">
        <v>952</v>
      </c>
      <c r="D300" s="414"/>
      <c r="E300" s="218" t="s">
        <v>953</v>
      </c>
      <c r="F300" s="2678">
        <f t="shared" si="74"/>
        <v>2.8662444640598474E-3</v>
      </c>
      <c r="G300" s="2678">
        <v>2.8662444640598474E-3</v>
      </c>
      <c r="H300" s="2679">
        <v>2.3129155621993938E-3</v>
      </c>
      <c r="I300" s="2680">
        <v>1.8664068836217861E-3</v>
      </c>
      <c r="J300" s="2680">
        <v>1.5060967690140349E-3</v>
      </c>
      <c r="K300" s="2680">
        <v>1.2153445733294754E-3</v>
      </c>
      <c r="L300" s="2680">
        <v>9.8072213041686725E-4</v>
      </c>
      <c r="M300" s="2680">
        <v>7.9139358351226546E-4</v>
      </c>
      <c r="N300" s="2680">
        <v>6.386149395427301E-4</v>
      </c>
      <c r="O300" s="2680">
        <v>5.1533023454295433E-4</v>
      </c>
      <c r="P300" s="419"/>
      <c r="S300" s="3079"/>
      <c r="T300" s="3079"/>
      <c r="U300" s="3079"/>
      <c r="V300" s="3079"/>
      <c r="W300" s="3079"/>
      <c r="X300" s="3079"/>
      <c r="Y300" s="3079"/>
      <c r="Z300" s="3079"/>
      <c r="AA300" s="3079"/>
    </row>
    <row r="301" spans="1:27" ht="15.75">
      <c r="A301" s="218" t="s">
        <v>1955</v>
      </c>
      <c r="B301" s="152"/>
      <c r="C301" s="413"/>
      <c r="D301" s="414"/>
      <c r="E301" s="218" t="s">
        <v>954</v>
      </c>
      <c r="F301" s="2678">
        <f t="shared" si="74"/>
        <v>1.4763235023934222E-2</v>
      </c>
      <c r="G301" s="2678">
        <v>1.4763235023934222E-2</v>
      </c>
      <c r="H301" s="2679">
        <v>1.3596669540827696E-2</v>
      </c>
      <c r="I301" s="2680">
        <v>1.2522284059202506E-2</v>
      </c>
      <c r="J301" s="2680">
        <v>1.1532794673614722E-2</v>
      </c>
      <c r="K301" s="2680">
        <v>1.0621493040322125E-2</v>
      </c>
      <c r="L301" s="2680">
        <v>9.7822008973867721E-3</v>
      </c>
      <c r="M301" s="2680">
        <v>9.0092281785209838E-3</v>
      </c>
      <c r="N301" s="2680">
        <v>8.2973344367052743E-3</v>
      </c>
      <c r="O301" s="2680">
        <v>7.6416933160457952E-3</v>
      </c>
      <c r="P301" s="419"/>
      <c r="S301" s="3079"/>
      <c r="T301" s="3079"/>
      <c r="U301" s="3079"/>
      <c r="V301" s="3079"/>
      <c r="W301" s="3079"/>
      <c r="X301" s="3079"/>
      <c r="Y301" s="3079"/>
      <c r="Z301" s="3079"/>
      <c r="AA301" s="3079"/>
    </row>
    <row r="302" spans="1:27" ht="15.75">
      <c r="A302" s="410"/>
      <c r="B302" s="152"/>
      <c r="C302" s="413" t="s">
        <v>970</v>
      </c>
      <c r="D302" s="414"/>
      <c r="E302" s="218" t="s">
        <v>970</v>
      </c>
      <c r="F302" s="2678">
        <f t="shared" si="74"/>
        <v>3.4986699547218635E-2</v>
      </c>
      <c r="G302" s="2678">
        <v>3.4986699547218635E-2</v>
      </c>
      <c r="H302" s="2679">
        <v>3.4551547011758228E-2</v>
      </c>
      <c r="I302" s="2680">
        <v>3.4121806753865246E-2</v>
      </c>
      <c r="J302" s="2680">
        <v>3.3697411457492839E-2</v>
      </c>
      <c r="K302" s="2680">
        <v>3.3278294643847982E-2</v>
      </c>
      <c r="L302" s="2680">
        <v>3.2864390660978016E-2</v>
      </c>
      <c r="M302" s="2680">
        <v>3.2455634673486687E-2</v>
      </c>
      <c r="N302" s="2680">
        <v>3.2051962652378113E-2</v>
      </c>
      <c r="O302" s="2680">
        <v>3.1653311365027019E-2</v>
      </c>
      <c r="P302" s="419"/>
      <c r="S302" s="3079"/>
      <c r="T302" s="3079"/>
      <c r="U302" s="3079"/>
      <c r="V302" s="3079"/>
      <c r="W302" s="3079"/>
      <c r="X302" s="3079"/>
      <c r="Y302" s="3079"/>
      <c r="Z302" s="3079"/>
      <c r="AA302" s="3079"/>
    </row>
    <row r="303" spans="1:27" ht="15.75">
      <c r="A303" s="410"/>
      <c r="B303" s="152"/>
      <c r="C303" s="411"/>
      <c r="D303" s="65"/>
      <c r="E303" s="65"/>
      <c r="F303" s="65"/>
      <c r="G303" s="2662"/>
      <c r="H303" s="2663"/>
      <c r="I303" s="2664"/>
      <c r="J303" s="2664"/>
      <c r="K303" s="2664"/>
      <c r="L303" s="2664"/>
      <c r="M303" s="2664"/>
      <c r="N303" s="2664"/>
      <c r="O303" s="2664"/>
      <c r="P303" s="419"/>
    </row>
    <row r="304" spans="1:27" ht="15.75">
      <c r="A304" s="410"/>
      <c r="B304" s="152"/>
      <c r="C304" s="413"/>
      <c r="D304" s="414"/>
      <c r="E304" s="414"/>
      <c r="F304" s="414"/>
      <c r="G304" s="2657"/>
      <c r="H304" s="2661"/>
      <c r="I304" s="2661"/>
      <c r="J304" s="2661"/>
      <c r="K304" s="2661"/>
      <c r="L304" s="2661"/>
      <c r="M304" s="2661"/>
      <c r="N304" s="2661"/>
      <c r="O304" s="2661"/>
      <c r="P304" s="419"/>
    </row>
    <row r="305" spans="1:21">
      <c r="B305" s="418"/>
      <c r="C305" s="104"/>
      <c r="D305" s="415"/>
      <c r="E305" s="415"/>
      <c r="F305" s="415"/>
      <c r="G305" s="415"/>
      <c r="H305" s="415"/>
      <c r="I305" s="415"/>
      <c r="J305" s="415"/>
      <c r="K305" s="415"/>
      <c r="L305" s="415"/>
      <c r="M305" s="415"/>
      <c r="N305" s="415"/>
      <c r="O305" s="415"/>
      <c r="P305" s="419"/>
    </row>
    <row r="306" spans="1:21">
      <c r="B306" s="418"/>
      <c r="C306" s="104"/>
      <c r="D306" s="415"/>
      <c r="E306" s="415"/>
      <c r="F306" s="415"/>
      <c r="G306" s="415"/>
      <c r="H306" s="415"/>
      <c r="I306" s="415"/>
      <c r="J306" s="415"/>
      <c r="K306" s="415"/>
      <c r="L306" s="415"/>
      <c r="M306" s="415"/>
      <c r="N306" s="415"/>
      <c r="O306" s="415"/>
      <c r="P306" s="419"/>
    </row>
    <row r="307" spans="1:21" s="410" customFormat="1">
      <c r="B307" s="418"/>
      <c r="C307" s="104"/>
      <c r="D307" s="105"/>
      <c r="E307" s="203"/>
      <c r="F307" s="203"/>
      <c r="G307" s="203"/>
      <c r="H307" s="203"/>
      <c r="I307" s="203"/>
      <c r="J307" s="203"/>
      <c r="K307" s="203"/>
      <c r="L307" s="203"/>
      <c r="M307" s="203"/>
      <c r="N307" s="203"/>
      <c r="O307" s="203"/>
      <c r="P307" s="203"/>
    </row>
    <row r="308" spans="1:21">
      <c r="B308" s="418"/>
    </row>
    <row r="309" spans="1:21" s="242" customFormat="1">
      <c r="B309" s="665"/>
      <c r="Q309" s="35"/>
      <c r="R309" s="850"/>
      <c r="S309" s="35"/>
      <c r="T309" s="35"/>
      <c r="U309" s="35"/>
    </row>
    <row r="310" spans="1:21" ht="18" collapsed="1">
      <c r="A310" s="62"/>
      <c r="B310" s="665"/>
      <c r="Q310" s="35"/>
      <c r="R310" s="851"/>
      <c r="S310" s="35"/>
      <c r="T310" s="35"/>
      <c r="U310" s="35"/>
    </row>
    <row r="311" spans="1:21" s="19" customFormat="1">
      <c r="B311" s="665"/>
      <c r="C311" s="3069"/>
      <c r="Q311" s="383"/>
      <c r="R311" s="851"/>
      <c r="S311" s="35"/>
      <c r="T311" s="383"/>
      <c r="U311" s="383"/>
    </row>
    <row r="312" spans="1:21" s="19" customFormat="1">
      <c r="B312" s="849">
        <v>1</v>
      </c>
      <c r="C312" s="423" t="s">
        <v>2200</v>
      </c>
      <c r="D312" s="3069"/>
      <c r="E312" s="3069"/>
      <c r="F312" s="3069"/>
      <c r="G312" s="3069"/>
      <c r="H312" s="3069"/>
      <c r="I312" s="3069"/>
      <c r="J312" s="3069"/>
      <c r="K312" s="3069"/>
      <c r="L312" s="3069"/>
      <c r="M312" s="3069"/>
      <c r="N312" s="423"/>
      <c r="O312" s="423" t="s">
        <v>1039</v>
      </c>
      <c r="Q312" s="383"/>
      <c r="R312" s="851"/>
      <c r="S312" s="35"/>
      <c r="T312" s="383"/>
      <c r="U312" s="383"/>
    </row>
    <row r="313" spans="1:21" s="19" customFormat="1">
      <c r="B313" s="849"/>
      <c r="C313" s="893" t="s">
        <v>840</v>
      </c>
      <c r="D313" s="893" t="s">
        <v>1029</v>
      </c>
      <c r="E313" s="893" t="s">
        <v>275</v>
      </c>
      <c r="F313" s="641">
        <v>2007</v>
      </c>
      <c r="G313" s="642">
        <f t="shared" ref="G313:O313" si="75">F313+5</f>
        <v>2012</v>
      </c>
      <c r="H313" s="642">
        <f t="shared" si="75"/>
        <v>2017</v>
      </c>
      <c r="I313" s="642">
        <f t="shared" si="75"/>
        <v>2022</v>
      </c>
      <c r="J313" s="642">
        <f t="shared" si="75"/>
        <v>2027</v>
      </c>
      <c r="K313" s="642">
        <f t="shared" si="75"/>
        <v>2032</v>
      </c>
      <c r="L313" s="642">
        <f t="shared" si="75"/>
        <v>2037</v>
      </c>
      <c r="M313" s="642">
        <f t="shared" si="75"/>
        <v>2042</v>
      </c>
      <c r="N313" s="642">
        <f t="shared" si="75"/>
        <v>2047</v>
      </c>
      <c r="O313" s="642">
        <f t="shared" si="75"/>
        <v>2052</v>
      </c>
      <c r="Q313" s="510" t="s">
        <v>533</v>
      </c>
      <c r="R313" s="851"/>
      <c r="S313" s="35"/>
      <c r="T313" s="383"/>
      <c r="U313" s="383"/>
    </row>
    <row r="314" spans="1:21" s="19" customFormat="1">
      <c r="B314" s="849"/>
      <c r="C314" s="894" t="s">
        <v>955</v>
      </c>
      <c r="D314" s="628" t="s">
        <v>1021</v>
      </c>
      <c r="E314" s="895" t="s">
        <v>953</v>
      </c>
      <c r="F314" s="2485">
        <f>F164</f>
        <v>0.98823643505090775</v>
      </c>
      <c r="G314" s="2485">
        <f>G164</f>
        <v>0.98823643505090775</v>
      </c>
      <c r="H314" s="2485">
        <f>(1-H316)*H164/(H164+H165)</f>
        <v>0.98643841557818124</v>
      </c>
      <c r="I314" s="2485">
        <f t="shared" ref="I314:O314" si="76">(1-I316)*I164/(I164+I165)</f>
        <v>0.98450000000000004</v>
      </c>
      <c r="J314" s="2485">
        <f t="shared" si="76"/>
        <v>0.9820000000000001</v>
      </c>
      <c r="K314" s="2485">
        <f t="shared" si="76"/>
        <v>0.97899999999999998</v>
      </c>
      <c r="L314" s="2485">
        <f t="shared" si="76"/>
        <v>0.97399999999999998</v>
      </c>
      <c r="M314" s="2485">
        <f t="shared" si="76"/>
        <v>0.96899999999999997</v>
      </c>
      <c r="N314" s="2485">
        <f t="shared" si="76"/>
        <v>0.96400000000000008</v>
      </c>
      <c r="O314" s="2485">
        <f t="shared" si="76"/>
        <v>0.9592857142857143</v>
      </c>
      <c r="Q314" s="383"/>
      <c r="R314" s="851"/>
      <c r="S314" s="35"/>
      <c r="T314" s="383"/>
      <c r="U314" s="383"/>
    </row>
    <row r="315" spans="1:21" s="19" customFormat="1">
      <c r="B315" s="849"/>
      <c r="C315" s="894"/>
      <c r="D315" s="628"/>
      <c r="E315" s="895" t="s">
        <v>1030</v>
      </c>
      <c r="F315" s="2485">
        <f>F165</f>
        <v>1.1763564949092236E-2</v>
      </c>
      <c r="G315" s="2485">
        <f>G165</f>
        <v>1.1763564949092236E-2</v>
      </c>
      <c r="H315" s="2485">
        <f>(1-H316)*H165/(H164+H165)</f>
        <v>1.3561584421818769E-2</v>
      </c>
      <c r="I315" s="2485">
        <f t="shared" ref="I315:O315" si="77">(1-I316)*I165/(I164+I165)</f>
        <v>1.55E-2</v>
      </c>
      <c r="J315" s="2485">
        <f t="shared" si="77"/>
        <v>1.8000000000000002E-2</v>
      </c>
      <c r="K315" s="2485">
        <f t="shared" si="77"/>
        <v>2.0999999999999994E-2</v>
      </c>
      <c r="L315" s="2485">
        <f t="shared" si="77"/>
        <v>2.6000000000000006E-2</v>
      </c>
      <c r="M315" s="2485">
        <f t="shared" si="77"/>
        <v>3.1E-2</v>
      </c>
      <c r="N315" s="2485">
        <f t="shared" si="77"/>
        <v>3.6000000000000004E-2</v>
      </c>
      <c r="O315" s="2485">
        <f t="shared" si="77"/>
        <v>4.0714285714285724E-2</v>
      </c>
      <c r="Q315" s="383"/>
      <c r="R315" s="851"/>
      <c r="S315" s="35"/>
      <c r="T315" s="383"/>
      <c r="U315" s="383"/>
    </row>
    <row r="316" spans="1:21" s="19" customFormat="1">
      <c r="B316" s="849"/>
      <c r="C316" s="894"/>
      <c r="D316" s="628"/>
      <c r="E316" s="895" t="s">
        <v>954</v>
      </c>
      <c r="F316" s="2485">
        <v>0</v>
      </c>
      <c r="G316" s="2485">
        <f>F316</f>
        <v>0</v>
      </c>
      <c r="H316" s="2485">
        <f>G316+5*$Q316</f>
        <v>0</v>
      </c>
      <c r="I316" s="2485">
        <f t="shared" ref="I316:N316" si="78">H316+5*$Q316</f>
        <v>0</v>
      </c>
      <c r="J316" s="2485">
        <f t="shared" si="78"/>
        <v>0</v>
      </c>
      <c r="K316" s="2485">
        <f t="shared" si="78"/>
        <v>0</v>
      </c>
      <c r="L316" s="2485">
        <f t="shared" si="78"/>
        <v>0</v>
      </c>
      <c r="M316" s="2485">
        <f t="shared" si="78"/>
        <v>0</v>
      </c>
      <c r="N316" s="2485">
        <f t="shared" si="78"/>
        <v>0</v>
      </c>
      <c r="O316" s="2485">
        <f>J67</f>
        <v>0</v>
      </c>
      <c r="Q316" s="2486">
        <f>(O316-G316)/40</f>
        <v>0</v>
      </c>
      <c r="R316" s="851"/>
      <c r="S316" s="35"/>
      <c r="T316" s="383"/>
      <c r="U316" s="383"/>
    </row>
    <row r="317" spans="1:21" s="19" customFormat="1">
      <c r="B317" s="849"/>
      <c r="C317" s="894"/>
      <c r="D317" s="628" t="s">
        <v>1022</v>
      </c>
      <c r="E317" s="895" t="s">
        <v>953</v>
      </c>
      <c r="F317" s="2485">
        <f t="shared" ref="F317:O332" si="79">F166</f>
        <v>0.98823643505090786</v>
      </c>
      <c r="G317" s="2485">
        <f t="shared" si="79"/>
        <v>0.98823643505090786</v>
      </c>
      <c r="H317" s="2485">
        <f t="shared" si="79"/>
        <v>0.98643841557818113</v>
      </c>
      <c r="I317" s="2485">
        <f t="shared" si="79"/>
        <v>0.98450000000000004</v>
      </c>
      <c r="J317" s="2485">
        <f t="shared" si="79"/>
        <v>0.9820000000000001</v>
      </c>
      <c r="K317" s="2485">
        <f t="shared" si="79"/>
        <v>0.97899999999999998</v>
      </c>
      <c r="L317" s="2485">
        <f t="shared" si="79"/>
        <v>0.97399999999999998</v>
      </c>
      <c r="M317" s="2485">
        <f t="shared" si="79"/>
        <v>0.96899999999999986</v>
      </c>
      <c r="N317" s="2485">
        <f t="shared" si="79"/>
        <v>0.96400000000000008</v>
      </c>
      <c r="O317" s="2485">
        <f t="shared" si="79"/>
        <v>0.9592857142857143</v>
      </c>
      <c r="Q317" s="383"/>
      <c r="R317" s="851"/>
      <c r="S317" s="35"/>
      <c r="T317" s="383"/>
      <c r="U317" s="383"/>
    </row>
    <row r="318" spans="1:21" s="19" customFormat="1">
      <c r="B318" s="849"/>
      <c r="C318" s="894"/>
      <c r="D318" s="628"/>
      <c r="E318" s="895" t="s">
        <v>1030</v>
      </c>
      <c r="F318" s="2485">
        <f t="shared" si="79"/>
        <v>1.1763564949092239E-2</v>
      </c>
      <c r="G318" s="2485">
        <f t="shared" si="79"/>
        <v>1.1763564949092239E-2</v>
      </c>
      <c r="H318" s="2485">
        <f t="shared" si="79"/>
        <v>1.3561584421818769E-2</v>
      </c>
      <c r="I318" s="2485">
        <f t="shared" si="79"/>
        <v>1.5500000000000003E-2</v>
      </c>
      <c r="J318" s="2485">
        <f t="shared" si="79"/>
        <v>1.7999999999999999E-2</v>
      </c>
      <c r="K318" s="2485">
        <f t="shared" si="79"/>
        <v>2.1000000000000005E-2</v>
      </c>
      <c r="L318" s="2485">
        <f t="shared" si="79"/>
        <v>2.6000000000000009E-2</v>
      </c>
      <c r="M318" s="2485">
        <f t="shared" si="79"/>
        <v>3.1E-2</v>
      </c>
      <c r="N318" s="2485">
        <f t="shared" si="79"/>
        <v>3.6000000000000004E-2</v>
      </c>
      <c r="O318" s="2485">
        <f t="shared" si="79"/>
        <v>4.0714285714285724E-2</v>
      </c>
      <c r="Q318" s="383"/>
      <c r="R318" s="851"/>
      <c r="S318" s="35"/>
      <c r="T318" s="383"/>
      <c r="U318" s="383"/>
    </row>
    <row r="319" spans="1:21" s="19" customFormat="1">
      <c r="B319" s="849"/>
      <c r="C319" s="894"/>
      <c r="D319" s="628" t="s">
        <v>1023</v>
      </c>
      <c r="E319" s="895" t="s">
        <v>1031</v>
      </c>
      <c r="F319" s="2485">
        <f t="shared" si="79"/>
        <v>0.77359454545454531</v>
      </c>
      <c r="G319" s="2485">
        <f t="shared" ref="G319:O319" si="80">(1-G$323)*G168/SUM(G$168:G$171)</f>
        <v>0.77359454545454542</v>
      </c>
      <c r="H319" s="2485">
        <f t="shared" si="80"/>
        <v>0.72706702483052721</v>
      </c>
      <c r="I319" s="2485">
        <f t="shared" si="80"/>
        <v>0.68283953435276912</v>
      </c>
      <c r="J319" s="2485">
        <f t="shared" si="80"/>
        <v>0.64781206461288521</v>
      </c>
      <c r="K319" s="2485">
        <f t="shared" si="80"/>
        <v>0.61478461602175138</v>
      </c>
      <c r="L319" s="2485">
        <f t="shared" si="80"/>
        <v>0.58975717630540248</v>
      </c>
      <c r="M319" s="2485">
        <f t="shared" si="80"/>
        <v>0.56472975364858513</v>
      </c>
      <c r="N319" s="2485">
        <f t="shared" si="80"/>
        <v>0.53970234805269557</v>
      </c>
      <c r="O319" s="2485">
        <f t="shared" si="80"/>
        <v>0.50882644609022099</v>
      </c>
      <c r="Q319" s="383"/>
      <c r="R319" s="851"/>
      <c r="S319" s="35"/>
      <c r="T319" s="383"/>
      <c r="U319" s="383"/>
    </row>
    <row r="320" spans="1:21" s="19" customFormat="1">
      <c r="B320" s="849"/>
      <c r="C320" s="894"/>
      <c r="D320" s="628"/>
      <c r="E320" s="895" t="s">
        <v>953</v>
      </c>
      <c r="F320" s="2485">
        <f t="shared" si="79"/>
        <v>0.18430000000000005</v>
      </c>
      <c r="G320" s="2485">
        <f t="shared" ref="G320:O320" si="81">(1-G$323)*G169/SUM(G$168:G$171)</f>
        <v>0.18430000000000007</v>
      </c>
      <c r="H320" s="2485">
        <f t="shared" si="81"/>
        <v>0.2207999247172806</v>
      </c>
      <c r="I320" s="2485">
        <f t="shared" si="81"/>
        <v>0.25499982610854099</v>
      </c>
      <c r="J320" s="2485">
        <f t="shared" si="81"/>
        <v>0.27999971358272546</v>
      </c>
      <c r="K320" s="2485">
        <f t="shared" si="81"/>
        <v>0.30499958400165855</v>
      </c>
      <c r="L320" s="2485">
        <f t="shared" si="81"/>
        <v>0.32999943736394433</v>
      </c>
      <c r="M320" s="2485">
        <f t="shared" si="81"/>
        <v>0.35499927366818695</v>
      </c>
      <c r="N320" s="2485">
        <f t="shared" si="81"/>
        <v>0.3799990929129905</v>
      </c>
      <c r="O320" s="2485">
        <f t="shared" si="81"/>
        <v>0.41053842223129905</v>
      </c>
      <c r="Q320" s="383"/>
      <c r="R320" s="851"/>
      <c r="S320" s="35"/>
      <c r="T320" s="383"/>
      <c r="U320" s="383"/>
    </row>
    <row r="321" spans="2:21" s="19" customFormat="1">
      <c r="B321" s="849"/>
      <c r="C321" s="894"/>
      <c r="D321" s="628"/>
      <c r="E321" s="895" t="s">
        <v>1030</v>
      </c>
      <c r="F321" s="2485">
        <f t="shared" si="79"/>
        <v>2.1000000000000005E-2</v>
      </c>
      <c r="G321" s="2485">
        <f t="shared" ref="G321:O322" si="82">(1-G$323)*G170/SUM(G$168:G$171)</f>
        <v>2.1000000000000005E-2</v>
      </c>
      <c r="H321" s="2485">
        <f t="shared" si="82"/>
        <v>2.5999991135187039E-2</v>
      </c>
      <c r="I321" s="2485">
        <f t="shared" si="82"/>
        <v>3.0999978860254004E-2</v>
      </c>
      <c r="J321" s="2485">
        <f t="shared" si="82"/>
        <v>3.5999963174921851E-2</v>
      </c>
      <c r="K321" s="2485">
        <f t="shared" si="82"/>
        <v>3.9999945442840468E-2</v>
      </c>
      <c r="L321" s="2485">
        <f t="shared" si="82"/>
        <v>3.9999931801690224E-2</v>
      </c>
      <c r="M321" s="2485">
        <f t="shared" si="82"/>
        <v>3.9999918159795714E-2</v>
      </c>
      <c r="N321" s="2485">
        <f t="shared" si="82"/>
        <v>3.999990451715689E-2</v>
      </c>
      <c r="O321" s="2485">
        <f t="shared" si="82"/>
        <v>4.0154384021058212E-2</v>
      </c>
      <c r="Q321" s="383"/>
      <c r="R321" s="851"/>
      <c r="S321" s="35"/>
      <c r="T321" s="383"/>
      <c r="U321" s="383"/>
    </row>
    <row r="322" spans="2:21" s="19" customFormat="1">
      <c r="B322" s="849"/>
      <c r="C322" s="894"/>
      <c r="D322" s="628"/>
      <c r="E322" s="895" t="s">
        <v>918</v>
      </c>
      <c r="F322" s="2485">
        <f t="shared" si="79"/>
        <v>2.1000000000000005E-2</v>
      </c>
      <c r="G322" s="2485">
        <f t="shared" si="82"/>
        <v>2.1000000000000005E-2</v>
      </c>
      <c r="H322" s="2485">
        <f t="shared" si="82"/>
        <v>2.5999991135187039E-2</v>
      </c>
      <c r="I322" s="2485">
        <f t="shared" si="82"/>
        <v>3.0999978860254004E-2</v>
      </c>
      <c r="J322" s="2485">
        <f t="shared" si="82"/>
        <v>3.5999963174921851E-2</v>
      </c>
      <c r="K322" s="2485">
        <f t="shared" si="82"/>
        <v>3.9999945442840468E-2</v>
      </c>
      <c r="L322" s="2485">
        <f t="shared" si="82"/>
        <v>3.9999931801690224E-2</v>
      </c>
      <c r="M322" s="2485">
        <f t="shared" si="82"/>
        <v>3.9999918159795714E-2</v>
      </c>
      <c r="N322" s="2485">
        <f t="shared" si="82"/>
        <v>3.999990451715689E-2</v>
      </c>
      <c r="O322" s="2485">
        <f t="shared" si="82"/>
        <v>4.0154384021058212E-2</v>
      </c>
      <c r="Q322" s="383"/>
      <c r="R322" s="851"/>
      <c r="S322" s="35"/>
      <c r="T322" s="383"/>
      <c r="U322" s="383"/>
    </row>
    <row r="323" spans="2:21" s="19" customFormat="1">
      <c r="B323" s="849"/>
      <c r="C323" s="894"/>
      <c r="D323" s="628"/>
      <c r="E323" s="895" t="s">
        <v>954</v>
      </c>
      <c r="F323" s="2485">
        <f t="shared" si="79"/>
        <v>1.0545454545454545E-4</v>
      </c>
      <c r="G323" s="2485">
        <f>G172</f>
        <v>1.0545454545454545E-4</v>
      </c>
      <c r="H323" s="2485">
        <f>G323+5*$Q323</f>
        <v>1.3306818181818181E-4</v>
      </c>
      <c r="I323" s="2485">
        <f t="shared" ref="I323:N323" si="83">H323+5*$Q323</f>
        <v>1.606818181818182E-4</v>
      </c>
      <c r="J323" s="2485">
        <f t="shared" si="83"/>
        <v>1.8829545454545458E-4</v>
      </c>
      <c r="K323" s="2485">
        <f t="shared" si="83"/>
        <v>2.1590909090909096E-4</v>
      </c>
      <c r="L323" s="2485">
        <f t="shared" si="83"/>
        <v>2.4352272727272734E-4</v>
      </c>
      <c r="M323" s="2485">
        <f t="shared" si="83"/>
        <v>2.711363636363637E-4</v>
      </c>
      <c r="N323" s="2485">
        <f t="shared" si="83"/>
        <v>2.9875000000000008E-4</v>
      </c>
      <c r="O323" s="2485">
        <f>$J$65</f>
        <v>3.2636363636363646E-4</v>
      </c>
      <c r="Q323" s="2486">
        <f>(O323-G323)/40</f>
        <v>5.5227272727272747E-6</v>
      </c>
      <c r="R323" s="851"/>
      <c r="S323" s="35"/>
      <c r="T323" s="383"/>
      <c r="U323" s="383"/>
    </row>
    <row r="324" spans="2:21" s="19" customFormat="1">
      <c r="B324" s="849"/>
      <c r="C324" s="894"/>
      <c r="D324" s="628" t="s">
        <v>1024</v>
      </c>
      <c r="E324" s="895" t="s">
        <v>1031</v>
      </c>
      <c r="F324" s="2485">
        <f t="shared" si="79"/>
        <v>0.14751731242569505</v>
      </c>
      <c r="G324" s="2485">
        <f t="shared" ref="G324:O326" si="84">(1-G$327)*G173/SUM(G$173:G$175)</f>
        <v>0.14751731242569507</v>
      </c>
      <c r="H324" s="2485">
        <f t="shared" si="84"/>
        <v>0.10481281385476643</v>
      </c>
      <c r="I324" s="2485">
        <f t="shared" si="84"/>
        <v>6.5746146320782906E-2</v>
      </c>
      <c r="J324" s="2485">
        <f t="shared" si="84"/>
        <v>2.7883316199451613E-2</v>
      </c>
      <c r="K324" s="2485">
        <f t="shared" si="84"/>
        <v>0</v>
      </c>
      <c r="L324" s="2485">
        <f t="shared" si="84"/>
        <v>0</v>
      </c>
      <c r="M324" s="2485">
        <f t="shared" si="84"/>
        <v>0</v>
      </c>
      <c r="N324" s="2485">
        <f t="shared" si="84"/>
        <v>0</v>
      </c>
      <c r="O324" s="2485">
        <f t="shared" si="84"/>
        <v>3.2384290193844527E-2</v>
      </c>
      <c r="Q324" s="2487"/>
      <c r="R324" s="851"/>
      <c r="S324" s="35"/>
      <c r="T324" s="383"/>
      <c r="U324" s="383"/>
    </row>
    <row r="325" spans="2:21" s="19" customFormat="1">
      <c r="B325" s="849"/>
      <c r="C325" s="894"/>
      <c r="D325" s="628"/>
      <c r="E325" s="895" t="s">
        <v>1031</v>
      </c>
      <c r="F325" s="2485">
        <f t="shared" si="79"/>
        <v>0.8401787143956343</v>
      </c>
      <c r="G325" s="2485">
        <f t="shared" si="84"/>
        <v>0.84017871439563452</v>
      </c>
      <c r="H325" s="2485">
        <f t="shared" si="84"/>
        <v>0.86373522528464908</v>
      </c>
      <c r="I325" s="2485">
        <f t="shared" si="84"/>
        <v>0.88250560688557611</v>
      </c>
      <c r="J325" s="2485">
        <f t="shared" si="84"/>
        <v>0.89565981147251439</v>
      </c>
      <c r="K325" s="2485">
        <f t="shared" si="84"/>
        <v>0.89883450213757266</v>
      </c>
      <c r="L325" s="2485">
        <f t="shared" si="84"/>
        <v>0.87412587660317953</v>
      </c>
      <c r="M325" s="2485">
        <f t="shared" si="84"/>
        <v>0.84941725106878629</v>
      </c>
      <c r="N325" s="2485">
        <f t="shared" si="84"/>
        <v>0.82470862553439317</v>
      </c>
      <c r="O325" s="2485">
        <f t="shared" si="84"/>
        <v>0.76761570980615546</v>
      </c>
      <c r="Q325" s="2487"/>
      <c r="R325" s="851"/>
      <c r="S325" s="35"/>
      <c r="T325" s="383"/>
      <c r="U325" s="383"/>
    </row>
    <row r="326" spans="2:21" s="19" customFormat="1">
      <c r="B326" s="849"/>
      <c r="C326" s="894"/>
      <c r="D326" s="628"/>
      <c r="E326" s="895" t="s">
        <v>1031</v>
      </c>
      <c r="F326" s="2485">
        <f t="shared" si="79"/>
        <v>9.9729774538158192E-3</v>
      </c>
      <c r="G326" s="2485">
        <f t="shared" si="84"/>
        <v>9.9729774538158227E-3</v>
      </c>
      <c r="H326" s="2485">
        <f t="shared" si="84"/>
        <v>4.4123396013365278E-3</v>
      </c>
      <c r="I326" s="2485">
        <f t="shared" si="84"/>
        <v>0</v>
      </c>
      <c r="J326" s="2485">
        <f t="shared" si="84"/>
        <v>0</v>
      </c>
      <c r="K326" s="2485">
        <f t="shared" si="84"/>
        <v>0</v>
      </c>
      <c r="L326" s="2485">
        <f t="shared" si="84"/>
        <v>0</v>
      </c>
      <c r="M326" s="2485">
        <f t="shared" si="84"/>
        <v>0</v>
      </c>
      <c r="N326" s="2485">
        <f t="shared" si="84"/>
        <v>0</v>
      </c>
      <c r="O326" s="2485">
        <f t="shared" si="84"/>
        <v>0</v>
      </c>
      <c r="Q326" s="2487"/>
      <c r="R326" s="851"/>
      <c r="S326" s="35"/>
      <c r="T326" s="383"/>
      <c r="U326" s="383"/>
    </row>
    <row r="327" spans="2:21" s="19" customFormat="1">
      <c r="B327" s="849"/>
      <c r="C327" s="894"/>
      <c r="D327" s="628"/>
      <c r="E327" s="895" t="s">
        <v>954</v>
      </c>
      <c r="F327" s="2485">
        <f t="shared" si="79"/>
        <v>2.3309957248546483E-3</v>
      </c>
      <c r="G327" s="2485">
        <f t="shared" si="79"/>
        <v>2.3309957248546483E-3</v>
      </c>
      <c r="H327" s="2485">
        <f>G327+5*$Q327</f>
        <v>2.7039621259247814E-2</v>
      </c>
      <c r="I327" s="2485">
        <f t="shared" ref="I327:N327" si="85">H327+5*$Q327</f>
        <v>5.1748246793640984E-2</v>
      </c>
      <c r="J327" s="2485">
        <f t="shared" si="85"/>
        <v>7.6456872328034151E-2</v>
      </c>
      <c r="K327" s="2485">
        <f t="shared" si="85"/>
        <v>0.10116549786242732</v>
      </c>
      <c r="L327" s="2485">
        <f t="shared" si="85"/>
        <v>0.12587412339682047</v>
      </c>
      <c r="M327" s="2485">
        <f t="shared" si="85"/>
        <v>0.15058274893121365</v>
      </c>
      <c r="N327" s="2485">
        <f t="shared" si="85"/>
        <v>0.17529137446560683</v>
      </c>
      <c r="O327" s="2485">
        <f>J66</f>
        <v>0.2</v>
      </c>
      <c r="Q327" s="2486">
        <f>(O327-G327)/40</f>
        <v>4.9417251068786337E-3</v>
      </c>
      <c r="R327" s="851"/>
      <c r="S327" s="35"/>
      <c r="T327" s="383"/>
      <c r="U327" s="383"/>
    </row>
    <row r="328" spans="2:21" s="19" customFormat="1">
      <c r="B328" s="849"/>
      <c r="C328" s="894"/>
      <c r="D328" s="628" t="s">
        <v>1025</v>
      </c>
      <c r="E328" s="895" t="s">
        <v>1030</v>
      </c>
      <c r="F328" s="2485">
        <f t="shared" si="79"/>
        <v>9.815563690100397E-2</v>
      </c>
      <c r="G328" s="2485">
        <f t="shared" si="79"/>
        <v>9.815563690100397E-2</v>
      </c>
      <c r="H328" s="2485">
        <f t="shared" si="79"/>
        <v>0.11306917195600179</v>
      </c>
      <c r="I328" s="2485">
        <f t="shared" si="79"/>
        <v>0.1275</v>
      </c>
      <c r="J328" s="2485">
        <f t="shared" si="79"/>
        <v>0.14000000000000004</v>
      </c>
      <c r="K328" s="2485">
        <f t="shared" si="79"/>
        <v>0.15249999999999997</v>
      </c>
      <c r="L328" s="2485">
        <f t="shared" si="79"/>
        <v>0.16500000000000001</v>
      </c>
      <c r="M328" s="2485">
        <f t="shared" si="79"/>
        <v>0.17749999999999999</v>
      </c>
      <c r="N328" s="2485">
        <f t="shared" si="79"/>
        <v>0.19000000000000003</v>
      </c>
      <c r="O328" s="2485">
        <f t="shared" si="79"/>
        <v>0.20142857142857143</v>
      </c>
      <c r="Q328" s="383"/>
      <c r="R328" s="851"/>
      <c r="S328" s="35"/>
      <c r="T328" s="383"/>
      <c r="U328" s="383"/>
    </row>
    <row r="329" spans="2:21" s="19" customFormat="1">
      <c r="B329" s="849"/>
      <c r="C329" s="894"/>
      <c r="D329" s="628"/>
      <c r="E329" s="895" t="s">
        <v>918</v>
      </c>
      <c r="F329" s="2485">
        <f t="shared" si="79"/>
        <v>6.9958945830702765E-2</v>
      </c>
      <c r="G329" s="2485">
        <f t="shared" si="79"/>
        <v>6.9958945830702765E-2</v>
      </c>
      <c r="H329" s="2485">
        <f t="shared" si="79"/>
        <v>8.6648420369201201E-2</v>
      </c>
      <c r="I329" s="2485">
        <f t="shared" si="79"/>
        <v>9.799999999999999E-2</v>
      </c>
      <c r="J329" s="2485">
        <f t="shared" si="79"/>
        <v>8.8000000000000009E-2</v>
      </c>
      <c r="K329" s="2485">
        <f t="shared" si="79"/>
        <v>7.6999999999999999E-2</v>
      </c>
      <c r="L329" s="2485">
        <f t="shared" si="79"/>
        <v>6.1999999999999979E-2</v>
      </c>
      <c r="M329" s="2485">
        <f t="shared" si="79"/>
        <v>4.6999999999999993E-2</v>
      </c>
      <c r="N329" s="2485">
        <f t="shared" si="79"/>
        <v>3.1999999999999987E-2</v>
      </c>
      <c r="O329" s="2485">
        <f t="shared" si="79"/>
        <v>1.8571428571428569E-2</v>
      </c>
      <c r="Q329" s="383"/>
      <c r="R329" s="851"/>
      <c r="S329" s="35"/>
      <c r="T329" s="383"/>
      <c r="U329" s="383"/>
    </row>
    <row r="330" spans="2:21" s="19" customFormat="1">
      <c r="B330" s="849"/>
      <c r="C330" s="894"/>
      <c r="D330" s="628"/>
      <c r="E330" s="895" t="s">
        <v>1031</v>
      </c>
      <c r="F330" s="2485">
        <f t="shared" si="79"/>
        <v>0.4</v>
      </c>
      <c r="G330" s="2485">
        <f t="shared" si="79"/>
        <v>0.4</v>
      </c>
      <c r="H330" s="2485">
        <f t="shared" si="79"/>
        <v>0.4</v>
      </c>
      <c r="I330" s="2485">
        <f t="shared" si="79"/>
        <v>0.4</v>
      </c>
      <c r="J330" s="2485">
        <f t="shared" si="79"/>
        <v>0.4</v>
      </c>
      <c r="K330" s="2485">
        <f t="shared" si="79"/>
        <v>0.4</v>
      </c>
      <c r="L330" s="2485">
        <f t="shared" si="79"/>
        <v>0.40000000000000008</v>
      </c>
      <c r="M330" s="2485">
        <f t="shared" si="79"/>
        <v>0.4</v>
      </c>
      <c r="N330" s="2485">
        <f t="shared" si="79"/>
        <v>0.4</v>
      </c>
      <c r="O330" s="2485">
        <f t="shared" si="79"/>
        <v>0.4</v>
      </c>
      <c r="Q330" s="383"/>
      <c r="R330" s="851"/>
      <c r="S330" s="35"/>
      <c r="T330" s="383"/>
      <c r="U330" s="383"/>
    </row>
    <row r="331" spans="2:21" s="19" customFormat="1">
      <c r="B331" s="849"/>
      <c r="C331" s="894"/>
      <c r="D331" s="628"/>
      <c r="E331" s="895" t="s">
        <v>953</v>
      </c>
      <c r="F331" s="2485">
        <f t="shared" si="79"/>
        <v>0.43188541726829333</v>
      </c>
      <c r="G331" s="2485">
        <f t="shared" si="79"/>
        <v>0.43188541726829333</v>
      </c>
      <c r="H331" s="2485">
        <f t="shared" si="79"/>
        <v>0.400282407674797</v>
      </c>
      <c r="I331" s="2485">
        <f t="shared" si="79"/>
        <v>0.37449999999999994</v>
      </c>
      <c r="J331" s="2485">
        <f t="shared" si="79"/>
        <v>0.37199999999999994</v>
      </c>
      <c r="K331" s="2485">
        <f t="shared" si="79"/>
        <v>0.37049999999999988</v>
      </c>
      <c r="L331" s="2485">
        <f t="shared" si="79"/>
        <v>0.373</v>
      </c>
      <c r="M331" s="2485">
        <f t="shared" si="79"/>
        <v>0.37549999999999994</v>
      </c>
      <c r="N331" s="2485">
        <f t="shared" si="79"/>
        <v>0.37799999999999995</v>
      </c>
      <c r="O331" s="2485">
        <f t="shared" si="79"/>
        <v>0.38</v>
      </c>
      <c r="Q331" s="383"/>
      <c r="R331" s="851"/>
      <c r="S331" s="35"/>
      <c r="T331" s="383"/>
      <c r="U331" s="383"/>
    </row>
    <row r="332" spans="2:21" s="19" customFormat="1">
      <c r="B332" s="849"/>
      <c r="C332" s="894"/>
      <c r="D332" s="628" t="s">
        <v>1026</v>
      </c>
      <c r="E332" s="895" t="s">
        <v>1030</v>
      </c>
      <c r="F332" s="2485">
        <f t="shared" si="79"/>
        <v>2.5092390985443861E-2</v>
      </c>
      <c r="G332" s="2485">
        <f t="shared" si="79"/>
        <v>2.5092390985443861E-2</v>
      </c>
      <c r="H332" s="2485">
        <f t="shared" si="79"/>
        <v>2.781884043797505E-2</v>
      </c>
      <c r="I332" s="2485">
        <f t="shared" si="79"/>
        <v>3.0999999999999993E-2</v>
      </c>
      <c r="J332" s="2485">
        <f t="shared" si="79"/>
        <v>3.6000000000000011E-2</v>
      </c>
      <c r="K332" s="2485">
        <f t="shared" si="79"/>
        <v>4.1000000000000002E-2</v>
      </c>
      <c r="L332" s="2485">
        <f t="shared" si="79"/>
        <v>4.6000000000000006E-2</v>
      </c>
      <c r="M332" s="2485">
        <f t="shared" si="79"/>
        <v>5.1000000000000004E-2</v>
      </c>
      <c r="N332" s="2485">
        <f t="shared" si="79"/>
        <v>5.6000000000000015E-2</v>
      </c>
      <c r="O332" s="2485">
        <f t="shared" si="79"/>
        <v>6.0499999999999991E-2</v>
      </c>
      <c r="Q332" s="383"/>
      <c r="R332" s="851"/>
      <c r="S332" s="35"/>
      <c r="T332" s="383"/>
      <c r="U332" s="383"/>
    </row>
    <row r="333" spans="2:21" s="19" customFormat="1">
      <c r="B333" s="849"/>
      <c r="C333" s="894"/>
      <c r="D333" s="628"/>
      <c r="E333" s="895" t="s">
        <v>918</v>
      </c>
      <c r="F333" s="2485">
        <f t="shared" ref="F333:O336" si="86">F182</f>
        <v>1.7064673689810701E-2</v>
      </c>
      <c r="G333" s="2485">
        <f t="shared" si="86"/>
        <v>1.7064673689810701E-2</v>
      </c>
      <c r="H333" s="2485">
        <f t="shared" si="86"/>
        <v>1.647318830658253E-2</v>
      </c>
      <c r="I333" s="2485">
        <f t="shared" si="86"/>
        <v>1.5900000000000001E-2</v>
      </c>
      <c r="J333" s="2485">
        <f t="shared" si="86"/>
        <v>1.5400000000000004E-2</v>
      </c>
      <c r="K333" s="2485">
        <f t="shared" si="86"/>
        <v>1.4699999999999996E-2</v>
      </c>
      <c r="L333" s="2485">
        <f t="shared" si="86"/>
        <v>1.3200000000000002E-2</v>
      </c>
      <c r="M333" s="2485">
        <f t="shared" si="86"/>
        <v>1.1800000000000003E-2</v>
      </c>
      <c r="N333" s="2485">
        <f t="shared" si="86"/>
        <v>1.0799999999999999E-2</v>
      </c>
      <c r="O333" s="2485">
        <f t="shared" si="86"/>
        <v>9.499999999999998E-3</v>
      </c>
      <c r="Q333" s="383"/>
      <c r="R333" s="851"/>
      <c r="S333" s="35"/>
      <c r="T333" s="383"/>
      <c r="U333" s="383"/>
    </row>
    <row r="334" spans="2:21" s="19" customFormat="1">
      <c r="B334" s="849"/>
      <c r="C334" s="894"/>
      <c r="D334" s="628"/>
      <c r="E334" s="898" t="s">
        <v>953</v>
      </c>
      <c r="F334" s="2485">
        <f t="shared" si="86"/>
        <v>0.9578429353247454</v>
      </c>
      <c r="G334" s="2485">
        <f t="shared" si="86"/>
        <v>0.9578429353247454</v>
      </c>
      <c r="H334" s="2485">
        <f t="shared" si="86"/>
        <v>0.95570797125544238</v>
      </c>
      <c r="I334" s="2485">
        <f t="shared" si="86"/>
        <v>0.95309999999999995</v>
      </c>
      <c r="J334" s="2485">
        <f t="shared" si="86"/>
        <v>0.9486</v>
      </c>
      <c r="K334" s="2485">
        <f t="shared" si="86"/>
        <v>0.94429999999999992</v>
      </c>
      <c r="L334" s="2485">
        <f t="shared" si="86"/>
        <v>0.94079999999999997</v>
      </c>
      <c r="M334" s="2485">
        <f t="shared" si="86"/>
        <v>0.93719999999999992</v>
      </c>
      <c r="N334" s="2485">
        <f t="shared" si="86"/>
        <v>0.93320000000000003</v>
      </c>
      <c r="O334" s="2485">
        <f t="shared" si="86"/>
        <v>0.93</v>
      </c>
      <c r="Q334" s="383"/>
      <c r="R334" s="851"/>
      <c r="S334" s="35"/>
      <c r="T334" s="383"/>
      <c r="U334" s="383"/>
    </row>
    <row r="335" spans="2:21" s="19" customFormat="1">
      <c r="B335" s="849"/>
      <c r="C335" s="894" t="s">
        <v>952</v>
      </c>
      <c r="D335" s="628"/>
      <c r="E335" s="898" t="s">
        <v>953</v>
      </c>
      <c r="F335" s="2485">
        <f t="shared" si="86"/>
        <v>0.496</v>
      </c>
      <c r="G335" s="2485">
        <f t="shared" si="86"/>
        <v>0.496</v>
      </c>
      <c r="H335" s="2485">
        <f t="shared" si="86"/>
        <v>0.49266666666666675</v>
      </c>
      <c r="I335" s="2485">
        <f t="shared" si="86"/>
        <v>0.48</v>
      </c>
      <c r="J335" s="2485">
        <f t="shared" si="86"/>
        <v>0.47</v>
      </c>
      <c r="K335" s="2485">
        <f t="shared" si="86"/>
        <v>0.45</v>
      </c>
      <c r="L335" s="2485">
        <f t="shared" si="86"/>
        <v>0.42</v>
      </c>
      <c r="M335" s="2485">
        <f t="shared" si="86"/>
        <v>0.38</v>
      </c>
      <c r="N335" s="2485">
        <f t="shared" si="86"/>
        <v>0.35</v>
      </c>
      <c r="O335" s="2485">
        <f t="shared" si="86"/>
        <v>0.35</v>
      </c>
      <c r="Q335" s="383"/>
      <c r="R335" s="851"/>
      <c r="S335" s="35"/>
      <c r="T335" s="383"/>
      <c r="U335" s="383"/>
    </row>
    <row r="336" spans="2:21" s="19" customFormat="1">
      <c r="B336" s="849"/>
      <c r="C336" s="894"/>
      <c r="D336" s="628"/>
      <c r="E336" s="895" t="s">
        <v>954</v>
      </c>
      <c r="F336" s="2485">
        <f t="shared" si="86"/>
        <v>0.504</v>
      </c>
      <c r="G336" s="2485">
        <f t="shared" si="86"/>
        <v>0.504</v>
      </c>
      <c r="H336" s="2485">
        <f t="shared" si="86"/>
        <v>0.50733333333333319</v>
      </c>
      <c r="I336" s="2485">
        <f t="shared" si="86"/>
        <v>0.52</v>
      </c>
      <c r="J336" s="2485">
        <f t="shared" si="86"/>
        <v>0.53</v>
      </c>
      <c r="K336" s="2485">
        <f t="shared" si="86"/>
        <v>0.55000000000000004</v>
      </c>
      <c r="L336" s="2485">
        <f t="shared" si="86"/>
        <v>0.58000000000000007</v>
      </c>
      <c r="M336" s="2485">
        <f t="shared" si="86"/>
        <v>0.62</v>
      </c>
      <c r="N336" s="2485">
        <f t="shared" si="86"/>
        <v>0.65</v>
      </c>
      <c r="O336" s="2485">
        <f t="shared" si="86"/>
        <v>0.65</v>
      </c>
      <c r="Q336" s="383"/>
      <c r="R336" s="851"/>
      <c r="S336" s="35"/>
      <c r="T336" s="383"/>
      <c r="U336" s="383"/>
    </row>
    <row r="337" spans="2:21" s="19" customFormat="1">
      <c r="B337" s="849"/>
      <c r="C337" s="2482" t="s">
        <v>970</v>
      </c>
      <c r="D337" s="929"/>
      <c r="E337" s="933" t="s">
        <v>970</v>
      </c>
      <c r="F337" s="2483"/>
      <c r="G337" s="2483"/>
      <c r="H337" s="2483"/>
      <c r="I337" s="2483"/>
      <c r="J337" s="2483"/>
      <c r="K337" s="2483"/>
      <c r="L337" s="2483"/>
      <c r="M337" s="2483"/>
      <c r="N337" s="2483"/>
      <c r="O337" s="2483"/>
      <c r="Q337" s="383"/>
      <c r="R337" s="851"/>
      <c r="S337" s="35"/>
      <c r="T337" s="383"/>
      <c r="U337" s="383"/>
    </row>
    <row r="338" spans="2:21" s="19" customFormat="1">
      <c r="B338" s="849"/>
      <c r="C338" s="3069"/>
      <c r="Q338" s="383"/>
      <c r="R338" s="851"/>
      <c r="S338" s="35"/>
      <c r="T338" s="383"/>
      <c r="U338" s="383"/>
    </row>
    <row r="339" spans="2:21" s="19" customFormat="1">
      <c r="B339" s="849"/>
      <c r="C339" s="3069"/>
      <c r="Q339" s="383"/>
      <c r="R339" s="851"/>
      <c r="S339" s="35"/>
      <c r="T339" s="383"/>
      <c r="U339" s="383"/>
    </row>
    <row r="340" spans="2:21" s="19" customFormat="1">
      <c r="B340" s="849"/>
      <c r="C340" s="3069"/>
      <c r="Q340" s="383"/>
      <c r="R340" s="851"/>
      <c r="S340" s="35"/>
      <c r="T340" s="383"/>
      <c r="U340" s="383"/>
    </row>
    <row r="341" spans="2:21" s="19" customFormat="1">
      <c r="B341" s="849"/>
      <c r="C341" s="3069"/>
      <c r="Q341" s="383"/>
      <c r="R341" s="851"/>
      <c r="S341" s="35"/>
      <c r="T341" s="383"/>
      <c r="U341" s="383"/>
    </row>
    <row r="342" spans="2:21" s="19" customFormat="1" ht="15.75">
      <c r="B342" s="89"/>
      <c r="C342" s="3069"/>
      <c r="Q342" s="383"/>
      <c r="R342" s="851"/>
      <c r="S342" s="35"/>
      <c r="T342" s="383"/>
      <c r="U342" s="383"/>
    </row>
    <row r="343" spans="2:21" s="19" customFormat="1">
      <c r="B343" s="423"/>
      <c r="C343" s="3069"/>
      <c r="Q343" s="383"/>
      <c r="R343" s="852"/>
      <c r="S343" s="35"/>
      <c r="T343" s="383"/>
      <c r="U343" s="383"/>
    </row>
    <row r="344" spans="2:21" s="19" customFormat="1">
      <c r="B344" s="423"/>
      <c r="C344" s="3069"/>
      <c r="Q344" s="383"/>
      <c r="R344" s="511"/>
      <c r="S344" s="35"/>
      <c r="T344" s="383"/>
      <c r="U344" s="383"/>
    </row>
    <row r="345" spans="2:21">
      <c r="B345" s="423">
        <v>2</v>
      </c>
      <c r="C345" s="423" t="s">
        <v>1038</v>
      </c>
      <c r="N345" s="423"/>
      <c r="O345" s="423" t="s">
        <v>1039</v>
      </c>
      <c r="Q345" s="35"/>
      <c r="R345" s="853"/>
      <c r="S345" s="35"/>
      <c r="T345" s="35"/>
      <c r="U345" s="35"/>
    </row>
    <row r="346" spans="2:21" s="51" customFormat="1">
      <c r="B346" s="423"/>
      <c r="C346" s="893" t="s">
        <v>840</v>
      </c>
      <c r="D346" s="893" t="s">
        <v>1029</v>
      </c>
      <c r="E346" s="893" t="s">
        <v>275</v>
      </c>
      <c r="F346" s="641">
        <v>2007</v>
      </c>
      <c r="G346" s="642">
        <f t="shared" ref="G346:O346" si="87">F346+5</f>
        <v>2012</v>
      </c>
      <c r="H346" s="642">
        <f t="shared" si="87"/>
        <v>2017</v>
      </c>
      <c r="I346" s="642">
        <f t="shared" si="87"/>
        <v>2022</v>
      </c>
      <c r="J346" s="642">
        <f t="shared" si="87"/>
        <v>2027</v>
      </c>
      <c r="K346" s="642">
        <f t="shared" si="87"/>
        <v>2032</v>
      </c>
      <c r="L346" s="642">
        <f t="shared" si="87"/>
        <v>2037</v>
      </c>
      <c r="M346" s="642">
        <f t="shared" si="87"/>
        <v>2042</v>
      </c>
      <c r="N346" s="642">
        <f t="shared" si="87"/>
        <v>2047</v>
      </c>
      <c r="O346" s="642">
        <f t="shared" si="87"/>
        <v>2052</v>
      </c>
      <c r="Q346" s="32"/>
      <c r="R346" s="851"/>
      <c r="S346" s="35"/>
      <c r="T346" s="32"/>
      <c r="U346" s="32"/>
    </row>
    <row r="347" spans="2:21" s="51" customFormat="1">
      <c r="B347" s="423"/>
      <c r="C347" s="894" t="s">
        <v>955</v>
      </c>
      <c r="D347" s="628" t="s">
        <v>1021</v>
      </c>
      <c r="E347" s="895" t="s">
        <v>953</v>
      </c>
      <c r="F347" s="928">
        <f t="shared" ref="F347:O349" si="88">F$31*F$49*F$119*F314</f>
        <v>4430.361948572121</v>
      </c>
      <c r="G347" s="928">
        <f t="shared" si="88"/>
        <v>4430.361948572121</v>
      </c>
      <c r="H347" s="928">
        <f t="shared" si="88"/>
        <v>5766.4554685333742</v>
      </c>
      <c r="I347" s="928">
        <f t="shared" si="88"/>
        <v>7276.1111833308869</v>
      </c>
      <c r="J347" s="928">
        <f t="shared" si="88"/>
        <v>8638.8907697018894</v>
      </c>
      <c r="K347" s="928">
        <f t="shared" si="88"/>
        <v>9899.2689409739469</v>
      </c>
      <c r="L347" s="928">
        <f t="shared" si="88"/>
        <v>10933.051912722009</v>
      </c>
      <c r="M347" s="928">
        <f t="shared" si="88"/>
        <v>11563.39527712481</v>
      </c>
      <c r="N347" s="928">
        <f t="shared" si="88"/>
        <v>11979.574504827453</v>
      </c>
      <c r="O347" s="928">
        <f t="shared" si="88"/>
        <v>12284.24327126519</v>
      </c>
      <c r="Q347" s="32"/>
      <c r="R347" s="851"/>
      <c r="S347" s="35"/>
      <c r="T347" s="32"/>
      <c r="U347" s="32"/>
    </row>
    <row r="348" spans="2:21" s="51" customFormat="1">
      <c r="B348" s="423"/>
      <c r="C348" s="894"/>
      <c r="D348" s="628"/>
      <c r="E348" s="895" t="s">
        <v>1030</v>
      </c>
      <c r="F348" s="928">
        <f t="shared" si="88"/>
        <v>52.737228340837532</v>
      </c>
      <c r="G348" s="928">
        <f t="shared" si="88"/>
        <v>52.737228340837532</v>
      </c>
      <c r="H348" s="928">
        <f t="shared" si="88"/>
        <v>79.277399801321764</v>
      </c>
      <c r="I348" s="928">
        <f t="shared" si="88"/>
        <v>114.55533097168994</v>
      </c>
      <c r="J348" s="928">
        <f t="shared" si="88"/>
        <v>158.35033997416903</v>
      </c>
      <c r="K348" s="928">
        <f t="shared" si="88"/>
        <v>212.34386900965561</v>
      </c>
      <c r="L348" s="928">
        <f t="shared" si="88"/>
        <v>291.8473816537703</v>
      </c>
      <c r="M348" s="928">
        <f t="shared" si="88"/>
        <v>369.93318224031901</v>
      </c>
      <c r="N348" s="928">
        <f t="shared" si="88"/>
        <v>447.37000225496712</v>
      </c>
      <c r="O348" s="928">
        <f t="shared" si="88"/>
        <v>521.37145678489651</v>
      </c>
      <c r="Q348" s="32"/>
      <c r="R348" s="851"/>
      <c r="S348" s="35"/>
      <c r="T348" s="32"/>
      <c r="U348" s="32"/>
    </row>
    <row r="349" spans="2:21" s="51" customFormat="1">
      <c r="B349" s="423"/>
      <c r="C349" s="894"/>
      <c r="D349" s="628"/>
      <c r="E349" s="895" t="s">
        <v>2384</v>
      </c>
      <c r="F349" s="928">
        <f>F$31*F$49*F$119*F316</f>
        <v>0</v>
      </c>
      <c r="G349" s="928">
        <f t="shared" si="88"/>
        <v>0</v>
      </c>
      <c r="H349" s="928">
        <f>H$31*H$49*H$119*H316</f>
        <v>0</v>
      </c>
      <c r="I349" s="928">
        <f t="shared" si="88"/>
        <v>0</v>
      </c>
      <c r="J349" s="928">
        <f t="shared" si="88"/>
        <v>0</v>
      </c>
      <c r="K349" s="928">
        <f t="shared" si="88"/>
        <v>0</v>
      </c>
      <c r="L349" s="928">
        <f t="shared" si="88"/>
        <v>0</v>
      </c>
      <c r="M349" s="928">
        <f t="shared" si="88"/>
        <v>0</v>
      </c>
      <c r="N349" s="928">
        <f t="shared" si="88"/>
        <v>0</v>
      </c>
      <c r="O349" s="928">
        <f t="shared" si="88"/>
        <v>0</v>
      </c>
      <c r="Q349" s="32"/>
      <c r="R349" s="851"/>
      <c r="S349" s="35"/>
      <c r="T349" s="32"/>
      <c r="U349" s="32"/>
    </row>
    <row r="350" spans="2:21" s="51" customFormat="1">
      <c r="B350" s="423"/>
      <c r="C350" s="894"/>
      <c r="D350" s="628" t="s">
        <v>1022</v>
      </c>
      <c r="E350" s="895" t="s">
        <v>953</v>
      </c>
      <c r="F350" s="928">
        <f t="shared" ref="F350:O351" si="89">F$31*F$49*F$120*F317</f>
        <v>94.760519455570375</v>
      </c>
      <c r="G350" s="928">
        <f t="shared" si="89"/>
        <v>94.760519455570375</v>
      </c>
      <c r="H350" s="928">
        <f t="shared" si="89"/>
        <v>123.66024441444995</v>
      </c>
      <c r="I350" s="928">
        <f t="shared" si="89"/>
        <v>156.49093371816861</v>
      </c>
      <c r="J350" s="928">
        <f t="shared" si="89"/>
        <v>186.41388773061286</v>
      </c>
      <c r="K350" s="928">
        <f t="shared" si="89"/>
        <v>214.41175863191845</v>
      </c>
      <c r="L350" s="928">
        <f t="shared" si="89"/>
        <v>237.82064322333227</v>
      </c>
      <c r="M350" s="928">
        <f t="shared" si="89"/>
        <v>252.78413524118045</v>
      </c>
      <c r="N350" s="928">
        <f t="shared" si="89"/>
        <v>263.40935248766596</v>
      </c>
      <c r="O350" s="928">
        <f t="shared" si="89"/>
        <v>271.97956915954796</v>
      </c>
      <c r="Q350" s="32"/>
      <c r="R350" s="851"/>
      <c r="S350" s="35"/>
      <c r="T350" s="32"/>
      <c r="U350" s="32"/>
    </row>
    <row r="351" spans="2:21" s="51" customFormat="1">
      <c r="B351" s="423"/>
      <c r="C351" s="894"/>
      <c r="D351" s="628"/>
      <c r="E351" s="895" t="s">
        <v>1030</v>
      </c>
      <c r="F351" s="928">
        <f t="shared" si="89"/>
        <v>1.1279907172901364</v>
      </c>
      <c r="G351" s="928">
        <f t="shared" si="89"/>
        <v>1.1279907172901364</v>
      </c>
      <c r="H351" s="928">
        <f t="shared" si="89"/>
        <v>1.7000846862460735</v>
      </c>
      <c r="I351" s="928">
        <f t="shared" si="89"/>
        <v>2.4637983470102727</v>
      </c>
      <c r="J351" s="928">
        <f t="shared" si="89"/>
        <v>3.416955172251559</v>
      </c>
      <c r="K351" s="928">
        <f t="shared" si="89"/>
        <v>4.5992307775998862</v>
      </c>
      <c r="L351" s="928">
        <f t="shared" si="89"/>
        <v>6.3483949936413149</v>
      </c>
      <c r="M351" s="928">
        <f t="shared" si="89"/>
        <v>8.0870053585929771</v>
      </c>
      <c r="N351" s="928">
        <f t="shared" si="89"/>
        <v>9.8368637858464485</v>
      </c>
      <c r="O351" s="928">
        <f t="shared" si="89"/>
        <v>11.543436665744034</v>
      </c>
      <c r="Q351" s="32"/>
      <c r="R351" s="851"/>
      <c r="S351" s="35"/>
      <c r="T351" s="32"/>
      <c r="U351" s="32"/>
    </row>
    <row r="352" spans="2:21" s="51" customFormat="1">
      <c r="B352" s="423"/>
      <c r="C352" s="894"/>
      <c r="D352" s="628" t="s">
        <v>1023</v>
      </c>
      <c r="E352" s="895" t="s">
        <v>1031</v>
      </c>
      <c r="F352" s="928">
        <f t="shared" ref="F352:O356" si="90">F$31*F$49*F$121*F319</f>
        <v>322.88867194765555</v>
      </c>
      <c r="G352" s="928">
        <f t="shared" si="90"/>
        <v>322.88867194765561</v>
      </c>
      <c r="H352" s="928">
        <f t="shared" si="90"/>
        <v>587.6434420898978</v>
      </c>
      <c r="I352" s="928">
        <f t="shared" si="90"/>
        <v>953.67162767107072</v>
      </c>
      <c r="J352" s="928">
        <f t="shared" si="90"/>
        <v>1403.7922238097017</v>
      </c>
      <c r="K352" s="928">
        <f t="shared" si="90"/>
        <v>1937.7706239598263</v>
      </c>
      <c r="L352" s="928">
        <f t="shared" si="90"/>
        <v>2561.6871377079478</v>
      </c>
      <c r="M352" s="928">
        <f t="shared" si="90"/>
        <v>3197.5594796805258</v>
      </c>
      <c r="N352" s="928">
        <f t="shared" si="90"/>
        <v>3873.3732751289531</v>
      </c>
      <c r="O352" s="928">
        <f t="shared" si="90"/>
        <v>4565.262295081754</v>
      </c>
      <c r="Q352" s="32"/>
      <c r="R352" s="851"/>
      <c r="S352" s="35"/>
      <c r="T352" s="32"/>
      <c r="U352" s="32"/>
    </row>
    <row r="353" spans="2:21" s="51" customFormat="1">
      <c r="B353" s="423"/>
      <c r="C353" s="894"/>
      <c r="D353" s="628"/>
      <c r="E353" s="895" t="s">
        <v>953</v>
      </c>
      <c r="F353" s="928">
        <f t="shared" si="90"/>
        <v>76.924511153303513</v>
      </c>
      <c r="G353" s="928">
        <f t="shared" si="90"/>
        <v>76.924511153303527</v>
      </c>
      <c r="H353" s="928">
        <f t="shared" si="90"/>
        <v>178.4589636757313</v>
      </c>
      <c r="I353" s="928">
        <f t="shared" si="90"/>
        <v>356.13945441995645</v>
      </c>
      <c r="J353" s="928">
        <f t="shared" si="90"/>
        <v>606.75223890937639</v>
      </c>
      <c r="K353" s="928">
        <f t="shared" si="90"/>
        <v>961.34356455248508</v>
      </c>
      <c r="L353" s="928">
        <f t="shared" si="90"/>
        <v>1433.3955534748986</v>
      </c>
      <c r="M353" s="928">
        <f t="shared" si="90"/>
        <v>2010.0433622694718</v>
      </c>
      <c r="N353" s="928">
        <f t="shared" si="90"/>
        <v>2727.2038677858595</v>
      </c>
      <c r="O353" s="928">
        <f t="shared" si="90"/>
        <v>3683.4083489492641</v>
      </c>
      <c r="Q353" s="32"/>
      <c r="R353" s="851"/>
      <c r="S353" s="35"/>
      <c r="T353" s="32"/>
      <c r="U353" s="32"/>
    </row>
    <row r="354" spans="2:21" s="51" customFormat="1">
      <c r="B354" s="423"/>
      <c r="C354" s="894"/>
      <c r="D354" s="628"/>
      <c r="E354" s="895" t="s">
        <v>1030</v>
      </c>
      <c r="F354" s="928">
        <f t="shared" si="90"/>
        <v>8.7651369192586746</v>
      </c>
      <c r="G354" s="928">
        <f t="shared" si="90"/>
        <v>8.7651369192586746</v>
      </c>
      <c r="H354" s="928">
        <f t="shared" si="90"/>
        <v>21.014189563265468</v>
      </c>
      <c r="I354" s="928">
        <f t="shared" si="90"/>
        <v>43.295384654975095</v>
      </c>
      <c r="J354" s="928">
        <f t="shared" si="90"/>
        <v>78.011002145491261</v>
      </c>
      <c r="K354" s="928">
        <f t="shared" si="90"/>
        <v>126.07784453147346</v>
      </c>
      <c r="L354" s="928">
        <f t="shared" si="90"/>
        <v>173.744915572715</v>
      </c>
      <c r="M354" s="928">
        <f t="shared" si="90"/>
        <v>226.48375912895457</v>
      </c>
      <c r="N354" s="928">
        <f t="shared" si="90"/>
        <v>287.07409134587988</v>
      </c>
      <c r="O354" s="928">
        <f t="shared" si="90"/>
        <v>360.27076965466205</v>
      </c>
      <c r="Q354" s="32"/>
      <c r="R354" s="851"/>
      <c r="S354" s="35"/>
      <c r="T354" s="32"/>
      <c r="U354" s="32"/>
    </row>
    <row r="355" spans="2:21" s="51" customFormat="1">
      <c r="B355" s="423"/>
      <c r="C355" s="894"/>
      <c r="D355" s="628"/>
      <c r="E355" s="895" t="s">
        <v>918</v>
      </c>
      <c r="F355" s="928">
        <f t="shared" si="90"/>
        <v>8.7651369192586746</v>
      </c>
      <c r="G355" s="928">
        <f t="shared" si="90"/>
        <v>8.7651369192586746</v>
      </c>
      <c r="H355" s="928">
        <f t="shared" si="90"/>
        <v>21.014189563265468</v>
      </c>
      <c r="I355" s="928">
        <f t="shared" si="90"/>
        <v>43.295384654975095</v>
      </c>
      <c r="J355" s="928">
        <f t="shared" si="90"/>
        <v>78.011002145491261</v>
      </c>
      <c r="K355" s="928">
        <f t="shared" si="90"/>
        <v>126.07784453147346</v>
      </c>
      <c r="L355" s="928">
        <f t="shared" si="90"/>
        <v>173.744915572715</v>
      </c>
      <c r="M355" s="928">
        <f t="shared" si="90"/>
        <v>226.48375912895457</v>
      </c>
      <c r="N355" s="928">
        <f t="shared" si="90"/>
        <v>287.07409134587988</v>
      </c>
      <c r="O355" s="928">
        <f t="shared" si="90"/>
        <v>360.27076965466205</v>
      </c>
      <c r="Q355" s="32"/>
      <c r="R355" s="851"/>
      <c r="S355" s="35"/>
      <c r="T355" s="32"/>
      <c r="U355" s="32"/>
    </row>
    <row r="356" spans="2:21" s="51" customFormat="1">
      <c r="B356" s="423"/>
      <c r="C356" s="894"/>
      <c r="D356" s="628"/>
      <c r="E356" s="895" t="s">
        <v>954</v>
      </c>
      <c r="F356" s="928">
        <f t="shared" si="90"/>
        <v>4.4015406174632295E-2</v>
      </c>
      <c r="G356" s="928">
        <f t="shared" si="90"/>
        <v>4.4015406174632295E-2</v>
      </c>
      <c r="H356" s="928">
        <f t="shared" si="90"/>
        <v>0.10755080580708175</v>
      </c>
      <c r="I356" s="928">
        <f t="shared" si="90"/>
        <v>0.22441244739563634</v>
      </c>
      <c r="J356" s="928">
        <f t="shared" si="90"/>
        <v>0.40803144817560216</v>
      </c>
      <c r="K356" s="928">
        <f t="shared" si="90"/>
        <v>0.68053474811527404</v>
      </c>
      <c r="L356" s="928">
        <f t="shared" si="90"/>
        <v>1.0577726957086822</v>
      </c>
      <c r="M356" s="928">
        <f t="shared" si="90"/>
        <v>1.5352027128555619</v>
      </c>
      <c r="N356" s="928">
        <f t="shared" si="90"/>
        <v>2.1440897378341424</v>
      </c>
      <c r="O356" s="928">
        <f t="shared" si="90"/>
        <v>2.9281803550605909</v>
      </c>
      <c r="Q356" s="32"/>
      <c r="R356" s="851"/>
      <c r="S356" s="35"/>
      <c r="T356" s="32"/>
      <c r="U356" s="32"/>
    </row>
    <row r="357" spans="2:21" s="51" customFormat="1">
      <c r="B357" s="423"/>
      <c r="C357" s="894"/>
      <c r="D357" s="628" t="s">
        <v>1024</v>
      </c>
      <c r="E357" s="895" t="s">
        <v>1031</v>
      </c>
      <c r="F357" s="928">
        <f t="shared" ref="F357:O360" si="91">F$31*F$49*F$122*F324</f>
        <v>122.47468759436744</v>
      </c>
      <c r="G357" s="928">
        <f t="shared" si="91"/>
        <v>122.47468759436747</v>
      </c>
      <c r="H357" s="928">
        <f t="shared" si="91"/>
        <v>119.89371099469784</v>
      </c>
      <c r="I357" s="928">
        <f t="shared" si="91"/>
        <v>100.80292651337636</v>
      </c>
      <c r="J357" s="928">
        <f t="shared" si="91"/>
        <v>54.153887801818698</v>
      </c>
      <c r="K357" s="928">
        <f t="shared" si="91"/>
        <v>0</v>
      </c>
      <c r="L357" s="928">
        <f t="shared" si="91"/>
        <v>0</v>
      </c>
      <c r="M357" s="928">
        <f t="shared" si="91"/>
        <v>0</v>
      </c>
      <c r="N357" s="928">
        <f t="shared" si="91"/>
        <v>0</v>
      </c>
      <c r="O357" s="928">
        <f t="shared" si="91"/>
        <v>135.29851937554406</v>
      </c>
      <c r="Q357" s="32"/>
      <c r="R357" s="851"/>
      <c r="S357" s="35"/>
      <c r="T357" s="32"/>
      <c r="U357" s="32"/>
    </row>
    <row r="358" spans="2:21" s="51" customFormat="1">
      <c r="B358" s="423"/>
      <c r="C358" s="894"/>
      <c r="D358" s="628"/>
      <c r="E358" s="895" t="s">
        <v>1031</v>
      </c>
      <c r="F358" s="928">
        <f t="shared" si="91"/>
        <v>697.54948674837033</v>
      </c>
      <c r="G358" s="928">
        <f t="shared" si="91"/>
        <v>697.54948674837055</v>
      </c>
      <c r="H358" s="928">
        <f t="shared" si="91"/>
        <v>988.01298875260238</v>
      </c>
      <c r="I358" s="928">
        <f t="shared" si="91"/>
        <v>1353.0701465677937</v>
      </c>
      <c r="J358" s="928">
        <f t="shared" si="91"/>
        <v>1739.5155078445998</v>
      </c>
      <c r="K358" s="928">
        <f t="shared" si="91"/>
        <v>2144.4926168485013</v>
      </c>
      <c r="L358" s="928">
        <f t="shared" si="91"/>
        <v>2486.5898936893691</v>
      </c>
      <c r="M358" s="928">
        <f t="shared" si="91"/>
        <v>2774.7689988769739</v>
      </c>
      <c r="N358" s="928">
        <f t="shared" si="91"/>
        <v>3050.7010965660252</v>
      </c>
      <c r="O358" s="928">
        <f t="shared" si="91"/>
        <v>3207.0262576241644</v>
      </c>
      <c r="Q358" s="32"/>
      <c r="R358" s="851"/>
      <c r="S358" s="35"/>
      <c r="T358" s="32"/>
      <c r="U358" s="32"/>
    </row>
    <row r="359" spans="2:21" s="51" customFormat="1">
      <c r="B359" s="423"/>
      <c r="C359" s="894"/>
      <c r="D359" s="628"/>
      <c r="E359" s="895" t="s">
        <v>1031</v>
      </c>
      <c r="F359" s="928">
        <f t="shared" si="91"/>
        <v>8.2799589957077373</v>
      </c>
      <c r="G359" s="928">
        <f t="shared" si="91"/>
        <v>8.2799589957077409</v>
      </c>
      <c r="H359" s="928">
        <f t="shared" si="91"/>
        <v>5.0472051032436323</v>
      </c>
      <c r="I359" s="928">
        <f t="shared" si="91"/>
        <v>0</v>
      </c>
      <c r="J359" s="928">
        <f t="shared" si="91"/>
        <v>0</v>
      </c>
      <c r="K359" s="928">
        <f t="shared" si="91"/>
        <v>0</v>
      </c>
      <c r="L359" s="928">
        <f t="shared" si="91"/>
        <v>0</v>
      </c>
      <c r="M359" s="928">
        <f t="shared" si="91"/>
        <v>0</v>
      </c>
      <c r="N359" s="928">
        <f t="shared" si="91"/>
        <v>0</v>
      </c>
      <c r="O359" s="928">
        <f t="shared" si="91"/>
        <v>0</v>
      </c>
      <c r="Q359" s="32"/>
      <c r="R359" s="851"/>
      <c r="S359" s="35"/>
      <c r="T359" s="32"/>
      <c r="U359" s="32"/>
    </row>
    <row r="360" spans="2:21" s="51" customFormat="1">
      <c r="B360" s="423"/>
      <c r="C360" s="894"/>
      <c r="D360" s="628"/>
      <c r="E360" s="895" t="s">
        <v>954</v>
      </c>
      <c r="F360" s="928">
        <f t="shared" si="91"/>
        <v>1.9352845336657036</v>
      </c>
      <c r="G360" s="928">
        <f t="shared" si="91"/>
        <v>1.9352845336657036</v>
      </c>
      <c r="H360" s="928">
        <f t="shared" si="91"/>
        <v>30.930192763972997</v>
      </c>
      <c r="I360" s="928">
        <f t="shared" si="91"/>
        <v>79.341147894572742</v>
      </c>
      <c r="J360" s="928">
        <f t="shared" si="91"/>
        <v>148.49155158279808</v>
      </c>
      <c r="K360" s="928">
        <f t="shared" si="91"/>
        <v>241.36663949797156</v>
      </c>
      <c r="L360" s="928">
        <f t="shared" si="91"/>
        <v>358.06893662939967</v>
      </c>
      <c r="M360" s="928">
        <f t="shared" si="91"/>
        <v>491.90470640226039</v>
      </c>
      <c r="N360" s="928">
        <f t="shared" si="91"/>
        <v>648.42487606368695</v>
      </c>
      <c r="O360" s="928">
        <f t="shared" si="91"/>
        <v>835.58119424992719</v>
      </c>
      <c r="Q360" s="32"/>
      <c r="R360" s="851"/>
      <c r="S360" s="35"/>
      <c r="T360" s="32"/>
      <c r="U360" s="32"/>
    </row>
    <row r="361" spans="2:21" s="51" customFormat="1">
      <c r="B361" s="423"/>
      <c r="C361" s="894"/>
      <c r="D361" s="628" t="s">
        <v>1025</v>
      </c>
      <c r="E361" s="895" t="s">
        <v>1030</v>
      </c>
      <c r="F361" s="928">
        <f t="shared" ref="F361:O364" si="92">F$31*F$49*F$123*F328</f>
        <v>19.80154133140416</v>
      </c>
      <c r="G361" s="928">
        <f t="shared" si="92"/>
        <v>19.80154133140416</v>
      </c>
      <c r="H361" s="928">
        <f t="shared" si="92"/>
        <v>40.127265514367544</v>
      </c>
      <c r="I361" s="928">
        <f t="shared" si="92"/>
        <v>73.830913643150225</v>
      </c>
      <c r="J361" s="928">
        <f t="shared" si="92"/>
        <v>121.07168258443326</v>
      </c>
      <c r="K361" s="928">
        <f t="shared" si="92"/>
        <v>186.66505435688219</v>
      </c>
      <c r="L361" s="928">
        <f t="shared" si="92"/>
        <v>272.68603663478024</v>
      </c>
      <c r="M361" s="928">
        <f t="shared" si="92"/>
        <v>376.34569589763225</v>
      </c>
      <c r="N361" s="928">
        <f t="shared" si="92"/>
        <v>504.1554685834912</v>
      </c>
      <c r="O361" s="928">
        <f t="shared" si="92"/>
        <v>661.24523258772842</v>
      </c>
      <c r="Q361" s="32"/>
      <c r="R361" s="851"/>
      <c r="S361" s="35"/>
      <c r="T361" s="32"/>
      <c r="U361" s="32"/>
    </row>
    <row r="362" spans="2:21" s="51" customFormat="1">
      <c r="B362" s="423"/>
      <c r="C362" s="894"/>
      <c r="D362" s="628"/>
      <c r="E362" s="895" t="s">
        <v>918</v>
      </c>
      <c r="F362" s="928">
        <f t="shared" si="92"/>
        <v>14.113249132755168</v>
      </c>
      <c r="G362" s="928">
        <f t="shared" si="92"/>
        <v>14.113249132755168</v>
      </c>
      <c r="H362" s="928">
        <f t="shared" si="92"/>
        <v>30.750770615959304</v>
      </c>
      <c r="I362" s="928">
        <f t="shared" si="92"/>
        <v>56.748466957088006</v>
      </c>
      <c r="J362" s="928">
        <f t="shared" si="92"/>
        <v>76.102200481643749</v>
      </c>
      <c r="K362" s="928">
        <f t="shared" si="92"/>
        <v>94.250552035933978</v>
      </c>
      <c r="L362" s="928">
        <f t="shared" si="92"/>
        <v>102.46384406882648</v>
      </c>
      <c r="M362" s="928">
        <f t="shared" si="92"/>
        <v>99.652099758809655</v>
      </c>
      <c r="N362" s="928">
        <f t="shared" si="92"/>
        <v>84.910394708798464</v>
      </c>
      <c r="O362" s="928">
        <f t="shared" si="92"/>
        <v>60.965872508088431</v>
      </c>
      <c r="Q362" s="32"/>
      <c r="R362" s="851"/>
      <c r="S362" s="35"/>
      <c r="T362" s="32"/>
      <c r="U362" s="32"/>
    </row>
    <row r="363" spans="2:21" s="51" customFormat="1">
      <c r="B363" s="423"/>
      <c r="C363" s="894"/>
      <c r="D363" s="628"/>
      <c r="E363" s="895" t="s">
        <v>1031</v>
      </c>
      <c r="F363" s="928">
        <f t="shared" si="92"/>
        <v>80.694464247123122</v>
      </c>
      <c r="G363" s="928">
        <f t="shared" si="92"/>
        <v>80.694464247123122</v>
      </c>
      <c r="H363" s="928">
        <f t="shared" si="92"/>
        <v>141.95652031477556</v>
      </c>
      <c r="I363" s="928">
        <f t="shared" si="92"/>
        <v>231.62639574321639</v>
      </c>
      <c r="J363" s="928">
        <f t="shared" si="92"/>
        <v>345.9190930983807</v>
      </c>
      <c r="K363" s="928">
        <f t="shared" si="92"/>
        <v>489.61325732952719</v>
      </c>
      <c r="L363" s="928">
        <f t="shared" si="92"/>
        <v>661.05705850855827</v>
      </c>
      <c r="M363" s="928">
        <f t="shared" si="92"/>
        <v>848.10297667072064</v>
      </c>
      <c r="N363" s="928">
        <f t="shared" si="92"/>
        <v>1061.3799338599813</v>
      </c>
      <c r="O363" s="928">
        <f t="shared" si="92"/>
        <v>1313.1111001742127</v>
      </c>
      <c r="Q363" s="32"/>
      <c r="R363" s="851"/>
      <c r="S363" s="35"/>
      <c r="T363" s="32"/>
      <c r="U363" s="32"/>
    </row>
    <row r="364" spans="2:21" s="51" customFormat="1">
      <c r="B364" s="423"/>
      <c r="C364" s="894"/>
      <c r="D364" s="628"/>
      <c r="E364" s="895" t="s">
        <v>953</v>
      </c>
      <c r="F364" s="928">
        <f t="shared" si="92"/>
        <v>87.126905906525366</v>
      </c>
      <c r="G364" s="928">
        <f t="shared" si="92"/>
        <v>87.126905906525366</v>
      </c>
      <c r="H364" s="928">
        <f t="shared" si="92"/>
        <v>142.05674434183646</v>
      </c>
      <c r="I364" s="928">
        <f t="shared" si="92"/>
        <v>216.86021301458629</v>
      </c>
      <c r="J364" s="928">
        <f t="shared" si="92"/>
        <v>321.70475658149394</v>
      </c>
      <c r="K364" s="928">
        <f t="shared" si="92"/>
        <v>453.50427960147442</v>
      </c>
      <c r="L364" s="928">
        <f t="shared" si="92"/>
        <v>616.43570705923048</v>
      </c>
      <c r="M364" s="928">
        <f t="shared" si="92"/>
        <v>796.15666934963883</v>
      </c>
      <c r="N364" s="928">
        <f t="shared" si="92"/>
        <v>1003.0040374976821</v>
      </c>
      <c r="O364" s="928">
        <f t="shared" si="92"/>
        <v>1247.4555451655019</v>
      </c>
      <c r="Q364" s="32"/>
      <c r="R364" s="851"/>
      <c r="S364" s="35"/>
      <c r="T364" s="32"/>
      <c r="U364" s="32"/>
    </row>
    <row r="365" spans="2:21" s="51" customFormat="1">
      <c r="B365" s="423"/>
      <c r="C365" s="894"/>
      <c r="D365" s="628" t="s">
        <v>1026</v>
      </c>
      <c r="E365" s="895" t="s">
        <v>1030</v>
      </c>
      <c r="F365" s="928">
        <f t="shared" ref="F365:O367" si="93">F$31*F$49*F$124*F332</f>
        <v>3.1482941524928245</v>
      </c>
      <c r="G365" s="928">
        <f t="shared" si="93"/>
        <v>3.1482941524928245</v>
      </c>
      <c r="H365" s="928">
        <f t="shared" si="93"/>
        <v>5.8649366041646021</v>
      </c>
      <c r="I365" s="928">
        <f t="shared" si="93"/>
        <v>10.341152709043524</v>
      </c>
      <c r="J365" s="928">
        <f t="shared" si="93"/>
        <v>17.54374682531126</v>
      </c>
      <c r="K365" s="928">
        <f t="shared" si="93"/>
        <v>27.815010425365379</v>
      </c>
      <c r="L365" s="928">
        <f t="shared" si="93"/>
        <v>41.593200342603865</v>
      </c>
      <c r="M365" s="928">
        <f t="shared" si="93"/>
        <v>58.551991610663457</v>
      </c>
      <c r="N365" s="928">
        <f t="shared" si="93"/>
        <v>79.779524826278632</v>
      </c>
      <c r="O365" s="928">
        <f t="shared" si="93"/>
        <v>105.878942026234</v>
      </c>
      <c r="Q365" s="32"/>
      <c r="R365" s="851"/>
      <c r="S365" s="35"/>
      <c r="T365" s="32"/>
      <c r="U365" s="32"/>
    </row>
    <row r="366" spans="2:21" s="51" customFormat="1">
      <c r="B366" s="423"/>
      <c r="C366" s="894"/>
      <c r="D366" s="628"/>
      <c r="E366" s="895" t="s">
        <v>918</v>
      </c>
      <c r="F366" s="928">
        <f t="shared" si="93"/>
        <v>2.141071866088605</v>
      </c>
      <c r="G366" s="928">
        <f t="shared" si="93"/>
        <v>2.141071866088605</v>
      </c>
      <c r="H366" s="928">
        <f t="shared" si="93"/>
        <v>3.4729774341954847</v>
      </c>
      <c r="I366" s="928">
        <f t="shared" si="93"/>
        <v>5.3040105830255504</v>
      </c>
      <c r="J366" s="928">
        <f t="shared" si="93"/>
        <v>7.5048250308275941</v>
      </c>
      <c r="K366" s="928">
        <f t="shared" si="93"/>
        <v>9.9726988598261208</v>
      </c>
      <c r="L366" s="928">
        <f t="shared" si="93"/>
        <v>11.935440098312414</v>
      </c>
      <c r="M366" s="928">
        <f t="shared" si="93"/>
        <v>13.547323549133901</v>
      </c>
      <c r="N366" s="928">
        <f t="shared" si="93"/>
        <v>15.386051216496588</v>
      </c>
      <c r="O366" s="928">
        <f t="shared" si="93"/>
        <v>16.625618995854925</v>
      </c>
      <c r="Q366" s="32"/>
      <c r="R366" s="851"/>
      <c r="S366" s="35"/>
      <c r="T366" s="32"/>
      <c r="U366" s="32"/>
    </row>
    <row r="367" spans="2:21" s="51" customFormat="1">
      <c r="B367" s="423"/>
      <c r="C367" s="894"/>
      <c r="D367" s="628"/>
      <c r="E367" s="898" t="s">
        <v>953</v>
      </c>
      <c r="F367" s="928">
        <f t="shared" si="93"/>
        <v>120.17871529416215</v>
      </c>
      <c r="G367" s="928">
        <f t="shared" si="93"/>
        <v>120.17871529416215</v>
      </c>
      <c r="H367" s="928">
        <f t="shared" si="93"/>
        <v>201.48814886821859</v>
      </c>
      <c r="I367" s="928">
        <f t="shared" si="93"/>
        <v>317.94040796739949</v>
      </c>
      <c r="J367" s="928">
        <f t="shared" si="93"/>
        <v>462.27772884695156</v>
      </c>
      <c r="K367" s="928">
        <f t="shared" si="93"/>
        <v>640.62717913835422</v>
      </c>
      <c r="L367" s="928">
        <f t="shared" si="93"/>
        <v>850.67136700699371</v>
      </c>
      <c r="M367" s="928">
        <f t="shared" si="93"/>
        <v>1075.9789517159566</v>
      </c>
      <c r="N367" s="928">
        <f t="shared" si="93"/>
        <v>1329.4687958550571</v>
      </c>
      <c r="O367" s="928">
        <f t="shared" si="93"/>
        <v>1627.5605964363247</v>
      </c>
      <c r="Q367" s="32"/>
      <c r="R367" s="851"/>
      <c r="S367" s="35"/>
      <c r="T367" s="32"/>
      <c r="U367" s="32"/>
    </row>
    <row r="368" spans="2:21" s="51" customFormat="1">
      <c r="B368" s="423"/>
      <c r="C368" s="894" t="s">
        <v>952</v>
      </c>
      <c r="D368" s="628"/>
      <c r="E368" s="898" t="s">
        <v>953</v>
      </c>
      <c r="F368" s="928">
        <f>F$31*F$50*F335</f>
        <v>519.07512379200011</v>
      </c>
      <c r="G368" s="928">
        <f t="shared" ref="G368:O369" si="94">G$31*G$50*G335</f>
        <v>519.07512379200011</v>
      </c>
      <c r="H368" s="928">
        <f t="shared" si="94"/>
        <v>693.86037371132613</v>
      </c>
      <c r="I368" s="928">
        <f t="shared" si="94"/>
        <v>884.55914050924764</v>
      </c>
      <c r="J368" s="928">
        <f t="shared" si="94"/>
        <v>1070.4189547472436</v>
      </c>
      <c r="K368" s="928">
        <f t="shared" si="94"/>
        <v>1227.5659184459153</v>
      </c>
      <c r="L368" s="928">
        <f t="shared" si="94"/>
        <v>1331.062406498728</v>
      </c>
      <c r="M368" s="928">
        <f t="shared" si="94"/>
        <v>1346.6015635965657</v>
      </c>
      <c r="N368" s="928">
        <f t="shared" si="94"/>
        <v>1366.5657921439229</v>
      </c>
      <c r="O368" s="928">
        <f t="shared" si="94"/>
        <v>1500.6123840879238</v>
      </c>
      <c r="Q368" s="32"/>
      <c r="R368" s="851"/>
      <c r="S368" s="35"/>
      <c r="T368" s="32"/>
      <c r="U368" s="32"/>
    </row>
    <row r="369" spans="2:21" s="51" customFormat="1">
      <c r="B369" s="423"/>
      <c r="C369" s="894"/>
      <c r="D369" s="628"/>
      <c r="E369" s="895" t="s">
        <v>954</v>
      </c>
      <c r="F369" s="928">
        <f>F$31*F$50*F336</f>
        <v>527.44730320800022</v>
      </c>
      <c r="G369" s="928">
        <f t="shared" si="94"/>
        <v>527.44730320800022</v>
      </c>
      <c r="H369" s="928">
        <f t="shared" si="94"/>
        <v>714.51656886917317</v>
      </c>
      <c r="I369" s="928">
        <f t="shared" si="94"/>
        <v>958.27240221835166</v>
      </c>
      <c r="J369" s="928">
        <f t="shared" si="94"/>
        <v>1207.0681830128494</v>
      </c>
      <c r="K369" s="928">
        <f t="shared" si="94"/>
        <v>1500.3583447672299</v>
      </c>
      <c r="L369" s="928">
        <f t="shared" si="94"/>
        <v>1838.1337994506248</v>
      </c>
      <c r="M369" s="928">
        <f t="shared" si="94"/>
        <v>2197.0867616575547</v>
      </c>
      <c r="N369" s="928">
        <f t="shared" si="94"/>
        <v>2537.9078996958569</v>
      </c>
      <c r="O369" s="928">
        <f t="shared" si="94"/>
        <v>2786.8515704490019</v>
      </c>
      <c r="Q369" s="32"/>
      <c r="R369" s="2982"/>
      <c r="S369" s="35"/>
      <c r="T369" s="32"/>
      <c r="U369" s="32"/>
    </row>
    <row r="370" spans="2:21" s="51" customFormat="1">
      <c r="B370" s="423"/>
      <c r="C370" s="894" t="s">
        <v>970</v>
      </c>
      <c r="D370" s="628"/>
      <c r="E370" s="895" t="s">
        <v>970</v>
      </c>
      <c r="F370" s="928">
        <f>F$31*F$51</f>
        <v>55.150110600095779</v>
      </c>
      <c r="G370" s="928">
        <f t="shared" ref="G370:O370" si="95">G$31*G$51</f>
        <v>55.150110600095779</v>
      </c>
      <c r="H370" s="928">
        <f t="shared" si="95"/>
        <v>99.732348783420434</v>
      </c>
      <c r="I370" s="928">
        <f t="shared" si="95"/>
        <v>165.51194451378521</v>
      </c>
      <c r="J370" s="928">
        <f t="shared" si="95"/>
        <v>249.98996125307312</v>
      </c>
      <c r="K370" s="928">
        <f t="shared" si="95"/>
        <v>356.65504919820864</v>
      </c>
      <c r="L370" s="928">
        <f t="shared" si="95"/>
        <v>484.33157347020244</v>
      </c>
      <c r="M370" s="928">
        <f t="shared" si="95"/>
        <v>624.05368162255138</v>
      </c>
      <c r="N370" s="928">
        <f t="shared" si="95"/>
        <v>783.53610911090948</v>
      </c>
      <c r="O370" s="928">
        <f t="shared" si="95"/>
        <v>971.78314608569201</v>
      </c>
      <c r="Q370" s="32"/>
      <c r="R370" s="851"/>
      <c r="S370" s="35"/>
      <c r="T370" s="32"/>
      <c r="U370" s="32"/>
    </row>
    <row r="371" spans="2:21" s="51" customFormat="1">
      <c r="B371" s="423"/>
      <c r="C371" s="896" t="s">
        <v>1040</v>
      </c>
      <c r="D371" s="929"/>
      <c r="E371" s="929"/>
      <c r="F371" s="930">
        <f>SUM(F347:F370)</f>
        <v>7255.4913568342299</v>
      </c>
      <c r="G371" s="930">
        <f t="shared" ref="G371:O371" si="96">SUM(G347:G370)</f>
        <v>7255.4913568342299</v>
      </c>
      <c r="H371" s="930">
        <f t="shared" si="96"/>
        <v>9997.0422858053116</v>
      </c>
      <c r="I371" s="930">
        <f t="shared" si="96"/>
        <v>13400.456779050764</v>
      </c>
      <c r="J371" s="930">
        <f t="shared" si="96"/>
        <v>16975.808530728584</v>
      </c>
      <c r="K371" s="930">
        <f t="shared" si="96"/>
        <v>20855.460812221685</v>
      </c>
      <c r="L371" s="930">
        <f t="shared" si="96"/>
        <v>24867.727891074366</v>
      </c>
      <c r="M371" s="930">
        <f t="shared" si="96"/>
        <v>28559.05658359412</v>
      </c>
      <c r="N371" s="930">
        <f t="shared" si="96"/>
        <v>32342.280118828523</v>
      </c>
      <c r="O371" s="930">
        <f t="shared" si="96"/>
        <v>36531.274077336981</v>
      </c>
      <c r="Q371" s="32"/>
      <c r="R371" s="851"/>
      <c r="S371" s="35"/>
      <c r="T371" s="32"/>
      <c r="U371" s="32"/>
    </row>
    <row r="372" spans="2:21" s="51" customFormat="1">
      <c r="B372" s="423"/>
      <c r="C372" s="943"/>
      <c r="D372" s="628"/>
      <c r="E372" s="628"/>
      <c r="F372" s="2488"/>
      <c r="G372" s="2488"/>
      <c r="H372" s="2488"/>
      <c r="I372" s="2488"/>
      <c r="J372" s="2488"/>
      <c r="K372" s="2488"/>
      <c r="L372" s="2488"/>
      <c r="M372" s="2488"/>
      <c r="N372" s="2488"/>
      <c r="O372" s="2488"/>
      <c r="Q372" s="32"/>
      <c r="R372" s="851"/>
      <c r="S372" s="35"/>
      <c r="T372" s="32"/>
      <c r="U372" s="32"/>
    </row>
    <row r="373" spans="2:21" s="51" customFormat="1">
      <c r="B373" s="423">
        <v>3</v>
      </c>
      <c r="C373" s="423" t="s">
        <v>2201</v>
      </c>
      <c r="D373" s="3069"/>
      <c r="E373" s="3069"/>
      <c r="F373" s="3069"/>
      <c r="G373" s="3069"/>
      <c r="H373" s="3069"/>
      <c r="I373" s="3069"/>
      <c r="J373" s="3069"/>
      <c r="K373" s="3069"/>
      <c r="L373" s="3069"/>
      <c r="M373" s="3069"/>
      <c r="N373" s="423"/>
      <c r="O373" s="2489" t="str">
        <f>preferences.energyunits&amp;"/vehicle-passenger-km"</f>
        <v>TWh/vehicle-passenger-km</v>
      </c>
      <c r="P373" s="3069"/>
      <c r="Q373" s="32"/>
      <c r="R373" s="851"/>
      <c r="S373" s="35"/>
      <c r="T373" s="32"/>
      <c r="U373" s="32"/>
    </row>
    <row r="374" spans="2:21" s="51" customFormat="1">
      <c r="B374" s="423"/>
      <c r="C374" s="893" t="s">
        <v>840</v>
      </c>
      <c r="D374" s="893" t="s">
        <v>1029</v>
      </c>
      <c r="E374" s="893" t="s">
        <v>275</v>
      </c>
      <c r="F374" s="641">
        <v>2007</v>
      </c>
      <c r="G374" s="642">
        <f t="shared" ref="G374:O374" si="97">F374+5</f>
        <v>2012</v>
      </c>
      <c r="H374" s="642">
        <f t="shared" si="97"/>
        <v>2017</v>
      </c>
      <c r="I374" s="642">
        <f t="shared" si="97"/>
        <v>2022</v>
      </c>
      <c r="J374" s="642">
        <f t="shared" si="97"/>
        <v>2027</v>
      </c>
      <c r="K374" s="642">
        <f t="shared" si="97"/>
        <v>2032</v>
      </c>
      <c r="L374" s="642">
        <f t="shared" si="97"/>
        <v>2037</v>
      </c>
      <c r="M374" s="642">
        <f t="shared" si="97"/>
        <v>2042</v>
      </c>
      <c r="N374" s="642">
        <f t="shared" si="97"/>
        <v>2047</v>
      </c>
      <c r="O374" s="642">
        <f t="shared" si="97"/>
        <v>2052</v>
      </c>
      <c r="Q374" s="32"/>
      <c r="R374" s="851"/>
      <c r="S374" s="35"/>
      <c r="T374" s="32"/>
      <c r="U374" s="32"/>
    </row>
    <row r="375" spans="2:21" s="51" customFormat="1">
      <c r="B375" s="423"/>
      <c r="C375" s="894" t="s">
        <v>955</v>
      </c>
      <c r="D375" s="628" t="s">
        <v>1021</v>
      </c>
      <c r="E375" s="895" t="s">
        <v>953</v>
      </c>
      <c r="F375" s="3069">
        <f t="shared" ref="F375:O375" si="98">(CHOOSE($E$8,F192,F221,F250,F279))*(unit.lde)</f>
        <v>4.1008480553778528E-11</v>
      </c>
      <c r="G375" s="3069">
        <f t="shared" si="98"/>
        <v>4.1008480553778528E-11</v>
      </c>
      <c r="H375" s="3069">
        <f t="shared" si="98"/>
        <v>4.080405184578657E-11</v>
      </c>
      <c r="I375" s="3069">
        <f t="shared" si="98"/>
        <v>4.0600642222044689E-11</v>
      </c>
      <c r="J375" s="3069">
        <f t="shared" si="98"/>
        <v>4.039824660238228E-11</v>
      </c>
      <c r="K375" s="3069">
        <f t="shared" si="98"/>
        <v>4.0196859931953581E-11</v>
      </c>
      <c r="L375" s="3069">
        <f t="shared" si="98"/>
        <v>3.9996477181111447E-11</v>
      </c>
      <c r="M375" s="3069">
        <f t="shared" si="98"/>
        <v>3.9797093345281637E-11</v>
      </c>
      <c r="N375" s="3069">
        <f t="shared" si="98"/>
        <v>3.9598703444837951E-11</v>
      </c>
      <c r="O375" s="3069">
        <f t="shared" si="98"/>
        <v>3.9401302524977765E-11</v>
      </c>
      <c r="Q375" s="32"/>
      <c r="R375" s="851"/>
      <c r="S375" s="35"/>
      <c r="T375" s="32"/>
      <c r="U375" s="32"/>
    </row>
    <row r="376" spans="2:21" s="51" customFormat="1">
      <c r="B376" s="423"/>
      <c r="C376" s="894"/>
      <c r="D376" s="628"/>
      <c r="E376" s="895" t="s">
        <v>1030</v>
      </c>
      <c r="F376" s="3069">
        <f t="shared" ref="F376:O376" si="99">(CHOOSE($E$8,F193,F222,F251,F280))*(unit.lcng)</f>
        <v>6.3428634857206281E-11</v>
      </c>
      <c r="G376" s="3069">
        <f t="shared" si="99"/>
        <v>6.3428634857206281E-11</v>
      </c>
      <c r="H376" s="3069">
        <f t="shared" si="99"/>
        <v>6.3112440896872959E-11</v>
      </c>
      <c r="I376" s="3069">
        <f t="shared" si="99"/>
        <v>6.2797823174476582E-11</v>
      </c>
      <c r="J376" s="3069">
        <f t="shared" si="99"/>
        <v>6.248477383241599E-11</v>
      </c>
      <c r="K376" s="3069">
        <f t="shared" si="99"/>
        <v>6.2173285052260424E-11</v>
      </c>
      <c r="L376" s="3069">
        <f t="shared" si="99"/>
        <v>6.1863349054554262E-11</v>
      </c>
      <c r="M376" s="3069">
        <f t="shared" si="99"/>
        <v>6.1554958098622782E-11</v>
      </c>
      <c r="N376" s="3069">
        <f t="shared" si="99"/>
        <v>6.1248104482378749E-11</v>
      </c>
      <c r="O376" s="3069">
        <f t="shared" si="99"/>
        <v>6.0942780542130142E-11</v>
      </c>
      <c r="Q376" s="32"/>
      <c r="R376" s="851"/>
      <c r="S376" s="35"/>
      <c r="T376" s="32"/>
      <c r="U376" s="32"/>
    </row>
    <row r="377" spans="2:21" s="51" customFormat="1">
      <c r="B377" s="423"/>
      <c r="C377" s="894"/>
      <c r="D377" s="628"/>
      <c r="E377" s="895" t="s">
        <v>2384</v>
      </c>
      <c r="F377" s="3069">
        <f t="shared" ref="F377:O377" si="100">(CHOOSE($E$11,F194,F223,F252,F281))*(unit.lpe)</f>
        <v>2.661786515953183E-11</v>
      </c>
      <c r="G377" s="3069">
        <f t="shared" si="100"/>
        <v>2.661786515953183E-11</v>
      </c>
      <c r="H377" s="3069">
        <f t="shared" si="100"/>
        <v>2.6485174171946199E-11</v>
      </c>
      <c r="I377" s="3069">
        <f t="shared" si="100"/>
        <v>2.6353144653568602E-11</v>
      </c>
      <c r="J377" s="3069">
        <f t="shared" si="100"/>
        <v>2.6221773306951917E-11</v>
      </c>
      <c r="K377" s="3069">
        <f t="shared" si="100"/>
        <v>2.6091056851086936E-11</v>
      </c>
      <c r="L377" s="3069">
        <f t="shared" si="100"/>
        <v>2.596099202132039E-11</v>
      </c>
      <c r="M377" s="3069">
        <f t="shared" si="100"/>
        <v>2.5831575569273408E-11</v>
      </c>
      <c r="N377" s="3069">
        <f t="shared" si="100"/>
        <v>2.5702804262760412E-11</v>
      </c>
      <c r="O377" s="3069">
        <f t="shared" si="100"/>
        <v>2.557467488570838E-11</v>
      </c>
      <c r="Q377" s="32"/>
      <c r="R377" s="851"/>
      <c r="S377" s="35"/>
      <c r="T377" s="32"/>
      <c r="U377" s="32"/>
    </row>
    <row r="378" spans="2:21" s="51" customFormat="1">
      <c r="B378" s="423"/>
      <c r="C378" s="894"/>
      <c r="D378" s="628" t="s">
        <v>1022</v>
      </c>
      <c r="E378" s="895" t="s">
        <v>953</v>
      </c>
      <c r="F378" s="3069">
        <f t="shared" ref="F378:O378" si="101">(CHOOSE($E$8,F195,F224,F253,F282))*(unit.lde)</f>
        <v>1.3914656771799631E-10</v>
      </c>
      <c r="G378" s="3069">
        <f t="shared" si="101"/>
        <v>1.3914656771799631E-10</v>
      </c>
      <c r="H378" s="3069">
        <f t="shared" si="101"/>
        <v>1.3845291721751505E-10</v>
      </c>
      <c r="I378" s="3069">
        <f t="shared" si="101"/>
        <v>1.3776272458900798E-10</v>
      </c>
      <c r="J378" s="3069">
        <f t="shared" si="101"/>
        <v>1.3707597259486258E-10</v>
      </c>
      <c r="K378" s="3069">
        <f t="shared" si="101"/>
        <v>1.3639264408339628E-10</v>
      </c>
      <c r="L378" s="3069">
        <f t="shared" si="101"/>
        <v>1.3571272198842841E-10</v>
      </c>
      <c r="M378" s="3069">
        <f t="shared" si="101"/>
        <v>1.3503618932885371E-10</v>
      </c>
      <c r="N378" s="3069">
        <f t="shared" si="101"/>
        <v>1.3436302920821837E-10</v>
      </c>
      <c r="O378" s="3069">
        <f t="shared" si="101"/>
        <v>1.3369322481429798E-10</v>
      </c>
      <c r="Q378" s="32"/>
      <c r="R378" s="851"/>
      <c r="S378" s="35"/>
      <c r="T378" s="32"/>
      <c r="U378" s="32"/>
    </row>
    <row r="379" spans="2:21" s="51" customFormat="1">
      <c r="B379" s="423"/>
      <c r="C379" s="894"/>
      <c r="D379" s="628"/>
      <c r="E379" s="895" t="s">
        <v>1030</v>
      </c>
      <c r="F379" s="242">
        <f t="shared" ref="F379:O379" si="102">(CHOOSE($E$8,F196,F225,F254,F283))*(unit.lcng)</f>
        <v>1.4271442842871415E-10</v>
      </c>
      <c r="G379" s="242">
        <f t="shared" si="102"/>
        <v>1.4271442842871415E-10</v>
      </c>
      <c r="H379" s="242">
        <f t="shared" si="102"/>
        <v>1.4200299201796416E-10</v>
      </c>
      <c r="I379" s="242">
        <f t="shared" si="102"/>
        <v>1.412951021425723E-10</v>
      </c>
      <c r="J379" s="242">
        <f t="shared" si="102"/>
        <v>1.4059074112293601E-10</v>
      </c>
      <c r="K379" s="242">
        <f t="shared" si="102"/>
        <v>1.3988989136758592E-10</v>
      </c>
      <c r="L379" s="242">
        <f t="shared" si="102"/>
        <v>1.3919253537274711E-10</v>
      </c>
      <c r="M379" s="242">
        <f t="shared" si="102"/>
        <v>1.3849865572190127E-10</v>
      </c>
      <c r="N379" s="242">
        <f t="shared" si="102"/>
        <v>1.3780823508535218E-10</v>
      </c>
      <c r="O379" s="242">
        <f t="shared" si="102"/>
        <v>1.3712125621979279E-10</v>
      </c>
      <c r="P379" s="3069">
        <f>0*(unit.lcng)</f>
        <v>0</v>
      </c>
      <c r="Q379" s="32"/>
      <c r="R379" s="851"/>
      <c r="S379" s="35"/>
      <c r="T379" s="32"/>
      <c r="U379" s="32"/>
    </row>
    <row r="380" spans="2:21" s="51" customFormat="1">
      <c r="B380" s="423"/>
      <c r="C380" s="894"/>
      <c r="D380" s="628" t="s">
        <v>1023</v>
      </c>
      <c r="E380" s="895" t="s">
        <v>1031</v>
      </c>
      <c r="F380" s="3069">
        <f t="shared" ref="F380:O380" si="103">(CHOOSE($E$8,F197,F226,F255,F284))*(unit.lpe)</f>
        <v>2.1294292127625464E-10</v>
      </c>
      <c r="G380" s="3069">
        <f t="shared" si="103"/>
        <v>2.1294292127625464E-10</v>
      </c>
      <c r="H380" s="3069">
        <f t="shared" si="103"/>
        <v>2.1188139337556959E-10</v>
      </c>
      <c r="I380" s="3069">
        <f t="shared" si="103"/>
        <v>1.9931739087601306E-10</v>
      </c>
      <c r="J380" s="3069">
        <f t="shared" si="103"/>
        <v>1.8126049997587296E-10</v>
      </c>
      <c r="K380" s="3069">
        <f t="shared" si="103"/>
        <v>1.7169914439005261E-10</v>
      </c>
      <c r="L380" s="3069">
        <f t="shared" si="103"/>
        <v>1.6327577142455213E-10</v>
      </c>
      <c r="M380" s="3069">
        <f t="shared" si="103"/>
        <v>1.6134320145007989E-10</v>
      </c>
      <c r="N380" s="3069">
        <f t="shared" si="103"/>
        <v>1.597690114673453E-10</v>
      </c>
      <c r="O380" s="3069">
        <f t="shared" si="103"/>
        <v>1.471219155157777E-10</v>
      </c>
      <c r="Q380" s="32"/>
      <c r="R380" s="851"/>
      <c r="S380" s="35"/>
      <c r="T380" s="32"/>
      <c r="U380" s="32"/>
    </row>
    <row r="381" spans="2:21" s="51" customFormat="1">
      <c r="B381" s="423"/>
      <c r="C381" s="894"/>
      <c r="D381" s="628"/>
      <c r="E381" s="895" t="s">
        <v>953</v>
      </c>
      <c r="F381" s="3069">
        <f t="shared" ref="F381:O381" si="104">(CHOOSE($E$8,F198,F227,F256,F285))*(unit.lde)</f>
        <v>2.705627705627706E-10</v>
      </c>
      <c r="G381" s="3069">
        <f t="shared" si="104"/>
        <v>2.705627705627706E-10</v>
      </c>
      <c r="H381" s="3069">
        <f t="shared" si="104"/>
        <v>2.6921400570072372E-10</v>
      </c>
      <c r="I381" s="3069">
        <f t="shared" si="104"/>
        <v>2.5500662527444115E-10</v>
      </c>
      <c r="J381" s="3069">
        <f t="shared" si="104"/>
        <v>2.3524376333087735E-10</v>
      </c>
      <c r="K381" s="3069">
        <f t="shared" si="104"/>
        <v>2.2416067789271105E-10</v>
      </c>
      <c r="L381" s="3069">
        <f t="shared" si="104"/>
        <v>2.1052903143691986E-10</v>
      </c>
      <c r="M381" s="3069">
        <f t="shared" si="104"/>
        <v>2.0597081645430878E-10</v>
      </c>
      <c r="N381" s="3069">
        <f t="shared" si="104"/>
        <v>2.0256962989840496E-10</v>
      </c>
      <c r="O381" s="3069">
        <f t="shared" si="104"/>
        <v>1.8845420526361563E-10</v>
      </c>
      <c r="Q381" s="32"/>
      <c r="R381" s="851"/>
      <c r="S381" s="35"/>
      <c r="T381" s="32"/>
      <c r="U381" s="32"/>
    </row>
    <row r="382" spans="2:21" s="51" customFormat="1">
      <c r="B382" s="423"/>
      <c r="C382" s="894"/>
      <c r="D382" s="628"/>
      <c r="E382" s="895" t="s">
        <v>1030</v>
      </c>
      <c r="F382" s="3069">
        <f t="shared" ref="F382:O382" si="105">(CHOOSE($E$8,F199,F228,F257,F286))*(unit.lcng)</f>
        <v>2.312502312502313E-10</v>
      </c>
      <c r="G382" s="3069">
        <f t="shared" si="105"/>
        <v>2.312502312502313E-10</v>
      </c>
      <c r="H382" s="3069">
        <f t="shared" si="105"/>
        <v>2.3009744076984935E-10</v>
      </c>
      <c r="I382" s="3069">
        <f t="shared" si="105"/>
        <v>2.1654387264473781E-10</v>
      </c>
      <c r="J382" s="3069">
        <f t="shared" si="105"/>
        <v>1.9305093817137105E-10</v>
      </c>
      <c r="K382" s="3069">
        <f t="shared" si="105"/>
        <v>1.822474876634447E-10</v>
      </c>
      <c r="L382" s="3069">
        <f t="shared" si="105"/>
        <v>1.7365400744040826E-10</v>
      </c>
      <c r="M382" s="3069">
        <f t="shared" si="105"/>
        <v>1.7170046269265709E-10</v>
      </c>
      <c r="N382" s="3069">
        <f t="shared" si="105"/>
        <v>1.7006069986573108E-10</v>
      </c>
      <c r="O382" s="3069">
        <f t="shared" si="105"/>
        <v>1.5547315129777987E-10</v>
      </c>
      <c r="Q382" s="32"/>
      <c r="R382" s="851"/>
      <c r="S382" s="35"/>
      <c r="T382" s="32"/>
      <c r="U382" s="32"/>
    </row>
    <row r="383" spans="2:21" s="51" customFormat="1">
      <c r="B383" s="423"/>
      <c r="C383" s="894"/>
      <c r="D383" s="628"/>
      <c r="E383" s="895" t="s">
        <v>918</v>
      </c>
      <c r="F383" s="3069">
        <f t="shared" ref="F383:O383" si="106">(CHOOSE($E$8,F200,F229,F258,F287))*(unit.llpg)</f>
        <v>1.6701405590294482E-10</v>
      </c>
      <c r="G383" s="3069">
        <f t="shared" si="106"/>
        <v>1.6701405590294482E-10</v>
      </c>
      <c r="H383" s="3069">
        <f t="shared" si="106"/>
        <v>1.6618148500044674E-10</v>
      </c>
      <c r="I383" s="3069">
        <f t="shared" si="106"/>
        <v>1.5639279691008841E-10</v>
      </c>
      <c r="J383" s="3069">
        <f t="shared" si="106"/>
        <v>1.5484741050150407E-10</v>
      </c>
      <c r="K383" s="3069">
        <f t="shared" si="106"/>
        <v>1.505397023523624E-10</v>
      </c>
      <c r="L383" s="3069">
        <f t="shared" si="106"/>
        <v>1.2619997924103612E-10</v>
      </c>
      <c r="M383" s="3069">
        <f t="shared" si="106"/>
        <v>1.2465099230852222E-10</v>
      </c>
      <c r="N383" s="3069">
        <f t="shared" si="106"/>
        <v>1.2336810045964527E-10</v>
      </c>
      <c r="O383" s="3069">
        <f t="shared" si="106"/>
        <v>1.1514723776033235E-10</v>
      </c>
      <c r="Q383" s="32"/>
      <c r="R383" s="851"/>
      <c r="S383" s="35"/>
      <c r="T383" s="32"/>
      <c r="U383" s="32"/>
    </row>
    <row r="384" spans="2:21" s="51" customFormat="1">
      <c r="B384" s="423"/>
      <c r="C384" s="894"/>
      <c r="D384" s="628"/>
      <c r="E384" s="895" t="s">
        <v>954</v>
      </c>
      <c r="F384" s="3069">
        <f t="shared" ref="F384:O384" si="107">(CHOOSE($E$8,F201,F230,F259,F288))*(unit.lpe)</f>
        <v>2.661786515953183E-11</v>
      </c>
      <c r="G384" s="3069">
        <f t="shared" si="107"/>
        <v>2.661786515953183E-11</v>
      </c>
      <c r="H384" s="3069">
        <f t="shared" si="107"/>
        <v>2.6485174171946199E-11</v>
      </c>
      <c r="I384" s="3069">
        <f t="shared" si="107"/>
        <v>2.6353144653568605E-11</v>
      </c>
      <c r="J384" s="3069">
        <f t="shared" si="107"/>
        <v>2.6221773306951917E-11</v>
      </c>
      <c r="K384" s="3069">
        <f t="shared" si="107"/>
        <v>2.6091056851086936E-11</v>
      </c>
      <c r="L384" s="3069">
        <f t="shared" si="107"/>
        <v>2.5960992021320387E-11</v>
      </c>
      <c r="M384" s="3069">
        <f t="shared" si="107"/>
        <v>2.5831575569273408E-11</v>
      </c>
      <c r="N384" s="3069">
        <f t="shared" si="107"/>
        <v>2.5702804262760412E-11</v>
      </c>
      <c r="O384" s="3069">
        <f t="shared" si="107"/>
        <v>2.557467488570838E-11</v>
      </c>
      <c r="Q384" s="32"/>
      <c r="R384" s="851"/>
      <c r="S384" s="35"/>
      <c r="T384" s="32"/>
      <c r="U384" s="32"/>
    </row>
    <row r="385" spans="2:21" s="51" customFormat="1">
      <c r="B385" s="423"/>
      <c r="C385" s="894"/>
      <c r="D385" s="628" t="s">
        <v>1024</v>
      </c>
      <c r="E385" s="895" t="s">
        <v>1031</v>
      </c>
      <c r="F385" s="3069">
        <f t="shared" ref="F385:O385" si="108">(CHOOSE($E$8,F202,F231,F260,F289))*(unit.lpe)</f>
        <v>1.4373647186147187E-10</v>
      </c>
      <c r="G385" s="3069">
        <f t="shared" si="108"/>
        <v>1.4373647186147187E-10</v>
      </c>
      <c r="H385" s="3069">
        <f t="shared" si="108"/>
        <v>1.4301994052850951E-10</v>
      </c>
      <c r="I385" s="3069">
        <f t="shared" si="108"/>
        <v>1.4230698112927045E-10</v>
      </c>
      <c r="J385" s="3069">
        <f t="shared" si="108"/>
        <v>1.4159757585754035E-10</v>
      </c>
      <c r="K385" s="3069">
        <f t="shared" si="108"/>
        <v>1.4089170699586947E-10</v>
      </c>
      <c r="L385" s="3069">
        <f t="shared" si="108"/>
        <v>1.4018935691513013E-10</v>
      </c>
      <c r="M385" s="3069">
        <f t="shared" si="108"/>
        <v>1.3949050807407644E-10</v>
      </c>
      <c r="N385" s="3069">
        <f t="shared" si="108"/>
        <v>1.3879514301890622E-10</v>
      </c>
      <c r="O385" s="3069">
        <f t="shared" si="108"/>
        <v>1.3810324438282527E-10</v>
      </c>
      <c r="Q385" s="32"/>
      <c r="R385" s="851"/>
      <c r="S385" s="35"/>
      <c r="T385" s="32"/>
      <c r="U385" s="32"/>
    </row>
    <row r="386" spans="2:21" s="51" customFormat="1">
      <c r="B386" s="423"/>
      <c r="C386" s="894"/>
      <c r="D386" s="628"/>
      <c r="E386" s="895" t="s">
        <v>1031</v>
      </c>
      <c r="F386" s="3069">
        <f t="shared" ref="F386:O386" si="109">(CHOOSE($E$8,F203,F232,F261,F290))*(unit.lpe)</f>
        <v>1.0453561589925227E-10</v>
      </c>
      <c r="G386" s="3069">
        <f t="shared" si="109"/>
        <v>1.0453561589925227E-10</v>
      </c>
      <c r="H386" s="3069">
        <f t="shared" si="109"/>
        <v>1.0401450220255234E-10</v>
      </c>
      <c r="I386" s="3069">
        <f t="shared" si="109"/>
        <v>1.0349598627583304E-10</v>
      </c>
      <c r="J386" s="3069">
        <f t="shared" si="109"/>
        <v>1.0298005516912026E-10</v>
      </c>
      <c r="K386" s="3069">
        <f t="shared" si="109"/>
        <v>1.0246669599699595E-10</v>
      </c>
      <c r="L386" s="3069">
        <f t="shared" si="109"/>
        <v>1.0195589593827639E-10</v>
      </c>
      <c r="M386" s="3069">
        <f t="shared" si="109"/>
        <v>1.0144764223569186E-10</v>
      </c>
      <c r="N386" s="3069">
        <f t="shared" si="109"/>
        <v>1.0094192219556809E-10</v>
      </c>
      <c r="O386" s="3069">
        <f t="shared" si="109"/>
        <v>1.0043872318750919E-10</v>
      </c>
      <c r="Q386" s="32"/>
      <c r="R386" s="851"/>
      <c r="S386" s="35"/>
      <c r="T386" s="32"/>
      <c r="U386" s="32"/>
    </row>
    <row r="387" spans="2:21" s="51" customFormat="1">
      <c r="B387" s="423"/>
      <c r="C387" s="894"/>
      <c r="D387" s="628"/>
      <c r="E387" s="895" t="s">
        <v>1031</v>
      </c>
      <c r="F387" s="3069">
        <f t="shared" ref="F387:O387" si="110">(CHOOSE($E$8,F204,F233,F262,F291))*(unit.lpe)</f>
        <v>1.1498917748917749E-10</v>
      </c>
      <c r="G387" s="3069">
        <f t="shared" si="110"/>
        <v>1.1498917748917749E-10</v>
      </c>
      <c r="H387" s="3069">
        <f t="shared" si="110"/>
        <v>1.1441595242280756E-10</v>
      </c>
      <c r="I387" s="3069">
        <f t="shared" si="110"/>
        <v>1.1384558490341629E-10</v>
      </c>
      <c r="J387" s="3069">
        <f t="shared" si="110"/>
        <v>1.1327806068603221E-10</v>
      </c>
      <c r="K387" s="3069">
        <f t="shared" si="110"/>
        <v>1.127133655966955E-10</v>
      </c>
      <c r="L387" s="3069">
        <f t="shared" si="110"/>
        <v>1.1215148553210397E-10</v>
      </c>
      <c r="M387" s="3069">
        <f t="shared" si="110"/>
        <v>1.1159240645926098E-10</v>
      </c>
      <c r="N387" s="3069">
        <f t="shared" si="110"/>
        <v>1.1103611441512485E-10</v>
      </c>
      <c r="O387" s="3069">
        <f t="shared" si="110"/>
        <v>1.1048259550626007E-10</v>
      </c>
      <c r="Q387" s="32"/>
      <c r="R387" s="851"/>
      <c r="S387" s="35"/>
      <c r="T387" s="32"/>
      <c r="U387" s="32"/>
    </row>
    <row r="388" spans="2:21" s="51" customFormat="1">
      <c r="B388" s="423"/>
      <c r="C388" s="894"/>
      <c r="D388" s="628"/>
      <c r="E388" s="895" t="s">
        <v>954</v>
      </c>
      <c r="F388" s="3069">
        <f t="shared" ref="F388:O388" si="111">(CHOOSE($E$8,F205,F234,F263,F292))*(unit.lpe)</f>
        <v>8.5557423727066589E-12</v>
      </c>
      <c r="G388" s="3069">
        <f t="shared" si="111"/>
        <v>8.5557423727066589E-12</v>
      </c>
      <c r="H388" s="3069">
        <f t="shared" si="111"/>
        <v>8.5130916981255645E-12</v>
      </c>
      <c r="I388" s="3069">
        <f t="shared" si="111"/>
        <v>8.4706536386470513E-12</v>
      </c>
      <c r="J388" s="3069">
        <f t="shared" si="111"/>
        <v>8.4284271343774019E-12</v>
      </c>
      <c r="K388" s="3069">
        <f t="shared" si="111"/>
        <v>8.3864111307065153E-12</v>
      </c>
      <c r="L388" s="3069">
        <f t="shared" si="111"/>
        <v>8.3446045782815499E-12</v>
      </c>
      <c r="M388" s="3069">
        <f t="shared" si="111"/>
        <v>8.3030064329807348E-12</v>
      </c>
      <c r="N388" s="3069">
        <f t="shared" si="111"/>
        <v>8.2616156558872702E-12</v>
      </c>
      <c r="O388" s="3069">
        <f t="shared" si="111"/>
        <v>8.2204312132634019E-12</v>
      </c>
      <c r="Q388" s="32"/>
      <c r="R388" s="851"/>
      <c r="S388" s="35"/>
      <c r="T388" s="32"/>
      <c r="U388" s="32"/>
    </row>
    <row r="389" spans="2:21" s="51" customFormat="1">
      <c r="B389" s="423"/>
      <c r="C389" s="894"/>
      <c r="D389" s="628" t="s">
        <v>1025</v>
      </c>
      <c r="E389" s="895" t="s">
        <v>1030</v>
      </c>
      <c r="F389" s="3069">
        <f t="shared" ref="F389:O389" si="112">(CHOOSE($E$8,F206,F235,F264,F293))*(unit.lcng)</f>
        <v>1.6217548685081153E-10</v>
      </c>
      <c r="G389" s="3069">
        <f t="shared" si="112"/>
        <v>1.6217548685081153E-10</v>
      </c>
      <c r="H389" s="3069">
        <f t="shared" si="112"/>
        <v>1.6136703638405022E-10</v>
      </c>
      <c r="I389" s="3069">
        <f t="shared" si="112"/>
        <v>1.6056261607110488E-10</v>
      </c>
      <c r="J389" s="3069">
        <f t="shared" si="112"/>
        <v>1.5976220582151817E-10</v>
      </c>
      <c r="K389" s="3069">
        <f t="shared" si="112"/>
        <v>1.5896578564498401E-10</v>
      </c>
      <c r="L389" s="3069">
        <f t="shared" si="112"/>
        <v>1.58173335650849E-10</v>
      </c>
      <c r="M389" s="3069">
        <f t="shared" si="112"/>
        <v>1.573848360476151E-10</v>
      </c>
      <c r="N389" s="3069">
        <f t="shared" si="112"/>
        <v>1.5660026714244566E-10</v>
      </c>
      <c r="O389" s="3069">
        <f t="shared" si="112"/>
        <v>1.5581960934067367E-10</v>
      </c>
      <c r="P389" s="3069">
        <f>0*(unit.lcng)</f>
        <v>0</v>
      </c>
      <c r="Q389" s="32"/>
      <c r="R389" s="851"/>
      <c r="S389" s="35"/>
      <c r="T389" s="32"/>
      <c r="U389" s="32"/>
    </row>
    <row r="390" spans="2:21" s="51" customFormat="1">
      <c r="B390" s="423"/>
      <c r="C390" s="894"/>
      <c r="D390" s="628"/>
      <c r="E390" s="895" t="s">
        <v>918</v>
      </c>
      <c r="F390" s="3069">
        <f t="shared" ref="F390:O390" si="113">(CHOOSE($E$8,F207,F236,F265,F294))*(unit.llpg)</f>
        <v>1.366478639205912E-10</v>
      </c>
      <c r="G390" s="3069">
        <f t="shared" si="113"/>
        <v>1.366478639205912E-10</v>
      </c>
      <c r="H390" s="3069">
        <f t="shared" si="113"/>
        <v>1.3596666954582004E-10</v>
      </c>
      <c r="I390" s="3069">
        <f t="shared" si="113"/>
        <v>1.3528887094880133E-10</v>
      </c>
      <c r="J390" s="3069">
        <f t="shared" si="113"/>
        <v>1.3461445120146437E-10</v>
      </c>
      <c r="K390" s="3069">
        <f t="shared" si="113"/>
        <v>1.3394339346012544E-10</v>
      </c>
      <c r="L390" s="3069">
        <f t="shared" si="113"/>
        <v>1.3327568096506722E-10</v>
      </c>
      <c r="M390" s="3069">
        <f t="shared" si="113"/>
        <v>1.3261129704012011E-10</v>
      </c>
      <c r="N390" s="3069">
        <f t="shared" si="113"/>
        <v>1.319502250922459E-10</v>
      </c>
      <c r="O390" s="3069">
        <f t="shared" si="113"/>
        <v>1.3129244861112319E-10</v>
      </c>
      <c r="Q390" s="32"/>
      <c r="R390" s="851"/>
      <c r="S390" s="35"/>
      <c r="T390" s="32"/>
      <c r="U390" s="32"/>
    </row>
    <row r="391" spans="2:21" s="51" customFormat="1">
      <c r="B391" s="423"/>
      <c r="C391" s="894"/>
      <c r="D391" s="628"/>
      <c r="E391" s="895" t="s">
        <v>1031</v>
      </c>
      <c r="F391" s="3069">
        <f t="shared" ref="F391:O391" si="114">(CHOOSE($E$8,F208,F237,F266,F295))*(unit.lpe)</f>
        <v>1.4933659414178895E-10</v>
      </c>
      <c r="G391" s="3069">
        <f t="shared" si="114"/>
        <v>1.4933659414178895E-10</v>
      </c>
      <c r="H391" s="3069">
        <f t="shared" si="114"/>
        <v>1.4859214600364625E-10</v>
      </c>
      <c r="I391" s="3069">
        <f t="shared" si="114"/>
        <v>1.4785140896547575E-10</v>
      </c>
      <c r="J391" s="3069">
        <f t="shared" si="114"/>
        <v>1.4711436452731462E-10</v>
      </c>
      <c r="K391" s="3069">
        <f t="shared" si="114"/>
        <v>1.4638099428142278E-10</v>
      </c>
      <c r="L391" s="3069">
        <f t="shared" si="114"/>
        <v>1.4565127991182342E-10</v>
      </c>
      <c r="M391" s="3069">
        <f t="shared" si="114"/>
        <v>1.4492520319384555E-10</v>
      </c>
      <c r="N391" s="3069">
        <f t="shared" si="114"/>
        <v>1.4420274599366871E-10</v>
      </c>
      <c r="O391" s="3069">
        <f t="shared" si="114"/>
        <v>1.4348389026787033E-10</v>
      </c>
      <c r="Q391" s="32"/>
      <c r="R391" s="851"/>
      <c r="S391" s="35"/>
      <c r="T391" s="32"/>
      <c r="U391" s="32"/>
    </row>
    <row r="392" spans="2:21" s="51" customFormat="1">
      <c r="B392" s="423"/>
      <c r="C392" s="894"/>
      <c r="D392" s="628"/>
      <c r="E392" s="895" t="s">
        <v>953</v>
      </c>
      <c r="F392" s="3069">
        <f t="shared" ref="F392:O392" si="115">(CHOOSE($E$8,F209,F238,F267,F296))*(unit.lde)</f>
        <v>1.9765137459942655E-10</v>
      </c>
      <c r="G392" s="3069">
        <f t="shared" si="115"/>
        <v>1.9765137459942655E-10</v>
      </c>
      <c r="H392" s="3069">
        <f t="shared" si="115"/>
        <v>1.9666607559306114E-10</v>
      </c>
      <c r="I392" s="3069">
        <f t="shared" si="115"/>
        <v>1.9568568833665909E-10</v>
      </c>
      <c r="J392" s="3069">
        <f t="shared" si="115"/>
        <v>1.9471018834497523E-10</v>
      </c>
      <c r="K392" s="3069">
        <f t="shared" si="115"/>
        <v>1.9373955125482426E-10</v>
      </c>
      <c r="L392" s="3069">
        <f t="shared" si="115"/>
        <v>1.9277375282447218E-10</v>
      </c>
      <c r="M392" s="3069">
        <f t="shared" si="115"/>
        <v>1.9181276893303083E-10</v>
      </c>
      <c r="N392" s="3069">
        <f t="shared" si="115"/>
        <v>1.9085657557985567E-10</v>
      </c>
      <c r="O392" s="3069">
        <f t="shared" si="115"/>
        <v>1.8990514888394597E-10</v>
      </c>
      <c r="Q392" s="32"/>
      <c r="R392" s="851"/>
      <c r="S392" s="35"/>
      <c r="T392" s="32"/>
      <c r="U392" s="32"/>
    </row>
    <row r="393" spans="2:21" s="51" customFormat="1">
      <c r="B393" s="423"/>
      <c r="C393" s="894"/>
      <c r="D393" s="628" t="s">
        <v>1026</v>
      </c>
      <c r="E393" s="895" t="s">
        <v>1030</v>
      </c>
      <c r="F393" s="3069">
        <f t="shared" ref="F393:O393" si="116">(CHOOSE($E$8,F210,F239,F268,F297))*(unit.lcng)</f>
        <v>3.2019262788493561E-10</v>
      </c>
      <c r="G393" s="3069">
        <f t="shared" si="116"/>
        <v>3.2019262788493561E-10</v>
      </c>
      <c r="H393" s="3069">
        <f t="shared" si="116"/>
        <v>3.1859645645056061E-10</v>
      </c>
      <c r="I393" s="3069">
        <f t="shared" si="116"/>
        <v>3.1700824198654046E-10</v>
      </c>
      <c r="J393" s="3069">
        <f t="shared" si="116"/>
        <v>3.1542794482709998E-10</v>
      </c>
      <c r="K393" s="3069">
        <f t="shared" si="116"/>
        <v>3.1385552550419932E-10</v>
      </c>
      <c r="L393" s="3069">
        <f t="shared" si="116"/>
        <v>3.1229094474654812E-10</v>
      </c>
      <c r="M393" s="3069">
        <f t="shared" si="116"/>
        <v>3.1073416347862477E-10</v>
      </c>
      <c r="N393" s="3069">
        <f t="shared" si="116"/>
        <v>3.0918514281970057E-10</v>
      </c>
      <c r="O393" s="3069">
        <f t="shared" si="116"/>
        <v>3.0764384408286861E-10</v>
      </c>
      <c r="Q393" s="32"/>
      <c r="R393" s="851"/>
      <c r="S393" s="35"/>
      <c r="T393" s="32"/>
      <c r="U393" s="32"/>
    </row>
    <row r="394" spans="2:21" s="51" customFormat="1">
      <c r="B394" s="423"/>
      <c r="C394" s="894"/>
      <c r="D394" s="628"/>
      <c r="E394" s="895" t="s">
        <v>918</v>
      </c>
      <c r="F394" s="3069">
        <f t="shared" ref="F394:O394" si="117">(CHOOSE($E$8,F211,F240,F269,F298))*(unit.llpg)</f>
        <v>2.3125023125023127E-10</v>
      </c>
      <c r="G394" s="3069">
        <f t="shared" si="117"/>
        <v>2.3125023125023127E-10</v>
      </c>
      <c r="H394" s="3069">
        <f t="shared" si="117"/>
        <v>2.3009744076984933E-10</v>
      </c>
      <c r="I394" s="3069">
        <f t="shared" si="117"/>
        <v>2.2895039699027922E-10</v>
      </c>
      <c r="J394" s="3069">
        <f t="shared" si="117"/>
        <v>2.2780907126401661E-10</v>
      </c>
      <c r="K394" s="3069">
        <f t="shared" si="117"/>
        <v>2.2667343508636614E-10</v>
      </c>
      <c r="L394" s="3069">
        <f t="shared" si="117"/>
        <v>2.2554346009472917E-10</v>
      </c>
      <c r="M394" s="3069">
        <f t="shared" si="117"/>
        <v>2.2441911806789566E-10</v>
      </c>
      <c r="N394" s="3069">
        <f t="shared" si="117"/>
        <v>2.2330038092533927E-10</v>
      </c>
      <c r="O394" s="3069">
        <f t="shared" si="117"/>
        <v>2.221872207265162E-10</v>
      </c>
      <c r="Q394" s="32"/>
      <c r="R394" s="851"/>
      <c r="S394" s="35"/>
      <c r="T394" s="32"/>
      <c r="U394" s="32"/>
    </row>
    <row r="395" spans="2:21" s="51" customFormat="1">
      <c r="B395" s="423"/>
      <c r="C395" s="894"/>
      <c r="D395" s="628"/>
      <c r="E395" s="898" t="s">
        <v>953</v>
      </c>
      <c r="F395" s="3069">
        <f t="shared" ref="F395:O395" si="118">(CHOOSE($E$8,F212,F241,F270,F299))*(unit.lde)</f>
        <v>3.7462537462537471E-10</v>
      </c>
      <c r="G395" s="3069">
        <f t="shared" si="118"/>
        <v>3.7462537462537471E-10</v>
      </c>
      <c r="H395" s="3069">
        <f t="shared" si="118"/>
        <v>3.7275785404715594E-10</v>
      </c>
      <c r="I395" s="3069">
        <f t="shared" si="118"/>
        <v>3.7089964312425231E-10</v>
      </c>
      <c r="J395" s="3069">
        <f t="shared" si="118"/>
        <v>3.6905069544770698E-10</v>
      </c>
      <c r="K395" s="3069">
        <f t="shared" si="118"/>
        <v>3.6721096483991323E-10</v>
      </c>
      <c r="L395" s="3069">
        <f t="shared" si="118"/>
        <v>3.6538040535346134E-10</v>
      </c>
      <c r="M395" s="3069">
        <f t="shared" si="118"/>
        <v>3.6355897126999102E-10</v>
      </c>
      <c r="N395" s="3069">
        <f t="shared" si="118"/>
        <v>3.6174661709904973E-10</v>
      </c>
      <c r="O395" s="3069">
        <f t="shared" si="118"/>
        <v>3.5994329757695634E-10</v>
      </c>
      <c r="Q395" s="32"/>
      <c r="R395" s="851"/>
      <c r="S395" s="35"/>
      <c r="T395" s="32"/>
      <c r="U395" s="32"/>
    </row>
    <row r="396" spans="2:21" s="51" customFormat="1">
      <c r="B396" s="423"/>
      <c r="C396" s="894" t="s">
        <v>952</v>
      </c>
      <c r="D396" s="628"/>
      <c r="E396" s="898" t="s">
        <v>953</v>
      </c>
      <c r="F396" s="3069">
        <f t="shared" ref="F396:O396" si="119">(CHOOSE($E$8,F213,F242,F271,F300))*(unit.lde)</f>
        <v>2.794588352458351E-11</v>
      </c>
      <c r="G396" s="3069">
        <f t="shared" si="119"/>
        <v>2.794588352458351E-11</v>
      </c>
      <c r="H396" s="3069">
        <f t="shared" si="119"/>
        <v>2.2550926731444089E-11</v>
      </c>
      <c r="I396" s="3069">
        <f t="shared" si="119"/>
        <v>1.8197467115312413E-11</v>
      </c>
      <c r="J396" s="3069">
        <f t="shared" si="119"/>
        <v>1.4684443497886839E-11</v>
      </c>
      <c r="K396" s="3069">
        <f t="shared" si="119"/>
        <v>1.1849609589962385E-11</v>
      </c>
      <c r="L396" s="3069">
        <f t="shared" si="119"/>
        <v>9.5620407715644555E-12</v>
      </c>
      <c r="M396" s="3069">
        <f t="shared" si="119"/>
        <v>7.7160874392445876E-12</v>
      </c>
      <c r="N396" s="3069">
        <f t="shared" si="119"/>
        <v>6.2264956605416185E-12</v>
      </c>
      <c r="O396" s="3069">
        <f t="shared" si="119"/>
        <v>5.0244697867938048E-12</v>
      </c>
      <c r="Q396" s="32"/>
      <c r="R396" s="851"/>
      <c r="S396" s="35"/>
      <c r="T396" s="32"/>
      <c r="U396" s="32"/>
    </row>
    <row r="397" spans="2:21" s="51" customFormat="1">
      <c r="B397" s="423"/>
      <c r="C397" s="894"/>
      <c r="D397" s="628"/>
      <c r="E397" s="895" t="s">
        <v>954</v>
      </c>
      <c r="F397" s="3069">
        <f t="shared" ref="F397:O397" si="120">(CHOOSE($E$8,F214,F243,F272,F301))*(Unit.kWh)</f>
        <v>1.4763235023934225E-11</v>
      </c>
      <c r="G397" s="3069">
        <f t="shared" si="120"/>
        <v>1.4763235023934225E-11</v>
      </c>
      <c r="H397" s="3069">
        <f t="shared" si="120"/>
        <v>1.3596669540827697E-11</v>
      </c>
      <c r="I397" s="3069">
        <f t="shared" si="120"/>
        <v>1.2522284059202506E-11</v>
      </c>
      <c r="J397" s="3069">
        <f t="shared" si="120"/>
        <v>1.1532794673614723E-11</v>
      </c>
      <c r="K397" s="3069">
        <f t="shared" si="120"/>
        <v>1.0621493040322126E-11</v>
      </c>
      <c r="L397" s="3069">
        <f t="shared" si="120"/>
        <v>9.782200897386773E-12</v>
      </c>
      <c r="M397" s="3069">
        <f t="shared" si="120"/>
        <v>9.0092281785209841E-12</v>
      </c>
      <c r="N397" s="3069">
        <f t="shared" si="120"/>
        <v>8.2973344367052744E-12</v>
      </c>
      <c r="O397" s="3069">
        <f t="shared" si="120"/>
        <v>7.6416933160457955E-12</v>
      </c>
      <c r="Q397" s="32"/>
      <c r="R397" s="851"/>
      <c r="S397" s="35"/>
      <c r="T397" s="32"/>
      <c r="U397" s="32"/>
    </row>
    <row r="398" spans="2:21" s="51" customFormat="1">
      <c r="B398" s="423"/>
      <c r="C398" s="894" t="s">
        <v>970</v>
      </c>
      <c r="D398" s="628"/>
      <c r="E398" s="895" t="s">
        <v>970</v>
      </c>
      <c r="F398" s="3069">
        <f t="shared" ref="F398:O398" si="121">(CHOOSE($E$8,F215,F244,F273,F302))*(unit.latfe)</f>
        <v>3.509360335139069E-10</v>
      </c>
      <c r="G398" s="3069">
        <f t="shared" si="121"/>
        <v>3.509360335139069E-10</v>
      </c>
      <c r="H398" s="3069">
        <f t="shared" si="121"/>
        <v>3.4657121183183043E-10</v>
      </c>
      <c r="I398" s="3069">
        <f t="shared" si="121"/>
        <v>3.4226067830057609E-10</v>
      </c>
      <c r="J398" s="3069">
        <f t="shared" si="121"/>
        <v>3.3800375770279621E-10</v>
      </c>
      <c r="K398" s="3069">
        <f t="shared" si="121"/>
        <v>3.3379978321926408E-10</v>
      </c>
      <c r="L398" s="3069">
        <f t="shared" si="121"/>
        <v>3.2964809632442115E-10</v>
      </c>
      <c r="M398" s="3069">
        <f t="shared" si="121"/>
        <v>3.2554804668322342E-10</v>
      </c>
      <c r="N398" s="3069">
        <f t="shared" si="121"/>
        <v>3.2149899204927046E-10</v>
      </c>
      <c r="O398" s="3069">
        <f t="shared" si="121"/>
        <v>3.1750029816420155E-10</v>
      </c>
      <c r="Q398" s="32"/>
      <c r="R398" s="851"/>
      <c r="S398" s="35"/>
      <c r="T398" s="32"/>
      <c r="U398" s="32"/>
    </row>
    <row r="399" spans="2:21" s="51" customFormat="1">
      <c r="B399" s="423"/>
      <c r="C399" s="896"/>
      <c r="D399" s="929"/>
      <c r="E399" s="929"/>
      <c r="F399" s="930"/>
      <c r="G399" s="930"/>
      <c r="H399" s="930"/>
      <c r="I399" s="930"/>
      <c r="J399" s="930"/>
      <c r="K399" s="930"/>
      <c r="L399" s="930"/>
      <c r="M399" s="930"/>
      <c r="N399" s="930"/>
      <c r="O399" s="930"/>
      <c r="Q399" s="32"/>
      <c r="R399" s="851"/>
      <c r="S399" s="35"/>
      <c r="T399" s="32"/>
      <c r="U399" s="32"/>
    </row>
    <row r="400" spans="2:21" s="51" customFormat="1">
      <c r="B400" s="423"/>
      <c r="C400" s="943"/>
      <c r="D400" s="628"/>
      <c r="E400" s="628"/>
      <c r="F400" s="2488"/>
      <c r="G400" s="2488"/>
      <c r="H400" s="2488"/>
      <c r="I400" s="2488"/>
      <c r="J400" s="2488"/>
      <c r="K400" s="2488"/>
      <c r="L400" s="2488"/>
      <c r="M400" s="2488"/>
      <c r="N400" s="2488"/>
      <c r="O400" s="2488"/>
      <c r="Q400" s="32"/>
      <c r="R400" s="851"/>
      <c r="S400" s="35"/>
      <c r="T400" s="32"/>
      <c r="U400" s="32"/>
    </row>
    <row r="401" spans="2:21" s="51" customFormat="1">
      <c r="B401" s="423"/>
      <c r="C401" s="3069"/>
      <c r="D401" s="3069"/>
      <c r="E401" s="422"/>
      <c r="F401" s="854"/>
      <c r="G401" s="854"/>
      <c r="H401" s="854"/>
      <c r="I401" s="854"/>
      <c r="J401" s="854"/>
      <c r="K401" s="854"/>
      <c r="L401" s="854"/>
      <c r="M401" s="854"/>
      <c r="N401" s="854"/>
      <c r="O401" s="854"/>
      <c r="Q401" s="32"/>
      <c r="R401" s="851"/>
      <c r="S401" s="35"/>
      <c r="T401" s="32"/>
      <c r="U401" s="32"/>
    </row>
    <row r="402" spans="2:21" s="51" customFormat="1">
      <c r="B402" s="423">
        <v>4</v>
      </c>
      <c r="C402" s="423" t="s">
        <v>2202</v>
      </c>
      <c r="D402" s="3069"/>
      <c r="E402" s="3069"/>
      <c r="F402" s="3069"/>
      <c r="G402" s="3069"/>
      <c r="H402" s="3069"/>
      <c r="I402" s="3069"/>
      <c r="J402" s="3069"/>
      <c r="K402" s="3069"/>
      <c r="L402" s="3069"/>
      <c r="M402" s="3069"/>
      <c r="N402" s="423"/>
      <c r="O402" s="856" t="str">
        <f>preferences.energyunits</f>
        <v>TWh</v>
      </c>
      <c r="Q402" s="32"/>
      <c r="R402" s="851"/>
      <c r="S402" s="35"/>
      <c r="T402" s="32"/>
      <c r="U402" s="32"/>
    </row>
    <row r="403" spans="2:21" s="51" customFormat="1">
      <c r="B403" s="423"/>
      <c r="C403" s="893" t="s">
        <v>840</v>
      </c>
      <c r="D403" s="893" t="s">
        <v>1029</v>
      </c>
      <c r="E403" s="893" t="s">
        <v>275</v>
      </c>
      <c r="F403" s="641">
        <v>2007</v>
      </c>
      <c r="G403" s="642">
        <f t="shared" ref="G403:O403" si="122">F403+5</f>
        <v>2012</v>
      </c>
      <c r="H403" s="642">
        <f t="shared" si="122"/>
        <v>2017</v>
      </c>
      <c r="I403" s="642">
        <f t="shared" si="122"/>
        <v>2022</v>
      </c>
      <c r="J403" s="642">
        <f t="shared" si="122"/>
        <v>2027</v>
      </c>
      <c r="K403" s="642">
        <f t="shared" si="122"/>
        <v>2032</v>
      </c>
      <c r="L403" s="642">
        <f t="shared" si="122"/>
        <v>2037</v>
      </c>
      <c r="M403" s="642">
        <f t="shared" si="122"/>
        <v>2042</v>
      </c>
      <c r="N403" s="642">
        <f t="shared" si="122"/>
        <v>2047</v>
      </c>
      <c r="O403" s="642">
        <f t="shared" si="122"/>
        <v>2052</v>
      </c>
      <c r="Q403" s="32"/>
      <c r="R403" s="851"/>
      <c r="S403" s="35"/>
      <c r="T403" s="32"/>
      <c r="U403" s="32"/>
    </row>
    <row r="404" spans="2:21" s="51" customFormat="1">
      <c r="B404" s="423"/>
      <c r="C404" s="894" t="s">
        <v>955</v>
      </c>
      <c r="D404" s="628" t="s">
        <v>1021</v>
      </c>
      <c r="E404" s="895" t="s">
        <v>953</v>
      </c>
      <c r="F404" s="931">
        <f t="shared" ref="F404:O419" si="123">F347*F375*10^9</f>
        <v>181.68241181422016</v>
      </c>
      <c r="G404" s="931">
        <f t="shared" si="123"/>
        <v>181.68241181422016</v>
      </c>
      <c r="H404" s="931">
        <f t="shared" si="123"/>
        <v>235.29474790445531</v>
      </c>
      <c r="I404" s="931">
        <f t="shared" si="123"/>
        <v>295.41478692223558</v>
      </c>
      <c r="J404" s="931">
        <f t="shared" si="123"/>
        <v>348.99603968546097</v>
      </c>
      <c r="K404" s="931">
        <f t="shared" si="123"/>
        <v>397.91952704906817</v>
      </c>
      <c r="L404" s="931">
        <f t="shared" si="123"/>
        <v>437.28356134709264</v>
      </c>
      <c r="M404" s="931">
        <f t="shared" si="123"/>
        <v>460.18952123212489</v>
      </c>
      <c r="N404" s="931">
        <f t="shared" si="123"/>
        <v>474.37561821200376</v>
      </c>
      <c r="O404" s="931">
        <f t="shared" si="123"/>
        <v>484.01518542154224</v>
      </c>
      <c r="Q404" s="32"/>
      <c r="R404" s="851"/>
      <c r="S404" s="35"/>
      <c r="T404" s="32"/>
      <c r="U404" s="32"/>
    </row>
    <row r="405" spans="2:21" s="51" customFormat="1">
      <c r="B405" s="423"/>
      <c r="C405" s="894"/>
      <c r="D405" s="628"/>
      <c r="E405" s="895" t="s">
        <v>1030</v>
      </c>
      <c r="F405" s="931">
        <f t="shared" si="123"/>
        <v>3.3450503998120946</v>
      </c>
      <c r="G405" s="931">
        <f t="shared" si="123"/>
        <v>3.3450503998120946</v>
      </c>
      <c r="H405" s="931">
        <f t="shared" si="123"/>
        <v>5.0033902094186873</v>
      </c>
      <c r="I405" s="931">
        <f t="shared" si="123"/>
        <v>7.1938254180538248</v>
      </c>
      <c r="J405" s="931">
        <f t="shared" si="123"/>
        <v>9.8944851795721327</v>
      </c>
      <c r="K405" s="931">
        <f t="shared" si="123"/>
        <v>13.202115897037167</v>
      </c>
      <c r="L405" s="931">
        <f t="shared" si="123"/>
        <v>18.054656441904907</v>
      </c>
      <c r="M405" s="931">
        <f t="shared" si="123"/>
        <v>22.771221532093023</v>
      </c>
      <c r="N405" s="931">
        <f t="shared" si="123"/>
        <v>27.400564640394244</v>
      </c>
      <c r="O405" s="931">
        <f t="shared" si="123"/>
        <v>31.773826271772641</v>
      </c>
      <c r="Q405" s="32"/>
      <c r="R405" s="851"/>
      <c r="S405" s="35"/>
      <c r="T405" s="32"/>
      <c r="U405" s="32"/>
    </row>
    <row r="406" spans="2:21" s="51" customFormat="1">
      <c r="B406" s="423"/>
      <c r="C406" s="894"/>
      <c r="D406" s="628"/>
      <c r="E406" s="895" t="s">
        <v>2385</v>
      </c>
      <c r="F406" s="931">
        <f t="shared" si="123"/>
        <v>0</v>
      </c>
      <c r="G406" s="931">
        <f t="shared" si="123"/>
        <v>0</v>
      </c>
      <c r="H406" s="931">
        <f t="shared" si="123"/>
        <v>0</v>
      </c>
      <c r="I406" s="931">
        <f t="shared" si="123"/>
        <v>0</v>
      </c>
      <c r="J406" s="931">
        <f t="shared" si="123"/>
        <v>0</v>
      </c>
      <c r="K406" s="931">
        <f t="shared" si="123"/>
        <v>0</v>
      </c>
      <c r="L406" s="931">
        <f t="shared" si="123"/>
        <v>0</v>
      </c>
      <c r="M406" s="931">
        <f t="shared" si="123"/>
        <v>0</v>
      </c>
      <c r="N406" s="931">
        <f t="shared" si="123"/>
        <v>0</v>
      </c>
      <c r="O406" s="931">
        <f t="shared" si="123"/>
        <v>0</v>
      </c>
      <c r="Q406" s="32"/>
      <c r="R406" s="851"/>
      <c r="S406" s="35"/>
      <c r="T406" s="32"/>
      <c r="U406" s="32"/>
    </row>
    <row r="407" spans="2:21" s="51" customFormat="1">
      <c r="B407" s="423"/>
      <c r="C407" s="894"/>
      <c r="D407" s="628" t="s">
        <v>1022</v>
      </c>
      <c r="E407" s="895" t="s">
        <v>953</v>
      </c>
      <c r="F407" s="931">
        <f t="shared" si="123"/>
        <v>13.18560103741703</v>
      </c>
      <c r="G407" s="931">
        <f t="shared" si="123"/>
        <v>13.18560103741703</v>
      </c>
      <c r="H407" s="931">
        <f t="shared" si="123"/>
        <v>17.121121583011519</v>
      </c>
      <c r="I407" s="931">
        <f t="shared" si="123"/>
        <v>21.558617402492764</v>
      </c>
      <c r="J407" s="931">
        <f t="shared" si="123"/>
        <v>25.552864965863275</v>
      </c>
      <c r="K407" s="931">
        <f t="shared" si="123"/>
        <v>29.244186682378324</v>
      </c>
      <c r="L407" s="931">
        <f t="shared" si="123"/>
        <v>32.275286836877314</v>
      </c>
      <c r="M407" s="931">
        <f t="shared" si="123"/>
        <v>34.135006345758605</v>
      </c>
      <c r="N407" s="931">
        <f t="shared" si="123"/>
        <v>35.392478522018152</v>
      </c>
      <c r="O407" s="931">
        <f t="shared" si="123"/>
        <v>36.361825684543355</v>
      </c>
      <c r="Q407" s="32"/>
      <c r="R407" s="851"/>
      <c r="S407" s="35"/>
      <c r="T407" s="32"/>
      <c r="U407" s="32"/>
    </row>
    <row r="408" spans="2:21" s="51" customFormat="1">
      <c r="B408" s="423"/>
      <c r="C408" s="894"/>
      <c r="D408" s="628"/>
      <c r="E408" s="895" t="s">
        <v>1030</v>
      </c>
      <c r="F408" s="931">
        <f t="shared" si="123"/>
        <v>0.16098055049095711</v>
      </c>
      <c r="G408" s="931">
        <f t="shared" si="123"/>
        <v>0.16098055049095711</v>
      </c>
      <c r="H408" s="931">
        <f t="shared" si="123"/>
        <v>0.24141711213086428</v>
      </c>
      <c r="I408" s="931">
        <f t="shared" si="123"/>
        <v>0.34812263909951729</v>
      </c>
      <c r="J408" s="931">
        <f t="shared" si="123"/>
        <v>0.48039226005069613</v>
      </c>
      <c r="K408" s="931">
        <f t="shared" si="123"/>
        <v>0.64338589385290579</v>
      </c>
      <c r="L408" s="931">
        <f t="shared" si="123"/>
        <v>0.8836491947125894</v>
      </c>
      <c r="M408" s="931">
        <f t="shared" si="123"/>
        <v>1.1200393709809395</v>
      </c>
      <c r="N408" s="931">
        <f t="shared" si="123"/>
        <v>1.3556008371025148</v>
      </c>
      <c r="O408" s="931">
        <f t="shared" si="123"/>
        <v>1.5828505367004382</v>
      </c>
      <c r="Q408" s="32"/>
      <c r="R408" s="851"/>
      <c r="S408" s="35"/>
      <c r="T408" s="32"/>
      <c r="U408" s="32"/>
    </row>
    <row r="409" spans="2:21" s="51" customFormat="1">
      <c r="B409" s="423"/>
      <c r="C409" s="894"/>
      <c r="D409" s="628" t="s">
        <v>1023</v>
      </c>
      <c r="E409" s="895" t="s">
        <v>1031</v>
      </c>
      <c r="F409" s="931">
        <f t="shared" si="123"/>
        <v>68.756857051544031</v>
      </c>
      <c r="G409" s="931">
        <f t="shared" si="123"/>
        <v>68.756857051544046</v>
      </c>
      <c r="H409" s="931">
        <f t="shared" si="123"/>
        <v>124.51071131802337</v>
      </c>
      <c r="I409" s="931">
        <f t="shared" si="123"/>
        <v>190.08334057987841</v>
      </c>
      <c r="J409" s="931">
        <f t="shared" si="123"/>
        <v>254.45208034998907</v>
      </c>
      <c r="K409" s="931">
        <f t="shared" si="123"/>
        <v>332.71355815808056</v>
      </c>
      <c r="L409" s="931">
        <f t="shared" si="123"/>
        <v>418.26144355761807</v>
      </c>
      <c r="M409" s="931">
        <f t="shared" si="123"/>
        <v>515.90448327870763</v>
      </c>
      <c r="N409" s="931">
        <f t="shared" si="123"/>
        <v>618.84501921138656</v>
      </c>
      <c r="O409" s="931">
        <f t="shared" si="123"/>
        <v>671.65013368438315</v>
      </c>
      <c r="Q409" s="32"/>
      <c r="R409" s="851"/>
      <c r="S409" s="35"/>
      <c r="T409" s="32"/>
      <c r="U409" s="32"/>
    </row>
    <row r="410" spans="2:21" s="51" customFormat="1">
      <c r="B410" s="423"/>
      <c r="C410" s="894"/>
      <c r="D410" s="628"/>
      <c r="E410" s="895" t="s">
        <v>953</v>
      </c>
      <c r="F410" s="931">
        <f t="shared" si="123"/>
        <v>20.812908861824546</v>
      </c>
      <c r="G410" s="931">
        <f t="shared" si="123"/>
        <v>20.81290886182455</v>
      </c>
      <c r="H410" s="931">
        <f t="shared" si="123"/>
        <v>48.043652464343573</v>
      </c>
      <c r="I410" s="931">
        <f t="shared" si="123"/>
        <v>90.817920398713753</v>
      </c>
      <c r="J410" s="931">
        <f t="shared" si="123"/>
        <v>142.7346800904773</v>
      </c>
      <c r="K410" s="931">
        <f t="shared" si="123"/>
        <v>215.49542511788027</v>
      </c>
      <c r="L410" s="931">
        <f t="shared" si="123"/>
        <v>301.77137753905805</v>
      </c>
      <c r="M410" s="931">
        <f t="shared" si="123"/>
        <v>414.01027243520707</v>
      </c>
      <c r="N410" s="931">
        <f t="shared" si="123"/>
        <v>552.4486781548801</v>
      </c>
      <c r="O410" s="931">
        <f t="shared" si="123"/>
        <v>694.15379306260013</v>
      </c>
      <c r="Q410" s="32"/>
      <c r="R410" s="851"/>
      <c r="S410" s="35"/>
      <c r="T410" s="32"/>
      <c r="U410" s="32"/>
    </row>
    <row r="411" spans="2:21" s="51" customFormat="1">
      <c r="B411" s="423"/>
      <c r="C411" s="894"/>
      <c r="D411" s="628"/>
      <c r="E411" s="895" t="s">
        <v>1030</v>
      </c>
      <c r="F411" s="931">
        <f t="shared" si="123"/>
        <v>2.0269399395185084</v>
      </c>
      <c r="G411" s="931">
        <f t="shared" si="123"/>
        <v>2.0269399395185084</v>
      </c>
      <c r="H411" s="931">
        <f t="shared" si="123"/>
        <v>4.8353112383598624</v>
      </c>
      <c r="I411" s="931">
        <f t="shared" si="123"/>
        <v>9.375350260831862</v>
      </c>
      <c r="J411" s="931">
        <f t="shared" si="123"/>
        <v>15.060097151875928</v>
      </c>
      <c r="K411" s="931">
        <f t="shared" si="123"/>
        <v>22.97737041588341</v>
      </c>
      <c r="L411" s="931">
        <f t="shared" si="123"/>
        <v>30.171500861597355</v>
      </c>
      <c r="M411" s="931">
        <f t="shared" si="123"/>
        <v>38.887366234813797</v>
      </c>
      <c r="N411" s="931">
        <f t="shared" si="123"/>
        <v>48.820020887599142</v>
      </c>
      <c r="O411" s="931">
        <f t="shared" si="123"/>
        <v>56.012431878686876</v>
      </c>
      <c r="Q411" s="32"/>
      <c r="R411" s="851"/>
      <c r="S411" s="35"/>
      <c r="T411" s="32"/>
      <c r="U411" s="32"/>
    </row>
    <row r="412" spans="2:21" s="51" customFormat="1">
      <c r="B412" s="423"/>
      <c r="C412" s="894"/>
      <c r="D412" s="628"/>
      <c r="E412" s="895" t="s">
        <v>918</v>
      </c>
      <c r="F412" s="931">
        <f t="shared" si="123"/>
        <v>1.4639010674300339</v>
      </c>
      <c r="G412" s="931">
        <f t="shared" si="123"/>
        <v>1.4639010674300339</v>
      </c>
      <c r="H412" s="931">
        <f t="shared" si="123"/>
        <v>3.4921692277043448</v>
      </c>
      <c r="I412" s="931">
        <f t="shared" si="123"/>
        <v>6.7710862994896788</v>
      </c>
      <c r="J412" s="931">
        <f t="shared" si="123"/>
        <v>12.0798016728566</v>
      </c>
      <c r="K412" s="931">
        <f t="shared" si="123"/>
        <v>18.979721188995438</v>
      </c>
      <c r="L412" s="931">
        <f t="shared" si="123"/>
        <v>21.926604738512207</v>
      </c>
      <c r="M412" s="931">
        <f t="shared" si="123"/>
        <v>28.231425317188517</v>
      </c>
      <c r="N412" s="931">
        <f t="shared" si="123"/>
        <v>35.415785340519889</v>
      </c>
      <c r="O412" s="931">
        <f t="shared" si="123"/>
        <v>41.484183971523294</v>
      </c>
      <c r="Q412" s="32"/>
      <c r="R412" s="851"/>
      <c r="S412" s="35"/>
      <c r="T412" s="32"/>
      <c r="U412" s="32"/>
    </row>
    <row r="413" spans="2:21" s="51" customFormat="1">
      <c r="B413" s="423"/>
      <c r="C413" s="894"/>
      <c r="D413" s="628"/>
      <c r="E413" s="895" t="s">
        <v>954</v>
      </c>
      <c r="F413" s="931">
        <f t="shared" si="123"/>
        <v>1.1715961464983872E-3</v>
      </c>
      <c r="G413" s="931">
        <f t="shared" si="123"/>
        <v>1.1715961464983872E-3</v>
      </c>
      <c r="H413" s="931">
        <f t="shared" si="123"/>
        <v>2.8485018241337224E-3</v>
      </c>
      <c r="I413" s="931">
        <f t="shared" si="123"/>
        <v>5.9139736882785603E-3</v>
      </c>
      <c r="J413" s="931">
        <f t="shared" si="123"/>
        <v>1.0699308136167939E-2</v>
      </c>
      <c r="K413" s="931">
        <f t="shared" si="123"/>
        <v>1.7755870802215742E-2</v>
      </c>
      <c r="L413" s="931">
        <f t="shared" si="123"/>
        <v>2.7460828513663656E-2</v>
      </c>
      <c r="M413" s="931">
        <f t="shared" si="123"/>
        <v>3.9656704891281994E-2</v>
      </c>
      <c r="N413" s="931">
        <f t="shared" si="123"/>
        <v>5.5109118853344248E-2</v>
      </c>
      <c r="O413" s="931">
        <f t="shared" si="123"/>
        <v>7.4887260587392743E-2</v>
      </c>
      <c r="Q413" s="32"/>
      <c r="R413" s="851"/>
      <c r="S413" s="35"/>
      <c r="T413" s="32"/>
      <c r="U413" s="32"/>
    </row>
    <row r="414" spans="2:21" s="51" customFormat="1">
      <c r="B414" s="423"/>
      <c r="C414" s="894"/>
      <c r="D414" s="628" t="s">
        <v>1024</v>
      </c>
      <c r="E414" s="895" t="s">
        <v>1031</v>
      </c>
      <c r="F414" s="931">
        <f t="shared" si="123"/>
        <v>17.604079487150354</v>
      </c>
      <c r="G414" s="931">
        <f t="shared" si="123"/>
        <v>17.604079487150358</v>
      </c>
      <c r="H414" s="931">
        <f t="shared" si="123"/>
        <v>17.147191416203992</v>
      </c>
      <c r="I414" s="931">
        <f t="shared" si="123"/>
        <v>14.344960161114285</v>
      </c>
      <c r="J414" s="931">
        <f t="shared" si="123"/>
        <v>7.6680592359987516</v>
      </c>
      <c r="K414" s="931">
        <f t="shared" si="123"/>
        <v>0</v>
      </c>
      <c r="L414" s="931">
        <f t="shared" si="123"/>
        <v>0</v>
      </c>
      <c r="M414" s="931">
        <f t="shared" si="123"/>
        <v>0</v>
      </c>
      <c r="N414" s="931">
        <f t="shared" si="123"/>
        <v>0</v>
      </c>
      <c r="O414" s="931">
        <f t="shared" si="123"/>
        <v>18.68516448595518</v>
      </c>
      <c r="Q414" s="32"/>
      <c r="R414" s="851"/>
      <c r="S414" s="35"/>
      <c r="T414" s="32"/>
      <c r="U414" s="32"/>
    </row>
    <row r="415" spans="2:21" s="51" customFormat="1">
      <c r="B415" s="423"/>
      <c r="C415" s="894"/>
      <c r="D415" s="628"/>
      <c r="E415" s="895" t="s">
        <v>1031</v>
      </c>
      <c r="F415" s="931">
        <f t="shared" si="123"/>
        <v>72.918765217448197</v>
      </c>
      <c r="G415" s="931">
        <f t="shared" si="123"/>
        <v>72.918765217448225</v>
      </c>
      <c r="H415" s="931">
        <f t="shared" si="123"/>
        <v>102.76767919475787</v>
      </c>
      <c r="I415" s="931">
        <f t="shared" si="123"/>
        <v>140.03732931941977</v>
      </c>
      <c r="J415" s="931">
        <f t="shared" si="123"/>
        <v>179.13540296537712</v>
      </c>
      <c r="K415" s="931">
        <f t="shared" si="123"/>
        <v>219.7390730384177</v>
      </c>
      <c r="L415" s="931">
        <f t="shared" si="123"/>
        <v>253.52250044216308</v>
      </c>
      <c r="M415" s="931">
        <f t="shared" si="123"/>
        <v>281.49377268476013</v>
      </c>
      <c r="N415" s="931">
        <f t="shared" si="123"/>
        <v>307.94363273150196</v>
      </c>
      <c r="O415" s="931">
        <f t="shared" si="123"/>
        <v>322.10962254458701</v>
      </c>
      <c r="Q415" s="32"/>
      <c r="R415" s="851"/>
      <c r="S415" s="35"/>
      <c r="T415" s="32"/>
      <c r="U415" s="32"/>
    </row>
    <row r="416" spans="2:21" s="51" customFormat="1">
      <c r="B416" s="423"/>
      <c r="C416" s="894"/>
      <c r="D416" s="628"/>
      <c r="E416" s="895" t="s">
        <v>1031</v>
      </c>
      <c r="F416" s="931">
        <f t="shared" si="123"/>
        <v>0.95210567456054895</v>
      </c>
      <c r="G416" s="931">
        <f t="shared" si="123"/>
        <v>0.95210567456054929</v>
      </c>
      <c r="H416" s="931">
        <f t="shared" si="123"/>
        <v>0.57748077896087491</v>
      </c>
      <c r="I416" s="931">
        <f t="shared" si="123"/>
        <v>0</v>
      </c>
      <c r="J416" s="931">
        <f t="shared" si="123"/>
        <v>0</v>
      </c>
      <c r="K416" s="931">
        <f t="shared" si="123"/>
        <v>0</v>
      </c>
      <c r="L416" s="931">
        <f t="shared" si="123"/>
        <v>0</v>
      </c>
      <c r="M416" s="931">
        <f t="shared" si="123"/>
        <v>0</v>
      </c>
      <c r="N416" s="931">
        <f t="shared" si="123"/>
        <v>0</v>
      </c>
      <c r="O416" s="931">
        <f t="shared" si="123"/>
        <v>0</v>
      </c>
      <c r="Q416" s="32"/>
      <c r="R416" s="851"/>
      <c r="S416" s="35"/>
      <c r="T416" s="32"/>
      <c r="U416" s="32"/>
    </row>
    <row r="417" spans="2:21" s="51" customFormat="1">
      <c r="B417" s="423"/>
      <c r="C417" s="894"/>
      <c r="D417" s="628"/>
      <c r="E417" s="895" t="s">
        <v>954</v>
      </c>
      <c r="F417" s="931">
        <f t="shared" si="123"/>
        <v>1.6557795887927509E-2</v>
      </c>
      <c r="G417" s="931">
        <f t="shared" si="123"/>
        <v>1.6557795887927509E-2</v>
      </c>
      <c r="H417" s="931">
        <f t="shared" si="123"/>
        <v>0.26331156724040194</v>
      </c>
      <c r="I417" s="931">
        <f t="shared" si="123"/>
        <v>0.67207138310759651</v>
      </c>
      <c r="J417" s="931">
        <f t="shared" si="123"/>
        <v>1.2515502225862569</v>
      </c>
      <c r="K417" s="931">
        <f t="shared" si="123"/>
        <v>2.0241998720670158</v>
      </c>
      <c r="L417" s="931">
        <f t="shared" si="123"/>
        <v>2.9879436879380949</v>
      </c>
      <c r="M417" s="931">
        <f t="shared" si="123"/>
        <v>4.0842879416714677</v>
      </c>
      <c r="N417" s="931">
        <f t="shared" si="123"/>
        <v>5.3570371077545182</v>
      </c>
      <c r="O417" s="931">
        <f t="shared" si="123"/>
        <v>6.8688377304280115</v>
      </c>
      <c r="Q417" s="32"/>
      <c r="R417" s="851"/>
      <c r="S417" s="35"/>
      <c r="T417" s="32"/>
      <c r="U417" s="32"/>
    </row>
    <row r="418" spans="2:21" s="51" customFormat="1">
      <c r="B418" s="423"/>
      <c r="C418" s="894"/>
      <c r="D418" s="628" t="s">
        <v>1025</v>
      </c>
      <c r="E418" s="895" t="s">
        <v>1030</v>
      </c>
      <c r="F418" s="931">
        <f t="shared" si="123"/>
        <v>3.211324605816936</v>
      </c>
      <c r="G418" s="931">
        <f t="shared" si="123"/>
        <v>3.211324605816936</v>
      </c>
      <c r="H418" s="931">
        <f t="shared" si="123"/>
        <v>6.4752179142493915</v>
      </c>
      <c r="I418" s="931">
        <f t="shared" si="123"/>
        <v>11.854484641464028</v>
      </c>
      <c r="J418" s="931">
        <f t="shared" si="123"/>
        <v>19.342679072211741</v>
      </c>
      <c r="K418" s="931">
        <f t="shared" si="123"/>
        <v>29.673357018305424</v>
      </c>
      <c r="L418" s="931">
        <f t="shared" si="123"/>
        <v>43.131659999932801</v>
      </c>
      <c r="M418" s="931">
        <f t="shared" si="123"/>
        <v>59.231105646074468</v>
      </c>
      <c r="N418" s="931">
        <f t="shared" si="123"/>
        <v>78.950881061499587</v>
      </c>
      <c r="O418" s="931">
        <f t="shared" si="123"/>
        <v>103.03497382020275</v>
      </c>
      <c r="Q418" s="32"/>
      <c r="R418" s="851"/>
      <c r="S418" s="35"/>
      <c r="T418" s="32"/>
      <c r="U418" s="32"/>
    </row>
    <row r="419" spans="2:21" s="51" customFormat="1">
      <c r="B419" s="423"/>
      <c r="C419" s="894"/>
      <c r="D419" s="628"/>
      <c r="E419" s="895" t="s">
        <v>918</v>
      </c>
      <c r="F419" s="931">
        <f t="shared" si="123"/>
        <v>1.9285453469701301</v>
      </c>
      <c r="G419" s="931">
        <f t="shared" si="123"/>
        <v>1.9285453469701301</v>
      </c>
      <c r="H419" s="931">
        <f t="shared" si="123"/>
        <v>4.1810798666194513</v>
      </c>
      <c r="I419" s="931">
        <f t="shared" si="123"/>
        <v>7.677436022699796</v>
      </c>
      <c r="J419" s="931">
        <f t="shared" si="123"/>
        <v>10.244455953060291</v>
      </c>
      <c r="K419" s="931">
        <f t="shared" si="123"/>
        <v>12.624238775183132</v>
      </c>
      <c r="L419" s="931">
        <f t="shared" si="123"/>
        <v>13.655938592571314</v>
      </c>
      <c r="M419" s="931">
        <f t="shared" si="123"/>
        <v>13.214994201787189</v>
      </c>
      <c r="N419" s="931">
        <f t="shared" si="123"/>
        <v>11.203945694497403</v>
      </c>
      <c r="O419" s="931">
        <f t="shared" si="123"/>
        <v>8.0043586833004898</v>
      </c>
      <c r="Q419" s="32"/>
      <c r="R419" s="851"/>
      <c r="S419" s="35"/>
      <c r="T419" s="32"/>
      <c r="U419" s="32"/>
    </row>
    <row r="420" spans="2:21" s="51" customFormat="1">
      <c r="B420" s="423"/>
      <c r="C420" s="894"/>
      <c r="D420" s="628"/>
      <c r="E420" s="895" t="s">
        <v>1031</v>
      </c>
      <c r="F420" s="931">
        <f t="shared" ref="F420:O427" si="124">F363*F391*10^9</f>
        <v>12.050636456761724</v>
      </c>
      <c r="G420" s="931">
        <f t="shared" si="124"/>
        <v>12.050636456761724</v>
      </c>
      <c r="H420" s="931">
        <f t="shared" si="124"/>
        <v>21.093623992782707</v>
      </c>
      <c r="I420" s="931">
        <f t="shared" si="124"/>
        <v>34.246288964229421</v>
      </c>
      <c r="J420" s="931">
        <f t="shared" si="124"/>
        <v>50.889667559033256</v>
      </c>
      <c r="K420" s="931">
        <f t="shared" si="124"/>
        <v>71.670075421262297</v>
      </c>
      <c r="L420" s="931">
        <f t="shared" si="124"/>
        <v>96.283806666516654</v>
      </c>
      <c r="M420" s="931">
        <f t="shared" si="124"/>
        <v>122.91149622330944</v>
      </c>
      <c r="N420" s="931">
        <f t="shared" si="124"/>
        <v>153.05390100518778</v>
      </c>
      <c r="O420" s="931">
        <f t="shared" si="124"/>
        <v>188.41028900691921</v>
      </c>
      <c r="Q420" s="32"/>
      <c r="R420" s="851"/>
      <c r="S420" s="35"/>
      <c r="T420" s="32"/>
      <c r="U420" s="32"/>
    </row>
    <row r="421" spans="2:21" s="51" customFormat="1">
      <c r="B421" s="423"/>
      <c r="C421" s="894"/>
      <c r="D421" s="628"/>
      <c r="E421" s="895" t="s">
        <v>953</v>
      </c>
      <c r="F421" s="931">
        <f t="shared" si="124"/>
        <v>17.220752717019636</v>
      </c>
      <c r="G421" s="931">
        <f t="shared" si="124"/>
        <v>17.220752717019636</v>
      </c>
      <c r="H421" s="931">
        <f t="shared" si="124"/>
        <v>27.937742421235772</v>
      </c>
      <c r="I421" s="931">
        <f t="shared" si="124"/>
        <v>42.436440056593838</v>
      </c>
      <c r="J421" s="931">
        <f t="shared" si="124"/>
        <v>62.639193745457092</v>
      </c>
      <c r="K421" s="931">
        <f t="shared" si="124"/>
        <v>87.86171562213201</v>
      </c>
      <c r="L421" s="931">
        <f t="shared" si="124"/>
        <v>118.83262462481484</v>
      </c>
      <c r="M421" s="931">
        <f t="shared" si="124"/>
        <v>152.71301525245369</v>
      </c>
      <c r="N421" s="931">
        <f t="shared" si="124"/>
        <v>191.42991588957676</v>
      </c>
      <c r="O421" s="931">
        <f t="shared" si="124"/>
        <v>236.89823103075864</v>
      </c>
      <c r="Q421" s="32"/>
      <c r="R421" s="851"/>
      <c r="S421" s="35"/>
      <c r="T421" s="32"/>
      <c r="U421" s="32"/>
    </row>
    <row r="422" spans="2:21" s="51" customFormat="1">
      <c r="B422" s="423"/>
      <c r="C422" s="894"/>
      <c r="D422" s="628" t="s">
        <v>1026</v>
      </c>
      <c r="E422" s="895" t="s">
        <v>1030</v>
      </c>
      <c r="F422" s="931">
        <f t="shared" si="124"/>
        <v>1.0080605780414538</v>
      </c>
      <c r="G422" s="931">
        <f t="shared" si="124"/>
        <v>1.0080605780414538</v>
      </c>
      <c r="H422" s="931">
        <f t="shared" si="124"/>
        <v>1.8685480193940265</v>
      </c>
      <c r="I422" s="931">
        <f t="shared" si="124"/>
        <v>3.2782306404082378</v>
      </c>
      <c r="J422" s="931">
        <f t="shared" si="124"/>
        <v>5.5337880056748903</v>
      </c>
      <c r="K422" s="931">
        <f t="shared" si="124"/>
        <v>8.7298947139578331</v>
      </c>
      <c r="L422" s="931">
        <f t="shared" si="124"/>
        <v>12.989179830024209</v>
      </c>
      <c r="M422" s="931">
        <f t="shared" si="124"/>
        <v>18.194104133146965</v>
      </c>
      <c r="N422" s="931">
        <f t="shared" si="124"/>
        <v>24.666643777500806</v>
      </c>
      <c r="O422" s="931">
        <f t="shared" si="124"/>
        <v>32.573004732377818</v>
      </c>
      <c r="Q422" s="32"/>
      <c r="R422" s="851"/>
      <c r="S422" s="35"/>
      <c r="T422" s="32"/>
      <c r="U422" s="32"/>
    </row>
    <row r="423" spans="2:21" s="51" customFormat="1">
      <c r="B423" s="423"/>
      <c r="C423" s="894"/>
      <c r="D423" s="628"/>
      <c r="E423" s="895" t="s">
        <v>918</v>
      </c>
      <c r="F423" s="931">
        <f t="shared" si="124"/>
        <v>0.49512336415635411</v>
      </c>
      <c r="G423" s="931">
        <f t="shared" si="124"/>
        <v>0.49512336415635411</v>
      </c>
      <c r="H423" s="931">
        <f t="shared" si="124"/>
        <v>0.79912321945981879</v>
      </c>
      <c r="I423" s="931">
        <f t="shared" si="124"/>
        <v>1.214355328624342</v>
      </c>
      <c r="J423" s="931">
        <f t="shared" si="124"/>
        <v>1.7096672202717791</v>
      </c>
      <c r="K423" s="931">
        <f t="shared" si="124"/>
        <v>2.2605459076386736</v>
      </c>
      <c r="L423" s="931">
        <f t="shared" si="124"/>
        <v>2.6919604575267564</v>
      </c>
      <c r="M423" s="931">
        <f t="shared" si="124"/>
        <v>3.0402784030770644</v>
      </c>
      <c r="N423" s="931">
        <f t="shared" si="124"/>
        <v>3.4357110975804677</v>
      </c>
      <c r="O423" s="931">
        <f t="shared" si="124"/>
        <v>3.6940000775469786</v>
      </c>
      <c r="Q423" s="32"/>
      <c r="R423" s="851"/>
      <c r="S423" s="35"/>
      <c r="T423" s="32"/>
      <c r="U423" s="32"/>
    </row>
    <row r="424" spans="2:21" s="51" customFormat="1">
      <c r="B424" s="423"/>
      <c r="C424" s="894"/>
      <c r="D424" s="628"/>
      <c r="E424" s="898" t="s">
        <v>953</v>
      </c>
      <c r="F424" s="931">
        <f t="shared" si="124"/>
        <v>45.021996239071747</v>
      </c>
      <c r="G424" s="931">
        <f t="shared" si="124"/>
        <v>45.021996239071747</v>
      </c>
      <c r="H424" s="931">
        <f t="shared" si="124"/>
        <v>75.10628998805106</v>
      </c>
      <c r="I424" s="931">
        <f t="shared" si="124"/>
        <v>117.92398384988766</v>
      </c>
      <c r="J424" s="931">
        <f t="shared" si="124"/>
        <v>170.603917320954</v>
      </c>
      <c r="K424" s="931">
        <f t="shared" si="124"/>
        <v>235.245324554067</v>
      </c>
      <c r="L424" s="931">
        <f t="shared" si="124"/>
        <v>310.81864889959843</v>
      </c>
      <c r="M424" s="931">
        <f t="shared" si="124"/>
        <v>391.18180079401651</v>
      </c>
      <c r="N424" s="931">
        <f t="shared" si="124"/>
        <v>480.93083943931401</v>
      </c>
      <c r="O424" s="931">
        <f t="shared" si="124"/>
        <v>585.82952808760854</v>
      </c>
      <c r="Q424" s="32"/>
      <c r="R424" s="851"/>
      <c r="S424" s="35"/>
      <c r="T424" s="32"/>
      <c r="U424" s="32"/>
    </row>
    <row r="425" spans="2:21" s="51" customFormat="1">
      <c r="B425" s="423"/>
      <c r="C425" s="894" t="s">
        <v>952</v>
      </c>
      <c r="D425" s="628"/>
      <c r="E425" s="898" t="s">
        <v>953</v>
      </c>
      <c r="F425" s="931">
        <f t="shared" si="124"/>
        <v>14.506012950000002</v>
      </c>
      <c r="G425" s="931">
        <f t="shared" si="124"/>
        <v>14.506012950000002</v>
      </c>
      <c r="H425" s="931">
        <f t="shared" si="124"/>
        <v>15.647194449416531</v>
      </c>
      <c r="I425" s="931">
        <f t="shared" si="124"/>
        <v>16.096735870966047</v>
      </c>
      <c r="J425" s="931">
        <f t="shared" si="124"/>
        <v>15.718506660052986</v>
      </c>
      <c r="K425" s="931">
        <f t="shared" si="124"/>
        <v>14.5461768795277</v>
      </c>
      <c r="L425" s="931">
        <f t="shared" si="124"/>
        <v>12.727673000437539</v>
      </c>
      <c r="M425" s="931">
        <f t="shared" si="124"/>
        <v>10.390495410534582</v>
      </c>
      <c r="N425" s="931">
        <f t="shared" si="124"/>
        <v>8.5089159746287546</v>
      </c>
      <c r="O425" s="931">
        <f t="shared" si="124"/>
        <v>7.5397815855383943</v>
      </c>
      <c r="Q425" s="32"/>
      <c r="R425" s="851"/>
      <c r="S425" s="35"/>
      <c r="T425" s="32"/>
      <c r="U425" s="32"/>
    </row>
    <row r="426" spans="2:21" s="51" customFormat="1">
      <c r="B426" s="423"/>
      <c r="C426" s="894"/>
      <c r="D426" s="628"/>
      <c r="E426" s="895" t="s">
        <v>954</v>
      </c>
      <c r="F426" s="931">
        <f t="shared" si="124"/>
        <v>7.7868285000000039</v>
      </c>
      <c r="G426" s="931">
        <f t="shared" si="124"/>
        <v>7.7868285000000039</v>
      </c>
      <c r="H426" s="931">
        <f t="shared" si="124"/>
        <v>9.7150456683602027</v>
      </c>
      <c r="I426" s="931">
        <f t="shared" si="124"/>
        <v>11.999759226672557</v>
      </c>
      <c r="J426" s="931">
        <f t="shared" si="124"/>
        <v>13.92086951174039</v>
      </c>
      <c r="K426" s="931">
        <f t="shared" si="124"/>
        <v>15.936045716934357</v>
      </c>
      <c r="L426" s="931">
        <f t="shared" si="124"/>
        <v>17.980994102502862</v>
      </c>
      <c r="M426" s="931">
        <f t="shared" si="124"/>
        <v>19.794055963780661</v>
      </c>
      <c r="N426" s="931">
        <f t="shared" si="124"/>
        <v>21.057870613332788</v>
      </c>
      <c r="O426" s="931">
        <f t="shared" si="124"/>
        <v>21.296265018711868</v>
      </c>
      <c r="Q426" s="32"/>
      <c r="R426" s="851"/>
      <c r="S426" s="35"/>
      <c r="T426" s="32"/>
      <c r="U426" s="32"/>
    </row>
    <row r="427" spans="2:21" s="51" customFormat="1">
      <c r="B427" s="423"/>
      <c r="C427" s="894" t="s">
        <v>970</v>
      </c>
      <c r="D427" s="628"/>
      <c r="E427" s="895" t="s">
        <v>970</v>
      </c>
      <c r="F427" s="931">
        <f t="shared" si="124"/>
        <v>19.354161061850885</v>
      </c>
      <c r="G427" s="931">
        <f t="shared" si="124"/>
        <v>19.354161061850885</v>
      </c>
      <c r="H427" s="931">
        <f t="shared" si="124"/>
        <v>34.564360976704798</v>
      </c>
      <c r="I427" s="931">
        <f t="shared" si="124"/>
        <v>56.648230396135439</v>
      </c>
      <c r="J427" s="931">
        <f t="shared" si="124"/>
        <v>84.497546291515135</v>
      </c>
      <c r="K427" s="931">
        <f t="shared" si="124"/>
        <v>119.05137810641801</v>
      </c>
      <c r="L427" s="931">
        <f t="shared" si="124"/>
        <v>159.65898118426375</v>
      </c>
      <c r="M427" s="931">
        <f t="shared" si="124"/>
        <v>203.15945707769581</v>
      </c>
      <c r="N427" s="931">
        <f t="shared" si="124"/>
        <v>251.90606931336461</v>
      </c>
      <c r="O427" s="931">
        <f t="shared" si="124"/>
        <v>308.54143863315306</v>
      </c>
      <c r="Q427" s="32"/>
      <c r="R427" s="851"/>
      <c r="S427" s="35"/>
      <c r="T427" s="32"/>
      <c r="U427" s="32"/>
    </row>
    <row r="428" spans="2:21" s="51" customFormat="1" ht="22.5" customHeight="1">
      <c r="B428" s="423"/>
      <c r="C428" s="896" t="str">
        <f>"Total Energy Demand in "&amp;preferences.energyunits</f>
        <v>Total Energy Demand in TWh</v>
      </c>
      <c r="D428" s="929"/>
      <c r="E428" s="929"/>
      <c r="F428" s="930">
        <f t="shared" ref="F428:O428" si="125">SUM(F404:F427)</f>
        <v>505.51077231313974</v>
      </c>
      <c r="G428" s="930">
        <f t="shared" si="125"/>
        <v>505.51077231313985</v>
      </c>
      <c r="H428" s="930">
        <f t="shared" si="125"/>
        <v>756.68925903270826</v>
      </c>
      <c r="I428" s="930">
        <f t="shared" si="125"/>
        <v>1079.9992697558068</v>
      </c>
      <c r="J428" s="930">
        <f t="shared" si="125"/>
        <v>1432.4164444282158</v>
      </c>
      <c r="K428" s="930">
        <f t="shared" si="125"/>
        <v>1850.5550718998898</v>
      </c>
      <c r="L428" s="930">
        <f t="shared" si="125"/>
        <v>2305.9374528341764</v>
      </c>
      <c r="M428" s="930">
        <f t="shared" si="125"/>
        <v>2794.6978561840733</v>
      </c>
      <c r="N428" s="930">
        <f t="shared" si="125"/>
        <v>3332.5542386304978</v>
      </c>
      <c r="O428" s="930">
        <f t="shared" si="125"/>
        <v>3860.5946132094277</v>
      </c>
      <c r="Q428" s="32"/>
      <c r="R428" s="851"/>
      <c r="S428" s="35"/>
      <c r="T428" s="32"/>
      <c r="U428" s="32"/>
    </row>
    <row r="429" spans="2:21" s="51" customFormat="1">
      <c r="B429" s="423"/>
      <c r="C429" s="3069"/>
      <c r="D429" s="3069"/>
      <c r="E429" s="422"/>
      <c r="F429" s="854"/>
      <c r="G429" s="854"/>
      <c r="H429" s="854"/>
      <c r="I429" s="854"/>
      <c r="J429" s="854"/>
      <c r="K429" s="854"/>
      <c r="L429" s="854"/>
      <c r="M429" s="854"/>
      <c r="N429" s="854"/>
      <c r="O429" s="854"/>
      <c r="Q429" s="32"/>
      <c r="R429" s="851"/>
      <c r="S429" s="35"/>
      <c r="T429" s="32"/>
      <c r="U429" s="32"/>
    </row>
    <row r="430" spans="2:21" s="51" customFormat="1">
      <c r="B430" s="423"/>
      <c r="C430" s="3069"/>
      <c r="D430" s="3069"/>
      <c r="E430" s="422"/>
      <c r="F430" s="854"/>
      <c r="G430" s="854"/>
      <c r="H430" s="854"/>
      <c r="I430" s="854"/>
      <c r="J430" s="854"/>
      <c r="K430" s="854"/>
      <c r="L430" s="854"/>
      <c r="M430" s="854"/>
      <c r="N430" s="854"/>
      <c r="O430" s="854" t="str">
        <f>preferences.energyunits</f>
        <v>TWh</v>
      </c>
      <c r="Q430" s="32"/>
      <c r="R430" s="851"/>
      <c r="S430" s="35"/>
      <c r="T430" s="32"/>
      <c r="U430" s="32"/>
    </row>
    <row r="431" spans="2:21" s="51" customFormat="1">
      <c r="B431" s="423"/>
      <c r="C431" s="893" t="s">
        <v>64</v>
      </c>
      <c r="D431" s="934" t="s">
        <v>227</v>
      </c>
      <c r="E431" s="893" t="s">
        <v>66</v>
      </c>
      <c r="F431" s="641">
        <v>2007</v>
      </c>
      <c r="G431" s="642">
        <f t="shared" ref="G431:O431" si="126">F431+5</f>
        <v>2012</v>
      </c>
      <c r="H431" s="642">
        <f t="shared" si="126"/>
        <v>2017</v>
      </c>
      <c r="I431" s="642">
        <f t="shared" si="126"/>
        <v>2022</v>
      </c>
      <c r="J431" s="642">
        <f t="shared" si="126"/>
        <v>2027</v>
      </c>
      <c r="K431" s="642">
        <f t="shared" si="126"/>
        <v>2032</v>
      </c>
      <c r="L431" s="642">
        <f t="shared" si="126"/>
        <v>2037</v>
      </c>
      <c r="M431" s="642">
        <f t="shared" si="126"/>
        <v>2042</v>
      </c>
      <c r="N431" s="642">
        <f t="shared" si="126"/>
        <v>2047</v>
      </c>
      <c r="O431" s="642">
        <f t="shared" si="126"/>
        <v>2052</v>
      </c>
      <c r="Q431" s="32"/>
      <c r="R431" s="851"/>
      <c r="S431" s="35"/>
      <c r="T431" s="32"/>
      <c r="U431" s="32"/>
    </row>
    <row r="432" spans="2:21" s="51" customFormat="1">
      <c r="B432" s="423"/>
      <c r="C432" s="894"/>
      <c r="D432" s="2682" t="s">
        <v>1031</v>
      </c>
      <c r="E432" s="895"/>
      <c r="F432" s="2683">
        <f>F409+F414+F415+F416+F420</f>
        <v>172.28244388746486</v>
      </c>
      <c r="G432" s="2683">
        <f t="shared" ref="G432:O432" si="127">G409+G414+G415+G416+G420</f>
        <v>172.28244388746492</v>
      </c>
      <c r="H432" s="2683">
        <f t="shared" si="127"/>
        <v>266.09668670072881</v>
      </c>
      <c r="I432" s="2683">
        <f t="shared" si="127"/>
        <v>378.71191902464182</v>
      </c>
      <c r="J432" s="2683">
        <f t="shared" si="127"/>
        <v>492.14521011039824</v>
      </c>
      <c r="K432" s="2683">
        <f t="shared" si="127"/>
        <v>624.12270661776051</v>
      </c>
      <c r="L432" s="2683">
        <f t="shared" si="127"/>
        <v>768.0677506662978</v>
      </c>
      <c r="M432" s="2683">
        <f t="shared" si="127"/>
        <v>920.30975218677725</v>
      </c>
      <c r="N432" s="2683">
        <f t="shared" si="127"/>
        <v>1079.8425529480762</v>
      </c>
      <c r="O432" s="2683">
        <f t="shared" si="127"/>
        <v>1200.8552097218444</v>
      </c>
      <c r="Q432" s="32"/>
      <c r="R432" s="851"/>
      <c r="S432" s="35"/>
      <c r="T432" s="32"/>
      <c r="U432" s="32"/>
    </row>
    <row r="433" spans="2:21" s="51" customFormat="1">
      <c r="B433" s="423"/>
      <c r="C433" s="894"/>
      <c r="D433" s="894" t="s">
        <v>953</v>
      </c>
      <c r="E433" s="895"/>
      <c r="F433" s="2683">
        <f t="shared" ref="F433:O433" si="128">F404+F410+F424+F425+F407+F421</f>
        <v>292.42968361955315</v>
      </c>
      <c r="G433" s="2683">
        <f t="shared" si="128"/>
        <v>292.42968361955315</v>
      </c>
      <c r="H433" s="2683">
        <f t="shared" si="128"/>
        <v>419.15074881051379</v>
      </c>
      <c r="I433" s="2683">
        <f t="shared" si="128"/>
        <v>584.24848450088973</v>
      </c>
      <c r="J433" s="2683">
        <f t="shared" si="128"/>
        <v>766.24520246826557</v>
      </c>
      <c r="K433" s="2683">
        <f t="shared" si="128"/>
        <v>980.31235590505344</v>
      </c>
      <c r="L433" s="2683">
        <f t="shared" si="128"/>
        <v>1213.7091722478788</v>
      </c>
      <c r="M433" s="2683">
        <f t="shared" si="128"/>
        <v>1462.6201114700955</v>
      </c>
      <c r="N433" s="2683">
        <f t="shared" si="128"/>
        <v>1743.0864461924214</v>
      </c>
      <c r="O433" s="2683">
        <f t="shared" si="128"/>
        <v>2044.7983448725913</v>
      </c>
      <c r="Q433" s="32"/>
      <c r="R433" s="851"/>
      <c r="S433" s="35"/>
      <c r="T433" s="32"/>
      <c r="U433" s="32"/>
    </row>
    <row r="434" spans="2:21" s="51" customFormat="1">
      <c r="B434" s="423"/>
      <c r="C434" s="894"/>
      <c r="D434" s="894" t="s">
        <v>1030</v>
      </c>
      <c r="E434" s="895"/>
      <c r="F434" s="2683">
        <f t="shared" ref="F434:O434" si="129">F408+F405+F411+F418+F422</f>
        <v>9.7523560736799499</v>
      </c>
      <c r="G434" s="2683">
        <f t="shared" si="129"/>
        <v>9.7523560736799499</v>
      </c>
      <c r="H434" s="2683">
        <f t="shared" si="129"/>
        <v>18.423884493552833</v>
      </c>
      <c r="I434" s="2683">
        <f t="shared" si="129"/>
        <v>32.050013599857472</v>
      </c>
      <c r="J434" s="2683">
        <f t="shared" si="129"/>
        <v>50.311441669385388</v>
      </c>
      <c r="K434" s="2683">
        <f t="shared" si="129"/>
        <v>75.226123939036739</v>
      </c>
      <c r="L434" s="2683">
        <f t="shared" si="129"/>
        <v>105.23064632817186</v>
      </c>
      <c r="M434" s="2683">
        <f t="shared" si="129"/>
        <v>140.20383691710919</v>
      </c>
      <c r="N434" s="2683">
        <f t="shared" si="129"/>
        <v>181.1937112040963</v>
      </c>
      <c r="O434" s="2683">
        <f t="shared" si="129"/>
        <v>224.97708723974054</v>
      </c>
      <c r="Q434" s="32"/>
      <c r="R434" s="851"/>
      <c r="S434" s="35"/>
      <c r="T434" s="32"/>
      <c r="U434" s="32"/>
    </row>
    <row r="435" spans="2:21" s="51" customFormat="1">
      <c r="B435" s="423"/>
      <c r="C435" s="894"/>
      <c r="D435" s="894" t="s">
        <v>918</v>
      </c>
      <c r="E435" s="895"/>
      <c r="F435" s="2683">
        <f>F412+F419+F423</f>
        <v>3.887569778556518</v>
      </c>
      <c r="G435" s="2683">
        <f t="shared" ref="G435:O435" si="130">G412+G419+G423</f>
        <v>3.887569778556518</v>
      </c>
      <c r="H435" s="2683">
        <f t="shared" si="130"/>
        <v>8.4723723137836142</v>
      </c>
      <c r="I435" s="2683">
        <f t="shared" si="130"/>
        <v>15.662877650813817</v>
      </c>
      <c r="J435" s="2683">
        <f t="shared" si="130"/>
        <v>24.033924846188672</v>
      </c>
      <c r="K435" s="2683">
        <f t="shared" si="130"/>
        <v>33.864505871817244</v>
      </c>
      <c r="L435" s="2683">
        <f t="shared" si="130"/>
        <v>38.274503788610275</v>
      </c>
      <c r="M435" s="2683">
        <f t="shared" si="130"/>
        <v>44.48669792205277</v>
      </c>
      <c r="N435" s="2683">
        <f t="shared" si="130"/>
        <v>50.055442132597761</v>
      </c>
      <c r="O435" s="2683">
        <f t="shared" si="130"/>
        <v>53.182542732370763</v>
      </c>
      <c r="Q435" s="32"/>
      <c r="R435" s="851"/>
      <c r="S435" s="35"/>
      <c r="T435" s="32"/>
      <c r="U435" s="32"/>
    </row>
    <row r="436" spans="2:21" s="51" customFormat="1">
      <c r="B436" s="423"/>
      <c r="C436" s="894"/>
      <c r="D436" s="894" t="s">
        <v>1042</v>
      </c>
      <c r="E436" s="895"/>
      <c r="F436" s="936">
        <f>F427</f>
        <v>19.354161061850885</v>
      </c>
      <c r="G436" s="936">
        <f t="shared" ref="G436:O436" si="131">G427</f>
        <v>19.354161061850885</v>
      </c>
      <c r="H436" s="936">
        <f t="shared" si="131"/>
        <v>34.564360976704798</v>
      </c>
      <c r="I436" s="936">
        <f t="shared" si="131"/>
        <v>56.648230396135439</v>
      </c>
      <c r="J436" s="936">
        <f t="shared" si="131"/>
        <v>84.497546291515135</v>
      </c>
      <c r="K436" s="936">
        <f t="shared" si="131"/>
        <v>119.05137810641801</v>
      </c>
      <c r="L436" s="936">
        <f t="shared" si="131"/>
        <v>159.65898118426375</v>
      </c>
      <c r="M436" s="936">
        <f t="shared" si="131"/>
        <v>203.15945707769581</v>
      </c>
      <c r="N436" s="936">
        <f t="shared" si="131"/>
        <v>251.90606931336461</v>
      </c>
      <c r="O436" s="936">
        <f t="shared" si="131"/>
        <v>308.54143863315306</v>
      </c>
      <c r="Q436" s="32"/>
      <c r="R436" s="851"/>
      <c r="S436" s="35"/>
      <c r="T436" s="32"/>
      <c r="U436" s="32"/>
    </row>
    <row r="437" spans="2:21" s="51" customFormat="1">
      <c r="B437" s="423"/>
      <c r="C437" s="894"/>
      <c r="D437" s="894" t="s">
        <v>954</v>
      </c>
      <c r="E437" s="895"/>
      <c r="F437" s="937">
        <f>F413+F417+F426+F406</f>
        <v>7.8045578920344294</v>
      </c>
      <c r="G437" s="937">
        <f t="shared" ref="G437:O437" si="132">G413+G417+G426+G406</f>
        <v>7.8045578920344294</v>
      </c>
      <c r="H437" s="937">
        <f t="shared" si="132"/>
        <v>9.9812057374247392</v>
      </c>
      <c r="I437" s="937">
        <f t="shared" si="132"/>
        <v>12.677744583468431</v>
      </c>
      <c r="J437" s="937">
        <f t="shared" si="132"/>
        <v>15.183119042462815</v>
      </c>
      <c r="K437" s="937">
        <f t="shared" si="132"/>
        <v>17.97800145980359</v>
      </c>
      <c r="L437" s="937">
        <f t="shared" si="132"/>
        <v>20.996398618954622</v>
      </c>
      <c r="M437" s="937">
        <f t="shared" si="132"/>
        <v>23.918000610343412</v>
      </c>
      <c r="N437" s="937">
        <f t="shared" si="132"/>
        <v>26.470016839940651</v>
      </c>
      <c r="O437" s="937">
        <f t="shared" si="132"/>
        <v>28.239990009727272</v>
      </c>
      <c r="Q437" s="32"/>
      <c r="R437" s="851"/>
      <c r="S437" s="35"/>
      <c r="T437" s="32"/>
      <c r="U437" s="32"/>
    </row>
    <row r="438" spans="2:21" s="51" customFormat="1">
      <c r="B438" s="423"/>
      <c r="C438" s="932"/>
      <c r="D438" s="896" t="str">
        <f>"Total Fuel Demand in "&amp;preferences.energyunits</f>
        <v>Total Fuel Demand in TWh</v>
      </c>
      <c r="E438" s="933"/>
      <c r="F438" s="938">
        <f>SUM(F432:F437)</f>
        <v>505.5107723131398</v>
      </c>
      <c r="G438" s="938">
        <f t="shared" ref="G438:O438" si="133">SUM(G432:G437)</f>
        <v>505.51077231313985</v>
      </c>
      <c r="H438" s="938">
        <f t="shared" si="133"/>
        <v>756.68925903270861</v>
      </c>
      <c r="I438" s="938">
        <f t="shared" si="133"/>
        <v>1079.9992697558068</v>
      </c>
      <c r="J438" s="938">
        <f t="shared" si="133"/>
        <v>1432.416444428216</v>
      </c>
      <c r="K438" s="938">
        <f t="shared" si="133"/>
        <v>1850.5550718998898</v>
      </c>
      <c r="L438" s="938">
        <f t="shared" si="133"/>
        <v>2305.9374528341768</v>
      </c>
      <c r="M438" s="938">
        <f t="shared" si="133"/>
        <v>2794.6978561840738</v>
      </c>
      <c r="N438" s="938">
        <f t="shared" si="133"/>
        <v>3332.5542386304974</v>
      </c>
      <c r="O438" s="938">
        <f t="shared" si="133"/>
        <v>3860.5946132094273</v>
      </c>
      <c r="Q438" s="32"/>
      <c r="R438" s="851"/>
      <c r="S438" s="35"/>
      <c r="T438" s="32"/>
      <c r="U438" s="32"/>
    </row>
    <row r="439" spans="2:21" s="51" customFormat="1">
      <c r="B439" s="423"/>
      <c r="C439" s="423"/>
      <c r="E439" s="856"/>
      <c r="F439" s="858"/>
      <c r="G439" s="858"/>
      <c r="H439" s="858"/>
      <c r="I439" s="858"/>
      <c r="J439" s="858"/>
      <c r="K439" s="858"/>
      <c r="L439" s="858"/>
      <c r="M439" s="858"/>
      <c r="N439" s="858"/>
      <c r="O439" s="858"/>
      <c r="Q439" s="32"/>
      <c r="R439" s="851"/>
      <c r="S439" s="35"/>
      <c r="T439" s="32"/>
      <c r="U439" s="32"/>
    </row>
    <row r="440" spans="2:21" s="51" customFormat="1">
      <c r="B440" s="423"/>
      <c r="C440" s="1825"/>
      <c r="D440" s="423"/>
      <c r="E440" s="3069"/>
      <c r="F440" s="3069"/>
      <c r="G440" s="1658"/>
      <c r="H440" s="1658"/>
      <c r="I440" s="1658"/>
      <c r="J440" s="1658"/>
      <c r="K440" s="1658"/>
      <c r="L440" s="1658"/>
      <c r="M440" s="1658"/>
      <c r="N440" s="1658"/>
      <c r="O440" s="1658"/>
      <c r="P440" s="1658"/>
      <c r="Q440" s="32"/>
      <c r="R440" s="851"/>
      <c r="S440" s="35"/>
      <c r="T440" s="32"/>
      <c r="U440" s="32"/>
    </row>
    <row r="441" spans="2:21" s="51" customFormat="1">
      <c r="B441" s="859">
        <v>3</v>
      </c>
      <c r="C441" s="1825" t="s">
        <v>1531</v>
      </c>
      <c r="D441" s="19"/>
      <c r="E441" s="423"/>
      <c r="F441" s="19"/>
      <c r="G441" s="1668"/>
      <c r="H441" s="1668"/>
      <c r="I441" s="1668"/>
      <c r="J441" s="1668"/>
      <c r="K441" s="1668"/>
      <c r="L441" s="1668"/>
      <c r="M441" s="1668"/>
      <c r="N441" s="1668"/>
      <c r="O441" s="1668"/>
      <c r="P441" s="1668"/>
      <c r="Q441" s="32"/>
      <c r="R441" s="851"/>
      <c r="S441" s="35"/>
      <c r="T441" s="32"/>
      <c r="U441" s="32"/>
    </row>
    <row r="442" spans="2:21" s="51" customFormat="1">
      <c r="B442" s="859" t="s">
        <v>64</v>
      </c>
      <c r="C442" s="233" t="s">
        <v>1529</v>
      </c>
      <c r="E442" s="859" t="s">
        <v>1530</v>
      </c>
      <c r="F442" s="641">
        <v>2007</v>
      </c>
      <c r="G442" s="642">
        <f t="shared" ref="G442:O442" si="134">F442+5</f>
        <v>2012</v>
      </c>
      <c r="H442" s="642">
        <f t="shared" si="134"/>
        <v>2017</v>
      </c>
      <c r="I442" s="642">
        <f t="shared" si="134"/>
        <v>2022</v>
      </c>
      <c r="J442" s="642">
        <f t="shared" si="134"/>
        <v>2027</v>
      </c>
      <c r="K442" s="642">
        <f t="shared" si="134"/>
        <v>2032</v>
      </c>
      <c r="L442" s="642">
        <f t="shared" si="134"/>
        <v>2037</v>
      </c>
      <c r="M442" s="642">
        <f t="shared" si="134"/>
        <v>2042</v>
      </c>
      <c r="N442" s="642">
        <f t="shared" si="134"/>
        <v>2047</v>
      </c>
      <c r="O442" s="642">
        <f t="shared" si="134"/>
        <v>2052</v>
      </c>
      <c r="Q442" s="32"/>
      <c r="R442" s="851"/>
      <c r="S442" s="35"/>
      <c r="T442" s="32"/>
      <c r="U442" s="32"/>
    </row>
    <row r="443" spans="2:21" s="51" customFormat="1">
      <c r="B443" s="423"/>
      <c r="C443" s="423"/>
      <c r="F443" s="73"/>
      <c r="G443" s="73"/>
      <c r="H443" s="73"/>
      <c r="I443" s="73"/>
      <c r="J443" s="73"/>
      <c r="K443" s="73"/>
      <c r="L443" s="73"/>
      <c r="M443" s="73"/>
      <c r="N443" s="73"/>
      <c r="O443" s="73"/>
      <c r="Q443" s="32"/>
      <c r="R443" s="851"/>
      <c r="S443" s="35"/>
      <c r="T443" s="32"/>
      <c r="U443" s="32"/>
    </row>
    <row r="444" spans="2:21" s="51" customFormat="1">
      <c r="B444" s="60" t="s">
        <v>34</v>
      </c>
      <c r="C444" s="19" t="str">
        <f>INDEX(Vectors[Description], MATCH(B444, Vectors[Code], 0))</f>
        <v>Electricity (delivered to end user)</v>
      </c>
      <c r="E444" s="51" t="str">
        <f>preferences.energyunits</f>
        <v>TWh</v>
      </c>
      <c r="F444" s="73">
        <f>F437</f>
        <v>7.8045578920344294</v>
      </c>
      <c r="G444" s="73">
        <f t="shared" ref="G444:O444" si="135">G437</f>
        <v>7.8045578920344294</v>
      </c>
      <c r="H444" s="73">
        <f t="shared" si="135"/>
        <v>9.9812057374247392</v>
      </c>
      <c r="I444" s="73">
        <f t="shared" si="135"/>
        <v>12.677744583468431</v>
      </c>
      <c r="J444" s="73">
        <f t="shared" si="135"/>
        <v>15.183119042462815</v>
      </c>
      <c r="K444" s="73">
        <f t="shared" si="135"/>
        <v>17.97800145980359</v>
      </c>
      <c r="L444" s="73">
        <f t="shared" si="135"/>
        <v>20.996398618954622</v>
      </c>
      <c r="M444" s="73">
        <f t="shared" si="135"/>
        <v>23.918000610343412</v>
      </c>
      <c r="N444" s="73">
        <f t="shared" si="135"/>
        <v>26.470016839940651</v>
      </c>
      <c r="O444" s="73">
        <f t="shared" si="135"/>
        <v>28.239990009727272</v>
      </c>
      <c r="Q444" s="32"/>
      <c r="R444" s="851"/>
      <c r="S444" s="35"/>
      <c r="T444" s="32"/>
      <c r="U444" s="32"/>
    </row>
    <row r="445" spans="2:21" s="51" customFormat="1">
      <c r="B445" s="60" t="s">
        <v>38</v>
      </c>
      <c r="C445" s="19" t="str">
        <f>INDEX(Vectors[Description], MATCH(B445, Vectors[Code], 0))</f>
        <v>Liquid hydrocarbons</v>
      </c>
      <c r="E445" s="51" t="str">
        <f>preferences.energyunits</f>
        <v>TWh</v>
      </c>
      <c r="F445" s="73">
        <f>F432+F433+F435+F436</f>
        <v>487.95385834742541</v>
      </c>
      <c r="G445" s="73">
        <f t="shared" ref="G445:O445" si="136">G432+G433+G435+G436</f>
        <v>487.95385834742547</v>
      </c>
      <c r="H445" s="73">
        <f t="shared" si="136"/>
        <v>728.28416880173108</v>
      </c>
      <c r="I445" s="73">
        <f t="shared" si="136"/>
        <v>1035.2715115724809</v>
      </c>
      <c r="J445" s="73">
        <f t="shared" si="136"/>
        <v>1366.9218837163678</v>
      </c>
      <c r="K445" s="73">
        <f t="shared" si="136"/>
        <v>1757.3509465010493</v>
      </c>
      <c r="L445" s="73">
        <f t="shared" si="136"/>
        <v>2179.7104078870507</v>
      </c>
      <c r="M445" s="73">
        <f t="shared" si="136"/>
        <v>2630.5760186566213</v>
      </c>
      <c r="N445" s="73">
        <f t="shared" si="136"/>
        <v>3124.8905105864601</v>
      </c>
      <c r="O445" s="73">
        <f t="shared" si="136"/>
        <v>3607.3775359599595</v>
      </c>
      <c r="Q445" s="32"/>
      <c r="R445" s="851"/>
      <c r="S445" s="35"/>
      <c r="T445" s="32"/>
      <c r="U445" s="32"/>
    </row>
    <row r="446" spans="2:21" s="51" customFormat="1">
      <c r="B446" s="226" t="s">
        <v>39</v>
      </c>
      <c r="C446" s="19" t="str">
        <f>INDEX(Vectors[Description], MATCH(B446, Vectors[Code], 0))</f>
        <v>Gaseous hydrocarbons</v>
      </c>
      <c r="E446" s="51" t="str">
        <f>preferences.energyunits</f>
        <v>TWh</v>
      </c>
      <c r="F446" s="73">
        <f>F434</f>
        <v>9.7523560736799499</v>
      </c>
      <c r="G446" s="73">
        <f t="shared" ref="G446:O446" si="137">G434</f>
        <v>9.7523560736799499</v>
      </c>
      <c r="H446" s="73">
        <f t="shared" si="137"/>
        <v>18.423884493552833</v>
      </c>
      <c r="I446" s="73">
        <f t="shared" si="137"/>
        <v>32.050013599857472</v>
      </c>
      <c r="J446" s="73">
        <f t="shared" si="137"/>
        <v>50.311441669385388</v>
      </c>
      <c r="K446" s="73">
        <f t="shared" si="137"/>
        <v>75.226123939036739</v>
      </c>
      <c r="L446" s="73">
        <f t="shared" si="137"/>
        <v>105.23064632817186</v>
      </c>
      <c r="M446" s="73">
        <f t="shared" si="137"/>
        <v>140.20383691710919</v>
      </c>
      <c r="N446" s="73">
        <f t="shared" si="137"/>
        <v>181.1937112040963</v>
      </c>
      <c r="O446" s="73">
        <f t="shared" si="137"/>
        <v>224.97708723974054</v>
      </c>
      <c r="Q446" s="32"/>
      <c r="R446" s="851"/>
      <c r="S446" s="35"/>
      <c r="T446" s="32"/>
      <c r="U446" s="32"/>
    </row>
    <row r="447" spans="2:21" s="51" customFormat="1">
      <c r="C447" s="423"/>
      <c r="F447" s="73"/>
      <c r="G447" s="73"/>
      <c r="H447" s="73"/>
      <c r="I447" s="73"/>
      <c r="J447" s="73"/>
      <c r="K447" s="73"/>
      <c r="L447" s="73"/>
      <c r="M447" s="73"/>
      <c r="N447" s="73"/>
      <c r="O447" s="73"/>
      <c r="Q447" s="32"/>
      <c r="R447" s="851"/>
      <c r="S447" s="35"/>
      <c r="T447" s="32"/>
      <c r="U447" s="32"/>
    </row>
    <row r="448" spans="2:21" s="51" customFormat="1">
      <c r="C448" s="423"/>
      <c r="F448" s="73"/>
      <c r="G448" s="73"/>
      <c r="H448" s="73"/>
      <c r="I448" s="73"/>
      <c r="J448" s="73"/>
      <c r="K448" s="73"/>
      <c r="L448" s="73"/>
      <c r="M448" s="73"/>
      <c r="N448" s="73"/>
      <c r="O448" s="73"/>
      <c r="Q448" s="32"/>
      <c r="R448" s="851"/>
      <c r="S448" s="35"/>
      <c r="T448" s="32"/>
      <c r="U448" s="32"/>
    </row>
    <row r="449" spans="1:21" s="51" customFormat="1">
      <c r="B449" s="859">
        <v>4</v>
      </c>
      <c r="C449" s="423" t="s">
        <v>1532</v>
      </c>
      <c r="F449" s="73"/>
      <c r="G449" s="73"/>
      <c r="H449" s="73"/>
      <c r="I449" s="73"/>
      <c r="J449" s="73"/>
      <c r="K449" s="73"/>
      <c r="L449" s="73"/>
      <c r="M449" s="73"/>
      <c r="N449" s="73"/>
      <c r="O449" s="73"/>
      <c r="Q449" s="32"/>
      <c r="R449" s="851"/>
      <c r="S449" s="35"/>
      <c r="T449" s="32"/>
      <c r="U449" s="32"/>
    </row>
    <row r="450" spans="1:21" s="51" customFormat="1">
      <c r="B450" s="859"/>
      <c r="C450" s="3069"/>
      <c r="F450" s="90"/>
      <c r="G450" s="90"/>
      <c r="H450" s="90"/>
      <c r="I450" s="90"/>
      <c r="J450" s="90"/>
      <c r="K450" s="90"/>
      <c r="L450" s="90"/>
      <c r="M450" s="90"/>
      <c r="N450" s="90"/>
      <c r="O450" s="90"/>
      <c r="Q450" s="32"/>
      <c r="R450" s="851"/>
      <c r="S450" s="35"/>
      <c r="T450" s="32"/>
      <c r="U450" s="32"/>
    </row>
    <row r="451" spans="1:21" s="51" customFormat="1">
      <c r="B451" s="859"/>
      <c r="C451" s="423" t="s">
        <v>846</v>
      </c>
      <c r="F451" s="73"/>
      <c r="G451" s="73"/>
      <c r="H451" s="73"/>
      <c r="I451" s="73"/>
      <c r="J451" s="73"/>
      <c r="K451" s="73"/>
      <c r="L451" s="73"/>
      <c r="M451" s="73"/>
      <c r="N451" s="73"/>
      <c r="O451" s="73"/>
      <c r="Q451" s="32"/>
      <c r="R451" s="851"/>
      <c r="S451" s="35"/>
      <c r="T451" s="32"/>
      <c r="U451" s="32"/>
    </row>
    <row r="452" spans="1:21" s="51" customFormat="1" ht="14.25">
      <c r="C452" s="3069" t="s">
        <v>350</v>
      </c>
      <c r="E452" s="51" t="s">
        <v>368</v>
      </c>
      <c r="F452" s="90">
        <f>F$445*INDEX(EF[CO2], MATCH("V.04", EF[Vector], 0))+F$446*INDEX(EF[CO2], MATCH("V.05", EF[Vector], 0))</f>
        <v>132.08920545584482</v>
      </c>
      <c r="G452" s="90">
        <f>G$445*INDEX(EF[CO2], MATCH("V.04", EF[Vector], 0))+G$446*INDEX(EF[CO2], MATCH("V.05", EF[Vector], 0))</f>
        <v>132.08920545584485</v>
      </c>
      <c r="H452" s="90">
        <f>H$445*INDEX(EF[CO2], MATCH("V.04", EF[Vector], 0))+H$446*INDEX(EF[CO2], MATCH("V.05", EF[Vector], 0))</f>
        <v>197.91624246101867</v>
      </c>
      <c r="I452" s="90">
        <f>I$445*INDEX(EF[CO2], MATCH("V.04", EF[Vector], 0))+I$446*INDEX(EF[CO2], MATCH("V.05", EF[Vector], 0))</f>
        <v>282.50801383412971</v>
      </c>
      <c r="J452" s="90">
        <f>J$445*INDEX(EF[CO2], MATCH("V.04", EF[Vector], 0))+J$446*INDEX(EF[CO2], MATCH("V.05", EF[Vector], 0))</f>
        <v>374.60018732986288</v>
      </c>
      <c r="K452" s="90">
        <f>K$445*INDEX(EF[CO2], MATCH("V.04", EF[Vector], 0))+K$446*INDEX(EF[CO2], MATCH("V.05", EF[Vector], 0))</f>
        <v>483.69369511613525</v>
      </c>
      <c r="L452" s="90">
        <f>L$445*INDEX(EF[CO2], MATCH("V.04", EF[Vector], 0))+L$446*INDEX(EF[CO2], MATCH("V.05", EF[Vector], 0))</f>
        <v>602.31641650693882</v>
      </c>
      <c r="M452" s="90">
        <f>M$445*INDEX(EF[CO2], MATCH("V.04", EF[Vector], 0))+M$446*INDEX(EF[CO2], MATCH("V.05", EF[Vector], 0))</f>
        <v>729.53091525470302</v>
      </c>
      <c r="N452" s="90">
        <f>N$445*INDEX(EF[CO2], MATCH("V.04", EF[Vector], 0))+N$446*INDEX(EF[CO2], MATCH("V.05", EF[Vector], 0))</f>
        <v>869.53127632109579</v>
      </c>
      <c r="O452" s="90">
        <f>O$445*INDEX(EF[CO2], MATCH("V.04", EF[Vector], 0))+O$446*INDEX(EF[CO2], MATCH("V.05", EF[Vector], 0))</f>
        <v>1006.9327281413277</v>
      </c>
      <c r="Q452" s="32"/>
      <c r="R452" s="851"/>
      <c r="S452" s="35"/>
      <c r="T452" s="32"/>
      <c r="U452" s="32"/>
    </row>
    <row r="453" spans="1:21" s="51" customFormat="1" ht="14.25">
      <c r="B453" s="423"/>
      <c r="C453" s="3069" t="s">
        <v>351</v>
      </c>
      <c r="E453" s="51" t="s">
        <v>368</v>
      </c>
      <c r="F453" s="90">
        <f>F$445*INDEX(EF[CH4], MATCH("V.04", EF[Vector], 0))+F$446*INDEX(EF[CH4], MATCH("V.05", EF[Vector], 0))</f>
        <v>0</v>
      </c>
      <c r="G453" s="90">
        <f>G$445*INDEX(EF[CH4], MATCH("V.04", EF[Vector], 0))+G$446*INDEX(EF[CH4], MATCH("V.05", EF[Vector], 0))</f>
        <v>0</v>
      </c>
      <c r="H453" s="90">
        <f>H$445*INDEX(EF[CH4], MATCH("V.04", EF[Vector], 0))+H$446*INDEX(EF[CH4], MATCH("V.05", EF[Vector], 0))</f>
        <v>0</v>
      </c>
      <c r="I453" s="90">
        <f>I$445*INDEX(EF[CH4], MATCH("V.04", EF[Vector], 0))+I$446*INDEX(EF[CH4], MATCH("V.05", EF[Vector], 0))</f>
        <v>0</v>
      </c>
      <c r="J453" s="90">
        <f>J$445*INDEX(EF[CH4], MATCH("V.04", EF[Vector], 0))+J$446*INDEX(EF[CH4], MATCH("V.05", EF[Vector], 0))</f>
        <v>0</v>
      </c>
      <c r="K453" s="90">
        <f>K$445*INDEX(EF[CH4], MATCH("V.04", EF[Vector], 0))+K$446*INDEX(EF[CH4], MATCH("V.05", EF[Vector], 0))</f>
        <v>0</v>
      </c>
      <c r="L453" s="90">
        <f>L$445*INDEX(EF[CH4], MATCH("V.04", EF[Vector], 0))+L$446*INDEX(EF[CH4], MATCH("V.05", EF[Vector], 0))</f>
        <v>0</v>
      </c>
      <c r="M453" s="90">
        <f>M$445*INDEX(EF[CH4], MATCH("V.04", EF[Vector], 0))+M$446*INDEX(EF[CH4], MATCH("V.05", EF[Vector], 0))</f>
        <v>0</v>
      </c>
      <c r="N453" s="90">
        <f>N$445*INDEX(EF[CH4], MATCH("V.04", EF[Vector], 0))+N$446*INDEX(EF[CH4], MATCH("V.05", EF[Vector], 0))</f>
        <v>0</v>
      </c>
      <c r="O453" s="90">
        <f>O$445*INDEX(EF[CH4], MATCH("V.04", EF[Vector], 0))+O$446*INDEX(EF[CH4], MATCH("V.05", EF[Vector], 0))</f>
        <v>0</v>
      </c>
      <c r="P453" s="90"/>
      <c r="Q453" s="32"/>
      <c r="R453" s="851"/>
      <c r="S453" s="35"/>
      <c r="T453" s="32"/>
      <c r="U453" s="32"/>
    </row>
    <row r="454" spans="1:21" s="51" customFormat="1" ht="14.25">
      <c r="B454" s="423"/>
      <c r="C454" s="3069" t="s">
        <v>352</v>
      </c>
      <c r="E454" s="51" t="s">
        <v>368</v>
      </c>
      <c r="F454" s="90">
        <f>F$445*INDEX(EF[N2O], MATCH("V.04", EF[Vector], 0))+F$446*INDEX(EF[N2O], MATCH("V.05", EF[Vector], 0))</f>
        <v>0</v>
      </c>
      <c r="G454" s="90">
        <f>G$445*INDEX(EF[N2O], MATCH("V.04", EF[Vector], 0))+G$446*INDEX(EF[N2O], MATCH("V.05", EF[Vector], 0))</f>
        <v>0</v>
      </c>
      <c r="H454" s="90">
        <f>H$445*INDEX(EF[N2O], MATCH("V.04", EF[Vector], 0))+H$446*INDEX(EF[N2O], MATCH("V.05", EF[Vector], 0))</f>
        <v>0</v>
      </c>
      <c r="I454" s="90">
        <f>I$445*INDEX(EF[N2O], MATCH("V.04", EF[Vector], 0))+I$446*INDEX(EF[N2O], MATCH("V.05", EF[Vector], 0))</f>
        <v>0</v>
      </c>
      <c r="J454" s="90">
        <f>J$445*INDEX(EF[N2O], MATCH("V.04", EF[Vector], 0))+J$446*INDEX(EF[N2O], MATCH("V.05", EF[Vector], 0))</f>
        <v>0</v>
      </c>
      <c r="K454" s="90">
        <f>K$445*INDEX(EF[N2O], MATCH("V.04", EF[Vector], 0))+K$446*INDEX(EF[N2O], MATCH("V.05", EF[Vector], 0))</f>
        <v>0</v>
      </c>
      <c r="L454" s="90">
        <f>L$445*INDEX(EF[N2O], MATCH("V.04", EF[Vector], 0))+L$446*INDEX(EF[N2O], MATCH("V.05", EF[Vector], 0))</f>
        <v>0</v>
      </c>
      <c r="M454" s="90">
        <f>M$445*INDEX(EF[N2O], MATCH("V.04", EF[Vector], 0))+M$446*INDEX(EF[N2O], MATCH("V.05", EF[Vector], 0))</f>
        <v>0</v>
      </c>
      <c r="N454" s="90">
        <f>N$445*INDEX(EF[N2O], MATCH("V.04", EF[Vector], 0))+N$446*INDEX(EF[N2O], MATCH("V.05", EF[Vector], 0))</f>
        <v>0</v>
      </c>
      <c r="O454" s="90">
        <f>O$445*INDEX(EF[N2O], MATCH("V.04", EF[Vector], 0))+O$446*INDEX(EF[N2O], MATCH("V.05", EF[Vector], 0))</f>
        <v>0</v>
      </c>
      <c r="Q454" s="32"/>
      <c r="R454" s="851"/>
      <c r="S454" s="35"/>
      <c r="T454" s="32"/>
      <c r="U454" s="32"/>
    </row>
    <row r="455" spans="1:21" s="51" customFormat="1">
      <c r="B455" s="423"/>
      <c r="C455" s="3069"/>
      <c r="F455" s="90"/>
      <c r="G455" s="90"/>
      <c r="H455" s="90"/>
      <c r="I455" s="90"/>
      <c r="J455" s="90"/>
      <c r="K455" s="90"/>
      <c r="L455" s="90"/>
      <c r="M455" s="90"/>
      <c r="N455" s="90"/>
      <c r="O455" s="90"/>
      <c r="Q455" s="32"/>
      <c r="R455" s="851"/>
      <c r="S455" s="35"/>
      <c r="T455" s="32"/>
      <c r="U455" s="32"/>
    </row>
    <row r="456" spans="1:21" s="51" customFormat="1">
      <c r="B456" s="242"/>
      <c r="C456" s="3069"/>
      <c r="D456" s="3069"/>
      <c r="E456" s="422"/>
      <c r="F456" s="860"/>
      <c r="G456" s="860"/>
      <c r="H456" s="860"/>
      <c r="I456" s="860"/>
      <c r="J456" s="860"/>
      <c r="K456" s="860"/>
      <c r="L456" s="860"/>
      <c r="M456" s="365"/>
      <c r="N456" s="365"/>
      <c r="O456" s="365"/>
    </row>
    <row r="457" spans="1:21" s="51" customFormat="1">
      <c r="B457" s="3069"/>
      <c r="C457" s="3069"/>
      <c r="F457" s="90"/>
      <c r="G457" s="90"/>
      <c r="H457" s="90"/>
      <c r="I457" s="90"/>
      <c r="J457" s="90"/>
      <c r="K457" s="90"/>
      <c r="L457" s="90"/>
      <c r="M457" s="90"/>
      <c r="N457" s="90"/>
      <c r="O457" s="90"/>
    </row>
    <row r="458" spans="1:21" ht="22.5" collapsed="1">
      <c r="A458" s="420"/>
      <c r="B458" s="2202" t="s">
        <v>202</v>
      </c>
      <c r="C458" s="175"/>
      <c r="D458" s="175"/>
      <c r="E458" s="175"/>
      <c r="F458" s="175"/>
      <c r="G458" s="175"/>
      <c r="H458" s="175"/>
      <c r="I458" s="175"/>
      <c r="J458" s="175"/>
      <c r="K458" s="175"/>
      <c r="L458" s="175"/>
      <c r="M458" s="175"/>
      <c r="N458" s="175"/>
      <c r="O458" s="175"/>
      <c r="P458" s="177"/>
    </row>
    <row r="459" spans="1:21">
      <c r="A459" s="3069">
        <v>6</v>
      </c>
      <c r="B459" s="609"/>
      <c r="C459" s="166"/>
      <c r="D459" s="166"/>
      <c r="E459" s="166"/>
      <c r="F459" s="166"/>
      <c r="G459" s="166"/>
      <c r="H459" s="166"/>
      <c r="I459" s="166"/>
      <c r="J459" s="166"/>
      <c r="K459" s="166"/>
      <c r="L459" s="166"/>
      <c r="M459" s="166"/>
      <c r="N459" s="166"/>
      <c r="O459" s="166"/>
      <c r="P459" s="168"/>
    </row>
    <row r="460" spans="1:21">
      <c r="B460" s="2491"/>
      <c r="C460" s="178" t="s">
        <v>1046</v>
      </c>
      <c r="D460" s="166"/>
      <c r="E460" s="167"/>
      <c r="F460" s="903"/>
      <c r="G460" s="167"/>
      <c r="H460" s="166"/>
      <c r="I460" s="166"/>
      <c r="J460" s="166"/>
      <c r="K460" s="166"/>
      <c r="L460" s="166"/>
      <c r="M460" s="166"/>
      <c r="N460" s="166"/>
      <c r="O460" s="167" t="str">
        <f>preferences.energyunits</f>
        <v>TWh</v>
      </c>
      <c r="P460" s="168"/>
      <c r="U460" s="3069" t="s">
        <v>120</v>
      </c>
    </row>
    <row r="461" spans="1:21" ht="6" customHeight="1">
      <c r="B461" s="2490"/>
      <c r="C461" s="166"/>
      <c r="D461" s="166"/>
      <c r="E461" s="166"/>
      <c r="F461" s="166"/>
      <c r="G461" s="166"/>
      <c r="H461" s="166"/>
      <c r="I461" s="166"/>
      <c r="J461" s="166"/>
      <c r="K461" s="166"/>
      <c r="L461" s="166"/>
      <c r="M461" s="166"/>
      <c r="N461" s="166"/>
      <c r="O461" s="166"/>
      <c r="P461" s="168"/>
    </row>
    <row r="462" spans="1:21" ht="15.75">
      <c r="A462" s="3"/>
      <c r="B462" s="164"/>
      <c r="C462" s="180" t="s">
        <v>64</v>
      </c>
      <c r="D462" s="180" t="s">
        <v>137</v>
      </c>
      <c r="E462" s="180" t="s">
        <v>156</v>
      </c>
      <c r="F462" s="901" t="s">
        <v>203</v>
      </c>
      <c r="G462" s="902" t="s">
        <v>712</v>
      </c>
      <c r="H462" s="902" t="s">
        <v>713</v>
      </c>
      <c r="I462" s="902" t="s">
        <v>714</v>
      </c>
      <c r="J462" s="902" t="s">
        <v>715</v>
      </c>
      <c r="K462" s="902" t="s">
        <v>716</v>
      </c>
      <c r="L462" s="902" t="s">
        <v>717</v>
      </c>
      <c r="M462" s="902" t="s">
        <v>718</v>
      </c>
      <c r="N462" s="902" t="s">
        <v>719</v>
      </c>
      <c r="O462" s="902" t="s">
        <v>720</v>
      </c>
      <c r="P462" s="168"/>
      <c r="R462" s="3069">
        <v>2012</v>
      </c>
      <c r="S462" s="3069">
        <v>2047</v>
      </c>
    </row>
    <row r="463" spans="1:21" ht="15.75">
      <c r="A463" s="3"/>
      <c r="B463" s="164"/>
      <c r="C463" s="60" t="s">
        <v>27</v>
      </c>
      <c r="D463" s="60" t="str">
        <f>INDEX(Vectors[Description], MATCH([Vector], Vectors[Code], 0))</f>
        <v>Road transport</v>
      </c>
      <c r="E463" s="60"/>
      <c r="F463" s="892">
        <f>SUM(F404:F424)</f>
        <v>463.86376980128881</v>
      </c>
      <c r="G463" s="892">
        <f t="shared" ref="G463:O463" si="138">SUM(G404:G424)</f>
        <v>463.86376980128892</v>
      </c>
      <c r="H463" s="892">
        <f t="shared" si="138"/>
        <v>696.76265793822677</v>
      </c>
      <c r="I463" s="892">
        <f t="shared" si="138"/>
        <v>995.2545442620326</v>
      </c>
      <c r="J463" s="892">
        <f t="shared" si="138"/>
        <v>1318.2795219649072</v>
      </c>
      <c r="K463" s="892">
        <f t="shared" si="138"/>
        <v>1701.0214711970098</v>
      </c>
      <c r="L463" s="892">
        <f t="shared" si="138"/>
        <v>2115.5698045469726</v>
      </c>
      <c r="M463" s="892">
        <f t="shared" si="138"/>
        <v>2561.3538477320626</v>
      </c>
      <c r="N463" s="892">
        <f t="shared" si="138"/>
        <v>3051.0813827291713</v>
      </c>
      <c r="O463" s="892">
        <f t="shared" si="138"/>
        <v>3523.2171279720242</v>
      </c>
      <c r="P463" s="168"/>
      <c r="Q463" s="3069" t="s">
        <v>2389</v>
      </c>
      <c r="R463" s="2915">
        <f>G466/SUM(G$466:G$468)</f>
        <v>1.5438954656340889E-2</v>
      </c>
      <c r="S463" s="2915">
        <f>N466/SUM(N$466:N$468)</f>
        <v>7.9428615243838981E-3</v>
      </c>
    </row>
    <row r="464" spans="1:21" ht="15.75">
      <c r="A464" s="3"/>
      <c r="B464" s="164"/>
      <c r="C464" s="60" t="s">
        <v>28</v>
      </c>
      <c r="D464" s="60" t="str">
        <f>INDEX(Vectors[Description], MATCH([Vector], Vectors[Code], 0))</f>
        <v>Rail transport</v>
      </c>
      <c r="E464" s="60"/>
      <c r="F464" s="892">
        <f>SUM(F425:F426)</f>
        <v>22.292841450000004</v>
      </c>
      <c r="G464" s="892">
        <f t="shared" ref="G464:O464" si="139">SUM(G425:G426)</f>
        <v>22.292841450000004</v>
      </c>
      <c r="H464" s="892">
        <f t="shared" si="139"/>
        <v>25.362240117776736</v>
      </c>
      <c r="I464" s="892">
        <f t="shared" si="139"/>
        <v>28.096495097638602</v>
      </c>
      <c r="J464" s="892">
        <f t="shared" si="139"/>
        <v>29.639376171793376</v>
      </c>
      <c r="K464" s="892">
        <f t="shared" si="139"/>
        <v>30.482222596462059</v>
      </c>
      <c r="L464" s="892">
        <f t="shared" si="139"/>
        <v>30.708667102940403</v>
      </c>
      <c r="M464" s="892">
        <f t="shared" si="139"/>
        <v>30.184551374315241</v>
      </c>
      <c r="N464" s="892">
        <f t="shared" si="139"/>
        <v>29.566786587961545</v>
      </c>
      <c r="O464" s="892">
        <f t="shared" si="139"/>
        <v>28.836046604250264</v>
      </c>
      <c r="P464" s="168"/>
      <c r="Q464" s="3069" t="s">
        <v>110</v>
      </c>
      <c r="R464" s="2915">
        <f t="shared" ref="R464:R465" si="140">G467/SUM(G$466:G$468)</f>
        <v>0.96526896175648913</v>
      </c>
      <c r="S464" s="2915">
        <f t="shared" ref="S464:S465" si="141">N467/SUM(N$466:N$468)</f>
        <v>0.93768631710871242</v>
      </c>
    </row>
    <row r="465" spans="1:19" ht="15.75">
      <c r="A465" s="3"/>
      <c r="B465" s="169"/>
      <c r="C465" s="60" t="s">
        <v>29</v>
      </c>
      <c r="D465" s="60" t="str">
        <f>INDEX(Vectors[Description], MATCH([Vector], Vectors[Code], 0))</f>
        <v>Domestic aviation</v>
      </c>
      <c r="E465" s="60"/>
      <c r="F465" s="892">
        <f t="shared" ref="F465:O465" si="142">F427</f>
        <v>19.354161061850885</v>
      </c>
      <c r="G465" s="892">
        <f t="shared" si="142"/>
        <v>19.354161061850885</v>
      </c>
      <c r="H465" s="892">
        <f t="shared" si="142"/>
        <v>34.564360976704798</v>
      </c>
      <c r="I465" s="892">
        <f t="shared" si="142"/>
        <v>56.648230396135439</v>
      </c>
      <c r="J465" s="892">
        <f t="shared" si="142"/>
        <v>84.497546291515135</v>
      </c>
      <c r="K465" s="892">
        <f t="shared" si="142"/>
        <v>119.05137810641801</v>
      </c>
      <c r="L465" s="892">
        <f t="shared" si="142"/>
        <v>159.65898118426375</v>
      </c>
      <c r="M465" s="892">
        <f t="shared" si="142"/>
        <v>203.15945707769581</v>
      </c>
      <c r="N465" s="892">
        <f t="shared" si="142"/>
        <v>251.90606931336461</v>
      </c>
      <c r="O465" s="892">
        <f t="shared" si="142"/>
        <v>308.54143863315306</v>
      </c>
      <c r="P465" s="168"/>
      <c r="Q465" s="3069" t="s">
        <v>14</v>
      </c>
      <c r="R465" s="2915">
        <f t="shared" si="140"/>
        <v>1.9292083587169988E-2</v>
      </c>
      <c r="S465" s="2915">
        <f t="shared" si="141"/>
        <v>5.4370821366903632E-2</v>
      </c>
    </row>
    <row r="466" spans="1:19" ht="15.75">
      <c r="A466" s="3"/>
      <c r="B466" s="169"/>
      <c r="C466" s="60" t="s">
        <v>34</v>
      </c>
      <c r="D466" s="60" t="str">
        <f>INDEX(Vectors[Description], MATCH([Vector], Vectors[Code], 0))</f>
        <v>Electricity (delivered to end user)</v>
      </c>
      <c r="E466" s="60"/>
      <c r="F466" s="892">
        <f t="shared" ref="F466:O466" si="143">-F437</f>
        <v>-7.8045578920344294</v>
      </c>
      <c r="G466" s="892">
        <f t="shared" si="143"/>
        <v>-7.8045578920344294</v>
      </c>
      <c r="H466" s="892">
        <f t="shared" si="143"/>
        <v>-9.9812057374247392</v>
      </c>
      <c r="I466" s="892">
        <f t="shared" si="143"/>
        <v>-12.677744583468431</v>
      </c>
      <c r="J466" s="892">
        <f t="shared" si="143"/>
        <v>-15.183119042462815</v>
      </c>
      <c r="K466" s="892">
        <f t="shared" si="143"/>
        <v>-17.97800145980359</v>
      </c>
      <c r="L466" s="892">
        <f t="shared" si="143"/>
        <v>-20.996398618954622</v>
      </c>
      <c r="M466" s="892">
        <f t="shared" si="143"/>
        <v>-23.918000610343412</v>
      </c>
      <c r="N466" s="892">
        <f t="shared" si="143"/>
        <v>-26.470016839940651</v>
      </c>
      <c r="O466" s="892">
        <f t="shared" si="143"/>
        <v>-28.239990009727272</v>
      </c>
      <c r="P466" s="904"/>
    </row>
    <row r="467" spans="1:19" ht="15.75">
      <c r="A467" s="3"/>
      <c r="B467" s="169"/>
      <c r="C467" s="60" t="s">
        <v>38</v>
      </c>
      <c r="D467" s="60" t="str">
        <f>INDEX(Vectors[Description], MATCH([Vector], Vectors[Code], 0))</f>
        <v>Liquid hydrocarbons</v>
      </c>
      <c r="E467" s="60"/>
      <c r="F467" s="892">
        <f t="shared" ref="F467:O467" si="144">-(F432+F433+F435+F436)</f>
        <v>-487.95385834742541</v>
      </c>
      <c r="G467" s="892">
        <f t="shared" si="144"/>
        <v>-487.95385834742547</v>
      </c>
      <c r="H467" s="892">
        <f t="shared" si="144"/>
        <v>-728.28416880173108</v>
      </c>
      <c r="I467" s="892">
        <f t="shared" si="144"/>
        <v>-1035.2715115724809</v>
      </c>
      <c r="J467" s="892">
        <f t="shared" si="144"/>
        <v>-1366.9218837163678</v>
      </c>
      <c r="K467" s="892">
        <f t="shared" si="144"/>
        <v>-1757.3509465010493</v>
      </c>
      <c r="L467" s="892">
        <f t="shared" si="144"/>
        <v>-2179.7104078870507</v>
      </c>
      <c r="M467" s="892">
        <f t="shared" si="144"/>
        <v>-2630.5760186566213</v>
      </c>
      <c r="N467" s="892">
        <f t="shared" si="144"/>
        <v>-3124.8905105864601</v>
      </c>
      <c r="O467" s="892">
        <f t="shared" si="144"/>
        <v>-3607.3775359599595</v>
      </c>
      <c r="P467" s="168"/>
      <c r="R467" s="3069">
        <v>2012</v>
      </c>
      <c r="S467" s="3069">
        <v>2047</v>
      </c>
    </row>
    <row r="468" spans="1:19" ht="15.75">
      <c r="A468" s="3"/>
      <c r="B468" s="169"/>
      <c r="C468" s="226" t="s">
        <v>39</v>
      </c>
      <c r="D468" s="60" t="str">
        <f>INDEX(Vectors[Description], MATCH([Vector], Vectors[Code], 0))</f>
        <v>Gaseous hydrocarbons</v>
      </c>
      <c r="E468" s="226"/>
      <c r="F468" s="939">
        <f t="shared" ref="F468:O468" si="145">-F434</f>
        <v>-9.7523560736799499</v>
      </c>
      <c r="G468" s="939">
        <f t="shared" si="145"/>
        <v>-9.7523560736799499</v>
      </c>
      <c r="H468" s="939">
        <f t="shared" si="145"/>
        <v>-18.423884493552833</v>
      </c>
      <c r="I468" s="939">
        <f t="shared" si="145"/>
        <v>-32.050013599857472</v>
      </c>
      <c r="J468" s="939">
        <f t="shared" si="145"/>
        <v>-50.311441669385388</v>
      </c>
      <c r="K468" s="939">
        <f t="shared" si="145"/>
        <v>-75.226123939036739</v>
      </c>
      <c r="L468" s="939">
        <f t="shared" si="145"/>
        <v>-105.23064632817186</v>
      </c>
      <c r="M468" s="939">
        <f t="shared" si="145"/>
        <v>-140.20383691710919</v>
      </c>
      <c r="N468" s="939">
        <f t="shared" si="145"/>
        <v>-181.1937112040963</v>
      </c>
      <c r="O468" s="939">
        <f t="shared" si="145"/>
        <v>-224.97708723974054</v>
      </c>
      <c r="P468" s="168"/>
      <c r="Q468" s="3069" t="s">
        <v>2389</v>
      </c>
      <c r="R468" s="2915">
        <v>1.3848511302203343E-2</v>
      </c>
      <c r="S468" s="2915">
        <v>6.8789456177352293E-3</v>
      </c>
    </row>
    <row r="469" spans="1:19" ht="15.75">
      <c r="A469" s="3"/>
      <c r="B469" s="169"/>
      <c r="C469" s="60" t="s">
        <v>103</v>
      </c>
      <c r="D469" s="60"/>
      <c r="E469" s="60"/>
      <c r="F469" s="2684">
        <f>SUBTOTAL(109,[2007])</f>
        <v>-5.8619775700208265E-14</v>
      </c>
      <c r="G469" s="2684">
        <f>SUBTOTAL(109,[2012])</f>
        <v>0</v>
      </c>
      <c r="H469" s="2684">
        <f>SUBTOTAL(109,[2017])</f>
        <v>-2.5579538487363607E-13</v>
      </c>
      <c r="I469" s="2684">
        <f>SUBTOTAL(109,[2022])</f>
        <v>-2.0605739337042905E-13</v>
      </c>
      <c r="J469" s="2684">
        <f>SUBTOTAL(109,[2027])</f>
        <v>-1.8474111129762605E-13</v>
      </c>
      <c r="K469" s="2684">
        <f>SUBTOTAL(109,[2032])</f>
        <v>0</v>
      </c>
      <c r="L469" s="2684">
        <f>SUBTOTAL(109,[2037])</f>
        <v>-2.7000623958883807E-13</v>
      </c>
      <c r="M469" s="2684">
        <f>SUBTOTAL(109,[2042])</f>
        <v>-5.1159076974727213E-13</v>
      </c>
      <c r="N469" s="2684">
        <f>SUBTOTAL(109,[2047])</f>
        <v>0</v>
      </c>
      <c r="O469" s="2684">
        <f>SUBTOTAL(109,[2052])</f>
        <v>6.5369931689929217E-13</v>
      </c>
      <c r="P469" s="168"/>
      <c r="Q469" s="3069" t="s">
        <v>110</v>
      </c>
      <c r="R469" s="2915">
        <v>0.96884677840186695</v>
      </c>
      <c r="S469" s="2915">
        <v>0.94206110748451199</v>
      </c>
    </row>
    <row r="470" spans="1:19" ht="15.75">
      <c r="A470" s="3"/>
      <c r="B470" s="169"/>
      <c r="C470" s="60"/>
      <c r="D470" s="60"/>
      <c r="E470" s="60"/>
      <c r="F470" s="231"/>
      <c r="G470" s="231"/>
      <c r="H470" s="231"/>
      <c r="I470" s="231"/>
      <c r="J470" s="231"/>
      <c r="K470" s="231"/>
      <c r="L470" s="231"/>
      <c r="M470" s="231"/>
      <c r="N470" s="231"/>
      <c r="O470" s="231"/>
      <c r="P470" s="168"/>
      <c r="Q470" s="3069" t="s">
        <v>14</v>
      </c>
      <c r="R470" s="2915">
        <v>1.7304710295929778E-2</v>
      </c>
      <c r="S470" s="2915">
        <v>5.1059946897752791E-2</v>
      </c>
    </row>
    <row r="471" spans="1:19" ht="15.75">
      <c r="A471" s="3"/>
      <c r="B471" s="169"/>
      <c r="C471" s="178" t="s">
        <v>1048</v>
      </c>
      <c r="D471" s="166"/>
      <c r="E471" s="167"/>
      <c r="F471" s="166"/>
      <c r="G471" s="167"/>
      <c r="H471" s="166"/>
      <c r="I471" s="166"/>
      <c r="J471" s="166"/>
      <c r="K471" s="166"/>
      <c r="L471" s="166"/>
      <c r="M471" s="166"/>
      <c r="N471" s="166"/>
      <c r="O471" s="167" t="str">
        <f>preferences.energyunits</f>
        <v>TWh</v>
      </c>
      <c r="P471" s="168"/>
    </row>
    <row r="472" spans="1:19" ht="7.5" customHeight="1">
      <c r="A472" s="3"/>
      <c r="B472" s="169"/>
      <c r="C472" s="166"/>
      <c r="D472" s="166"/>
      <c r="E472" s="166"/>
      <c r="F472" s="166"/>
      <c r="G472" s="166"/>
      <c r="H472" s="166"/>
      <c r="I472" s="166"/>
      <c r="J472" s="166"/>
      <c r="K472" s="166"/>
      <c r="L472" s="166"/>
      <c r="M472" s="166"/>
      <c r="N472" s="166"/>
      <c r="O472" s="166"/>
      <c r="P472" s="168"/>
    </row>
    <row r="473" spans="1:19" ht="15.75">
      <c r="A473" s="3"/>
      <c r="B473" s="169"/>
      <c r="C473" s="180" t="s">
        <v>64</v>
      </c>
      <c r="D473" s="180" t="s">
        <v>137</v>
      </c>
      <c r="E473" s="180" t="s">
        <v>156</v>
      </c>
      <c r="F473" s="901" t="s">
        <v>203</v>
      </c>
      <c r="G473" s="902" t="s">
        <v>712</v>
      </c>
      <c r="H473" s="902" t="s">
        <v>713</v>
      </c>
      <c r="I473" s="902" t="s">
        <v>714</v>
      </c>
      <c r="J473" s="902" t="s">
        <v>715</v>
      </c>
      <c r="K473" s="902" t="s">
        <v>716</v>
      </c>
      <c r="L473" s="902" t="s">
        <v>717</v>
      </c>
      <c r="M473" s="902" t="s">
        <v>718</v>
      </c>
      <c r="N473" s="902" t="s">
        <v>719</v>
      </c>
      <c r="O473" s="902" t="s">
        <v>720</v>
      </c>
    </row>
    <row r="474" spans="1:19" ht="15.75">
      <c r="A474" s="3"/>
      <c r="B474" s="169"/>
      <c r="C474" s="60" t="s">
        <v>787</v>
      </c>
      <c r="D474" s="60" t="str">
        <f>INDEX(Vectors[Description], MATCH([Vector], Vectors[Code], 0))</f>
        <v>Public Road Transport</v>
      </c>
      <c r="E474" s="60"/>
      <c r="F474" s="129">
        <f t="shared" ref="F474:O474" si="146">SUM(F404:F408)</f>
        <v>198.37404380194025</v>
      </c>
      <c r="G474" s="129">
        <f t="shared" si="146"/>
        <v>198.37404380194025</v>
      </c>
      <c r="H474" s="129">
        <f t="shared" si="146"/>
        <v>257.66067680901637</v>
      </c>
      <c r="I474" s="129">
        <f t="shared" si="146"/>
        <v>324.51535238188171</v>
      </c>
      <c r="J474" s="129">
        <f t="shared" si="146"/>
        <v>384.92378209094704</v>
      </c>
      <c r="K474" s="129">
        <f t="shared" si="146"/>
        <v>441.00921552233655</v>
      </c>
      <c r="L474" s="129">
        <f t="shared" si="146"/>
        <v>488.49715382058741</v>
      </c>
      <c r="M474" s="129">
        <f t="shared" si="146"/>
        <v>518.21578848095749</v>
      </c>
      <c r="N474" s="129">
        <f t="shared" si="146"/>
        <v>538.5242622115187</v>
      </c>
      <c r="O474" s="129">
        <f t="shared" si="146"/>
        <v>553.73368791455869</v>
      </c>
    </row>
    <row r="475" spans="1:19" ht="15.75">
      <c r="A475" s="3"/>
      <c r="B475" s="169"/>
      <c r="C475" s="60" t="s">
        <v>1047</v>
      </c>
      <c r="D475" s="60" t="str">
        <f>INDEX(Vectors[Description], MATCH([Vector], Vectors[Code], 0))</f>
        <v>Private Road Transport</v>
      </c>
      <c r="E475" s="60"/>
      <c r="F475" s="129">
        <f t="shared" ref="F475:O475" si="147">SUM(F409:F424)</f>
        <v>265.48972599934865</v>
      </c>
      <c r="G475" s="129">
        <f t="shared" si="147"/>
        <v>265.48972599934871</v>
      </c>
      <c r="H475" s="129">
        <f t="shared" si="147"/>
        <v>439.10198112921063</v>
      </c>
      <c r="I475" s="129">
        <f t="shared" si="147"/>
        <v>670.739191880151</v>
      </c>
      <c r="J475" s="129">
        <f t="shared" si="147"/>
        <v>933.35573987396015</v>
      </c>
      <c r="K475" s="129">
        <f t="shared" si="147"/>
        <v>1260.0122556746728</v>
      </c>
      <c r="L475" s="129">
        <f t="shared" si="147"/>
        <v>1627.0726507263853</v>
      </c>
      <c r="M475" s="129">
        <f t="shared" si="147"/>
        <v>2043.1380592511052</v>
      </c>
      <c r="N475" s="129">
        <f t="shared" si="147"/>
        <v>2512.5571205176525</v>
      </c>
      <c r="O475" s="129">
        <f t="shared" si="147"/>
        <v>2969.4834400574659</v>
      </c>
    </row>
    <row r="476" spans="1:19" ht="15.75">
      <c r="A476" s="3"/>
      <c r="B476" s="169"/>
      <c r="C476" s="60" t="s">
        <v>34</v>
      </c>
      <c r="D476" s="60" t="str">
        <f>INDEX(Vectors[Description], MATCH([Vector], Vectors[Code], 0))</f>
        <v>Electricity (delivered to end user)</v>
      </c>
      <c r="E476" s="60"/>
      <c r="F476" s="129">
        <f>-(F417+F413)</f>
        <v>-1.7729392034425896E-2</v>
      </c>
      <c r="G476" s="129">
        <f t="shared" ref="G476:O476" si="148">-(G417+G413)</f>
        <v>-1.7729392034425896E-2</v>
      </c>
      <c r="H476" s="129">
        <f t="shared" si="148"/>
        <v>-0.26616006906453565</v>
      </c>
      <c r="I476" s="129">
        <f t="shared" si="148"/>
        <v>-0.67798535679587502</v>
      </c>
      <c r="J476" s="129">
        <f t="shared" si="148"/>
        <v>-1.2622495307224249</v>
      </c>
      <c r="K476" s="129">
        <f t="shared" si="148"/>
        <v>-2.0419557428692316</v>
      </c>
      <c r="L476" s="129">
        <f t="shared" si="148"/>
        <v>-3.0154045164517584</v>
      </c>
      <c r="M476" s="129">
        <f t="shared" si="148"/>
        <v>-4.1239446465627498</v>
      </c>
      <c r="N476" s="129">
        <f t="shared" si="148"/>
        <v>-5.4121462266078622</v>
      </c>
      <c r="O476" s="129">
        <f t="shared" si="148"/>
        <v>-6.9437249910154044</v>
      </c>
    </row>
    <row r="477" spans="1:19" ht="15.75">
      <c r="A477" s="3"/>
      <c r="B477" s="169"/>
      <c r="C477" s="60" t="s">
        <v>38</v>
      </c>
      <c r="D477" s="60" t="str">
        <f>INDEX(Vectors[Description], MATCH([Vector], Vectors[Code], 0))</f>
        <v>Liquid hydrocarbons</v>
      </c>
      <c r="E477" s="60"/>
      <c r="F477" s="129">
        <f t="shared" ref="F477:O477" si="149">-(F404+F407+F409+F410+F412+F414+F415+F416+F419+F420+F421+F423+F424)</f>
        <v>-454.09368433557444</v>
      </c>
      <c r="G477" s="129">
        <f t="shared" si="149"/>
        <v>-454.09368433557449</v>
      </c>
      <c r="H477" s="129">
        <f t="shared" si="149"/>
        <v>-678.07261337560954</v>
      </c>
      <c r="I477" s="129">
        <f t="shared" si="149"/>
        <v>-962.52654530537927</v>
      </c>
      <c r="J477" s="129">
        <f t="shared" si="149"/>
        <v>-1266.7058307647994</v>
      </c>
      <c r="K477" s="129">
        <f t="shared" si="149"/>
        <v>-1623.7533915151034</v>
      </c>
      <c r="L477" s="129">
        <f t="shared" si="149"/>
        <v>-2007.3237537023494</v>
      </c>
      <c r="M477" s="129">
        <f t="shared" si="149"/>
        <v>-2417.026066168391</v>
      </c>
      <c r="N477" s="129">
        <f t="shared" si="149"/>
        <v>-2864.4755252984678</v>
      </c>
      <c r="O477" s="129">
        <f t="shared" si="149"/>
        <v>-3291.2963157412687</v>
      </c>
    </row>
    <row r="478" spans="1:19" ht="15.75">
      <c r="A478" s="3"/>
      <c r="B478" s="169"/>
      <c r="C478" s="60" t="s">
        <v>39</v>
      </c>
      <c r="D478" s="60" t="str">
        <f>INDEX(Vectors[Description], MATCH([Vector], Vectors[Code], 0))</f>
        <v>Gaseous hydrocarbons</v>
      </c>
      <c r="E478" s="60"/>
      <c r="F478" s="129">
        <f t="shared" ref="F478:O478" si="150">-(F405+F408+F411+F418+F422)</f>
        <v>-9.7523560736799499</v>
      </c>
      <c r="G478" s="129">
        <f t="shared" si="150"/>
        <v>-9.7523560736799499</v>
      </c>
      <c r="H478" s="129">
        <f t="shared" si="150"/>
        <v>-18.423884493552833</v>
      </c>
      <c r="I478" s="129">
        <f t="shared" si="150"/>
        <v>-32.050013599857472</v>
      </c>
      <c r="J478" s="129">
        <f t="shared" si="150"/>
        <v>-50.311441669385388</v>
      </c>
      <c r="K478" s="129">
        <f t="shared" si="150"/>
        <v>-75.226123939036739</v>
      </c>
      <c r="L478" s="129">
        <f t="shared" si="150"/>
        <v>-105.23064632817186</v>
      </c>
      <c r="M478" s="129">
        <f t="shared" si="150"/>
        <v>-140.20383691710919</v>
      </c>
      <c r="N478" s="129">
        <f t="shared" si="150"/>
        <v>-181.1937112040963</v>
      </c>
      <c r="O478" s="129">
        <f t="shared" si="150"/>
        <v>-224.97708723974054</v>
      </c>
    </row>
    <row r="479" spans="1:19" ht="15.75">
      <c r="A479" s="3"/>
      <c r="B479" s="169"/>
      <c r="C479" s="60" t="s">
        <v>103</v>
      </c>
      <c r="D479" s="60"/>
      <c r="E479" s="60"/>
      <c r="F479" s="231">
        <f>SUBTOTAL(109,[2007])</f>
        <v>5.5067062021407764E-14</v>
      </c>
      <c r="G479" s="231">
        <f>SUBTOTAL(109,[2012])</f>
        <v>1.1191048088221578E-13</v>
      </c>
      <c r="H479" s="231">
        <f>SUBTOTAL(109,[2017])</f>
        <v>8.5265128291212022E-14</v>
      </c>
      <c r="I479" s="231">
        <f>SUBTOTAL(109,[2022])</f>
        <v>1.3500311979441904E-13</v>
      </c>
      <c r="J479" s="231">
        <f>SUBTOTAL(109,[2027])</f>
        <v>0</v>
      </c>
      <c r="K479" s="231">
        <f>SUBTOTAL(109,[2032])</f>
        <v>-1.4210854715202004E-13</v>
      </c>
      <c r="L479" s="231">
        <f>SUBTOTAL(109,[2037])</f>
        <v>-4.9737991503207013E-13</v>
      </c>
      <c r="M479" s="231">
        <f>SUBTOTAL(109,[2042])</f>
        <v>-5.1159076974727213E-13</v>
      </c>
      <c r="N479" s="231">
        <f>SUBTOTAL(109,[2047])</f>
        <v>-7.9580786405131221E-13</v>
      </c>
      <c r="O479" s="231">
        <f>SUBTOTAL(109,[2052])</f>
        <v>0</v>
      </c>
    </row>
    <row r="480" spans="1:19" ht="15.75">
      <c r="A480" s="3"/>
      <c r="B480" s="169"/>
      <c r="C480" s="60"/>
      <c r="D480" s="60"/>
      <c r="E480" s="60"/>
      <c r="F480" s="231"/>
      <c r="G480" s="231"/>
      <c r="H480" s="231"/>
      <c r="I480" s="231"/>
      <c r="J480" s="231"/>
      <c r="K480" s="231"/>
      <c r="L480" s="231"/>
      <c r="M480" s="231"/>
      <c r="N480" s="231"/>
      <c r="O480" s="231"/>
      <c r="P480" s="168"/>
    </row>
    <row r="481" spans="1:16" ht="15.75">
      <c r="A481" s="3"/>
      <c r="B481" s="169"/>
      <c r="C481" s="178" t="s">
        <v>1049</v>
      </c>
      <c r="D481" s="166"/>
      <c r="E481" s="167"/>
      <c r="F481" s="166"/>
      <c r="G481" s="167"/>
      <c r="H481" s="166"/>
      <c r="I481" s="166"/>
      <c r="J481" s="166"/>
      <c r="K481" s="166"/>
      <c r="L481" s="166"/>
      <c r="M481" s="166"/>
      <c r="N481" s="166"/>
      <c r="O481" s="167" t="str">
        <f>preferences.energyunits</f>
        <v>TWh</v>
      </c>
      <c r="P481" s="168"/>
    </row>
    <row r="482" spans="1:16" ht="7.5" customHeight="1">
      <c r="A482" s="3"/>
      <c r="B482" s="169"/>
      <c r="C482" s="166"/>
      <c r="D482" s="166"/>
      <c r="E482" s="166"/>
      <c r="F482" s="166"/>
      <c r="G482" s="166"/>
      <c r="H482" s="166"/>
      <c r="I482" s="166"/>
      <c r="J482" s="166"/>
      <c r="K482" s="166"/>
      <c r="L482" s="166"/>
      <c r="M482" s="166"/>
      <c r="N482" s="166"/>
      <c r="O482" s="166"/>
      <c r="P482" s="168"/>
    </row>
    <row r="483" spans="1:16" ht="15.75">
      <c r="A483" s="3"/>
      <c r="B483" s="169"/>
      <c r="C483" s="180" t="s">
        <v>64</v>
      </c>
      <c r="D483" s="180" t="s">
        <v>137</v>
      </c>
      <c r="E483" s="180" t="s">
        <v>156</v>
      </c>
      <c r="F483" s="901" t="s">
        <v>203</v>
      </c>
      <c r="G483" s="902" t="s">
        <v>712</v>
      </c>
      <c r="H483" s="902" t="s">
        <v>713</v>
      </c>
      <c r="I483" s="902" t="s">
        <v>714</v>
      </c>
      <c r="J483" s="902" t="s">
        <v>715</v>
      </c>
      <c r="K483" s="902" t="s">
        <v>716</v>
      </c>
      <c r="L483" s="902" t="s">
        <v>717</v>
      </c>
      <c r="M483" s="902" t="s">
        <v>718</v>
      </c>
      <c r="N483" s="902" t="s">
        <v>719</v>
      </c>
      <c r="O483" s="902" t="s">
        <v>720</v>
      </c>
      <c r="P483" s="168"/>
    </row>
    <row r="484" spans="1:16" ht="15.75">
      <c r="A484" s="3"/>
      <c r="B484" s="169"/>
      <c r="C484" s="60" t="s">
        <v>28</v>
      </c>
      <c r="D484" s="60" t="str">
        <f>INDEX(Vectors[Description], MATCH([Vector], Vectors[Code], 0))</f>
        <v>Rail transport</v>
      </c>
      <c r="E484" s="60"/>
      <c r="F484" s="129">
        <f t="shared" ref="F484:O484" si="151">F425+F426</f>
        <v>22.292841450000004</v>
      </c>
      <c r="G484" s="129">
        <f t="shared" si="151"/>
        <v>22.292841450000004</v>
      </c>
      <c r="H484" s="129">
        <f t="shared" si="151"/>
        <v>25.362240117776736</v>
      </c>
      <c r="I484" s="129">
        <f t="shared" si="151"/>
        <v>28.096495097638602</v>
      </c>
      <c r="J484" s="129">
        <f t="shared" si="151"/>
        <v>29.639376171793376</v>
      </c>
      <c r="K484" s="129">
        <f t="shared" si="151"/>
        <v>30.482222596462059</v>
      </c>
      <c r="L484" s="129">
        <f t="shared" si="151"/>
        <v>30.708667102940403</v>
      </c>
      <c r="M484" s="129">
        <f t="shared" si="151"/>
        <v>30.184551374315241</v>
      </c>
      <c r="N484" s="129">
        <f t="shared" si="151"/>
        <v>29.566786587961545</v>
      </c>
      <c r="O484" s="129">
        <f t="shared" si="151"/>
        <v>28.836046604250264</v>
      </c>
      <c r="P484" s="168"/>
    </row>
    <row r="485" spans="1:16" ht="15.75">
      <c r="A485" s="3"/>
      <c r="B485" s="169"/>
      <c r="C485" s="60" t="s">
        <v>34</v>
      </c>
      <c r="D485" s="60" t="str">
        <f>INDEX(Vectors[Description], MATCH([Vector], Vectors[Code], 0))</f>
        <v>Electricity (delivered to end user)</v>
      </c>
      <c r="E485" s="60"/>
      <c r="F485" s="129">
        <f t="shared" ref="F485:O485" si="152">-(F426)</f>
        <v>-7.7868285000000039</v>
      </c>
      <c r="G485" s="129">
        <f t="shared" si="152"/>
        <v>-7.7868285000000039</v>
      </c>
      <c r="H485" s="129">
        <f t="shared" si="152"/>
        <v>-9.7150456683602027</v>
      </c>
      <c r="I485" s="129">
        <f t="shared" si="152"/>
        <v>-11.999759226672557</v>
      </c>
      <c r="J485" s="129">
        <f t="shared" si="152"/>
        <v>-13.92086951174039</v>
      </c>
      <c r="K485" s="129">
        <f t="shared" si="152"/>
        <v>-15.936045716934357</v>
      </c>
      <c r="L485" s="129">
        <f t="shared" si="152"/>
        <v>-17.980994102502862</v>
      </c>
      <c r="M485" s="129">
        <f t="shared" si="152"/>
        <v>-19.794055963780661</v>
      </c>
      <c r="N485" s="129">
        <f t="shared" si="152"/>
        <v>-21.057870613332788</v>
      </c>
      <c r="O485" s="129">
        <f t="shared" si="152"/>
        <v>-21.296265018711868</v>
      </c>
      <c r="P485" s="168"/>
    </row>
    <row r="486" spans="1:16" ht="15.75">
      <c r="A486" s="3"/>
      <c r="B486" s="169"/>
      <c r="C486" s="60" t="s">
        <v>38</v>
      </c>
      <c r="D486" s="60" t="str">
        <f>INDEX(Vectors[Description], MATCH([Vector], Vectors[Code], 0))</f>
        <v>Liquid hydrocarbons</v>
      </c>
      <c r="E486" s="60"/>
      <c r="F486" s="129">
        <f t="shared" ref="F486:O486" si="153">-F425</f>
        <v>-14.506012950000002</v>
      </c>
      <c r="G486" s="129">
        <f t="shared" si="153"/>
        <v>-14.506012950000002</v>
      </c>
      <c r="H486" s="129">
        <f t="shared" si="153"/>
        <v>-15.647194449416531</v>
      </c>
      <c r="I486" s="129">
        <f t="shared" si="153"/>
        <v>-16.096735870966047</v>
      </c>
      <c r="J486" s="129">
        <f t="shared" si="153"/>
        <v>-15.718506660052986</v>
      </c>
      <c r="K486" s="129">
        <f t="shared" si="153"/>
        <v>-14.5461768795277</v>
      </c>
      <c r="L486" s="129">
        <f t="shared" si="153"/>
        <v>-12.727673000437539</v>
      </c>
      <c r="M486" s="129">
        <f t="shared" si="153"/>
        <v>-10.390495410534582</v>
      </c>
      <c r="N486" s="129">
        <f t="shared" si="153"/>
        <v>-8.5089159746287546</v>
      </c>
      <c r="O486" s="129">
        <f t="shared" si="153"/>
        <v>-7.5397815855383943</v>
      </c>
      <c r="P486" s="168"/>
    </row>
    <row r="487" spans="1:16" ht="15.75">
      <c r="A487" s="3"/>
      <c r="B487" s="169"/>
      <c r="C487" s="60" t="s">
        <v>103</v>
      </c>
      <c r="D487" s="60"/>
      <c r="E487" s="60"/>
      <c r="F487" s="2684">
        <f>SUBTOTAL(109,[2007])</f>
        <v>0</v>
      </c>
      <c r="G487" s="2684">
        <f>SUBTOTAL(109,[2012])</f>
        <v>0</v>
      </c>
      <c r="H487" s="2684">
        <f>SUBTOTAL(109,[2017])</f>
        <v>0</v>
      </c>
      <c r="I487" s="2684">
        <f>SUBTOTAL(109,[2022])</f>
        <v>0</v>
      </c>
      <c r="J487" s="2684">
        <f>SUBTOTAL(109,[2027])</f>
        <v>0</v>
      </c>
      <c r="K487" s="2684">
        <f>SUBTOTAL(109,[2032])</f>
        <v>0</v>
      </c>
      <c r="L487" s="2684">
        <f>SUBTOTAL(109,[2037])</f>
        <v>0</v>
      </c>
      <c r="M487" s="2684">
        <f>SUBTOTAL(109,[2042])</f>
        <v>0</v>
      </c>
      <c r="N487" s="2684">
        <f>SUBTOTAL(109,[2047])</f>
        <v>0</v>
      </c>
      <c r="O487" s="2684">
        <f>SUBTOTAL(109,[2052])</f>
        <v>0</v>
      </c>
      <c r="P487" s="168"/>
    </row>
    <row r="488" spans="1:16" ht="15.75">
      <c r="A488" s="3"/>
      <c r="B488" s="169"/>
      <c r="C488" s="60"/>
      <c r="D488" s="60"/>
      <c r="E488" s="60"/>
      <c r="F488" s="231"/>
      <c r="G488" s="231"/>
      <c r="H488" s="231"/>
      <c r="I488" s="231"/>
      <c r="J488" s="231"/>
      <c r="K488" s="231"/>
      <c r="L488" s="231"/>
      <c r="M488" s="231"/>
      <c r="N488" s="231"/>
      <c r="O488" s="231"/>
      <c r="P488" s="168"/>
    </row>
    <row r="489" spans="1:16" ht="15.75">
      <c r="A489" s="3"/>
      <c r="B489" s="169"/>
      <c r="C489" s="178" t="s">
        <v>1050</v>
      </c>
      <c r="D489" s="166"/>
      <c r="E489" s="167"/>
      <c r="F489" s="166"/>
      <c r="G489" s="167"/>
      <c r="H489" s="166"/>
      <c r="I489" s="166"/>
      <c r="J489" s="166"/>
      <c r="K489" s="166"/>
      <c r="L489" s="166"/>
      <c r="M489" s="166"/>
      <c r="N489" s="166"/>
      <c r="O489" s="167" t="str">
        <f>preferences.energyunits</f>
        <v>TWh</v>
      </c>
      <c r="P489" s="168"/>
    </row>
    <row r="490" spans="1:16" ht="7.5" customHeight="1">
      <c r="A490" s="3"/>
      <c r="B490" s="169"/>
      <c r="C490" s="166"/>
      <c r="D490" s="166"/>
      <c r="E490" s="166"/>
      <c r="F490" s="166"/>
      <c r="G490" s="166"/>
      <c r="H490" s="166"/>
      <c r="I490" s="166"/>
      <c r="J490" s="166"/>
      <c r="K490" s="166"/>
      <c r="L490" s="166"/>
      <c r="M490" s="166"/>
      <c r="N490" s="166"/>
      <c r="O490" s="166"/>
      <c r="P490" s="168"/>
    </row>
    <row r="491" spans="1:16" ht="15.75">
      <c r="A491" s="3"/>
      <c r="B491" s="169"/>
      <c r="C491" s="180" t="s">
        <v>64</v>
      </c>
      <c r="D491" s="180" t="s">
        <v>137</v>
      </c>
      <c r="E491" s="180" t="s">
        <v>156</v>
      </c>
      <c r="F491" s="901" t="s">
        <v>203</v>
      </c>
      <c r="G491" s="902" t="s">
        <v>712</v>
      </c>
      <c r="H491" s="902" t="s">
        <v>713</v>
      </c>
      <c r="I491" s="902" t="s">
        <v>714</v>
      </c>
      <c r="J491" s="902" t="s">
        <v>715</v>
      </c>
      <c r="K491" s="902" t="s">
        <v>716</v>
      </c>
      <c r="L491" s="902" t="s">
        <v>717</v>
      </c>
      <c r="M491" s="902" t="s">
        <v>718</v>
      </c>
      <c r="N491" s="902" t="s">
        <v>719</v>
      </c>
      <c r="O491" s="902" t="s">
        <v>720</v>
      </c>
      <c r="P491" s="168"/>
    </row>
    <row r="492" spans="1:16" ht="15.75">
      <c r="A492" s="3"/>
      <c r="B492" s="169"/>
      <c r="C492" s="60" t="s">
        <v>29</v>
      </c>
      <c r="D492" s="60" t="str">
        <f>INDEX(Vectors[Description], MATCH([Vector], Vectors[Code], 0))</f>
        <v>Domestic aviation</v>
      </c>
      <c r="E492" s="60"/>
      <c r="F492" s="129">
        <f>F465</f>
        <v>19.354161061850885</v>
      </c>
      <c r="G492" s="129">
        <f t="shared" ref="G492:O492" si="154">G465</f>
        <v>19.354161061850885</v>
      </c>
      <c r="H492" s="129">
        <f t="shared" si="154"/>
        <v>34.564360976704798</v>
      </c>
      <c r="I492" s="129">
        <f t="shared" si="154"/>
        <v>56.648230396135439</v>
      </c>
      <c r="J492" s="129">
        <f t="shared" si="154"/>
        <v>84.497546291515135</v>
      </c>
      <c r="K492" s="129">
        <f t="shared" si="154"/>
        <v>119.05137810641801</v>
      </c>
      <c r="L492" s="129">
        <f t="shared" si="154"/>
        <v>159.65898118426375</v>
      </c>
      <c r="M492" s="129">
        <f t="shared" si="154"/>
        <v>203.15945707769581</v>
      </c>
      <c r="N492" s="129">
        <f t="shared" si="154"/>
        <v>251.90606931336461</v>
      </c>
      <c r="O492" s="129">
        <f t="shared" si="154"/>
        <v>308.54143863315306</v>
      </c>
      <c r="P492" s="168"/>
    </row>
    <row r="493" spans="1:16" ht="15.75">
      <c r="A493" s="3"/>
      <c r="B493" s="169"/>
      <c r="C493" s="60" t="s">
        <v>38</v>
      </c>
      <c r="D493" s="60" t="str">
        <f>INDEX(Vectors[Description], MATCH([Vector], Vectors[Code], 0))</f>
        <v>Liquid hydrocarbons</v>
      </c>
      <c r="E493" s="60"/>
      <c r="F493" s="129">
        <f t="shared" ref="F493:O493" si="155">-F427</f>
        <v>-19.354161061850885</v>
      </c>
      <c r="G493" s="129">
        <f t="shared" si="155"/>
        <v>-19.354161061850885</v>
      </c>
      <c r="H493" s="129">
        <f t="shared" si="155"/>
        <v>-34.564360976704798</v>
      </c>
      <c r="I493" s="129">
        <f t="shared" si="155"/>
        <v>-56.648230396135439</v>
      </c>
      <c r="J493" s="129">
        <f t="shared" si="155"/>
        <v>-84.497546291515135</v>
      </c>
      <c r="K493" s="129">
        <f t="shared" si="155"/>
        <v>-119.05137810641801</v>
      </c>
      <c r="L493" s="129">
        <f t="shared" si="155"/>
        <v>-159.65898118426375</v>
      </c>
      <c r="M493" s="129">
        <f t="shared" si="155"/>
        <v>-203.15945707769581</v>
      </c>
      <c r="N493" s="129">
        <f t="shared" si="155"/>
        <v>-251.90606931336461</v>
      </c>
      <c r="O493" s="129">
        <f t="shared" si="155"/>
        <v>-308.54143863315306</v>
      </c>
      <c r="P493" s="168"/>
    </row>
    <row r="494" spans="1:16" ht="15.75">
      <c r="A494" s="3"/>
      <c r="B494" s="169"/>
      <c r="C494" s="60" t="s">
        <v>103</v>
      </c>
      <c r="D494" s="60"/>
      <c r="E494" s="60"/>
      <c r="F494" s="2684">
        <f>SUBTOTAL(109,[2007])</f>
        <v>0</v>
      </c>
      <c r="G494" s="2684">
        <f>SUBTOTAL(109,[2012])</f>
        <v>0</v>
      </c>
      <c r="H494" s="2684">
        <f>SUBTOTAL(109,[2017])</f>
        <v>0</v>
      </c>
      <c r="I494" s="2684">
        <f>SUBTOTAL(109,[2022])</f>
        <v>0</v>
      </c>
      <c r="J494" s="2684">
        <f>SUBTOTAL(109,[2027])</f>
        <v>0</v>
      </c>
      <c r="K494" s="2684">
        <f>SUBTOTAL(109,[2032])</f>
        <v>0</v>
      </c>
      <c r="L494" s="2684">
        <f>SUBTOTAL(109,[2037])</f>
        <v>0</v>
      </c>
      <c r="M494" s="2684">
        <f>SUBTOTAL(109,[2042])</f>
        <v>0</v>
      </c>
      <c r="N494" s="2684">
        <f>SUBTOTAL(109,[2047])</f>
        <v>0</v>
      </c>
      <c r="O494" s="2684">
        <f>SUBTOTAL(109,[2052])</f>
        <v>0</v>
      </c>
      <c r="P494" s="168"/>
    </row>
    <row r="495" spans="1:16" ht="15.75">
      <c r="A495" s="3"/>
      <c r="B495" s="169"/>
      <c r="C495" s="60"/>
      <c r="D495" s="60"/>
      <c r="E495" s="60"/>
      <c r="F495" s="231"/>
      <c r="G495" s="231"/>
      <c r="H495" s="231"/>
      <c r="I495" s="231"/>
      <c r="J495" s="231"/>
      <c r="K495" s="231"/>
      <c r="L495" s="231"/>
      <c r="M495" s="231"/>
      <c r="N495" s="231"/>
      <c r="O495" s="231"/>
      <c r="P495" s="168"/>
    </row>
    <row r="496" spans="1:16" ht="15.75">
      <c r="A496" s="3"/>
      <c r="B496" s="169"/>
      <c r="C496" s="171"/>
      <c r="D496" s="171"/>
      <c r="E496" s="171"/>
      <c r="F496" s="171"/>
      <c r="G496" s="171"/>
      <c r="H496" s="171"/>
      <c r="I496" s="171"/>
      <c r="J496" s="171"/>
      <c r="K496" s="171"/>
      <c r="L496" s="171"/>
      <c r="M496" s="171"/>
      <c r="N496" s="171"/>
      <c r="O496" s="171"/>
      <c r="P496" s="173"/>
    </row>
    <row r="497" spans="1:16" ht="15.75">
      <c r="B497" s="169"/>
    </row>
    <row r="498" spans="1:16" ht="22.5">
      <c r="A498" s="420"/>
      <c r="B498" s="169"/>
      <c r="C498" s="183"/>
      <c r="D498" s="184"/>
      <c r="E498" s="184"/>
      <c r="F498" s="184"/>
      <c r="G498" s="184"/>
      <c r="H498" s="184"/>
      <c r="I498" s="184"/>
      <c r="J498" s="184"/>
      <c r="K498" s="184"/>
      <c r="L498" s="184"/>
      <c r="M498" s="184"/>
      <c r="N498" s="184"/>
      <c r="O498" s="184"/>
      <c r="P498" s="185"/>
    </row>
    <row r="499" spans="1:16" ht="15.75">
      <c r="B499" s="170"/>
      <c r="C499" s="191"/>
      <c r="D499" s="191"/>
      <c r="E499" s="191"/>
      <c r="F499" s="191"/>
      <c r="G499" s="191"/>
      <c r="H499" s="191"/>
      <c r="I499" s="191"/>
      <c r="J499" s="191"/>
      <c r="K499" s="191"/>
      <c r="L499" s="191"/>
      <c r="M499" s="191"/>
      <c r="N499" s="191"/>
      <c r="O499" s="191"/>
      <c r="P499" s="192"/>
    </row>
    <row r="500" spans="1:16" ht="14.25">
      <c r="C500" s="186" t="s">
        <v>1208</v>
      </c>
      <c r="D500" s="187"/>
      <c r="E500" s="188"/>
      <c r="F500" s="187"/>
      <c r="G500" s="188"/>
      <c r="H500" s="187"/>
      <c r="I500" s="187"/>
      <c r="J500" s="187"/>
      <c r="K500" s="187"/>
      <c r="L500" s="187"/>
      <c r="M500" s="187"/>
      <c r="N500" s="187"/>
      <c r="O500" s="188" t="s">
        <v>368</v>
      </c>
      <c r="P500" s="194"/>
    </row>
    <row r="501" spans="1:16" ht="5.25" customHeight="1">
      <c r="B501" s="216" t="s">
        <v>281</v>
      </c>
      <c r="C501" s="187"/>
      <c r="D501" s="187"/>
      <c r="E501" s="187"/>
      <c r="F501" s="187"/>
      <c r="G501" s="187"/>
      <c r="H501" s="187"/>
      <c r="I501" s="187"/>
      <c r="J501" s="187"/>
      <c r="K501" s="187"/>
      <c r="L501" s="187"/>
      <c r="M501" s="187"/>
      <c r="N501" s="187"/>
      <c r="O501" s="187"/>
      <c r="P501" s="194"/>
    </row>
    <row r="502" spans="1:16">
      <c r="B502" s="190"/>
      <c r="C502" s="221" t="s">
        <v>365</v>
      </c>
      <c r="D502" s="221" t="s">
        <v>337</v>
      </c>
      <c r="E502" s="221" t="s">
        <v>156</v>
      </c>
      <c r="F502" s="901" t="s">
        <v>203</v>
      </c>
      <c r="G502" s="902" t="s">
        <v>712</v>
      </c>
      <c r="H502" s="902" t="s">
        <v>713</v>
      </c>
      <c r="I502" s="902" t="s">
        <v>714</v>
      </c>
      <c r="J502" s="902" t="s">
        <v>715</v>
      </c>
      <c r="K502" s="902" t="s">
        <v>716</v>
      </c>
      <c r="L502" s="902" t="s">
        <v>717</v>
      </c>
      <c r="M502" s="902" t="s">
        <v>718</v>
      </c>
      <c r="N502" s="902" t="s">
        <v>719</v>
      </c>
      <c r="O502" s="902" t="s">
        <v>720</v>
      </c>
      <c r="P502" s="194"/>
    </row>
    <row r="503" spans="1:16">
      <c r="B503" s="193"/>
      <c r="C503" s="189" t="s">
        <v>350</v>
      </c>
      <c r="D503" s="196" t="s">
        <v>359</v>
      </c>
      <c r="E503" s="189" t="str">
        <f>INDEX(IPCC[Sector_description], MATCH([IPCC Sector], IPCC[Sector_code], 0))</f>
        <v>Fuel Combustion</v>
      </c>
      <c r="F503" s="197">
        <f t="shared" ref="F503:O505" si="156">F452</f>
        <v>132.08920545584482</v>
      </c>
      <c r="G503" s="197">
        <f t="shared" si="156"/>
        <v>132.08920545584485</v>
      </c>
      <c r="H503" s="197">
        <f t="shared" si="156"/>
        <v>197.91624246101867</v>
      </c>
      <c r="I503" s="197">
        <f t="shared" si="156"/>
        <v>282.50801383412971</v>
      </c>
      <c r="J503" s="197">
        <f t="shared" si="156"/>
        <v>374.60018732986288</v>
      </c>
      <c r="K503" s="197">
        <f t="shared" si="156"/>
        <v>483.69369511613525</v>
      </c>
      <c r="L503" s="197">
        <f t="shared" si="156"/>
        <v>602.31641650693882</v>
      </c>
      <c r="M503" s="197">
        <f t="shared" si="156"/>
        <v>729.53091525470302</v>
      </c>
      <c r="N503" s="197">
        <f t="shared" si="156"/>
        <v>869.53127632109579</v>
      </c>
      <c r="O503" s="197">
        <f t="shared" si="156"/>
        <v>1006.9327281413277</v>
      </c>
      <c r="P503" s="194"/>
    </row>
    <row r="504" spans="1:16">
      <c r="B504" s="193"/>
      <c r="C504" s="189" t="s">
        <v>351</v>
      </c>
      <c r="D504" s="196" t="s">
        <v>359</v>
      </c>
      <c r="E504" s="189" t="str">
        <f>INDEX(IPCC[Sector_description], MATCH([IPCC Sector], IPCC[Sector_code], 0))</f>
        <v>Fuel Combustion</v>
      </c>
      <c r="F504" s="197">
        <f t="shared" si="156"/>
        <v>0</v>
      </c>
      <c r="G504" s="197">
        <f t="shared" si="156"/>
        <v>0</v>
      </c>
      <c r="H504" s="197">
        <f t="shared" si="156"/>
        <v>0</v>
      </c>
      <c r="I504" s="197">
        <f t="shared" si="156"/>
        <v>0</v>
      </c>
      <c r="J504" s="197">
        <f t="shared" si="156"/>
        <v>0</v>
      </c>
      <c r="K504" s="197">
        <f t="shared" si="156"/>
        <v>0</v>
      </c>
      <c r="L504" s="197">
        <f t="shared" si="156"/>
        <v>0</v>
      </c>
      <c r="M504" s="197">
        <f t="shared" si="156"/>
        <v>0</v>
      </c>
      <c r="N504" s="197">
        <f t="shared" si="156"/>
        <v>0</v>
      </c>
      <c r="O504" s="197">
        <f t="shared" si="156"/>
        <v>0</v>
      </c>
      <c r="P504" s="194"/>
    </row>
    <row r="505" spans="1:16" ht="15.75">
      <c r="B505" s="195"/>
      <c r="C505" s="189" t="s">
        <v>352</v>
      </c>
      <c r="D505" s="196" t="s">
        <v>359</v>
      </c>
      <c r="E505" s="189" t="str">
        <f>INDEX(IPCC[Sector_description], MATCH([IPCC Sector], IPCC[Sector_code], 0))</f>
        <v>Fuel Combustion</v>
      </c>
      <c r="F505" s="197">
        <f t="shared" si="156"/>
        <v>0</v>
      </c>
      <c r="G505" s="197">
        <f t="shared" si="156"/>
        <v>0</v>
      </c>
      <c r="H505" s="197">
        <f t="shared" si="156"/>
        <v>0</v>
      </c>
      <c r="I505" s="197">
        <f t="shared" si="156"/>
        <v>0</v>
      </c>
      <c r="J505" s="197">
        <f t="shared" si="156"/>
        <v>0</v>
      </c>
      <c r="K505" s="197">
        <f t="shared" si="156"/>
        <v>0</v>
      </c>
      <c r="L505" s="197">
        <f t="shared" si="156"/>
        <v>0</v>
      </c>
      <c r="M505" s="197">
        <f t="shared" si="156"/>
        <v>0</v>
      </c>
      <c r="N505" s="197">
        <f t="shared" si="156"/>
        <v>0</v>
      </c>
      <c r="O505" s="197">
        <f t="shared" si="156"/>
        <v>0</v>
      </c>
      <c r="P505" s="194"/>
    </row>
    <row r="506" spans="1:16" ht="15.75">
      <c r="B506" s="195"/>
      <c r="C506" s="189" t="s">
        <v>103</v>
      </c>
      <c r="D506" s="189"/>
      <c r="E506" s="189"/>
      <c r="F506" s="2343">
        <f>SUBTOTAL(109,[2007])</f>
        <v>132.08920545584482</v>
      </c>
      <c r="G506" s="2343">
        <f>SUBTOTAL(109,[2012])</f>
        <v>132.08920545584485</v>
      </c>
      <c r="H506" s="2343">
        <f>SUBTOTAL(109,[2017])</f>
        <v>197.91624246101867</v>
      </c>
      <c r="I506" s="2343">
        <f>SUBTOTAL(109,[2022])</f>
        <v>282.50801383412971</v>
      </c>
      <c r="J506" s="2343">
        <f>SUBTOTAL(109,[2027])</f>
        <v>374.60018732986288</v>
      </c>
      <c r="K506" s="2343">
        <f>SUBTOTAL(109,[2032])</f>
        <v>483.69369511613525</v>
      </c>
      <c r="L506" s="2343">
        <f>SUBTOTAL(109,[2037])</f>
        <v>602.31641650693882</v>
      </c>
      <c r="M506" s="2343">
        <f>SUBTOTAL(109,[2042])</f>
        <v>729.53091525470302</v>
      </c>
      <c r="N506" s="2343">
        <f>SUBTOTAL(109,[2047])</f>
        <v>869.53127632109579</v>
      </c>
      <c r="O506" s="2343">
        <f>SUBTOTAL(109,[2052])</f>
        <v>1006.9327281413277</v>
      </c>
      <c r="P506" s="194"/>
    </row>
    <row r="507" spans="1:16" ht="15.75">
      <c r="B507" s="195"/>
      <c r="C507" s="189"/>
      <c r="D507" s="189"/>
      <c r="E507" s="189"/>
      <c r="F507" s="223"/>
      <c r="G507" s="223"/>
      <c r="H507" s="223"/>
      <c r="I507" s="223"/>
      <c r="J507" s="223"/>
      <c r="K507" s="223"/>
      <c r="L507" s="223"/>
      <c r="M507" s="223"/>
      <c r="N507" s="223"/>
      <c r="O507" s="223"/>
      <c r="P507" s="194"/>
    </row>
    <row r="508" spans="1:16" ht="15.75">
      <c r="B508" s="195"/>
      <c r="C508" s="186" t="s">
        <v>961</v>
      </c>
      <c r="D508" s="187"/>
      <c r="E508" s="188"/>
      <c r="F508" s="187"/>
      <c r="G508" s="188"/>
      <c r="H508" s="187"/>
      <c r="I508" s="187"/>
      <c r="J508" s="187"/>
      <c r="K508" s="187"/>
      <c r="L508" s="187"/>
      <c r="M508" s="187"/>
      <c r="N508" s="187"/>
      <c r="O508" s="188" t="s">
        <v>368</v>
      </c>
      <c r="P508" s="194"/>
    </row>
    <row r="509" spans="1:16" ht="15.75">
      <c r="B509" s="195"/>
      <c r="C509" s="187"/>
      <c r="D509" s="187"/>
      <c r="E509" s="187"/>
      <c r="F509" s="187"/>
      <c r="G509" s="187"/>
      <c r="H509" s="187"/>
      <c r="I509" s="187"/>
      <c r="J509" s="187"/>
      <c r="K509" s="187"/>
      <c r="L509" s="187"/>
      <c r="M509" s="187"/>
      <c r="N509" s="187"/>
      <c r="O509" s="187"/>
      <c r="P509" s="194"/>
    </row>
    <row r="510" spans="1:16" ht="15.75">
      <c r="B510" s="195"/>
      <c r="C510" s="1836" t="s">
        <v>365</v>
      </c>
      <c r="D510" s="1836" t="s">
        <v>337</v>
      </c>
      <c r="E510" s="1836" t="s">
        <v>156</v>
      </c>
      <c r="F510" s="1331" t="s">
        <v>203</v>
      </c>
      <c r="G510" s="1332" t="s">
        <v>712</v>
      </c>
      <c r="H510" s="1332" t="s">
        <v>713</v>
      </c>
      <c r="I510" s="1332" t="s">
        <v>714</v>
      </c>
      <c r="J510" s="1332" t="s">
        <v>715</v>
      </c>
      <c r="K510" s="1332" t="s">
        <v>716</v>
      </c>
      <c r="L510" s="1332" t="s">
        <v>717</v>
      </c>
      <c r="M510" s="1332" t="s">
        <v>718</v>
      </c>
      <c r="N510" s="1332" t="s">
        <v>719</v>
      </c>
      <c r="O510" s="1332" t="s">
        <v>720</v>
      </c>
      <c r="P510" s="194"/>
    </row>
    <row r="511" spans="1:16" ht="15.75">
      <c r="B511" s="195"/>
      <c r="C511" s="1829" t="s">
        <v>350</v>
      </c>
      <c r="D511" s="1830" t="s">
        <v>359</v>
      </c>
      <c r="E511" s="189" t="str">
        <f>INDEX(IPCC[Sector_description], MATCH([IPCC Sector], IPCC[Sector_code], 0))</f>
        <v>Fuel Combustion</v>
      </c>
      <c r="F511" s="1831">
        <f>-(F$477*INDEX(EF[CO2], MATCH("V.04", EF[Vector], 0))+F$478*INDEX(EF[CO2], MATCH("V.05", EF[Vector], 0)))</f>
        <v>123.05788475208197</v>
      </c>
      <c r="G511" s="1831">
        <f>-(G$477*INDEX(EF[CO2], MATCH("V.04", EF[Vector], 0))+G$478*INDEX(EF[CO2], MATCH("V.05", EF[Vector], 0)))</f>
        <v>123.057884752082</v>
      </c>
      <c r="H511" s="1831">
        <f>-(H$477*INDEX(EF[CO2], MATCH("V.04", EF[Vector], 0))+H$478*INDEX(EF[CO2], MATCH("V.05", EF[Vector], 0)))</f>
        <v>184.5236160696318</v>
      </c>
      <c r="I511" s="1831">
        <f>-(I$477*INDEX(EF[CO2], MATCH("V.04", EF[Vector], 0))+I$478*INDEX(EF[CO2], MATCH("V.05", EF[Vector], 0)))</f>
        <v>263.10518620209626</v>
      </c>
      <c r="J511" s="1831">
        <f>-(J$477*INDEX(EF[CO2], MATCH("V.04", EF[Vector], 0))+J$478*INDEX(EF[CO2], MATCH("V.05", EF[Vector], 0)))</f>
        <v>347.87016185645228</v>
      </c>
      <c r="K511" s="1831">
        <f>-(K$477*INDEX(EF[CO2], MATCH("V.04", EF[Vector], 0))+K$478*INDEX(EF[CO2], MATCH("V.05", EF[Vector], 0)))</f>
        <v>448.06002223854244</v>
      </c>
      <c r="L511" s="1831">
        <f>-(L$477*INDEX(EF[CO2], MATCH("V.04", EF[Vector], 0))+L$478*INDEX(EF[CO2], MATCH("V.05", EF[Vector], 0)))</f>
        <v>556.33676033488871</v>
      </c>
      <c r="M511" s="1831">
        <f>-(M$477*INDEX(EF[CO2], MATCH("V.04", EF[Vector], 0))+M$478*INDEX(EF[CO2], MATCH("V.05", EF[Vector], 0)))</f>
        <v>672.57201993067122</v>
      </c>
      <c r="N511" s="1831">
        <f>-(N$477*INDEX(EF[CO2], MATCH("V.04", EF[Vector], 0))+N$478*INDEX(EF[CO2], MATCH("V.05", EF[Vector], 0)))</f>
        <v>800.07235247214032</v>
      </c>
      <c r="O511" s="1831">
        <f>-(O$477*INDEX(EF[CO2], MATCH("V.04", EF[Vector], 0))+O$478*INDEX(EF[CO2], MATCH("V.05", EF[Vector], 0)))</f>
        <v>922.62628402108885</v>
      </c>
      <c r="P511" s="194"/>
    </row>
    <row r="512" spans="1:16" ht="15.75">
      <c r="B512" s="195"/>
      <c r="C512" s="189" t="s">
        <v>351</v>
      </c>
      <c r="D512" s="196" t="s">
        <v>359</v>
      </c>
      <c r="E512" s="189" t="str">
        <f>INDEX(IPCC[Sector_description], MATCH([IPCC Sector], IPCC[Sector_code], 0))</f>
        <v>Fuel Combustion</v>
      </c>
      <c r="F512" s="1828">
        <f>-(F$477*INDEX(EF[CH4], MATCH("V.04", EF[Vector], 0))+F$478*INDEX(EF[CH4], MATCH("V.05", EF[Vector], 0)))</f>
        <v>0</v>
      </c>
      <c r="G512" s="1828">
        <f>-(G$477*INDEX(EF[CH4], MATCH("V.04", EF[Vector], 0))+G$478*INDEX(EF[CH4], MATCH("V.05", EF[Vector], 0)))</f>
        <v>0</v>
      </c>
      <c r="H512" s="1828">
        <f>-(H$477*INDEX(EF[CH4], MATCH("V.04", EF[Vector], 0))+H$478*INDEX(EF[CH4], MATCH("V.05", EF[Vector], 0)))</f>
        <v>0</v>
      </c>
      <c r="I512" s="1828">
        <f>-(I$477*INDEX(EF[CH4], MATCH("V.04", EF[Vector], 0))+I$478*INDEX(EF[CH4], MATCH("V.05", EF[Vector], 0)))</f>
        <v>0</v>
      </c>
      <c r="J512" s="1828">
        <f>-(J$477*INDEX(EF[CH4], MATCH("V.04", EF[Vector], 0))+J$478*INDEX(EF[CH4], MATCH("V.05", EF[Vector], 0)))</f>
        <v>0</v>
      </c>
      <c r="K512" s="1828">
        <f>-(K$477*INDEX(EF[CH4], MATCH("V.04", EF[Vector], 0))+K$478*INDEX(EF[CH4], MATCH("V.05", EF[Vector], 0)))</f>
        <v>0</v>
      </c>
      <c r="L512" s="1828">
        <f>-(L$477*INDEX(EF[CH4], MATCH("V.04", EF[Vector], 0))+L$478*INDEX(EF[CH4], MATCH("V.05", EF[Vector], 0)))</f>
        <v>0</v>
      </c>
      <c r="M512" s="1828">
        <f>-(M$477*INDEX(EF[CH4], MATCH("V.04", EF[Vector], 0))+M$478*INDEX(EF[CH4], MATCH("V.05", EF[Vector], 0)))</f>
        <v>0</v>
      </c>
      <c r="N512" s="1828">
        <f>-(N$477*INDEX(EF[CH4], MATCH("V.04", EF[Vector], 0))+N$478*INDEX(EF[CH4], MATCH("V.05", EF[Vector], 0)))</f>
        <v>0</v>
      </c>
      <c r="O512" s="1828">
        <f>-(O$477*INDEX(EF[CH4], MATCH("V.04", EF[Vector], 0))+O$478*INDEX(EF[CH4], MATCH("V.05", EF[Vector], 0)))</f>
        <v>0</v>
      </c>
      <c r="P512" s="194"/>
    </row>
    <row r="513" spans="2:16" ht="15.75">
      <c r="B513" s="195"/>
      <c r="C513" s="189" t="s">
        <v>352</v>
      </c>
      <c r="D513" s="196" t="s">
        <v>359</v>
      </c>
      <c r="E513" s="189" t="str">
        <f>INDEX(IPCC[Sector_description], MATCH([IPCC Sector], IPCC[Sector_code], 0))</f>
        <v>Fuel Combustion</v>
      </c>
      <c r="F513" s="1827">
        <f>-(F$477*INDEX(EF[N2O], MATCH("V.04", EF[Vector], 0))+F$478*INDEX(EF[N2O], MATCH("V.05", EF[Vector], 0)))</f>
        <v>0</v>
      </c>
      <c r="G513" s="1827">
        <f>-(G$477*INDEX(EF[N2O], MATCH("V.04", EF[Vector], 0))+G$478*INDEX(EF[N2O], MATCH("V.05", EF[Vector], 0)))</f>
        <v>0</v>
      </c>
      <c r="H513" s="1827">
        <f>-(H$477*INDEX(EF[N2O], MATCH("V.04", EF[Vector], 0))+H$478*INDEX(EF[N2O], MATCH("V.05", EF[Vector], 0)))</f>
        <v>0</v>
      </c>
      <c r="I513" s="1827">
        <f>-(I$477*INDEX(EF[N2O], MATCH("V.04", EF[Vector], 0))+I$478*INDEX(EF[N2O], MATCH("V.05", EF[Vector], 0)))</f>
        <v>0</v>
      </c>
      <c r="J513" s="1827">
        <f>-(J$477*INDEX(EF[N2O], MATCH("V.04", EF[Vector], 0))+J$478*INDEX(EF[N2O], MATCH("V.05", EF[Vector], 0)))</f>
        <v>0</v>
      </c>
      <c r="K513" s="1827">
        <f>-(K$477*INDEX(EF[N2O], MATCH("V.04", EF[Vector], 0))+K$478*INDEX(EF[N2O], MATCH("V.05", EF[Vector], 0)))</f>
        <v>0</v>
      </c>
      <c r="L513" s="1827">
        <f>-(L$477*INDEX(EF[N2O], MATCH("V.04", EF[Vector], 0))+L$478*INDEX(EF[N2O], MATCH("V.05", EF[Vector], 0)))</f>
        <v>0</v>
      </c>
      <c r="M513" s="1827">
        <f>-(M$477*INDEX(EF[N2O], MATCH("V.04", EF[Vector], 0))+M$478*INDEX(EF[N2O], MATCH("V.05", EF[Vector], 0)))</f>
        <v>0</v>
      </c>
      <c r="N513" s="1827">
        <f>-(N$477*INDEX(EF[N2O], MATCH("V.04", EF[Vector], 0))+N$478*INDEX(EF[N2O], MATCH("V.05", EF[Vector], 0)))</f>
        <v>0</v>
      </c>
      <c r="O513" s="1827">
        <f>-(O$477*INDEX(EF[N2O], MATCH("V.04", EF[Vector], 0))+O$478*INDEX(EF[N2O], MATCH("V.05", EF[Vector], 0)))</f>
        <v>0</v>
      </c>
      <c r="P513" s="194"/>
    </row>
    <row r="514" spans="2:16" ht="15.75">
      <c r="B514" s="195"/>
      <c r="C514" s="1833" t="s">
        <v>103</v>
      </c>
      <c r="D514" s="1833"/>
      <c r="E514" s="1833"/>
      <c r="F514" s="1834">
        <f>SUBTOTAL(109,XII.a!$F$511:$F$513)</f>
        <v>123.05788475208197</v>
      </c>
      <c r="G514" s="1834">
        <f>SUBTOTAL(109,XII.a!$G$511:$G$513)</f>
        <v>123.057884752082</v>
      </c>
      <c r="H514" s="1834">
        <f>SUBTOTAL(109,XII.a!$H$511:$H$513)</f>
        <v>184.5236160696318</v>
      </c>
      <c r="I514" s="1834">
        <f>SUBTOTAL(109,XII.a!$I$511:$I$513)</f>
        <v>263.10518620209626</v>
      </c>
      <c r="J514" s="1834">
        <f>SUBTOTAL(109,XII.a!$J$511:$J$513)</f>
        <v>347.87016185645228</v>
      </c>
      <c r="K514" s="1834">
        <f>SUBTOTAL(109,XII.a!$K$511:$K$513)</f>
        <v>448.06002223854244</v>
      </c>
      <c r="L514" s="1834">
        <f>SUBTOTAL(109,XII.a!$L$511:$L$513)</f>
        <v>556.33676033488871</v>
      </c>
      <c r="M514" s="1834">
        <f>SUBTOTAL(109,XII.a!$M$511:$M$513)</f>
        <v>672.57201993067122</v>
      </c>
      <c r="N514" s="1834">
        <f>SUBTOTAL(109,XII.a!$N$511:$N$513)</f>
        <v>800.07235247214032</v>
      </c>
      <c r="O514" s="1834">
        <f>SUBTOTAL(109,XII.a!$O$511:$O$513)</f>
        <v>922.62628402108885</v>
      </c>
      <c r="P514" s="194"/>
    </row>
    <row r="515" spans="2:16" ht="15.75">
      <c r="B515" s="195"/>
      <c r="C515" s="189"/>
      <c r="D515" s="189"/>
      <c r="E515" s="189"/>
      <c r="F515" s="223"/>
      <c r="G515" s="223"/>
      <c r="H515" s="223"/>
      <c r="I515" s="223"/>
      <c r="J515" s="223"/>
      <c r="K515" s="223"/>
      <c r="L515" s="223"/>
      <c r="M515" s="223"/>
      <c r="N515" s="223"/>
      <c r="O515" s="223"/>
      <c r="P515" s="194"/>
    </row>
    <row r="516" spans="2:16" ht="15.75">
      <c r="B516" s="195"/>
      <c r="C516" s="186" t="s">
        <v>962</v>
      </c>
      <c r="D516" s="187"/>
      <c r="E516" s="188"/>
      <c r="F516" s="187"/>
      <c r="G516" s="188"/>
      <c r="H516" s="187"/>
      <c r="I516" s="187"/>
      <c r="J516" s="187"/>
      <c r="K516" s="187"/>
      <c r="L516" s="187"/>
      <c r="M516" s="187"/>
      <c r="N516" s="187"/>
      <c r="O516" s="188" t="s">
        <v>368</v>
      </c>
      <c r="P516" s="194"/>
    </row>
    <row r="517" spans="2:16" ht="15.75">
      <c r="B517" s="195"/>
      <c r="C517" s="187"/>
      <c r="D517" s="187"/>
      <c r="E517" s="187"/>
      <c r="F517" s="187"/>
      <c r="G517" s="187"/>
      <c r="H517" s="187"/>
      <c r="I517" s="187"/>
      <c r="J517" s="187"/>
      <c r="K517" s="187"/>
      <c r="L517" s="187"/>
      <c r="M517" s="187"/>
      <c r="N517" s="187"/>
      <c r="O517" s="187"/>
      <c r="P517" s="194"/>
    </row>
    <row r="518" spans="2:16" ht="15.75">
      <c r="B518" s="195"/>
      <c r="C518" s="1836" t="s">
        <v>365</v>
      </c>
      <c r="D518" s="1836" t="s">
        <v>337</v>
      </c>
      <c r="E518" s="1836" t="s">
        <v>156</v>
      </c>
      <c r="F518" s="1331" t="s">
        <v>203</v>
      </c>
      <c r="G518" s="1332" t="s">
        <v>712</v>
      </c>
      <c r="H518" s="1332" t="s">
        <v>713</v>
      </c>
      <c r="I518" s="1332" t="s">
        <v>714</v>
      </c>
      <c r="J518" s="1332" t="s">
        <v>715</v>
      </c>
      <c r="K518" s="1332" t="s">
        <v>716</v>
      </c>
      <c r="L518" s="1332" t="s">
        <v>717</v>
      </c>
      <c r="M518" s="1332" t="s">
        <v>718</v>
      </c>
      <c r="N518" s="1332" t="s">
        <v>719</v>
      </c>
      <c r="O518" s="1332" t="s">
        <v>720</v>
      </c>
      <c r="P518" s="194"/>
    </row>
    <row r="519" spans="2:16" ht="15.75">
      <c r="B519" s="195"/>
      <c r="C519" s="1829" t="s">
        <v>350</v>
      </c>
      <c r="D519" s="1830" t="s">
        <v>359</v>
      </c>
      <c r="E519" s="189" t="str">
        <f>INDEX(IPCC[Sector_description], MATCH([IPCC Sector], IPCC[Sector_code], 0))</f>
        <v>Fuel Combustion</v>
      </c>
      <c r="F519" s="1832">
        <f>-(F$486*INDEX(EF[CO2],MATCH("V.04",EF[Vector],0)))</f>
        <v>3.8691016484006879</v>
      </c>
      <c r="G519" s="1832">
        <f>-(G$486*INDEX(EF[CO2],MATCH("V.04",EF[Vector],0)))</f>
        <v>3.8691016484006879</v>
      </c>
      <c r="H519" s="1832">
        <f>-(H$486*INDEX(EF[CO2],MATCH("V.04",EF[Vector],0)))</f>
        <v>4.1734821308761889</v>
      </c>
      <c r="I519" s="1832">
        <f>-(I$486*INDEX(EF[CO2],MATCH("V.04",EF[Vector],0)))</f>
        <v>4.2933856123591294</v>
      </c>
      <c r="J519" s="1832">
        <f>-(J$486*INDEX(EF[CO2],MATCH("V.04",EF[Vector],0)))</f>
        <v>4.1925028082101772</v>
      </c>
      <c r="K519" s="1832">
        <f>-(K$486*INDEX(EF[CO2],MATCH("V.04",EF[Vector],0)))</f>
        <v>3.8798143319256164</v>
      </c>
      <c r="L519" s="1832">
        <f>-(L$486*INDEX(EF[CO2],MATCH("V.04",EF[Vector],0)))</f>
        <v>3.394775722042755</v>
      </c>
      <c r="M519" s="1832">
        <f>-(M$486*INDEX(EF[CO2],MATCH("V.04",EF[Vector],0)))</f>
        <v>2.7713943906688105</v>
      </c>
      <c r="N519" s="1832">
        <f>-(N$486*INDEX(EF[CO2],MATCH("V.04",EF[Vector],0)))</f>
        <v>2.2695320166206701</v>
      </c>
      <c r="O519" s="1832">
        <f>-(O$486*INDEX(EF[CO2],MATCH("V.04",EF[Vector],0)))</f>
        <v>2.0110406258245996</v>
      </c>
      <c r="P519" s="194"/>
    </row>
    <row r="520" spans="2:16" ht="15.75">
      <c r="B520" s="195"/>
      <c r="C520" s="189" t="s">
        <v>351</v>
      </c>
      <c r="D520" s="196" t="s">
        <v>359</v>
      </c>
      <c r="E520" s="189" t="str">
        <f>INDEX(IPCC[Sector_description], MATCH([IPCC Sector], IPCC[Sector_code], 0))</f>
        <v>Fuel Combustion</v>
      </c>
      <c r="F520" s="1832">
        <f>-(F$486*INDEX(EF[CH4],MATCH("V.04",EF[Vector],0)))</f>
        <v>0</v>
      </c>
      <c r="G520" s="1832">
        <f>-(G$486*INDEX(EF[CH4],MATCH("V.04",EF[Vector],0)))</f>
        <v>0</v>
      </c>
      <c r="H520" s="1832">
        <f>-(H$486*INDEX(EF[CH4],MATCH("V.04",EF[Vector],0)))</f>
        <v>0</v>
      </c>
      <c r="I520" s="1832">
        <f>-(I$486*INDEX(EF[CH4],MATCH("V.04",EF[Vector],0)))</f>
        <v>0</v>
      </c>
      <c r="J520" s="1832">
        <f>-(J$486*INDEX(EF[CH4],MATCH("V.04",EF[Vector],0)))</f>
        <v>0</v>
      </c>
      <c r="K520" s="1832">
        <f>-(K$486*INDEX(EF[CH4],MATCH("V.04",EF[Vector],0)))</f>
        <v>0</v>
      </c>
      <c r="L520" s="1832">
        <f>-(L$486*INDEX(EF[CH4],MATCH("V.04",EF[Vector],0)))</f>
        <v>0</v>
      </c>
      <c r="M520" s="1832">
        <f>-(M$486*INDEX(EF[CH4],MATCH("V.04",EF[Vector],0)))</f>
        <v>0</v>
      </c>
      <c r="N520" s="1832">
        <f>-(N$486*INDEX(EF[CH4],MATCH("V.04",EF[Vector],0)))</f>
        <v>0</v>
      </c>
      <c r="O520" s="1832">
        <f>-(O$486*INDEX(EF[CH4],MATCH("V.04",EF[Vector],0)))</f>
        <v>0</v>
      </c>
      <c r="P520" s="194"/>
    </row>
    <row r="521" spans="2:16" ht="15.75">
      <c r="B521" s="195"/>
      <c r="C521" s="189" t="s">
        <v>352</v>
      </c>
      <c r="D521" s="196" t="s">
        <v>359</v>
      </c>
      <c r="E521" s="189" t="str">
        <f>INDEX(IPCC[Sector_description], MATCH([IPCC Sector], IPCC[Sector_code], 0))</f>
        <v>Fuel Combustion</v>
      </c>
      <c r="F521" s="1832">
        <f>-(F$486*INDEX(EF[N2O],MATCH("V.04",EF[Vector],0)))</f>
        <v>0</v>
      </c>
      <c r="G521" s="1832">
        <f>-(G$486*INDEX(EF[N2O],MATCH("V.04",EF[Vector],0)))</f>
        <v>0</v>
      </c>
      <c r="H521" s="1832">
        <f>-(H$486*INDEX(EF[N2O],MATCH("V.04",EF[Vector],0)))</f>
        <v>0</v>
      </c>
      <c r="I521" s="1832">
        <f>-(I$486*INDEX(EF[N2O],MATCH("V.04",EF[Vector],0)))</f>
        <v>0</v>
      </c>
      <c r="J521" s="1832">
        <f>-(J$486*INDEX(EF[N2O],MATCH("V.04",EF[Vector],0)))</f>
        <v>0</v>
      </c>
      <c r="K521" s="1832">
        <f>-(K$486*INDEX(EF[N2O],MATCH("V.04",EF[Vector],0)))</f>
        <v>0</v>
      </c>
      <c r="L521" s="1832">
        <f>-(L$486*INDEX(EF[N2O],MATCH("V.04",EF[Vector],0)))</f>
        <v>0</v>
      </c>
      <c r="M521" s="1832">
        <f>-(M$486*INDEX(EF[N2O],MATCH("V.04",EF[Vector],0)))</f>
        <v>0</v>
      </c>
      <c r="N521" s="1832">
        <f>-(N$486*INDEX(EF[N2O],MATCH("V.04",EF[Vector],0)))</f>
        <v>0</v>
      </c>
      <c r="O521" s="1832">
        <f>-(O$486*INDEX(EF[N2O],MATCH("V.04",EF[Vector],0)))</f>
        <v>0</v>
      </c>
      <c r="P521" s="1832"/>
    </row>
    <row r="522" spans="2:16" ht="15.75">
      <c r="B522" s="195"/>
      <c r="C522" s="1833" t="s">
        <v>103</v>
      </c>
      <c r="D522" s="1833"/>
      <c r="E522" s="1833"/>
      <c r="F522" s="1834">
        <f>SUBTOTAL(109,XII.a!$F$519:$F$521)</f>
        <v>3.8691016484006879</v>
      </c>
      <c r="G522" s="1834">
        <f>SUBTOTAL(109,XII.a!$G$519:$G$521)</f>
        <v>3.8691016484006879</v>
      </c>
      <c r="H522" s="1834">
        <f>SUBTOTAL(109,XII.a!$H$519:$H$521)</f>
        <v>4.1734821308761889</v>
      </c>
      <c r="I522" s="1834">
        <f>SUBTOTAL(109,XII.a!$I$519:$I$521)</f>
        <v>4.2933856123591294</v>
      </c>
      <c r="J522" s="1834">
        <f>SUBTOTAL(109,XII.a!$J$519:$J$521)</f>
        <v>4.1925028082101772</v>
      </c>
      <c r="K522" s="1834">
        <f>SUBTOTAL(109,XII.a!$K$519:$K$521)</f>
        <v>3.8798143319256164</v>
      </c>
      <c r="L522" s="1834">
        <f>SUBTOTAL(109,XII.a!$L$519:$L$521)</f>
        <v>3.394775722042755</v>
      </c>
      <c r="M522" s="1834">
        <f>SUBTOTAL(109,XII.a!$M$519:$M$521)</f>
        <v>2.7713943906688105</v>
      </c>
      <c r="N522" s="1834">
        <f>SUBTOTAL(109,XII.a!$N$519:$N$521)</f>
        <v>2.2695320166206701</v>
      </c>
      <c r="O522" s="1834">
        <f>SUBTOTAL(109,XII.a!$O$519:$O$521)</f>
        <v>2.0110406258245996</v>
      </c>
      <c r="P522" s="194"/>
    </row>
    <row r="523" spans="2:16" ht="15.75">
      <c r="B523" s="195"/>
      <c r="C523" s="189"/>
      <c r="D523" s="189"/>
      <c r="E523" s="189"/>
      <c r="F523" s="223"/>
      <c r="G523" s="223"/>
      <c r="H523" s="223"/>
      <c r="I523" s="223"/>
      <c r="J523" s="223"/>
      <c r="K523" s="223"/>
      <c r="L523" s="223"/>
      <c r="M523" s="223"/>
      <c r="N523" s="223"/>
      <c r="O523" s="223"/>
      <c r="P523" s="194"/>
    </row>
    <row r="524" spans="2:16" ht="15.75">
      <c r="B524" s="195"/>
      <c r="C524" s="186" t="s">
        <v>1209</v>
      </c>
      <c r="D524" s="187"/>
      <c r="E524" s="188"/>
      <c r="F524" s="187"/>
      <c r="G524" s="188"/>
      <c r="H524" s="187"/>
      <c r="I524" s="187"/>
      <c r="J524" s="187"/>
      <c r="K524" s="187"/>
      <c r="L524" s="187"/>
      <c r="M524" s="187"/>
      <c r="N524" s="187"/>
      <c r="O524" s="188" t="s">
        <v>368</v>
      </c>
      <c r="P524" s="194"/>
    </row>
    <row r="525" spans="2:16" ht="15.75">
      <c r="B525" s="195"/>
      <c r="C525" s="187"/>
      <c r="D525" s="187"/>
      <c r="E525" s="187"/>
      <c r="F525" s="187"/>
      <c r="G525" s="187"/>
      <c r="H525" s="187"/>
      <c r="I525" s="187"/>
      <c r="J525" s="187"/>
      <c r="K525" s="187"/>
      <c r="L525" s="187"/>
      <c r="M525" s="187"/>
      <c r="N525" s="187"/>
      <c r="O525" s="187"/>
      <c r="P525" s="194"/>
    </row>
    <row r="526" spans="2:16" ht="15.75">
      <c r="B526" s="195"/>
      <c r="C526" s="1836" t="s">
        <v>365</v>
      </c>
      <c r="D526" s="1836" t="s">
        <v>337</v>
      </c>
      <c r="E526" s="1836" t="s">
        <v>156</v>
      </c>
      <c r="F526" s="1331" t="s">
        <v>203</v>
      </c>
      <c r="G526" s="1332" t="s">
        <v>712</v>
      </c>
      <c r="H526" s="1332" t="s">
        <v>713</v>
      </c>
      <c r="I526" s="1332" t="s">
        <v>714</v>
      </c>
      <c r="J526" s="1332" t="s">
        <v>715</v>
      </c>
      <c r="K526" s="1332" t="s">
        <v>716</v>
      </c>
      <c r="L526" s="1332" t="s">
        <v>717</v>
      </c>
      <c r="M526" s="1332" t="s">
        <v>718</v>
      </c>
      <c r="N526" s="1332" t="s">
        <v>719</v>
      </c>
      <c r="O526" s="1332" t="s">
        <v>720</v>
      </c>
      <c r="P526" s="194"/>
    </row>
    <row r="527" spans="2:16" ht="15.75">
      <c r="B527" s="195"/>
      <c r="C527" s="1829" t="s">
        <v>350</v>
      </c>
      <c r="D527" s="1830" t="s">
        <v>359</v>
      </c>
      <c r="E527" s="189" t="str">
        <f>INDEX(IPCC[Sector_description], MATCH([IPCC Sector], IPCC[Sector_code], 0))</f>
        <v>Fuel Combustion</v>
      </c>
      <c r="F527" s="1832">
        <f>-(F$493*INDEX(EF[CO2],MATCH("V.04",EF[Vector],0)))</f>
        <v>5.1622190553621188</v>
      </c>
      <c r="G527" s="1832">
        <f>-(G$493*INDEX(EF[CO2],MATCH("V.04",EF[Vector],0)))</f>
        <v>5.1622190553621188</v>
      </c>
      <c r="H527" s="1832">
        <f>-(H$493*INDEX(EF[CO2],MATCH("V.04",EF[Vector],0)))</f>
        <v>9.2191442605105998</v>
      </c>
      <c r="I527" s="1832">
        <f>-(I$493*INDEX(EF[CO2],MATCH("V.04",EF[Vector],0)))</f>
        <v>15.109442019674301</v>
      </c>
      <c r="J527" s="1832">
        <f>-(J$493*INDEX(EF[CO2],MATCH("V.04",EF[Vector],0)))</f>
        <v>22.537522665200338</v>
      </c>
      <c r="K527" s="1832">
        <f>-(K$493*INDEX(EF[CO2],MATCH("V.04",EF[Vector],0)))</f>
        <v>31.753858545667121</v>
      </c>
      <c r="L527" s="1832">
        <f>-(L$493*INDEX(EF[CO2],MATCH("V.04",EF[Vector],0)))</f>
        <v>42.584880450007404</v>
      </c>
      <c r="M527" s="1832">
        <f>-(M$493*INDEX(EF[CO2],MATCH("V.04",EF[Vector],0)))</f>
        <v>54.187500933363054</v>
      </c>
      <c r="N527" s="1832">
        <f>-(N$493*INDEX(EF[CO2],MATCH("V.04",EF[Vector],0)))</f>
        <v>67.189391832335076</v>
      </c>
      <c r="O527" s="1832">
        <f>-(O$493*INDEX(EF[CO2],MATCH("V.04",EF[Vector],0)))</f>
        <v>82.295403494414501</v>
      </c>
      <c r="P527" s="194"/>
    </row>
    <row r="528" spans="2:16" ht="15.75">
      <c r="B528" s="195"/>
      <c r="C528" s="189" t="s">
        <v>351</v>
      </c>
      <c r="D528" s="196" t="s">
        <v>359</v>
      </c>
      <c r="E528" s="189" t="str">
        <f>INDEX(IPCC[Sector_description], MATCH([IPCC Sector], IPCC[Sector_code], 0))</f>
        <v>Fuel Combustion</v>
      </c>
      <c r="F528" s="1832">
        <f>-(F$493*INDEX(EF[CH4],MATCH("V.04",EF[Vector],0)))</f>
        <v>0</v>
      </c>
      <c r="G528" s="1832">
        <f>-(G$493*INDEX(EF[CH4],MATCH("V.04",EF[Vector],0)))</f>
        <v>0</v>
      </c>
      <c r="H528" s="1832">
        <f>-(H$493*INDEX(EF[CH4],MATCH("V.04",EF[Vector],0)))</f>
        <v>0</v>
      </c>
      <c r="I528" s="1832">
        <f>-(I$493*INDEX(EF[CH4],MATCH("V.04",EF[Vector],0)))</f>
        <v>0</v>
      </c>
      <c r="J528" s="1832">
        <f>-(J$493*INDEX(EF[CH4],MATCH("V.04",EF[Vector],0)))</f>
        <v>0</v>
      </c>
      <c r="K528" s="1832">
        <f>-(K$493*INDEX(EF[CH4],MATCH("V.04",EF[Vector],0)))</f>
        <v>0</v>
      </c>
      <c r="L528" s="1832">
        <f>-(L$493*INDEX(EF[CH4],MATCH("V.04",EF[Vector],0)))</f>
        <v>0</v>
      </c>
      <c r="M528" s="1832">
        <f>-(M$493*INDEX(EF[CH4],MATCH("V.04",EF[Vector],0)))</f>
        <v>0</v>
      </c>
      <c r="N528" s="1832">
        <f>-(N$493*INDEX(EF[CH4],MATCH("V.04",EF[Vector],0)))</f>
        <v>0</v>
      </c>
      <c r="O528" s="1832">
        <f>-(O$493*INDEX(EF[CH4],MATCH("V.04",EF[Vector],0)))</f>
        <v>0</v>
      </c>
      <c r="P528" s="194"/>
    </row>
    <row r="529" spans="2:16" ht="15.75">
      <c r="B529" s="195"/>
      <c r="C529" s="189" t="s">
        <v>352</v>
      </c>
      <c r="D529" s="196" t="s">
        <v>359</v>
      </c>
      <c r="E529" s="189" t="str">
        <f>INDEX(IPCC[Sector_description], MATCH([IPCC Sector], IPCC[Sector_code], 0))</f>
        <v>Fuel Combustion</v>
      </c>
      <c r="F529" s="1832">
        <f>-(F$493*INDEX(EF[N2O],MATCH("V.04",EF[Vector],0)))</f>
        <v>0</v>
      </c>
      <c r="G529" s="1832">
        <f>-(G$493*INDEX(EF[N2O],MATCH("V.04",EF[Vector],0)))</f>
        <v>0</v>
      </c>
      <c r="H529" s="1832">
        <f>-(H$493*INDEX(EF[N2O],MATCH("V.04",EF[Vector],0)))</f>
        <v>0</v>
      </c>
      <c r="I529" s="1832">
        <f>-(I$493*INDEX(EF[N2O],MATCH("V.04",EF[Vector],0)))</f>
        <v>0</v>
      </c>
      <c r="J529" s="1832">
        <f>-(J$493*INDEX(EF[N2O],MATCH("V.04",EF[Vector],0)))</f>
        <v>0</v>
      </c>
      <c r="K529" s="1832">
        <f>-(K$493*INDEX(EF[N2O],MATCH("V.04",EF[Vector],0)))</f>
        <v>0</v>
      </c>
      <c r="L529" s="1832">
        <f>-(L$493*INDEX(EF[N2O],MATCH("V.04",EF[Vector],0)))</f>
        <v>0</v>
      </c>
      <c r="M529" s="1832">
        <f>-(M$493*INDEX(EF[N2O],MATCH("V.04",EF[Vector],0)))</f>
        <v>0</v>
      </c>
      <c r="N529" s="1832">
        <f>-(N$493*INDEX(EF[N2O],MATCH("V.04",EF[Vector],0)))</f>
        <v>0</v>
      </c>
      <c r="O529" s="1832">
        <f>-(O$493*INDEX(EF[N2O],MATCH("V.04",EF[Vector],0)))</f>
        <v>0</v>
      </c>
      <c r="P529" s="194"/>
    </row>
    <row r="530" spans="2:16" ht="15.75">
      <c r="B530" s="195"/>
      <c r="C530" s="1833" t="s">
        <v>103</v>
      </c>
      <c r="D530" s="1833"/>
      <c r="E530" s="1833"/>
      <c r="F530" s="1834">
        <f>SUBTOTAL(109,XII.a!$F$527:$F$529)</f>
        <v>5.1622190553621188</v>
      </c>
      <c r="G530" s="1834">
        <f>SUBTOTAL(109,XII.a!$G$527:$G$529)</f>
        <v>5.1622190553621188</v>
      </c>
      <c r="H530" s="1834">
        <f>SUBTOTAL(109,XII.a!$H$527:$H$529)</f>
        <v>9.2191442605105998</v>
      </c>
      <c r="I530" s="1834">
        <f>SUBTOTAL(109,XII.a!$I$527:$I$529)</f>
        <v>15.109442019674301</v>
      </c>
      <c r="J530" s="1834">
        <f>SUBTOTAL(109,XII.a!$J$527:$J$529)</f>
        <v>22.537522665200338</v>
      </c>
      <c r="K530" s="1834">
        <f>SUBTOTAL(109,XII.a!$K$527:$K$529)</f>
        <v>31.753858545667121</v>
      </c>
      <c r="L530" s="1834">
        <f>SUBTOTAL(109,XII.a!$L$527:$L$529)</f>
        <v>42.584880450007404</v>
      </c>
      <c r="M530" s="1834">
        <f>SUBTOTAL(109,XII.a!$M$527:$M$529)</f>
        <v>54.187500933363054</v>
      </c>
      <c r="N530" s="1834">
        <f>SUBTOTAL(109,XII.a!$N$527:$N$529)</f>
        <v>67.189391832335076</v>
      </c>
      <c r="O530" s="1834">
        <f>SUBTOTAL(109,XII.a!$O$527:$O$529)</f>
        <v>82.295403494414501</v>
      </c>
      <c r="P530" s="194"/>
    </row>
    <row r="531" spans="2:16" ht="15.75">
      <c r="B531" s="195"/>
      <c r="C531" s="187"/>
      <c r="D531" s="187"/>
      <c r="E531" s="187"/>
      <c r="F531" s="187"/>
      <c r="G531" s="187"/>
      <c r="H531" s="187"/>
      <c r="I531" s="187"/>
      <c r="J531" s="187"/>
      <c r="K531" s="187"/>
      <c r="L531" s="187"/>
      <c r="M531" s="187"/>
      <c r="N531" s="187"/>
      <c r="O531" s="187"/>
      <c r="P531" s="194"/>
    </row>
    <row r="532" spans="2:16" ht="15.75">
      <c r="B532" s="195"/>
    </row>
    <row r="533" spans="2:16" ht="15.75">
      <c r="B533" s="195"/>
    </row>
    <row r="534" spans="2:16" ht="21.75" customHeight="1" collapsed="1">
      <c r="B534" s="195"/>
      <c r="C534" s="346"/>
      <c r="D534" s="425"/>
      <c r="E534" s="425"/>
      <c r="F534" s="425"/>
      <c r="G534" s="425"/>
      <c r="H534" s="425"/>
      <c r="I534" s="425"/>
      <c r="J534" s="425"/>
      <c r="K534" s="425"/>
      <c r="L534" s="425"/>
      <c r="M534" s="425"/>
      <c r="N534" s="425"/>
      <c r="O534" s="425"/>
      <c r="P534" s="426"/>
    </row>
    <row r="535" spans="2:16">
      <c r="C535" s="348"/>
      <c r="D535" s="348"/>
      <c r="E535" s="348"/>
      <c r="F535" s="348"/>
      <c r="G535" s="348"/>
      <c r="H535" s="348"/>
      <c r="I535" s="348"/>
      <c r="J535" s="348"/>
      <c r="K535" s="348"/>
      <c r="L535" s="348"/>
      <c r="M535" s="348"/>
      <c r="N535" s="348"/>
      <c r="O535" s="348"/>
      <c r="P535" s="349"/>
    </row>
    <row r="536" spans="2:16">
      <c r="C536" s="350" t="s">
        <v>1533</v>
      </c>
      <c r="D536" s="428"/>
      <c r="E536" s="351"/>
      <c r="F536" s="428"/>
      <c r="G536" s="351"/>
      <c r="H536" s="428"/>
      <c r="I536" s="428"/>
      <c r="J536" s="428"/>
      <c r="K536" s="428"/>
      <c r="L536" s="428"/>
      <c r="M536" s="428"/>
      <c r="N536" s="428"/>
      <c r="O536" s="351"/>
      <c r="P536" s="429"/>
    </row>
    <row r="537" spans="2:16" ht="15.75">
      <c r="B537" s="424" t="s">
        <v>501</v>
      </c>
      <c r="C537" s="428"/>
      <c r="D537" s="428"/>
      <c r="E537" s="428"/>
      <c r="F537" s="428"/>
      <c r="G537" s="428"/>
      <c r="H537" s="428"/>
      <c r="I537" s="428"/>
      <c r="J537" s="428"/>
      <c r="K537" s="428"/>
      <c r="L537" s="428"/>
      <c r="M537" s="428"/>
      <c r="N537" s="428"/>
      <c r="O537" s="428"/>
      <c r="P537" s="429"/>
    </row>
    <row r="538" spans="2:16">
      <c r="B538" s="347"/>
      <c r="C538" s="431" t="s">
        <v>64</v>
      </c>
      <c r="D538" s="431" t="s">
        <v>502</v>
      </c>
      <c r="E538" s="431" t="s">
        <v>156</v>
      </c>
      <c r="F538" s="1331" t="s">
        <v>203</v>
      </c>
      <c r="G538" s="1332" t="s">
        <v>712</v>
      </c>
      <c r="H538" s="1332" t="s">
        <v>713</v>
      </c>
      <c r="I538" s="1332" t="s">
        <v>714</v>
      </c>
      <c r="J538" s="1332" t="s">
        <v>715</v>
      </c>
      <c r="K538" s="1332" t="s">
        <v>716</v>
      </c>
      <c r="L538" s="1332" t="s">
        <v>717</v>
      </c>
      <c r="M538" s="1332" t="s">
        <v>718</v>
      </c>
      <c r="N538" s="1332" t="s">
        <v>719</v>
      </c>
      <c r="O538" s="1332" t="s">
        <v>720</v>
      </c>
      <c r="P538" s="429"/>
    </row>
    <row r="539" spans="2:16">
      <c r="B539" s="427"/>
      <c r="C539" s="432" t="s">
        <v>608</v>
      </c>
      <c r="D539" s="433" t="str">
        <f>INDEX(Vectors[Description], MATCH([Vector], Vectors[Code], 0))</f>
        <v>Shiftable electricity demand</v>
      </c>
      <c r="E539" s="433" t="str">
        <f>Preferences.PowerUnits</f>
        <v>GW</v>
      </c>
      <c r="F539" s="354">
        <f t="shared" ref="F539:O539" si="157">F413*Conversion.to.average.power</f>
        <v>1.3365230966214773E-4</v>
      </c>
      <c r="G539" s="354">
        <f t="shared" si="157"/>
        <v>1.3365230966214773E-4</v>
      </c>
      <c r="H539" s="354">
        <f t="shared" si="157"/>
        <v>3.2494887338965572E-4</v>
      </c>
      <c r="I539" s="354">
        <f t="shared" si="157"/>
        <v>6.7464906323049954E-4</v>
      </c>
      <c r="J539" s="354">
        <f t="shared" si="157"/>
        <v>1.2205462167656784E-3</v>
      </c>
      <c r="K539" s="354">
        <f t="shared" si="157"/>
        <v>2.025538535502594E-3</v>
      </c>
      <c r="L539" s="354">
        <f t="shared" si="157"/>
        <v>3.1326521233930697E-3</v>
      </c>
      <c r="M539" s="354">
        <f t="shared" si="157"/>
        <v>4.52392252923591E-3</v>
      </c>
      <c r="N539" s="354">
        <f t="shared" si="157"/>
        <v>6.2866893512827102E-3</v>
      </c>
      <c r="O539" s="354">
        <f t="shared" si="157"/>
        <v>8.5429227227233322E-3</v>
      </c>
      <c r="P539" s="429"/>
    </row>
    <row r="540" spans="2:16">
      <c r="B540" s="427"/>
      <c r="C540" s="432"/>
      <c r="D540" s="433"/>
      <c r="E540" s="433"/>
      <c r="F540" s="354"/>
      <c r="G540" s="354"/>
      <c r="H540" s="354"/>
      <c r="I540" s="354"/>
      <c r="J540" s="354"/>
      <c r="K540" s="354"/>
      <c r="L540" s="354"/>
      <c r="M540" s="354"/>
      <c r="N540" s="354"/>
      <c r="O540" s="354"/>
      <c r="P540" s="429"/>
    </row>
    <row r="541" spans="2:16" ht="15.75">
      <c r="B541" s="430"/>
      <c r="C541" s="432"/>
      <c r="D541" s="433"/>
      <c r="E541" s="433"/>
      <c r="F541" s="354"/>
      <c r="G541" s="354"/>
      <c r="H541" s="354"/>
      <c r="I541" s="354"/>
      <c r="J541" s="354"/>
      <c r="K541" s="354"/>
      <c r="L541" s="354"/>
      <c r="M541" s="354"/>
      <c r="N541" s="354"/>
      <c r="O541" s="354"/>
      <c r="P541" s="429"/>
    </row>
    <row r="542" spans="2:16" ht="15.75">
      <c r="B542" s="430"/>
      <c r="C542" s="434"/>
      <c r="D542" s="434"/>
      <c r="E542" s="434"/>
      <c r="F542" s="434"/>
      <c r="G542" s="434"/>
      <c r="H542" s="434"/>
      <c r="I542" s="434"/>
      <c r="J542" s="434"/>
      <c r="K542" s="434"/>
      <c r="L542" s="434"/>
      <c r="M542" s="434"/>
      <c r="N542" s="434"/>
      <c r="O542" s="434"/>
      <c r="P542" s="352"/>
    </row>
    <row r="543" spans="2:16" ht="15.75">
      <c r="B543" s="430"/>
    </row>
    <row r="544" spans="2:16" ht="15.75">
      <c r="B544" s="430"/>
    </row>
    <row r="710" spans="6:15">
      <c r="F710" s="3069">
        <f>F$670*INDEX(EF[CO2], MATCH("V.04", EF[Vector], 0))</f>
        <v>0</v>
      </c>
      <c r="G710" s="3069">
        <f>G$670*INDEX(EF[CO2], MATCH("V.04", EF[Vector], 0))</f>
        <v>0</v>
      </c>
      <c r="H710" s="3069">
        <f>H$670*INDEX(EF[CO2], MATCH("V.04", EF[Vector], 0))</f>
        <v>0</v>
      </c>
      <c r="I710" s="3069">
        <f>I$670*INDEX(EF[CO2], MATCH("V.04", EF[Vector], 0))</f>
        <v>0</v>
      </c>
      <c r="J710" s="3069">
        <f>J$670*INDEX(EF[CO2], MATCH("V.04", EF[Vector], 0))</f>
        <v>0</v>
      </c>
      <c r="K710" s="3069">
        <f>K$670*INDEX(EF[CO2], MATCH("V.04", EF[Vector], 0))</f>
        <v>0</v>
      </c>
      <c r="L710" s="3069">
        <f>L$670*INDEX(EF[CO2], MATCH("V.04", EF[Vector], 0))</f>
        <v>0</v>
      </c>
      <c r="M710" s="3069">
        <f>M$670*INDEX(EF[CO2], MATCH("V.04", EF[Vector], 0))</f>
        <v>0</v>
      </c>
      <c r="N710" s="3069">
        <f>N$670*INDEX(EF[CO2], MATCH("V.04", EF[Vector], 0))</f>
        <v>0</v>
      </c>
      <c r="O710" s="3069">
        <f>O$670*INDEX(EF[CO2], MATCH("V.04", EF[Vector], 0))</f>
        <v>0</v>
      </c>
    </row>
    <row r="711" spans="6:15">
      <c r="F711" s="3069">
        <f>F$670*INDEX(EF[CH4], MATCH("V.04", EF[Vector], 0))</f>
        <v>0</v>
      </c>
      <c r="G711" s="3069">
        <f>G$670*INDEX(EF[CH4], MATCH("V.04", EF[Vector], 0))</f>
        <v>0</v>
      </c>
      <c r="H711" s="3069">
        <f>H$670*INDEX(EF[CH4], MATCH("V.04", EF[Vector], 0))</f>
        <v>0</v>
      </c>
      <c r="I711" s="3069">
        <f>I$670*INDEX(EF[CH4], MATCH("V.04", EF[Vector], 0))</f>
        <v>0</v>
      </c>
      <c r="J711" s="3069">
        <f>J$670*INDEX(EF[CH4], MATCH("V.04", EF[Vector], 0))</f>
        <v>0</v>
      </c>
      <c r="K711" s="3069">
        <f>K$670*INDEX(EF[CH4], MATCH("V.04", EF[Vector], 0))</f>
        <v>0</v>
      </c>
      <c r="L711" s="3069">
        <f>L$670*INDEX(EF[CH4], MATCH("V.04", EF[Vector], 0))</f>
        <v>0</v>
      </c>
      <c r="M711" s="3069">
        <f>M$670*INDEX(EF[CH4], MATCH("V.04", EF[Vector], 0))</f>
        <v>0</v>
      </c>
      <c r="N711" s="3069">
        <f>N$670*INDEX(EF[CH4], MATCH("V.04", EF[Vector], 0))</f>
        <v>0</v>
      </c>
      <c r="O711" s="3069">
        <f>O$670*INDEX(EF[CH4], MATCH("V.04", EF[Vector], 0))</f>
        <v>0</v>
      </c>
    </row>
    <row r="712" spans="6:15">
      <c r="F712" s="3069">
        <f>F$670*INDEX(EF[N2O], MATCH("V.04", EF[Vector], 0))</f>
        <v>0</v>
      </c>
      <c r="G712" s="3069">
        <f>G$670*INDEX(EF[N2O], MATCH("V.04", EF[Vector], 0))</f>
        <v>0</v>
      </c>
      <c r="H712" s="3069">
        <f>H$670*INDEX(EF[N2O], MATCH("V.04", EF[Vector], 0))</f>
        <v>0</v>
      </c>
      <c r="I712" s="3069">
        <f>I$670*INDEX(EF[N2O], MATCH("V.04", EF[Vector], 0))</f>
        <v>0</v>
      </c>
      <c r="J712" s="3069">
        <f>J$670*INDEX(EF[N2O], MATCH("V.04", EF[Vector], 0))</f>
        <v>0</v>
      </c>
      <c r="K712" s="3069">
        <f>K$670*INDEX(EF[N2O], MATCH("V.04", EF[Vector], 0))</f>
        <v>0</v>
      </c>
      <c r="L712" s="3069">
        <f>L$670*INDEX(EF[N2O], MATCH("V.04", EF[Vector], 0))</f>
        <v>0</v>
      </c>
      <c r="M712" s="3069">
        <f>M$670*INDEX(EF[N2O], MATCH("V.04", EF[Vector], 0))</f>
        <v>0</v>
      </c>
      <c r="N712" s="3069">
        <f>N$670*INDEX(EF[N2O], MATCH("V.04", EF[Vector], 0))</f>
        <v>0</v>
      </c>
      <c r="O712" s="3069">
        <f>O$670*INDEX(EF[N2O], MATCH("V.04", EF[Vector], 0))</f>
        <v>0</v>
      </c>
    </row>
  </sheetData>
  <mergeCells count="2">
    <mergeCell ref="F56:I56"/>
    <mergeCell ref="F63:J63"/>
  </mergeCells>
  <conditionalFormatting sqref="F60:I60 J67">
    <cfRule type="cellIs" dxfId="1489" priority="1" operator="equal">
      <formula>1</formula>
    </cfRule>
  </conditionalFormatting>
  <pageMargins left="0.7" right="0.7" top="0.75" bottom="0.75" header="0.3" footer="0.3"/>
  <pageSetup paperSize="9" orientation="portrait" horizontalDpi="300" verticalDpi="300"/>
  <legacyDrawing r:id="rId1"/>
  <tableParts count="9">
    <tablePart r:id="rId2"/>
    <tablePart r:id="rId3"/>
    <tablePart r:id="rId4"/>
    <tablePart r:id="rId5"/>
    <tablePart r:id="rId6"/>
    <tablePart r:id="rId7"/>
    <tablePart r:id="rId8"/>
    <tablePart r:id="rId9"/>
    <tablePart r:id="rId10"/>
  </tableParts>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sheetPr>
    <tabColor theme="9"/>
    <outlinePr summaryBelow="0"/>
    <pageSetUpPr autoPageBreaks="0"/>
  </sheetPr>
  <dimension ref="A1:U556"/>
  <sheetViews>
    <sheetView showGridLines="0" topLeftCell="A179" zoomScale="85" zoomScaleNormal="85" zoomScalePageLayoutView="85" workbookViewId="0">
      <selection activeCell="G195" sqref="G195"/>
    </sheetView>
  </sheetViews>
  <sheetFormatPr defaultColWidth="8.85546875" defaultRowHeight="12.75"/>
  <cols>
    <col min="1" max="1" width="7.7109375" style="3069" customWidth="1"/>
    <col min="2" max="2" width="5.85546875" style="3069" customWidth="1"/>
    <col min="3" max="3" width="20.42578125" style="3069" customWidth="1"/>
    <col min="4" max="4" width="30.7109375" style="3069" customWidth="1"/>
    <col min="5" max="5" width="20.7109375" style="3069" customWidth="1"/>
    <col min="6" max="15" width="17.7109375" style="3069" customWidth="1"/>
    <col min="16" max="16" width="2" style="3069" customWidth="1"/>
    <col min="17" max="17" width="10.85546875" style="3069" customWidth="1"/>
    <col min="18" max="18" width="16.42578125" style="3069" bestFit="1" customWidth="1"/>
    <col min="19" max="16384" width="8.85546875" style="3069"/>
  </cols>
  <sheetData>
    <row r="1" spans="1:16" ht="20.25" customHeight="1">
      <c r="A1" s="834" t="s">
        <v>198</v>
      </c>
      <c r="B1" s="77" t="str">
        <f>INDEX(Workstreams[Workstream],MATCH($A1,Workstreams[Code]))</f>
        <v>Transport</v>
      </c>
      <c r="C1" s="835"/>
    </row>
    <row r="2" spans="1:16" s="51" customFormat="1" ht="19.5" customHeight="1">
      <c r="A2" s="6" t="s">
        <v>294</v>
      </c>
      <c r="B2" s="6" t="str">
        <f>INDEX(Modules[Module], MATCH($A2, Modules[Code], 0))</f>
        <v>Domestic freight</v>
      </c>
      <c r="C2" s="6"/>
      <c r="E2" s="404"/>
    </row>
    <row r="4" spans="1:16" ht="22.5" collapsed="1">
      <c r="A4" s="420"/>
      <c r="B4" s="206" t="s">
        <v>412</v>
      </c>
      <c r="C4" s="175"/>
      <c r="D4" s="175"/>
      <c r="E4" s="175"/>
      <c r="F4" s="175"/>
      <c r="G4" s="175"/>
      <c r="H4" s="175"/>
      <c r="I4" s="175"/>
      <c r="J4" s="175"/>
      <c r="K4" s="175"/>
      <c r="L4" s="175"/>
      <c r="M4" s="175"/>
      <c r="N4" s="175"/>
      <c r="O4" s="175"/>
      <c r="P4" s="177"/>
    </row>
    <row r="5" spans="1:16">
      <c r="B5" s="164"/>
      <c r="C5" s="166"/>
      <c r="D5" s="166"/>
      <c r="E5" s="166"/>
      <c r="F5" s="166"/>
      <c r="G5" s="166"/>
      <c r="H5" s="166"/>
      <c r="I5" s="166"/>
      <c r="J5" s="166"/>
      <c r="K5" s="166"/>
      <c r="L5" s="166"/>
      <c r="M5" s="166"/>
      <c r="N5" s="166"/>
      <c r="O5" s="166"/>
      <c r="P5" s="168"/>
    </row>
    <row r="6" spans="1:16" ht="5.25" customHeight="1">
      <c r="B6" s="164"/>
      <c r="C6" s="165"/>
      <c r="D6" s="166"/>
      <c r="E6" s="167"/>
      <c r="F6" s="166"/>
      <c r="G6" s="166"/>
      <c r="H6" s="166"/>
      <c r="I6" s="166"/>
      <c r="J6" s="166"/>
      <c r="K6" s="166"/>
      <c r="L6" s="166"/>
      <c r="M6" s="166"/>
      <c r="N6" s="166"/>
      <c r="O6" s="166"/>
      <c r="P6" s="168"/>
    </row>
    <row r="7" spans="1:16" ht="15.75">
      <c r="B7" s="169"/>
      <c r="C7" s="166"/>
      <c r="D7" s="864" t="s">
        <v>274</v>
      </c>
      <c r="E7" s="864" t="s">
        <v>411</v>
      </c>
      <c r="F7" s="166"/>
      <c r="G7" s="166"/>
      <c r="H7" s="166"/>
      <c r="I7" s="166"/>
      <c r="J7" s="166"/>
      <c r="K7" s="166"/>
      <c r="L7" s="166"/>
      <c r="M7" s="166"/>
      <c r="N7" s="166"/>
      <c r="O7" s="166"/>
      <c r="P7" s="168"/>
    </row>
    <row r="8" spans="1:16" ht="15.75">
      <c r="B8" s="169"/>
      <c r="C8" s="166"/>
      <c r="D8" s="60" t="s">
        <v>964</v>
      </c>
      <c r="E8" s="60">
        <f>XII.b.scenario</f>
        <v>1</v>
      </c>
      <c r="F8" s="166"/>
      <c r="G8" s="166"/>
      <c r="H8" s="166"/>
      <c r="I8" s="166"/>
      <c r="J8" s="166"/>
      <c r="K8" s="166"/>
      <c r="L8" s="166"/>
      <c r="M8" s="166"/>
      <c r="N8" s="166"/>
      <c r="O8" s="166"/>
      <c r="P8" s="168"/>
    </row>
    <row r="9" spans="1:16" ht="15.75">
      <c r="B9" s="169"/>
      <c r="C9" s="166"/>
      <c r="D9" s="226" t="s">
        <v>965</v>
      </c>
      <c r="E9" s="226">
        <f>XII.b.mode</f>
        <v>1</v>
      </c>
      <c r="F9" s="166"/>
      <c r="G9" s="166"/>
      <c r="H9" s="166"/>
      <c r="I9" s="166"/>
      <c r="J9" s="166"/>
      <c r="K9" s="166"/>
      <c r="L9" s="166"/>
      <c r="M9" s="166"/>
      <c r="N9" s="166"/>
      <c r="O9" s="166"/>
      <c r="P9" s="168"/>
    </row>
    <row r="10" spans="1:16">
      <c r="B10" s="182"/>
      <c r="C10" s="172"/>
      <c r="D10" s="172"/>
      <c r="E10" s="172"/>
      <c r="F10" s="172"/>
      <c r="G10" s="172"/>
      <c r="H10" s="172"/>
      <c r="I10" s="172"/>
      <c r="J10" s="172"/>
      <c r="K10" s="172"/>
      <c r="L10" s="172"/>
      <c r="M10" s="172"/>
      <c r="N10" s="172"/>
      <c r="O10" s="172"/>
      <c r="P10" s="173"/>
    </row>
    <row r="12" spans="1:16" s="51" customFormat="1" ht="22.5" collapsed="1">
      <c r="A12" s="162"/>
      <c r="B12" s="421" t="s">
        <v>413</v>
      </c>
      <c r="C12" s="159"/>
      <c r="D12" s="159"/>
      <c r="E12" s="159"/>
      <c r="F12" s="159"/>
      <c r="G12" s="159"/>
      <c r="H12" s="159"/>
      <c r="I12" s="159"/>
      <c r="J12" s="159"/>
      <c r="K12" s="159"/>
      <c r="L12" s="159"/>
      <c r="M12" s="159"/>
      <c r="N12" s="159"/>
      <c r="O12" s="159"/>
      <c r="P12" s="160"/>
    </row>
    <row r="13" spans="1:16">
      <c r="B13" s="418"/>
      <c r="C13" s="415"/>
      <c r="D13" s="415"/>
      <c r="E13" s="415"/>
      <c r="F13" s="415"/>
      <c r="G13" s="415"/>
      <c r="H13" s="415"/>
      <c r="I13" s="415"/>
      <c r="J13" s="415"/>
      <c r="K13" s="415"/>
      <c r="L13" s="415"/>
      <c r="M13" s="415"/>
      <c r="N13" s="415"/>
      <c r="O13" s="415"/>
      <c r="P13" s="419"/>
    </row>
    <row r="14" spans="1:16">
      <c r="B14" s="418"/>
      <c r="C14" s="416" t="s">
        <v>2386</v>
      </c>
      <c r="D14" s="415"/>
      <c r="E14" s="104"/>
      <c r="F14" s="415"/>
      <c r="G14" s="415"/>
      <c r="H14" s="415"/>
      <c r="I14" s="415"/>
      <c r="J14" s="415"/>
      <c r="K14" s="415"/>
      <c r="L14" s="415"/>
      <c r="M14" s="415"/>
      <c r="N14" s="415"/>
      <c r="O14" s="104" t="s">
        <v>966</v>
      </c>
      <c r="P14" s="419"/>
    </row>
    <row r="15" spans="1:16" ht="5.25" customHeight="1">
      <c r="B15" s="418"/>
      <c r="C15" s="415"/>
      <c r="D15" s="415"/>
      <c r="E15" s="415"/>
      <c r="F15" s="415"/>
      <c r="G15" s="415"/>
      <c r="H15" s="415"/>
      <c r="I15" s="415"/>
      <c r="J15" s="415"/>
      <c r="K15" s="415"/>
      <c r="L15" s="415"/>
      <c r="M15" s="415"/>
      <c r="N15" s="415"/>
      <c r="O15" s="415"/>
      <c r="P15" s="419"/>
    </row>
    <row r="16" spans="1:16">
      <c r="B16" s="418"/>
      <c r="C16" s="61" t="s">
        <v>411</v>
      </c>
      <c r="D16" s="61" t="s">
        <v>66</v>
      </c>
      <c r="E16" s="61" t="s">
        <v>156</v>
      </c>
      <c r="F16" s="119">
        <v>2007</v>
      </c>
      <c r="G16" s="120">
        <f>F16+5</f>
        <v>2012</v>
      </c>
      <c r="H16" s="120">
        <f t="shared" ref="H16:O16" si="0">G16+5</f>
        <v>2017</v>
      </c>
      <c r="I16" s="120">
        <f t="shared" si="0"/>
        <v>2022</v>
      </c>
      <c r="J16" s="120">
        <f t="shared" si="0"/>
        <v>2027</v>
      </c>
      <c r="K16" s="120">
        <f t="shared" si="0"/>
        <v>2032</v>
      </c>
      <c r="L16" s="120">
        <f t="shared" si="0"/>
        <v>2037</v>
      </c>
      <c r="M16" s="120">
        <f t="shared" si="0"/>
        <v>2042</v>
      </c>
      <c r="N16" s="120">
        <f t="shared" si="0"/>
        <v>2047</v>
      </c>
      <c r="O16" s="120">
        <f t="shared" si="0"/>
        <v>2052</v>
      </c>
      <c r="P16" s="419"/>
    </row>
    <row r="17" spans="2:17" ht="15.75">
      <c r="B17" s="152"/>
      <c r="C17" s="413">
        <v>1</v>
      </c>
      <c r="D17" s="414"/>
      <c r="E17" s="218" t="s">
        <v>967</v>
      </c>
      <c r="F17" s="2657">
        <f>G17</f>
        <v>1603.5660267367946</v>
      </c>
      <c r="G17" s="2657">
        <v>1603.5660267367946</v>
      </c>
      <c r="H17" s="2658">
        <v>2563.6794240628137</v>
      </c>
      <c r="I17" s="2659">
        <v>3890.6524999267931</v>
      </c>
      <c r="J17" s="2659">
        <v>5700.1920901408675</v>
      </c>
      <c r="K17" s="2659">
        <v>8145.0748031420808</v>
      </c>
      <c r="L17" s="2659">
        <v>11266.21824780813</v>
      </c>
      <c r="M17" s="2659">
        <v>13691.193544484739</v>
      </c>
      <c r="N17" s="2659">
        <v>16652.575153776452</v>
      </c>
      <c r="O17" s="2659">
        <v>20122.100287082209</v>
      </c>
      <c r="P17" s="419"/>
    </row>
    <row r="18" spans="2:17" ht="15.75">
      <c r="B18" s="152"/>
      <c r="C18" s="413">
        <v>2</v>
      </c>
      <c r="D18" s="414"/>
      <c r="E18" s="218" t="s">
        <v>968</v>
      </c>
      <c r="F18" s="2657">
        <f t="shared" ref="F18:F20" si="1">G18</f>
        <v>1603.5660267367946</v>
      </c>
      <c r="G18" s="2657">
        <v>1603.5660267367946</v>
      </c>
      <c r="H18" s="2660">
        <v>2526.1621641984798</v>
      </c>
      <c r="I18" s="2661">
        <v>3786.2691401726597</v>
      </c>
      <c r="J18" s="2659">
        <v>5477.7455695500039</v>
      </c>
      <c r="K18" s="2661">
        <v>7727.8880449323642</v>
      </c>
      <c r="L18" s="2659">
        <v>10551.775139410542</v>
      </c>
      <c r="M18" s="2661">
        <v>12656.005739901746</v>
      </c>
      <c r="N18" s="2659">
        <v>15190.397823200958</v>
      </c>
      <c r="O18" s="2659">
        <v>18109.890258373987</v>
      </c>
      <c r="P18" s="419"/>
      <c r="Q18" s="3069">
        <f>(O17-O18)/O17</f>
        <v>0.10000000000000002</v>
      </c>
    </row>
    <row r="19" spans="2:17" ht="15.75">
      <c r="B19" s="152"/>
      <c r="C19" s="413">
        <v>3</v>
      </c>
      <c r="D19" s="414"/>
      <c r="E19" s="218" t="s">
        <v>969</v>
      </c>
      <c r="F19" s="2657">
        <f t="shared" si="1"/>
        <v>1603.5660267367946</v>
      </c>
      <c r="G19" s="2657">
        <v>1603.5660267367946</v>
      </c>
      <c r="H19" s="2660">
        <v>2507.4035342663128</v>
      </c>
      <c r="I19" s="2661">
        <v>3734.0774602955926</v>
      </c>
      <c r="J19" s="2661">
        <v>5366.522309254573</v>
      </c>
      <c r="K19" s="2661">
        <v>7519.2946658275059</v>
      </c>
      <c r="L19" s="2661">
        <v>10194.553585211746</v>
      </c>
      <c r="M19" s="2661">
        <v>12138.411837610249</v>
      </c>
      <c r="N19" s="2661">
        <v>14459.309157913211</v>
      </c>
      <c r="O19" s="2661">
        <v>17103.785244019877</v>
      </c>
      <c r="P19" s="419"/>
      <c r="Q19" s="3154">
        <f>(O17-O19)/O17</f>
        <v>0.15000000000000002</v>
      </c>
    </row>
    <row r="20" spans="2:17" ht="15.75">
      <c r="B20" s="152"/>
      <c r="C20" s="411">
        <v>4</v>
      </c>
      <c r="D20" s="65"/>
      <c r="E20" s="65" t="s">
        <v>2387</v>
      </c>
      <c r="F20" s="2657">
        <f t="shared" si="1"/>
        <v>1603.5660267367946</v>
      </c>
      <c r="G20" s="2662">
        <v>1603.5660267367946</v>
      </c>
      <c r="H20" s="2663">
        <v>2488.6449043341458</v>
      </c>
      <c r="I20" s="2664">
        <v>3681.8857804185259</v>
      </c>
      <c r="J20" s="2664">
        <v>5255.2990489591411</v>
      </c>
      <c r="K20" s="2664">
        <v>7310.7012867226485</v>
      </c>
      <c r="L20" s="2664">
        <v>9837.3320310129529</v>
      </c>
      <c r="M20" s="2664">
        <v>11620.817935318753</v>
      </c>
      <c r="N20" s="2664">
        <v>13728.220492625464</v>
      </c>
      <c r="O20" s="2664">
        <v>16097.680229665768</v>
      </c>
      <c r="P20" s="419"/>
      <c r="Q20" s="3154">
        <f>(O17-O20)/O17</f>
        <v>0.19999999999999996</v>
      </c>
    </row>
    <row r="21" spans="2:17" ht="15.75">
      <c r="B21" s="152"/>
      <c r="C21" s="406" t="s">
        <v>406</v>
      </c>
      <c r="D21" s="407"/>
      <c r="E21" s="407"/>
      <c r="F21" s="807">
        <f>(INDEX(F$17:F$20,ROUNDDOWN($E$8,0))*(1-MOD($E$8,1)))+(INDEX(F$17:F$20,ROUNDUP($E$8,0))*MOD($E$8,1))</f>
        <v>1603.5660267367946</v>
      </c>
      <c r="G21" s="807">
        <f t="shared" ref="G21:O21" si="2">(INDEX(G$17:G$20,ROUNDDOWN($E$8,0))*(1-MOD($E$8,1)))+(INDEX(G$17:G$20,ROUNDUP($E$8,0))*MOD($E$8,1))</f>
        <v>1603.5660267367946</v>
      </c>
      <c r="H21" s="807">
        <f t="shared" si="2"/>
        <v>2563.6794240628137</v>
      </c>
      <c r="I21" s="807">
        <f t="shared" si="2"/>
        <v>3890.6524999267931</v>
      </c>
      <c r="J21" s="807">
        <f t="shared" si="2"/>
        <v>5700.1920901408675</v>
      </c>
      <c r="K21" s="807">
        <f t="shared" si="2"/>
        <v>8145.0748031420808</v>
      </c>
      <c r="L21" s="807">
        <f t="shared" si="2"/>
        <v>11266.21824780813</v>
      </c>
      <c r="M21" s="807">
        <f t="shared" si="2"/>
        <v>13691.193544484739</v>
      </c>
      <c r="N21" s="807">
        <f t="shared" si="2"/>
        <v>16652.575153776452</v>
      </c>
      <c r="O21" s="807">
        <f t="shared" si="2"/>
        <v>20122.100287082209</v>
      </c>
      <c r="P21" s="419"/>
    </row>
    <row r="22" spans="2:17" ht="15.75">
      <c r="B22" s="152"/>
      <c r="C22" s="413"/>
      <c r="D22" s="414"/>
      <c r="E22" s="414"/>
      <c r="F22" s="2657"/>
      <c r="G22" s="2657"/>
      <c r="H22" s="2661"/>
      <c r="I22" s="2661"/>
      <c r="J22" s="2661"/>
      <c r="K22" s="2661"/>
      <c r="L22" s="2661"/>
      <c r="M22" s="2661"/>
      <c r="N22" s="2661"/>
      <c r="O22" s="2661"/>
      <c r="P22" s="419"/>
    </row>
    <row r="23" spans="2:17" ht="15.75">
      <c r="B23" s="152"/>
      <c r="C23" s="106" t="s">
        <v>971</v>
      </c>
      <c r="D23" s="414"/>
      <c r="E23" s="414"/>
      <c r="F23" s="2657"/>
      <c r="G23" s="2657"/>
      <c r="H23" s="2661"/>
      <c r="I23" s="2661"/>
      <c r="J23" s="2661"/>
      <c r="K23" s="2661"/>
      <c r="L23" s="2661"/>
      <c r="M23" s="2661"/>
      <c r="N23" s="2661"/>
      <c r="O23" s="2661"/>
      <c r="P23" s="419"/>
    </row>
    <row r="24" spans="2:17" ht="15.75">
      <c r="B24" s="152"/>
      <c r="C24" s="413"/>
      <c r="D24" s="414"/>
      <c r="E24" s="414"/>
      <c r="F24" s="2657"/>
      <c r="G24" s="2657"/>
      <c r="H24" s="2661"/>
      <c r="I24" s="2661"/>
      <c r="J24" s="2661"/>
      <c r="K24" s="2661"/>
      <c r="L24" s="2661"/>
      <c r="M24" s="2661"/>
      <c r="N24" s="2661"/>
      <c r="O24" s="2661"/>
      <c r="P24" s="419"/>
    </row>
    <row r="25" spans="2:17" ht="15.75">
      <c r="B25" s="152"/>
      <c r="C25" s="61" t="s">
        <v>411</v>
      </c>
      <c r="D25" s="61" t="s">
        <v>65</v>
      </c>
      <c r="E25" s="61" t="s">
        <v>533</v>
      </c>
      <c r="F25" s="238">
        <v>2007</v>
      </c>
      <c r="G25" s="119">
        <f>F25+5</f>
        <v>2012</v>
      </c>
      <c r="H25" s="119">
        <f t="shared" ref="H25:O25" si="3">G25+5</f>
        <v>2017</v>
      </c>
      <c r="I25" s="119">
        <f t="shared" si="3"/>
        <v>2022</v>
      </c>
      <c r="J25" s="119">
        <f t="shared" si="3"/>
        <v>2027</v>
      </c>
      <c r="K25" s="119">
        <f t="shared" si="3"/>
        <v>2032</v>
      </c>
      <c r="L25" s="119">
        <f t="shared" si="3"/>
        <v>2037</v>
      </c>
      <c r="M25" s="119">
        <f t="shared" si="3"/>
        <v>2042</v>
      </c>
      <c r="N25" s="119">
        <f t="shared" si="3"/>
        <v>2047</v>
      </c>
      <c r="O25" s="119">
        <f t="shared" si="3"/>
        <v>2052</v>
      </c>
      <c r="P25" s="419"/>
    </row>
    <row r="26" spans="2:17" ht="15.75">
      <c r="B26" s="152"/>
      <c r="C26" s="413">
        <v>1</v>
      </c>
      <c r="D26" s="414" t="s">
        <v>955</v>
      </c>
      <c r="E26" s="865"/>
      <c r="F26" s="869">
        <v>0.58344055099029235</v>
      </c>
      <c r="G26" s="869">
        <v>0.58344055099029235</v>
      </c>
      <c r="H26" s="869">
        <v>0.60099642739001324</v>
      </c>
      <c r="I26" s="869">
        <v>0.61855230378973403</v>
      </c>
      <c r="J26" s="869">
        <v>0.63610818018945492</v>
      </c>
      <c r="K26" s="869">
        <v>0.65366405658917581</v>
      </c>
      <c r="L26" s="869">
        <v>0.67121993298889671</v>
      </c>
      <c r="M26" s="869">
        <v>0.6887758093886176</v>
      </c>
      <c r="N26" s="869">
        <v>0.70633168578833838</v>
      </c>
      <c r="O26" s="869">
        <v>0.72388756218805927</v>
      </c>
      <c r="P26" s="419"/>
    </row>
    <row r="27" spans="2:17" ht="15.75">
      <c r="B27" s="152"/>
      <c r="C27" s="413"/>
      <c r="D27" s="414" t="s">
        <v>952</v>
      </c>
      <c r="E27" s="865"/>
      <c r="F27" s="869">
        <v>0.41632638436382852</v>
      </c>
      <c r="G27" s="869">
        <v>0.41632638436382852</v>
      </c>
      <c r="H27" s="869">
        <v>0.39875442533369859</v>
      </c>
      <c r="I27" s="869">
        <v>0.38118246630356867</v>
      </c>
      <c r="J27" s="869">
        <v>0.36361050727343874</v>
      </c>
      <c r="K27" s="869">
        <v>0.34603854824330882</v>
      </c>
      <c r="L27" s="869">
        <v>0.32846658921317884</v>
      </c>
      <c r="M27" s="869">
        <v>0.31089463018304891</v>
      </c>
      <c r="N27" s="869">
        <v>0.29332267115291899</v>
      </c>
      <c r="O27" s="869">
        <v>0.27575071212278907</v>
      </c>
      <c r="P27" s="419"/>
    </row>
    <row r="28" spans="2:17" ht="15.75">
      <c r="B28" s="152"/>
      <c r="C28" s="413"/>
      <c r="D28" s="112" t="s">
        <v>970</v>
      </c>
      <c r="E28" s="867"/>
      <c r="F28" s="871">
        <v>2.330646458791455E-4</v>
      </c>
      <c r="G28" s="871">
        <v>2.330646458791455E-4</v>
      </c>
      <c r="H28" s="871">
        <v>2.4914727628821135E-4</v>
      </c>
      <c r="I28" s="871">
        <v>2.6522990669727717E-4</v>
      </c>
      <c r="J28" s="871">
        <v>2.81312537106343E-4</v>
      </c>
      <c r="K28" s="871">
        <v>2.9739516751540882E-4</v>
      </c>
      <c r="L28" s="871">
        <v>3.1347779792447464E-4</v>
      </c>
      <c r="M28" s="871">
        <v>3.2956042833354052E-4</v>
      </c>
      <c r="N28" s="871">
        <v>3.4564305874260634E-4</v>
      </c>
      <c r="O28" s="870">
        <v>3.6172568915167217E-4</v>
      </c>
      <c r="P28" s="419"/>
    </row>
    <row r="29" spans="2:17" ht="15.75">
      <c r="B29" s="152"/>
      <c r="C29" s="413">
        <v>2</v>
      </c>
      <c r="D29" s="414" t="s">
        <v>955</v>
      </c>
      <c r="E29" s="866"/>
      <c r="F29" s="869">
        <v>0.58344055099029235</v>
      </c>
      <c r="G29" s="869">
        <v>0.58344055099029235</v>
      </c>
      <c r="H29" s="869">
        <v>0.59171526640536187</v>
      </c>
      <c r="I29" s="869">
        <v>0.5999899818204314</v>
      </c>
      <c r="J29" s="869">
        <v>0.60826469723550092</v>
      </c>
      <c r="K29" s="869">
        <v>0.61653941265057033</v>
      </c>
      <c r="L29" s="869">
        <v>0.62481412806563985</v>
      </c>
      <c r="M29" s="869">
        <v>0.63308884348070937</v>
      </c>
      <c r="N29" s="869">
        <v>0.6413635588957789</v>
      </c>
      <c r="O29" s="869">
        <v>0.64963827431084842</v>
      </c>
      <c r="P29" s="419"/>
    </row>
    <row r="30" spans="2:17" ht="15.75">
      <c r="B30" s="152"/>
      <c r="C30" s="413"/>
      <c r="D30" s="414" t="s">
        <v>952</v>
      </c>
      <c r="E30" s="865"/>
      <c r="F30" s="869">
        <v>0.41632638436382852</v>
      </c>
      <c r="G30" s="869">
        <v>0.41632638436382852</v>
      </c>
      <c r="H30" s="869">
        <v>0.40803558631834996</v>
      </c>
      <c r="I30" s="869">
        <v>0.39974478827287141</v>
      </c>
      <c r="J30" s="869">
        <v>0.3914539902273928</v>
      </c>
      <c r="K30" s="869">
        <v>0.38316319218191425</v>
      </c>
      <c r="L30" s="869">
        <v>0.37487239413643569</v>
      </c>
      <c r="M30" s="869">
        <v>0.36658159609095708</v>
      </c>
      <c r="N30" s="869">
        <v>0.35829079804547853</v>
      </c>
      <c r="O30" s="869">
        <v>0.35</v>
      </c>
      <c r="P30" s="419"/>
    </row>
    <row r="31" spans="2:17" ht="15.75">
      <c r="B31" s="152"/>
      <c r="C31" s="413"/>
      <c r="D31" s="112" t="s">
        <v>970</v>
      </c>
      <c r="E31" s="867"/>
      <c r="F31" s="871">
        <v>2.330646458791455E-4</v>
      </c>
      <c r="G31" s="871">
        <v>2.330646458791455E-4</v>
      </c>
      <c r="H31" s="871">
        <v>2.4914727628821135E-4</v>
      </c>
      <c r="I31" s="871">
        <v>2.6522990669727717E-4</v>
      </c>
      <c r="J31" s="871">
        <v>2.81312537106343E-4</v>
      </c>
      <c r="K31" s="871">
        <v>2.9739516751540882E-4</v>
      </c>
      <c r="L31" s="871">
        <v>3.1347779792447464E-4</v>
      </c>
      <c r="M31" s="871">
        <v>3.2956042833354052E-4</v>
      </c>
      <c r="N31" s="871">
        <v>3.4564305874260634E-4</v>
      </c>
      <c r="O31" s="870">
        <v>3.6172568915167217E-4</v>
      </c>
      <c r="P31" s="419"/>
    </row>
    <row r="32" spans="2:17" ht="15.75">
      <c r="B32" s="152"/>
      <c r="C32" s="413">
        <v>3</v>
      </c>
      <c r="D32" s="414" t="s">
        <v>955</v>
      </c>
      <c r="E32" s="866"/>
      <c r="F32" s="869">
        <v>0.58344055099029235</v>
      </c>
      <c r="G32" s="869">
        <v>0.58344055099029235</v>
      </c>
      <c r="H32" s="869">
        <v>0.58546526640536189</v>
      </c>
      <c r="I32" s="869">
        <v>0.58748998182043133</v>
      </c>
      <c r="J32" s="869">
        <v>0.58951469723550087</v>
      </c>
      <c r="K32" s="869">
        <v>0.59153941265057042</v>
      </c>
      <c r="L32" s="869">
        <v>0.59356412806563985</v>
      </c>
      <c r="M32" s="869">
        <v>0.5955888434807094</v>
      </c>
      <c r="N32" s="869">
        <v>0.59761355889577883</v>
      </c>
      <c r="O32" s="869">
        <v>0.59963827431084837</v>
      </c>
      <c r="P32" s="419"/>
    </row>
    <row r="33" spans="2:16" ht="15.75">
      <c r="B33" s="152"/>
      <c r="C33" s="413"/>
      <c r="D33" s="414" t="s">
        <v>952</v>
      </c>
      <c r="E33" s="865"/>
      <c r="F33" s="869">
        <v>0.41632638436382852</v>
      </c>
      <c r="G33" s="869">
        <v>0.41632638436382852</v>
      </c>
      <c r="H33" s="869">
        <v>0.41428558631834994</v>
      </c>
      <c r="I33" s="869">
        <v>0.41224478827287137</v>
      </c>
      <c r="J33" s="869">
        <v>0.41020399022739285</v>
      </c>
      <c r="K33" s="869">
        <v>0.40816319218191427</v>
      </c>
      <c r="L33" s="869">
        <v>0.40612239413643569</v>
      </c>
      <c r="M33" s="869">
        <v>0.40408159609095717</v>
      </c>
      <c r="N33" s="869">
        <v>0.4020407980454786</v>
      </c>
      <c r="O33" s="869">
        <v>0.4</v>
      </c>
      <c r="P33" s="419"/>
    </row>
    <row r="34" spans="2:16" ht="15.75">
      <c r="B34" s="152"/>
      <c r="C34" s="413"/>
      <c r="D34" s="112" t="s">
        <v>970</v>
      </c>
      <c r="E34" s="867"/>
      <c r="F34" s="871">
        <v>2.330646458791455E-4</v>
      </c>
      <c r="G34" s="871">
        <v>2.330646458791455E-4</v>
      </c>
      <c r="H34" s="871">
        <v>2.4914727628821135E-4</v>
      </c>
      <c r="I34" s="871">
        <v>2.6522990669727717E-4</v>
      </c>
      <c r="J34" s="871">
        <v>2.81312537106343E-4</v>
      </c>
      <c r="K34" s="871">
        <v>2.9739516751540882E-4</v>
      </c>
      <c r="L34" s="871">
        <v>3.1347779792447464E-4</v>
      </c>
      <c r="M34" s="871">
        <v>3.2956042833354052E-4</v>
      </c>
      <c r="N34" s="871">
        <v>3.4564305874260634E-4</v>
      </c>
      <c r="O34" s="870">
        <v>3.6172568915167217E-4</v>
      </c>
      <c r="P34" s="419"/>
    </row>
    <row r="35" spans="2:16" ht="15.75">
      <c r="B35" s="152"/>
      <c r="C35" s="413">
        <v>4</v>
      </c>
      <c r="D35" s="414" t="s">
        <v>955</v>
      </c>
      <c r="E35" s="866"/>
      <c r="F35" s="869">
        <v>0.58344055099029235</v>
      </c>
      <c r="G35" s="869">
        <v>0.58344055099029235</v>
      </c>
      <c r="H35" s="869">
        <v>0.57921526640536181</v>
      </c>
      <c r="I35" s="869">
        <v>0.57498998182043137</v>
      </c>
      <c r="J35" s="869">
        <v>0.57076469723550083</v>
      </c>
      <c r="K35" s="869">
        <v>0.56653941265057028</v>
      </c>
      <c r="L35" s="869">
        <v>0.56231412806563985</v>
      </c>
      <c r="M35" s="869">
        <v>0.55808884348070931</v>
      </c>
      <c r="N35" s="869">
        <v>0.55386355889577887</v>
      </c>
      <c r="O35" s="869">
        <v>0.54963827431084833</v>
      </c>
      <c r="P35" s="419"/>
    </row>
    <row r="36" spans="2:16" ht="15.75">
      <c r="B36" s="152"/>
      <c r="C36" s="413"/>
      <c r="D36" s="414" t="s">
        <v>952</v>
      </c>
      <c r="E36" s="865"/>
      <c r="F36" s="869">
        <v>0.41632638436382852</v>
      </c>
      <c r="G36" s="869">
        <v>0.41632638436382852</v>
      </c>
      <c r="H36" s="869">
        <v>0.42053558631834997</v>
      </c>
      <c r="I36" s="869">
        <v>0.42474478827287138</v>
      </c>
      <c r="J36" s="869">
        <v>0.42895399022739283</v>
      </c>
      <c r="K36" s="869">
        <v>0.43316319218191424</v>
      </c>
      <c r="L36" s="869">
        <v>0.43737239413643569</v>
      </c>
      <c r="M36" s="869">
        <v>0.44158159609095715</v>
      </c>
      <c r="N36" s="869">
        <v>0.44579079804547855</v>
      </c>
      <c r="O36" s="869">
        <v>0.45</v>
      </c>
      <c r="P36" s="419"/>
    </row>
    <row r="37" spans="2:16" ht="15.75">
      <c r="B37" s="152"/>
      <c r="C37" s="413"/>
      <c r="D37" s="112" t="s">
        <v>970</v>
      </c>
      <c r="E37" s="867"/>
      <c r="F37" s="871">
        <v>2.330646458791455E-4</v>
      </c>
      <c r="G37" s="871">
        <v>2.330646458791455E-4</v>
      </c>
      <c r="H37" s="871">
        <v>2.4914727628821135E-4</v>
      </c>
      <c r="I37" s="871">
        <v>2.6522990669727717E-4</v>
      </c>
      <c r="J37" s="871">
        <v>2.81312537106343E-4</v>
      </c>
      <c r="K37" s="871">
        <v>2.9739516751540882E-4</v>
      </c>
      <c r="L37" s="871">
        <v>3.1347779792447464E-4</v>
      </c>
      <c r="M37" s="871">
        <v>3.2956042833354052E-4</v>
      </c>
      <c r="N37" s="871">
        <v>3.4564305874260634E-4</v>
      </c>
      <c r="O37" s="870">
        <v>3.6172568915167217E-4</v>
      </c>
      <c r="P37" s="419"/>
    </row>
    <row r="38" spans="2:16" ht="15.75">
      <c r="B38" s="152"/>
      <c r="C38" s="413"/>
      <c r="D38" s="65"/>
      <c r="E38" s="65"/>
      <c r="F38" s="872"/>
      <c r="G38" s="873"/>
      <c r="H38" s="873"/>
      <c r="I38" s="873"/>
      <c r="J38" s="873"/>
      <c r="K38" s="873"/>
      <c r="L38" s="873"/>
      <c r="M38" s="873"/>
      <c r="N38" s="873"/>
      <c r="O38" s="873"/>
      <c r="P38" s="419"/>
    </row>
    <row r="39" spans="2:16" ht="15.75">
      <c r="B39" s="152"/>
      <c r="C39" s="2665" t="s">
        <v>406</v>
      </c>
      <c r="D39" s="2666" t="s">
        <v>955</v>
      </c>
      <c r="E39" s="407"/>
      <c r="F39" s="874">
        <f>(INDEX(F$26:F$37,ROUNDDOWN(3*$E$9-2,0))*(1-MOD(3*$E$9-2,1)))+(INDEX(F$26:F$37,ROUNDUP(3*$E$9-2,0))*MOD(3*$E$9-2,1))</f>
        <v>0.58344055099029235</v>
      </c>
      <c r="G39" s="874">
        <f t="shared" ref="G39:O39" si="4">(INDEX(G$26:G$37,ROUNDDOWN(3*$E$9-2,0))*(1-MOD(3*$E$9-2,1)))+(INDEX(G$26:G$37,ROUNDUP(3*$E$9-2,0))*MOD(3*$E$9-2,1))</f>
        <v>0.58344055099029235</v>
      </c>
      <c r="H39" s="874">
        <f t="shared" si="4"/>
        <v>0.60099642739001324</v>
      </c>
      <c r="I39" s="874">
        <f t="shared" si="4"/>
        <v>0.61855230378973403</v>
      </c>
      <c r="J39" s="874">
        <f t="shared" si="4"/>
        <v>0.63610818018945492</v>
      </c>
      <c r="K39" s="874">
        <f t="shared" si="4"/>
        <v>0.65366405658917581</v>
      </c>
      <c r="L39" s="874">
        <f t="shared" si="4"/>
        <v>0.67121993298889671</v>
      </c>
      <c r="M39" s="874">
        <f t="shared" si="4"/>
        <v>0.6887758093886176</v>
      </c>
      <c r="N39" s="874">
        <f t="shared" si="4"/>
        <v>0.70633168578833838</v>
      </c>
      <c r="O39" s="874">
        <f t="shared" si="4"/>
        <v>0.72388756218805927</v>
      </c>
      <c r="P39" s="419"/>
    </row>
    <row r="40" spans="2:16" ht="15.75">
      <c r="B40" s="152"/>
      <c r="C40" s="455"/>
      <c r="D40" s="414" t="s">
        <v>952</v>
      </c>
      <c r="E40" s="414"/>
      <c r="F40" s="874">
        <f>(INDEX(F$26:F$37,ROUNDDOWN(3*$E$9-1,0))*(1-MOD(3*$E$9-1,1)))+(INDEX(F$26:F$37,ROUNDUP(3*$E$9-1,0))*MOD(3*$E$9-1,1))</f>
        <v>0.41632638436382852</v>
      </c>
      <c r="G40" s="874">
        <f t="shared" ref="G40:O40" si="5">(INDEX(G$26:G$37,ROUNDDOWN(3*$E$9-1,0))*(1-MOD(3*$E$9-1,1)))+(INDEX(G$26:G$37,ROUNDUP(3*$E$9-1,0))*MOD(3*$E$9-1,1))</f>
        <v>0.41632638436382852</v>
      </c>
      <c r="H40" s="874">
        <f t="shared" si="5"/>
        <v>0.39875442533369859</v>
      </c>
      <c r="I40" s="874">
        <f t="shared" si="5"/>
        <v>0.38118246630356867</v>
      </c>
      <c r="J40" s="874">
        <f t="shared" si="5"/>
        <v>0.36361050727343874</v>
      </c>
      <c r="K40" s="874">
        <f t="shared" si="5"/>
        <v>0.34603854824330882</v>
      </c>
      <c r="L40" s="874">
        <f t="shared" si="5"/>
        <v>0.32846658921317884</v>
      </c>
      <c r="M40" s="874">
        <f t="shared" si="5"/>
        <v>0.31089463018304891</v>
      </c>
      <c r="N40" s="874">
        <f t="shared" si="5"/>
        <v>0.29332267115291899</v>
      </c>
      <c r="O40" s="874">
        <f t="shared" si="5"/>
        <v>0.27575071212278907</v>
      </c>
      <c r="P40" s="419"/>
    </row>
    <row r="41" spans="2:16" ht="15.75">
      <c r="B41" s="152"/>
      <c r="C41" s="455"/>
      <c r="D41" s="112" t="s">
        <v>970</v>
      </c>
      <c r="E41" s="414"/>
      <c r="F41" s="874">
        <f>(INDEX(F$26:F$37,ROUNDDOWN(3*$E$9,0))*(1-MOD(3*$E$9,1)))+(INDEX(F$26:F$37,ROUNDUP(3*$E$9,0))*MOD(3*$E$9,1))</f>
        <v>2.330646458791455E-4</v>
      </c>
      <c r="G41" s="874">
        <f t="shared" ref="G41:O41" si="6">(INDEX(G$26:G$37,ROUNDDOWN(3*$E$9,0))*(1-MOD(3*$E$9,1)))+(INDEX(G$26:G$37,ROUNDUP(3*$E$9,0))*MOD(3*$E$9,1))</f>
        <v>2.330646458791455E-4</v>
      </c>
      <c r="H41" s="874">
        <f t="shared" si="6"/>
        <v>2.4914727628821135E-4</v>
      </c>
      <c r="I41" s="874">
        <f t="shared" si="6"/>
        <v>2.6522990669727717E-4</v>
      </c>
      <c r="J41" s="874">
        <f t="shared" si="6"/>
        <v>2.81312537106343E-4</v>
      </c>
      <c r="K41" s="874">
        <f t="shared" si="6"/>
        <v>2.9739516751540882E-4</v>
      </c>
      <c r="L41" s="874">
        <f t="shared" si="6"/>
        <v>3.1347779792447464E-4</v>
      </c>
      <c r="M41" s="874">
        <f t="shared" si="6"/>
        <v>3.2956042833354052E-4</v>
      </c>
      <c r="N41" s="874">
        <f t="shared" si="6"/>
        <v>3.4564305874260634E-4</v>
      </c>
      <c r="O41" s="874">
        <f t="shared" si="6"/>
        <v>3.6172568915167217E-4</v>
      </c>
      <c r="P41" s="419"/>
    </row>
    <row r="42" spans="2:16" ht="15.75">
      <c r="B42" s="152"/>
      <c r="C42" s="413"/>
      <c r="D42" s="414"/>
      <c r="E42" s="414"/>
      <c r="F42" s="2657"/>
      <c r="G42" s="2657"/>
      <c r="H42" s="2661"/>
      <c r="I42" s="2661"/>
      <c r="J42" s="2661"/>
      <c r="K42" s="2661"/>
      <c r="L42" s="2661"/>
      <c r="M42" s="2661"/>
      <c r="N42" s="2661"/>
      <c r="O42" s="2661"/>
      <c r="P42" s="419"/>
    </row>
    <row r="43" spans="2:16" ht="15.75">
      <c r="B43" s="152"/>
      <c r="C43" s="413"/>
      <c r="D43" s="414"/>
      <c r="E43" s="414"/>
      <c r="F43" s="2657"/>
      <c r="G43" s="2657"/>
      <c r="H43" s="2661"/>
      <c r="I43" s="2661"/>
      <c r="J43" s="2661"/>
      <c r="K43" s="2661"/>
      <c r="L43" s="2661"/>
      <c r="M43" s="2661"/>
      <c r="N43" s="2661"/>
      <c r="O43" s="2661"/>
      <c r="P43" s="419"/>
    </row>
    <row r="44" spans="2:16" ht="15.75">
      <c r="B44" s="152"/>
      <c r="C44" s="106" t="s">
        <v>2107</v>
      </c>
      <c r="D44" s="414"/>
      <c r="E44" s="414"/>
      <c r="F44" s="2657"/>
      <c r="G44" s="2657"/>
      <c r="H44" s="2661"/>
      <c r="I44" s="2661"/>
      <c r="J44" s="2661"/>
      <c r="K44" s="2661"/>
      <c r="L44" s="2661"/>
      <c r="M44" s="2661"/>
      <c r="N44" s="2661"/>
      <c r="O44" s="2661"/>
      <c r="P44" s="419"/>
    </row>
    <row r="45" spans="2:16" ht="15.75">
      <c r="B45" s="152"/>
      <c r="C45" s="106" t="s">
        <v>460</v>
      </c>
      <c r="D45" s="414"/>
      <c r="E45" s="414"/>
      <c r="F45" s="2657"/>
      <c r="G45" s="2657"/>
      <c r="H45" s="2661"/>
      <c r="I45" s="2661"/>
      <c r="J45" s="2661"/>
      <c r="K45" s="2661"/>
      <c r="L45" s="2661"/>
      <c r="M45" s="2661"/>
      <c r="N45" s="2661"/>
      <c r="O45" s="2661"/>
      <c r="P45" s="419"/>
    </row>
    <row r="46" spans="2:16" ht="15.75">
      <c r="B46" s="152"/>
      <c r="C46" s="413"/>
      <c r="D46" s="414"/>
      <c r="E46" s="414"/>
      <c r="F46" s="2657"/>
      <c r="G46" s="2657"/>
      <c r="H46" s="2661"/>
      <c r="I46" s="2661"/>
      <c r="J46" s="2661"/>
      <c r="K46" s="2661"/>
      <c r="L46" s="2661"/>
      <c r="M46" s="2661"/>
      <c r="N46" s="2661"/>
      <c r="O46" s="2661"/>
      <c r="P46" s="419"/>
    </row>
    <row r="47" spans="2:16" ht="15.75">
      <c r="B47" s="152"/>
      <c r="C47" s="877" t="s">
        <v>2203</v>
      </c>
      <c r="D47" s="414"/>
      <c r="E47" s="218"/>
      <c r="F47" s="891"/>
      <c r="G47" s="843">
        <f>unit.lde</f>
        <v>9.7499999999999996E-9</v>
      </c>
      <c r="H47" s="843">
        <f>Unit.kWh</f>
        <v>1.0000000000000001E-9</v>
      </c>
      <c r="I47" s="843">
        <f>unit.latfe</f>
        <v>1.0030555555555555E-8</v>
      </c>
      <c r="J47" s="843"/>
      <c r="K47" s="843"/>
      <c r="L47" s="843"/>
      <c r="M47" s="843"/>
      <c r="N47" s="889"/>
      <c r="O47" s="889" t="str">
        <f>preferences.energyunits&amp;"/vehicle-ton-km"</f>
        <v>TWh/vehicle-ton-km</v>
      </c>
      <c r="P47" s="419"/>
    </row>
    <row r="48" spans="2:16" ht="15.75">
      <c r="B48" s="152"/>
      <c r="C48" s="106" t="s">
        <v>460</v>
      </c>
      <c r="D48" s="414"/>
      <c r="E48" s="218"/>
      <c r="F48" s="843"/>
      <c r="G48" s="890"/>
      <c r="H48" s="843"/>
      <c r="I48" s="843"/>
      <c r="J48" s="843"/>
      <c r="K48" s="843"/>
      <c r="L48" s="843"/>
      <c r="M48" s="843"/>
      <c r="N48" s="843"/>
      <c r="O48" s="875"/>
      <c r="P48" s="419"/>
    </row>
    <row r="49" spans="2:16" ht="15.75">
      <c r="B49" s="152"/>
      <c r="C49" s="61" t="s">
        <v>840</v>
      </c>
      <c r="D49" s="61" t="s">
        <v>870</v>
      </c>
      <c r="E49" s="61" t="s">
        <v>275</v>
      </c>
      <c r="F49" s="119">
        <v>2007</v>
      </c>
      <c r="G49" s="120">
        <f t="shared" ref="G49:O49" si="7">F49+5</f>
        <v>2012</v>
      </c>
      <c r="H49" s="120">
        <f t="shared" si="7"/>
        <v>2017</v>
      </c>
      <c r="I49" s="120">
        <f t="shared" si="7"/>
        <v>2022</v>
      </c>
      <c r="J49" s="120">
        <f t="shared" si="7"/>
        <v>2027</v>
      </c>
      <c r="K49" s="120">
        <f t="shared" si="7"/>
        <v>2032</v>
      </c>
      <c r="L49" s="120">
        <f t="shared" si="7"/>
        <v>2037</v>
      </c>
      <c r="M49" s="120">
        <f t="shared" si="7"/>
        <v>2042</v>
      </c>
      <c r="N49" s="120">
        <f t="shared" si="7"/>
        <v>2047</v>
      </c>
      <c r="O49" s="120">
        <f t="shared" si="7"/>
        <v>2052</v>
      </c>
      <c r="P49" s="419"/>
    </row>
    <row r="50" spans="2:16" ht="15.75">
      <c r="B50" s="152"/>
      <c r="C50" s="413" t="s">
        <v>955</v>
      </c>
      <c r="D50" s="414" t="s">
        <v>973</v>
      </c>
      <c r="E50" s="218" t="s">
        <v>953</v>
      </c>
      <c r="F50" s="3080">
        <f>(G50)</f>
        <v>3.3160572831189374E-10</v>
      </c>
      <c r="G50" s="3081">
        <f>0.034010843929425*(unit.lde)</f>
        <v>3.3160572831189374E-10</v>
      </c>
      <c r="H50" s="3081">
        <f>0.0307891830091034*(unit.lde)</f>
        <v>3.0019453433875814E-10</v>
      </c>
      <c r="I50" s="3081">
        <f>0.0283112910125791*(unit.lde)</f>
        <v>2.7603508737264623E-10</v>
      </c>
      <c r="J50" s="3081">
        <f>0.0262579307871722*(unit.lde)</f>
        <v>2.5601482517492897E-10</v>
      </c>
      <c r="K50" s="3081">
        <f>0.0243651483811489*(unit.lde)</f>
        <v>2.3756019671620176E-10</v>
      </c>
      <c r="L50" s="3081">
        <f>0.0226682866962844*(unit.lde)</f>
        <v>2.210157952887729E-10</v>
      </c>
      <c r="M50" s="3081">
        <f>0.021749218063756*(unit.lde)</f>
        <v>2.1205487612162102E-10</v>
      </c>
      <c r="N50" s="3081">
        <f>0.0206200126850476*(unit.lde)</f>
        <v>2.0104512367921408E-10</v>
      </c>
      <c r="O50" s="3081">
        <f>0.0192593890272715*(unit.lde)</f>
        <v>1.8777904301589711E-10</v>
      </c>
      <c r="P50" s="419"/>
    </row>
    <row r="51" spans="2:16" ht="15.75">
      <c r="B51" s="152"/>
      <c r="C51" s="413"/>
      <c r="D51" s="414" t="s">
        <v>974</v>
      </c>
      <c r="E51" s="218" t="s">
        <v>953</v>
      </c>
      <c r="F51" s="3080">
        <f t="shared" ref="F51:F54" si="8">(G51)</f>
        <v>4.8764726947538159E-10</v>
      </c>
      <c r="G51" s="3081">
        <f>0.0500151045615776*(unit.lde)</f>
        <v>4.8764726947538159E-10</v>
      </c>
      <c r="H51" s="3081">
        <f>0.0473504297257379*(unit.lde)</f>
        <v>4.6166668982594451E-10</v>
      </c>
      <c r="I51" s="3081">
        <f>0.0448277218425417*(unit.lde)</f>
        <v>4.3707028796478153E-10</v>
      </c>
      <c r="J51" s="3081">
        <f>0.0424394172815709*(unit.lde)</f>
        <v>4.1378431849531623E-10</v>
      </c>
      <c r="K51" s="3081">
        <f>0.0401783553829864*(unit.lde)</f>
        <v>3.9173896498411738E-10</v>
      </c>
      <c r="L51" s="3081">
        <f>0.0380377569883023*(unit.lde)</f>
        <v>3.7086813063594739E-10</v>
      </c>
      <c r="M51" s="3081">
        <f>0.0360112041149853*(unit.lde)</f>
        <v>3.5110924012110665E-10</v>
      </c>
      <c r="N51" s="3081">
        <f>0.0340926207139379*(unit.lde)</f>
        <v>3.3240305196089451E-10</v>
      </c>
      <c r="O51" s="3081">
        <f>0.0322762544521737*(unit.lde)</f>
        <v>3.1469348090869354E-10</v>
      </c>
      <c r="P51" s="419"/>
    </row>
    <row r="52" spans="2:16" ht="15.75">
      <c r="B52" s="152"/>
      <c r="C52" s="413" t="s">
        <v>952</v>
      </c>
      <c r="D52" s="414"/>
      <c r="E52" s="218" t="s">
        <v>953</v>
      </c>
      <c r="F52" s="3080">
        <f t="shared" si="8"/>
        <v>5.1679542579793442E-11</v>
      </c>
      <c r="G52" s="3081">
        <f>0.00530046590561984*(unit.lde)</f>
        <v>5.1679542579793442E-11</v>
      </c>
      <c r="H52" s="3081">
        <f>0.00519460706904224*(unit.lde)</f>
        <v>5.064741892316184E-11</v>
      </c>
      <c r="I52" s="3081">
        <f>0.0050908624038377*(unit.lde)</f>
        <v>4.9635908437417573E-11</v>
      </c>
      <c r="J52" s="3081">
        <f>0.00498918968660062*(unit.lde)</f>
        <v>4.864459944435604E-11</v>
      </c>
      <c r="K52" s="3081">
        <f>0.00488954753719474*(unit.lde)</f>
        <v>4.7673088487648718E-11</v>
      </c>
      <c r="L52" s="3081">
        <f>0.00479189540191178*(unit.lde)</f>
        <v>4.6720980168639849E-11</v>
      </c>
      <c r="M52" s="3081">
        <f>0.00469619353696627*(unit.lde)</f>
        <v>4.5787886985421128E-11</v>
      </c>
      <c r="N52" s="3081">
        <f>0.00460240299232011*(unit.lde)</f>
        <v>4.4873429175121068E-11</v>
      </c>
      <c r="O52" s="3081">
        <f>0.00451048559583017*(unit.lde)</f>
        <v>4.3977234559344156E-11</v>
      </c>
      <c r="P52" s="419"/>
    </row>
    <row r="53" spans="2:16" ht="15.75">
      <c r="B53" s="152"/>
      <c r="C53" s="413"/>
      <c r="D53" s="414"/>
      <c r="E53" s="218" t="s">
        <v>954</v>
      </c>
      <c r="F53" s="3080">
        <f>G53</f>
        <v>1.4547414491458901E-11</v>
      </c>
      <c r="G53" s="3080">
        <f>0.0145474144914589*(Unit.kWh)</f>
        <v>1.4547414491458901E-11</v>
      </c>
      <c r="H53" s="3080">
        <f>0.0137478220742849*(Unit.kWh)</f>
        <v>1.3747822074284901E-11</v>
      </c>
      <c r="I53" s="3080">
        <f>0.012992178912422*(Unit.kWh)</f>
        <v>1.2992178912422002E-11</v>
      </c>
      <c r="J53" s="3080">
        <f>0.0122780693538444*(Unit.kWh)</f>
        <v>1.2278069353844401E-11</v>
      </c>
      <c r="K53" s="3080">
        <f>0.0116032105218069*(Unit.kWh)</f>
        <v>1.1603210521806902E-11</v>
      </c>
      <c r="L53" s="3080">
        <f>0.0109654450169086*(Unit.kWh)</f>
        <v>1.09654450169086E-11</v>
      </c>
      <c r="M53" s="3080">
        <f>0.010362734020284*(Unit.kWh)</f>
        <v>1.0362734020284E-11</v>
      </c>
      <c r="N53" s="3080">
        <f>0.00979315077587477*(Unit.kWh)</f>
        <v>9.7931507758747707E-12</v>
      </c>
      <c r="O53" s="3080">
        <f>0.00925487443094565*(Unit.kWh)</f>
        <v>9.2548744309456505E-12</v>
      </c>
      <c r="P53" s="419"/>
    </row>
    <row r="54" spans="2:16" ht="15.75">
      <c r="B54" s="152"/>
      <c r="C54" s="111" t="s">
        <v>970</v>
      </c>
      <c r="D54" s="112"/>
      <c r="E54" s="844" t="s">
        <v>970</v>
      </c>
      <c r="F54" s="3082">
        <f t="shared" si="8"/>
        <v>2.4731492094017047E-9</v>
      </c>
      <c r="G54" s="3082">
        <f>0.246561538461538*(unit.latfe)</f>
        <v>2.4731492094017047E-9</v>
      </c>
      <c r="H54" s="3082">
        <f>0.243494890849815*(unit.latfe)</f>
        <v>2.4423890301630053E-9</v>
      </c>
      <c r="I54" s="3082">
        <f>0.240466385146328*(unit.latfe)</f>
        <v>2.4120114354538621E-9</v>
      </c>
      <c r="J54" s="3082">
        <f>0.23747554695514*(unit.latfe)</f>
        <v>2.3820116668194739E-9</v>
      </c>
      <c r="K54" s="3082">
        <f>0.23452190778069*(unit.latfe)</f>
        <v>2.3523850249890875E-9</v>
      </c>
      <c r="L54" s="3082">
        <f>0.231605004954402*(unit.latfe)</f>
        <v>2.3231268691398491E-9</v>
      </c>
      <c r="M54" s="3082">
        <f>0.228724381562213*(unit.latfe)</f>
        <v>2.2942326161698642E-9</v>
      </c>
      <c r="N54" s="3082">
        <f>0.225879586372998*(unit.latfe)</f>
        <v>2.265697739980266E-9</v>
      </c>
      <c r="O54" s="3082">
        <f>0.223070173767894*(unit.latfe)</f>
        <v>2.2375177707662924E-9</v>
      </c>
      <c r="P54" s="775"/>
    </row>
    <row r="55" spans="2:16" ht="15.75">
      <c r="B55" s="152"/>
      <c r="C55" s="413"/>
      <c r="D55" s="414"/>
      <c r="E55" s="414"/>
      <c r="F55" s="2657"/>
      <c r="G55" s="2657"/>
      <c r="H55" s="2661"/>
      <c r="I55" s="2661"/>
      <c r="J55" s="2661"/>
      <c r="K55" s="2661"/>
      <c r="L55" s="2661"/>
      <c r="M55" s="2661"/>
      <c r="N55" s="2661"/>
      <c r="O55" s="2661"/>
      <c r="P55" s="419"/>
    </row>
    <row r="56" spans="2:16" ht="15.75">
      <c r="B56" s="152"/>
      <c r="C56" s="877"/>
      <c r="D56" s="414"/>
      <c r="E56" s="218"/>
      <c r="F56" s="891"/>
      <c r="G56" s="843"/>
      <c r="H56" s="843"/>
      <c r="I56" s="843"/>
      <c r="J56" s="843"/>
      <c r="K56" s="843"/>
      <c r="L56" s="843"/>
      <c r="M56" s="843"/>
      <c r="N56" s="889"/>
      <c r="O56" s="889" t="str">
        <f>preferences.energyunits&amp;"/vehicle-ton-km"</f>
        <v>TWh/vehicle-ton-km</v>
      </c>
      <c r="P56" s="419"/>
    </row>
    <row r="57" spans="2:16" ht="15.75">
      <c r="B57" s="152"/>
      <c r="C57" s="106" t="s">
        <v>461</v>
      </c>
      <c r="D57" s="414"/>
      <c r="E57" s="218"/>
      <c r="F57" s="843"/>
      <c r="G57" s="890"/>
      <c r="H57" s="843"/>
      <c r="I57" s="843"/>
      <c r="J57" s="843"/>
      <c r="K57" s="843"/>
      <c r="L57" s="843"/>
      <c r="M57" s="843"/>
      <c r="N57" s="843"/>
      <c r="O57" s="875"/>
      <c r="P57" s="419"/>
    </row>
    <row r="58" spans="2:16" ht="15.75">
      <c r="B58" s="152"/>
      <c r="C58" s="61" t="s">
        <v>840</v>
      </c>
      <c r="D58" s="61" t="s">
        <v>870</v>
      </c>
      <c r="E58" s="61" t="s">
        <v>275</v>
      </c>
      <c r="F58" s="119">
        <v>2007</v>
      </c>
      <c r="G58" s="120">
        <f t="shared" ref="G58:O58" si="9">F58+5</f>
        <v>2012</v>
      </c>
      <c r="H58" s="120">
        <f t="shared" si="9"/>
        <v>2017</v>
      </c>
      <c r="I58" s="120">
        <f t="shared" si="9"/>
        <v>2022</v>
      </c>
      <c r="J58" s="120">
        <f t="shared" si="9"/>
        <v>2027</v>
      </c>
      <c r="K58" s="120">
        <f t="shared" si="9"/>
        <v>2032</v>
      </c>
      <c r="L58" s="120">
        <f t="shared" si="9"/>
        <v>2037</v>
      </c>
      <c r="M58" s="120">
        <f t="shared" si="9"/>
        <v>2042</v>
      </c>
      <c r="N58" s="120">
        <f t="shared" si="9"/>
        <v>2047</v>
      </c>
      <c r="O58" s="120">
        <f t="shared" si="9"/>
        <v>2052</v>
      </c>
      <c r="P58" s="419"/>
    </row>
    <row r="59" spans="2:16" ht="15.75">
      <c r="B59" s="152"/>
      <c r="C59" s="413" t="s">
        <v>955</v>
      </c>
      <c r="D59" s="414" t="s">
        <v>973</v>
      </c>
      <c r="E59" s="218" t="s">
        <v>953</v>
      </c>
      <c r="F59" s="3179">
        <f>(G59)</f>
        <v>3.3160572831189374E-10</v>
      </c>
      <c r="G59" s="3178">
        <f>0.034010843929425*(unit.lde)</f>
        <v>3.3160572831189374E-10</v>
      </c>
      <c r="H59" s="3178">
        <f>0.0307891830091034*(unit.lde)</f>
        <v>3.0019453433875814E-10</v>
      </c>
      <c r="I59" s="3178">
        <f>0.0283112910125791*(unit.lde)</f>
        <v>2.7603508737264623E-10</v>
      </c>
      <c r="J59" s="3178">
        <f>0.0262579307871722*(unit.lde)</f>
        <v>2.5601482517492897E-10</v>
      </c>
      <c r="K59" s="3178">
        <f>0.0243651483811489*(unit.lde)</f>
        <v>2.3756019671620176E-10</v>
      </c>
      <c r="L59" s="3178">
        <f>0.0226682866962844*(unit.lde)</f>
        <v>2.210157952887729E-10</v>
      </c>
      <c r="M59" s="3178">
        <f>0.021749218063756*(unit.lde)</f>
        <v>2.1205487612162102E-10</v>
      </c>
      <c r="N59" s="3178">
        <f>0.0206200126850476*(unit.lde)</f>
        <v>2.0104512367921408E-10</v>
      </c>
      <c r="O59" s="3178">
        <f>0.0192593890272715*(unit.lde)</f>
        <v>1.8777904301589711E-10</v>
      </c>
      <c r="P59" s="419"/>
    </row>
    <row r="60" spans="2:16" ht="15.75">
      <c r="B60" s="152"/>
      <c r="C60" s="413"/>
      <c r="D60" s="414" t="s">
        <v>974</v>
      </c>
      <c r="E60" s="218" t="s">
        <v>953</v>
      </c>
      <c r="F60" s="3179">
        <f t="shared" ref="F60:F63" si="10">(G60)</f>
        <v>4.8764726947538159E-10</v>
      </c>
      <c r="G60" s="3178">
        <f>0.0500151045615776*(unit.lde)</f>
        <v>4.8764726947538159E-10</v>
      </c>
      <c r="H60" s="3178">
        <f>0.0473504297257379*(unit.lde)</f>
        <v>4.6166668982594451E-10</v>
      </c>
      <c r="I60" s="3178">
        <f>0.0448277218425417*(unit.lde)</f>
        <v>4.3707028796478153E-10</v>
      </c>
      <c r="J60" s="3178">
        <f>0.0424394172815709*(unit.lde)</f>
        <v>4.1378431849531623E-10</v>
      </c>
      <c r="K60" s="3178">
        <f>0.0401783553829864*(unit.lde)</f>
        <v>3.9173896498411738E-10</v>
      </c>
      <c r="L60" s="3178">
        <f>0.0380377569883023*(unit.lde)</f>
        <v>3.7086813063594739E-10</v>
      </c>
      <c r="M60" s="3178">
        <f>0.0360112041149853*(unit.lde)</f>
        <v>3.5110924012110665E-10</v>
      </c>
      <c r="N60" s="3178">
        <f>0.0340926207139379*(unit.lde)</f>
        <v>3.3240305196089451E-10</v>
      </c>
      <c r="O60" s="3178">
        <f>0.0322762544521737*(unit.lde)</f>
        <v>3.1469348090869354E-10</v>
      </c>
      <c r="P60" s="419"/>
    </row>
    <row r="61" spans="2:16" ht="15.75">
      <c r="B61" s="152"/>
      <c r="C61" s="413" t="s">
        <v>952</v>
      </c>
      <c r="D61" s="414"/>
      <c r="E61" s="218" t="s">
        <v>953</v>
      </c>
      <c r="F61" s="3179">
        <f t="shared" si="10"/>
        <v>5.1679542579793442E-11</v>
      </c>
      <c r="G61" s="3178">
        <f>0.00530046590561984*(unit.lde)</f>
        <v>5.1679542579793442E-11</v>
      </c>
      <c r="H61" s="3178">
        <f>0.00519460706904224*(unit.lde)</f>
        <v>5.064741892316184E-11</v>
      </c>
      <c r="I61" s="3178">
        <f>0.0050908624038377*(unit.lde)</f>
        <v>4.9635908437417573E-11</v>
      </c>
      <c r="J61" s="3178">
        <f>0.00498918968660062*(unit.lde)</f>
        <v>4.864459944435604E-11</v>
      </c>
      <c r="K61" s="3178">
        <f>0.00488954753719474*(unit.lde)</f>
        <v>4.7673088487648718E-11</v>
      </c>
      <c r="L61" s="3178">
        <f>0.00479189540191178*(unit.lde)</f>
        <v>4.6720980168639849E-11</v>
      </c>
      <c r="M61" s="3178">
        <f>0.00469619353696627*(unit.lde)</f>
        <v>4.5787886985421128E-11</v>
      </c>
      <c r="N61" s="3178">
        <f>0.00460240299232011*(unit.lde)</f>
        <v>4.4873429175121068E-11</v>
      </c>
      <c r="O61" s="3178">
        <f>0.00451048559583017*(unit.lde)</f>
        <v>4.3977234559344156E-11</v>
      </c>
      <c r="P61" s="419"/>
    </row>
    <row r="62" spans="2:16" ht="15.75">
      <c r="B62" s="152"/>
      <c r="C62" s="413"/>
      <c r="D62" s="414"/>
      <c r="E62" s="218" t="s">
        <v>954</v>
      </c>
      <c r="F62" s="3179">
        <f t="shared" si="10"/>
        <v>1.4547414491458901E-11</v>
      </c>
      <c r="G62" s="3179">
        <f>0.0145474144914589*(Unit.kWh)</f>
        <v>1.4547414491458901E-11</v>
      </c>
      <c r="H62" s="3179">
        <f>0.0137478220742849*(Unit.kWh)</f>
        <v>1.3747822074284901E-11</v>
      </c>
      <c r="I62" s="3179">
        <f>0.0114331174429313*(Unit.kWh)</f>
        <v>1.1433117442931302E-11</v>
      </c>
      <c r="J62" s="3179">
        <f>0.0108047010313831*(Unit.kWh)</f>
        <v>1.08047010313831E-11</v>
      </c>
      <c r="K62" s="3179">
        <f>0.0102108252591901*(Unit.kWh)</f>
        <v>1.02108252591901E-11</v>
      </c>
      <c r="L62" s="3179">
        <f>0.00964959161487956*(Unit.kWh)</f>
        <v>9.6495916148795595E-12</v>
      </c>
      <c r="M62" s="3179">
        <f>0.00911920593784988*(Unit.kWh)</f>
        <v>9.1192059378498804E-12</v>
      </c>
      <c r="N62" s="3179">
        <f>0.0086179726827698*(Unit.kWh)</f>
        <v>8.6179726827698014E-12</v>
      </c>
      <c r="O62" s="3179">
        <f>0.00814428949923217*(Unit.kWh)</f>
        <v>8.1442894992321712E-12</v>
      </c>
      <c r="P62" s="419"/>
    </row>
    <row r="63" spans="2:16" ht="15.75">
      <c r="B63" s="152"/>
      <c r="C63" s="111" t="s">
        <v>970</v>
      </c>
      <c r="D63" s="112"/>
      <c r="E63" s="844" t="s">
        <v>970</v>
      </c>
      <c r="F63" s="3180">
        <f t="shared" si="10"/>
        <v>2.4731492094017047E-9</v>
      </c>
      <c r="G63" s="3180">
        <f>0.246561538461538*(unit.latfe)</f>
        <v>2.4731492094017047E-9</v>
      </c>
      <c r="H63" s="3180">
        <f>0.243494890849815*(unit.latfe)</f>
        <v>2.4423890301630053E-9</v>
      </c>
      <c r="I63" s="3180">
        <f>0.240466385146328*(unit.latfe)</f>
        <v>2.4120114354538621E-9</v>
      </c>
      <c r="J63" s="3180">
        <f>0.23747554695514*(unit.latfe)</f>
        <v>2.3820116668194739E-9</v>
      </c>
      <c r="K63" s="3180">
        <f>0.23452190778069*(unit.latfe)</f>
        <v>2.3523850249890875E-9</v>
      </c>
      <c r="L63" s="3180">
        <f>0.231605004954402*(unit.latfe)</f>
        <v>2.3231268691398491E-9</v>
      </c>
      <c r="M63" s="3180">
        <f>0.228724381562213*(unit.latfe)</f>
        <v>2.2942326161698642E-9</v>
      </c>
      <c r="N63" s="3180">
        <f>0.225879586372998*(unit.latfe)</f>
        <v>2.265697739980266E-9</v>
      </c>
      <c r="O63" s="3180">
        <f>0.223070173767894*(unit.latfe)</f>
        <v>2.2375177707662924E-9</v>
      </c>
      <c r="P63" s="775"/>
    </row>
    <row r="64" spans="2:16" ht="15.75">
      <c r="B64" s="152"/>
      <c r="C64" s="413"/>
      <c r="D64" s="414"/>
      <c r="E64" s="414"/>
      <c r="F64" s="2657"/>
      <c r="G64" s="2657"/>
      <c r="H64" s="2661"/>
      <c r="I64" s="2661"/>
      <c r="J64" s="2661"/>
      <c r="K64" s="2661"/>
      <c r="L64" s="2661"/>
      <c r="M64" s="2661"/>
      <c r="N64" s="2661"/>
      <c r="O64" s="2661"/>
      <c r="P64" s="419"/>
    </row>
    <row r="65" spans="2:16" ht="15.75">
      <c r="B65" s="152"/>
      <c r="C65" s="106" t="s">
        <v>462</v>
      </c>
      <c r="D65" s="414"/>
      <c r="E65" s="218"/>
      <c r="F65" s="843"/>
      <c r="G65" s="890"/>
      <c r="H65" s="843"/>
      <c r="I65" s="843"/>
      <c r="J65" s="843"/>
      <c r="K65" s="843"/>
      <c r="L65" s="843"/>
      <c r="M65" s="843"/>
      <c r="N65" s="843"/>
      <c r="O65" s="875"/>
      <c r="P65" s="419"/>
    </row>
    <row r="66" spans="2:16" ht="15.75">
      <c r="B66" s="152"/>
      <c r="C66" s="61" t="s">
        <v>840</v>
      </c>
      <c r="D66" s="61" t="s">
        <v>870</v>
      </c>
      <c r="E66" s="61" t="s">
        <v>275</v>
      </c>
      <c r="F66" s="119">
        <v>2007</v>
      </c>
      <c r="G66" s="120">
        <f t="shared" ref="G66:O66" si="11">F66+5</f>
        <v>2012</v>
      </c>
      <c r="H66" s="120">
        <f t="shared" si="11"/>
        <v>2017</v>
      </c>
      <c r="I66" s="120">
        <f t="shared" si="11"/>
        <v>2022</v>
      </c>
      <c r="J66" s="120">
        <f t="shared" si="11"/>
        <v>2027</v>
      </c>
      <c r="K66" s="120">
        <f t="shared" si="11"/>
        <v>2032</v>
      </c>
      <c r="L66" s="120">
        <f t="shared" si="11"/>
        <v>2037</v>
      </c>
      <c r="M66" s="120">
        <f t="shared" si="11"/>
        <v>2042</v>
      </c>
      <c r="N66" s="120">
        <f t="shared" si="11"/>
        <v>2047</v>
      </c>
      <c r="O66" s="120">
        <f t="shared" si="11"/>
        <v>2052</v>
      </c>
      <c r="P66" s="419"/>
    </row>
    <row r="67" spans="2:16" ht="15.75">
      <c r="B67" s="152"/>
      <c r="C67" s="413" t="s">
        <v>955</v>
      </c>
      <c r="D67" s="414" t="s">
        <v>973</v>
      </c>
      <c r="E67" s="218" t="s">
        <v>953</v>
      </c>
      <c r="F67" s="3179">
        <f>(G67)</f>
        <v>3.3160572831189374E-10</v>
      </c>
      <c r="G67" s="3178">
        <f>0.034010843929425*(unit.lde)</f>
        <v>3.3160572831189374E-10</v>
      </c>
      <c r="H67" s="3178">
        <f>0.0307891830091034*(unit.lde)</f>
        <v>3.0019453433875814E-10</v>
      </c>
      <c r="I67" s="3178">
        <f>0.0283112910125791*(unit.lde)</f>
        <v>2.7603508737264623E-10</v>
      </c>
      <c r="J67" s="3178">
        <f>0.0262579307871722*(unit.lde)</f>
        <v>2.5601482517492897E-10</v>
      </c>
      <c r="K67" s="3178">
        <f>0.0243651483811489*(unit.lde)</f>
        <v>2.3756019671620176E-10</v>
      </c>
      <c r="L67" s="3178">
        <f>0.0226682866962844*(unit.lde)</f>
        <v>2.210157952887729E-10</v>
      </c>
      <c r="M67" s="3178">
        <f>0.021749218063756*(unit.lde)</f>
        <v>2.1205487612162102E-10</v>
      </c>
      <c r="N67" s="3178">
        <f>0.0206200126850476*(unit.lde)</f>
        <v>2.0104512367921408E-10</v>
      </c>
      <c r="O67" s="3178">
        <f>0.0192593890272715*(unit.lde)</f>
        <v>1.8777904301589711E-10</v>
      </c>
      <c r="P67" s="419"/>
    </row>
    <row r="68" spans="2:16" ht="15.75">
      <c r="B68" s="152"/>
      <c r="C68" s="413"/>
      <c r="D68" s="414" t="s">
        <v>974</v>
      </c>
      <c r="E68" s="218" t="s">
        <v>953</v>
      </c>
      <c r="F68" s="3179">
        <f t="shared" ref="F68:F69" si="12">(G68)</f>
        <v>4.8764726947538159E-10</v>
      </c>
      <c r="G68" s="3178">
        <f>0.0500151045615776*(unit.lde)</f>
        <v>4.8764726947538159E-10</v>
      </c>
      <c r="H68" s="3178">
        <f>0.0473504297257379*(unit.lde)</f>
        <v>4.6166668982594451E-10</v>
      </c>
      <c r="I68" s="3178">
        <f>0.0448277218425417*(unit.lde)</f>
        <v>4.3707028796478153E-10</v>
      </c>
      <c r="J68" s="3178">
        <f>0.0424394172815709*(unit.lde)</f>
        <v>4.1378431849531623E-10</v>
      </c>
      <c r="K68" s="3178">
        <f>0.0401783553829864*(unit.lde)</f>
        <v>3.9173896498411738E-10</v>
      </c>
      <c r="L68" s="3178">
        <f>0.0380377569883023*(unit.lde)</f>
        <v>3.7086813063594739E-10</v>
      </c>
      <c r="M68" s="3178">
        <f>0.0360112041149853*(unit.lde)</f>
        <v>3.5110924012110665E-10</v>
      </c>
      <c r="N68" s="3178">
        <f>0.0340926207139379*(unit.lde)</f>
        <v>3.3240305196089451E-10</v>
      </c>
      <c r="O68" s="3178">
        <f>0.0322762544521737*(unit.lde)</f>
        <v>3.1469348090869354E-10</v>
      </c>
      <c r="P68" s="419"/>
    </row>
    <row r="69" spans="2:16" ht="15.75">
      <c r="B69" s="152"/>
      <c r="C69" s="413" t="s">
        <v>952</v>
      </c>
      <c r="D69" s="414"/>
      <c r="E69" s="218" t="s">
        <v>953</v>
      </c>
      <c r="F69" s="3179">
        <f t="shared" si="12"/>
        <v>5.1679542579793442E-11</v>
      </c>
      <c r="G69" s="3178">
        <f>0.00530046590561984*(unit.lde)</f>
        <v>5.1679542579793442E-11</v>
      </c>
      <c r="H69" s="3178">
        <f>0.00519460706904224*(unit.lde)</f>
        <v>5.064741892316184E-11</v>
      </c>
      <c r="I69" s="3178">
        <f>0.0050908624038377*(unit.lde)</f>
        <v>4.9635908437417573E-11</v>
      </c>
      <c r="J69" s="3178">
        <f>0.00498918968660062*(unit.lde)</f>
        <v>4.864459944435604E-11</v>
      </c>
      <c r="K69" s="3178">
        <f>0.00488954753719474*(unit.lde)</f>
        <v>4.7673088487648718E-11</v>
      </c>
      <c r="L69" s="3178">
        <f>0.00479189540191178*(unit.lde)</f>
        <v>4.6720980168639849E-11</v>
      </c>
      <c r="M69" s="3178">
        <f>0.00469619353696627*(unit.lde)</f>
        <v>4.5787886985421128E-11</v>
      </c>
      <c r="N69" s="3178">
        <f>0.00460240299232011*(unit.lde)</f>
        <v>4.4873429175121068E-11</v>
      </c>
      <c r="O69" s="3178">
        <f>0.00451048559583017*(unit.lde)</f>
        <v>4.3977234559344156E-11</v>
      </c>
      <c r="P69" s="419"/>
    </row>
    <row r="70" spans="2:16" ht="15.75">
      <c r="B70" s="152"/>
      <c r="C70" s="413"/>
      <c r="D70" s="414"/>
      <c r="E70" s="218" t="s">
        <v>954</v>
      </c>
      <c r="F70" s="3179">
        <f t="shared" ref="F70:F71" si="13">G70</f>
        <v>1.4547414491458901E-11</v>
      </c>
      <c r="G70" s="3179">
        <f>0.0145474144914589*(Unit.kWh)</f>
        <v>1.4547414491458901E-11</v>
      </c>
      <c r="H70" s="3179">
        <f>0.0137478220742849*(Unit.kWh)</f>
        <v>1.3747822074284901E-11</v>
      </c>
      <c r="I70" s="3179">
        <f>0.0114331174429313*(Unit.kWh)</f>
        <v>1.1433117442931302E-11</v>
      </c>
      <c r="J70" s="3179">
        <f>0.00999434845402934*(Unit.kWh)</f>
        <v>9.994348454029341E-12</v>
      </c>
      <c r="K70" s="3179">
        <f>0.00944501336475084*(Unit.kWh)</f>
        <v>9.4450133647508395E-12</v>
      </c>
      <c r="L70" s="3179">
        <f>0.00892587224376359*(Unit.kWh)</f>
        <v>8.9258722437635916E-12</v>
      </c>
      <c r="M70" s="3179">
        <f>0.00843526549251114*(Unit.kWh)</f>
        <v>8.4352654925111406E-12</v>
      </c>
      <c r="N70" s="3179">
        <f>0.00797162473156206*(Unit.kWh)</f>
        <v>7.9716247315620604E-12</v>
      </c>
      <c r="O70" s="3179">
        <f>0.00753346778678976*(Unit.kWh)</f>
        <v>7.5334677867897614E-12</v>
      </c>
      <c r="P70" s="419"/>
    </row>
    <row r="71" spans="2:16" ht="15.75">
      <c r="B71" s="152"/>
      <c r="C71" s="111" t="s">
        <v>970</v>
      </c>
      <c r="D71" s="112"/>
      <c r="E71" s="844" t="s">
        <v>970</v>
      </c>
      <c r="F71" s="3180">
        <f t="shared" si="13"/>
        <v>2.4731492094017047E-9</v>
      </c>
      <c r="G71" s="3180">
        <f>0.246561538461538*(unit.latfe)</f>
        <v>2.4731492094017047E-9</v>
      </c>
      <c r="H71" s="3180">
        <f>0.243494890849815*(unit.latfe)</f>
        <v>2.4423890301630053E-9</v>
      </c>
      <c r="I71" s="3180">
        <f>0.240466385146328*(unit.latfe)</f>
        <v>2.4120114354538621E-9</v>
      </c>
      <c r="J71" s="3180">
        <f>0.23747554695514*(unit.latfe)</f>
        <v>2.3820116668194739E-9</v>
      </c>
      <c r="K71" s="3180">
        <f>0.23452190778069*(unit.latfe)</f>
        <v>2.3523850249890875E-9</v>
      </c>
      <c r="L71" s="3180">
        <f>0.231605004954402*(unit.latfe)</f>
        <v>2.3231268691398491E-9</v>
      </c>
      <c r="M71" s="3180">
        <f>0.228724381562213*(unit.latfe)</f>
        <v>2.2942326161698642E-9</v>
      </c>
      <c r="N71" s="3180">
        <f>0.225879586372998*(unit.latfe)</f>
        <v>2.265697739980266E-9</v>
      </c>
      <c r="O71" s="3180">
        <f>0.223070173767894*(unit.latfe)</f>
        <v>2.2375177707662924E-9</v>
      </c>
      <c r="P71" s="419"/>
    </row>
    <row r="72" spans="2:16" ht="15.75">
      <c r="B72" s="152"/>
      <c r="C72" s="413"/>
      <c r="D72" s="414"/>
      <c r="E72" s="414"/>
      <c r="F72" s="2657"/>
      <c r="G72" s="2657"/>
      <c r="H72" s="2661"/>
      <c r="I72" s="2661"/>
      <c r="J72" s="2661"/>
      <c r="K72" s="2661"/>
      <c r="L72" s="2661"/>
      <c r="M72" s="2661"/>
      <c r="N72" s="2661"/>
      <c r="O72" s="2661"/>
      <c r="P72" s="419"/>
    </row>
    <row r="73" spans="2:16" ht="15.75">
      <c r="B73" s="152"/>
      <c r="C73" s="106" t="s">
        <v>463</v>
      </c>
      <c r="D73" s="414"/>
      <c r="E73" s="218"/>
      <c r="F73" s="843"/>
      <c r="G73" s="890"/>
      <c r="H73" s="843"/>
      <c r="I73" s="843"/>
      <c r="J73" s="843"/>
      <c r="K73" s="843"/>
      <c r="L73" s="843"/>
      <c r="M73" s="843"/>
      <c r="N73" s="843"/>
      <c r="O73" s="875"/>
      <c r="P73" s="419"/>
    </row>
    <row r="74" spans="2:16" ht="15.75">
      <c r="B74" s="152"/>
      <c r="C74" s="61" t="s">
        <v>840</v>
      </c>
      <c r="D74" s="61" t="s">
        <v>870</v>
      </c>
      <c r="E74" s="61" t="s">
        <v>275</v>
      </c>
      <c r="F74" s="119">
        <v>2007</v>
      </c>
      <c r="G74" s="120">
        <f t="shared" ref="G74:O74" si="14">F74+5</f>
        <v>2012</v>
      </c>
      <c r="H74" s="120">
        <f t="shared" si="14"/>
        <v>2017</v>
      </c>
      <c r="I74" s="120">
        <f t="shared" si="14"/>
        <v>2022</v>
      </c>
      <c r="J74" s="120">
        <f t="shared" si="14"/>
        <v>2027</v>
      </c>
      <c r="K74" s="120">
        <f t="shared" si="14"/>
        <v>2032</v>
      </c>
      <c r="L74" s="120">
        <f t="shared" si="14"/>
        <v>2037</v>
      </c>
      <c r="M74" s="120">
        <f t="shared" si="14"/>
        <v>2042</v>
      </c>
      <c r="N74" s="120">
        <f t="shared" si="14"/>
        <v>2047</v>
      </c>
      <c r="O74" s="120">
        <f t="shared" si="14"/>
        <v>2052</v>
      </c>
      <c r="P74" s="419"/>
    </row>
    <row r="75" spans="2:16" ht="15.75">
      <c r="B75" s="152"/>
      <c r="C75" s="413" t="s">
        <v>955</v>
      </c>
      <c r="D75" s="414" t="s">
        <v>973</v>
      </c>
      <c r="E75" s="218" t="s">
        <v>953</v>
      </c>
      <c r="F75" s="3179">
        <f>G75</f>
        <v>3.3160572831189374E-10</v>
      </c>
      <c r="G75" s="3178">
        <f>0.034010843929425*(unit.lde)</f>
        <v>3.3160572831189374E-10</v>
      </c>
      <c r="H75" s="3178">
        <f>0.0307891830091034*(unit.lde)</f>
        <v>3.0019453433875814E-10</v>
      </c>
      <c r="I75" s="3178">
        <f>0.0283112910125791*(unit.lde)</f>
        <v>2.7603508737264623E-10</v>
      </c>
      <c r="J75" s="3178">
        <f>0.0262579307871722*(unit.lde)</f>
        <v>2.5601482517492897E-10</v>
      </c>
      <c r="K75" s="3178">
        <f>0.0243651483811489*(unit.lde)</f>
        <v>2.3756019671620176E-10</v>
      </c>
      <c r="L75" s="3178">
        <f>0.0226682866962844*(unit.lde)</f>
        <v>2.210157952887729E-10</v>
      </c>
      <c r="M75" s="3178">
        <f>0.021749218063756*(unit.lde)</f>
        <v>2.1205487612162102E-10</v>
      </c>
      <c r="N75" s="3178">
        <f>0.0206200126850476*(unit.lde)</f>
        <v>2.0104512367921408E-10</v>
      </c>
      <c r="O75" s="3178">
        <f>0.0192593890272715*(unit.lde)</f>
        <v>1.8777904301589711E-10</v>
      </c>
      <c r="P75" s="419"/>
    </row>
    <row r="76" spans="2:16" ht="15.75">
      <c r="B76" s="152"/>
      <c r="C76" s="413"/>
      <c r="D76" s="414" t="s">
        <v>974</v>
      </c>
      <c r="E76" s="218" t="s">
        <v>953</v>
      </c>
      <c r="F76" s="3179">
        <f t="shared" ref="F76:F79" si="15">G76</f>
        <v>4.8764726947538159E-10</v>
      </c>
      <c r="G76" s="3178">
        <f>0.0500151045615776*(unit.lde)</f>
        <v>4.8764726947538159E-10</v>
      </c>
      <c r="H76" s="3178">
        <f>0.0473504297257379*(unit.lde)</f>
        <v>4.6166668982594451E-10</v>
      </c>
      <c r="I76" s="3178">
        <f>0.0448277218425417*(unit.lde)</f>
        <v>4.3707028796478153E-10</v>
      </c>
      <c r="J76" s="3178">
        <f>0.0424394172815709*(unit.lde)</f>
        <v>4.1378431849531623E-10</v>
      </c>
      <c r="K76" s="3178">
        <f>0.0401783553829864*(unit.lde)</f>
        <v>3.9173896498411738E-10</v>
      </c>
      <c r="L76" s="3178">
        <f>0.0380377569883023*(unit.lde)</f>
        <v>3.7086813063594739E-10</v>
      </c>
      <c r="M76" s="3178">
        <f>0.0360112041149853*(unit.lde)</f>
        <v>3.5110924012110665E-10</v>
      </c>
      <c r="N76" s="3178">
        <f>0.0340926207139379*(unit.lde)</f>
        <v>3.3240305196089451E-10</v>
      </c>
      <c r="O76" s="3178">
        <f>0.0322762544521737*(unit.lde)</f>
        <v>3.1469348090869354E-10</v>
      </c>
      <c r="P76" s="419"/>
    </row>
    <row r="77" spans="2:16" ht="15.75">
      <c r="B77" s="152"/>
      <c r="C77" s="413" t="s">
        <v>952</v>
      </c>
      <c r="D77" s="414"/>
      <c r="E77" s="218" t="s">
        <v>953</v>
      </c>
      <c r="F77" s="3179">
        <f t="shared" si="15"/>
        <v>5.1679542579793442E-11</v>
      </c>
      <c r="G77" s="3181">
        <f>0.00530046590561984*(unit.lde)</f>
        <v>5.1679542579793442E-11</v>
      </c>
      <c r="H77" s="3178">
        <f>0.00519460706904224*(unit.lde)</f>
        <v>5.064741892316184E-11</v>
      </c>
      <c r="I77" s="3178">
        <f>0.0050908624038377*(unit.lde)</f>
        <v>4.9635908437417573E-11</v>
      </c>
      <c r="J77" s="3178">
        <f>0.00498918968660062*(unit.lde)</f>
        <v>4.864459944435604E-11</v>
      </c>
      <c r="K77" s="3178">
        <f>0.00488954753719474*(unit.lde)</f>
        <v>4.7673088487648718E-11</v>
      </c>
      <c r="L77" s="3178">
        <f>0.00479189540191178*(unit.lde)</f>
        <v>4.6720980168639849E-11</v>
      </c>
      <c r="M77" s="3178">
        <f>0.00469619353696627*(unit.lde)</f>
        <v>4.5787886985421128E-11</v>
      </c>
      <c r="N77" s="3178">
        <f>0.00460240299232011*(unit.lde)</f>
        <v>4.4873429175121068E-11</v>
      </c>
      <c r="O77" s="3178">
        <f>0.00451048559583017*(unit.lde)</f>
        <v>4.3977234559344156E-11</v>
      </c>
      <c r="P77" s="419"/>
    </row>
    <row r="78" spans="2:16" ht="15.75">
      <c r="B78" s="152"/>
      <c r="C78" s="413"/>
      <c r="D78" s="414"/>
      <c r="E78" s="218" t="s">
        <v>954</v>
      </c>
      <c r="F78" s="3179">
        <f t="shared" si="15"/>
        <v>1.4547414491458901E-11</v>
      </c>
      <c r="G78" s="3179">
        <f>0.0145474144914589*(Unit.kWh)</f>
        <v>1.4547414491458901E-11</v>
      </c>
      <c r="H78" s="3179">
        <f>0.0137478220742849*(Unit.kWh)</f>
        <v>1.3747822074284901E-11</v>
      </c>
      <c r="I78" s="3179">
        <f>0.0114331174429313*(Unit.kWh)</f>
        <v>1.1433117442931302E-11</v>
      </c>
      <c r="J78" s="3179">
        <f>0.00999434845402934*(Unit.kWh)</f>
        <v>9.994348454029341E-12</v>
      </c>
      <c r="K78" s="3179">
        <f>0.00873663736239453*(Unit.kWh)</f>
        <v>8.7366373623945303E-12</v>
      </c>
      <c r="L78" s="3179">
        <f>0.00825643182548133*(Unit.kWh)</f>
        <v>8.2564318254813319E-12</v>
      </c>
      <c r="M78" s="3179">
        <f>0.00780262058057281*(Unit.kWh)</f>
        <v>7.8026205805728108E-12</v>
      </c>
      <c r="N78" s="3179">
        <f>0.00737375287669491*(Unit.kWh)</f>
        <v>7.3737528766949111E-12</v>
      </c>
      <c r="O78" s="3179">
        <f>0.00696845770278053*(Unit.kWh)</f>
        <v>6.9684577027805307E-12</v>
      </c>
      <c r="P78" s="419"/>
    </row>
    <row r="79" spans="2:16" ht="15.75">
      <c r="B79" s="152"/>
      <c r="C79" s="111" t="s">
        <v>970</v>
      </c>
      <c r="D79" s="112"/>
      <c r="E79" s="844" t="s">
        <v>970</v>
      </c>
      <c r="F79" s="3180">
        <f t="shared" si="15"/>
        <v>2.4731492094017047E-9</v>
      </c>
      <c r="G79" s="3182">
        <f>0.246561538461538*(unit.latfe)</f>
        <v>2.4731492094017047E-9</v>
      </c>
      <c r="H79" s="3182">
        <f>0.243494890849815*(unit.latfe)</f>
        <v>2.4423890301630053E-9</v>
      </c>
      <c r="I79" s="3182">
        <f>0.240466385146328*(unit.latfe)</f>
        <v>2.4120114354538621E-9</v>
      </c>
      <c r="J79" s="3182">
        <f>0.23747554695514*(unit.latfe)</f>
        <v>2.3820116668194739E-9</v>
      </c>
      <c r="K79" s="3182">
        <f>0.23452190778069*(unit.latfe)</f>
        <v>2.3523850249890875E-9</v>
      </c>
      <c r="L79" s="3182">
        <f>0.231605004954402*(unit.latfe)</f>
        <v>2.3231268691398491E-9</v>
      </c>
      <c r="M79" s="3182">
        <f>0.228724381562213*(unit.latfe)</f>
        <v>2.2942326161698642E-9</v>
      </c>
      <c r="N79" s="3182">
        <f>0.225879586372998*(unit.latfe)</f>
        <v>2.265697739980266E-9</v>
      </c>
      <c r="O79" s="3182">
        <f>0.223070173767894*(unit.latfe)</f>
        <v>2.2375177707662924E-9</v>
      </c>
      <c r="P79" s="419"/>
    </row>
    <row r="80" spans="2:16">
      <c r="B80" s="155"/>
      <c r="C80" s="413"/>
      <c r="D80" s="414"/>
      <c r="E80" s="414"/>
      <c r="F80" s="836"/>
      <c r="G80" s="123"/>
      <c r="H80" s="123"/>
      <c r="I80" s="123"/>
      <c r="J80" s="123"/>
      <c r="K80" s="123"/>
      <c r="L80" s="123"/>
      <c r="M80" s="123"/>
      <c r="N80" s="123"/>
      <c r="O80" s="123"/>
      <c r="P80" s="419"/>
    </row>
    <row r="81" spans="1:19">
      <c r="B81" s="155"/>
      <c r="C81" s="106" t="s">
        <v>875</v>
      </c>
      <c r="D81" s="414"/>
      <c r="E81" s="218"/>
      <c r="F81" s="843"/>
      <c r="G81" s="890"/>
      <c r="H81" s="843"/>
      <c r="I81" s="843"/>
      <c r="J81" s="843"/>
      <c r="K81" s="843"/>
      <c r="L81" s="843"/>
      <c r="M81" s="843"/>
      <c r="N81" s="843"/>
      <c r="O81" s="875"/>
      <c r="P81" s="419"/>
    </row>
    <row r="82" spans="1:19">
      <c r="B82" s="155"/>
      <c r="C82" s="61" t="s">
        <v>840</v>
      </c>
      <c r="D82" s="61" t="s">
        <v>870</v>
      </c>
      <c r="E82" s="61" t="s">
        <v>275</v>
      </c>
      <c r="F82" s="119">
        <v>2007</v>
      </c>
      <c r="G82" s="120">
        <f t="shared" ref="G82:O82" si="16">F82+5</f>
        <v>2012</v>
      </c>
      <c r="H82" s="120">
        <f t="shared" si="16"/>
        <v>2017</v>
      </c>
      <c r="I82" s="120">
        <f t="shared" si="16"/>
        <v>2022</v>
      </c>
      <c r="J82" s="120">
        <f t="shared" si="16"/>
        <v>2027</v>
      </c>
      <c r="K82" s="120">
        <f t="shared" si="16"/>
        <v>2032</v>
      </c>
      <c r="L82" s="120">
        <f t="shared" si="16"/>
        <v>2037</v>
      </c>
      <c r="M82" s="120">
        <f t="shared" si="16"/>
        <v>2042</v>
      </c>
      <c r="N82" s="120">
        <f t="shared" si="16"/>
        <v>2047</v>
      </c>
      <c r="O82" s="120">
        <f t="shared" si="16"/>
        <v>2052</v>
      </c>
      <c r="P82" s="419"/>
    </row>
    <row r="83" spans="1:19">
      <c r="B83" s="155"/>
      <c r="C83" s="413" t="s">
        <v>955</v>
      </c>
      <c r="D83" s="414" t="s">
        <v>973</v>
      </c>
      <c r="E83" s="218" t="s">
        <v>953</v>
      </c>
      <c r="F83" s="890">
        <f>CHOOSE($E$8,F50,F59,F67,F75)</f>
        <v>3.3160572831189374E-10</v>
      </c>
      <c r="G83" s="890">
        <f t="shared" ref="G83:O83" si="17">CHOOSE($E$8,G50,G59,G67,G75)</f>
        <v>3.3160572831189374E-10</v>
      </c>
      <c r="H83" s="890">
        <f t="shared" si="17"/>
        <v>3.0019453433875814E-10</v>
      </c>
      <c r="I83" s="890">
        <f t="shared" si="17"/>
        <v>2.7603508737264623E-10</v>
      </c>
      <c r="J83" s="890">
        <f t="shared" si="17"/>
        <v>2.5601482517492897E-10</v>
      </c>
      <c r="K83" s="890">
        <f t="shared" si="17"/>
        <v>2.3756019671620176E-10</v>
      </c>
      <c r="L83" s="890">
        <f t="shared" si="17"/>
        <v>2.210157952887729E-10</v>
      </c>
      <c r="M83" s="890">
        <f t="shared" si="17"/>
        <v>2.1205487612162102E-10</v>
      </c>
      <c r="N83" s="890">
        <f t="shared" si="17"/>
        <v>2.0104512367921408E-10</v>
      </c>
      <c r="O83" s="890">
        <f t="shared" si="17"/>
        <v>1.8777904301589711E-10</v>
      </c>
      <c r="P83" s="419"/>
    </row>
    <row r="84" spans="1:19">
      <c r="B84" s="155"/>
      <c r="C84" s="413"/>
      <c r="D84" s="414" t="s">
        <v>974</v>
      </c>
      <c r="E84" s="218" t="s">
        <v>953</v>
      </c>
      <c r="F84" s="890">
        <f t="shared" ref="F84:O87" si="18">CHOOSE($E$8,F51,F60,F68,F76)</f>
        <v>4.8764726947538159E-10</v>
      </c>
      <c r="G84" s="890">
        <f t="shared" si="18"/>
        <v>4.8764726947538159E-10</v>
      </c>
      <c r="H84" s="890">
        <f t="shared" si="18"/>
        <v>4.6166668982594451E-10</v>
      </c>
      <c r="I84" s="890">
        <f t="shared" si="18"/>
        <v>4.3707028796478153E-10</v>
      </c>
      <c r="J84" s="890">
        <f t="shared" si="18"/>
        <v>4.1378431849531623E-10</v>
      </c>
      <c r="K84" s="890">
        <f t="shared" si="18"/>
        <v>3.9173896498411738E-10</v>
      </c>
      <c r="L84" s="890">
        <f t="shared" si="18"/>
        <v>3.7086813063594739E-10</v>
      </c>
      <c r="M84" s="890">
        <f t="shared" si="18"/>
        <v>3.5110924012110665E-10</v>
      </c>
      <c r="N84" s="890">
        <f t="shared" si="18"/>
        <v>3.3240305196089451E-10</v>
      </c>
      <c r="O84" s="890">
        <f t="shared" si="18"/>
        <v>3.1469348090869354E-10</v>
      </c>
      <c r="P84" s="419"/>
    </row>
    <row r="85" spans="1:19">
      <c r="B85" s="155"/>
      <c r="C85" s="413" t="s">
        <v>952</v>
      </c>
      <c r="D85" s="414"/>
      <c r="E85" s="218" t="s">
        <v>953</v>
      </c>
      <c r="F85" s="890">
        <f t="shared" si="18"/>
        <v>5.1679542579793442E-11</v>
      </c>
      <c r="G85" s="890">
        <f t="shared" si="18"/>
        <v>5.1679542579793442E-11</v>
      </c>
      <c r="H85" s="890">
        <f t="shared" si="18"/>
        <v>5.064741892316184E-11</v>
      </c>
      <c r="I85" s="890">
        <f t="shared" si="18"/>
        <v>4.9635908437417573E-11</v>
      </c>
      <c r="J85" s="890">
        <f t="shared" si="18"/>
        <v>4.864459944435604E-11</v>
      </c>
      <c r="K85" s="890">
        <f t="shared" si="18"/>
        <v>4.7673088487648718E-11</v>
      </c>
      <c r="L85" s="890">
        <f t="shared" si="18"/>
        <v>4.6720980168639849E-11</v>
      </c>
      <c r="M85" s="890">
        <f t="shared" si="18"/>
        <v>4.5787886985421128E-11</v>
      </c>
      <c r="N85" s="890">
        <f t="shared" si="18"/>
        <v>4.4873429175121068E-11</v>
      </c>
      <c r="O85" s="890">
        <f t="shared" si="18"/>
        <v>4.3977234559344156E-11</v>
      </c>
      <c r="P85" s="419"/>
    </row>
    <row r="86" spans="1:19">
      <c r="B86" s="155"/>
      <c r="C86" s="413"/>
      <c r="D86" s="414"/>
      <c r="E86" s="218" t="s">
        <v>954</v>
      </c>
      <c r="F86" s="890">
        <f t="shared" si="18"/>
        <v>1.4547414491458901E-11</v>
      </c>
      <c r="G86" s="890">
        <f t="shared" si="18"/>
        <v>1.4547414491458901E-11</v>
      </c>
      <c r="H86" s="890">
        <f t="shared" si="18"/>
        <v>1.3747822074284901E-11</v>
      </c>
      <c r="I86" s="890">
        <f t="shared" si="18"/>
        <v>1.2992178912422002E-11</v>
      </c>
      <c r="J86" s="890">
        <f t="shared" si="18"/>
        <v>1.2278069353844401E-11</v>
      </c>
      <c r="K86" s="890">
        <f t="shared" si="18"/>
        <v>1.1603210521806902E-11</v>
      </c>
      <c r="L86" s="890">
        <f t="shared" si="18"/>
        <v>1.09654450169086E-11</v>
      </c>
      <c r="M86" s="890">
        <f t="shared" si="18"/>
        <v>1.0362734020284E-11</v>
      </c>
      <c r="N86" s="890">
        <f t="shared" si="18"/>
        <v>9.7931507758747707E-12</v>
      </c>
      <c r="O86" s="890">
        <f t="shared" si="18"/>
        <v>9.2548744309456505E-12</v>
      </c>
      <c r="P86" s="419"/>
    </row>
    <row r="87" spans="1:19">
      <c r="B87" s="155"/>
      <c r="C87" s="111" t="s">
        <v>970</v>
      </c>
      <c r="D87" s="112"/>
      <c r="E87" s="844" t="s">
        <v>970</v>
      </c>
      <c r="F87" s="845">
        <f>CHOOSE($E$8,F54,F63,F71,F79)</f>
        <v>2.4731492094017047E-9</v>
      </c>
      <c r="G87" s="845">
        <f t="shared" si="18"/>
        <v>2.4731492094017047E-9</v>
      </c>
      <c r="H87" s="845">
        <f t="shared" si="18"/>
        <v>2.4423890301630053E-9</v>
      </c>
      <c r="I87" s="845">
        <f t="shared" si="18"/>
        <v>2.4120114354538621E-9</v>
      </c>
      <c r="J87" s="845">
        <f t="shared" si="18"/>
        <v>2.3820116668194739E-9</v>
      </c>
      <c r="K87" s="845">
        <f t="shared" si="18"/>
        <v>2.3523850249890875E-9</v>
      </c>
      <c r="L87" s="845">
        <f t="shared" si="18"/>
        <v>2.3231268691398491E-9</v>
      </c>
      <c r="M87" s="845">
        <f t="shared" si="18"/>
        <v>2.2942326161698642E-9</v>
      </c>
      <c r="N87" s="845">
        <f t="shared" si="18"/>
        <v>2.265697739980266E-9</v>
      </c>
      <c r="O87" s="845">
        <f t="shared" si="18"/>
        <v>2.2375177707662924E-9</v>
      </c>
      <c r="P87" s="419"/>
    </row>
    <row r="88" spans="1:19">
      <c r="B88" s="155"/>
      <c r="C88" s="201"/>
      <c r="D88" s="105"/>
      <c r="E88" s="415"/>
      <c r="F88" s="415"/>
      <c r="G88" s="415"/>
      <c r="H88" s="415"/>
      <c r="I88" s="415"/>
      <c r="J88" s="415"/>
      <c r="K88" s="415"/>
      <c r="L88" s="415"/>
      <c r="M88" s="415"/>
      <c r="N88" s="415"/>
      <c r="O88" s="415"/>
      <c r="P88" s="419"/>
    </row>
    <row r="89" spans="1:19">
      <c r="B89" s="155"/>
      <c r="C89" s="201"/>
      <c r="D89" s="415"/>
      <c r="E89" s="415"/>
      <c r="F89" s="415"/>
      <c r="G89" s="415"/>
      <c r="H89" s="415"/>
      <c r="I89" s="415"/>
      <c r="J89" s="415"/>
      <c r="K89" s="415"/>
      <c r="L89" s="415"/>
      <c r="M89" s="415"/>
      <c r="N89" s="415"/>
      <c r="O89" s="415"/>
      <c r="P89" s="419"/>
    </row>
    <row r="90" spans="1:19" ht="15.75">
      <c r="B90" s="837"/>
      <c r="C90" s="637"/>
      <c r="D90" s="638"/>
      <c r="E90" s="638"/>
      <c r="F90" s="838"/>
      <c r="G90" s="839"/>
      <c r="H90" s="839"/>
      <c r="I90" s="839"/>
      <c r="J90" s="839"/>
      <c r="K90" s="839"/>
      <c r="L90" s="839"/>
      <c r="M90" s="839"/>
      <c r="N90" s="839"/>
      <c r="O90" s="839"/>
      <c r="P90" s="158"/>
    </row>
    <row r="92" spans="1:19" s="51" customFormat="1" ht="22.5" collapsed="1">
      <c r="A92" s="162"/>
      <c r="B92" s="421" t="s">
        <v>265</v>
      </c>
      <c r="C92" s="159"/>
      <c r="D92" s="159"/>
      <c r="E92" s="159"/>
      <c r="F92" s="159"/>
      <c r="G92" s="159"/>
      <c r="H92" s="159"/>
      <c r="I92" s="159"/>
      <c r="J92" s="159"/>
      <c r="K92" s="159"/>
      <c r="L92" s="159"/>
      <c r="M92" s="159"/>
      <c r="N92" s="159"/>
      <c r="O92" s="159"/>
      <c r="P92" s="160"/>
      <c r="R92" s="3069"/>
      <c r="S92" s="3069"/>
    </row>
    <row r="93" spans="1:19">
      <c r="B93" s="418"/>
      <c r="C93" s="415"/>
      <c r="D93" s="415"/>
      <c r="E93" s="415"/>
      <c r="F93" s="415"/>
      <c r="G93" s="415"/>
      <c r="H93" s="415"/>
      <c r="I93" s="415"/>
      <c r="J93" s="415"/>
      <c r="K93" s="415"/>
      <c r="L93" s="415"/>
      <c r="M93" s="415"/>
      <c r="N93" s="415"/>
      <c r="O93" s="415"/>
      <c r="P93" s="419"/>
    </row>
    <row r="94" spans="1:19" ht="15.75">
      <c r="A94" s="410"/>
      <c r="B94" s="152"/>
      <c r="C94" s="126"/>
      <c r="D94" s="414"/>
      <c r="E94" s="218"/>
      <c r="F94" s="843"/>
      <c r="G94" s="843"/>
      <c r="H94" s="843"/>
      <c r="I94" s="843"/>
      <c r="J94" s="843"/>
      <c r="K94" s="843"/>
      <c r="L94" s="843"/>
      <c r="M94" s="843"/>
      <c r="N94" s="843"/>
      <c r="O94" s="843"/>
      <c r="P94" s="419"/>
    </row>
    <row r="95" spans="1:19" ht="15.75">
      <c r="A95" s="410"/>
      <c r="B95" s="152"/>
      <c r="C95" s="416" t="s">
        <v>972</v>
      </c>
      <c r="D95" s="414"/>
      <c r="E95" s="218"/>
      <c r="F95" s="843"/>
      <c r="G95" s="843"/>
      <c r="H95" s="843"/>
      <c r="I95" s="843"/>
      <c r="J95" s="843"/>
      <c r="K95" s="843"/>
      <c r="L95" s="843"/>
      <c r="M95" s="843"/>
      <c r="N95" s="843"/>
      <c r="O95" s="843"/>
      <c r="P95" s="419"/>
    </row>
    <row r="96" spans="1:19" ht="15.75">
      <c r="A96" s="410"/>
      <c r="B96" s="152"/>
      <c r="C96" s="416" t="s">
        <v>460</v>
      </c>
      <c r="D96" s="415"/>
      <c r="E96" s="104"/>
      <c r="F96" s="415"/>
      <c r="G96" s="415"/>
      <c r="H96" s="415"/>
      <c r="I96" s="415"/>
      <c r="J96" s="415"/>
      <c r="K96" s="415"/>
      <c r="L96" s="415"/>
      <c r="M96" s="415"/>
      <c r="N96" s="415"/>
      <c r="O96" s="104" t="s">
        <v>277</v>
      </c>
      <c r="P96" s="419"/>
    </row>
    <row r="97" spans="1:16" ht="15.75">
      <c r="A97" s="410"/>
      <c r="B97" s="152"/>
      <c r="C97" s="415"/>
      <c r="D97" s="415"/>
      <c r="E97" s="415"/>
      <c r="F97" s="415"/>
      <c r="G97" s="415"/>
      <c r="H97" s="415"/>
      <c r="I97" s="415"/>
      <c r="J97" s="415"/>
      <c r="K97" s="415"/>
      <c r="L97" s="415"/>
      <c r="M97" s="415"/>
      <c r="N97" s="415"/>
      <c r="O97" s="415"/>
      <c r="P97" s="419"/>
    </row>
    <row r="98" spans="1:16" ht="15.75">
      <c r="A98" s="410"/>
      <c r="B98" s="152"/>
      <c r="C98" s="61" t="s">
        <v>840</v>
      </c>
      <c r="D98" s="61" t="s">
        <v>870</v>
      </c>
      <c r="E98" s="61" t="s">
        <v>275</v>
      </c>
      <c r="F98" s="119">
        <v>2007</v>
      </c>
      <c r="G98" s="120">
        <f t="shared" ref="G98:O98" si="19">F98+5</f>
        <v>2012</v>
      </c>
      <c r="H98" s="120">
        <f t="shared" si="19"/>
        <v>2017</v>
      </c>
      <c r="I98" s="120">
        <f t="shared" si="19"/>
        <v>2022</v>
      </c>
      <c r="J98" s="120">
        <f t="shared" si="19"/>
        <v>2027</v>
      </c>
      <c r="K98" s="120">
        <f t="shared" si="19"/>
        <v>2032</v>
      </c>
      <c r="L98" s="120">
        <f t="shared" si="19"/>
        <v>2037</v>
      </c>
      <c r="M98" s="120">
        <f t="shared" si="19"/>
        <v>2042</v>
      </c>
      <c r="N98" s="120">
        <f t="shared" si="19"/>
        <v>2047</v>
      </c>
      <c r="O98" s="120">
        <f t="shared" si="19"/>
        <v>2052</v>
      </c>
      <c r="P98" s="419"/>
    </row>
    <row r="99" spans="1:16" ht="15.75">
      <c r="A99" s="410"/>
      <c r="B99" s="152"/>
      <c r="C99" s="413" t="s">
        <v>955</v>
      </c>
      <c r="D99" s="414" t="s">
        <v>973</v>
      </c>
      <c r="E99" s="218" t="s">
        <v>953</v>
      </c>
      <c r="F99" s="2685">
        <f>G99</f>
        <v>0.91127970346733433</v>
      </c>
      <c r="G99" s="2685">
        <v>0.91127970346733433</v>
      </c>
      <c r="H99" s="2675">
        <v>0.90269186616874042</v>
      </c>
      <c r="I99" s="2674">
        <v>0.89224576932440525</v>
      </c>
      <c r="J99" s="2674">
        <v>0.88205223221616313</v>
      </c>
      <c r="K99" s="2674">
        <v>0.8737032214584034</v>
      </c>
      <c r="L99" s="2674">
        <v>0.86510705194987392</v>
      </c>
      <c r="M99" s="2674">
        <v>0.83656903888258616</v>
      </c>
      <c r="N99" s="2674">
        <v>0.82152789271723836</v>
      </c>
      <c r="O99" s="2674">
        <v>0.81089459231187122</v>
      </c>
      <c r="P99" s="419"/>
    </row>
    <row r="100" spans="1:16" ht="15.75">
      <c r="A100" s="410"/>
      <c r="B100" s="152"/>
      <c r="C100" s="413"/>
      <c r="D100" s="414" t="s">
        <v>974</v>
      </c>
      <c r="E100" s="218" t="s">
        <v>953</v>
      </c>
      <c r="F100" s="2685">
        <f t="shared" ref="F100:F102" si="20">G100</f>
        <v>8.8720296532665791E-2</v>
      </c>
      <c r="G100" s="2685">
        <v>8.8720296532665791E-2</v>
      </c>
      <c r="H100" s="2676">
        <v>9.7308133831259525E-2</v>
      </c>
      <c r="I100" s="2677">
        <v>0.10775423067559475</v>
      </c>
      <c r="J100" s="2674">
        <v>0.11794776778383682</v>
      </c>
      <c r="K100" s="2677">
        <v>0.12629677854159665</v>
      </c>
      <c r="L100" s="2674">
        <v>0.13489294805012614</v>
      </c>
      <c r="M100" s="2677">
        <v>0.1634309611174139</v>
      </c>
      <c r="N100" s="2674">
        <v>0.17847210728276164</v>
      </c>
      <c r="O100" s="2674">
        <v>0.18910540768812872</v>
      </c>
      <c r="P100" s="419"/>
    </row>
    <row r="101" spans="1:16" ht="15.75">
      <c r="A101" s="410"/>
      <c r="B101" s="152"/>
      <c r="C101" s="413" t="s">
        <v>952</v>
      </c>
      <c r="D101" s="414"/>
      <c r="E101" s="218" t="s">
        <v>953</v>
      </c>
      <c r="F101" s="2685">
        <f>100%-F102</f>
        <v>0.34399999999999997</v>
      </c>
      <c r="G101" s="2685">
        <f t="shared" ref="G101:O101" si="21">100%-G102</f>
        <v>0.34399999999999997</v>
      </c>
      <c r="H101" s="3083">
        <f t="shared" si="21"/>
        <v>0.33066666666666644</v>
      </c>
      <c r="I101" s="3083">
        <f t="shared" si="21"/>
        <v>0.31799999999999995</v>
      </c>
      <c r="J101" s="3083">
        <f t="shared" si="21"/>
        <v>0.30799999999999994</v>
      </c>
      <c r="K101" s="3083">
        <f t="shared" si="21"/>
        <v>0.30000000000000004</v>
      </c>
      <c r="L101" s="3083">
        <f t="shared" si="21"/>
        <v>0.30000000000000004</v>
      </c>
      <c r="M101" s="3083">
        <f t="shared" si="21"/>
        <v>0.30000000000000004</v>
      </c>
      <c r="N101" s="3083">
        <f t="shared" si="21"/>
        <v>0.30000000000000004</v>
      </c>
      <c r="O101" s="3083">
        <f t="shared" si="21"/>
        <v>0.30000000000000004</v>
      </c>
      <c r="P101" s="419"/>
    </row>
    <row r="102" spans="1:16" ht="15.75">
      <c r="A102" s="410"/>
      <c r="B102" s="152"/>
      <c r="C102" s="413"/>
      <c r="D102" s="414"/>
      <c r="E102" s="218" t="s">
        <v>954</v>
      </c>
      <c r="F102" s="2685">
        <f t="shared" si="20"/>
        <v>0.65600000000000003</v>
      </c>
      <c r="G102" s="2685">
        <v>0.65600000000000003</v>
      </c>
      <c r="H102" s="2676">
        <v>0.66933333333333356</v>
      </c>
      <c r="I102" s="2677">
        <v>0.68200000000000005</v>
      </c>
      <c r="J102" s="2677">
        <v>0.69200000000000006</v>
      </c>
      <c r="K102" s="2677">
        <v>0.7</v>
      </c>
      <c r="L102" s="2677">
        <v>0.7</v>
      </c>
      <c r="M102" s="2677">
        <v>0.7</v>
      </c>
      <c r="N102" s="2677">
        <v>0.7</v>
      </c>
      <c r="O102" s="2677">
        <v>0.7</v>
      </c>
      <c r="P102" s="419"/>
    </row>
    <row r="103" spans="1:16" ht="15.75">
      <c r="A103" s="410"/>
      <c r="B103" s="152"/>
      <c r="C103" s="111" t="s">
        <v>970</v>
      </c>
      <c r="D103" s="112"/>
      <c r="E103" s="844" t="s">
        <v>970</v>
      </c>
      <c r="F103" s="868">
        <v>0</v>
      </c>
      <c r="G103" s="868">
        <v>0</v>
      </c>
      <c r="H103" s="868">
        <v>0</v>
      </c>
      <c r="I103" s="868">
        <v>0</v>
      </c>
      <c r="J103" s="868">
        <v>0</v>
      </c>
      <c r="K103" s="868">
        <v>0</v>
      </c>
      <c r="L103" s="868">
        <v>0</v>
      </c>
      <c r="M103" s="868">
        <v>0</v>
      </c>
      <c r="N103" s="868">
        <v>0</v>
      </c>
      <c r="O103" s="868">
        <v>0</v>
      </c>
      <c r="P103" s="419"/>
    </row>
    <row r="104" spans="1:16" ht="15.75">
      <c r="A104" s="410"/>
      <c r="B104" s="152"/>
      <c r="C104" s="126"/>
      <c r="D104" s="414"/>
      <c r="E104" s="218"/>
      <c r="F104" s="843"/>
      <c r="G104" s="843"/>
      <c r="H104" s="843"/>
      <c r="I104" s="843"/>
      <c r="J104" s="843"/>
      <c r="K104" s="843"/>
      <c r="L104" s="843"/>
      <c r="M104" s="843"/>
      <c r="N104" s="843"/>
      <c r="O104" s="843"/>
      <c r="P104" s="419"/>
    </row>
    <row r="105" spans="1:16" ht="15.75">
      <c r="A105" s="410"/>
      <c r="B105" s="152"/>
      <c r="C105" s="416" t="s">
        <v>461</v>
      </c>
      <c r="D105" s="415"/>
      <c r="E105" s="104"/>
      <c r="F105" s="415"/>
      <c r="G105" s="415"/>
      <c r="H105" s="415"/>
      <c r="I105" s="415"/>
      <c r="J105" s="415"/>
      <c r="K105" s="415"/>
      <c r="L105" s="415"/>
      <c r="M105" s="415"/>
      <c r="N105" s="415"/>
      <c r="O105" s="104" t="s">
        <v>277</v>
      </c>
      <c r="P105" s="419"/>
    </row>
    <row r="106" spans="1:16" ht="15.75">
      <c r="A106" s="410"/>
      <c r="B106" s="152"/>
      <c r="C106" s="415"/>
      <c r="D106" s="415"/>
      <c r="E106" s="415"/>
      <c r="F106" s="415"/>
      <c r="G106" s="415"/>
      <c r="H106" s="415"/>
      <c r="I106" s="415"/>
      <c r="J106" s="415"/>
      <c r="K106" s="415"/>
      <c r="L106" s="415"/>
      <c r="M106" s="415"/>
      <c r="N106" s="415"/>
      <c r="O106" s="415"/>
      <c r="P106" s="419"/>
    </row>
    <row r="107" spans="1:16" ht="15.75">
      <c r="A107" s="410"/>
      <c r="B107" s="152"/>
      <c r="C107" s="61" t="s">
        <v>840</v>
      </c>
      <c r="D107" s="61" t="s">
        <v>870</v>
      </c>
      <c r="E107" s="61" t="s">
        <v>275</v>
      </c>
      <c r="F107" s="119">
        <v>2007</v>
      </c>
      <c r="G107" s="120">
        <f t="shared" ref="G107:O107" si="22">F107+5</f>
        <v>2012</v>
      </c>
      <c r="H107" s="120">
        <f t="shared" si="22"/>
        <v>2017</v>
      </c>
      <c r="I107" s="120">
        <f t="shared" si="22"/>
        <v>2022</v>
      </c>
      <c r="J107" s="120">
        <f t="shared" si="22"/>
        <v>2027</v>
      </c>
      <c r="K107" s="120">
        <f t="shared" si="22"/>
        <v>2032</v>
      </c>
      <c r="L107" s="120">
        <f t="shared" si="22"/>
        <v>2037</v>
      </c>
      <c r="M107" s="120">
        <f t="shared" si="22"/>
        <v>2042</v>
      </c>
      <c r="N107" s="120">
        <f t="shared" si="22"/>
        <v>2047</v>
      </c>
      <c r="O107" s="120">
        <f t="shared" si="22"/>
        <v>2052</v>
      </c>
      <c r="P107" s="419"/>
    </row>
    <row r="108" spans="1:16" ht="15.75">
      <c r="A108" s="410"/>
      <c r="B108" s="152"/>
      <c r="C108" s="413" t="s">
        <v>955</v>
      </c>
      <c r="D108" s="414" t="s">
        <v>973</v>
      </c>
      <c r="E108" s="218" t="s">
        <v>953</v>
      </c>
      <c r="F108" s="2685">
        <v>0.91127970346733433</v>
      </c>
      <c r="G108" s="2685">
        <v>0.91127970346733433</v>
      </c>
      <c r="H108" s="2675">
        <v>0.90269186616874042</v>
      </c>
      <c r="I108" s="2674">
        <v>0.89224576932440525</v>
      </c>
      <c r="J108" s="2674">
        <v>0.88205223221616313</v>
      </c>
      <c r="K108" s="2674">
        <v>0.8737032214584034</v>
      </c>
      <c r="L108" s="2674">
        <v>0.86510705194987392</v>
      </c>
      <c r="M108" s="2674">
        <v>0.83656903888258616</v>
      </c>
      <c r="N108" s="2674">
        <v>0.82152789271723836</v>
      </c>
      <c r="O108" s="2674">
        <v>0.81089459231187122</v>
      </c>
      <c r="P108" s="419"/>
    </row>
    <row r="109" spans="1:16" ht="15.75">
      <c r="A109" s="410"/>
      <c r="B109" s="152"/>
      <c r="C109" s="413"/>
      <c r="D109" s="414" t="s">
        <v>974</v>
      </c>
      <c r="E109" s="218" t="s">
        <v>953</v>
      </c>
      <c r="F109" s="2685">
        <v>8.8720296532665791E-2</v>
      </c>
      <c r="G109" s="2685">
        <v>8.8720296532665791E-2</v>
      </c>
      <c r="H109" s="2676">
        <v>9.7308133831259525E-2</v>
      </c>
      <c r="I109" s="2677">
        <v>0.10775423067559475</v>
      </c>
      <c r="J109" s="2674">
        <v>0.11794776778383682</v>
      </c>
      <c r="K109" s="2677">
        <v>0.12629677854159665</v>
      </c>
      <c r="L109" s="2674">
        <v>0.13489294805012614</v>
      </c>
      <c r="M109" s="2677">
        <v>0.1634309611174139</v>
      </c>
      <c r="N109" s="2674">
        <v>0.17847210728276164</v>
      </c>
      <c r="O109" s="2674">
        <v>0.18910540768812872</v>
      </c>
      <c r="P109" s="419"/>
    </row>
    <row r="110" spans="1:16" ht="15.75">
      <c r="A110" s="410"/>
      <c r="B110" s="152"/>
      <c r="C110" s="413" t="s">
        <v>952</v>
      </c>
      <c r="D110" s="414"/>
      <c r="E110" s="218" t="s">
        <v>953</v>
      </c>
      <c r="F110" s="2685">
        <f>100%-F111</f>
        <v>0.34399999999999997</v>
      </c>
      <c r="G110" s="2685">
        <f t="shared" ref="G110:O110" si="23">100%-G111</f>
        <v>0.34399999999999997</v>
      </c>
      <c r="H110" s="3083">
        <f t="shared" si="23"/>
        <v>0.33066666666666644</v>
      </c>
      <c r="I110" s="3083">
        <f t="shared" si="23"/>
        <v>0.31799999999999995</v>
      </c>
      <c r="J110" s="3083">
        <f t="shared" si="23"/>
        <v>0.30799999999999994</v>
      </c>
      <c r="K110" s="3083">
        <f t="shared" si="23"/>
        <v>0.30000000000000004</v>
      </c>
      <c r="L110" s="3083">
        <f t="shared" si="23"/>
        <v>0.30000000000000004</v>
      </c>
      <c r="M110" s="3083">
        <f t="shared" si="23"/>
        <v>0.30000000000000004</v>
      </c>
      <c r="N110" s="3083">
        <f t="shared" si="23"/>
        <v>0.30000000000000004</v>
      </c>
      <c r="O110" s="3083">
        <f t="shared" si="23"/>
        <v>0.25</v>
      </c>
      <c r="P110" s="419"/>
    </row>
    <row r="111" spans="1:16" ht="15.75">
      <c r="A111" s="410"/>
      <c r="B111" s="152"/>
      <c r="C111" s="413"/>
      <c r="D111" s="414"/>
      <c r="E111" s="218" t="s">
        <v>954</v>
      </c>
      <c r="F111" s="2685">
        <v>0.65600000000000003</v>
      </c>
      <c r="G111" s="2685">
        <v>0.65600000000000003</v>
      </c>
      <c r="H111" s="3084">
        <v>0.66933333333333356</v>
      </c>
      <c r="I111" s="3085">
        <v>0.68200000000000005</v>
      </c>
      <c r="J111" s="3085">
        <v>0.69200000000000006</v>
      </c>
      <c r="K111" s="3085">
        <v>0.7</v>
      </c>
      <c r="L111" s="3085">
        <v>0.7</v>
      </c>
      <c r="M111" s="3085">
        <v>0.7</v>
      </c>
      <c r="N111" s="3085">
        <v>0.7</v>
      </c>
      <c r="O111" s="3085">
        <v>0.75</v>
      </c>
      <c r="P111" s="419"/>
    </row>
    <row r="112" spans="1:16" ht="15.75">
      <c r="A112" s="410"/>
      <c r="B112" s="152"/>
      <c r="C112" s="111" t="s">
        <v>970</v>
      </c>
      <c r="D112" s="112"/>
      <c r="E112" s="844" t="s">
        <v>970</v>
      </c>
      <c r="F112" s="868">
        <v>0</v>
      </c>
      <c r="G112" s="868">
        <v>0</v>
      </c>
      <c r="H112" s="868">
        <v>0</v>
      </c>
      <c r="I112" s="868">
        <v>0</v>
      </c>
      <c r="J112" s="868">
        <v>0</v>
      </c>
      <c r="K112" s="868">
        <v>0</v>
      </c>
      <c r="L112" s="868">
        <v>0</v>
      </c>
      <c r="M112" s="868">
        <v>0</v>
      </c>
      <c r="N112" s="868">
        <v>0</v>
      </c>
      <c r="O112" s="868">
        <v>0</v>
      </c>
      <c r="P112" s="419"/>
    </row>
    <row r="113" spans="1:16" ht="15.75">
      <c r="A113" s="410"/>
      <c r="B113" s="152"/>
      <c r="C113" s="126"/>
      <c r="D113" s="414"/>
      <c r="E113" s="218"/>
      <c r="F113" s="843"/>
      <c r="G113" s="843"/>
      <c r="H113" s="843"/>
      <c r="I113" s="843"/>
      <c r="J113" s="843"/>
      <c r="K113" s="843"/>
      <c r="L113" s="843"/>
      <c r="M113" s="843"/>
      <c r="N113" s="843"/>
      <c r="O113" s="843"/>
      <c r="P113" s="419"/>
    </row>
    <row r="114" spans="1:16" ht="15.75">
      <c r="A114" s="410"/>
      <c r="B114" s="152"/>
      <c r="C114" s="416" t="s">
        <v>462</v>
      </c>
      <c r="D114" s="415"/>
      <c r="E114" s="104"/>
      <c r="F114" s="415"/>
      <c r="G114" s="415"/>
      <c r="H114" s="415"/>
      <c r="I114" s="415"/>
      <c r="J114" s="415"/>
      <c r="K114" s="415"/>
      <c r="L114" s="415"/>
      <c r="M114" s="415"/>
      <c r="N114" s="415"/>
      <c r="O114" s="104" t="s">
        <v>277</v>
      </c>
      <c r="P114" s="419"/>
    </row>
    <row r="115" spans="1:16" ht="15.75">
      <c r="A115" s="410"/>
      <c r="B115" s="152"/>
      <c r="C115" s="415"/>
      <c r="D115" s="415"/>
      <c r="E115" s="415"/>
      <c r="F115" s="415"/>
      <c r="G115" s="415"/>
      <c r="H115" s="415"/>
      <c r="I115" s="415"/>
      <c r="J115" s="415"/>
      <c r="K115" s="415"/>
      <c r="L115" s="415"/>
      <c r="M115" s="415"/>
      <c r="N115" s="415"/>
      <c r="O115" s="415"/>
      <c r="P115" s="419"/>
    </row>
    <row r="116" spans="1:16" ht="15.75">
      <c r="A116" s="410"/>
      <c r="B116" s="152"/>
      <c r="C116" s="61" t="s">
        <v>840</v>
      </c>
      <c r="D116" s="61" t="s">
        <v>870</v>
      </c>
      <c r="E116" s="61" t="s">
        <v>275</v>
      </c>
      <c r="F116" s="119">
        <v>2007</v>
      </c>
      <c r="G116" s="120">
        <f t="shared" ref="G116:O116" si="24">F116+5</f>
        <v>2012</v>
      </c>
      <c r="H116" s="120">
        <f t="shared" si="24"/>
        <v>2017</v>
      </c>
      <c r="I116" s="120">
        <f t="shared" si="24"/>
        <v>2022</v>
      </c>
      <c r="J116" s="120">
        <f t="shared" si="24"/>
        <v>2027</v>
      </c>
      <c r="K116" s="120">
        <f t="shared" si="24"/>
        <v>2032</v>
      </c>
      <c r="L116" s="120">
        <f t="shared" si="24"/>
        <v>2037</v>
      </c>
      <c r="M116" s="120">
        <f t="shared" si="24"/>
        <v>2042</v>
      </c>
      <c r="N116" s="120">
        <f t="shared" si="24"/>
        <v>2047</v>
      </c>
      <c r="O116" s="120">
        <f t="shared" si="24"/>
        <v>2052</v>
      </c>
      <c r="P116" s="419"/>
    </row>
    <row r="117" spans="1:16" ht="15.75">
      <c r="A117" s="410"/>
      <c r="B117" s="152"/>
      <c r="C117" s="413" t="s">
        <v>955</v>
      </c>
      <c r="D117" s="414" t="s">
        <v>973</v>
      </c>
      <c r="E117" s="218" t="s">
        <v>953</v>
      </c>
      <c r="F117" s="2685">
        <v>0.91127970346733433</v>
      </c>
      <c r="G117" s="2685">
        <v>0.91127970346733433</v>
      </c>
      <c r="H117" s="2675">
        <v>0.90269186616874042</v>
      </c>
      <c r="I117" s="2674">
        <v>0.89224576932440525</v>
      </c>
      <c r="J117" s="2674">
        <v>0.88205223221616313</v>
      </c>
      <c r="K117" s="2674">
        <v>0.8737032214584034</v>
      </c>
      <c r="L117" s="2674">
        <v>0.86510705194987392</v>
      </c>
      <c r="M117" s="2674">
        <v>0.83656903888258616</v>
      </c>
      <c r="N117" s="2674">
        <v>0.82152789271723836</v>
      </c>
      <c r="O117" s="2674">
        <v>0.81089459231187122</v>
      </c>
      <c r="P117" s="419"/>
    </row>
    <row r="118" spans="1:16" ht="15.75">
      <c r="A118" s="410"/>
      <c r="B118" s="152"/>
      <c r="C118" s="413"/>
      <c r="D118" s="414" t="s">
        <v>974</v>
      </c>
      <c r="E118" s="218" t="s">
        <v>953</v>
      </c>
      <c r="F118" s="2685">
        <v>8.8720296532665791E-2</v>
      </c>
      <c r="G118" s="2685">
        <v>8.8720296532665791E-2</v>
      </c>
      <c r="H118" s="2676">
        <v>9.7308133831259525E-2</v>
      </c>
      <c r="I118" s="2677">
        <v>0.10775423067559475</v>
      </c>
      <c r="J118" s="2674">
        <v>0.11794776778383682</v>
      </c>
      <c r="K118" s="2677">
        <v>0.12629677854159665</v>
      </c>
      <c r="L118" s="2674">
        <v>0.13489294805012614</v>
      </c>
      <c r="M118" s="2677">
        <v>0.1634309611174139</v>
      </c>
      <c r="N118" s="2674">
        <v>0.17847210728276164</v>
      </c>
      <c r="O118" s="2674">
        <v>0.18910540768812872</v>
      </c>
      <c r="P118" s="419"/>
    </row>
    <row r="119" spans="1:16" ht="15.75">
      <c r="A119" s="410"/>
      <c r="B119" s="152"/>
      <c r="C119" s="413" t="s">
        <v>952</v>
      </c>
      <c r="D119" s="414"/>
      <c r="E119" s="218" t="s">
        <v>953</v>
      </c>
      <c r="F119" s="2685">
        <f>100%-F120</f>
        <v>0.34399999999999997</v>
      </c>
      <c r="G119" s="2685">
        <f t="shared" ref="G119:O119" si="25">100%-G120</f>
        <v>0.34399999999999997</v>
      </c>
      <c r="H119" s="3083">
        <f t="shared" si="25"/>
        <v>0.33066666666666644</v>
      </c>
      <c r="I119" s="3083">
        <f t="shared" si="25"/>
        <v>0.31799999999999995</v>
      </c>
      <c r="J119" s="3083">
        <f t="shared" si="25"/>
        <v>0.30799999999999994</v>
      </c>
      <c r="K119" s="3083">
        <f t="shared" si="25"/>
        <v>0.30000000000000004</v>
      </c>
      <c r="L119" s="3083">
        <f t="shared" si="25"/>
        <v>0.30000000000000004</v>
      </c>
      <c r="M119" s="3083">
        <f t="shared" si="25"/>
        <v>0.30000000000000004</v>
      </c>
      <c r="N119" s="3083">
        <f t="shared" si="25"/>
        <v>0.30000000000000004</v>
      </c>
      <c r="O119" s="3083">
        <f t="shared" si="25"/>
        <v>0.19999999999999996</v>
      </c>
      <c r="P119" s="419"/>
    </row>
    <row r="120" spans="1:16" ht="15.75">
      <c r="A120" s="410"/>
      <c r="B120" s="152"/>
      <c r="C120" s="413"/>
      <c r="D120" s="414"/>
      <c r="E120" s="218" t="s">
        <v>954</v>
      </c>
      <c r="F120" s="2685">
        <v>0.65600000000000003</v>
      </c>
      <c r="G120" s="2685">
        <v>0.65600000000000003</v>
      </c>
      <c r="H120" s="3084">
        <v>0.66933333333333356</v>
      </c>
      <c r="I120" s="3085">
        <v>0.68200000000000005</v>
      </c>
      <c r="J120" s="3085">
        <v>0.69200000000000006</v>
      </c>
      <c r="K120" s="3085">
        <v>0.7</v>
      </c>
      <c r="L120" s="3085">
        <v>0.7</v>
      </c>
      <c r="M120" s="3085">
        <v>0.7</v>
      </c>
      <c r="N120" s="3085">
        <v>0.7</v>
      </c>
      <c r="O120" s="3085">
        <v>0.8</v>
      </c>
      <c r="P120" s="419"/>
    </row>
    <row r="121" spans="1:16" ht="15.75">
      <c r="A121" s="410"/>
      <c r="B121" s="152"/>
      <c r="C121" s="111" t="s">
        <v>970</v>
      </c>
      <c r="D121" s="112"/>
      <c r="E121" s="844" t="s">
        <v>970</v>
      </c>
      <c r="F121" s="868">
        <v>0</v>
      </c>
      <c r="G121" s="868">
        <v>0</v>
      </c>
      <c r="H121" s="868">
        <v>0</v>
      </c>
      <c r="I121" s="868">
        <v>0</v>
      </c>
      <c r="J121" s="868">
        <v>0</v>
      </c>
      <c r="K121" s="868">
        <v>0</v>
      </c>
      <c r="L121" s="868">
        <v>0</v>
      </c>
      <c r="M121" s="868">
        <v>0</v>
      </c>
      <c r="N121" s="868">
        <v>0</v>
      </c>
      <c r="O121" s="868">
        <v>0</v>
      </c>
      <c r="P121" s="419"/>
    </row>
    <row r="122" spans="1:16" ht="15.75">
      <c r="A122" s="410"/>
      <c r="B122" s="152"/>
      <c r="C122" s="413"/>
      <c r="D122" s="414"/>
      <c r="E122" s="218"/>
      <c r="F122" s="695"/>
      <c r="G122" s="695"/>
      <c r="H122" s="695"/>
      <c r="I122" s="695"/>
      <c r="J122" s="695"/>
      <c r="K122" s="695"/>
      <c r="L122" s="695"/>
      <c r="M122" s="695"/>
      <c r="N122" s="695"/>
      <c r="O122" s="695"/>
      <c r="P122" s="419"/>
    </row>
    <row r="123" spans="1:16" ht="15.75">
      <c r="A123" s="410"/>
      <c r="B123" s="152"/>
      <c r="C123" s="416" t="s">
        <v>463</v>
      </c>
      <c r="D123" s="415"/>
      <c r="E123" s="104"/>
      <c r="F123" s="415"/>
      <c r="G123" s="415"/>
      <c r="H123" s="415"/>
      <c r="I123" s="415"/>
      <c r="J123" s="415"/>
      <c r="K123" s="415"/>
      <c r="L123" s="415"/>
      <c r="M123" s="415"/>
      <c r="N123" s="415"/>
      <c r="O123" s="104" t="s">
        <v>277</v>
      </c>
      <c r="P123" s="419"/>
    </row>
    <row r="124" spans="1:16" ht="15.75">
      <c r="A124" s="410"/>
      <c r="B124" s="152"/>
      <c r="C124" s="415"/>
      <c r="D124" s="415"/>
      <c r="E124" s="415"/>
      <c r="F124" s="415"/>
      <c r="G124" s="415"/>
      <c r="H124" s="415"/>
      <c r="I124" s="415"/>
      <c r="J124" s="415"/>
      <c r="K124" s="415"/>
      <c r="L124" s="415"/>
      <c r="M124" s="415"/>
      <c r="N124" s="415"/>
      <c r="O124" s="415"/>
      <c r="P124" s="419"/>
    </row>
    <row r="125" spans="1:16" ht="15.75">
      <c r="A125" s="410"/>
      <c r="B125" s="152"/>
      <c r="C125" s="61" t="s">
        <v>840</v>
      </c>
      <c r="D125" s="61" t="s">
        <v>870</v>
      </c>
      <c r="E125" s="61" t="s">
        <v>275</v>
      </c>
      <c r="F125" s="119">
        <v>2007</v>
      </c>
      <c r="G125" s="120">
        <f t="shared" ref="G125:O125" si="26">F125+5</f>
        <v>2012</v>
      </c>
      <c r="H125" s="120">
        <f t="shared" si="26"/>
        <v>2017</v>
      </c>
      <c r="I125" s="120">
        <f t="shared" si="26"/>
        <v>2022</v>
      </c>
      <c r="J125" s="120">
        <f t="shared" si="26"/>
        <v>2027</v>
      </c>
      <c r="K125" s="120">
        <f t="shared" si="26"/>
        <v>2032</v>
      </c>
      <c r="L125" s="120">
        <f t="shared" si="26"/>
        <v>2037</v>
      </c>
      <c r="M125" s="120">
        <f t="shared" si="26"/>
        <v>2042</v>
      </c>
      <c r="N125" s="120">
        <f t="shared" si="26"/>
        <v>2047</v>
      </c>
      <c r="O125" s="120">
        <f t="shared" si="26"/>
        <v>2052</v>
      </c>
      <c r="P125" s="419"/>
    </row>
    <row r="126" spans="1:16" ht="15.75">
      <c r="A126" s="410"/>
      <c r="B126" s="152"/>
      <c r="C126" s="413" t="s">
        <v>955</v>
      </c>
      <c r="D126" s="414" t="s">
        <v>973</v>
      </c>
      <c r="E126" s="218" t="s">
        <v>953</v>
      </c>
      <c r="F126" s="2685">
        <f>G126</f>
        <v>0.91127970346733433</v>
      </c>
      <c r="G126" s="2685">
        <v>0.91127970346733433</v>
      </c>
      <c r="H126" s="2675">
        <v>0.90269186616874042</v>
      </c>
      <c r="I126" s="2674">
        <v>0.89224576932440525</v>
      </c>
      <c r="J126" s="2674">
        <v>0.88205223221616313</v>
      </c>
      <c r="K126" s="2674">
        <v>0.8737032214584034</v>
      </c>
      <c r="L126" s="2674">
        <v>0.86510705194987392</v>
      </c>
      <c r="M126" s="2674">
        <v>0.83656903888258616</v>
      </c>
      <c r="N126" s="2674">
        <v>0.82152789271723836</v>
      </c>
      <c r="O126" s="2674">
        <v>0.81089459231187122</v>
      </c>
      <c r="P126" s="419"/>
    </row>
    <row r="127" spans="1:16" ht="15.75">
      <c r="A127" s="410"/>
      <c r="B127" s="152"/>
      <c r="C127" s="413"/>
      <c r="D127" s="414" t="s">
        <v>974</v>
      </c>
      <c r="E127" s="218" t="s">
        <v>953</v>
      </c>
      <c r="F127" s="2685">
        <f t="shared" ref="F127:F129" si="27">G127</f>
        <v>8.8720296532665791E-2</v>
      </c>
      <c r="G127" s="2685">
        <v>8.8720296532665791E-2</v>
      </c>
      <c r="H127" s="2676">
        <v>9.7308133831259525E-2</v>
      </c>
      <c r="I127" s="2677">
        <v>0.10775423067559475</v>
      </c>
      <c r="J127" s="2674">
        <v>0.11794776778383682</v>
      </c>
      <c r="K127" s="2677">
        <v>0.12629677854159665</v>
      </c>
      <c r="L127" s="2674">
        <v>0.13489294805012614</v>
      </c>
      <c r="M127" s="2677">
        <v>0.1634309611174139</v>
      </c>
      <c r="N127" s="2674">
        <v>0.17847210728276164</v>
      </c>
      <c r="O127" s="2674">
        <v>0.18910540768812872</v>
      </c>
      <c r="P127" s="419"/>
    </row>
    <row r="128" spans="1:16" ht="15.75">
      <c r="A128" s="410"/>
      <c r="B128" s="152"/>
      <c r="C128" s="413" t="s">
        <v>952</v>
      </c>
      <c r="D128" s="414"/>
      <c r="E128" s="218" t="s">
        <v>953</v>
      </c>
      <c r="F128" s="2685">
        <f>100%-F129</f>
        <v>0.34399999999999997</v>
      </c>
      <c r="G128" s="2685">
        <f t="shared" ref="G128:O128" si="28">100%-G129</f>
        <v>0.34399999999999997</v>
      </c>
      <c r="H128" s="3083">
        <f t="shared" si="28"/>
        <v>0.33066666666666644</v>
      </c>
      <c r="I128" s="3083">
        <f t="shared" si="28"/>
        <v>0.31799999999999995</v>
      </c>
      <c r="J128" s="3083">
        <f t="shared" si="28"/>
        <v>0.35</v>
      </c>
      <c r="K128" s="3083">
        <f t="shared" si="28"/>
        <v>0.30000000000000004</v>
      </c>
      <c r="L128" s="3083">
        <f t="shared" si="28"/>
        <v>0.25</v>
      </c>
      <c r="M128" s="3083">
        <f t="shared" si="28"/>
        <v>0.21999999999999997</v>
      </c>
      <c r="N128" s="3083">
        <f t="shared" si="28"/>
        <v>0.19999999999999996</v>
      </c>
      <c r="O128" s="3083">
        <f t="shared" si="28"/>
        <v>0.15000000000000002</v>
      </c>
      <c r="P128" s="419"/>
    </row>
    <row r="129" spans="1:21" ht="15.75">
      <c r="A129" s="410"/>
      <c r="B129" s="152"/>
      <c r="C129" s="413"/>
      <c r="D129" s="414"/>
      <c r="E129" s="218" t="s">
        <v>954</v>
      </c>
      <c r="F129" s="2685">
        <f t="shared" si="27"/>
        <v>0.65600000000000003</v>
      </c>
      <c r="G129" s="2685">
        <v>0.65600000000000003</v>
      </c>
      <c r="H129" s="3084">
        <v>0.66933333333333356</v>
      </c>
      <c r="I129" s="3085">
        <v>0.68200000000000005</v>
      </c>
      <c r="J129" s="3085">
        <v>0.65</v>
      </c>
      <c r="K129" s="3085">
        <v>0.7</v>
      </c>
      <c r="L129" s="3085">
        <v>0.75</v>
      </c>
      <c r="M129" s="3085">
        <v>0.78</v>
      </c>
      <c r="N129" s="3085">
        <v>0.8</v>
      </c>
      <c r="O129" s="3085">
        <v>0.85</v>
      </c>
      <c r="P129" s="419"/>
    </row>
    <row r="130" spans="1:21" ht="15.75">
      <c r="A130" s="410"/>
      <c r="B130" s="152"/>
      <c r="C130" s="111" t="s">
        <v>970</v>
      </c>
      <c r="D130" s="112"/>
      <c r="E130" s="844" t="s">
        <v>970</v>
      </c>
      <c r="F130" s="868">
        <v>0</v>
      </c>
      <c r="G130" s="868">
        <v>0</v>
      </c>
      <c r="H130" s="868">
        <v>0</v>
      </c>
      <c r="I130" s="868">
        <v>0</v>
      </c>
      <c r="J130" s="868">
        <v>0</v>
      </c>
      <c r="K130" s="868">
        <v>0</v>
      </c>
      <c r="L130" s="868">
        <v>0</v>
      </c>
      <c r="M130" s="868">
        <v>0</v>
      </c>
      <c r="N130" s="868">
        <v>0</v>
      </c>
      <c r="O130" s="868">
        <v>0</v>
      </c>
      <c r="P130" s="419"/>
    </row>
    <row r="131" spans="1:21" ht="15.75">
      <c r="A131" s="410"/>
      <c r="B131" s="152"/>
      <c r="C131" s="126"/>
      <c r="D131" s="414"/>
      <c r="E131" s="218"/>
      <c r="F131" s="843"/>
      <c r="G131" s="843"/>
      <c r="H131" s="843"/>
      <c r="I131" s="843"/>
      <c r="J131" s="843"/>
      <c r="K131" s="843"/>
      <c r="L131" s="843"/>
      <c r="M131" s="843"/>
      <c r="N131" s="843"/>
      <c r="O131" s="843"/>
      <c r="P131" s="419"/>
    </row>
    <row r="132" spans="1:21" ht="15.75">
      <c r="A132" s="410"/>
      <c r="B132" s="152"/>
      <c r="C132" s="416" t="s">
        <v>2388</v>
      </c>
      <c r="D132" s="415">
        <f>$E$9</f>
        <v>1</v>
      </c>
      <c r="E132" s="104"/>
      <c r="F132" s="415"/>
      <c r="G132" s="415"/>
      <c r="H132" s="415"/>
      <c r="I132" s="415"/>
      <c r="J132" s="415"/>
      <c r="K132" s="415"/>
      <c r="L132" s="415"/>
      <c r="M132" s="415"/>
      <c r="N132" s="415"/>
      <c r="O132" s="104" t="s">
        <v>277</v>
      </c>
      <c r="P132" s="419"/>
    </row>
    <row r="133" spans="1:21" ht="15.75">
      <c r="A133" s="410"/>
      <c r="B133" s="152"/>
      <c r="C133" s="415"/>
      <c r="D133" s="415"/>
      <c r="E133" s="415"/>
      <c r="F133" s="415"/>
      <c r="G133" s="415"/>
      <c r="H133" s="415"/>
      <c r="I133" s="415"/>
      <c r="J133" s="415"/>
      <c r="K133" s="415"/>
      <c r="L133" s="415"/>
      <c r="M133" s="415"/>
      <c r="N133" s="415"/>
      <c r="O133" s="415"/>
      <c r="P133" s="419"/>
    </row>
    <row r="134" spans="1:21" ht="15.75">
      <c r="A134" s="410"/>
      <c r="B134" s="152"/>
      <c r="C134" s="61" t="s">
        <v>840</v>
      </c>
      <c r="D134" s="61" t="s">
        <v>870</v>
      </c>
      <c r="E134" s="61" t="s">
        <v>275</v>
      </c>
      <c r="F134" s="119">
        <v>2007</v>
      </c>
      <c r="G134" s="120">
        <f t="shared" ref="G134:O134" si="29">F134+5</f>
        <v>2012</v>
      </c>
      <c r="H134" s="120">
        <f t="shared" si="29"/>
        <v>2017</v>
      </c>
      <c r="I134" s="120">
        <f t="shared" si="29"/>
        <v>2022</v>
      </c>
      <c r="J134" s="120">
        <f t="shared" si="29"/>
        <v>2027</v>
      </c>
      <c r="K134" s="120">
        <f t="shared" si="29"/>
        <v>2032</v>
      </c>
      <c r="L134" s="120">
        <f t="shared" si="29"/>
        <v>2037</v>
      </c>
      <c r="M134" s="120">
        <f t="shared" si="29"/>
        <v>2042</v>
      </c>
      <c r="N134" s="120">
        <f t="shared" si="29"/>
        <v>2047</v>
      </c>
      <c r="O134" s="120">
        <f t="shared" si="29"/>
        <v>2052</v>
      </c>
      <c r="P134" s="419"/>
    </row>
    <row r="135" spans="1:21" ht="15.75">
      <c r="A135" s="410"/>
      <c r="B135" s="152"/>
      <c r="C135" s="413" t="s">
        <v>955</v>
      </c>
      <c r="D135" s="414" t="s">
        <v>973</v>
      </c>
      <c r="E135" s="218" t="s">
        <v>953</v>
      </c>
      <c r="F135" s="2685">
        <f>CHOOSE($D$132,F99,F108,F117,F126)</f>
        <v>0.91127970346733433</v>
      </c>
      <c r="G135" s="2685">
        <f t="shared" ref="G135:O135" si="30">CHOOSE($D$132,G99,G108,G117,G126)</f>
        <v>0.91127970346733433</v>
      </c>
      <c r="H135" s="2675">
        <f t="shared" si="30"/>
        <v>0.90269186616874042</v>
      </c>
      <c r="I135" s="2674">
        <f t="shared" si="30"/>
        <v>0.89224576932440525</v>
      </c>
      <c r="J135" s="2674">
        <f t="shared" si="30"/>
        <v>0.88205223221616313</v>
      </c>
      <c r="K135" s="2674">
        <f t="shared" si="30"/>
        <v>0.8737032214584034</v>
      </c>
      <c r="L135" s="2674">
        <f t="shared" si="30"/>
        <v>0.86510705194987392</v>
      </c>
      <c r="M135" s="2674">
        <f t="shared" si="30"/>
        <v>0.83656903888258616</v>
      </c>
      <c r="N135" s="2674">
        <f t="shared" si="30"/>
        <v>0.82152789271723836</v>
      </c>
      <c r="O135" s="2674">
        <f t="shared" si="30"/>
        <v>0.81089459231187122</v>
      </c>
      <c r="P135" s="419"/>
    </row>
    <row r="136" spans="1:21" ht="15.75">
      <c r="A136" s="410"/>
      <c r="B136" s="152"/>
      <c r="C136" s="413"/>
      <c r="D136" s="414" t="s">
        <v>974</v>
      </c>
      <c r="E136" s="218" t="s">
        <v>953</v>
      </c>
      <c r="F136" s="2685">
        <f t="shared" ref="F136:O139" si="31">CHOOSE($D$132,F100,F109,F118,F127)</f>
        <v>8.8720296532665791E-2</v>
      </c>
      <c r="G136" s="2685">
        <f t="shared" si="31"/>
        <v>8.8720296532665791E-2</v>
      </c>
      <c r="H136" s="2676">
        <f t="shared" si="31"/>
        <v>9.7308133831259525E-2</v>
      </c>
      <c r="I136" s="2677">
        <f t="shared" si="31"/>
        <v>0.10775423067559475</v>
      </c>
      <c r="J136" s="2674">
        <f t="shared" si="31"/>
        <v>0.11794776778383682</v>
      </c>
      <c r="K136" s="2677">
        <f t="shared" si="31"/>
        <v>0.12629677854159665</v>
      </c>
      <c r="L136" s="2674">
        <f t="shared" si="31"/>
        <v>0.13489294805012614</v>
      </c>
      <c r="M136" s="2677">
        <f t="shared" si="31"/>
        <v>0.1634309611174139</v>
      </c>
      <c r="N136" s="2674">
        <f t="shared" si="31"/>
        <v>0.17847210728276164</v>
      </c>
      <c r="O136" s="2674">
        <f t="shared" si="31"/>
        <v>0.18910540768812872</v>
      </c>
      <c r="P136" s="419"/>
    </row>
    <row r="137" spans="1:21" ht="15.75">
      <c r="A137" s="410"/>
      <c r="B137" s="152"/>
      <c r="C137" s="413" t="s">
        <v>952</v>
      </c>
      <c r="D137" s="414"/>
      <c r="E137" s="218" t="s">
        <v>953</v>
      </c>
      <c r="F137" s="2685">
        <f t="shared" si="31"/>
        <v>0.34399999999999997</v>
      </c>
      <c r="G137" s="2685">
        <f t="shared" si="31"/>
        <v>0.34399999999999997</v>
      </c>
      <c r="H137" s="2676">
        <f t="shared" si="31"/>
        <v>0.33066666666666644</v>
      </c>
      <c r="I137" s="2677">
        <f t="shared" si="31"/>
        <v>0.31799999999999995</v>
      </c>
      <c r="J137" s="2677">
        <f t="shared" si="31"/>
        <v>0.30799999999999994</v>
      </c>
      <c r="K137" s="2677">
        <f t="shared" si="31"/>
        <v>0.30000000000000004</v>
      </c>
      <c r="L137" s="2677">
        <f t="shared" si="31"/>
        <v>0.30000000000000004</v>
      </c>
      <c r="M137" s="2677">
        <f t="shared" si="31"/>
        <v>0.30000000000000004</v>
      </c>
      <c r="N137" s="2677">
        <f t="shared" si="31"/>
        <v>0.30000000000000004</v>
      </c>
      <c r="O137" s="2677">
        <f t="shared" si="31"/>
        <v>0.30000000000000004</v>
      </c>
      <c r="P137" s="419"/>
    </row>
    <row r="138" spans="1:21" ht="15.75">
      <c r="A138" s="410"/>
      <c r="B138" s="152"/>
      <c r="C138" s="413"/>
      <c r="D138" s="414"/>
      <c r="E138" s="218" t="s">
        <v>954</v>
      </c>
      <c r="F138" s="2685">
        <f t="shared" si="31"/>
        <v>0.65600000000000003</v>
      </c>
      <c r="G138" s="2685">
        <f t="shared" si="31"/>
        <v>0.65600000000000003</v>
      </c>
      <c r="H138" s="2676">
        <f t="shared" si="31"/>
        <v>0.66933333333333356</v>
      </c>
      <c r="I138" s="2677">
        <f t="shared" si="31"/>
        <v>0.68200000000000005</v>
      </c>
      <c r="J138" s="2677">
        <f t="shared" si="31"/>
        <v>0.69200000000000006</v>
      </c>
      <c r="K138" s="2677">
        <f t="shared" si="31"/>
        <v>0.7</v>
      </c>
      <c r="L138" s="2677">
        <f t="shared" si="31"/>
        <v>0.7</v>
      </c>
      <c r="M138" s="2677">
        <f t="shared" si="31"/>
        <v>0.7</v>
      </c>
      <c r="N138" s="2677">
        <f t="shared" si="31"/>
        <v>0.7</v>
      </c>
      <c r="O138" s="2677">
        <f t="shared" si="31"/>
        <v>0.7</v>
      </c>
      <c r="P138" s="419"/>
    </row>
    <row r="139" spans="1:21" ht="15.75">
      <c r="A139" s="410"/>
      <c r="B139" s="152"/>
      <c r="C139" s="111" t="s">
        <v>970</v>
      </c>
      <c r="D139" s="112"/>
      <c r="E139" s="844" t="s">
        <v>970</v>
      </c>
      <c r="F139" s="868">
        <f t="shared" si="31"/>
        <v>0</v>
      </c>
      <c r="G139" s="868">
        <f t="shared" si="31"/>
        <v>0</v>
      </c>
      <c r="H139" s="868">
        <f t="shared" si="31"/>
        <v>0</v>
      </c>
      <c r="I139" s="868">
        <f t="shared" si="31"/>
        <v>0</v>
      </c>
      <c r="J139" s="868">
        <f t="shared" si="31"/>
        <v>0</v>
      </c>
      <c r="K139" s="868">
        <f t="shared" si="31"/>
        <v>0</v>
      </c>
      <c r="L139" s="868">
        <f t="shared" si="31"/>
        <v>0</v>
      </c>
      <c r="M139" s="868">
        <f t="shared" si="31"/>
        <v>0</v>
      </c>
      <c r="N139" s="868">
        <f t="shared" si="31"/>
        <v>0</v>
      </c>
      <c r="O139" s="868">
        <f t="shared" si="31"/>
        <v>0</v>
      </c>
      <c r="P139" s="419"/>
    </row>
    <row r="140" spans="1:21" ht="15.75">
      <c r="A140" s="410"/>
      <c r="B140" s="152"/>
      <c r="C140" s="126"/>
      <c r="D140" s="414"/>
      <c r="E140" s="218"/>
      <c r="F140" s="843"/>
      <c r="G140" s="843"/>
      <c r="H140" s="843"/>
      <c r="I140" s="843"/>
      <c r="J140" s="843"/>
      <c r="K140" s="843"/>
      <c r="L140" s="843"/>
      <c r="M140" s="843"/>
      <c r="N140" s="843"/>
      <c r="O140" s="843"/>
      <c r="P140" s="419"/>
    </row>
    <row r="141" spans="1:21">
      <c r="B141" s="208"/>
    </row>
    <row r="142" spans="1:21" s="242" customFormat="1">
      <c r="B142" s="849"/>
      <c r="Q142" s="35"/>
      <c r="R142" s="850"/>
      <c r="S142" s="35"/>
      <c r="T142" s="35"/>
      <c r="U142" s="35"/>
    </row>
    <row r="143" spans="1:21" ht="18" collapsed="1">
      <c r="A143" s="62"/>
      <c r="B143" s="89" t="s">
        <v>241</v>
      </c>
      <c r="Q143" s="35"/>
      <c r="R143" s="851"/>
      <c r="S143" s="35"/>
      <c r="T143" s="35"/>
      <c r="U143" s="35"/>
    </row>
    <row r="144" spans="1:21" s="19" customFormat="1">
      <c r="B144" s="423">
        <v>1</v>
      </c>
      <c r="C144" s="3069" t="s">
        <v>2204</v>
      </c>
      <c r="Q144" s="383"/>
      <c r="R144" s="851"/>
      <c r="S144" s="35"/>
      <c r="T144" s="383"/>
      <c r="U144" s="383"/>
    </row>
    <row r="145" spans="2:21" s="19" customFormat="1">
      <c r="B145" s="423">
        <v>2</v>
      </c>
      <c r="C145" s="3069" t="s">
        <v>997</v>
      </c>
      <c r="Q145" s="383"/>
      <c r="R145" s="851"/>
      <c r="S145" s="35"/>
      <c r="T145" s="383"/>
      <c r="U145" s="383"/>
    </row>
    <row r="146" spans="2:21" s="19" customFormat="1">
      <c r="B146" s="423">
        <v>3</v>
      </c>
      <c r="C146" s="3069" t="s">
        <v>998</v>
      </c>
      <c r="Q146" s="383"/>
      <c r="R146" s="851"/>
      <c r="S146" s="35"/>
      <c r="T146" s="383"/>
      <c r="U146" s="383"/>
    </row>
    <row r="147" spans="2:21" s="19" customFormat="1">
      <c r="B147" s="423"/>
      <c r="C147" s="3069"/>
      <c r="Q147" s="383"/>
      <c r="R147" s="852"/>
      <c r="S147" s="35"/>
      <c r="T147" s="383"/>
      <c r="U147" s="383"/>
    </row>
    <row r="148" spans="2:21" s="19" customFormat="1">
      <c r="B148" s="423"/>
      <c r="C148" s="3069"/>
      <c r="Q148" s="383"/>
      <c r="R148" s="511"/>
      <c r="S148" s="35"/>
      <c r="T148" s="383"/>
      <c r="U148" s="383"/>
    </row>
    <row r="149" spans="2:21">
      <c r="B149" s="423">
        <v>1</v>
      </c>
      <c r="C149" s="423" t="s">
        <v>999</v>
      </c>
      <c r="N149" s="423"/>
      <c r="O149" s="423" t="s">
        <v>1000</v>
      </c>
      <c r="Q149" s="35"/>
      <c r="R149" s="853"/>
      <c r="S149" s="35"/>
      <c r="T149" s="35"/>
      <c r="U149" s="35"/>
    </row>
    <row r="150" spans="2:21">
      <c r="B150" s="423"/>
      <c r="C150" s="893" t="s">
        <v>840</v>
      </c>
      <c r="D150" s="893" t="s">
        <v>870</v>
      </c>
      <c r="E150" s="893" t="s">
        <v>275</v>
      </c>
      <c r="F150" s="641">
        <v>2007</v>
      </c>
      <c r="G150" s="642">
        <f t="shared" ref="G150:O150" si="32">F150+5</f>
        <v>2012</v>
      </c>
      <c r="H150" s="642">
        <f t="shared" si="32"/>
        <v>2017</v>
      </c>
      <c r="I150" s="642">
        <f t="shared" si="32"/>
        <v>2022</v>
      </c>
      <c r="J150" s="642">
        <f t="shared" si="32"/>
        <v>2027</v>
      </c>
      <c r="K150" s="642">
        <f t="shared" si="32"/>
        <v>2032</v>
      </c>
      <c r="L150" s="642">
        <f t="shared" si="32"/>
        <v>2037</v>
      </c>
      <c r="M150" s="642">
        <f t="shared" si="32"/>
        <v>2042</v>
      </c>
      <c r="N150" s="642">
        <f t="shared" si="32"/>
        <v>2047</v>
      </c>
      <c r="O150" s="642">
        <f t="shared" si="32"/>
        <v>2052</v>
      </c>
      <c r="Q150" s="35"/>
      <c r="R150" s="850"/>
      <c r="S150" s="35"/>
      <c r="T150" s="35"/>
      <c r="U150" s="35"/>
    </row>
    <row r="151" spans="2:21">
      <c r="C151" s="894" t="s">
        <v>955</v>
      </c>
      <c r="D151" s="628" t="s">
        <v>973</v>
      </c>
      <c r="E151" s="895" t="s">
        <v>953</v>
      </c>
      <c r="F151" s="898">
        <f>F$21*F$39*F135</f>
        <v>852.58002797112783</v>
      </c>
      <c r="G151" s="898">
        <f t="shared" ref="G151:O152" si="33">G$21*G$39*G135</f>
        <v>852.58002797112783</v>
      </c>
      <c r="H151" s="898">
        <f t="shared" si="33"/>
        <v>1390.8334829240473</v>
      </c>
      <c r="I151" s="898">
        <f t="shared" si="33"/>
        <v>2147.2537454219628</v>
      </c>
      <c r="J151" s="898">
        <f t="shared" si="33"/>
        <v>3198.2674275815261</v>
      </c>
      <c r="K151" s="898">
        <f t="shared" si="33"/>
        <v>4651.7205734894997</v>
      </c>
      <c r="L151" s="898">
        <f t="shared" si="33"/>
        <v>6542.0349112404392</v>
      </c>
      <c r="M151" s="898">
        <f t="shared" si="33"/>
        <v>7888.9823263903199</v>
      </c>
      <c r="N151" s="898">
        <f t="shared" si="33"/>
        <v>9663.0094575861622</v>
      </c>
      <c r="O151" s="898">
        <f t="shared" si="33"/>
        <v>11811.602634743283</v>
      </c>
      <c r="Q151" s="35"/>
      <c r="R151" s="851"/>
      <c r="S151" s="35"/>
      <c r="T151" s="35"/>
      <c r="U151" s="35"/>
    </row>
    <row r="152" spans="2:21" s="37" customFormat="1">
      <c r="C152" s="894"/>
      <c r="D152" s="628" t="s">
        <v>974</v>
      </c>
      <c r="E152" s="895" t="s">
        <v>953</v>
      </c>
      <c r="F152" s="898">
        <f>F$21*F$39*F136</f>
        <v>83.005418217501628</v>
      </c>
      <c r="G152" s="898">
        <f t="shared" si="33"/>
        <v>83.005418217501628</v>
      </c>
      <c r="H152" s="898">
        <f t="shared" si="33"/>
        <v>149.92869191099035</v>
      </c>
      <c r="I152" s="898">
        <f t="shared" si="33"/>
        <v>259.31832165304309</v>
      </c>
      <c r="J152" s="898">
        <f t="shared" si="33"/>
        <v>427.67138960830636</v>
      </c>
      <c r="K152" s="898">
        <f t="shared" si="33"/>
        <v>672.42206355463554</v>
      </c>
      <c r="L152" s="898">
        <f t="shared" si="33"/>
        <v>1020.0753460916194</v>
      </c>
      <c r="M152" s="898">
        <f t="shared" si="33"/>
        <v>1541.1805887083729</v>
      </c>
      <c r="N152" s="898">
        <f t="shared" si="33"/>
        <v>2099.2320234977587</v>
      </c>
      <c r="O152" s="898">
        <f t="shared" si="33"/>
        <v>2754.5354881763024</v>
      </c>
      <c r="Q152" s="855"/>
      <c r="R152" s="851"/>
      <c r="S152" s="35"/>
      <c r="T152" s="855"/>
      <c r="U152" s="855"/>
    </row>
    <row r="153" spans="2:21">
      <c r="B153" s="87"/>
      <c r="C153" s="894" t="s">
        <v>952</v>
      </c>
      <c r="D153" s="628"/>
      <c r="E153" s="895" t="s">
        <v>953</v>
      </c>
      <c r="F153" s="898">
        <f>F$21*F$40*F137</f>
        <v>229.65675502399998</v>
      </c>
      <c r="G153" s="898">
        <f t="shared" ref="G153:O153" si="34">G$21*G$40*G137</f>
        <v>229.65675502399998</v>
      </c>
      <c r="H153" s="898">
        <f t="shared" si="34"/>
        <v>338.03342911937932</v>
      </c>
      <c r="I153" s="898">
        <f t="shared" si="34"/>
        <v>471.60942791381228</v>
      </c>
      <c r="J153" s="898">
        <f t="shared" si="34"/>
        <v>638.37611913526644</v>
      </c>
      <c r="K153" s="898">
        <f t="shared" si="34"/>
        <v>845.55295806373215</v>
      </c>
      <c r="L153" s="898">
        <f t="shared" si="34"/>
        <v>1110.1728843566439</v>
      </c>
      <c r="M153" s="898">
        <f t="shared" si="34"/>
        <v>1276.955566133139</v>
      </c>
      <c r="N153" s="898">
        <f t="shared" si="34"/>
        <v>1465.3733477041321</v>
      </c>
      <c r="O153" s="898">
        <f t="shared" si="34"/>
        <v>1664.6050450707294</v>
      </c>
      <c r="Q153" s="35"/>
      <c r="R153" s="851"/>
      <c r="S153" s="35"/>
      <c r="T153" s="35"/>
      <c r="U153" s="35"/>
    </row>
    <row r="154" spans="2:21">
      <c r="C154" s="894"/>
      <c r="D154" s="628"/>
      <c r="E154" s="895" t="s">
        <v>954</v>
      </c>
      <c r="F154" s="898">
        <f>F$21*F$40*F138</f>
        <v>437.95009097600001</v>
      </c>
      <c r="G154" s="898">
        <f t="shared" ref="G154:O154" si="35">G$21*G$40*G138</f>
        <v>437.95009097600001</v>
      </c>
      <c r="H154" s="898">
        <f t="shared" si="35"/>
        <v>684.24508636261533</v>
      </c>
      <c r="I154" s="898">
        <f t="shared" si="35"/>
        <v>1011.4390875384278</v>
      </c>
      <c r="J154" s="898">
        <f t="shared" si="35"/>
        <v>1434.2736183168977</v>
      </c>
      <c r="K154" s="898">
        <f t="shared" si="35"/>
        <v>1972.9569021487077</v>
      </c>
      <c r="L154" s="898">
        <f t="shared" si="35"/>
        <v>2590.4033968321687</v>
      </c>
      <c r="M154" s="898">
        <f t="shared" si="35"/>
        <v>2979.5629876439903</v>
      </c>
      <c r="N154" s="898">
        <f t="shared" si="35"/>
        <v>3419.2044779763078</v>
      </c>
      <c r="O154" s="898">
        <f t="shared" si="35"/>
        <v>3884.0784384983676</v>
      </c>
      <c r="Q154" s="35"/>
      <c r="R154" s="851"/>
      <c r="S154" s="35"/>
      <c r="T154" s="35"/>
      <c r="U154" s="35"/>
    </row>
    <row r="155" spans="2:21" s="51" customFormat="1">
      <c r="B155" s="423"/>
      <c r="C155" s="894" t="s">
        <v>970</v>
      </c>
      <c r="D155" s="628"/>
      <c r="E155" s="895" t="s">
        <v>970</v>
      </c>
      <c r="F155" s="898">
        <f t="shared" ref="F155:O155" si="36">F$21*F41</f>
        <v>0.37373454816523938</v>
      </c>
      <c r="G155" s="898">
        <f t="shared" si="36"/>
        <v>0.37373454816523938</v>
      </c>
      <c r="H155" s="898">
        <f t="shared" si="36"/>
        <v>0.63873374578138042</v>
      </c>
      <c r="I155" s="898">
        <f t="shared" si="36"/>
        <v>1.0319173995471116</v>
      </c>
      <c r="J155" s="898">
        <f t="shared" si="36"/>
        <v>1.6035354988710357</v>
      </c>
      <c r="K155" s="898">
        <f t="shared" si="36"/>
        <v>2.4223058855059745</v>
      </c>
      <c r="L155" s="898">
        <f t="shared" si="36"/>
        <v>3.5317092872594258</v>
      </c>
      <c r="M155" s="898">
        <f t="shared" si="36"/>
        <v>4.5120756089177956</v>
      </c>
      <c r="N155" s="898">
        <f t="shared" si="36"/>
        <v>5.7558470120924206</v>
      </c>
      <c r="O155" s="898">
        <f t="shared" si="36"/>
        <v>7.2786805935238723</v>
      </c>
      <c r="Q155" s="32"/>
      <c r="R155" s="851"/>
      <c r="S155" s="35"/>
      <c r="T155" s="32"/>
      <c r="U155" s="32"/>
    </row>
    <row r="156" spans="2:21" s="51" customFormat="1">
      <c r="B156" s="423"/>
      <c r="C156" s="896" t="s">
        <v>103</v>
      </c>
      <c r="D156" s="27"/>
      <c r="E156" s="897"/>
      <c r="F156" s="899">
        <f>SUM(F151:F155)</f>
        <v>1603.5660267367946</v>
      </c>
      <c r="G156" s="899">
        <f t="shared" ref="G156:O156" si="37">SUM(G151:G155)</f>
        <v>1603.5660267367946</v>
      </c>
      <c r="H156" s="899">
        <f t="shared" si="37"/>
        <v>2563.6794240628137</v>
      </c>
      <c r="I156" s="899">
        <f t="shared" si="37"/>
        <v>3890.6524999267936</v>
      </c>
      <c r="J156" s="899">
        <f t="shared" si="37"/>
        <v>5700.1920901408685</v>
      </c>
      <c r="K156" s="899">
        <f t="shared" si="37"/>
        <v>8145.0748031420808</v>
      </c>
      <c r="L156" s="899">
        <f t="shared" si="37"/>
        <v>11266.21824780813</v>
      </c>
      <c r="M156" s="899">
        <f t="shared" si="37"/>
        <v>13691.19354448474</v>
      </c>
      <c r="N156" s="899">
        <f t="shared" si="37"/>
        <v>16652.575153776455</v>
      </c>
      <c r="O156" s="899">
        <f t="shared" si="37"/>
        <v>20122.100287082209</v>
      </c>
      <c r="P156" s="27"/>
      <c r="Q156" s="32"/>
      <c r="R156" s="851"/>
      <c r="S156" s="35"/>
      <c r="T156" s="32"/>
      <c r="U156" s="32"/>
    </row>
    <row r="157" spans="2:21" s="51" customFormat="1">
      <c r="B157" s="423"/>
      <c r="C157" s="423"/>
      <c r="E157" s="423"/>
      <c r="F157" s="857"/>
      <c r="G157" s="857"/>
      <c r="H157" s="857"/>
      <c r="I157" s="857"/>
      <c r="J157" s="857"/>
      <c r="K157" s="857"/>
      <c r="L157" s="857"/>
      <c r="M157" s="857"/>
      <c r="N157" s="857"/>
      <c r="O157" s="857"/>
      <c r="Q157" s="32"/>
      <c r="R157" s="851"/>
      <c r="S157" s="35"/>
      <c r="T157" s="32"/>
      <c r="U157" s="32"/>
    </row>
    <row r="158" spans="2:21" s="51" customFormat="1">
      <c r="B158" s="423"/>
      <c r="C158" s="3069"/>
      <c r="D158" s="3069"/>
      <c r="E158" s="422"/>
      <c r="F158" s="854"/>
      <c r="G158" s="854"/>
      <c r="H158" s="854"/>
      <c r="I158" s="854">
        <f>449*unit.lde*10^9</f>
        <v>4377.75</v>
      </c>
      <c r="J158" s="854"/>
      <c r="K158" s="854"/>
      <c r="L158" s="854"/>
      <c r="M158" s="854"/>
      <c r="N158" s="854"/>
      <c r="O158" s="854"/>
      <c r="Q158" s="32"/>
      <c r="R158" s="851"/>
      <c r="S158" s="35"/>
      <c r="T158" s="32"/>
      <c r="U158" s="32"/>
    </row>
    <row r="159" spans="2:21" s="113" customFormat="1">
      <c r="B159" s="423">
        <v>2</v>
      </c>
      <c r="C159" s="423" t="s">
        <v>2205</v>
      </c>
      <c r="D159" s="3069"/>
      <c r="E159" s="3069"/>
      <c r="F159" s="3069"/>
      <c r="G159" s="3069"/>
      <c r="H159" s="3069"/>
      <c r="I159" s="3069"/>
      <c r="J159" s="3069"/>
      <c r="K159" s="3069"/>
      <c r="L159" s="3069"/>
      <c r="M159" s="3069"/>
      <c r="N159" s="423"/>
      <c r="O159" s="856" t="str">
        <f>preferences.energyunits</f>
        <v>TWh</v>
      </c>
      <c r="P159" s="3069"/>
      <c r="Q159" s="93"/>
      <c r="R159" s="851"/>
      <c r="S159" s="35"/>
      <c r="T159" s="93"/>
      <c r="U159" s="93"/>
    </row>
    <row r="160" spans="2:21" s="51" customFormat="1">
      <c r="B160" s="423"/>
      <c r="C160" s="893" t="s">
        <v>840</v>
      </c>
      <c r="D160" s="893" t="s">
        <v>870</v>
      </c>
      <c r="E160" s="893" t="s">
        <v>275</v>
      </c>
      <c r="F160" s="641">
        <v>2007</v>
      </c>
      <c r="G160" s="642">
        <f t="shared" ref="G160:O160" si="38">F160+5</f>
        <v>2012</v>
      </c>
      <c r="H160" s="642">
        <f t="shared" si="38"/>
        <v>2017</v>
      </c>
      <c r="I160" s="642">
        <f t="shared" si="38"/>
        <v>2022</v>
      </c>
      <c r="J160" s="642">
        <f t="shared" si="38"/>
        <v>2027</v>
      </c>
      <c r="K160" s="642">
        <f t="shared" si="38"/>
        <v>2032</v>
      </c>
      <c r="L160" s="642">
        <f t="shared" si="38"/>
        <v>2037</v>
      </c>
      <c r="M160" s="642">
        <f t="shared" si="38"/>
        <v>2042</v>
      </c>
      <c r="N160" s="642">
        <f t="shared" si="38"/>
        <v>2047</v>
      </c>
      <c r="O160" s="642">
        <f t="shared" si="38"/>
        <v>2052</v>
      </c>
      <c r="P160" s="3069"/>
      <c r="Q160" s="32"/>
      <c r="R160" s="851"/>
      <c r="S160" s="35"/>
      <c r="T160" s="32"/>
      <c r="U160" s="32"/>
    </row>
    <row r="161" spans="2:21" s="51" customFormat="1">
      <c r="B161" s="3069"/>
      <c r="C161" s="894" t="s">
        <v>955</v>
      </c>
      <c r="D161" s="628" t="s">
        <v>973</v>
      </c>
      <c r="E161" s="895" t="s">
        <v>953</v>
      </c>
      <c r="F161" s="900">
        <f t="shared" ref="F161:O165" si="39">(F151*F83)*(10^9)</f>
        <v>282.72042111954056</v>
      </c>
      <c r="G161" s="900">
        <f t="shared" si="39"/>
        <v>282.72042111954056</v>
      </c>
      <c r="H161" s="900">
        <f t="shared" si="39"/>
        <v>417.52060974913752</v>
      </c>
      <c r="I161" s="900">
        <f t="shared" si="39"/>
        <v>592.71737522879334</v>
      </c>
      <c r="J161" s="900">
        <f t="shared" si="39"/>
        <v>818.80387633495423</v>
      </c>
      <c r="K161" s="900">
        <f t="shared" si="39"/>
        <v>1105.0636545069683</v>
      </c>
      <c r="L161" s="900">
        <f t="shared" si="39"/>
        <v>1445.8930487147225</v>
      </c>
      <c r="M161" s="900">
        <f t="shared" si="39"/>
        <v>1672.8971699483568</v>
      </c>
      <c r="N161" s="900">
        <f t="shared" si="39"/>
        <v>1942.7009315138253</v>
      </c>
      <c r="O161" s="900">
        <f t="shared" si="39"/>
        <v>2217.9714392361425</v>
      </c>
      <c r="P161" s="3069"/>
      <c r="Q161" s="32"/>
      <c r="R161" s="851"/>
      <c r="S161" s="35"/>
      <c r="T161" s="32"/>
      <c r="U161" s="32"/>
    </row>
    <row r="162" spans="2:21" s="51" customFormat="1">
      <c r="B162" s="37"/>
      <c r="C162" s="894"/>
      <c r="D162" s="628" t="s">
        <v>974</v>
      </c>
      <c r="E162" s="895" t="s">
        <v>953</v>
      </c>
      <c r="F162" s="900">
        <f t="shared" si="39"/>
        <v>40.477365545426764</v>
      </c>
      <c r="G162" s="900">
        <f t="shared" si="39"/>
        <v>40.477365545426764</v>
      </c>
      <c r="H162" s="900">
        <f t="shared" si="39"/>
        <v>69.217082904480776</v>
      </c>
      <c r="I162" s="900">
        <f t="shared" si="39"/>
        <v>113.34033351943938</v>
      </c>
      <c r="J162" s="900">
        <f t="shared" si="39"/>
        <v>176.96371448901792</v>
      </c>
      <c r="K162" s="900">
        <f t="shared" si="39"/>
        <v>263.41392320937734</v>
      </c>
      <c r="L162" s="900">
        <f t="shared" si="39"/>
        <v>378.31343671281593</v>
      </c>
      <c r="M162" s="900">
        <f t="shared" si="39"/>
        <v>541.12274539079658</v>
      </c>
      <c r="N162" s="900">
        <f t="shared" si="39"/>
        <v>697.79113138469916</v>
      </c>
      <c r="O162" s="900">
        <f t="shared" si="39"/>
        <v>866.83436106072804</v>
      </c>
      <c r="P162" s="37"/>
      <c r="Q162" s="32"/>
      <c r="R162" s="35"/>
      <c r="S162" s="35"/>
      <c r="T162" s="32"/>
      <c r="U162" s="32"/>
    </row>
    <row r="163" spans="2:21" s="51" customFormat="1">
      <c r="B163" s="87"/>
      <c r="C163" s="894" t="s">
        <v>952</v>
      </c>
      <c r="D163" s="628"/>
      <c r="E163" s="895" t="s">
        <v>953</v>
      </c>
      <c r="F163" s="900">
        <f t="shared" si="39"/>
        <v>11.868556049999999</v>
      </c>
      <c r="G163" s="900">
        <f t="shared" si="39"/>
        <v>11.868556049999999</v>
      </c>
      <c r="H163" s="900">
        <f t="shared" si="39"/>
        <v>17.120520694642138</v>
      </c>
      <c r="I163" s="900">
        <f t="shared" si="39"/>
        <v>23.408762382152869</v>
      </c>
      <c r="J163" s="900">
        <f t="shared" si="39"/>
        <v>31.053550610177545</v>
      </c>
      <c r="K163" s="900">
        <f t="shared" si="39"/>
        <v>40.310120990765427</v>
      </c>
      <c r="L163" s="900">
        <f t="shared" si="39"/>
        <v>51.868365313788459</v>
      </c>
      <c r="M163" s="900">
        <f t="shared" si="39"/>
        <v>58.469097147508627</v>
      </c>
      <c r="N163" s="900">
        <f t="shared" si="39"/>
        <v>65.75632713331143</v>
      </c>
      <c r="O163" s="900">
        <f t="shared" si="39"/>
        <v>73.204726515743118</v>
      </c>
      <c r="P163" s="3069"/>
      <c r="Q163" s="32"/>
      <c r="R163" s="511"/>
      <c r="S163" s="35"/>
      <c r="T163" s="32"/>
      <c r="U163" s="32"/>
    </row>
    <row r="164" spans="2:21" s="113" customFormat="1">
      <c r="B164" s="3069"/>
      <c r="C164" s="894"/>
      <c r="D164" s="628"/>
      <c r="E164" s="895" t="s">
        <v>954</v>
      </c>
      <c r="F164" s="900">
        <f t="shared" si="39"/>
        <v>6.3710415000000058</v>
      </c>
      <c r="G164" s="900">
        <f t="shared" si="39"/>
        <v>6.3710415000000058</v>
      </c>
      <c r="H164" s="900">
        <f t="shared" si="39"/>
        <v>9.4068797025169406</v>
      </c>
      <c r="I164" s="900">
        <f t="shared" si="39"/>
        <v>13.140797584316113</v>
      </c>
      <c r="J164" s="900">
        <f t="shared" si="39"/>
        <v>17.610110958084224</v>
      </c>
      <c r="K164" s="900">
        <f t="shared" si="39"/>
        <v>22.892634286083435</v>
      </c>
      <c r="L164" s="900">
        <f t="shared" si="39"/>
        <v>28.404926019576415</v>
      </c>
      <c r="M164" s="900">
        <f t="shared" si="39"/>
        <v>30.876418737637415</v>
      </c>
      <c r="N164" s="900">
        <f t="shared" si="39"/>
        <v>33.484784986368169</v>
      </c>
      <c r="O164" s="900">
        <f t="shared" si="39"/>
        <v>35.946658228245852</v>
      </c>
      <c r="P164" s="3069"/>
      <c r="Q164" s="93"/>
      <c r="R164" s="853">
        <f>Unit.kWh</f>
        <v>1.0000000000000001E-9</v>
      </c>
      <c r="S164" s="35">
        <f>R164/R165</f>
        <v>0.10859728506787332</v>
      </c>
      <c r="T164" s="93"/>
      <c r="U164" s="93"/>
    </row>
    <row r="165" spans="2:21" s="51" customFormat="1">
      <c r="B165" s="423"/>
      <c r="C165" s="894" t="s">
        <v>970</v>
      </c>
      <c r="D165" s="628"/>
      <c r="E165" s="895" t="s">
        <v>970</v>
      </c>
      <c r="F165" s="900">
        <f t="shared" si="39"/>
        <v>0.92430130232096508</v>
      </c>
      <c r="G165" s="900">
        <f t="shared" si="39"/>
        <v>0.92430130232096508</v>
      </c>
      <c r="H165" s="900">
        <f t="shared" si="39"/>
        <v>1.5600362938913694</v>
      </c>
      <c r="I165" s="900">
        <f t="shared" si="39"/>
        <v>2.4889965681514452</v>
      </c>
      <c r="J165" s="900">
        <f t="shared" si="39"/>
        <v>3.8196402664699924</v>
      </c>
      <c r="K165" s="900">
        <f t="shared" si="39"/>
        <v>5.698196091007186</v>
      </c>
      <c r="L165" s="900">
        <f t="shared" si="39"/>
        <v>8.2046087392231186</v>
      </c>
      <c r="M165" s="900">
        <f t="shared" si="39"/>
        <v>10.351751028603708</v>
      </c>
      <c r="N165" s="900">
        <f t="shared" si="39"/>
        <v>13.041009566969963</v>
      </c>
      <c r="O165" s="900">
        <f t="shared" si="39"/>
        <v>16.286177175741408</v>
      </c>
      <c r="Q165" s="32"/>
      <c r="R165" s="3086">
        <f>unit.lpe</f>
        <v>9.2083333333333331E-9</v>
      </c>
      <c r="S165" s="35"/>
      <c r="T165" s="32"/>
      <c r="U165" s="32"/>
    </row>
    <row r="166" spans="2:21" s="51" customFormat="1">
      <c r="B166" s="423"/>
      <c r="C166" s="896" t="s">
        <v>103</v>
      </c>
      <c r="D166" s="27"/>
      <c r="E166" s="897"/>
      <c r="F166" s="2686">
        <f>SUM(F161:F165)</f>
        <v>342.36168551728827</v>
      </c>
      <c r="G166" s="2686">
        <f t="shared" ref="G166:O166" si="40">SUM(G161:G165)</f>
        <v>342.36168551728827</v>
      </c>
      <c r="H166" s="2686">
        <f t="shared" si="40"/>
        <v>514.82512934466877</v>
      </c>
      <c r="I166" s="2686">
        <f t="shared" si="40"/>
        <v>745.09626528285321</v>
      </c>
      <c r="J166" s="2686">
        <f t="shared" si="40"/>
        <v>1048.2508926587041</v>
      </c>
      <c r="K166" s="2686">
        <f t="shared" si="40"/>
        <v>1437.3785290842018</v>
      </c>
      <c r="L166" s="2686">
        <f t="shared" si="40"/>
        <v>1912.6843855001264</v>
      </c>
      <c r="M166" s="2686">
        <f t="shared" si="40"/>
        <v>2313.7171822529031</v>
      </c>
      <c r="N166" s="2686">
        <f t="shared" si="40"/>
        <v>2752.7741845851742</v>
      </c>
      <c r="O166" s="2686">
        <f t="shared" si="40"/>
        <v>3210.2433622166009</v>
      </c>
      <c r="P166" s="27"/>
      <c r="Q166" s="32"/>
      <c r="R166" s="851"/>
      <c r="S166" s="35"/>
      <c r="T166" s="32"/>
      <c r="U166" s="32"/>
    </row>
    <row r="167" spans="2:21" s="51" customFormat="1">
      <c r="B167" s="423"/>
      <c r="C167" s="3069"/>
      <c r="E167" s="423"/>
      <c r="F167" s="858"/>
      <c r="G167" s="858"/>
      <c r="H167" s="858"/>
      <c r="I167" s="858"/>
      <c r="J167" s="858"/>
      <c r="K167" s="858"/>
      <c r="L167" s="858"/>
      <c r="M167" s="858"/>
      <c r="N167" s="858"/>
      <c r="O167" s="858"/>
      <c r="Q167" s="32"/>
      <c r="R167" s="851"/>
      <c r="S167" s="35"/>
      <c r="T167" s="32"/>
      <c r="U167" s="32"/>
    </row>
    <row r="168" spans="2:21" s="51" customFormat="1">
      <c r="B168" s="859">
        <v>3</v>
      </c>
      <c r="C168" s="1825" t="s">
        <v>1531</v>
      </c>
      <c r="D168" s="19"/>
      <c r="E168" s="423"/>
      <c r="F168" s="19"/>
      <c r="G168" s="1668"/>
      <c r="H168" s="1668"/>
      <c r="I168" s="1668"/>
      <c r="J168" s="1668"/>
      <c r="K168" s="1668"/>
      <c r="L168" s="1668"/>
      <c r="M168" s="1668"/>
      <c r="N168" s="1668"/>
      <c r="O168" s="1668"/>
      <c r="Q168" s="32"/>
      <c r="R168" s="851"/>
      <c r="S168" s="35"/>
      <c r="T168" s="32"/>
      <c r="U168" s="32"/>
    </row>
    <row r="169" spans="2:21" s="51" customFormat="1">
      <c r="B169" s="859" t="s">
        <v>64</v>
      </c>
      <c r="C169" s="233" t="s">
        <v>1529</v>
      </c>
      <c r="E169" s="859" t="s">
        <v>1530</v>
      </c>
      <c r="F169" s="641">
        <v>2007</v>
      </c>
      <c r="G169" s="642">
        <f t="shared" ref="G169:O169" si="41">F169+5</f>
        <v>2012</v>
      </c>
      <c r="H169" s="642">
        <f t="shared" si="41"/>
        <v>2017</v>
      </c>
      <c r="I169" s="642">
        <f t="shared" si="41"/>
        <v>2022</v>
      </c>
      <c r="J169" s="642">
        <f t="shared" si="41"/>
        <v>2027</v>
      </c>
      <c r="K169" s="642">
        <f t="shared" si="41"/>
        <v>2032</v>
      </c>
      <c r="L169" s="642">
        <f t="shared" si="41"/>
        <v>2037</v>
      </c>
      <c r="M169" s="642">
        <f t="shared" si="41"/>
        <v>2042</v>
      </c>
      <c r="N169" s="642">
        <f t="shared" si="41"/>
        <v>2047</v>
      </c>
      <c r="O169" s="642">
        <f t="shared" si="41"/>
        <v>2052</v>
      </c>
      <c r="Q169" s="32"/>
      <c r="R169" s="851"/>
      <c r="S169" s="35"/>
      <c r="T169" s="32"/>
      <c r="U169" s="32"/>
    </row>
    <row r="170" spans="2:21" s="51" customFormat="1">
      <c r="B170" s="859"/>
      <c r="C170" s="423"/>
      <c r="F170" s="73"/>
      <c r="G170" s="73"/>
      <c r="H170" s="73"/>
      <c r="I170" s="73"/>
      <c r="J170" s="73"/>
      <c r="K170" s="73"/>
      <c r="L170" s="73"/>
      <c r="M170" s="73"/>
      <c r="N170" s="73"/>
      <c r="O170" s="73"/>
      <c r="Q170" s="32"/>
      <c r="R170" s="851"/>
      <c r="S170" s="35"/>
      <c r="T170" s="32"/>
      <c r="U170" s="32"/>
    </row>
    <row r="171" spans="2:21" s="51" customFormat="1">
      <c r="B171" s="60" t="s">
        <v>34</v>
      </c>
      <c r="C171" s="19" t="str">
        <f>INDEX(Vectors[Description], MATCH(B171, Vectors[Code], 0))</f>
        <v>Electricity (delivered to end user)</v>
      </c>
      <c r="E171" s="51" t="str">
        <f>preferences.energyunits</f>
        <v>TWh</v>
      </c>
      <c r="F171" s="73">
        <f>F164</f>
        <v>6.3710415000000058</v>
      </c>
      <c r="G171" s="73">
        <f t="shared" ref="G171:O171" si="42">G164</f>
        <v>6.3710415000000058</v>
      </c>
      <c r="H171" s="73">
        <f t="shared" si="42"/>
        <v>9.4068797025169406</v>
      </c>
      <c r="I171" s="73">
        <f t="shared" si="42"/>
        <v>13.140797584316113</v>
      </c>
      <c r="J171" s="73">
        <f t="shared" si="42"/>
        <v>17.610110958084224</v>
      </c>
      <c r="K171" s="73">
        <f t="shared" si="42"/>
        <v>22.892634286083435</v>
      </c>
      <c r="L171" s="73">
        <f t="shared" si="42"/>
        <v>28.404926019576415</v>
      </c>
      <c r="M171" s="73">
        <f t="shared" si="42"/>
        <v>30.876418737637415</v>
      </c>
      <c r="N171" s="73">
        <f t="shared" si="42"/>
        <v>33.484784986368169</v>
      </c>
      <c r="O171" s="73">
        <f t="shared" si="42"/>
        <v>35.946658228245852</v>
      </c>
      <c r="Q171" s="32"/>
      <c r="R171" s="851"/>
      <c r="S171" s="35"/>
      <c r="T171" s="32"/>
      <c r="U171" s="32"/>
    </row>
    <row r="172" spans="2:21" s="51" customFormat="1">
      <c r="B172" s="60" t="s">
        <v>38</v>
      </c>
      <c r="C172" s="19" t="str">
        <f>INDEX(Vectors[Description], MATCH(B172, Vectors[Code], 0))</f>
        <v>Liquid hydrocarbons</v>
      </c>
      <c r="E172" s="51" t="str">
        <f>preferences.energyunits</f>
        <v>TWh</v>
      </c>
      <c r="F172" s="73">
        <f>SUM(F161:F163)+F165</f>
        <v>335.99064401728828</v>
      </c>
      <c r="G172" s="73">
        <f t="shared" ref="G172:O172" si="43">SUM(G161:G163)+G165</f>
        <v>335.99064401728828</v>
      </c>
      <c r="H172" s="73">
        <f t="shared" si="43"/>
        <v>505.41824964215181</v>
      </c>
      <c r="I172" s="73">
        <f t="shared" si="43"/>
        <v>731.95546769853706</v>
      </c>
      <c r="J172" s="73">
        <f t="shared" si="43"/>
        <v>1030.6407817006198</v>
      </c>
      <c r="K172" s="73">
        <f t="shared" si="43"/>
        <v>1414.4858947981184</v>
      </c>
      <c r="L172" s="73">
        <f t="shared" si="43"/>
        <v>1884.27945948055</v>
      </c>
      <c r="M172" s="73">
        <f t="shared" si="43"/>
        <v>2282.8407635152657</v>
      </c>
      <c r="N172" s="73">
        <f t="shared" si="43"/>
        <v>2719.2893995988061</v>
      </c>
      <c r="O172" s="73">
        <f t="shared" si="43"/>
        <v>3174.2967039883551</v>
      </c>
      <c r="Q172" s="32"/>
      <c r="R172" s="851"/>
      <c r="S172" s="35"/>
      <c r="T172" s="32"/>
      <c r="U172" s="32"/>
    </row>
    <row r="173" spans="2:21" s="51" customFormat="1">
      <c r="B173" s="859"/>
      <c r="C173" s="423"/>
      <c r="F173" s="73"/>
      <c r="G173" s="73"/>
      <c r="H173" s="73"/>
      <c r="I173" s="73"/>
      <c r="J173" s="73"/>
      <c r="K173" s="73"/>
      <c r="L173" s="73"/>
      <c r="M173" s="73"/>
      <c r="N173" s="73"/>
      <c r="O173" s="73"/>
      <c r="Q173" s="32"/>
      <c r="R173" s="851"/>
      <c r="S173" s="35"/>
      <c r="T173" s="32"/>
      <c r="U173" s="32"/>
    </row>
    <row r="174" spans="2:21" s="51" customFormat="1">
      <c r="B174" s="859"/>
      <c r="C174" s="423"/>
      <c r="F174" s="73"/>
      <c r="G174" s="73"/>
      <c r="H174" s="73"/>
      <c r="I174" s="73"/>
      <c r="J174" s="73"/>
      <c r="K174" s="73"/>
      <c r="L174" s="73"/>
      <c r="M174" s="73"/>
      <c r="N174" s="73"/>
      <c r="O174" s="73"/>
      <c r="Q174" s="32"/>
      <c r="R174" s="851"/>
      <c r="S174" s="35"/>
      <c r="T174" s="32"/>
      <c r="U174" s="32"/>
    </row>
    <row r="175" spans="2:21" s="51" customFormat="1">
      <c r="B175" s="859">
        <v>4</v>
      </c>
      <c r="C175" s="423" t="s">
        <v>1532</v>
      </c>
      <c r="F175" s="73"/>
      <c r="G175" s="73"/>
      <c r="H175" s="73"/>
      <c r="I175" s="73"/>
      <c r="J175" s="73"/>
      <c r="K175" s="73"/>
      <c r="L175" s="73"/>
      <c r="M175" s="73"/>
      <c r="N175" s="73"/>
      <c r="O175" s="73"/>
      <c r="Q175" s="32"/>
      <c r="R175" s="851"/>
      <c r="S175" s="35"/>
      <c r="T175" s="32"/>
      <c r="U175" s="32"/>
    </row>
    <row r="176" spans="2:21" s="51" customFormat="1">
      <c r="B176" s="423"/>
      <c r="C176" s="3069"/>
      <c r="F176" s="90"/>
      <c r="G176" s="90"/>
      <c r="H176" s="90"/>
      <c r="I176" s="90"/>
      <c r="J176" s="90"/>
      <c r="K176" s="90"/>
      <c r="L176" s="90"/>
      <c r="M176" s="90"/>
      <c r="N176" s="90"/>
      <c r="O176" s="90"/>
      <c r="Q176" s="32"/>
      <c r="R176" s="851"/>
      <c r="S176" s="35"/>
      <c r="T176" s="32"/>
      <c r="U176" s="32"/>
    </row>
    <row r="177" spans="1:21" s="51" customFormat="1">
      <c r="B177" s="423"/>
      <c r="C177" s="423" t="s">
        <v>846</v>
      </c>
      <c r="F177" s="73"/>
      <c r="G177" s="73"/>
      <c r="H177" s="73"/>
      <c r="I177" s="73"/>
      <c r="J177" s="73"/>
      <c r="K177" s="73"/>
      <c r="L177" s="73"/>
      <c r="M177" s="73"/>
      <c r="N177" s="73"/>
      <c r="O177" s="73"/>
      <c r="Q177" s="32"/>
      <c r="R177" s="851"/>
      <c r="S177" s="35"/>
      <c r="T177" s="32"/>
      <c r="U177" s="32"/>
    </row>
    <row r="178" spans="1:21" s="51" customFormat="1" ht="14.25">
      <c r="B178" s="423"/>
      <c r="C178" s="3069" t="s">
        <v>350</v>
      </c>
      <c r="E178" s="51" t="s">
        <v>368</v>
      </c>
      <c r="F178" s="90">
        <f>F$172*INDEX(EF[CO2],MATCH("V.04",EF[Vector],0))</f>
        <v>89.616765068067764</v>
      </c>
      <c r="G178" s="90">
        <f>G$172*INDEX(EF[CO2],MATCH("V.04",EF[Vector],0))</f>
        <v>89.616765068067764</v>
      </c>
      <c r="H178" s="90">
        <f>H$172*INDEX(EF[CO2],MATCH("V.04",EF[Vector],0))</f>
        <v>134.80717200257564</v>
      </c>
      <c r="I178" s="90">
        <f>I$172*INDEX(EF[CO2],MATCH("V.04",EF[Vector],0))</f>
        <v>195.23008261400358</v>
      </c>
      <c r="J178" s="90">
        <f>J$172*INDEX(EF[CO2],MATCH("V.04",EF[Vector],0))</f>
        <v>274.89662122401739</v>
      </c>
      <c r="K178" s="90">
        <f>K$172*INDEX(EF[CO2],MATCH("V.04",EF[Vector],0))</f>
        <v>377.27732120926589</v>
      </c>
      <c r="L178" s="90">
        <f>L$172*INDEX(EF[CO2],MATCH("V.04",EF[Vector],0))</f>
        <v>502.58253510822573</v>
      </c>
      <c r="M178" s="90">
        <f>M$172*INDEX(EF[CO2],MATCH("V.04",EF[Vector],0))</f>
        <v>608.88839625316882</v>
      </c>
      <c r="N178" s="90">
        <f>N$172*INDEX(EF[CO2],MATCH("V.04",EF[Vector],0))</f>
        <v>725.29971776057573</v>
      </c>
      <c r="O178" s="90">
        <f>O$172*INDEX(EF[CO2],MATCH("V.04",EF[Vector],0))</f>
        <v>846.6610813217435</v>
      </c>
      <c r="Q178" s="32"/>
      <c r="R178" s="851"/>
      <c r="S178" s="35"/>
      <c r="T178" s="32"/>
      <c r="U178" s="32"/>
    </row>
    <row r="179" spans="1:21" s="51" customFormat="1" ht="14.25">
      <c r="B179" s="423"/>
      <c r="C179" s="3069" t="s">
        <v>351</v>
      </c>
      <c r="E179" s="51" t="s">
        <v>368</v>
      </c>
      <c r="F179" s="90">
        <f>F$172*INDEX(EF[CH4],MATCH("V.04",EF[Vector],0))</f>
        <v>0</v>
      </c>
      <c r="G179" s="90">
        <f>G$172*INDEX(EF[CH4],MATCH("V.04",EF[Vector],0))</f>
        <v>0</v>
      </c>
      <c r="H179" s="90">
        <f>H$172*INDEX(EF[CH4],MATCH("V.04",EF[Vector],0))</f>
        <v>0</v>
      </c>
      <c r="I179" s="90">
        <f>I$172*INDEX(EF[CH4],MATCH("V.04",EF[Vector],0))</f>
        <v>0</v>
      </c>
      <c r="J179" s="90">
        <f>J$172*INDEX(EF[CH4],MATCH("V.04",EF[Vector],0))</f>
        <v>0</v>
      </c>
      <c r="K179" s="90">
        <f>K$172*INDEX(EF[CH4],MATCH("V.04",EF[Vector],0))</f>
        <v>0</v>
      </c>
      <c r="L179" s="90">
        <f>L$172*INDEX(EF[CH4],MATCH("V.04",EF[Vector],0))</f>
        <v>0</v>
      </c>
      <c r="M179" s="90">
        <f>M$172*INDEX(EF[CH4],MATCH("V.04",EF[Vector],0))</f>
        <v>0</v>
      </c>
      <c r="N179" s="90">
        <f>N$172*INDEX(EF[CH4],MATCH("V.04",EF[Vector],0))</f>
        <v>0</v>
      </c>
      <c r="O179" s="90">
        <f>O$172*INDEX(EF[CH4],MATCH("V.04",EF[Vector],0))</f>
        <v>0</v>
      </c>
      <c r="Q179" s="32"/>
      <c r="R179" s="851"/>
      <c r="S179" s="35"/>
      <c r="T179" s="32"/>
      <c r="U179" s="32"/>
    </row>
    <row r="180" spans="1:21" s="51" customFormat="1" ht="14.25">
      <c r="B180" s="423"/>
      <c r="C180" s="3069" t="s">
        <v>352</v>
      </c>
      <c r="E180" s="51" t="s">
        <v>368</v>
      </c>
      <c r="F180" s="90">
        <f>F$172*INDEX(EF[N2O],MATCH("V.04",EF[Vector],0))</f>
        <v>0</v>
      </c>
      <c r="G180" s="90">
        <f>G$172*INDEX(EF[N2O],MATCH("V.04",EF[Vector],0))</f>
        <v>0</v>
      </c>
      <c r="H180" s="90">
        <f>H$172*INDEX(EF[N2O],MATCH("V.04",EF[Vector],0))</f>
        <v>0</v>
      </c>
      <c r="I180" s="90">
        <f>I$172*INDEX(EF[N2O],MATCH("V.04",EF[Vector],0))</f>
        <v>0</v>
      </c>
      <c r="J180" s="90">
        <f>J$172*INDEX(EF[N2O],MATCH("V.04",EF[Vector],0))</f>
        <v>0</v>
      </c>
      <c r="K180" s="90">
        <f>K$172*INDEX(EF[N2O],MATCH("V.04",EF[Vector],0))</f>
        <v>0</v>
      </c>
      <c r="L180" s="90">
        <f>L$172*INDEX(EF[N2O],MATCH("V.04",EF[Vector],0))</f>
        <v>0</v>
      </c>
      <c r="M180" s="90">
        <f>M$172*INDEX(EF[N2O],MATCH("V.04",EF[Vector],0))</f>
        <v>0</v>
      </c>
      <c r="N180" s="90">
        <f>N$172*INDEX(EF[N2O],MATCH("V.04",EF[Vector],0))</f>
        <v>0</v>
      </c>
      <c r="O180" s="90">
        <f>O$172*INDEX(EF[N2O],MATCH("V.04",EF[Vector],0))</f>
        <v>0</v>
      </c>
      <c r="Q180" s="32"/>
      <c r="R180" s="851"/>
      <c r="S180" s="35"/>
      <c r="T180" s="32"/>
      <c r="U180" s="32"/>
    </row>
    <row r="181" spans="1:21" s="51" customFormat="1">
      <c r="B181" s="423"/>
      <c r="C181" s="3069"/>
      <c r="F181" s="90"/>
      <c r="G181" s="90"/>
      <c r="H181" s="90"/>
      <c r="I181" s="90"/>
      <c r="J181" s="90"/>
      <c r="K181" s="90"/>
      <c r="L181" s="90"/>
      <c r="M181" s="90"/>
      <c r="N181" s="90"/>
      <c r="O181" s="90"/>
      <c r="Q181" s="32"/>
      <c r="R181" s="851"/>
      <c r="S181" s="35"/>
      <c r="T181" s="32"/>
      <c r="U181" s="32"/>
    </row>
    <row r="182" spans="1:21" s="51" customFormat="1">
      <c r="B182" s="3069"/>
      <c r="C182" s="3069"/>
      <c r="D182" s="3069"/>
      <c r="E182" s="422"/>
      <c r="F182" s="860"/>
      <c r="G182" s="860"/>
      <c r="H182" s="860"/>
      <c r="I182" s="860"/>
      <c r="J182" s="860"/>
      <c r="K182" s="860"/>
      <c r="L182" s="860"/>
      <c r="M182" s="365"/>
      <c r="N182" s="365"/>
      <c r="O182" s="365"/>
    </row>
    <row r="183" spans="1:21" s="51" customFormat="1">
      <c r="B183" s="423"/>
      <c r="C183" s="3069"/>
      <c r="F183" s="90"/>
      <c r="G183" s="90"/>
      <c r="H183" s="90"/>
      <c r="I183" s="90"/>
      <c r="J183" s="90"/>
      <c r="K183" s="90"/>
      <c r="L183" s="90"/>
      <c r="M183" s="90"/>
      <c r="N183" s="90"/>
      <c r="O183" s="90"/>
    </row>
    <row r="184" spans="1:21" ht="22.5" collapsed="1">
      <c r="A184" s="420"/>
      <c r="B184" s="206" t="s">
        <v>202</v>
      </c>
      <c r="C184" s="175"/>
      <c r="D184" s="175"/>
      <c r="E184" s="175"/>
      <c r="F184" s="175"/>
      <c r="G184" s="175"/>
      <c r="H184" s="175"/>
      <c r="I184" s="175"/>
      <c r="J184" s="175"/>
      <c r="K184" s="175"/>
      <c r="L184" s="175"/>
      <c r="M184" s="175"/>
      <c r="N184" s="175"/>
      <c r="O184" s="175"/>
      <c r="P184" s="177"/>
    </row>
    <row r="185" spans="1:21">
      <c r="B185" s="164"/>
      <c r="C185" s="166"/>
      <c r="D185" s="166"/>
      <c r="E185" s="166"/>
      <c r="F185" s="166"/>
      <c r="G185" s="166"/>
      <c r="H185" s="166"/>
      <c r="I185" s="166"/>
      <c r="J185" s="166"/>
      <c r="K185" s="166"/>
      <c r="L185" s="166"/>
      <c r="M185" s="166"/>
      <c r="N185" s="166"/>
      <c r="O185" s="166"/>
      <c r="P185" s="168"/>
    </row>
    <row r="186" spans="1:21">
      <c r="B186" s="164"/>
      <c r="C186" s="178" t="s">
        <v>957</v>
      </c>
      <c r="D186" s="166"/>
      <c r="E186" s="167"/>
      <c r="F186" s="903">
        <f>F158+F159</f>
        <v>0</v>
      </c>
      <c r="G186" s="167"/>
      <c r="H186" s="166"/>
      <c r="I186" s="166"/>
      <c r="J186" s="166"/>
      <c r="K186" s="166"/>
      <c r="L186" s="166"/>
      <c r="M186" s="166"/>
      <c r="N186" s="166"/>
      <c r="O186" s="167" t="str">
        <f>preferences.energyunits</f>
        <v>TWh</v>
      </c>
      <c r="P186" s="168"/>
    </row>
    <row r="187" spans="1:21" ht="6" customHeight="1">
      <c r="B187" s="164"/>
      <c r="C187" s="166"/>
      <c r="D187" s="166"/>
      <c r="E187" s="166"/>
      <c r="F187" s="166"/>
      <c r="G187" s="166"/>
      <c r="H187" s="166"/>
      <c r="I187" s="166"/>
      <c r="J187" s="166"/>
      <c r="K187" s="166"/>
      <c r="L187" s="166"/>
      <c r="M187" s="166"/>
      <c r="N187" s="166"/>
      <c r="O187" s="166"/>
      <c r="P187" s="168"/>
    </row>
    <row r="188" spans="1:21" ht="15.75">
      <c r="A188" s="3"/>
      <c r="B188" s="169"/>
      <c r="C188" s="180" t="s">
        <v>64</v>
      </c>
      <c r="D188" s="180" t="s">
        <v>137</v>
      </c>
      <c r="E188" s="180" t="s">
        <v>156</v>
      </c>
      <c r="F188" s="901" t="s">
        <v>203</v>
      </c>
      <c r="G188" s="902" t="s">
        <v>712</v>
      </c>
      <c r="H188" s="902" t="s">
        <v>713</v>
      </c>
      <c r="I188" s="902" t="s">
        <v>714</v>
      </c>
      <c r="J188" s="902" t="s">
        <v>715</v>
      </c>
      <c r="K188" s="902" t="s">
        <v>716</v>
      </c>
      <c r="L188" s="902" t="s">
        <v>717</v>
      </c>
      <c r="M188" s="902" t="s">
        <v>718</v>
      </c>
      <c r="N188" s="902" t="s">
        <v>719</v>
      </c>
      <c r="O188" s="902" t="s">
        <v>720</v>
      </c>
      <c r="P188" s="168"/>
      <c r="R188" s="3069">
        <v>2012</v>
      </c>
      <c r="S188" s="3069">
        <v>2047</v>
      </c>
    </row>
    <row r="189" spans="1:21" ht="15.75">
      <c r="A189" s="3"/>
      <c r="B189" s="169"/>
      <c r="C189" s="60" t="s">
        <v>27</v>
      </c>
      <c r="D189" s="60" t="str">
        <f>INDEX(Vectors[Description], MATCH([Vector], Vectors[Code], 0))</f>
        <v>Road transport</v>
      </c>
      <c r="E189" s="60"/>
      <c r="F189" s="892">
        <f t="shared" ref="F189:O189" si="44">F161+F162</f>
        <v>323.19778666496734</v>
      </c>
      <c r="G189" s="892">
        <f t="shared" si="44"/>
        <v>323.19778666496734</v>
      </c>
      <c r="H189" s="892">
        <f t="shared" si="44"/>
        <v>486.7376926536183</v>
      </c>
      <c r="I189" s="892">
        <f t="shared" si="44"/>
        <v>706.0577087482327</v>
      </c>
      <c r="J189" s="892">
        <f t="shared" si="44"/>
        <v>995.76759082397211</v>
      </c>
      <c r="K189" s="892">
        <f t="shared" si="44"/>
        <v>1368.4775777163456</v>
      </c>
      <c r="L189" s="892">
        <f t="shared" si="44"/>
        <v>1824.2064854275384</v>
      </c>
      <c r="M189" s="892">
        <f t="shared" si="44"/>
        <v>2214.0199153391532</v>
      </c>
      <c r="N189" s="892">
        <f t="shared" si="44"/>
        <v>2640.4920628985246</v>
      </c>
      <c r="O189" s="892">
        <f t="shared" si="44"/>
        <v>3084.8058002968705</v>
      </c>
      <c r="P189" s="168"/>
      <c r="Q189" s="3069" t="s">
        <v>5</v>
      </c>
      <c r="R189" s="2915">
        <f>G192/SUM(G$192:G$193)</f>
        <v>1.8609096080286377E-2</v>
      </c>
      <c r="S189" s="2915">
        <f>N192/SUM(N$192:N$193)</f>
        <v>1.2164014459985254E-2</v>
      </c>
    </row>
    <row r="190" spans="1:21" ht="15.75">
      <c r="A190" s="3"/>
      <c r="B190" s="169"/>
      <c r="C190" s="60" t="s">
        <v>28</v>
      </c>
      <c r="D190" s="60" t="str">
        <f>INDEX(Vectors[Description], MATCH([Vector], Vectors[Code], 0))</f>
        <v>Rail transport</v>
      </c>
      <c r="E190" s="60"/>
      <c r="F190" s="892">
        <f t="shared" ref="F190:O190" si="45">F163+F164</f>
        <v>18.239597550000006</v>
      </c>
      <c r="G190" s="892">
        <f t="shared" si="45"/>
        <v>18.239597550000006</v>
      </c>
      <c r="H190" s="892">
        <f t="shared" si="45"/>
        <v>26.527400397159077</v>
      </c>
      <c r="I190" s="892">
        <f t="shared" si="45"/>
        <v>36.549559966468983</v>
      </c>
      <c r="J190" s="892">
        <f t="shared" si="45"/>
        <v>48.663661568261773</v>
      </c>
      <c r="K190" s="892">
        <f t="shared" si="45"/>
        <v>63.202755276848862</v>
      </c>
      <c r="L190" s="892">
        <f t="shared" si="45"/>
        <v>80.273291333364881</v>
      </c>
      <c r="M190" s="892">
        <f t="shared" si="45"/>
        <v>89.345515885146042</v>
      </c>
      <c r="N190" s="892">
        <f t="shared" si="45"/>
        <v>99.241112119679599</v>
      </c>
      <c r="O190" s="892">
        <f t="shared" si="45"/>
        <v>109.15138474398897</v>
      </c>
      <c r="P190" s="168"/>
      <c r="Q190" s="3069" t="s">
        <v>110</v>
      </c>
      <c r="R190" s="2915">
        <f t="shared" ref="R190" si="46">G193/SUM(G$192:G$193)</f>
        <v>0.98139090391971362</v>
      </c>
      <c r="S190" s="2915">
        <f t="shared" ref="S190" si="47">N193/SUM(N$192:N$193)</f>
        <v>0.98783598554001473</v>
      </c>
    </row>
    <row r="191" spans="1:21" ht="15.75">
      <c r="A191" s="3"/>
      <c r="B191" s="169"/>
      <c r="C191" s="60" t="s">
        <v>29</v>
      </c>
      <c r="D191" s="60" t="str">
        <f>INDEX(Vectors[Description], MATCH([Vector], Vectors[Code], 0))</f>
        <v>Domestic aviation</v>
      </c>
      <c r="E191" s="60"/>
      <c r="F191" s="892">
        <f t="shared" ref="F191:O191" si="48">F165</f>
        <v>0.92430130232096508</v>
      </c>
      <c r="G191" s="892">
        <f t="shared" si="48"/>
        <v>0.92430130232096508</v>
      </c>
      <c r="H191" s="892">
        <f t="shared" si="48"/>
        <v>1.5600362938913694</v>
      </c>
      <c r="I191" s="892">
        <f t="shared" si="48"/>
        <v>2.4889965681514452</v>
      </c>
      <c r="J191" s="892">
        <f t="shared" si="48"/>
        <v>3.8196402664699924</v>
      </c>
      <c r="K191" s="892">
        <f t="shared" si="48"/>
        <v>5.698196091007186</v>
      </c>
      <c r="L191" s="892">
        <f t="shared" si="48"/>
        <v>8.2046087392231186</v>
      </c>
      <c r="M191" s="892">
        <f t="shared" si="48"/>
        <v>10.351751028603708</v>
      </c>
      <c r="N191" s="892">
        <f t="shared" si="48"/>
        <v>13.041009566969963</v>
      </c>
      <c r="O191" s="892">
        <f t="shared" si="48"/>
        <v>16.286177175741408</v>
      </c>
      <c r="P191" s="168"/>
    </row>
    <row r="192" spans="1:21" ht="15.75">
      <c r="A192" s="3"/>
      <c r="B192" s="169"/>
      <c r="C192" s="60" t="s">
        <v>34</v>
      </c>
      <c r="D192" s="60" t="str">
        <f>INDEX(Vectors[Description], MATCH([Vector], Vectors[Code], 0))</f>
        <v>Electricity (delivered to end user)</v>
      </c>
      <c r="E192" s="60"/>
      <c r="F192" s="892">
        <f t="shared" ref="F192:O192" si="49">-F164</f>
        <v>-6.3710415000000058</v>
      </c>
      <c r="G192" s="892">
        <f t="shared" si="49"/>
        <v>-6.3710415000000058</v>
      </c>
      <c r="H192" s="892">
        <f t="shared" si="49"/>
        <v>-9.4068797025169406</v>
      </c>
      <c r="I192" s="892">
        <f t="shared" si="49"/>
        <v>-13.140797584316113</v>
      </c>
      <c r="J192" s="892">
        <f t="shared" si="49"/>
        <v>-17.610110958084224</v>
      </c>
      <c r="K192" s="892">
        <f t="shared" si="49"/>
        <v>-22.892634286083435</v>
      </c>
      <c r="L192" s="892">
        <f t="shared" si="49"/>
        <v>-28.404926019576415</v>
      </c>
      <c r="M192" s="892">
        <f t="shared" si="49"/>
        <v>-30.876418737637415</v>
      </c>
      <c r="N192" s="892">
        <f t="shared" si="49"/>
        <v>-33.484784986368169</v>
      </c>
      <c r="O192" s="892">
        <f t="shared" si="49"/>
        <v>-35.946658228245852</v>
      </c>
      <c r="P192" s="904"/>
      <c r="R192" s="3069">
        <v>2012</v>
      </c>
      <c r="S192" s="3069">
        <v>2047</v>
      </c>
    </row>
    <row r="193" spans="1:19" ht="15.75">
      <c r="A193" s="3"/>
      <c r="B193" s="169"/>
      <c r="C193" s="60" t="s">
        <v>38</v>
      </c>
      <c r="D193" s="60" t="str">
        <f>INDEX(Vectors[Description], MATCH([Vector], Vectors[Code], 0))</f>
        <v>Liquid hydrocarbons</v>
      </c>
      <c r="E193" s="60"/>
      <c r="F193" s="892">
        <f t="shared" ref="F193:O193" si="50">-(F161+F163+F162+F165)</f>
        <v>-335.99064401728828</v>
      </c>
      <c r="G193" s="892">
        <f t="shared" si="50"/>
        <v>-335.99064401728828</v>
      </c>
      <c r="H193" s="892">
        <f t="shared" si="50"/>
        <v>-505.41824964215181</v>
      </c>
      <c r="I193" s="892">
        <f t="shared" si="50"/>
        <v>-731.95546769853706</v>
      </c>
      <c r="J193" s="892">
        <f t="shared" si="50"/>
        <v>-1030.6407817006198</v>
      </c>
      <c r="K193" s="892">
        <f t="shared" si="50"/>
        <v>-1414.4858947981184</v>
      </c>
      <c r="L193" s="892">
        <f t="shared" si="50"/>
        <v>-1884.27945948055</v>
      </c>
      <c r="M193" s="892">
        <f t="shared" si="50"/>
        <v>-2282.8407635152657</v>
      </c>
      <c r="N193" s="892">
        <f t="shared" si="50"/>
        <v>-2719.2893995988056</v>
      </c>
      <c r="O193" s="892">
        <f t="shared" si="50"/>
        <v>-3174.2967039883551</v>
      </c>
      <c r="P193" s="168"/>
      <c r="Q193" s="3069" t="s">
        <v>5</v>
      </c>
      <c r="R193" s="2915">
        <v>9.4014776633470076E-3</v>
      </c>
      <c r="S193" s="2915">
        <v>5.8666086980496517E-3</v>
      </c>
    </row>
    <row r="194" spans="1:19" ht="15.75">
      <c r="A194" s="3"/>
      <c r="B194" s="169"/>
      <c r="C194" s="60" t="s">
        <v>103</v>
      </c>
      <c r="D194" s="60"/>
      <c r="E194" s="60"/>
      <c r="F194" s="231">
        <f>SUBTOTAL(109,[2007])</f>
        <v>0</v>
      </c>
      <c r="G194" s="231">
        <f>SUBTOTAL(109,[2012])</f>
        <v>0</v>
      </c>
      <c r="H194" s="231">
        <f>SUBTOTAL(109,[2017])</f>
        <v>0</v>
      </c>
      <c r="I194" s="231">
        <f>SUBTOTAL(109,[2022])</f>
        <v>0</v>
      </c>
      <c r="J194" s="231">
        <f>SUBTOTAL(109,[2027])</f>
        <v>0</v>
      </c>
      <c r="K194" s="231">
        <f>SUBTOTAL(109,[2032])</f>
        <v>0</v>
      </c>
      <c r="L194" s="231">
        <f>SUBTOTAL(109,[2037])</f>
        <v>0</v>
      </c>
      <c r="M194" s="231">
        <f>SUBTOTAL(109,[2042])</f>
        <v>0</v>
      </c>
      <c r="N194" s="231">
        <f>SUBTOTAL(109,[2047])</f>
        <v>0</v>
      </c>
      <c r="O194" s="231">
        <f>SUBTOTAL(109,[2052])</f>
        <v>0</v>
      </c>
      <c r="P194" s="168"/>
      <c r="Q194" s="3069" t="s">
        <v>110</v>
      </c>
      <c r="R194" s="2915">
        <v>0.99059852233665302</v>
      </c>
      <c r="S194" s="2915">
        <v>0.99413339130195033</v>
      </c>
    </row>
    <row r="195" spans="1:19" ht="15.75">
      <c r="A195" s="3"/>
      <c r="B195" s="169"/>
      <c r="C195" s="60"/>
      <c r="D195" s="60"/>
      <c r="E195" s="60"/>
      <c r="F195" s="231"/>
      <c r="G195" s="231"/>
      <c r="H195" s="231"/>
      <c r="I195" s="231"/>
      <c r="J195" s="231"/>
      <c r="K195" s="231"/>
      <c r="L195" s="231"/>
      <c r="M195" s="231"/>
      <c r="N195" s="231"/>
      <c r="O195" s="231"/>
      <c r="P195" s="168"/>
    </row>
    <row r="196" spans="1:19" ht="15.75">
      <c r="A196" s="3"/>
      <c r="B196" s="169"/>
      <c r="C196" s="178" t="s">
        <v>958</v>
      </c>
      <c r="D196" s="166"/>
      <c r="E196" s="167"/>
      <c r="F196" s="166"/>
      <c r="G196" s="167"/>
      <c r="H196" s="166"/>
      <c r="I196" s="166"/>
      <c r="J196" s="166"/>
      <c r="K196" s="166"/>
      <c r="L196" s="166"/>
      <c r="M196" s="166"/>
      <c r="N196" s="166"/>
      <c r="O196" s="167" t="str">
        <f>preferences.energyunits</f>
        <v>TWh</v>
      </c>
      <c r="P196" s="168"/>
    </row>
    <row r="197" spans="1:19" ht="7.5" customHeight="1">
      <c r="A197" s="3"/>
      <c r="B197" s="169"/>
      <c r="C197" s="166"/>
      <c r="D197" s="166"/>
      <c r="E197" s="166"/>
      <c r="F197" s="166"/>
      <c r="G197" s="166"/>
      <c r="H197" s="166"/>
      <c r="I197" s="166"/>
      <c r="J197" s="166"/>
      <c r="K197" s="166"/>
      <c r="L197" s="166"/>
      <c r="M197" s="166"/>
      <c r="N197" s="166"/>
      <c r="O197" s="166"/>
      <c r="P197" s="168"/>
    </row>
    <row r="198" spans="1:19" ht="15.75">
      <c r="A198" s="3"/>
      <c r="B198" s="169"/>
      <c r="C198" s="180" t="s">
        <v>64</v>
      </c>
      <c r="D198" s="180" t="s">
        <v>137</v>
      </c>
      <c r="E198" s="180" t="s">
        <v>156</v>
      </c>
      <c r="F198" s="901" t="s">
        <v>203</v>
      </c>
      <c r="G198" s="902" t="s">
        <v>712</v>
      </c>
      <c r="H198" s="902" t="s">
        <v>713</v>
      </c>
      <c r="I198" s="902" t="s">
        <v>714</v>
      </c>
      <c r="J198" s="902" t="s">
        <v>715</v>
      </c>
      <c r="K198" s="902" t="s">
        <v>716</v>
      </c>
      <c r="L198" s="902" t="s">
        <v>717</v>
      </c>
      <c r="M198" s="902" t="s">
        <v>718</v>
      </c>
      <c r="N198" s="902" t="s">
        <v>719</v>
      </c>
      <c r="O198" s="902" t="s">
        <v>720</v>
      </c>
      <c r="P198" s="659" t="s">
        <v>1001</v>
      </c>
    </row>
    <row r="199" spans="1:19" ht="15.75">
      <c r="A199" s="3"/>
      <c r="B199" s="169"/>
      <c r="C199" s="60" t="s">
        <v>27</v>
      </c>
      <c r="D199" s="861" t="str">
        <f>INDEX(Vectors[Description], MATCH([Vector], Vectors[Code], 0))</f>
        <v>Road transport</v>
      </c>
      <c r="E199" s="60"/>
      <c r="F199" s="129">
        <f>F189</f>
        <v>323.19778666496734</v>
      </c>
      <c r="G199" s="129">
        <f t="shared" ref="G199:O199" si="51">G189</f>
        <v>323.19778666496734</v>
      </c>
      <c r="H199" s="129">
        <f t="shared" si="51"/>
        <v>486.7376926536183</v>
      </c>
      <c r="I199" s="129">
        <f t="shared" si="51"/>
        <v>706.0577087482327</v>
      </c>
      <c r="J199" s="129">
        <f t="shared" si="51"/>
        <v>995.76759082397211</v>
      </c>
      <c r="K199" s="129">
        <f t="shared" si="51"/>
        <v>1368.4775777163456</v>
      </c>
      <c r="L199" s="129">
        <f t="shared" si="51"/>
        <v>1824.2064854275384</v>
      </c>
      <c r="M199" s="129">
        <f t="shared" si="51"/>
        <v>2214.0199153391532</v>
      </c>
      <c r="N199" s="129">
        <f t="shared" si="51"/>
        <v>2640.4920628985246</v>
      </c>
      <c r="O199" s="129">
        <f t="shared" si="51"/>
        <v>3084.8058002968705</v>
      </c>
      <c r="P199" s="905"/>
    </row>
    <row r="200" spans="1:19" ht="15.75">
      <c r="A200" s="3"/>
      <c r="B200" s="169"/>
      <c r="C200" s="60" t="s">
        <v>34</v>
      </c>
      <c r="D200" s="861" t="str">
        <f>INDEX(Vectors[Description], MATCH([Vector], Vectors[Code], 0))</f>
        <v>Electricity (delivered to end user)</v>
      </c>
      <c r="E200" s="60"/>
      <c r="F200" s="129">
        <v>0</v>
      </c>
      <c r="G200" s="129">
        <v>0</v>
      </c>
      <c r="H200" s="129">
        <v>0</v>
      </c>
      <c r="I200" s="129">
        <v>0</v>
      </c>
      <c r="J200" s="129">
        <v>0</v>
      </c>
      <c r="K200" s="129">
        <v>0</v>
      </c>
      <c r="L200" s="129">
        <v>0</v>
      </c>
      <c r="M200" s="129">
        <v>0</v>
      </c>
      <c r="N200" s="129">
        <v>0</v>
      </c>
      <c r="O200" s="129">
        <v>0</v>
      </c>
      <c r="P200" s="905"/>
    </row>
    <row r="201" spans="1:19" ht="15.75">
      <c r="A201" s="3"/>
      <c r="B201" s="169"/>
      <c r="C201" s="60" t="s">
        <v>38</v>
      </c>
      <c r="D201" s="861" t="str">
        <f>INDEX(Vectors[Description], MATCH([Vector], Vectors[Code], 0))</f>
        <v>Liquid hydrocarbons</v>
      </c>
      <c r="E201" s="60"/>
      <c r="F201" s="129">
        <f t="shared" ref="F201:O201" si="52">-(F161+F162)</f>
        <v>-323.19778666496734</v>
      </c>
      <c r="G201" s="129">
        <f t="shared" si="52"/>
        <v>-323.19778666496734</v>
      </c>
      <c r="H201" s="129">
        <f t="shared" si="52"/>
        <v>-486.7376926536183</v>
      </c>
      <c r="I201" s="129">
        <f t="shared" si="52"/>
        <v>-706.0577087482327</v>
      </c>
      <c r="J201" s="129">
        <f t="shared" si="52"/>
        <v>-995.76759082397211</v>
      </c>
      <c r="K201" s="129">
        <f t="shared" si="52"/>
        <v>-1368.4775777163456</v>
      </c>
      <c r="L201" s="129">
        <f t="shared" si="52"/>
        <v>-1824.2064854275384</v>
      </c>
      <c r="M201" s="129">
        <f t="shared" si="52"/>
        <v>-2214.0199153391532</v>
      </c>
      <c r="N201" s="129">
        <f t="shared" si="52"/>
        <v>-2640.4920628985246</v>
      </c>
      <c r="O201" s="129">
        <f t="shared" si="52"/>
        <v>-3084.8058002968705</v>
      </c>
      <c r="P201" s="906"/>
    </row>
    <row r="202" spans="1:19" ht="15.75">
      <c r="A202" s="3"/>
      <c r="B202" s="169"/>
      <c r="C202" s="60" t="s">
        <v>103</v>
      </c>
      <c r="D202" s="60"/>
      <c r="E202" s="60"/>
      <c r="F202" s="2684">
        <f>SUBTOTAL(109,[2007])</f>
        <v>0</v>
      </c>
      <c r="G202" s="2684">
        <f>SUBTOTAL(109,[2012])</f>
        <v>0</v>
      </c>
      <c r="H202" s="2684">
        <f>SUBTOTAL(109,[2017])</f>
        <v>0</v>
      </c>
      <c r="I202" s="2684">
        <f>SUBTOTAL(109,[2022])</f>
        <v>0</v>
      </c>
      <c r="J202" s="2684">
        <f>SUBTOTAL(109,[2027])</f>
        <v>0</v>
      </c>
      <c r="K202" s="2684">
        <f>SUBTOTAL(109,[2032])</f>
        <v>0</v>
      </c>
      <c r="L202" s="2684">
        <f>SUBTOTAL(109,[2037])</f>
        <v>0</v>
      </c>
      <c r="M202" s="2684">
        <f>SUBTOTAL(109,[2042])</f>
        <v>0</v>
      </c>
      <c r="N202" s="2684">
        <f>SUBTOTAL(109,[2047])</f>
        <v>0</v>
      </c>
      <c r="O202" s="2684">
        <f>SUBTOTAL(109,[2052])</f>
        <v>0</v>
      </c>
      <c r="P202" s="2687"/>
    </row>
    <row r="203" spans="1:19" ht="15.75">
      <c r="A203" s="3"/>
      <c r="B203" s="169"/>
      <c r="C203" s="60"/>
      <c r="D203" s="60"/>
      <c r="E203" s="60"/>
      <c r="F203" s="231"/>
      <c r="G203" s="231"/>
      <c r="H203" s="231"/>
      <c r="I203" s="231"/>
      <c r="J203" s="231"/>
      <c r="K203" s="231"/>
      <c r="L203" s="231"/>
      <c r="M203" s="231"/>
      <c r="N203" s="231"/>
      <c r="O203" s="231"/>
      <c r="P203" s="168"/>
    </row>
    <row r="204" spans="1:19" ht="15.75">
      <c r="A204" s="3"/>
      <c r="B204" s="169"/>
      <c r="C204" s="178" t="s">
        <v>959</v>
      </c>
      <c r="D204" s="166"/>
      <c r="E204" s="167"/>
      <c r="F204" s="166"/>
      <c r="G204" s="167"/>
      <c r="H204" s="166"/>
      <c r="I204" s="166"/>
      <c r="J204" s="166"/>
      <c r="K204" s="166"/>
      <c r="L204" s="166"/>
      <c r="M204" s="166"/>
      <c r="N204" s="166"/>
      <c r="O204" s="167" t="str">
        <f>preferences.energyunits</f>
        <v>TWh</v>
      </c>
      <c r="P204" s="168"/>
    </row>
    <row r="205" spans="1:19" ht="7.5" customHeight="1">
      <c r="A205" s="3"/>
      <c r="B205" s="169"/>
      <c r="C205" s="166"/>
      <c r="D205" s="166"/>
      <c r="E205" s="166"/>
      <c r="F205" s="166"/>
      <c r="G205" s="166"/>
      <c r="H205" s="166"/>
      <c r="I205" s="166"/>
      <c r="J205" s="166"/>
      <c r="K205" s="166"/>
      <c r="L205" s="166"/>
      <c r="M205" s="166"/>
      <c r="N205" s="166"/>
      <c r="O205" s="166"/>
      <c r="P205" s="168"/>
    </row>
    <row r="206" spans="1:19" ht="15.75">
      <c r="A206" s="3"/>
      <c r="B206" s="169"/>
      <c r="C206" s="180" t="s">
        <v>64</v>
      </c>
      <c r="D206" s="180" t="s">
        <v>137</v>
      </c>
      <c r="E206" s="180" t="s">
        <v>156</v>
      </c>
      <c r="F206" s="901" t="s">
        <v>203</v>
      </c>
      <c r="G206" s="902" t="s">
        <v>712</v>
      </c>
      <c r="H206" s="902" t="s">
        <v>713</v>
      </c>
      <c r="I206" s="902" t="s">
        <v>714</v>
      </c>
      <c r="J206" s="902" t="s">
        <v>715</v>
      </c>
      <c r="K206" s="902" t="s">
        <v>716</v>
      </c>
      <c r="L206" s="902" t="s">
        <v>717</v>
      </c>
      <c r="M206" s="902" t="s">
        <v>718</v>
      </c>
      <c r="N206" s="902" t="s">
        <v>719</v>
      </c>
      <c r="O206" s="902" t="s">
        <v>720</v>
      </c>
      <c r="P206" s="168"/>
    </row>
    <row r="207" spans="1:19" ht="15.75">
      <c r="A207" s="3"/>
      <c r="B207" s="169"/>
      <c r="C207" s="60" t="s">
        <v>28</v>
      </c>
      <c r="D207" s="60" t="str">
        <f>INDEX(Vectors[Description], MATCH([Vector], Vectors[Code], 0))</f>
        <v>Rail transport</v>
      </c>
      <c r="E207" s="60"/>
      <c r="F207" s="129">
        <f>F190</f>
        <v>18.239597550000006</v>
      </c>
      <c r="G207" s="129">
        <f t="shared" ref="G207:O207" si="53">G190</f>
        <v>18.239597550000006</v>
      </c>
      <c r="H207" s="129">
        <f t="shared" si="53"/>
        <v>26.527400397159077</v>
      </c>
      <c r="I207" s="129">
        <f t="shared" si="53"/>
        <v>36.549559966468983</v>
      </c>
      <c r="J207" s="129">
        <f t="shared" si="53"/>
        <v>48.663661568261773</v>
      </c>
      <c r="K207" s="129">
        <f t="shared" si="53"/>
        <v>63.202755276848862</v>
      </c>
      <c r="L207" s="129">
        <f t="shared" si="53"/>
        <v>80.273291333364881</v>
      </c>
      <c r="M207" s="129">
        <f t="shared" si="53"/>
        <v>89.345515885146042</v>
      </c>
      <c r="N207" s="129">
        <f t="shared" si="53"/>
        <v>99.241112119679599</v>
      </c>
      <c r="O207" s="129">
        <f t="shared" si="53"/>
        <v>109.15138474398897</v>
      </c>
      <c r="P207" s="168"/>
    </row>
    <row r="208" spans="1:19" ht="15.75">
      <c r="A208" s="3"/>
      <c r="B208" s="169"/>
      <c r="C208" s="60" t="s">
        <v>34</v>
      </c>
      <c r="D208" s="60" t="str">
        <f>INDEX(Vectors[Description], MATCH([Vector], Vectors[Code], 0))</f>
        <v>Electricity (delivered to end user)</v>
      </c>
      <c r="E208" s="60"/>
      <c r="F208" s="129">
        <f t="shared" ref="F208:O208" si="54">-F164</f>
        <v>-6.3710415000000058</v>
      </c>
      <c r="G208" s="129">
        <f t="shared" si="54"/>
        <v>-6.3710415000000058</v>
      </c>
      <c r="H208" s="129">
        <f t="shared" si="54"/>
        <v>-9.4068797025169406</v>
      </c>
      <c r="I208" s="129">
        <f t="shared" si="54"/>
        <v>-13.140797584316113</v>
      </c>
      <c r="J208" s="129">
        <f t="shared" si="54"/>
        <v>-17.610110958084224</v>
      </c>
      <c r="K208" s="129">
        <f t="shared" si="54"/>
        <v>-22.892634286083435</v>
      </c>
      <c r="L208" s="129">
        <f t="shared" si="54"/>
        <v>-28.404926019576415</v>
      </c>
      <c r="M208" s="129">
        <f t="shared" si="54"/>
        <v>-30.876418737637415</v>
      </c>
      <c r="N208" s="129">
        <f t="shared" si="54"/>
        <v>-33.484784986368169</v>
      </c>
      <c r="O208" s="129">
        <f t="shared" si="54"/>
        <v>-35.946658228245852</v>
      </c>
      <c r="P208" s="168"/>
    </row>
    <row r="209" spans="1:16" ht="15.75">
      <c r="A209" s="3"/>
      <c r="B209" s="169"/>
      <c r="C209" s="60" t="s">
        <v>38</v>
      </c>
      <c r="D209" s="60" t="str">
        <f>INDEX(Vectors[Description], MATCH([Vector], Vectors[Code], 0))</f>
        <v>Liquid hydrocarbons</v>
      </c>
      <c r="E209" s="60"/>
      <c r="F209" s="129">
        <f t="shared" ref="F209:O209" si="55">-F163</f>
        <v>-11.868556049999999</v>
      </c>
      <c r="G209" s="129">
        <f t="shared" si="55"/>
        <v>-11.868556049999999</v>
      </c>
      <c r="H209" s="129">
        <f t="shared" si="55"/>
        <v>-17.120520694642138</v>
      </c>
      <c r="I209" s="129">
        <f t="shared" si="55"/>
        <v>-23.408762382152869</v>
      </c>
      <c r="J209" s="129">
        <f t="shared" si="55"/>
        <v>-31.053550610177545</v>
      </c>
      <c r="K209" s="129">
        <f t="shared" si="55"/>
        <v>-40.310120990765427</v>
      </c>
      <c r="L209" s="129">
        <f t="shared" si="55"/>
        <v>-51.868365313788459</v>
      </c>
      <c r="M209" s="129">
        <f t="shared" si="55"/>
        <v>-58.469097147508627</v>
      </c>
      <c r="N209" s="129">
        <f t="shared" si="55"/>
        <v>-65.75632713331143</v>
      </c>
      <c r="O209" s="129">
        <f t="shared" si="55"/>
        <v>-73.204726515743118</v>
      </c>
      <c r="P209" s="168"/>
    </row>
    <row r="210" spans="1:16" ht="15.75">
      <c r="A210" s="3"/>
      <c r="B210" s="169"/>
      <c r="C210" s="60" t="s">
        <v>103</v>
      </c>
      <c r="D210" s="60"/>
      <c r="E210" s="60"/>
      <c r="F210" s="231">
        <f>SUBTOTAL(109,[2007])</f>
        <v>0</v>
      </c>
      <c r="G210" s="231">
        <f>SUBTOTAL(109,[2012])</f>
        <v>0</v>
      </c>
      <c r="H210" s="231">
        <f>SUBTOTAL(109,[2017])</f>
        <v>0</v>
      </c>
      <c r="I210" s="231">
        <f>SUBTOTAL(109,[2022])</f>
        <v>0</v>
      </c>
      <c r="J210" s="231">
        <f>SUBTOTAL(109,[2027])</f>
        <v>0</v>
      </c>
      <c r="K210" s="231">
        <f>SUBTOTAL(109,[2032])</f>
        <v>0</v>
      </c>
      <c r="L210" s="231">
        <f>SUBTOTAL(109,[2037])</f>
        <v>0</v>
      </c>
      <c r="M210" s="231">
        <f>SUBTOTAL(109,[2042])</f>
        <v>0</v>
      </c>
      <c r="N210" s="231">
        <f>SUBTOTAL(109,[2047])</f>
        <v>0</v>
      </c>
      <c r="O210" s="231">
        <f>SUBTOTAL(109,[2052])</f>
        <v>0</v>
      </c>
      <c r="P210" s="168"/>
    </row>
    <row r="211" spans="1:16" ht="15.75">
      <c r="A211" s="3"/>
      <c r="B211" s="169"/>
      <c r="C211" s="60"/>
      <c r="D211" s="60"/>
      <c r="E211" s="60"/>
      <c r="F211" s="231"/>
      <c r="G211" s="231"/>
      <c r="H211" s="231"/>
      <c r="I211" s="231"/>
      <c r="J211" s="231"/>
      <c r="K211" s="231"/>
      <c r="L211" s="231"/>
      <c r="M211" s="231"/>
      <c r="N211" s="231"/>
      <c r="O211" s="231"/>
      <c r="P211" s="168"/>
    </row>
    <row r="212" spans="1:16" ht="15.75">
      <c r="A212" s="3"/>
      <c r="B212" s="169"/>
      <c r="C212" s="178" t="s">
        <v>1534</v>
      </c>
      <c r="D212" s="166"/>
      <c r="E212" s="167"/>
      <c r="F212" s="166"/>
      <c r="G212" s="167"/>
      <c r="H212" s="166"/>
      <c r="I212" s="166"/>
      <c r="J212" s="166"/>
      <c r="K212" s="166"/>
      <c r="L212" s="166"/>
      <c r="M212" s="166"/>
      <c r="N212" s="166"/>
      <c r="O212" s="167" t="str">
        <f>preferences.energyunits</f>
        <v>TWh</v>
      </c>
      <c r="P212" s="168"/>
    </row>
    <row r="213" spans="1:16" ht="7.5" customHeight="1">
      <c r="A213" s="3"/>
      <c r="B213" s="169"/>
      <c r="C213" s="166"/>
      <c r="D213" s="166"/>
      <c r="E213" s="166"/>
      <c r="F213" s="166"/>
      <c r="G213" s="166"/>
      <c r="H213" s="166"/>
      <c r="I213" s="166"/>
      <c r="J213" s="166"/>
      <c r="K213" s="166"/>
      <c r="L213" s="166"/>
      <c r="M213" s="166"/>
      <c r="N213" s="166"/>
      <c r="O213" s="166"/>
      <c r="P213" s="168"/>
    </row>
    <row r="214" spans="1:16" ht="15.75">
      <c r="A214" s="3"/>
      <c r="B214" s="169"/>
      <c r="C214" s="180" t="s">
        <v>64</v>
      </c>
      <c r="D214" s="180" t="s">
        <v>137</v>
      </c>
      <c r="E214" s="180" t="s">
        <v>156</v>
      </c>
      <c r="F214" s="901" t="s">
        <v>203</v>
      </c>
      <c r="G214" s="902" t="s">
        <v>712</v>
      </c>
      <c r="H214" s="902" t="s">
        <v>713</v>
      </c>
      <c r="I214" s="902" t="s">
        <v>714</v>
      </c>
      <c r="J214" s="902" t="s">
        <v>715</v>
      </c>
      <c r="K214" s="902" t="s">
        <v>716</v>
      </c>
      <c r="L214" s="902" t="s">
        <v>717</v>
      </c>
      <c r="M214" s="902" t="s">
        <v>718</v>
      </c>
      <c r="N214" s="902" t="s">
        <v>719</v>
      </c>
      <c r="O214" s="902" t="s">
        <v>720</v>
      </c>
      <c r="P214" s="168"/>
    </row>
    <row r="215" spans="1:16" ht="15.75">
      <c r="A215" s="3"/>
      <c r="B215" s="169"/>
      <c r="C215" s="60" t="s">
        <v>29</v>
      </c>
      <c r="D215" s="60" t="str">
        <f>INDEX(Vectors[Description], MATCH([Vector], Vectors[Code], 0))</f>
        <v>Domestic aviation</v>
      </c>
      <c r="E215" s="60"/>
      <c r="F215" s="129">
        <f>F191</f>
        <v>0.92430130232096508</v>
      </c>
      <c r="G215" s="129">
        <f t="shared" ref="G215:O215" si="56">G191</f>
        <v>0.92430130232096508</v>
      </c>
      <c r="H215" s="129">
        <f t="shared" si="56"/>
        <v>1.5600362938913694</v>
      </c>
      <c r="I215" s="129">
        <f t="shared" si="56"/>
        <v>2.4889965681514452</v>
      </c>
      <c r="J215" s="129">
        <f t="shared" si="56"/>
        <v>3.8196402664699924</v>
      </c>
      <c r="K215" s="129">
        <f t="shared" si="56"/>
        <v>5.698196091007186</v>
      </c>
      <c r="L215" s="129">
        <f t="shared" si="56"/>
        <v>8.2046087392231186</v>
      </c>
      <c r="M215" s="129">
        <f t="shared" si="56"/>
        <v>10.351751028603708</v>
      </c>
      <c r="N215" s="129">
        <f t="shared" si="56"/>
        <v>13.041009566969963</v>
      </c>
      <c r="O215" s="129">
        <f t="shared" si="56"/>
        <v>16.286177175741408</v>
      </c>
      <c r="P215" s="168"/>
    </row>
    <row r="216" spans="1:16" ht="15.75">
      <c r="A216" s="3"/>
      <c r="B216" s="169"/>
      <c r="C216" s="60" t="s">
        <v>38</v>
      </c>
      <c r="D216" s="60" t="str">
        <f>INDEX(Vectors[Description], MATCH([Vector], Vectors[Code], 0))</f>
        <v>Liquid hydrocarbons</v>
      </c>
      <c r="E216" s="60"/>
      <c r="F216" s="129">
        <f t="shared" ref="F216:O216" si="57">-F165</f>
        <v>-0.92430130232096508</v>
      </c>
      <c r="G216" s="129">
        <f t="shared" si="57"/>
        <v>-0.92430130232096508</v>
      </c>
      <c r="H216" s="129">
        <f t="shared" si="57"/>
        <v>-1.5600362938913694</v>
      </c>
      <c r="I216" s="129">
        <f t="shared" si="57"/>
        <v>-2.4889965681514452</v>
      </c>
      <c r="J216" s="129">
        <f t="shared" si="57"/>
        <v>-3.8196402664699924</v>
      </c>
      <c r="K216" s="129">
        <f t="shared" si="57"/>
        <v>-5.698196091007186</v>
      </c>
      <c r="L216" s="129">
        <f t="shared" si="57"/>
        <v>-8.2046087392231186</v>
      </c>
      <c r="M216" s="129">
        <f t="shared" si="57"/>
        <v>-10.351751028603708</v>
      </c>
      <c r="N216" s="129">
        <f t="shared" si="57"/>
        <v>-13.041009566969963</v>
      </c>
      <c r="O216" s="129">
        <f t="shared" si="57"/>
        <v>-16.286177175741408</v>
      </c>
      <c r="P216" s="168"/>
    </row>
    <row r="217" spans="1:16" ht="15.75">
      <c r="A217" s="3"/>
      <c r="B217" s="169"/>
      <c r="C217" s="60" t="s">
        <v>103</v>
      </c>
      <c r="D217" s="60"/>
      <c r="E217" s="60"/>
      <c r="F217" s="231">
        <f>SUBTOTAL(109,[2007])</f>
        <v>0</v>
      </c>
      <c r="G217" s="231">
        <f>SUBTOTAL(109,[2012])</f>
        <v>0</v>
      </c>
      <c r="H217" s="231">
        <f>SUBTOTAL(109,[2017])</f>
        <v>0</v>
      </c>
      <c r="I217" s="231">
        <f>SUBTOTAL(109,[2022])</f>
        <v>0</v>
      </c>
      <c r="J217" s="231">
        <f>SUBTOTAL(109,[2027])</f>
        <v>0</v>
      </c>
      <c r="K217" s="231">
        <f>SUBTOTAL(109,[2032])</f>
        <v>0</v>
      </c>
      <c r="L217" s="231">
        <f>SUBTOTAL(109,[2037])</f>
        <v>0</v>
      </c>
      <c r="M217" s="231">
        <f>SUBTOTAL(109,[2042])</f>
        <v>0</v>
      </c>
      <c r="N217" s="231">
        <f>SUBTOTAL(109,[2047])</f>
        <v>0</v>
      </c>
      <c r="O217" s="231">
        <f>SUBTOTAL(109,[2052])</f>
        <v>0</v>
      </c>
      <c r="P217" s="168"/>
    </row>
    <row r="218" spans="1:16" ht="15.75">
      <c r="A218" s="3"/>
      <c r="B218" s="169"/>
      <c r="C218" s="60"/>
      <c r="D218" s="60"/>
      <c r="E218" s="60"/>
      <c r="F218" s="231"/>
      <c r="G218" s="231"/>
      <c r="H218" s="231"/>
      <c r="I218" s="231"/>
      <c r="J218" s="231"/>
      <c r="K218" s="231"/>
      <c r="L218" s="231"/>
      <c r="M218" s="231"/>
      <c r="N218" s="231"/>
      <c r="O218" s="231"/>
      <c r="P218" s="168"/>
    </row>
    <row r="219" spans="1:16" ht="15.75">
      <c r="A219" s="3"/>
      <c r="B219" s="170"/>
      <c r="C219" s="171"/>
      <c r="D219" s="171"/>
      <c r="E219" s="171"/>
      <c r="F219" s="171"/>
      <c r="G219" s="171"/>
      <c r="H219" s="171"/>
      <c r="I219" s="171"/>
      <c r="J219" s="171"/>
      <c r="K219" s="171"/>
      <c r="L219" s="171"/>
      <c r="M219" s="171"/>
      <c r="N219" s="171"/>
      <c r="O219" s="171"/>
      <c r="P219" s="173"/>
    </row>
    <row r="221" spans="1:16" ht="22.5">
      <c r="A221" s="420"/>
      <c r="B221" s="216" t="s">
        <v>281</v>
      </c>
      <c r="C221" s="183"/>
      <c r="D221" s="184"/>
      <c r="E221" s="184"/>
      <c r="F221" s="184"/>
      <c r="G221" s="184"/>
      <c r="H221" s="184"/>
      <c r="I221" s="184"/>
      <c r="J221" s="184"/>
      <c r="K221" s="184"/>
      <c r="L221" s="184"/>
      <c r="M221" s="184"/>
      <c r="N221" s="184"/>
      <c r="O221" s="184"/>
      <c r="P221" s="185"/>
    </row>
    <row r="222" spans="1:16">
      <c r="B222" s="190"/>
      <c r="C222" s="191"/>
      <c r="D222" s="191"/>
      <c r="E222" s="191"/>
      <c r="F222" s="191"/>
      <c r="G222" s="191"/>
      <c r="H222" s="191"/>
      <c r="I222" s="191"/>
      <c r="J222" s="191"/>
      <c r="K222" s="191"/>
      <c r="L222" s="191"/>
      <c r="M222" s="191"/>
      <c r="N222" s="191"/>
      <c r="O222" s="191"/>
      <c r="P222" s="192"/>
    </row>
    <row r="223" spans="1:16" ht="14.25">
      <c r="B223" s="193"/>
      <c r="C223" s="186" t="s">
        <v>960</v>
      </c>
      <c r="D223" s="187"/>
      <c r="E223" s="188"/>
      <c r="F223" s="187"/>
      <c r="G223" s="188"/>
      <c r="H223" s="187"/>
      <c r="I223" s="187"/>
      <c r="J223" s="187"/>
      <c r="K223" s="187"/>
      <c r="L223" s="187"/>
      <c r="M223" s="187"/>
      <c r="N223" s="187"/>
      <c r="O223" s="188" t="s">
        <v>368</v>
      </c>
      <c r="P223" s="194"/>
    </row>
    <row r="224" spans="1:16" ht="5.25" customHeight="1">
      <c r="B224" s="193"/>
      <c r="C224" s="187"/>
      <c r="D224" s="187"/>
      <c r="E224" s="187"/>
      <c r="F224" s="187"/>
      <c r="G224" s="187"/>
      <c r="H224" s="187"/>
      <c r="I224" s="187"/>
      <c r="J224" s="187"/>
      <c r="K224" s="187"/>
      <c r="L224" s="187"/>
      <c r="M224" s="187"/>
      <c r="N224" s="187"/>
      <c r="O224" s="187"/>
      <c r="P224" s="194"/>
    </row>
    <row r="225" spans="2:16" ht="15.75">
      <c r="B225" s="195"/>
      <c r="C225" s="221" t="s">
        <v>365</v>
      </c>
      <c r="D225" s="221" t="s">
        <v>337</v>
      </c>
      <c r="E225" s="221" t="s">
        <v>156</v>
      </c>
      <c r="F225" s="901" t="s">
        <v>203</v>
      </c>
      <c r="G225" s="902" t="s">
        <v>712</v>
      </c>
      <c r="H225" s="902" t="s">
        <v>713</v>
      </c>
      <c r="I225" s="902" t="s">
        <v>714</v>
      </c>
      <c r="J225" s="902" t="s">
        <v>715</v>
      </c>
      <c r="K225" s="902" t="s">
        <v>716</v>
      </c>
      <c r="L225" s="902" t="s">
        <v>717</v>
      </c>
      <c r="M225" s="902" t="s">
        <v>718</v>
      </c>
      <c r="N225" s="902" t="s">
        <v>719</v>
      </c>
      <c r="O225" s="902" t="s">
        <v>720</v>
      </c>
      <c r="P225" s="194"/>
    </row>
    <row r="226" spans="2:16" ht="15.75">
      <c r="B226" s="195"/>
      <c r="C226" s="189" t="s">
        <v>350</v>
      </c>
      <c r="D226" s="196" t="s">
        <v>359</v>
      </c>
      <c r="E226" s="189" t="str">
        <f>INDEX(IPCC[Sector_description], MATCH([IPCC Sector], IPCC[Sector_code], 0))</f>
        <v>Fuel Combustion</v>
      </c>
      <c r="F226" s="197">
        <f t="shared" ref="F226:O228" si="58">F178</f>
        <v>89.616765068067764</v>
      </c>
      <c r="G226" s="197">
        <f t="shared" si="58"/>
        <v>89.616765068067764</v>
      </c>
      <c r="H226" s="197">
        <f t="shared" si="58"/>
        <v>134.80717200257564</v>
      </c>
      <c r="I226" s="197">
        <f t="shared" si="58"/>
        <v>195.23008261400358</v>
      </c>
      <c r="J226" s="197">
        <f t="shared" si="58"/>
        <v>274.89662122401739</v>
      </c>
      <c r="K226" s="197">
        <f t="shared" si="58"/>
        <v>377.27732120926589</v>
      </c>
      <c r="L226" s="197">
        <f t="shared" si="58"/>
        <v>502.58253510822573</v>
      </c>
      <c r="M226" s="197">
        <f t="shared" si="58"/>
        <v>608.88839625316882</v>
      </c>
      <c r="N226" s="197">
        <f t="shared" si="58"/>
        <v>725.29971776057573</v>
      </c>
      <c r="O226" s="197">
        <f t="shared" si="58"/>
        <v>846.6610813217435</v>
      </c>
      <c r="P226" s="194"/>
    </row>
    <row r="227" spans="2:16" ht="15.75">
      <c r="B227" s="195"/>
      <c r="C227" s="189" t="s">
        <v>351</v>
      </c>
      <c r="D227" s="196" t="s">
        <v>359</v>
      </c>
      <c r="E227" s="189" t="str">
        <f>INDEX(IPCC[Sector_description], MATCH([IPCC Sector], IPCC[Sector_code], 0))</f>
        <v>Fuel Combustion</v>
      </c>
      <c r="F227" s="197">
        <f t="shared" si="58"/>
        <v>0</v>
      </c>
      <c r="G227" s="197">
        <f t="shared" si="58"/>
        <v>0</v>
      </c>
      <c r="H227" s="197">
        <f t="shared" si="58"/>
        <v>0</v>
      </c>
      <c r="I227" s="197">
        <f t="shared" si="58"/>
        <v>0</v>
      </c>
      <c r="J227" s="197">
        <f t="shared" si="58"/>
        <v>0</v>
      </c>
      <c r="K227" s="197">
        <f t="shared" si="58"/>
        <v>0</v>
      </c>
      <c r="L227" s="197">
        <f t="shared" si="58"/>
        <v>0</v>
      </c>
      <c r="M227" s="197">
        <f t="shared" si="58"/>
        <v>0</v>
      </c>
      <c r="N227" s="197">
        <f t="shared" si="58"/>
        <v>0</v>
      </c>
      <c r="O227" s="197">
        <f t="shared" si="58"/>
        <v>0</v>
      </c>
      <c r="P227" s="194"/>
    </row>
    <row r="228" spans="2:16" ht="15.75">
      <c r="B228" s="195"/>
      <c r="C228" s="189" t="s">
        <v>352</v>
      </c>
      <c r="D228" s="196" t="s">
        <v>359</v>
      </c>
      <c r="E228" s="189" t="str">
        <f>INDEX(IPCC[Sector_description], MATCH([IPCC Sector], IPCC[Sector_code], 0))</f>
        <v>Fuel Combustion</v>
      </c>
      <c r="F228" s="197">
        <f t="shared" si="58"/>
        <v>0</v>
      </c>
      <c r="G228" s="197">
        <f t="shared" si="58"/>
        <v>0</v>
      </c>
      <c r="H228" s="197">
        <f t="shared" si="58"/>
        <v>0</v>
      </c>
      <c r="I228" s="197">
        <f t="shared" si="58"/>
        <v>0</v>
      </c>
      <c r="J228" s="197">
        <f t="shared" si="58"/>
        <v>0</v>
      </c>
      <c r="K228" s="197">
        <f t="shared" si="58"/>
        <v>0</v>
      </c>
      <c r="L228" s="197">
        <f t="shared" si="58"/>
        <v>0</v>
      </c>
      <c r="M228" s="197">
        <f t="shared" si="58"/>
        <v>0</v>
      </c>
      <c r="N228" s="197">
        <f t="shared" si="58"/>
        <v>0</v>
      </c>
      <c r="O228" s="197">
        <f t="shared" si="58"/>
        <v>0</v>
      </c>
      <c r="P228" s="194"/>
    </row>
    <row r="229" spans="2:16" ht="15.75">
      <c r="B229" s="195"/>
      <c r="C229" s="189" t="s">
        <v>103</v>
      </c>
      <c r="D229" s="189"/>
      <c r="E229" s="189"/>
      <c r="F229" s="2343">
        <f>SUBTOTAL(109,[2007])</f>
        <v>89.616765068067764</v>
      </c>
      <c r="G229" s="2343">
        <f>SUBTOTAL(109,[2012])</f>
        <v>89.616765068067764</v>
      </c>
      <c r="H229" s="2343">
        <f>SUBTOTAL(109,[2017])</f>
        <v>134.80717200257564</v>
      </c>
      <c r="I229" s="2343">
        <f>SUBTOTAL(109,[2022])</f>
        <v>195.23008261400358</v>
      </c>
      <c r="J229" s="2343">
        <f>SUBTOTAL(109,[2027])</f>
        <v>274.89662122401739</v>
      </c>
      <c r="K229" s="2343">
        <f>SUBTOTAL(109,[2032])</f>
        <v>377.27732120926589</v>
      </c>
      <c r="L229" s="2343">
        <f>SUBTOTAL(109,[2037])</f>
        <v>502.58253510822573</v>
      </c>
      <c r="M229" s="2343">
        <f>SUBTOTAL(109,[2042])</f>
        <v>608.88839625316882</v>
      </c>
      <c r="N229" s="2343">
        <f>SUBTOTAL(109,[2047])</f>
        <v>725.29971776057573</v>
      </c>
      <c r="O229" s="2343">
        <f>SUBTOTAL(109,[2052])</f>
        <v>846.6610813217435</v>
      </c>
      <c r="P229" s="194"/>
    </row>
    <row r="230" spans="2:16" ht="15.75">
      <c r="B230" s="195"/>
      <c r="C230" s="189"/>
      <c r="D230" s="189"/>
      <c r="E230" s="189"/>
      <c r="F230" s="223"/>
      <c r="G230" s="223"/>
      <c r="H230" s="223"/>
      <c r="I230" s="223"/>
      <c r="J230" s="223"/>
      <c r="K230" s="223"/>
      <c r="L230" s="223"/>
      <c r="M230" s="223"/>
      <c r="N230" s="223"/>
      <c r="O230" s="223"/>
      <c r="P230" s="194"/>
    </row>
    <row r="231" spans="2:16" ht="15.75">
      <c r="B231" s="195"/>
      <c r="C231" s="186" t="s">
        <v>961</v>
      </c>
      <c r="D231" s="187"/>
      <c r="E231" s="188"/>
      <c r="F231" s="187"/>
      <c r="G231" s="188"/>
      <c r="H231" s="187"/>
      <c r="I231" s="187"/>
      <c r="J231" s="187"/>
      <c r="K231" s="187"/>
      <c r="L231" s="187"/>
      <c r="M231" s="187"/>
      <c r="N231" s="187"/>
      <c r="O231" s="188" t="s">
        <v>368</v>
      </c>
      <c r="P231" s="194"/>
    </row>
    <row r="232" spans="2:16" ht="15.75">
      <c r="B232" s="195"/>
      <c r="C232" s="187"/>
      <c r="D232" s="187"/>
      <c r="E232" s="187"/>
      <c r="F232" s="187"/>
      <c r="G232" s="187"/>
      <c r="H232" s="187"/>
      <c r="I232" s="187"/>
      <c r="J232" s="187"/>
      <c r="K232" s="187"/>
      <c r="L232" s="187"/>
      <c r="M232" s="187"/>
      <c r="N232" s="187"/>
      <c r="O232" s="187"/>
      <c r="P232" s="194"/>
    </row>
    <row r="233" spans="2:16" ht="15.75">
      <c r="B233" s="195"/>
      <c r="C233" s="1836" t="s">
        <v>365</v>
      </c>
      <c r="D233" s="1836" t="s">
        <v>337</v>
      </c>
      <c r="E233" s="1836" t="s">
        <v>156</v>
      </c>
      <c r="F233" s="1331" t="s">
        <v>203</v>
      </c>
      <c r="G233" s="1332" t="s">
        <v>712</v>
      </c>
      <c r="H233" s="1332" t="s">
        <v>713</v>
      </c>
      <c r="I233" s="1332" t="s">
        <v>714</v>
      </c>
      <c r="J233" s="1332" t="s">
        <v>715</v>
      </c>
      <c r="K233" s="1332" t="s">
        <v>716</v>
      </c>
      <c r="L233" s="1332" t="s">
        <v>717</v>
      </c>
      <c r="M233" s="1332" t="s">
        <v>718</v>
      </c>
      <c r="N233" s="1332" t="s">
        <v>719</v>
      </c>
      <c r="O233" s="1332" t="s">
        <v>720</v>
      </c>
      <c r="P233" s="194"/>
    </row>
    <row r="234" spans="2:16" ht="15.75">
      <c r="B234" s="195"/>
      <c r="C234" s="1829" t="s">
        <v>350</v>
      </c>
      <c r="D234" s="1830" t="s">
        <v>359</v>
      </c>
      <c r="E234" s="1829" t="str">
        <f>INDEX(IPCC[Sector_description], MATCH(XII.b!$D$234:$D$236, IPCC[Sector_code], 0))</f>
        <v>Fuel Combustion</v>
      </c>
      <c r="F234" s="90">
        <f>-F$201*INDEX(EF[CO2],MATCH("V.04",EF[Vector],0))</f>
        <v>86.204603115625844</v>
      </c>
      <c r="G234" s="90">
        <f>-G$201*INDEX(EF[CO2],MATCH("V.04",EF[Vector],0))</f>
        <v>86.204603115625844</v>
      </c>
      <c r="H234" s="90">
        <f>-H$201*INDEX(EF[CO2],MATCH("V.04",EF[Vector],0))</f>
        <v>129.82461931311468</v>
      </c>
      <c r="I234" s="90">
        <f>-I$201*INDEX(EF[CO2],MATCH("V.04",EF[Vector],0))</f>
        <v>188.32252902295937</v>
      </c>
      <c r="J234" s="90">
        <f>-J$201*INDEX(EF[CO2],MATCH("V.04",EF[Vector],0))</f>
        <v>265.59510462046097</v>
      </c>
      <c r="K234" s="90">
        <f>-K$201*INDEX(EF[CO2],MATCH("V.04",EF[Vector],0))</f>
        <v>365.00579931866753</v>
      </c>
      <c r="L234" s="90">
        <f>-L$201*INDEX(EF[CO2],MATCH("V.04",EF[Vector],0))</f>
        <v>486.55963179675177</v>
      </c>
      <c r="M234" s="90">
        <f>-M$201*INDEX(EF[CO2],MATCH("V.04",EF[Vector],0))</f>
        <v>590.53222505434667</v>
      </c>
      <c r="N234" s="90">
        <f>-N$201*INDEX(EF[CO2],MATCH("V.04",EF[Vector],0))</f>
        <v>704.28257773957205</v>
      </c>
      <c r="O234" s="90">
        <f>-O$201*INDEX(EF[CO2],MATCH("V.04",EF[Vector],0))</f>
        <v>822.79171044891586</v>
      </c>
      <c r="P234" s="194"/>
    </row>
    <row r="235" spans="2:16" ht="15.75">
      <c r="B235" s="195"/>
      <c r="C235" s="189" t="s">
        <v>351</v>
      </c>
      <c r="D235" s="196" t="s">
        <v>359</v>
      </c>
      <c r="E235" s="189" t="str">
        <f>INDEX(IPCC[Sector_description], MATCH(XII.b!$D$234:$D$236, IPCC[Sector_code], 0))</f>
        <v>Fuel Combustion</v>
      </c>
      <c r="F235" s="90">
        <f>-F$201*INDEX(EF[CH4],MATCH("V.04",EF[Vector],0))</f>
        <v>0</v>
      </c>
      <c r="G235" s="90">
        <f>-G$201*INDEX(EF[CH4],MATCH("V.04",EF[Vector],0))</f>
        <v>0</v>
      </c>
      <c r="H235" s="90">
        <f>-H$201*INDEX(EF[CH4],MATCH("V.04",EF[Vector],0))</f>
        <v>0</v>
      </c>
      <c r="I235" s="90">
        <f>-I$201*INDEX(EF[CH4],MATCH("V.04",EF[Vector],0))</f>
        <v>0</v>
      </c>
      <c r="J235" s="90">
        <f>-J$201*INDEX(EF[CH4],MATCH("V.04",EF[Vector],0))</f>
        <v>0</v>
      </c>
      <c r="K235" s="90">
        <f>-K$201*INDEX(EF[CH4],MATCH("V.04",EF[Vector],0))</f>
        <v>0</v>
      </c>
      <c r="L235" s="90">
        <f>-L$201*INDEX(EF[CH4],MATCH("V.04",EF[Vector],0))</f>
        <v>0</v>
      </c>
      <c r="M235" s="90">
        <f>-M$201*INDEX(EF[CH4],MATCH("V.04",EF[Vector],0))</f>
        <v>0</v>
      </c>
      <c r="N235" s="90">
        <f>-N$201*INDEX(EF[CH4],MATCH("V.04",EF[Vector],0))</f>
        <v>0</v>
      </c>
      <c r="O235" s="90">
        <f>-O$201*INDEX(EF[CH4],MATCH("V.04",EF[Vector],0))</f>
        <v>0</v>
      </c>
      <c r="P235" s="194"/>
    </row>
    <row r="236" spans="2:16" ht="15.75">
      <c r="B236" s="195"/>
      <c r="C236" s="189" t="s">
        <v>352</v>
      </c>
      <c r="D236" s="196" t="s">
        <v>359</v>
      </c>
      <c r="E236" s="189" t="str">
        <f>INDEX(IPCC[Sector_description], MATCH(XII.b!$D$234:$D$236, IPCC[Sector_code], 0))</f>
        <v>Fuel Combustion</v>
      </c>
      <c r="F236" s="90">
        <f>-F$201*INDEX(EF[N2O],MATCH("V.04",EF[Vector],0))</f>
        <v>0</v>
      </c>
      <c r="G236" s="90">
        <f>-G$201*INDEX(EF[N2O],MATCH("V.04",EF[Vector],0))</f>
        <v>0</v>
      </c>
      <c r="H236" s="90">
        <f>-H$201*INDEX(EF[N2O],MATCH("V.04",EF[Vector],0))</f>
        <v>0</v>
      </c>
      <c r="I236" s="90">
        <f>-I$201*INDEX(EF[N2O],MATCH("V.04",EF[Vector],0))</f>
        <v>0</v>
      </c>
      <c r="J236" s="90">
        <f>-J$201*INDEX(EF[N2O],MATCH("V.04",EF[Vector],0))</f>
        <v>0</v>
      </c>
      <c r="K236" s="90">
        <f>-K$201*INDEX(EF[N2O],MATCH("V.04",EF[Vector],0))</f>
        <v>0</v>
      </c>
      <c r="L236" s="90">
        <f>-L$201*INDEX(EF[N2O],MATCH("V.04",EF[Vector],0))</f>
        <v>0</v>
      </c>
      <c r="M236" s="90">
        <f>-M$201*INDEX(EF[N2O],MATCH("V.04",EF[Vector],0))</f>
        <v>0</v>
      </c>
      <c r="N236" s="90">
        <f>-N$201*INDEX(EF[N2O],MATCH("V.04",EF[Vector],0))</f>
        <v>0</v>
      </c>
      <c r="O236" s="90">
        <f>-O$201*INDEX(EF[N2O],MATCH("V.04",EF[Vector],0))</f>
        <v>0</v>
      </c>
      <c r="P236" s="194"/>
    </row>
    <row r="237" spans="2:16" ht="15.75">
      <c r="B237" s="195"/>
      <c r="C237" s="1833" t="s">
        <v>103</v>
      </c>
      <c r="D237" s="1833"/>
      <c r="E237" s="1833"/>
      <c r="F237" s="1834">
        <f>SUBTOTAL(109,XII.b!$F$234:$F$236)</f>
        <v>86.204603115625844</v>
      </c>
      <c r="G237" s="1834">
        <f>SUBTOTAL(109,XII.b!$G$234:$G$236)</f>
        <v>86.204603115625844</v>
      </c>
      <c r="H237" s="1834">
        <f>SUBTOTAL(109,XII.b!$H$234:$H$236)</f>
        <v>129.82461931311468</v>
      </c>
      <c r="I237" s="1834">
        <f>SUBTOTAL(109,XII.b!$I$234:$I$236)</f>
        <v>188.32252902295937</v>
      </c>
      <c r="J237" s="1834">
        <f>SUBTOTAL(109,XII.b!$J$234:$J$236)</f>
        <v>265.59510462046097</v>
      </c>
      <c r="K237" s="1834">
        <f>SUBTOTAL(109,XII.b!$K$234:$K$236)</f>
        <v>365.00579931866753</v>
      </c>
      <c r="L237" s="1834">
        <f>SUBTOTAL(109,XII.b!$L$234:$L$236)</f>
        <v>486.55963179675177</v>
      </c>
      <c r="M237" s="1834">
        <f>SUBTOTAL(109,XII.b!$M$234:$M$236)</f>
        <v>590.53222505434667</v>
      </c>
      <c r="N237" s="1834">
        <f>SUBTOTAL(109,XII.b!$N$234:$N$236)</f>
        <v>704.28257773957205</v>
      </c>
      <c r="O237" s="1834">
        <f>SUBTOTAL(109,XII.b!$O$234:$O$236)</f>
        <v>822.79171044891586</v>
      </c>
      <c r="P237" s="194"/>
    </row>
    <row r="238" spans="2:16" ht="15.75">
      <c r="B238" s="195"/>
      <c r="C238" s="189"/>
      <c r="D238" s="189"/>
      <c r="E238" s="189"/>
      <c r="F238" s="223"/>
      <c r="G238" s="223"/>
      <c r="H238" s="223"/>
      <c r="I238" s="223"/>
      <c r="J238" s="223"/>
      <c r="K238" s="223"/>
      <c r="L238" s="223"/>
      <c r="M238" s="223"/>
      <c r="N238" s="223"/>
      <c r="O238" s="223"/>
      <c r="P238" s="194"/>
    </row>
    <row r="239" spans="2:16" ht="15.75">
      <c r="B239" s="195"/>
      <c r="C239" s="186" t="s">
        <v>962</v>
      </c>
      <c r="D239" s="187"/>
      <c r="E239" s="188"/>
      <c r="F239" s="187"/>
      <c r="G239" s="188"/>
      <c r="H239" s="187"/>
      <c r="I239" s="187"/>
      <c r="J239" s="187"/>
      <c r="K239" s="187"/>
      <c r="L239" s="187"/>
      <c r="M239" s="187"/>
      <c r="N239" s="187"/>
      <c r="O239" s="188" t="s">
        <v>368</v>
      </c>
      <c r="P239" s="194"/>
    </row>
    <row r="240" spans="2:16" ht="15.75">
      <c r="B240" s="195"/>
      <c r="C240" s="187"/>
      <c r="D240" s="187"/>
      <c r="E240" s="187"/>
      <c r="F240" s="187"/>
      <c r="G240" s="187"/>
      <c r="H240" s="187"/>
      <c r="I240" s="187"/>
      <c r="J240" s="187"/>
      <c r="K240" s="187"/>
      <c r="L240" s="187"/>
      <c r="M240" s="187"/>
      <c r="N240" s="187"/>
      <c r="O240" s="187"/>
      <c r="P240" s="194"/>
    </row>
    <row r="241" spans="2:16" ht="15.75">
      <c r="B241" s="195"/>
      <c r="C241" s="1836" t="s">
        <v>365</v>
      </c>
      <c r="D241" s="1836" t="s">
        <v>337</v>
      </c>
      <c r="E241" s="1836" t="s">
        <v>156</v>
      </c>
      <c r="F241" s="1331" t="s">
        <v>203</v>
      </c>
      <c r="G241" s="1332" t="s">
        <v>712</v>
      </c>
      <c r="H241" s="1332" t="s">
        <v>713</v>
      </c>
      <c r="I241" s="1332" t="s">
        <v>714</v>
      </c>
      <c r="J241" s="1332" t="s">
        <v>715</v>
      </c>
      <c r="K241" s="1332" t="s">
        <v>716</v>
      </c>
      <c r="L241" s="1332" t="s">
        <v>717</v>
      </c>
      <c r="M241" s="1332" t="s">
        <v>718</v>
      </c>
      <c r="N241" s="1332" t="s">
        <v>719</v>
      </c>
      <c r="O241" s="1332" t="s">
        <v>720</v>
      </c>
      <c r="P241" s="194"/>
    </row>
    <row r="242" spans="2:16" ht="15.75">
      <c r="B242" s="195"/>
      <c r="C242" s="1829" t="s">
        <v>350</v>
      </c>
      <c r="D242" s="1830" t="s">
        <v>359</v>
      </c>
      <c r="E242" s="189" t="str">
        <f>INDEX(IPCC[Sector_description], MATCH([IPCC Sector], IPCC[Sector_code], 0))</f>
        <v>Fuel Combustion</v>
      </c>
      <c r="F242" s="1835">
        <f>-F$209*INDEX(EF[CO2],MATCH("V.04",EF[Vector],0))</f>
        <v>3.1656286214187439</v>
      </c>
      <c r="G242" s="1835">
        <f>-G$209*INDEX(EF[CO2],MATCH("V.04",EF[Vector],0))</f>
        <v>3.1656286214187439</v>
      </c>
      <c r="H242" s="1835">
        <f>-H$209*INDEX(EF[CO2],MATCH("V.04",EF[Vector],0))</f>
        <v>4.5664535851057533</v>
      </c>
      <c r="I242" s="1835">
        <f>-I$209*INDEX(EF[CO2],MATCH("V.04",EF[Vector],0))</f>
        <v>6.2436784960823895</v>
      </c>
      <c r="J242" s="1835">
        <f>-J$209*INDEX(EF[CO2],MATCH("V.04",EF[Vector],0))</f>
        <v>8.2827269125340273</v>
      </c>
      <c r="K242" s="1835">
        <f>-K$209*INDEX(EF[CO2],MATCH("V.04",EF[Vector],0))</f>
        <v>10.751676295215335</v>
      </c>
      <c r="L242" s="1835">
        <f>-L$209*INDEX(EF[CO2],MATCH("V.04",EF[Vector],0))</f>
        <v>13.834537334769715</v>
      </c>
      <c r="M242" s="1835">
        <f>-M$209*INDEX(EF[CO2],MATCH("V.04",EF[Vector],0))</f>
        <v>15.595110864279599</v>
      </c>
      <c r="N242" s="1835">
        <f>-N$209*INDEX(EF[CO2],MATCH("V.04",EF[Vector],0))</f>
        <v>17.538789919822186</v>
      </c>
      <c r="O242" s="1835">
        <f>-O$209*INDEX(EF[CO2],MATCH("V.04",EF[Vector],0))</f>
        <v>19.525456719848247</v>
      </c>
      <c r="P242" s="194"/>
    </row>
    <row r="243" spans="2:16" ht="15.75">
      <c r="B243" s="195"/>
      <c r="C243" s="189" t="s">
        <v>351</v>
      </c>
      <c r="D243" s="196" t="s">
        <v>359</v>
      </c>
      <c r="E243" s="189" t="str">
        <f>INDEX(IPCC[Sector_description], MATCH([IPCC Sector], IPCC[Sector_code], 0))</f>
        <v>Fuel Combustion</v>
      </c>
      <c r="F243" s="1837">
        <f>-F$209*INDEX(EF[CH4],MATCH("V.04",EF[Vector],0))</f>
        <v>0</v>
      </c>
      <c r="G243" s="1837">
        <f>-G$209*INDEX(EF[CH4],MATCH("V.04",EF[Vector],0))</f>
        <v>0</v>
      </c>
      <c r="H243" s="1837">
        <f>-H$209*INDEX(EF[CH4],MATCH("V.04",EF[Vector],0))</f>
        <v>0</v>
      </c>
      <c r="I243" s="1837">
        <f>-I$209*INDEX(EF[CH4],MATCH("V.04",EF[Vector],0))</f>
        <v>0</v>
      </c>
      <c r="J243" s="1837">
        <f>-J$209*INDEX(EF[CH4],MATCH("V.04",EF[Vector],0))</f>
        <v>0</v>
      </c>
      <c r="K243" s="1837">
        <f>-K$209*INDEX(EF[CH4],MATCH("V.04",EF[Vector],0))</f>
        <v>0</v>
      </c>
      <c r="L243" s="1837">
        <f>-L$209*INDEX(EF[CH4],MATCH("V.04",EF[Vector],0))</f>
        <v>0</v>
      </c>
      <c r="M243" s="1837">
        <f>-M$209*INDEX(EF[CH4],MATCH("V.04",EF[Vector],0))</f>
        <v>0</v>
      </c>
      <c r="N243" s="1837">
        <f>-N$209*INDEX(EF[CH4],MATCH("V.04",EF[Vector],0))</f>
        <v>0</v>
      </c>
      <c r="O243" s="1837">
        <f>-O$209*INDEX(EF[CH4],MATCH("V.04",EF[Vector],0))</f>
        <v>0</v>
      </c>
      <c r="P243" s="194"/>
    </row>
    <row r="244" spans="2:16" ht="15.75">
      <c r="B244" s="195"/>
      <c r="C244" s="189" t="s">
        <v>352</v>
      </c>
      <c r="D244" s="196" t="s">
        <v>359</v>
      </c>
      <c r="E244" s="189" t="str">
        <f>INDEX(IPCC[Sector_description], MATCH([IPCC Sector], IPCC[Sector_code], 0))</f>
        <v>Fuel Combustion</v>
      </c>
      <c r="F244" s="1835">
        <f>-F$209*INDEX(EF[N2O],MATCH("V.04",EF[Vector],0))</f>
        <v>0</v>
      </c>
      <c r="G244" s="1835">
        <f>-G$209*INDEX(EF[N2O],MATCH("V.04",EF[Vector],0))</f>
        <v>0</v>
      </c>
      <c r="H244" s="1835">
        <f>-H$209*INDEX(EF[N2O],MATCH("V.04",EF[Vector],0))</f>
        <v>0</v>
      </c>
      <c r="I244" s="1835">
        <f>-I$209*INDEX(EF[N2O],MATCH("V.04",EF[Vector],0))</f>
        <v>0</v>
      </c>
      <c r="J244" s="1835">
        <f>-J$209*INDEX(EF[N2O],MATCH("V.04",EF[Vector],0))</f>
        <v>0</v>
      </c>
      <c r="K244" s="1835">
        <f>-K$209*INDEX(EF[N2O],MATCH("V.04",EF[Vector],0))</f>
        <v>0</v>
      </c>
      <c r="L244" s="1835">
        <f>-L$209*INDEX(EF[N2O],MATCH("V.04",EF[Vector],0))</f>
        <v>0</v>
      </c>
      <c r="M244" s="1835">
        <f>-M$209*INDEX(EF[N2O],MATCH("V.04",EF[Vector],0))</f>
        <v>0</v>
      </c>
      <c r="N244" s="1835">
        <f>-N$209*INDEX(EF[N2O],MATCH("V.04",EF[Vector],0))</f>
        <v>0</v>
      </c>
      <c r="O244" s="1835">
        <f>-O$209*INDEX(EF[N2O],MATCH("V.04",EF[Vector],0))</f>
        <v>0</v>
      </c>
      <c r="P244" s="194"/>
    </row>
    <row r="245" spans="2:16" ht="15.75">
      <c r="B245" s="195"/>
      <c r="C245" s="1833" t="s">
        <v>103</v>
      </c>
      <c r="D245" s="1833"/>
      <c r="E245" s="1833"/>
      <c r="F245" s="1834">
        <f>SUBTOTAL(109,XII.b!$F$242:$F$244)</f>
        <v>3.1656286214187439</v>
      </c>
      <c r="G245" s="1834">
        <f>SUBTOTAL(109,XII.b!$G$242:$G$244)</f>
        <v>3.1656286214187439</v>
      </c>
      <c r="H245" s="1834">
        <f>SUBTOTAL(109,XII.b!$H$242:$H$244)</f>
        <v>4.5664535851057533</v>
      </c>
      <c r="I245" s="1834">
        <f>SUBTOTAL(109,XII.b!$I$242:$I$244)</f>
        <v>6.2436784960823895</v>
      </c>
      <c r="J245" s="1834">
        <f>SUBTOTAL(109,XII.b!$J$242:$J$244)</f>
        <v>8.2827269125340273</v>
      </c>
      <c r="K245" s="1834">
        <f>SUBTOTAL(109,XII.b!$K$242:$K$244)</f>
        <v>10.751676295215335</v>
      </c>
      <c r="L245" s="1834">
        <f>SUBTOTAL(109,XII.b!$L$242:$L$244)</f>
        <v>13.834537334769715</v>
      </c>
      <c r="M245" s="1834">
        <f>SUBTOTAL(109,XII.b!$M$242:$M$244)</f>
        <v>15.595110864279599</v>
      </c>
      <c r="N245" s="1834">
        <f>SUBTOTAL(109,XII.b!$N$242:$N$244)</f>
        <v>17.538789919822186</v>
      </c>
      <c r="O245" s="1834">
        <f>SUBTOTAL(109,XII.b!$O$242:$O$244)</f>
        <v>19.525456719848247</v>
      </c>
      <c r="P245" s="194"/>
    </row>
    <row r="246" spans="2:16" ht="15.75">
      <c r="B246" s="195"/>
      <c r="C246" s="189"/>
      <c r="D246" s="189"/>
      <c r="E246" s="189"/>
      <c r="F246" s="223"/>
      <c r="G246" s="223"/>
      <c r="H246" s="223"/>
      <c r="I246" s="223"/>
      <c r="J246" s="223"/>
      <c r="K246" s="223"/>
      <c r="L246" s="223"/>
      <c r="M246" s="223"/>
      <c r="N246" s="223"/>
      <c r="O246" s="223"/>
      <c r="P246" s="194"/>
    </row>
    <row r="247" spans="2:16" ht="15.75">
      <c r="B247" s="195"/>
      <c r="C247" s="186" t="s">
        <v>1535</v>
      </c>
      <c r="D247" s="187"/>
      <c r="E247" s="188"/>
      <c r="F247" s="187"/>
      <c r="G247" s="188"/>
      <c r="H247" s="187"/>
      <c r="I247" s="187"/>
      <c r="J247" s="187"/>
      <c r="K247" s="187"/>
      <c r="L247" s="187"/>
      <c r="M247" s="187"/>
      <c r="N247" s="187"/>
      <c r="O247" s="188" t="s">
        <v>368</v>
      </c>
      <c r="P247" s="194"/>
    </row>
    <row r="248" spans="2:16" ht="15.75">
      <c r="B248" s="195"/>
      <c r="C248" s="187"/>
      <c r="D248" s="187"/>
      <c r="E248" s="187"/>
      <c r="F248" s="187"/>
      <c r="G248" s="187"/>
      <c r="H248" s="187"/>
      <c r="I248" s="187"/>
      <c r="J248" s="187"/>
      <c r="K248" s="187"/>
      <c r="L248" s="187"/>
      <c r="M248" s="187"/>
      <c r="N248" s="187"/>
      <c r="O248" s="187"/>
      <c r="P248" s="194"/>
    </row>
    <row r="249" spans="2:16" ht="15.75">
      <c r="B249" s="195"/>
      <c r="C249" s="1836" t="s">
        <v>365</v>
      </c>
      <c r="D249" s="1836" t="s">
        <v>337</v>
      </c>
      <c r="E249" s="1836" t="s">
        <v>156</v>
      </c>
      <c r="F249" s="1331" t="s">
        <v>203</v>
      </c>
      <c r="G249" s="1332" t="s">
        <v>712</v>
      </c>
      <c r="H249" s="1332" t="s">
        <v>713</v>
      </c>
      <c r="I249" s="1332" t="s">
        <v>714</v>
      </c>
      <c r="J249" s="1332" t="s">
        <v>715</v>
      </c>
      <c r="K249" s="1332" t="s">
        <v>716</v>
      </c>
      <c r="L249" s="1332" t="s">
        <v>717</v>
      </c>
      <c r="M249" s="1332" t="s">
        <v>718</v>
      </c>
      <c r="N249" s="1332" t="s">
        <v>719</v>
      </c>
      <c r="O249" s="1332" t="s">
        <v>720</v>
      </c>
      <c r="P249" s="194"/>
    </row>
    <row r="250" spans="2:16" ht="15.75">
      <c r="B250" s="195"/>
      <c r="C250" s="1829" t="s">
        <v>350</v>
      </c>
      <c r="D250" s="1830" t="s">
        <v>359</v>
      </c>
      <c r="E250" s="189" t="str">
        <f>INDEX(IPCC[Sector_description], MATCH([IPCC Sector], IPCC[Sector_code], 0))</f>
        <v>Fuel Combustion</v>
      </c>
      <c r="F250" s="1835">
        <f>-F$216*INDEX(EF[CO2],MATCH("V.04",EF[Vector],0))</f>
        <v>0.24653333102318428</v>
      </c>
      <c r="G250" s="1835">
        <f>-G$216*INDEX(EF[CO2],MATCH("V.04",EF[Vector],0))</f>
        <v>0.24653333102318428</v>
      </c>
      <c r="H250" s="1835">
        <f>-H$216*INDEX(EF[CO2],MATCH("V.04",EF[Vector],0))</f>
        <v>0.41609910435520442</v>
      </c>
      <c r="I250" s="1835">
        <f>-I$216*INDEX(EF[CO2],MATCH("V.04",EF[Vector],0))</f>
        <v>0.66387509496180408</v>
      </c>
      <c r="J250" s="1835">
        <f>-J$216*INDEX(EF[CO2],MATCH("V.04",EF[Vector],0))</f>
        <v>1.0187896910223486</v>
      </c>
      <c r="K250" s="1835">
        <f>-K$216*INDEX(EF[CO2],MATCH("V.04",EF[Vector],0))</f>
        <v>1.5198455953829999</v>
      </c>
      <c r="L250" s="1835">
        <f>-L$216*INDEX(EF[CO2],MATCH("V.04",EF[Vector],0))</f>
        <v>2.1883659767042229</v>
      </c>
      <c r="M250" s="1835">
        <f>-M$216*INDEX(EF[CO2],MATCH("V.04",EF[Vector],0))</f>
        <v>2.7610603345424503</v>
      </c>
      <c r="N250" s="1835">
        <f>-N$216*INDEX(EF[CO2],MATCH("V.04",EF[Vector],0))</f>
        <v>3.4783501011814981</v>
      </c>
      <c r="O250" s="1835">
        <f>-O$216*INDEX(EF[CO2],MATCH("V.04",EF[Vector],0))</f>
        <v>4.3439141529793499</v>
      </c>
      <c r="P250" s="194"/>
    </row>
    <row r="251" spans="2:16" ht="15.75">
      <c r="B251" s="195"/>
      <c r="C251" s="189" t="s">
        <v>351</v>
      </c>
      <c r="D251" s="196" t="s">
        <v>359</v>
      </c>
      <c r="E251" s="189" t="str">
        <f>INDEX(IPCC[Sector_description], MATCH([IPCC Sector], IPCC[Sector_code], 0))</f>
        <v>Fuel Combustion</v>
      </c>
      <c r="F251" s="1837">
        <f>-F$216*INDEX(EF[CH4],MATCH("V.04",EF[Vector],0))</f>
        <v>0</v>
      </c>
      <c r="G251" s="1837">
        <f>-G$216*INDEX(EF[CH4],MATCH("V.04",EF[Vector],0))</f>
        <v>0</v>
      </c>
      <c r="H251" s="1837">
        <f>-H$216*INDEX(EF[CH4],MATCH("V.04",EF[Vector],0))</f>
        <v>0</v>
      </c>
      <c r="I251" s="1837">
        <f>-I$216*INDEX(EF[CH4],MATCH("V.04",EF[Vector],0))</f>
        <v>0</v>
      </c>
      <c r="J251" s="1837">
        <f>-J$216*INDEX(EF[CH4],MATCH("V.04",EF[Vector],0))</f>
        <v>0</v>
      </c>
      <c r="K251" s="1837">
        <f>-K$216*INDEX(EF[CH4],MATCH("V.04",EF[Vector],0))</f>
        <v>0</v>
      </c>
      <c r="L251" s="1837">
        <f>-L$216*INDEX(EF[CH4],MATCH("V.04",EF[Vector],0))</f>
        <v>0</v>
      </c>
      <c r="M251" s="1837">
        <f>-M$216*INDEX(EF[CH4],MATCH("V.04",EF[Vector],0))</f>
        <v>0</v>
      </c>
      <c r="N251" s="1837">
        <f>-N$216*INDEX(EF[CH4],MATCH("V.04",EF[Vector],0))</f>
        <v>0</v>
      </c>
      <c r="O251" s="1837">
        <f>-O$216*INDEX(EF[CH4],MATCH("V.04",EF[Vector],0))</f>
        <v>0</v>
      </c>
      <c r="P251" s="194"/>
    </row>
    <row r="252" spans="2:16" ht="15.75">
      <c r="B252" s="195"/>
      <c r="C252" s="189" t="s">
        <v>352</v>
      </c>
      <c r="D252" s="196" t="s">
        <v>359</v>
      </c>
      <c r="E252" s="189" t="str">
        <f>INDEX(IPCC[Sector_description], MATCH([IPCC Sector], IPCC[Sector_code], 0))</f>
        <v>Fuel Combustion</v>
      </c>
      <c r="F252" s="1835">
        <f>-F$216*INDEX(EF[N2O],MATCH("V.04",EF[Vector],0))</f>
        <v>0</v>
      </c>
      <c r="G252" s="1835">
        <f>-G$216*INDEX(EF[N2O],MATCH("V.04",EF[Vector],0))</f>
        <v>0</v>
      </c>
      <c r="H252" s="1835">
        <f>-H$216*INDEX(EF[N2O],MATCH("V.04",EF[Vector],0))</f>
        <v>0</v>
      </c>
      <c r="I252" s="1835">
        <f>-I$216*INDEX(EF[N2O],MATCH("V.04",EF[Vector],0))</f>
        <v>0</v>
      </c>
      <c r="J252" s="1835">
        <f>-J$216*INDEX(EF[N2O],MATCH("V.04",EF[Vector],0))</f>
        <v>0</v>
      </c>
      <c r="K252" s="1835">
        <f>-K$216*INDEX(EF[N2O],MATCH("V.04",EF[Vector],0))</f>
        <v>0</v>
      </c>
      <c r="L252" s="1835">
        <f>-L$216*INDEX(EF[N2O],MATCH("V.04",EF[Vector],0))</f>
        <v>0</v>
      </c>
      <c r="M252" s="1835">
        <f>-M$216*INDEX(EF[N2O],MATCH("V.04",EF[Vector],0))</f>
        <v>0</v>
      </c>
      <c r="N252" s="1835">
        <f>-N$216*INDEX(EF[N2O],MATCH("V.04",EF[Vector],0))</f>
        <v>0</v>
      </c>
      <c r="O252" s="1835">
        <f>-O$216*INDEX(EF[N2O],MATCH("V.04",EF[Vector],0))</f>
        <v>0</v>
      </c>
      <c r="P252" s="194"/>
    </row>
    <row r="253" spans="2:16" ht="15.75">
      <c r="B253" s="195"/>
      <c r="C253" s="1833" t="s">
        <v>103</v>
      </c>
      <c r="D253" s="1833"/>
      <c r="E253" s="1833"/>
      <c r="F253" s="1834">
        <f>SUBTOTAL(109,XII.b!$F$250:$F$252)</f>
        <v>0.24653333102318428</v>
      </c>
      <c r="G253" s="1834">
        <f>SUBTOTAL(109,XII.b!$G$250:$G$252)</f>
        <v>0.24653333102318428</v>
      </c>
      <c r="H253" s="1834">
        <f>SUBTOTAL(109,XII.b!$H$250:$H$252)</f>
        <v>0.41609910435520442</v>
      </c>
      <c r="I253" s="1834">
        <f>SUBTOTAL(109,XII.b!$I$250:$I$252)</f>
        <v>0.66387509496180408</v>
      </c>
      <c r="J253" s="1834">
        <f>SUBTOTAL(109,XII.b!$J$250:$J$252)</f>
        <v>1.0187896910223486</v>
      </c>
      <c r="K253" s="1834">
        <f>SUBTOTAL(109,XII.b!$K$250:$K$252)</f>
        <v>1.5198455953829999</v>
      </c>
      <c r="L253" s="1834">
        <f>SUBTOTAL(109,XII.b!$L$250:$L$252)</f>
        <v>2.1883659767042229</v>
      </c>
      <c r="M253" s="1834">
        <f>SUBTOTAL(109,XII.b!$M$250:$M$252)</f>
        <v>2.7610603345424503</v>
      </c>
      <c r="N253" s="1834">
        <f>SUBTOTAL(109,XII.b!$N$250:$N$252)</f>
        <v>3.4783501011814981</v>
      </c>
      <c r="O253" s="1834">
        <f>SUBTOTAL(109,XII.b!$O$250:$O$252)</f>
        <v>4.3439141529793499</v>
      </c>
      <c r="P253" s="194"/>
    </row>
    <row r="254" spans="2:16" ht="15.75">
      <c r="B254" s="195"/>
      <c r="C254" s="187"/>
      <c r="D254" s="187"/>
      <c r="E254" s="187"/>
      <c r="F254" s="187"/>
      <c r="G254" s="187"/>
      <c r="H254" s="187"/>
      <c r="I254" s="187"/>
      <c r="J254" s="187"/>
      <c r="K254" s="187"/>
      <c r="L254" s="187"/>
      <c r="M254" s="187"/>
      <c r="N254" s="187"/>
      <c r="O254" s="187"/>
      <c r="P254" s="194"/>
    </row>
    <row r="257" spans="2:16" ht="21.75" customHeight="1" collapsed="1">
      <c r="B257" s="424" t="s">
        <v>501</v>
      </c>
      <c r="C257" s="346"/>
      <c r="D257" s="425"/>
      <c r="E257" s="425"/>
      <c r="F257" s="425"/>
      <c r="G257" s="425"/>
      <c r="H257" s="425"/>
      <c r="I257" s="425"/>
      <c r="J257" s="425"/>
      <c r="K257" s="425"/>
      <c r="L257" s="425"/>
      <c r="M257" s="425"/>
      <c r="N257" s="425"/>
      <c r="O257" s="425"/>
      <c r="P257" s="426"/>
    </row>
    <row r="258" spans="2:16">
      <c r="B258" s="347"/>
      <c r="C258" s="348"/>
      <c r="D258" s="348"/>
      <c r="E258" s="348"/>
      <c r="F258" s="348"/>
      <c r="G258" s="348"/>
      <c r="H258" s="348"/>
      <c r="I258" s="348"/>
      <c r="J258" s="348"/>
      <c r="K258" s="348"/>
      <c r="L258" s="348"/>
      <c r="M258" s="348"/>
      <c r="N258" s="348"/>
      <c r="O258" s="348"/>
      <c r="P258" s="349"/>
    </row>
    <row r="259" spans="2:16">
      <c r="B259" s="427"/>
      <c r="C259" s="350" t="s">
        <v>506</v>
      </c>
      <c r="D259" s="428"/>
      <c r="E259" s="351"/>
      <c r="F259" s="428"/>
      <c r="G259" s="351"/>
      <c r="H259" s="428"/>
      <c r="I259" s="428"/>
      <c r="J259" s="428"/>
      <c r="K259" s="428"/>
      <c r="L259" s="428"/>
      <c r="M259" s="428"/>
      <c r="N259" s="428"/>
      <c r="O259" s="351"/>
      <c r="P259" s="429"/>
    </row>
    <row r="260" spans="2:16">
      <c r="B260" s="427"/>
      <c r="C260" s="428"/>
      <c r="D260" s="428"/>
      <c r="E260" s="428"/>
      <c r="F260" s="428"/>
      <c r="G260" s="428"/>
      <c r="H260" s="428"/>
      <c r="I260" s="428"/>
      <c r="J260" s="428"/>
      <c r="K260" s="428"/>
      <c r="L260" s="428"/>
      <c r="M260" s="428"/>
      <c r="N260" s="428"/>
      <c r="O260" s="428"/>
      <c r="P260" s="429"/>
    </row>
    <row r="261" spans="2:16" ht="15.75">
      <c r="B261" s="430"/>
      <c r="C261" s="431" t="s">
        <v>64</v>
      </c>
      <c r="D261" s="431" t="s">
        <v>502</v>
      </c>
      <c r="E261" s="431" t="s">
        <v>156</v>
      </c>
      <c r="F261" s="1331" t="s">
        <v>203</v>
      </c>
      <c r="G261" s="1332" t="s">
        <v>712</v>
      </c>
      <c r="H261" s="1332" t="s">
        <v>713</v>
      </c>
      <c r="I261" s="1332" t="s">
        <v>714</v>
      </c>
      <c r="J261" s="1332" t="s">
        <v>715</v>
      </c>
      <c r="K261" s="1332" t="s">
        <v>716</v>
      </c>
      <c r="L261" s="1332" t="s">
        <v>717</v>
      </c>
      <c r="M261" s="1332" t="s">
        <v>718</v>
      </c>
      <c r="N261" s="1332" t="s">
        <v>719</v>
      </c>
      <c r="O261" s="1332" t="s">
        <v>720</v>
      </c>
      <c r="P261" s="429"/>
    </row>
    <row r="262" spans="2:16" ht="15.75">
      <c r="B262" s="430"/>
      <c r="C262" s="432" t="s">
        <v>503</v>
      </c>
      <c r="D262" s="433"/>
      <c r="E262" s="433"/>
      <c r="F262" s="354"/>
      <c r="G262" s="354"/>
      <c r="H262" s="354"/>
      <c r="I262" s="354"/>
      <c r="J262" s="354"/>
      <c r="K262" s="354"/>
      <c r="L262" s="354"/>
      <c r="M262" s="354"/>
      <c r="N262" s="354"/>
      <c r="O262" s="354"/>
      <c r="P262" s="429"/>
    </row>
    <row r="263" spans="2:16" ht="15.75">
      <c r="B263" s="430"/>
      <c r="C263" s="432" t="s">
        <v>508</v>
      </c>
      <c r="D263" s="433"/>
      <c r="E263" s="433"/>
      <c r="F263" s="354"/>
      <c r="G263" s="354">
        <f t="shared" ref="G263:O263" si="59">G167</f>
        <v>0</v>
      </c>
      <c r="H263" s="354">
        <f t="shared" si="59"/>
        <v>0</v>
      </c>
      <c r="I263" s="354">
        <f t="shared" si="59"/>
        <v>0</v>
      </c>
      <c r="J263" s="354">
        <f t="shared" si="59"/>
        <v>0</v>
      </c>
      <c r="K263" s="354">
        <f t="shared" si="59"/>
        <v>0</v>
      </c>
      <c r="L263" s="354">
        <f t="shared" si="59"/>
        <v>0</v>
      </c>
      <c r="M263" s="354">
        <f t="shared" si="59"/>
        <v>0</v>
      </c>
      <c r="N263" s="354">
        <f t="shared" si="59"/>
        <v>0</v>
      </c>
      <c r="O263" s="354">
        <f t="shared" si="59"/>
        <v>0</v>
      </c>
      <c r="P263" s="429"/>
    </row>
    <row r="264" spans="2:16" ht="15.75">
      <c r="B264" s="430"/>
      <c r="C264" s="432" t="s">
        <v>509</v>
      </c>
      <c r="D264" s="433"/>
      <c r="E264" s="433"/>
      <c r="F264" s="354"/>
      <c r="G264" s="354"/>
      <c r="H264" s="354"/>
      <c r="I264" s="354"/>
      <c r="J264" s="354"/>
      <c r="K264" s="354"/>
      <c r="L264" s="354"/>
      <c r="M264" s="354"/>
      <c r="N264" s="354"/>
      <c r="O264" s="354"/>
      <c r="P264" s="429"/>
    </row>
    <row r="265" spans="2:16" ht="15.75">
      <c r="B265" s="355"/>
      <c r="C265" s="434"/>
      <c r="D265" s="434"/>
      <c r="E265" s="434"/>
      <c r="F265" s="434"/>
      <c r="G265" s="434"/>
      <c r="H265" s="434"/>
      <c r="I265" s="434"/>
      <c r="J265" s="434"/>
      <c r="K265" s="434"/>
      <c r="L265" s="434"/>
      <c r="M265" s="434"/>
      <c r="N265" s="434"/>
      <c r="O265" s="434"/>
      <c r="P265" s="352"/>
    </row>
    <row r="268" spans="2:16" s="242" customFormat="1" ht="14.25">
      <c r="B268" s="862"/>
      <c r="C268" s="35"/>
      <c r="D268" s="35"/>
      <c r="E268" s="35"/>
      <c r="F268" s="35"/>
      <c r="G268" s="35"/>
      <c r="H268" s="35"/>
      <c r="I268" s="35"/>
      <c r="J268" s="35"/>
      <c r="K268" s="35"/>
      <c r="L268" s="35"/>
      <c r="M268" s="35"/>
      <c r="N268" s="35"/>
      <c r="O268" s="35"/>
      <c r="P268" s="494"/>
    </row>
    <row r="269" spans="2:16">
      <c r="B269" s="423" t="s">
        <v>963</v>
      </c>
      <c r="C269" s="423"/>
      <c r="D269" s="423" t="s">
        <v>840</v>
      </c>
      <c r="E269" s="423" t="s">
        <v>275</v>
      </c>
    </row>
    <row r="270" spans="2:16">
      <c r="D270" s="3069" t="s">
        <v>952</v>
      </c>
      <c r="E270" s="3069" t="s">
        <v>953</v>
      </c>
      <c r="F270" s="863">
        <f t="shared" ref="F270:O270" si="60">F153</f>
        <v>229.65675502399998</v>
      </c>
      <c r="G270" s="863">
        <f t="shared" si="60"/>
        <v>229.65675502399998</v>
      </c>
      <c r="H270" s="863">
        <f t="shared" si="60"/>
        <v>338.03342911937932</v>
      </c>
      <c r="I270" s="863">
        <f t="shared" si="60"/>
        <v>471.60942791381228</v>
      </c>
      <c r="J270" s="863">
        <f t="shared" si="60"/>
        <v>638.37611913526644</v>
      </c>
      <c r="K270" s="863">
        <f t="shared" si="60"/>
        <v>845.55295806373215</v>
      </c>
      <c r="L270" s="863">
        <f t="shared" si="60"/>
        <v>1110.1728843566439</v>
      </c>
      <c r="M270" s="863">
        <f t="shared" si="60"/>
        <v>1276.955566133139</v>
      </c>
      <c r="N270" s="863">
        <f t="shared" si="60"/>
        <v>1465.3733477041321</v>
      </c>
      <c r="O270" s="863">
        <f t="shared" si="60"/>
        <v>1664.6050450707294</v>
      </c>
    </row>
    <row r="271" spans="2:16">
      <c r="D271" s="3069" t="s">
        <v>952</v>
      </c>
      <c r="E271" s="3069" t="s">
        <v>954</v>
      </c>
      <c r="F271" s="863">
        <f t="shared" ref="F271:O271" si="61">F155</f>
        <v>0.37373454816523938</v>
      </c>
      <c r="G271" s="863">
        <f t="shared" si="61"/>
        <v>0.37373454816523938</v>
      </c>
      <c r="H271" s="863">
        <f t="shared" si="61"/>
        <v>0.63873374578138042</v>
      </c>
      <c r="I271" s="863">
        <f t="shared" si="61"/>
        <v>1.0319173995471116</v>
      </c>
      <c r="J271" s="863">
        <f t="shared" si="61"/>
        <v>1.6035354988710357</v>
      </c>
      <c r="K271" s="863">
        <f t="shared" si="61"/>
        <v>2.4223058855059745</v>
      </c>
      <c r="L271" s="863">
        <f t="shared" si="61"/>
        <v>3.5317092872594258</v>
      </c>
      <c r="M271" s="863">
        <f t="shared" si="61"/>
        <v>4.5120756089177956</v>
      </c>
      <c r="N271" s="863">
        <f t="shared" si="61"/>
        <v>5.7558470120924206</v>
      </c>
      <c r="O271" s="863">
        <f t="shared" si="61"/>
        <v>7.2786805935238723</v>
      </c>
    </row>
    <row r="272" spans="2:16">
      <c r="D272" s="3069" t="s">
        <v>955</v>
      </c>
      <c r="E272" s="3069" t="s">
        <v>953</v>
      </c>
      <c r="F272" s="310">
        <f t="shared" ref="F272:O272" si="62">F160</f>
        <v>2007</v>
      </c>
      <c r="G272" s="310">
        <f t="shared" si="62"/>
        <v>2012</v>
      </c>
      <c r="H272" s="310">
        <f t="shared" si="62"/>
        <v>2017</v>
      </c>
      <c r="I272" s="310">
        <f t="shared" si="62"/>
        <v>2022</v>
      </c>
      <c r="J272" s="310">
        <f t="shared" si="62"/>
        <v>2027</v>
      </c>
      <c r="K272" s="310">
        <f t="shared" si="62"/>
        <v>2032</v>
      </c>
      <c r="L272" s="310">
        <f t="shared" si="62"/>
        <v>2037</v>
      </c>
      <c r="M272" s="310">
        <f t="shared" si="62"/>
        <v>2042</v>
      </c>
      <c r="N272" s="310">
        <f t="shared" si="62"/>
        <v>2047</v>
      </c>
      <c r="O272" s="310">
        <f t="shared" si="62"/>
        <v>2052</v>
      </c>
    </row>
    <row r="273" spans="2:16">
      <c r="D273" s="3069" t="s">
        <v>955</v>
      </c>
      <c r="E273" s="3069" t="s">
        <v>954</v>
      </c>
      <c r="F273" s="310">
        <f t="shared" ref="F273:O273" si="63">F165</f>
        <v>0.92430130232096508</v>
      </c>
      <c r="G273" s="310">
        <f t="shared" si="63"/>
        <v>0.92430130232096508</v>
      </c>
      <c r="H273" s="310">
        <f t="shared" si="63"/>
        <v>1.5600362938913694</v>
      </c>
      <c r="I273" s="310">
        <f t="shared" si="63"/>
        <v>2.4889965681514452</v>
      </c>
      <c r="J273" s="310">
        <f t="shared" si="63"/>
        <v>3.8196402664699924</v>
      </c>
      <c r="K273" s="310">
        <f t="shared" si="63"/>
        <v>5.698196091007186</v>
      </c>
      <c r="L273" s="310">
        <f t="shared" si="63"/>
        <v>8.2046087392231186</v>
      </c>
      <c r="M273" s="310">
        <f t="shared" si="63"/>
        <v>10.351751028603708</v>
      </c>
      <c r="N273" s="310">
        <f t="shared" si="63"/>
        <v>13.041009566969963</v>
      </c>
      <c r="O273" s="310">
        <f t="shared" si="63"/>
        <v>16.286177175741408</v>
      </c>
    </row>
    <row r="274" spans="2:16">
      <c r="D274" s="3069" t="s">
        <v>956</v>
      </c>
      <c r="E274" s="3069" t="s">
        <v>953</v>
      </c>
      <c r="F274" s="310">
        <f t="shared" ref="F274:O274" si="64">F168</f>
        <v>0</v>
      </c>
      <c r="G274" s="310">
        <f t="shared" si="64"/>
        <v>0</v>
      </c>
      <c r="H274" s="310">
        <f t="shared" si="64"/>
        <v>0</v>
      </c>
      <c r="I274" s="310">
        <f t="shared" si="64"/>
        <v>0</v>
      </c>
      <c r="J274" s="310">
        <f t="shared" si="64"/>
        <v>0</v>
      </c>
      <c r="K274" s="310">
        <f t="shared" si="64"/>
        <v>0</v>
      </c>
      <c r="L274" s="310">
        <f t="shared" si="64"/>
        <v>0</v>
      </c>
      <c r="M274" s="310">
        <f t="shared" si="64"/>
        <v>0</v>
      </c>
      <c r="N274" s="310">
        <f t="shared" si="64"/>
        <v>0</v>
      </c>
      <c r="O274" s="310">
        <f t="shared" si="64"/>
        <v>0</v>
      </c>
    </row>
    <row r="276" spans="2:16" ht="15.75">
      <c r="B276" s="2688" t="s">
        <v>2108</v>
      </c>
      <c r="C276" s="2689"/>
      <c r="D276" s="2689"/>
      <c r="E276" s="2689"/>
      <c r="F276" s="2689"/>
      <c r="G276" s="2689"/>
      <c r="H276" s="2689"/>
      <c r="I276" s="2689"/>
      <c r="J276" s="2689"/>
      <c r="K276" s="2689"/>
      <c r="L276" s="2689"/>
      <c r="M276" s="2689"/>
      <c r="N276" s="2689"/>
      <c r="O276" s="2689"/>
      <c r="P276" s="2689"/>
    </row>
    <row r="277" spans="2:16">
      <c r="B277" s="2690"/>
      <c r="C277" s="2690"/>
      <c r="D277" s="2690"/>
      <c r="E277" s="2690"/>
      <c r="F277" s="2690"/>
      <c r="G277" s="2690"/>
      <c r="H277" s="2690"/>
      <c r="I277" s="2690"/>
      <c r="J277" s="2690"/>
      <c r="K277" s="2690"/>
      <c r="L277" s="2690"/>
      <c r="M277" s="2690"/>
      <c r="N277" s="2690"/>
      <c r="O277" s="2690"/>
      <c r="P277" s="2690"/>
    </row>
    <row r="278" spans="2:16">
      <c r="B278" s="2690"/>
      <c r="C278" s="2691" t="s">
        <v>960</v>
      </c>
      <c r="D278" s="2690"/>
      <c r="E278" s="2690"/>
      <c r="F278" s="2690"/>
      <c r="G278" s="2690"/>
      <c r="H278" s="2690"/>
      <c r="I278" s="2690"/>
      <c r="J278" s="2690"/>
      <c r="K278" s="2690"/>
      <c r="L278" s="2690"/>
      <c r="M278" s="2690"/>
      <c r="N278" s="2690"/>
      <c r="O278" s="2692" t="s">
        <v>847</v>
      </c>
      <c r="P278" s="2690"/>
    </row>
    <row r="279" spans="2:16">
      <c r="B279" s="2690"/>
      <c r="C279" s="2690"/>
      <c r="D279" s="2690"/>
      <c r="E279" s="2690"/>
      <c r="F279" s="2690"/>
      <c r="G279" s="2690"/>
      <c r="H279" s="2690"/>
      <c r="I279" s="2690"/>
      <c r="J279" s="2690"/>
      <c r="K279" s="2690"/>
      <c r="L279" s="2690"/>
      <c r="M279" s="2690"/>
      <c r="N279" s="2690"/>
      <c r="O279" s="2690"/>
      <c r="P279" s="2690"/>
    </row>
    <row r="280" spans="2:16">
      <c r="B280" s="2690"/>
      <c r="C280" s="2693" t="s">
        <v>64</v>
      </c>
      <c r="D280" s="2694" t="s">
        <v>137</v>
      </c>
      <c r="E280" s="2694" t="s">
        <v>2109</v>
      </c>
      <c r="F280" s="1331" t="s">
        <v>203</v>
      </c>
      <c r="G280" s="1332" t="s">
        <v>712</v>
      </c>
      <c r="H280" s="1332" t="s">
        <v>713</v>
      </c>
      <c r="I280" s="1332" t="s">
        <v>714</v>
      </c>
      <c r="J280" s="1332" t="s">
        <v>715</v>
      </c>
      <c r="K280" s="1332" t="s">
        <v>716</v>
      </c>
      <c r="L280" s="1332" t="s">
        <v>717</v>
      </c>
      <c r="M280" s="1332" t="s">
        <v>718</v>
      </c>
      <c r="N280" s="1332" t="s">
        <v>719</v>
      </c>
      <c r="O280" s="1332" t="s">
        <v>720</v>
      </c>
      <c r="P280" s="2690"/>
    </row>
    <row r="281" spans="2:16" ht="15.75">
      <c r="B281" s="2695"/>
      <c r="C281" s="2696" t="s">
        <v>662</v>
      </c>
      <c r="D281" s="2697" t="str">
        <f>INDEX(AirQualityVectors[Description],MATCH(C281,AirQualityVectors[Code],0))</f>
        <v>PM10</v>
      </c>
      <c r="E281" s="2698" t="s">
        <v>359</v>
      </c>
      <c r="F281" s="2699"/>
      <c r="G281" s="2699"/>
      <c r="H281" s="2699"/>
      <c r="I281" s="2699"/>
      <c r="J281" s="2699"/>
      <c r="K281" s="2699"/>
      <c r="L281" s="2699"/>
      <c r="M281" s="2699"/>
      <c r="N281" s="2699"/>
      <c r="O281" s="2699"/>
      <c r="P281" s="2700"/>
    </row>
    <row r="282" spans="2:16" ht="15.75">
      <c r="B282" s="2695"/>
      <c r="C282" s="2696" t="s">
        <v>663</v>
      </c>
      <c r="D282" s="2697" t="str">
        <f>INDEX(AirQualityVectors[Description],MATCH(C282,AirQualityVectors[Code],0))</f>
        <v>NOX</v>
      </c>
      <c r="E282" s="2698" t="s">
        <v>359</v>
      </c>
      <c r="F282" s="2699"/>
      <c r="G282" s="2699"/>
      <c r="H282" s="2699"/>
      <c r="I282" s="2699"/>
      <c r="J282" s="2699"/>
      <c r="K282" s="2699"/>
      <c r="L282" s="2699"/>
      <c r="M282" s="2699"/>
      <c r="N282" s="2699"/>
      <c r="O282" s="2699"/>
      <c r="P282" s="2700"/>
    </row>
    <row r="283" spans="2:16" ht="15.75">
      <c r="B283" s="2695"/>
      <c r="C283" s="2696" t="s">
        <v>664</v>
      </c>
      <c r="D283" s="2697" t="str">
        <f>INDEX(AirQualityVectors[Description],MATCH(C283,AirQualityVectors[Code],0))</f>
        <v>SO2</v>
      </c>
      <c r="E283" s="2698" t="s">
        <v>359</v>
      </c>
      <c r="F283" s="2699"/>
      <c r="G283" s="2699"/>
      <c r="H283" s="2699"/>
      <c r="I283" s="2699"/>
      <c r="J283" s="2699"/>
      <c r="K283" s="2699"/>
      <c r="L283" s="2699"/>
      <c r="M283" s="2699"/>
      <c r="N283" s="2699"/>
      <c r="O283" s="2699"/>
      <c r="P283" s="2700"/>
    </row>
    <row r="284" spans="2:16" ht="15.75">
      <c r="B284" s="2695"/>
      <c r="C284" s="2701" t="s">
        <v>665</v>
      </c>
      <c r="D284" s="2702" t="str">
        <f>INDEX(AirQualityVectors[Description],MATCH(C284,AirQualityVectors[Code],0))</f>
        <v>NMVOC</v>
      </c>
      <c r="E284" s="2698" t="s">
        <v>359</v>
      </c>
      <c r="F284" s="2699"/>
      <c r="G284" s="2699"/>
      <c r="H284" s="2699"/>
      <c r="I284" s="2699"/>
      <c r="J284" s="2699"/>
      <c r="K284" s="2699"/>
      <c r="L284" s="2699"/>
      <c r="M284" s="2699"/>
      <c r="N284" s="2699"/>
      <c r="O284" s="2699"/>
      <c r="P284" s="2700"/>
    </row>
    <row r="285" spans="2:16" ht="15.75">
      <c r="B285" s="2695"/>
      <c r="C285" s="2698" t="s">
        <v>103</v>
      </c>
      <c r="D285" s="2698"/>
      <c r="E285" s="2698"/>
      <c r="F285" s="2906">
        <f>SUBTOTAL(109,[2007])</f>
        <v>0</v>
      </c>
      <c r="G285" s="2906">
        <f>SUBTOTAL(109,[2012])</f>
        <v>0</v>
      </c>
      <c r="H285" s="2906">
        <f>SUBTOTAL(109,[2017])</f>
        <v>0</v>
      </c>
      <c r="I285" s="2906">
        <f>SUBTOTAL(109,[2022])</f>
        <v>0</v>
      </c>
      <c r="J285" s="2906">
        <f>SUBTOTAL(109,[2027])</f>
        <v>0</v>
      </c>
      <c r="K285" s="2906">
        <f>SUBTOTAL(109,[2032])</f>
        <v>0</v>
      </c>
      <c r="L285" s="2906">
        <f>SUBTOTAL(109,[2037])</f>
        <v>0</v>
      </c>
      <c r="M285" s="2906">
        <f>SUBTOTAL(109,[2042])</f>
        <v>0</v>
      </c>
      <c r="N285" s="2906">
        <f>SUBTOTAL(109,[2047])</f>
        <v>0</v>
      </c>
      <c r="O285" s="2906">
        <f>SUBTOTAL(109,[2052])</f>
        <v>0</v>
      </c>
      <c r="P285" s="2700"/>
    </row>
    <row r="286" spans="2:16" ht="15.75">
      <c r="B286" s="2695"/>
      <c r="C286" s="2698"/>
      <c r="D286" s="2698"/>
      <c r="E286" s="2698"/>
      <c r="F286" s="2703"/>
      <c r="G286" s="2703"/>
      <c r="H286" s="2703"/>
      <c r="I286" s="2703"/>
      <c r="J286" s="2703"/>
      <c r="K286" s="2703"/>
      <c r="L286" s="2703"/>
      <c r="M286" s="2703"/>
      <c r="N286" s="2703"/>
      <c r="O286" s="2703"/>
      <c r="P286" s="2700"/>
    </row>
    <row r="287" spans="2:16" ht="15.75">
      <c r="B287" s="2695"/>
      <c r="C287" s="2704" t="s">
        <v>961</v>
      </c>
      <c r="D287" s="760"/>
      <c r="E287" s="2692"/>
      <c r="F287" s="760"/>
      <c r="G287" s="2692"/>
      <c r="H287" s="760"/>
      <c r="I287" s="760"/>
      <c r="J287" s="760"/>
      <c r="K287" s="760"/>
      <c r="L287" s="760"/>
      <c r="M287" s="760"/>
      <c r="N287" s="760"/>
      <c r="O287" s="2692" t="s">
        <v>847</v>
      </c>
      <c r="P287" s="2700"/>
    </row>
    <row r="288" spans="2:16" ht="15.75">
      <c r="B288" s="2695"/>
      <c r="C288" s="760"/>
      <c r="D288" s="760"/>
      <c r="E288" s="760"/>
      <c r="F288" s="760"/>
      <c r="G288" s="760"/>
      <c r="H288" s="760"/>
      <c r="I288" s="760"/>
      <c r="J288" s="760"/>
      <c r="K288" s="760"/>
      <c r="L288" s="760"/>
      <c r="M288" s="760"/>
      <c r="N288" s="760"/>
      <c r="O288" s="760"/>
      <c r="P288" s="2700"/>
    </row>
    <row r="289" spans="2:16" ht="15.75">
      <c r="B289" s="2695"/>
      <c r="C289" s="2693" t="s">
        <v>64</v>
      </c>
      <c r="D289" s="2694" t="s">
        <v>137</v>
      </c>
      <c r="E289" s="2694" t="s">
        <v>2109</v>
      </c>
      <c r="F289" s="1331" t="s">
        <v>203</v>
      </c>
      <c r="G289" s="1332" t="s">
        <v>712</v>
      </c>
      <c r="H289" s="1332" t="s">
        <v>713</v>
      </c>
      <c r="I289" s="1332" t="s">
        <v>714</v>
      </c>
      <c r="J289" s="1332" t="s">
        <v>715</v>
      </c>
      <c r="K289" s="1332" t="s">
        <v>716</v>
      </c>
      <c r="L289" s="1332" t="s">
        <v>717</v>
      </c>
      <c r="M289" s="1332" t="s">
        <v>718</v>
      </c>
      <c r="N289" s="1332" t="s">
        <v>719</v>
      </c>
      <c r="O289" s="1332" t="s">
        <v>720</v>
      </c>
      <c r="P289" s="2700"/>
    </row>
    <row r="290" spans="2:16" ht="15.75">
      <c r="B290" s="2695"/>
      <c r="C290" s="2696" t="s">
        <v>662</v>
      </c>
      <c r="D290" s="2697" t="str">
        <f>INDEX(AirQualityVectors[Description],MATCH(C290,AirQualityVectors[Code],0))</f>
        <v>PM10</v>
      </c>
      <c r="E290" s="2698" t="s">
        <v>359</v>
      </c>
      <c r="F290" s="2699"/>
      <c r="G290" s="2699"/>
      <c r="H290" s="2699"/>
      <c r="I290" s="2699"/>
      <c r="J290" s="2699"/>
      <c r="K290" s="2699"/>
      <c r="L290" s="2699"/>
      <c r="M290" s="2699"/>
      <c r="N290" s="2699"/>
      <c r="O290" s="2699"/>
      <c r="P290" s="2700"/>
    </row>
    <row r="291" spans="2:16" ht="15.75">
      <c r="B291" s="2695"/>
      <c r="C291" s="2696" t="s">
        <v>663</v>
      </c>
      <c r="D291" s="2697" t="str">
        <f>INDEX(AirQualityVectors[Description],MATCH(C291,AirQualityVectors[Code],0))</f>
        <v>NOX</v>
      </c>
      <c r="E291" s="2698" t="s">
        <v>359</v>
      </c>
      <c r="F291" s="2699"/>
      <c r="G291" s="2699"/>
      <c r="H291" s="2699"/>
      <c r="I291" s="2699"/>
      <c r="J291" s="2699"/>
      <c r="K291" s="2699"/>
      <c r="L291" s="2699"/>
      <c r="M291" s="2699"/>
      <c r="N291" s="2699"/>
      <c r="O291" s="2699"/>
      <c r="P291" s="2700"/>
    </row>
    <row r="292" spans="2:16" ht="15.75">
      <c r="B292" s="2695"/>
      <c r="C292" s="2696" t="s">
        <v>664</v>
      </c>
      <c r="D292" s="2697" t="str">
        <f>INDEX(AirQualityVectors[Description],MATCH(C292,AirQualityVectors[Code],0))</f>
        <v>SO2</v>
      </c>
      <c r="E292" s="2698" t="s">
        <v>359</v>
      </c>
      <c r="F292" s="2699"/>
      <c r="G292" s="2699"/>
      <c r="H292" s="2699"/>
      <c r="I292" s="2699"/>
      <c r="J292" s="2699"/>
      <c r="K292" s="2699"/>
      <c r="L292" s="2699"/>
      <c r="M292" s="2699"/>
      <c r="N292" s="2699"/>
      <c r="O292" s="2699"/>
      <c r="P292" s="2700"/>
    </row>
    <row r="293" spans="2:16" ht="15.75">
      <c r="B293" s="2695"/>
      <c r="C293" s="2701" t="s">
        <v>665</v>
      </c>
      <c r="D293" s="2702" t="str">
        <f>INDEX(AirQualityVectors[Description],MATCH(C293,AirQualityVectors[Code],0))</f>
        <v>NMVOC</v>
      </c>
      <c r="E293" s="2698" t="s">
        <v>359</v>
      </c>
      <c r="F293" s="2699"/>
      <c r="G293" s="2699"/>
      <c r="H293" s="2699"/>
      <c r="I293" s="2699"/>
      <c r="J293" s="2699"/>
      <c r="K293" s="2699"/>
      <c r="L293" s="2699"/>
      <c r="M293" s="2699"/>
      <c r="N293" s="2699"/>
      <c r="O293" s="2699"/>
      <c r="P293" s="2700"/>
    </row>
    <row r="294" spans="2:16" ht="15.75">
      <c r="B294" s="2695"/>
      <c r="C294" s="2698" t="s">
        <v>103</v>
      </c>
      <c r="D294" s="2698"/>
      <c r="E294" s="2698"/>
      <c r="F294" s="2906">
        <f>SUBTOTAL(109,[2007])</f>
        <v>0</v>
      </c>
      <c r="G294" s="2906">
        <f>SUBTOTAL(109,[2012])</f>
        <v>0</v>
      </c>
      <c r="H294" s="2906">
        <f>SUBTOTAL(109,[2017])</f>
        <v>0</v>
      </c>
      <c r="I294" s="2906">
        <f>SUBTOTAL(109,[2022])</f>
        <v>0</v>
      </c>
      <c r="J294" s="2906">
        <f>SUBTOTAL(109,[2027])</f>
        <v>0</v>
      </c>
      <c r="K294" s="2906">
        <f>SUBTOTAL(109,[2032])</f>
        <v>0</v>
      </c>
      <c r="L294" s="2906">
        <f>SUBTOTAL(109,[2037])</f>
        <v>0</v>
      </c>
      <c r="M294" s="2906">
        <f>SUBTOTAL(109,[2042])</f>
        <v>0</v>
      </c>
      <c r="N294" s="2906">
        <f>SUBTOTAL(109,[2047])</f>
        <v>0</v>
      </c>
      <c r="O294" s="2906">
        <f>SUBTOTAL(109,[2052])</f>
        <v>0</v>
      </c>
      <c r="P294" s="2700"/>
    </row>
    <row r="295" spans="2:16" ht="15.75">
      <c r="B295" s="2695"/>
      <c r="C295" s="2698"/>
      <c r="D295" s="2698"/>
      <c r="E295" s="2698"/>
      <c r="F295" s="2703"/>
      <c r="G295" s="2703"/>
      <c r="H295" s="2703"/>
      <c r="I295" s="2703"/>
      <c r="J295" s="2703"/>
      <c r="K295" s="2703"/>
      <c r="L295" s="2703"/>
      <c r="M295" s="2703"/>
      <c r="N295" s="2703"/>
      <c r="O295" s="2703"/>
      <c r="P295" s="2700"/>
    </row>
    <row r="296" spans="2:16" ht="15.75">
      <c r="B296" s="2695"/>
      <c r="C296" s="2704" t="s">
        <v>962</v>
      </c>
      <c r="D296" s="760"/>
      <c r="E296" s="2692"/>
      <c r="F296" s="760"/>
      <c r="G296" s="2692"/>
      <c r="H296" s="760"/>
      <c r="I296" s="760"/>
      <c r="J296" s="760"/>
      <c r="K296" s="760"/>
      <c r="L296" s="760"/>
      <c r="M296" s="760"/>
      <c r="N296" s="760"/>
      <c r="O296" s="2692" t="s">
        <v>847</v>
      </c>
      <c r="P296" s="2700"/>
    </row>
    <row r="297" spans="2:16" ht="15.75">
      <c r="B297" s="2695"/>
      <c r="C297" s="760"/>
      <c r="D297" s="760"/>
      <c r="E297" s="760"/>
      <c r="F297" s="760"/>
      <c r="G297" s="760"/>
      <c r="H297" s="760"/>
      <c r="I297" s="760"/>
      <c r="J297" s="760"/>
      <c r="K297" s="760"/>
      <c r="L297" s="760"/>
      <c r="M297" s="760"/>
      <c r="N297" s="760"/>
      <c r="O297" s="760"/>
      <c r="P297" s="2700"/>
    </row>
    <row r="298" spans="2:16" ht="15.75">
      <c r="B298" s="2695"/>
      <c r="C298" s="2693" t="s">
        <v>64</v>
      </c>
      <c r="D298" s="2694" t="s">
        <v>137</v>
      </c>
      <c r="E298" s="2694" t="s">
        <v>2109</v>
      </c>
      <c r="F298" s="1331" t="s">
        <v>203</v>
      </c>
      <c r="G298" s="1332" t="s">
        <v>712</v>
      </c>
      <c r="H298" s="1332" t="s">
        <v>713</v>
      </c>
      <c r="I298" s="1332" t="s">
        <v>714</v>
      </c>
      <c r="J298" s="1332" t="s">
        <v>715</v>
      </c>
      <c r="K298" s="1332" t="s">
        <v>716</v>
      </c>
      <c r="L298" s="1332" t="s">
        <v>717</v>
      </c>
      <c r="M298" s="1332" t="s">
        <v>718</v>
      </c>
      <c r="N298" s="1332" t="s">
        <v>719</v>
      </c>
      <c r="O298" s="1332" t="s">
        <v>720</v>
      </c>
      <c r="P298" s="2700"/>
    </row>
    <row r="299" spans="2:16" ht="15.75">
      <c r="B299" s="2695"/>
      <c r="C299" s="2696" t="s">
        <v>662</v>
      </c>
      <c r="D299" s="2697" t="str">
        <f>INDEX(AirQualityVectors[Description],MATCH(C299,AirQualityVectors[Code],0))</f>
        <v>PM10</v>
      </c>
      <c r="E299" s="2698" t="s">
        <v>359</v>
      </c>
      <c r="F299" s="2699"/>
      <c r="G299" s="2699"/>
      <c r="H299" s="2699"/>
      <c r="I299" s="2699"/>
      <c r="J299" s="2699"/>
      <c r="K299" s="2699"/>
      <c r="L299" s="2699"/>
      <c r="M299" s="2699"/>
      <c r="N299" s="2699"/>
      <c r="O299" s="2699"/>
      <c r="P299" s="2700"/>
    </row>
    <row r="300" spans="2:16" ht="15.75">
      <c r="B300" s="2695"/>
      <c r="C300" s="2696" t="s">
        <v>663</v>
      </c>
      <c r="D300" s="2697" t="str">
        <f>INDEX(AirQualityVectors[Description],MATCH(C300,AirQualityVectors[Code],0))</f>
        <v>NOX</v>
      </c>
      <c r="E300" s="2698" t="s">
        <v>359</v>
      </c>
      <c r="F300" s="2699"/>
      <c r="G300" s="2699"/>
      <c r="H300" s="2699"/>
      <c r="I300" s="2699"/>
      <c r="J300" s="2699"/>
      <c r="K300" s="2699"/>
      <c r="L300" s="2699"/>
      <c r="M300" s="2699"/>
      <c r="N300" s="2699"/>
      <c r="O300" s="2699"/>
      <c r="P300" s="2700"/>
    </row>
    <row r="301" spans="2:16" ht="15.75">
      <c r="B301" s="2695"/>
      <c r="C301" s="2696" t="s">
        <v>664</v>
      </c>
      <c r="D301" s="2697" t="str">
        <f>INDEX(AirQualityVectors[Description],MATCH(C301,AirQualityVectors[Code],0))</f>
        <v>SO2</v>
      </c>
      <c r="E301" s="2698" t="s">
        <v>359</v>
      </c>
      <c r="F301" s="2699"/>
      <c r="G301" s="2699"/>
      <c r="H301" s="2699"/>
      <c r="I301" s="2699"/>
      <c r="J301" s="2699"/>
      <c r="K301" s="2699"/>
      <c r="L301" s="2699"/>
      <c r="M301" s="2699"/>
      <c r="N301" s="2699"/>
      <c r="O301" s="2699"/>
      <c r="P301" s="2700"/>
    </row>
    <row r="302" spans="2:16" ht="15.75">
      <c r="B302" s="2695"/>
      <c r="C302" s="2701" t="s">
        <v>665</v>
      </c>
      <c r="D302" s="2702" t="str">
        <f>INDEX(AirQualityVectors[Description],MATCH(C302,AirQualityVectors[Code],0))</f>
        <v>NMVOC</v>
      </c>
      <c r="E302" s="2698" t="s">
        <v>359</v>
      </c>
      <c r="F302" s="2699"/>
      <c r="G302" s="2699"/>
      <c r="H302" s="2699"/>
      <c r="I302" s="2699"/>
      <c r="J302" s="2699"/>
      <c r="K302" s="2699"/>
      <c r="L302" s="2699"/>
      <c r="M302" s="2699"/>
      <c r="N302" s="2699"/>
      <c r="O302" s="2699"/>
      <c r="P302" s="2700"/>
    </row>
    <row r="303" spans="2:16" ht="15.75">
      <c r="B303" s="2695"/>
      <c r="C303" s="2698" t="s">
        <v>103</v>
      </c>
      <c r="D303" s="2698"/>
      <c r="E303" s="2698"/>
      <c r="F303" s="2906">
        <f>SUBTOTAL(109,[2007])</f>
        <v>0</v>
      </c>
      <c r="G303" s="2906">
        <f>SUBTOTAL(109,[2012])</f>
        <v>0</v>
      </c>
      <c r="H303" s="2906">
        <f>SUBTOTAL(109,[2017])</f>
        <v>0</v>
      </c>
      <c r="I303" s="2906">
        <f>SUBTOTAL(109,[2022])</f>
        <v>0</v>
      </c>
      <c r="J303" s="2906">
        <f>SUBTOTAL(109,[2027])</f>
        <v>0</v>
      </c>
      <c r="K303" s="2906">
        <f>SUBTOTAL(109,[2032])</f>
        <v>0</v>
      </c>
      <c r="L303" s="2906">
        <f>SUBTOTAL(109,[2037])</f>
        <v>0</v>
      </c>
      <c r="M303" s="2906">
        <f>SUBTOTAL(109,[2042])</f>
        <v>0</v>
      </c>
      <c r="N303" s="2906">
        <f>SUBTOTAL(109,[2047])</f>
        <v>0</v>
      </c>
      <c r="O303" s="2906">
        <f>SUBTOTAL(109,[2052])</f>
        <v>0</v>
      </c>
      <c r="P303" s="2700"/>
    </row>
    <row r="304" spans="2:16" ht="15.75">
      <c r="B304" s="2695"/>
      <c r="C304" s="2698"/>
      <c r="D304" s="2698"/>
      <c r="E304" s="2698"/>
      <c r="F304" s="2703"/>
      <c r="G304" s="2703"/>
      <c r="H304" s="2703"/>
      <c r="I304" s="2703"/>
      <c r="J304" s="2703"/>
      <c r="K304" s="2703"/>
      <c r="L304" s="2703"/>
      <c r="M304" s="2703"/>
      <c r="N304" s="2703"/>
      <c r="O304" s="2703"/>
      <c r="P304" s="2700"/>
    </row>
    <row r="305" spans="2:16" ht="15.75">
      <c r="B305" s="2695"/>
      <c r="C305" s="2704" t="s">
        <v>2110</v>
      </c>
      <c r="D305" s="760"/>
      <c r="E305" s="2692"/>
      <c r="F305" s="760"/>
      <c r="G305" s="2692"/>
      <c r="H305" s="760"/>
      <c r="I305" s="760"/>
      <c r="J305" s="760"/>
      <c r="K305" s="760"/>
      <c r="L305" s="760"/>
      <c r="M305" s="760"/>
      <c r="N305" s="760"/>
      <c r="O305" s="2692" t="s">
        <v>847</v>
      </c>
      <c r="P305" s="2700"/>
    </row>
    <row r="306" spans="2:16" ht="15.75">
      <c r="B306" s="2695"/>
      <c r="C306" s="760"/>
      <c r="D306" s="760"/>
      <c r="E306" s="760"/>
      <c r="F306" s="760"/>
      <c r="G306" s="760"/>
      <c r="H306" s="760"/>
      <c r="I306" s="760"/>
      <c r="J306" s="760"/>
      <c r="K306" s="760"/>
      <c r="L306" s="760"/>
      <c r="M306" s="760"/>
      <c r="N306" s="760"/>
      <c r="O306" s="760"/>
      <c r="P306" s="2700"/>
    </row>
    <row r="307" spans="2:16" ht="15.75">
      <c r="B307" s="2695"/>
      <c r="C307" s="2693" t="s">
        <v>64</v>
      </c>
      <c r="D307" s="2694" t="s">
        <v>137</v>
      </c>
      <c r="E307" s="2694" t="s">
        <v>2109</v>
      </c>
      <c r="F307" s="1331" t="s">
        <v>203</v>
      </c>
      <c r="G307" s="1332" t="s">
        <v>712</v>
      </c>
      <c r="H307" s="1332" t="s">
        <v>713</v>
      </c>
      <c r="I307" s="1332" t="s">
        <v>714</v>
      </c>
      <c r="J307" s="1332" t="s">
        <v>715</v>
      </c>
      <c r="K307" s="1332" t="s">
        <v>716</v>
      </c>
      <c r="L307" s="1332" t="s">
        <v>717</v>
      </c>
      <c r="M307" s="1332" t="s">
        <v>718</v>
      </c>
      <c r="N307" s="1332" t="s">
        <v>719</v>
      </c>
      <c r="O307" s="1332" t="s">
        <v>720</v>
      </c>
      <c r="P307" s="2700"/>
    </row>
    <row r="308" spans="2:16" ht="15.75">
      <c r="B308" s="2695"/>
      <c r="C308" s="2696" t="s">
        <v>662</v>
      </c>
      <c r="D308" s="2697" t="str">
        <f>INDEX(AirQualityVectors[Description],MATCH(C308,AirQualityVectors[Code],0))</f>
        <v>PM10</v>
      </c>
      <c r="E308" s="2698" t="s">
        <v>359</v>
      </c>
      <c r="F308" s="2699"/>
      <c r="G308" s="2699"/>
      <c r="H308" s="2699"/>
      <c r="I308" s="2699"/>
      <c r="J308" s="2699"/>
      <c r="K308" s="2699"/>
      <c r="L308" s="2699"/>
      <c r="M308" s="2699"/>
      <c r="N308" s="2699"/>
      <c r="O308" s="2699"/>
      <c r="P308" s="2700"/>
    </row>
    <row r="309" spans="2:16" ht="15.75">
      <c r="B309" s="2695"/>
      <c r="C309" s="2696" t="s">
        <v>663</v>
      </c>
      <c r="D309" s="2697" t="str">
        <f>INDEX(AirQualityVectors[Description],MATCH(C309,AirQualityVectors[Code],0))</f>
        <v>NOX</v>
      </c>
      <c r="E309" s="2698" t="s">
        <v>359</v>
      </c>
      <c r="F309" s="2699"/>
      <c r="G309" s="2699"/>
      <c r="H309" s="2699"/>
      <c r="I309" s="2699"/>
      <c r="J309" s="2699"/>
      <c r="K309" s="2699"/>
      <c r="L309" s="2699"/>
      <c r="M309" s="2699"/>
      <c r="N309" s="2699"/>
      <c r="O309" s="2699"/>
      <c r="P309" s="2700"/>
    </row>
    <row r="310" spans="2:16" ht="15.75">
      <c r="B310" s="2695"/>
      <c r="C310" s="2696" t="s">
        <v>664</v>
      </c>
      <c r="D310" s="2697" t="str">
        <f>INDEX(AirQualityVectors[Description],MATCH(C310,AirQualityVectors[Code],0))</f>
        <v>SO2</v>
      </c>
      <c r="E310" s="2698" t="s">
        <v>359</v>
      </c>
      <c r="F310" s="2699"/>
      <c r="G310" s="2699"/>
      <c r="H310" s="2699"/>
      <c r="I310" s="2699"/>
      <c r="J310" s="2699"/>
      <c r="K310" s="2699"/>
      <c r="L310" s="2699"/>
      <c r="M310" s="2699"/>
      <c r="N310" s="2699"/>
      <c r="O310" s="2699"/>
      <c r="P310" s="2700"/>
    </row>
    <row r="311" spans="2:16" ht="15.75">
      <c r="B311" s="2695"/>
      <c r="C311" s="2701" t="s">
        <v>665</v>
      </c>
      <c r="D311" s="2702" t="str">
        <f>INDEX(AirQualityVectors[Description],MATCH(C311,AirQualityVectors[Code],0))</f>
        <v>NMVOC</v>
      </c>
      <c r="E311" s="2698" t="s">
        <v>359</v>
      </c>
      <c r="F311" s="2699"/>
      <c r="G311" s="2699"/>
      <c r="H311" s="2699"/>
      <c r="I311" s="2699"/>
      <c r="J311" s="2699"/>
      <c r="K311" s="2699"/>
      <c r="L311" s="2699"/>
      <c r="M311" s="2699"/>
      <c r="N311" s="2699"/>
      <c r="O311" s="2699"/>
      <c r="P311" s="2700"/>
    </row>
    <row r="312" spans="2:16" ht="15.75">
      <c r="B312" s="2695"/>
      <c r="C312" s="2698" t="s">
        <v>103</v>
      </c>
      <c r="D312" s="2698"/>
      <c r="E312" s="2698"/>
      <c r="F312" s="2906">
        <f>SUBTOTAL(109,[2007])</f>
        <v>0</v>
      </c>
      <c r="G312" s="2906">
        <f>SUBTOTAL(109,[2012])</f>
        <v>0</v>
      </c>
      <c r="H312" s="2906">
        <f>SUBTOTAL(109,[2017])</f>
        <v>0</v>
      </c>
      <c r="I312" s="2906">
        <f>SUBTOTAL(109,[2022])</f>
        <v>0</v>
      </c>
      <c r="J312" s="2906">
        <f>SUBTOTAL(109,[2027])</f>
        <v>0</v>
      </c>
      <c r="K312" s="2906">
        <f>SUBTOTAL(109,[2032])</f>
        <v>0</v>
      </c>
      <c r="L312" s="2906">
        <f>SUBTOTAL(109,[2037])</f>
        <v>0</v>
      </c>
      <c r="M312" s="2906">
        <f>SUBTOTAL(109,[2042])</f>
        <v>0</v>
      </c>
      <c r="N312" s="2906">
        <f>SUBTOTAL(109,[2047])</f>
        <v>0</v>
      </c>
      <c r="O312" s="2906">
        <f>SUBTOTAL(109,[2052])</f>
        <v>0</v>
      </c>
      <c r="P312" s="2700"/>
    </row>
    <row r="313" spans="2:16" ht="15.75">
      <c r="B313" s="2695"/>
      <c r="C313" s="760"/>
      <c r="D313" s="760"/>
      <c r="E313" s="760"/>
      <c r="F313" s="760"/>
      <c r="G313" s="760"/>
      <c r="H313" s="760"/>
      <c r="I313" s="760"/>
      <c r="J313" s="760"/>
      <c r="K313" s="760"/>
      <c r="L313" s="760"/>
      <c r="M313" s="760"/>
      <c r="N313" s="760"/>
      <c r="O313" s="760"/>
      <c r="P313" s="2700"/>
    </row>
    <row r="554" spans="6:15">
      <c r="F554" s="3069">
        <f>F$514*INDEX(EF[CO2], MATCH("V.04", EF[Vector], 0))</f>
        <v>0</v>
      </c>
      <c r="G554" s="3069">
        <f>G$514*INDEX(EF[CO2], MATCH("V.04", EF[Vector], 0))</f>
        <v>0</v>
      </c>
      <c r="H554" s="3069">
        <f>H$514*INDEX(EF[CO2], MATCH("V.04", EF[Vector], 0))</f>
        <v>0</v>
      </c>
      <c r="I554" s="3069">
        <f>I$514*INDEX(EF[CO2], MATCH("V.04", EF[Vector], 0))</f>
        <v>0</v>
      </c>
      <c r="J554" s="3069">
        <f>J$514*INDEX(EF[CO2], MATCH("V.04", EF[Vector], 0))</f>
        <v>0</v>
      </c>
      <c r="K554" s="3069">
        <f>K$514*INDEX(EF[CO2], MATCH("V.04", EF[Vector], 0))</f>
        <v>0</v>
      </c>
      <c r="L554" s="3069">
        <f>L$514*INDEX(EF[CO2], MATCH("V.04", EF[Vector], 0))</f>
        <v>0</v>
      </c>
      <c r="M554" s="3069">
        <f>M$514*INDEX(EF[CO2], MATCH("V.04", EF[Vector], 0))</f>
        <v>0</v>
      </c>
      <c r="N554" s="3069">
        <f>N$514*INDEX(EF[CO2], MATCH("V.04", EF[Vector], 0))</f>
        <v>0</v>
      </c>
      <c r="O554" s="3069">
        <f>O$514*INDEX(EF[CO2], MATCH("V.04", EF[Vector], 0))</f>
        <v>0</v>
      </c>
    </row>
    <row r="555" spans="6:15">
      <c r="F555" s="3069">
        <f>F$514*INDEX(EF[CH4], MATCH("V.04", EF[Vector], 0))</f>
        <v>0</v>
      </c>
      <c r="G555" s="3069">
        <f>G$514*INDEX(EF[CH4], MATCH("V.04", EF[Vector], 0))</f>
        <v>0</v>
      </c>
      <c r="H555" s="3069">
        <f>H$514*INDEX(EF[CH4], MATCH("V.04", EF[Vector], 0))</f>
        <v>0</v>
      </c>
      <c r="I555" s="3069">
        <f>I$514*INDEX(EF[CH4], MATCH("V.04", EF[Vector], 0))</f>
        <v>0</v>
      </c>
      <c r="J555" s="3069">
        <f>J$514*INDEX(EF[CH4], MATCH("V.04", EF[Vector], 0))</f>
        <v>0</v>
      </c>
      <c r="K555" s="3069">
        <f>K$514*INDEX(EF[CH4], MATCH("V.04", EF[Vector], 0))</f>
        <v>0</v>
      </c>
      <c r="L555" s="3069">
        <f>L$514*INDEX(EF[CH4], MATCH("V.04", EF[Vector], 0))</f>
        <v>0</v>
      </c>
      <c r="M555" s="3069">
        <f>M$514*INDEX(EF[CH4], MATCH("V.04", EF[Vector], 0))</f>
        <v>0</v>
      </c>
      <c r="N555" s="3069">
        <f>N$514*INDEX(EF[CH4], MATCH("V.04", EF[Vector], 0))</f>
        <v>0</v>
      </c>
      <c r="O555" s="3069">
        <f>O$514*INDEX(EF[CH4], MATCH("V.04", EF[Vector], 0))</f>
        <v>0</v>
      </c>
    </row>
    <row r="556" spans="6:15">
      <c r="F556" s="3069">
        <f>F$514*INDEX(EF[N2O], MATCH("V.04", EF[Vector], 0))</f>
        <v>0</v>
      </c>
      <c r="G556" s="3069">
        <f>G$514*INDEX(EF[N2O], MATCH("V.04", EF[Vector], 0))</f>
        <v>0</v>
      </c>
      <c r="H556" s="3069">
        <f>H$514*INDEX(EF[N2O], MATCH("V.04", EF[Vector], 0))</f>
        <v>0</v>
      </c>
      <c r="I556" s="3069">
        <f>I$514*INDEX(EF[N2O], MATCH("V.04", EF[Vector], 0))</f>
        <v>0</v>
      </c>
      <c r="J556" s="3069">
        <f>J$514*INDEX(EF[N2O], MATCH("V.04", EF[Vector], 0))</f>
        <v>0</v>
      </c>
      <c r="K556" s="3069">
        <f>K$514*INDEX(EF[N2O], MATCH("V.04", EF[Vector], 0))</f>
        <v>0</v>
      </c>
      <c r="L556" s="3069">
        <f>L$514*INDEX(EF[N2O], MATCH("V.04", EF[Vector], 0))</f>
        <v>0</v>
      </c>
      <c r="M556" s="3069">
        <f>M$514*INDEX(EF[N2O], MATCH("V.04", EF[Vector], 0))</f>
        <v>0</v>
      </c>
      <c r="N556" s="3069">
        <f>N$514*INDEX(EF[N2O], MATCH("V.04", EF[Vector], 0))</f>
        <v>0</v>
      </c>
      <c r="O556" s="3069">
        <f>O$514*INDEX(EF[N2O], MATCH("V.04", EF[Vector], 0))</f>
        <v>0</v>
      </c>
    </row>
  </sheetData>
  <pageMargins left="0.7" right="0.7" top="0.75" bottom="0.75" header="0.3" footer="0.3"/>
  <pageSetup paperSize="9" orientation="portrait" horizontalDpi="300" verticalDpi="300"/>
  <tableParts count="13">
    <tablePart r:id="rId1"/>
    <tablePart r:id="rId2"/>
    <tablePart r:id="rId3"/>
    <tablePart r:id="rId4"/>
    <tablePart r:id="rId5"/>
    <tablePart r:id="rId6"/>
    <tablePart r:id="rId7"/>
    <tablePart r:id="rId8"/>
    <tablePart r:id="rId9"/>
    <tablePart r:id="rId10"/>
    <tablePart r:id="rId11"/>
    <tablePart r:id="rId12"/>
    <tablePart r:id="rId13"/>
  </tableParts>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sheetPr>
    <tabColor theme="9"/>
    <outlinePr summaryBelow="0"/>
    <pageSetUpPr autoPageBreaks="0"/>
  </sheetPr>
  <dimension ref="A1:AU550"/>
  <sheetViews>
    <sheetView showGridLines="0" topLeftCell="D522" zoomScale="80" zoomScaleNormal="80" zoomScalePageLayoutView="80" workbookViewId="0">
      <selection activeCell="G533" sqref="G533"/>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9.85546875" style="605" customWidth="1"/>
    <col min="17" max="17" width="10.85546875" style="605" customWidth="1"/>
    <col min="18" max="18" width="10.85546875" style="605" bestFit="1" customWidth="1"/>
    <col min="19" max="19" width="8.85546875" style="605"/>
    <col min="20" max="20" width="10.85546875" style="605" bestFit="1" customWidth="1"/>
    <col min="21" max="23" width="8.85546875" style="605"/>
    <col min="24" max="24" width="9.42578125" style="605" bestFit="1" customWidth="1"/>
    <col min="25" max="16384" width="8.85546875" style="605"/>
  </cols>
  <sheetData>
    <row r="1" spans="1:16" ht="21">
      <c r="A1" s="77" t="s">
        <v>1096</v>
      </c>
      <c r="B1" s="77" t="str">
        <f>INDEX(Workstreams[Workstream],MATCH($A1,Workstreams[Code]))</f>
        <v>Cooking</v>
      </c>
      <c r="C1" s="77"/>
    </row>
    <row r="2" spans="1:16" s="51" customFormat="1" ht="19.5" customHeight="1">
      <c r="A2" s="6" t="s">
        <v>298</v>
      </c>
      <c r="B2" s="6" t="str">
        <f>INDEX(Modules[Module], MATCH($A2, Modules[Code], 0))</f>
        <v>Domestic Cooking</v>
      </c>
      <c r="C2" s="6"/>
      <c r="E2" s="404"/>
    </row>
    <row r="4" spans="1:16" ht="22.5">
      <c r="A4" s="420"/>
      <c r="B4" s="206" t="s">
        <v>412</v>
      </c>
      <c r="C4" s="175"/>
      <c r="D4" s="175"/>
      <c r="E4" s="175"/>
      <c r="F4" s="175"/>
      <c r="G4" s="175"/>
      <c r="H4" s="175"/>
      <c r="I4" s="175"/>
      <c r="J4" s="175"/>
      <c r="K4" s="175"/>
      <c r="L4" s="175"/>
      <c r="M4" s="175"/>
      <c r="N4" s="175"/>
      <c r="O4" s="175"/>
      <c r="P4" s="177"/>
    </row>
    <row r="5" spans="1:16">
      <c r="B5" s="164"/>
      <c r="C5" s="166"/>
      <c r="D5" s="166"/>
      <c r="E5" s="166"/>
      <c r="F5" s="166"/>
      <c r="G5" s="166"/>
      <c r="H5" s="166"/>
      <c r="I5" s="166"/>
      <c r="J5" s="166"/>
      <c r="K5" s="166"/>
      <c r="L5" s="166"/>
      <c r="M5" s="166"/>
      <c r="N5" s="166"/>
      <c r="O5" s="166"/>
      <c r="P5" s="168"/>
    </row>
    <row r="6" spans="1:16" ht="5.25" customHeight="1">
      <c r="B6" s="164"/>
      <c r="C6" s="165"/>
      <c r="D6" s="166"/>
      <c r="E6" s="167"/>
      <c r="F6" s="166"/>
      <c r="G6" s="166"/>
      <c r="H6" s="166"/>
      <c r="I6" s="166"/>
      <c r="J6" s="166"/>
      <c r="K6" s="166"/>
      <c r="L6" s="166"/>
      <c r="M6" s="166"/>
      <c r="N6" s="166"/>
      <c r="O6" s="166"/>
      <c r="P6" s="168"/>
    </row>
    <row r="7" spans="1:16" ht="15.75">
      <c r="B7" s="169"/>
      <c r="C7" s="166"/>
      <c r="D7" s="118" t="s">
        <v>274</v>
      </c>
      <c r="E7" s="118" t="s">
        <v>411</v>
      </c>
      <c r="F7" s="166"/>
      <c r="G7" s="166"/>
      <c r="H7" s="166"/>
      <c r="I7" s="166"/>
      <c r="J7" s="166"/>
      <c r="K7" s="166"/>
      <c r="L7" s="166"/>
      <c r="M7" s="166"/>
      <c r="N7" s="166"/>
      <c r="O7" s="166"/>
      <c r="P7" s="168"/>
    </row>
    <row r="8" spans="1:16" ht="15.75">
      <c r="B8" s="169"/>
      <c r="C8" s="166"/>
      <c r="D8" s="127" t="s">
        <v>896</v>
      </c>
      <c r="E8" s="127">
        <f>XIII.a.scenario.fuelsplit</f>
        <v>1</v>
      </c>
      <c r="F8" s="166"/>
      <c r="G8" s="166"/>
      <c r="H8" s="166"/>
      <c r="I8" s="166"/>
      <c r="J8" s="166"/>
      <c r="K8" s="166"/>
      <c r="L8" s="166"/>
      <c r="M8" s="166"/>
      <c r="N8" s="166"/>
      <c r="O8" s="166"/>
      <c r="P8" s="168"/>
    </row>
    <row r="9" spans="1:16">
      <c r="B9" s="182"/>
      <c r="C9" s="172"/>
      <c r="D9" s="172"/>
      <c r="E9" s="172"/>
      <c r="F9" s="172"/>
      <c r="G9" s="172"/>
      <c r="H9" s="172"/>
      <c r="I9" s="172"/>
      <c r="J9" s="172"/>
      <c r="K9" s="172"/>
      <c r="L9" s="172"/>
      <c r="M9" s="172"/>
      <c r="N9" s="172"/>
      <c r="O9" s="172"/>
      <c r="P9" s="173"/>
    </row>
    <row r="11" spans="1:16" ht="22.5">
      <c r="A11" s="420"/>
      <c r="B11" s="421" t="s">
        <v>413</v>
      </c>
      <c r="C11" s="159"/>
      <c r="D11" s="159"/>
      <c r="E11" s="159"/>
      <c r="F11" s="159"/>
      <c r="G11" s="159"/>
      <c r="H11" s="159"/>
      <c r="I11" s="159"/>
      <c r="J11" s="159"/>
      <c r="K11" s="159"/>
      <c r="L11" s="159"/>
      <c r="M11" s="159"/>
      <c r="N11" s="159"/>
      <c r="O11" s="159"/>
      <c r="P11" s="160"/>
    </row>
    <row r="12" spans="1:16">
      <c r="B12" s="418"/>
      <c r="C12" s="415"/>
      <c r="D12" s="415"/>
      <c r="E12" s="415"/>
      <c r="F12" s="415"/>
      <c r="G12" s="415"/>
      <c r="H12" s="415"/>
      <c r="I12" s="415"/>
      <c r="J12" s="415"/>
      <c r="K12" s="415"/>
      <c r="L12" s="415"/>
      <c r="M12" s="415"/>
      <c r="N12" s="415"/>
      <c r="O12" s="415"/>
      <c r="P12" s="419"/>
    </row>
    <row r="13" spans="1:16">
      <c r="B13" s="418"/>
      <c r="C13" s="416" t="s">
        <v>916</v>
      </c>
      <c r="D13" s="415"/>
      <c r="E13" s="104"/>
      <c r="F13" s="415"/>
      <c r="G13" s="415"/>
      <c r="H13" s="415"/>
      <c r="I13" s="415"/>
      <c r="J13" s="415"/>
      <c r="K13" s="415"/>
      <c r="L13" s="415"/>
      <c r="M13" s="415"/>
      <c r="N13" s="415"/>
      <c r="O13" s="361" t="str">
        <f>preferences.energyunits</f>
        <v>TWh</v>
      </c>
      <c r="P13" s="419"/>
    </row>
    <row r="14" spans="1:16" ht="5.25" customHeight="1">
      <c r="B14" s="418"/>
      <c r="C14" s="415"/>
      <c r="D14" s="415"/>
      <c r="E14" s="415"/>
      <c r="F14" s="415"/>
      <c r="G14" s="415"/>
      <c r="H14" s="415"/>
      <c r="I14" s="415"/>
      <c r="J14" s="415"/>
      <c r="K14" s="415"/>
      <c r="L14" s="415"/>
      <c r="M14" s="415"/>
      <c r="N14" s="415"/>
      <c r="O14" s="415"/>
      <c r="P14" s="419"/>
    </row>
    <row r="15" spans="1:16" ht="15.75">
      <c r="B15" s="152"/>
      <c r="C15" s="61" t="s">
        <v>411</v>
      </c>
      <c r="D15" s="61" t="s">
        <v>65</v>
      </c>
      <c r="E15" s="61" t="s">
        <v>156</v>
      </c>
      <c r="F15" s="119">
        <v>2007</v>
      </c>
      <c r="G15" s="120">
        <f>F15+5</f>
        <v>2012</v>
      </c>
      <c r="H15" s="120">
        <f t="shared" ref="H15:O15" si="0">G15+5</f>
        <v>2017</v>
      </c>
      <c r="I15" s="120">
        <f t="shared" si="0"/>
        <v>2022</v>
      </c>
      <c r="J15" s="120">
        <f t="shared" si="0"/>
        <v>2027</v>
      </c>
      <c r="K15" s="120">
        <f t="shared" si="0"/>
        <v>2032</v>
      </c>
      <c r="L15" s="120">
        <f t="shared" si="0"/>
        <v>2037</v>
      </c>
      <c r="M15" s="120">
        <f t="shared" si="0"/>
        <v>2042</v>
      </c>
      <c r="N15" s="120">
        <f t="shared" si="0"/>
        <v>2047</v>
      </c>
      <c r="O15" s="120">
        <f t="shared" si="0"/>
        <v>2052</v>
      </c>
      <c r="P15" s="419"/>
    </row>
    <row r="16" spans="1:16" ht="15.75">
      <c r="B16" s="153"/>
      <c r="C16" s="413">
        <v>1</v>
      </c>
      <c r="D16" s="414"/>
      <c r="E16" s="96"/>
      <c r="F16" s="519">
        <f>F28+F37</f>
        <v>1045.8611113960574</v>
      </c>
      <c r="G16" s="519">
        <f t="shared" ref="G16:O16" si="1">G28+G37</f>
        <v>1153.7282449630281</v>
      </c>
      <c r="H16" s="519">
        <f t="shared" si="1"/>
        <v>1148.4989388784084</v>
      </c>
      <c r="I16" s="519">
        <f t="shared" si="1"/>
        <v>1155.9568110410034</v>
      </c>
      <c r="J16" s="519">
        <f t="shared" si="1"/>
        <v>1156.4277437769356</v>
      </c>
      <c r="K16" s="519">
        <f t="shared" si="1"/>
        <v>1145.5431763602155</v>
      </c>
      <c r="L16" s="519">
        <f t="shared" si="1"/>
        <v>1128.6766748639811</v>
      </c>
      <c r="M16" s="519">
        <f t="shared" si="1"/>
        <v>1099.7850738372154</v>
      </c>
      <c r="N16" s="519">
        <f t="shared" si="1"/>
        <v>1069.2095057928398</v>
      </c>
      <c r="O16" s="519">
        <f t="shared" si="1"/>
        <v>1079.9753438946816</v>
      </c>
      <c r="P16" s="722"/>
    </row>
    <row r="17" spans="2:16" ht="15.75">
      <c r="B17" s="152"/>
      <c r="C17" s="413">
        <v>2</v>
      </c>
      <c r="D17" s="414"/>
      <c r="E17" s="414"/>
      <c r="F17" s="519">
        <f t="shared" ref="F17:O17" si="2">F29+F38</f>
        <v>1045.8611113960574</v>
      </c>
      <c r="G17" s="519">
        <f t="shared" si="2"/>
        <v>1153.7282449630281</v>
      </c>
      <c r="H17" s="519">
        <f t="shared" si="2"/>
        <v>1067.8166172774895</v>
      </c>
      <c r="I17" s="519">
        <f t="shared" si="2"/>
        <v>1019.8024050345863</v>
      </c>
      <c r="J17" s="519">
        <f t="shared" si="2"/>
        <v>975.18836767555717</v>
      </c>
      <c r="K17" s="519">
        <f t="shared" si="2"/>
        <v>930.22006568943277</v>
      </c>
      <c r="L17" s="519">
        <f t="shared" si="2"/>
        <v>891.2331739855963</v>
      </c>
      <c r="M17" s="519">
        <f t="shared" si="2"/>
        <v>844.49590483220243</v>
      </c>
      <c r="N17" s="519">
        <f t="shared" si="2"/>
        <v>818.18629152466985</v>
      </c>
      <c r="O17" s="519">
        <f t="shared" si="2"/>
        <v>835.9320876664965</v>
      </c>
      <c r="P17" s="419"/>
    </row>
    <row r="18" spans="2:16" ht="15.75">
      <c r="B18" s="152"/>
      <c r="C18" s="413">
        <v>3</v>
      </c>
      <c r="D18" s="414"/>
      <c r="E18" s="414"/>
      <c r="F18" s="519">
        <f t="shared" ref="F18:O18" si="3">F30+F39</f>
        <v>1045.8611113960576</v>
      </c>
      <c r="G18" s="519">
        <f t="shared" si="3"/>
        <v>1153.7282449630279</v>
      </c>
      <c r="H18" s="519">
        <f t="shared" si="3"/>
        <v>915.19506818655952</v>
      </c>
      <c r="I18" s="519">
        <f t="shared" si="3"/>
        <v>852.26558610077655</v>
      </c>
      <c r="J18" s="519">
        <f t="shared" si="3"/>
        <v>777.1052680277387</v>
      </c>
      <c r="K18" s="519">
        <f t="shared" si="3"/>
        <v>719.60900718220432</v>
      </c>
      <c r="L18" s="519">
        <f t="shared" si="3"/>
        <v>702.39952505496626</v>
      </c>
      <c r="M18" s="519">
        <f t="shared" si="3"/>
        <v>568.94173986171268</v>
      </c>
      <c r="N18" s="519">
        <f t="shared" si="3"/>
        <v>659.05366607486212</v>
      </c>
      <c r="O18" s="519">
        <f t="shared" si="3"/>
        <v>695.34739442754812</v>
      </c>
      <c r="P18" s="419"/>
    </row>
    <row r="19" spans="2:16" ht="15.75">
      <c r="B19" s="152"/>
      <c r="C19" s="411">
        <v>4</v>
      </c>
      <c r="D19" s="65"/>
      <c r="E19" s="65"/>
      <c r="F19" s="519">
        <f t="shared" ref="F19:O19" si="4">F31+F40</f>
        <v>1045.8611113960576</v>
      </c>
      <c r="G19" s="519">
        <f t="shared" si="4"/>
        <v>1153.7282449630279</v>
      </c>
      <c r="H19" s="519">
        <f t="shared" si="4"/>
        <v>933.76977821541232</v>
      </c>
      <c r="I19" s="519">
        <f t="shared" si="4"/>
        <v>812.40885199203342</v>
      </c>
      <c r="J19" s="519">
        <f t="shared" si="4"/>
        <v>742.80816507800989</v>
      </c>
      <c r="K19" s="519">
        <f t="shared" si="4"/>
        <v>660.45947469364432</v>
      </c>
      <c r="L19" s="519">
        <f t="shared" si="4"/>
        <v>655.75778710214252</v>
      </c>
      <c r="M19" s="519">
        <f t="shared" si="4"/>
        <v>623.18722067069984</v>
      </c>
      <c r="N19" s="519">
        <f t="shared" si="4"/>
        <v>616.01267002751979</v>
      </c>
      <c r="O19" s="519">
        <f t="shared" si="4"/>
        <v>646.08167985552018</v>
      </c>
      <c r="P19" s="419"/>
    </row>
    <row r="20" spans="2:16" ht="15.75">
      <c r="B20" s="152"/>
      <c r="C20" s="406" t="s">
        <v>406</v>
      </c>
      <c r="D20" s="407"/>
      <c r="E20" s="407"/>
      <c r="F20" s="807">
        <f t="shared" ref="F20:O20" si="5">(INDEX(F$16:F$19,ROUNDDOWN($E$8,0))*(1-MOD($E$8,1)))+(INDEX(F$16:F$19,ROUNDUP($E$8,0))*MOD($E$8,1))</f>
        <v>1045.8611113960574</v>
      </c>
      <c r="G20" s="807">
        <f t="shared" si="5"/>
        <v>1153.7282449630281</v>
      </c>
      <c r="H20" s="807">
        <f t="shared" si="5"/>
        <v>1148.4989388784084</v>
      </c>
      <c r="I20" s="807">
        <f t="shared" si="5"/>
        <v>1155.9568110410034</v>
      </c>
      <c r="J20" s="807">
        <f t="shared" si="5"/>
        <v>1156.4277437769356</v>
      </c>
      <c r="K20" s="807">
        <f t="shared" si="5"/>
        <v>1145.5431763602155</v>
      </c>
      <c r="L20" s="807">
        <f t="shared" si="5"/>
        <v>1128.6766748639811</v>
      </c>
      <c r="M20" s="807">
        <f t="shared" si="5"/>
        <v>1099.7850738372154</v>
      </c>
      <c r="N20" s="807">
        <f t="shared" si="5"/>
        <v>1069.2095057928398</v>
      </c>
      <c r="O20" s="807">
        <f t="shared" si="5"/>
        <v>1079.9753438946816</v>
      </c>
      <c r="P20" s="419"/>
    </row>
    <row r="21" spans="2:16">
      <c r="B21" s="155"/>
      <c r="C21" s="415"/>
      <c r="D21" s="105"/>
      <c r="E21" s="415"/>
      <c r="F21" s="415"/>
      <c r="G21" s="611"/>
      <c r="H21" s="611"/>
      <c r="I21" s="611"/>
      <c r="J21" s="611"/>
      <c r="K21" s="611"/>
      <c r="L21" s="611"/>
      <c r="M21" s="611"/>
      <c r="N21" s="611"/>
      <c r="O21" s="611"/>
      <c r="P21" s="419"/>
    </row>
    <row r="22" spans="2:16">
      <c r="B22" s="155"/>
      <c r="C22" s="415" t="s">
        <v>229</v>
      </c>
      <c r="D22" s="105"/>
      <c r="E22" s="415"/>
      <c r="F22" s="415"/>
      <c r="G22" s="415"/>
      <c r="H22" s="415"/>
      <c r="I22" s="415"/>
      <c r="J22" s="415"/>
      <c r="K22" s="415"/>
      <c r="L22" s="415"/>
      <c r="M22" s="415"/>
      <c r="N22" s="415"/>
      <c r="O22" s="415"/>
      <c r="P22" s="419"/>
    </row>
    <row r="23" spans="2:16">
      <c r="B23" s="155"/>
      <c r="C23" s="104" t="s">
        <v>94</v>
      </c>
      <c r="D23" s="105" t="s">
        <v>838</v>
      </c>
      <c r="E23" s="415"/>
      <c r="F23" s="415"/>
      <c r="G23" s="415"/>
      <c r="H23" s="415"/>
      <c r="I23" s="415"/>
      <c r="J23" s="415"/>
      <c r="K23" s="415"/>
      <c r="L23" s="415"/>
      <c r="M23" s="415"/>
      <c r="N23" s="415"/>
      <c r="O23" s="415"/>
      <c r="P23" s="419"/>
    </row>
    <row r="24" spans="2:16">
      <c r="B24" s="155"/>
      <c r="C24" s="104"/>
      <c r="D24" s="105"/>
      <c r="E24" s="415"/>
      <c r="F24" s="415"/>
      <c r="G24" s="415"/>
      <c r="H24" s="415"/>
      <c r="I24" s="415"/>
      <c r="J24" s="415"/>
      <c r="K24" s="415"/>
      <c r="L24" s="415"/>
      <c r="M24" s="415"/>
      <c r="N24" s="415"/>
      <c r="O24" s="415"/>
      <c r="P24" s="419"/>
    </row>
    <row r="25" spans="2:16">
      <c r="B25" s="155"/>
      <c r="C25" s="416" t="s">
        <v>914</v>
      </c>
      <c r="D25" s="415"/>
      <c r="E25" s="104"/>
      <c r="F25" s="415"/>
      <c r="G25" s="415"/>
      <c r="H25" s="415"/>
      <c r="I25" s="415"/>
      <c r="J25" s="415"/>
      <c r="K25" s="415"/>
      <c r="L25" s="415"/>
      <c r="M25" s="415"/>
      <c r="N25" s="415"/>
      <c r="O25" s="361" t="str">
        <f>preferences.energyunits</f>
        <v>TWh</v>
      </c>
      <c r="P25" s="419"/>
    </row>
    <row r="26" spans="2:16">
      <c r="B26" s="155"/>
      <c r="C26" s="415"/>
      <c r="D26" s="415"/>
      <c r="E26" s="415"/>
      <c r="F26" s="415"/>
      <c r="G26" s="415"/>
      <c r="H26" s="415"/>
      <c r="I26" s="415"/>
      <c r="J26" s="415"/>
      <c r="K26" s="415"/>
      <c r="L26" s="415"/>
      <c r="M26" s="415"/>
      <c r="N26" s="415"/>
      <c r="O26" s="415"/>
      <c r="P26" s="419"/>
    </row>
    <row r="27" spans="2:16">
      <c r="B27" s="155"/>
      <c r="C27" s="61" t="s">
        <v>411</v>
      </c>
      <c r="D27" s="61" t="s">
        <v>65</v>
      </c>
      <c r="E27" s="61" t="s">
        <v>156</v>
      </c>
      <c r="F27" s="119">
        <v>2007</v>
      </c>
      <c r="G27" s="120">
        <f>F27+5</f>
        <v>2012</v>
      </c>
      <c r="H27" s="120">
        <f t="shared" ref="H27:O27" si="6">G27+5</f>
        <v>2017</v>
      </c>
      <c r="I27" s="120">
        <f t="shared" si="6"/>
        <v>2022</v>
      </c>
      <c r="J27" s="120">
        <f t="shared" si="6"/>
        <v>2027</v>
      </c>
      <c r="K27" s="120">
        <f t="shared" si="6"/>
        <v>2032</v>
      </c>
      <c r="L27" s="120">
        <f t="shared" si="6"/>
        <v>2037</v>
      </c>
      <c r="M27" s="120">
        <f t="shared" si="6"/>
        <v>2042</v>
      </c>
      <c r="N27" s="120">
        <f t="shared" si="6"/>
        <v>2047</v>
      </c>
      <c r="O27" s="120">
        <f t="shared" si="6"/>
        <v>2052</v>
      </c>
      <c r="P27" s="419"/>
    </row>
    <row r="28" spans="2:16" ht="15.75" customHeight="1">
      <c r="B28" s="155"/>
      <c r="C28" s="413">
        <v>1</v>
      </c>
      <c r="D28" s="414"/>
      <c r="E28" s="96"/>
      <c r="F28" s="519">
        <f>F345</f>
        <v>862.24421938429577</v>
      </c>
      <c r="G28" s="519">
        <f t="shared" ref="G28:O28" si="7">G345</f>
        <v>923.37299203158977</v>
      </c>
      <c r="H28" s="519">
        <f t="shared" si="7"/>
        <v>911.35277132433532</v>
      </c>
      <c r="I28" s="519">
        <f t="shared" si="7"/>
        <v>900.29763844566094</v>
      </c>
      <c r="J28" s="519">
        <f t="shared" si="7"/>
        <v>875.14473085486838</v>
      </c>
      <c r="K28" s="519">
        <f t="shared" si="7"/>
        <v>846.93299824623841</v>
      </c>
      <c r="L28" s="519">
        <f t="shared" si="7"/>
        <v>803.863035857971</v>
      </c>
      <c r="M28" s="519">
        <f t="shared" si="7"/>
        <v>756.94389739275823</v>
      </c>
      <c r="N28" s="519">
        <f t="shared" si="7"/>
        <v>689.69925672558577</v>
      </c>
      <c r="O28" s="519">
        <f t="shared" si="7"/>
        <v>660.87505620972274</v>
      </c>
      <c r="P28" s="419"/>
    </row>
    <row r="29" spans="2:16" ht="12.75" customHeight="1">
      <c r="B29" s="155"/>
      <c r="C29" s="413">
        <v>2</v>
      </c>
      <c r="D29" s="414"/>
      <c r="E29" s="414"/>
      <c r="F29" s="519">
        <f>F366</f>
        <v>862.24421938429577</v>
      </c>
      <c r="G29" s="519">
        <f t="shared" ref="G29:O29" si="8">G366</f>
        <v>923.37299203158977</v>
      </c>
      <c r="H29" s="519">
        <f t="shared" si="8"/>
        <v>839.40560424330636</v>
      </c>
      <c r="I29" s="519">
        <f t="shared" si="8"/>
        <v>781.30818816619183</v>
      </c>
      <c r="J29" s="519">
        <f t="shared" si="8"/>
        <v>721.44493533992431</v>
      </c>
      <c r="K29" s="519">
        <f t="shared" si="8"/>
        <v>665.36415591663172</v>
      </c>
      <c r="L29" s="519">
        <f t="shared" si="8"/>
        <v>605.60231702984311</v>
      </c>
      <c r="M29" s="519">
        <f t="shared" si="8"/>
        <v>540.63364678368362</v>
      </c>
      <c r="N29" s="519">
        <f t="shared" si="8"/>
        <v>486.52892480045119</v>
      </c>
      <c r="O29" s="519">
        <f t="shared" si="8"/>
        <v>469.81965311448494</v>
      </c>
      <c r="P29" s="419"/>
    </row>
    <row r="30" spans="2:16" ht="15.75" customHeight="1">
      <c r="B30" s="155"/>
      <c r="C30" s="413">
        <v>3</v>
      </c>
      <c r="D30" s="414"/>
      <c r="E30" s="414"/>
      <c r="F30" s="519">
        <f>F388</f>
        <v>862.24421938429623</v>
      </c>
      <c r="G30" s="519">
        <f t="shared" ref="G30:O30" si="9">G388</f>
        <v>923.37299203158943</v>
      </c>
      <c r="H30" s="519">
        <f t="shared" si="9"/>
        <v>789.46011080869789</v>
      </c>
      <c r="I30" s="519">
        <f t="shared" si="9"/>
        <v>700.96645154860653</v>
      </c>
      <c r="J30" s="519">
        <f t="shared" si="9"/>
        <v>605.8322261237621</v>
      </c>
      <c r="K30" s="519">
        <f t="shared" si="9"/>
        <v>530.18411881213069</v>
      </c>
      <c r="L30" s="519">
        <f t="shared" si="9"/>
        <v>473.07860066071373</v>
      </c>
      <c r="M30" s="519">
        <f t="shared" si="9"/>
        <v>323.71212185443011</v>
      </c>
      <c r="N30" s="519">
        <f t="shared" si="9"/>
        <v>385.91143723092199</v>
      </c>
      <c r="O30" s="519">
        <f t="shared" si="9"/>
        <v>363.77705525035833</v>
      </c>
      <c r="P30" s="419"/>
    </row>
    <row r="31" spans="2:16" ht="14.25" customHeight="1">
      <c r="B31" s="155"/>
      <c r="C31" s="411">
        <v>4</v>
      </c>
      <c r="D31" s="65"/>
      <c r="E31" s="65"/>
      <c r="F31" s="519">
        <f>F410</f>
        <v>862.24421938429623</v>
      </c>
      <c r="G31" s="519">
        <f t="shared" ref="G31:O31" si="10">G410</f>
        <v>923.37299203158943</v>
      </c>
      <c r="H31" s="519">
        <f t="shared" si="10"/>
        <v>741.94916789829449</v>
      </c>
      <c r="I31" s="519">
        <f t="shared" si="10"/>
        <v>610.08553138647903</v>
      </c>
      <c r="J31" s="519">
        <f t="shared" si="10"/>
        <v>528.79756749675516</v>
      </c>
      <c r="K31" s="519">
        <f t="shared" si="10"/>
        <v>448.79000742799315</v>
      </c>
      <c r="L31" s="519">
        <f t="shared" si="10"/>
        <v>407.71537991144322</v>
      </c>
      <c r="M31" s="519">
        <f t="shared" si="10"/>
        <v>374.1056371932998</v>
      </c>
      <c r="N31" s="519">
        <f t="shared" si="10"/>
        <v>335.5645935431636</v>
      </c>
      <c r="O31" s="519">
        <f t="shared" si="10"/>
        <v>324.35734317164247</v>
      </c>
      <c r="P31" s="419"/>
    </row>
    <row r="32" spans="2:16">
      <c r="B32" s="155"/>
      <c r="C32" s="406" t="s">
        <v>406</v>
      </c>
      <c r="D32" s="407"/>
      <c r="E32" s="407"/>
      <c r="F32" s="807">
        <f t="shared" ref="F32:O32" si="11">(INDEX(F$28:F$31,ROUNDDOWN($E$8,0))*(1-MOD($E$8,1)))+(INDEX(F$28:F$31,ROUNDUP($E$8,0))*MOD($E$8,1))</f>
        <v>862.24421938429577</v>
      </c>
      <c r="G32" s="807">
        <f t="shared" si="11"/>
        <v>923.37299203158977</v>
      </c>
      <c r="H32" s="807">
        <f t="shared" si="11"/>
        <v>911.35277132433532</v>
      </c>
      <c r="I32" s="807">
        <f t="shared" si="11"/>
        <v>900.29763844566094</v>
      </c>
      <c r="J32" s="807">
        <f t="shared" si="11"/>
        <v>875.14473085486838</v>
      </c>
      <c r="K32" s="807">
        <f t="shared" si="11"/>
        <v>846.93299824623841</v>
      </c>
      <c r="L32" s="807">
        <f t="shared" si="11"/>
        <v>803.863035857971</v>
      </c>
      <c r="M32" s="807">
        <f t="shared" si="11"/>
        <v>756.94389739275823</v>
      </c>
      <c r="N32" s="807">
        <f t="shared" si="11"/>
        <v>689.69925672558577</v>
      </c>
      <c r="O32" s="807">
        <f t="shared" si="11"/>
        <v>660.87505620972274</v>
      </c>
      <c r="P32" s="833"/>
    </row>
    <row r="33" spans="2:16">
      <c r="B33" s="155"/>
      <c r="C33" s="104"/>
      <c r="D33" s="105"/>
      <c r="E33" s="415"/>
      <c r="F33" s="415"/>
      <c r="G33" s="415"/>
      <c r="H33" s="415"/>
      <c r="I33" s="415"/>
      <c r="J33" s="415"/>
      <c r="K33" s="415"/>
      <c r="L33" s="415"/>
      <c r="M33" s="415"/>
      <c r="N33" s="415"/>
      <c r="O33" s="415"/>
      <c r="P33" s="419"/>
    </row>
    <row r="34" spans="2:16">
      <c r="B34" s="155"/>
      <c r="C34" s="416" t="s">
        <v>915</v>
      </c>
      <c r="D34" s="415"/>
      <c r="E34" s="104"/>
      <c r="F34" s="415"/>
      <c r="G34" s="415"/>
      <c r="H34" s="415"/>
      <c r="I34" s="415"/>
      <c r="J34" s="415"/>
      <c r="K34" s="415"/>
      <c r="L34" s="415"/>
      <c r="M34" s="415"/>
      <c r="N34" s="415"/>
      <c r="O34" s="361" t="str">
        <f>preferences.energyunits</f>
        <v>TWh</v>
      </c>
      <c r="P34" s="419"/>
    </row>
    <row r="35" spans="2:16">
      <c r="B35" s="155"/>
      <c r="C35" s="415"/>
      <c r="D35" s="415"/>
      <c r="E35" s="415"/>
      <c r="F35" s="415"/>
      <c r="G35" s="415"/>
      <c r="H35" s="415"/>
      <c r="I35" s="415"/>
      <c r="J35" s="415"/>
      <c r="K35" s="415"/>
      <c r="L35" s="415"/>
      <c r="M35" s="415"/>
      <c r="N35" s="415"/>
      <c r="O35" s="104"/>
      <c r="P35" s="419"/>
    </row>
    <row r="36" spans="2:16">
      <c r="B36" s="155"/>
      <c r="C36" s="61" t="s">
        <v>411</v>
      </c>
      <c r="D36" s="61" t="s">
        <v>65</v>
      </c>
      <c r="E36" s="61" t="s">
        <v>156</v>
      </c>
      <c r="F36" s="119">
        <v>2007</v>
      </c>
      <c r="G36" s="120">
        <f>F36+5</f>
        <v>2012</v>
      </c>
      <c r="H36" s="120">
        <f t="shared" ref="H36:O36" si="12">G36+5</f>
        <v>2017</v>
      </c>
      <c r="I36" s="120">
        <f t="shared" si="12"/>
        <v>2022</v>
      </c>
      <c r="J36" s="120">
        <f t="shared" si="12"/>
        <v>2027</v>
      </c>
      <c r="K36" s="120">
        <f t="shared" si="12"/>
        <v>2032</v>
      </c>
      <c r="L36" s="120">
        <f t="shared" si="12"/>
        <v>2037</v>
      </c>
      <c r="M36" s="120">
        <f t="shared" si="12"/>
        <v>2042</v>
      </c>
      <c r="N36" s="120">
        <f t="shared" si="12"/>
        <v>2047</v>
      </c>
      <c r="O36" s="120">
        <f t="shared" si="12"/>
        <v>2052</v>
      </c>
      <c r="P36" s="419"/>
    </row>
    <row r="37" spans="2:16">
      <c r="B37" s="155"/>
      <c r="C37" s="413">
        <v>1</v>
      </c>
      <c r="D37" s="414"/>
      <c r="E37" s="96"/>
      <c r="F37" s="519">
        <f>F336</f>
        <v>183.61689201176151</v>
      </c>
      <c r="G37" s="519">
        <f t="shared" ref="G37:O37" si="13">G336</f>
        <v>230.35525293143846</v>
      </c>
      <c r="H37" s="519">
        <f t="shared" si="13"/>
        <v>237.14616755407306</v>
      </c>
      <c r="I37" s="519">
        <f t="shared" si="13"/>
        <v>255.65917259534243</v>
      </c>
      <c r="J37" s="519">
        <f t="shared" si="13"/>
        <v>281.28301292206714</v>
      </c>
      <c r="K37" s="519">
        <f t="shared" si="13"/>
        <v>298.61017811397716</v>
      </c>
      <c r="L37" s="519">
        <f t="shared" si="13"/>
        <v>324.81363900601013</v>
      </c>
      <c r="M37" s="519">
        <f t="shared" si="13"/>
        <v>342.84117644445718</v>
      </c>
      <c r="N37" s="519">
        <f t="shared" si="13"/>
        <v>379.51024906725394</v>
      </c>
      <c r="O37" s="519">
        <f t="shared" si="13"/>
        <v>419.10028768495891</v>
      </c>
      <c r="P37" s="419"/>
    </row>
    <row r="38" spans="2:16">
      <c r="B38" s="155"/>
      <c r="C38" s="413">
        <v>2</v>
      </c>
      <c r="D38" s="414"/>
      <c r="E38" s="414"/>
      <c r="F38" s="519">
        <f>F357</f>
        <v>183.61689201176151</v>
      </c>
      <c r="G38" s="519">
        <f t="shared" ref="G38:O38" si="14">G357</f>
        <v>230.35525293143846</v>
      </c>
      <c r="H38" s="519">
        <f t="shared" si="14"/>
        <v>228.41101303418307</v>
      </c>
      <c r="I38" s="519">
        <f t="shared" si="14"/>
        <v>238.49421686839443</v>
      </c>
      <c r="J38" s="519">
        <f t="shared" si="14"/>
        <v>253.74343233563286</v>
      </c>
      <c r="K38" s="519">
        <f t="shared" si="14"/>
        <v>264.85590977280106</v>
      </c>
      <c r="L38" s="519">
        <f t="shared" si="14"/>
        <v>285.63085695575325</v>
      </c>
      <c r="M38" s="519">
        <f t="shared" si="14"/>
        <v>303.86225804851881</v>
      </c>
      <c r="N38" s="519">
        <f t="shared" si="14"/>
        <v>331.65736672421866</v>
      </c>
      <c r="O38" s="519">
        <f t="shared" si="14"/>
        <v>366.11243455201156</v>
      </c>
      <c r="P38" s="419"/>
    </row>
    <row r="39" spans="2:16">
      <c r="B39" s="155"/>
      <c r="C39" s="413">
        <v>3</v>
      </c>
      <c r="D39" s="414"/>
      <c r="E39" s="414"/>
      <c r="F39" s="519">
        <f>F379</f>
        <v>183.61689201176137</v>
      </c>
      <c r="G39" s="519">
        <f t="shared" ref="G39:O39" si="15">G379</f>
        <v>230.3552529314386</v>
      </c>
      <c r="H39" s="519">
        <f t="shared" si="15"/>
        <v>125.73495737786159</v>
      </c>
      <c r="I39" s="519">
        <f t="shared" si="15"/>
        <v>151.29913455217005</v>
      </c>
      <c r="J39" s="519">
        <f t="shared" si="15"/>
        <v>171.27304190397658</v>
      </c>
      <c r="K39" s="519">
        <f t="shared" si="15"/>
        <v>189.4248883700736</v>
      </c>
      <c r="L39" s="519">
        <f t="shared" si="15"/>
        <v>229.32092439425253</v>
      </c>
      <c r="M39" s="519">
        <f t="shared" si="15"/>
        <v>245.22961800728251</v>
      </c>
      <c r="N39" s="519">
        <f t="shared" si="15"/>
        <v>273.14222884394007</v>
      </c>
      <c r="O39" s="519">
        <f t="shared" si="15"/>
        <v>331.57033917718985</v>
      </c>
      <c r="P39" s="519"/>
    </row>
    <row r="40" spans="2:16">
      <c r="B40" s="155"/>
      <c r="C40" s="411">
        <v>4</v>
      </c>
      <c r="D40" s="65"/>
      <c r="E40" s="65"/>
      <c r="F40" s="519">
        <f>F401</f>
        <v>183.61689201176137</v>
      </c>
      <c r="G40" s="519">
        <f t="shared" ref="G40:O40" si="16">G401</f>
        <v>230.3552529314386</v>
      </c>
      <c r="H40" s="519">
        <f t="shared" si="16"/>
        <v>191.82061031711777</v>
      </c>
      <c r="I40" s="519">
        <f t="shared" si="16"/>
        <v>202.32332060555439</v>
      </c>
      <c r="J40" s="519">
        <f t="shared" si="16"/>
        <v>214.01059758125473</v>
      </c>
      <c r="K40" s="519">
        <f t="shared" si="16"/>
        <v>211.66946726565124</v>
      </c>
      <c r="L40" s="519">
        <f t="shared" si="16"/>
        <v>248.04240719069929</v>
      </c>
      <c r="M40" s="519">
        <f t="shared" si="16"/>
        <v>249.0815834774001</v>
      </c>
      <c r="N40" s="519">
        <f t="shared" si="16"/>
        <v>280.44807648435619</v>
      </c>
      <c r="O40" s="519">
        <f t="shared" si="16"/>
        <v>321.72433668387771</v>
      </c>
      <c r="P40" s="419"/>
    </row>
    <row r="41" spans="2:16">
      <c r="B41" s="155"/>
      <c r="C41" s="406" t="s">
        <v>406</v>
      </c>
      <c r="D41" s="407"/>
      <c r="E41" s="407"/>
      <c r="F41" s="807">
        <f t="shared" ref="F41:O41" si="17">(INDEX(F$37:F$40,ROUNDDOWN($E$8,0))*(1-MOD($E$8,1)))+(INDEX(F$37:F$40,ROUNDUP($E$8,0))*MOD($E$8,1))</f>
        <v>183.61689201176151</v>
      </c>
      <c r="G41" s="807">
        <f t="shared" si="17"/>
        <v>230.35525293143846</v>
      </c>
      <c r="H41" s="807">
        <f t="shared" si="17"/>
        <v>237.14616755407306</v>
      </c>
      <c r="I41" s="807">
        <f t="shared" si="17"/>
        <v>255.65917259534243</v>
      </c>
      <c r="J41" s="807">
        <f t="shared" si="17"/>
        <v>281.28301292206714</v>
      </c>
      <c r="K41" s="807">
        <f t="shared" si="17"/>
        <v>298.61017811397716</v>
      </c>
      <c r="L41" s="807">
        <f t="shared" si="17"/>
        <v>324.81363900601013</v>
      </c>
      <c r="M41" s="807">
        <f t="shared" si="17"/>
        <v>342.84117644445718</v>
      </c>
      <c r="N41" s="807">
        <f t="shared" si="17"/>
        <v>379.51024906725394</v>
      </c>
      <c r="O41" s="807">
        <f t="shared" si="17"/>
        <v>419.10028768495891</v>
      </c>
      <c r="P41" s="807"/>
    </row>
    <row r="42" spans="2:16">
      <c r="B42" s="155"/>
      <c r="C42" s="104"/>
      <c r="D42" s="105"/>
      <c r="E42" s="415"/>
      <c r="F42" s="415"/>
      <c r="G42" s="415"/>
      <c r="H42" s="415"/>
      <c r="I42" s="415"/>
      <c r="J42" s="415"/>
      <c r="K42" s="415"/>
      <c r="L42" s="415"/>
      <c r="M42" s="415"/>
      <c r="N42" s="415"/>
      <c r="O42" s="415"/>
      <c r="P42" s="419"/>
    </row>
    <row r="43" spans="2:16">
      <c r="B43" s="155"/>
      <c r="C43" s="104"/>
      <c r="D43" s="105"/>
      <c r="E43" s="415"/>
      <c r="F43" s="415"/>
      <c r="G43" s="415"/>
      <c r="H43" s="415"/>
      <c r="I43" s="415"/>
      <c r="J43" s="415"/>
      <c r="K43" s="415"/>
      <c r="L43" s="415"/>
      <c r="M43" s="415"/>
      <c r="N43" s="415"/>
      <c r="O43" s="415"/>
      <c r="P43" s="419"/>
    </row>
    <row r="44" spans="2:16" ht="15.75">
      <c r="B44" s="155"/>
      <c r="C44" s="820" t="s">
        <v>917</v>
      </c>
      <c r="D44" s="105"/>
      <c r="E44" s="415"/>
      <c r="F44" s="415"/>
      <c r="G44" s="415"/>
      <c r="H44" s="415"/>
      <c r="I44" s="415"/>
      <c r="J44" s="415"/>
      <c r="K44" s="415"/>
      <c r="L44" s="415"/>
      <c r="M44" s="415"/>
      <c r="N44" s="415"/>
      <c r="O44" s="415"/>
      <c r="P44" s="419"/>
    </row>
    <row r="45" spans="2:16">
      <c r="B45" s="155"/>
      <c r="C45" s="104"/>
      <c r="D45" s="105"/>
      <c r="E45" s="415"/>
      <c r="F45" s="415"/>
      <c r="G45" s="415"/>
      <c r="H45" s="415"/>
      <c r="I45" s="415"/>
      <c r="J45" s="415"/>
      <c r="K45" s="415"/>
      <c r="L45" s="415"/>
      <c r="M45" s="415"/>
      <c r="N45" s="415"/>
      <c r="O45" s="415"/>
      <c r="P45" s="419"/>
    </row>
    <row r="46" spans="2:16" ht="18.75" customHeight="1">
      <c r="B46" s="155"/>
      <c r="C46" s="819" t="s">
        <v>460</v>
      </c>
      <c r="D46" s="761"/>
      <c r="E46" s="760"/>
      <c r="F46" s="760"/>
      <c r="G46" s="760"/>
      <c r="H46" s="760"/>
      <c r="I46" s="760"/>
      <c r="J46" s="760"/>
      <c r="K46" s="760"/>
      <c r="L46" s="760"/>
      <c r="M46" s="760"/>
      <c r="N46" s="760"/>
      <c r="O46" s="760"/>
      <c r="P46" s="419"/>
    </row>
    <row r="47" spans="2:16">
      <c r="B47" s="155"/>
      <c r="C47" s="104"/>
      <c r="D47" s="105"/>
      <c r="E47" s="415"/>
      <c r="F47" s="415"/>
      <c r="G47" s="415"/>
      <c r="H47" s="415"/>
      <c r="I47" s="415"/>
      <c r="J47" s="415"/>
      <c r="K47" s="415"/>
      <c r="L47" s="415"/>
      <c r="M47" s="415"/>
      <c r="N47" s="415"/>
      <c r="O47" s="415"/>
      <c r="P47" s="419"/>
    </row>
    <row r="48" spans="2:16">
      <c r="B48" s="155"/>
      <c r="C48" s="61" t="s">
        <v>870</v>
      </c>
      <c r="D48" s="61" t="s">
        <v>65</v>
      </c>
      <c r="E48" s="61" t="s">
        <v>404</v>
      </c>
      <c r="F48" s="119">
        <v>2007</v>
      </c>
      <c r="G48" s="120">
        <f t="shared" ref="G48:O48" si="18">F48+5</f>
        <v>2012</v>
      </c>
      <c r="H48" s="120">
        <f t="shared" si="18"/>
        <v>2017</v>
      </c>
      <c r="I48" s="120">
        <f t="shared" si="18"/>
        <v>2022</v>
      </c>
      <c r="J48" s="120">
        <f t="shared" si="18"/>
        <v>2027</v>
      </c>
      <c r="K48" s="120">
        <f t="shared" si="18"/>
        <v>2032</v>
      </c>
      <c r="L48" s="120">
        <f t="shared" si="18"/>
        <v>2037</v>
      </c>
      <c r="M48" s="120">
        <f t="shared" si="18"/>
        <v>2042</v>
      </c>
      <c r="N48" s="120">
        <f t="shared" si="18"/>
        <v>2047</v>
      </c>
      <c r="O48" s="120">
        <f t="shared" si="18"/>
        <v>2052</v>
      </c>
      <c r="P48" s="419"/>
    </row>
    <row r="49" spans="2:16">
      <c r="B49" s="155"/>
      <c r="C49" s="413" t="s">
        <v>923</v>
      </c>
      <c r="D49" s="414" t="s">
        <v>918</v>
      </c>
      <c r="E49" s="96" t="s">
        <v>277</v>
      </c>
      <c r="F49" s="600">
        <f>59.3487697551256/(100)</f>
        <v>0.59348769755125597</v>
      </c>
      <c r="G49" s="600">
        <f>69.063372263579/(100)</f>
        <v>0.69063372263578993</v>
      </c>
      <c r="H49" s="600">
        <f>65.241886104259/(100)</f>
        <v>0.65241886104258995</v>
      </c>
      <c r="I49" s="600">
        <f>61.6318543814548/(100)</f>
        <v>0.61631854381454798</v>
      </c>
      <c r="J49" s="600">
        <f>58.2215766789256/(100)</f>
        <v>0.58221576678925602</v>
      </c>
      <c r="K49" s="600">
        <f>55/(100)</f>
        <v>0.55000000000000004</v>
      </c>
      <c r="L49" s="600">
        <f>49.1234689993778/(100)</f>
        <v>0.49123468999377801</v>
      </c>
      <c r="M49" s="600">
        <f>43.8748219369606/(100)</f>
        <v>0.43874821936960601</v>
      </c>
      <c r="N49" s="600">
        <f>39.1869719140638/(100)</f>
        <v>0.39186971914063795</v>
      </c>
      <c r="O49" s="600">
        <f>35/(100)</f>
        <v>0.35</v>
      </c>
      <c r="P49" s="419"/>
    </row>
    <row r="50" spans="2:16">
      <c r="B50" s="155"/>
      <c r="C50" s="413" t="s">
        <v>923</v>
      </c>
      <c r="D50" s="414" t="s">
        <v>5</v>
      </c>
      <c r="E50" s="414" t="s">
        <v>277</v>
      </c>
      <c r="F50" s="600">
        <f>0.110103817793504/(100)</f>
        <v>1.1010381779350401E-3</v>
      </c>
      <c r="G50" s="600">
        <f>0.0802741561760231/(100)</f>
        <v>8.0274156176023093E-4</v>
      </c>
      <c r="H50" s="600">
        <f>1/(100)</f>
        <v>0.01</v>
      </c>
      <c r="I50" s="600">
        <f>1.22284454499385/(100)</f>
        <v>1.2228445449938501E-2</v>
      </c>
      <c r="J50" s="600">
        <f>2/(100)</f>
        <v>0.02</v>
      </c>
      <c r="K50" s="600">
        <f>3/(100)</f>
        <v>0.03</v>
      </c>
      <c r="L50" s="600">
        <f>3.66853363498155/(100)</f>
        <v>3.6685336349815502E-2</v>
      </c>
      <c r="M50" s="600">
        <f>4.48604634366366/(100)</f>
        <v>4.4860463436636605E-2</v>
      </c>
      <c r="N50" s="600">
        <f>5.48573729993872/(100)</f>
        <v>5.4857372999387206E-2</v>
      </c>
      <c r="O50" s="600">
        <f>5/(100)</f>
        <v>0.05</v>
      </c>
      <c r="P50" s="419"/>
    </row>
    <row r="51" spans="2:16">
      <c r="B51" s="155"/>
      <c r="C51" s="413" t="s">
        <v>923</v>
      </c>
      <c r="D51" s="414" t="s">
        <v>919</v>
      </c>
      <c r="E51" s="414" t="s">
        <v>277</v>
      </c>
      <c r="F51" s="600">
        <f>0.110103817793504/(100)</f>
        <v>1.1010381779350401E-3</v>
      </c>
      <c r="G51" s="600">
        <f>0.852664449424112/(100)</f>
        <v>8.5266444942411201E-3</v>
      </c>
      <c r="H51" s="600">
        <f>3/(100)</f>
        <v>0.03</v>
      </c>
      <c r="I51" s="600">
        <f>8/(100)</f>
        <v>0.08</v>
      </c>
      <c r="J51" s="600">
        <f>15/(100)</f>
        <v>0.15</v>
      </c>
      <c r="K51" s="600">
        <f>22/(100)</f>
        <v>0.22</v>
      </c>
      <c r="L51" s="600">
        <f>28/(100)</f>
        <v>0.28000000000000003</v>
      </c>
      <c r="M51" s="600">
        <f>36/(100)</f>
        <v>0.36</v>
      </c>
      <c r="N51" s="600">
        <f>42/(100)</f>
        <v>0.42</v>
      </c>
      <c r="O51" s="600">
        <f>47/(100)</f>
        <v>0.47</v>
      </c>
      <c r="P51" s="419"/>
    </row>
    <row r="52" spans="2:16">
      <c r="B52" s="155"/>
      <c r="C52" s="413" t="s">
        <v>923</v>
      </c>
      <c r="D52" s="414" t="s">
        <v>499</v>
      </c>
      <c r="E52" s="414" t="s">
        <v>277</v>
      </c>
      <c r="F52" s="600">
        <f>24.2130928431194/(100)</f>
        <v>0.24213092843119402</v>
      </c>
      <c r="G52" s="600">
        <f>22.5534703295461/(100)</f>
        <v>0.22553470329546102</v>
      </c>
      <c r="H52" s="600">
        <f>20.9840818797557/(100)</f>
        <v>0.209840818797557</v>
      </c>
      <c r="I52" s="600">
        <f>19.5238996882638/(100)</f>
        <v>0.19523899688263799</v>
      </c>
      <c r="J52" s="600">
        <f>18.1653246123259/(100)</f>
        <v>0.181653246123259</v>
      </c>
      <c r="K52" s="600">
        <f>16.901286297303/(100)</f>
        <v>0.16901286297302998</v>
      </c>
      <c r="L52" s="600">
        <f>15.7252063808194/(100)</f>
        <v>0.15725206380819398</v>
      </c>
      <c r="M52" s="600">
        <f>14.6309642573668/(100)</f>
        <v>0.14630964257366799</v>
      </c>
      <c r="N52" s="600">
        <f>13.6128652251869/(100)</f>
        <v>0.13612865225186899</v>
      </c>
      <c r="O52" s="600">
        <f>12.6656108496608/(100)</f>
        <v>0.12665610849660799</v>
      </c>
      <c r="P52" s="419"/>
    </row>
    <row r="53" spans="2:16">
      <c r="B53" s="155"/>
      <c r="C53" s="413" t="s">
        <v>923</v>
      </c>
      <c r="D53" s="414" t="s">
        <v>102</v>
      </c>
      <c r="E53" s="414" t="s">
        <v>277</v>
      </c>
      <c r="F53" s="600">
        <f>3.33047323644972/(100)</f>
        <v>3.33047323644972E-2</v>
      </c>
      <c r="G53" s="600">
        <f>2.64439319653509/(100)</f>
        <v>2.64439319653509E-2</v>
      </c>
      <c r="H53" s="600">
        <f>3.0758113895741/(100)</f>
        <v>3.0758113895740999E-2</v>
      </c>
      <c r="I53" s="600">
        <f>2.91453010735514/(100)</f>
        <v>2.91453010735514E-2</v>
      </c>
      <c r="J53" s="600">
        <f>2/(100)</f>
        <v>0.02</v>
      </c>
      <c r="K53" s="600">
        <f>1/(100)</f>
        <v>0.01</v>
      </c>
      <c r="L53" s="600">
        <f>1/(100)</f>
        <v>0.01</v>
      </c>
      <c r="M53" s="600">
        <f t="shared" ref="M53:O55" si="19">0/(100)</f>
        <v>0</v>
      </c>
      <c r="N53" s="600">
        <f t="shared" si="19"/>
        <v>0</v>
      </c>
      <c r="O53" s="600">
        <f t="shared" si="19"/>
        <v>0</v>
      </c>
      <c r="P53" s="419"/>
    </row>
    <row r="54" spans="2:16">
      <c r="B54" s="155"/>
      <c r="C54" s="413" t="s">
        <v>923</v>
      </c>
      <c r="D54" s="414" t="s">
        <v>920</v>
      </c>
      <c r="E54" s="414" t="s">
        <v>277</v>
      </c>
      <c r="F54" s="600">
        <f>9.94336205201996/(100)</f>
        <v>9.9433620520199606E-2</v>
      </c>
      <c r="G54" s="600">
        <f>6.21460128251248/(100)</f>
        <v>6.2146012825124802E-2</v>
      </c>
      <c r="H54" s="600">
        <f>6.1516227791482/(100)</f>
        <v>6.1516227791481998E-2</v>
      </c>
      <c r="I54" s="600">
        <f>5.82906021471028/(100)</f>
        <v>5.8290602147102799E-2</v>
      </c>
      <c r="J54" s="600">
        <f>4/(100)</f>
        <v>0.04</v>
      </c>
      <c r="K54" s="600">
        <f>2/(100)</f>
        <v>0.02</v>
      </c>
      <c r="L54" s="600">
        <f>1/(100)</f>
        <v>0.01</v>
      </c>
      <c r="M54" s="600">
        <f t="shared" si="19"/>
        <v>0</v>
      </c>
      <c r="N54" s="600">
        <f t="shared" si="19"/>
        <v>0</v>
      </c>
      <c r="O54" s="600">
        <f t="shared" si="19"/>
        <v>0</v>
      </c>
      <c r="P54" s="419"/>
    </row>
    <row r="55" spans="2:16">
      <c r="B55" s="155"/>
      <c r="C55" s="413" t="s">
        <v>923</v>
      </c>
      <c r="D55" s="414" t="s">
        <v>921</v>
      </c>
      <c r="E55" s="414" t="s">
        <v>277</v>
      </c>
      <c r="F55" s="600">
        <f t="shared" ref="F55:L55" si="20">0/(100)</f>
        <v>0</v>
      </c>
      <c r="G55" s="600">
        <f t="shared" si="20"/>
        <v>0</v>
      </c>
      <c r="H55" s="600">
        <f t="shared" si="20"/>
        <v>0</v>
      </c>
      <c r="I55" s="600">
        <f t="shared" si="20"/>
        <v>0</v>
      </c>
      <c r="J55" s="600">
        <f t="shared" si="20"/>
        <v>0</v>
      </c>
      <c r="K55" s="600">
        <f t="shared" si="20"/>
        <v>0</v>
      </c>
      <c r="L55" s="600">
        <f t="shared" si="20"/>
        <v>0</v>
      </c>
      <c r="M55" s="600">
        <f t="shared" si="19"/>
        <v>0</v>
      </c>
      <c r="N55" s="600">
        <f t="shared" si="19"/>
        <v>0</v>
      </c>
      <c r="O55" s="600">
        <f t="shared" si="19"/>
        <v>0</v>
      </c>
      <c r="P55" s="419"/>
    </row>
    <row r="56" spans="2:16">
      <c r="B56" s="155"/>
      <c r="C56" s="106" t="s">
        <v>923</v>
      </c>
      <c r="D56" s="417" t="s">
        <v>103</v>
      </c>
      <c r="E56" s="417"/>
      <c r="F56" s="814">
        <f>SUM(F49:F55)</f>
        <v>0.97055905522301678</v>
      </c>
      <c r="G56" s="814">
        <f t="shared" ref="G56:O56" si="21">SUM(G49:G55)</f>
        <v>1.014087756777728</v>
      </c>
      <c r="H56" s="814">
        <f t="shared" si="21"/>
        <v>0.99453402152737003</v>
      </c>
      <c r="I56" s="814">
        <f t="shared" si="21"/>
        <v>0.99122188936777866</v>
      </c>
      <c r="J56" s="814">
        <f t="shared" si="21"/>
        <v>0.99386901291251517</v>
      </c>
      <c r="K56" s="814">
        <f t="shared" si="21"/>
        <v>0.99901286297303005</v>
      </c>
      <c r="L56" s="814">
        <f t="shared" si="21"/>
        <v>0.98517209015178753</v>
      </c>
      <c r="M56" s="814">
        <f t="shared" si="21"/>
        <v>0.98991832537991054</v>
      </c>
      <c r="N56" s="814">
        <f t="shared" si="21"/>
        <v>1.0028557443918942</v>
      </c>
      <c r="O56" s="814">
        <f t="shared" si="21"/>
        <v>0.99665610849660791</v>
      </c>
      <c r="P56" s="419"/>
    </row>
    <row r="57" spans="2:16">
      <c r="B57" s="155"/>
      <c r="C57" s="413"/>
      <c r="D57" s="414"/>
      <c r="E57" s="414"/>
      <c r="F57" s="600"/>
      <c r="G57" s="600"/>
      <c r="H57" s="600"/>
      <c r="I57" s="600"/>
      <c r="J57" s="600"/>
      <c r="K57" s="600"/>
      <c r="L57" s="600"/>
      <c r="M57" s="600"/>
      <c r="N57" s="600"/>
      <c r="O57" s="600"/>
      <c r="P57" s="419"/>
    </row>
    <row r="58" spans="2:16">
      <c r="B58" s="155"/>
      <c r="C58" s="413" t="s">
        <v>922</v>
      </c>
      <c r="D58" s="414" t="s">
        <v>918</v>
      </c>
      <c r="E58" s="414" t="s">
        <v>277</v>
      </c>
      <c r="F58" s="600">
        <f>9.25967731846108/(100)</f>
        <v>9.2596773184610792E-2</v>
      </c>
      <c r="G58" s="600">
        <f>13.0951612469662/(100)</f>
        <v>0.130951612469662</v>
      </c>
      <c r="H58" s="600">
        <f>14.1791848436533/(100)</f>
        <v>0.141791848436533</v>
      </c>
      <c r="I58" s="600">
        <f>16/(100)</f>
        <v>0.16</v>
      </c>
      <c r="J58" s="600">
        <f>17.3244875125926/(100)</f>
        <v>0.17324487512592601</v>
      </c>
      <c r="K58" s="600">
        <f>18/(100)</f>
        <v>0.18</v>
      </c>
      <c r="L58" s="600">
        <f>20.451948596415/(100)</f>
        <v>0.20451948596415001</v>
      </c>
      <c r="M58" s="600">
        <f>23.2379000772445/(100)</f>
        <v>0.232379000772445</v>
      </c>
      <c r="N58" s="600">
        <f>26.4033521038018/(100)</f>
        <v>0.26403352103801803</v>
      </c>
      <c r="O58" s="600">
        <f>30/(100)</f>
        <v>0.3</v>
      </c>
      <c r="P58" s="419"/>
    </row>
    <row r="59" spans="2:16">
      <c r="B59" s="155"/>
      <c r="C59" s="413" t="s">
        <v>922</v>
      </c>
      <c r="D59" s="414" t="s">
        <v>5</v>
      </c>
      <c r="E59" s="414" t="s">
        <v>277</v>
      </c>
      <c r="F59" s="600">
        <f>0.1/(100)</f>
        <v>1E-3</v>
      </c>
      <c r="G59" s="600">
        <f>0.139038917031591/(100)</f>
        <v>1.3903891703159099E-3</v>
      </c>
      <c r="H59" s="600">
        <f>0.270775758605687/(100)</f>
        <v>2.7077575860568696E-3</v>
      </c>
      <c r="I59" s="600">
        <f>0.527330858250475/(100)</f>
        <v>5.2733085825047502E-3</v>
      </c>
      <c r="J59" s="600">
        <f>1.02696724217521/(100)</f>
        <v>1.0269672421752101E-2</v>
      </c>
      <c r="K59" s="600">
        <f>2/(100)</f>
        <v>0.02</v>
      </c>
      <c r="L59" s="600">
        <f>2.51486685936587/(100)</f>
        <v>2.5148668593658701E-2</v>
      </c>
      <c r="M59" s="600">
        <f>3.16227766016838/(100)</f>
        <v>3.1622776601683798E-2</v>
      </c>
      <c r="N59" s="600">
        <f>3.97635364383525/(100)</f>
        <v>3.9763536438352502E-2</v>
      </c>
      <c r="O59" s="600">
        <f>5/(100)</f>
        <v>0.05</v>
      </c>
      <c r="P59" s="419"/>
    </row>
    <row r="60" spans="2:16">
      <c r="B60" s="155"/>
      <c r="C60" s="413" t="s">
        <v>922</v>
      </c>
      <c r="D60" s="414" t="s">
        <v>919</v>
      </c>
      <c r="E60" s="414" t="s">
        <v>277</v>
      </c>
      <c r="F60" s="600">
        <f t="shared" ref="F60:O60" si="22">0/(100)</f>
        <v>0</v>
      </c>
      <c r="G60" s="600">
        <f t="shared" si="22"/>
        <v>0</v>
      </c>
      <c r="H60" s="600">
        <f t="shared" si="22"/>
        <v>0</v>
      </c>
      <c r="I60" s="600">
        <f t="shared" si="22"/>
        <v>0</v>
      </c>
      <c r="J60" s="600">
        <f t="shared" si="22"/>
        <v>0</v>
      </c>
      <c r="K60" s="600">
        <f t="shared" si="22"/>
        <v>0</v>
      </c>
      <c r="L60" s="600">
        <f t="shared" si="22"/>
        <v>0</v>
      </c>
      <c r="M60" s="600">
        <f t="shared" si="22"/>
        <v>0</v>
      </c>
      <c r="N60" s="600">
        <f t="shared" si="22"/>
        <v>0</v>
      </c>
      <c r="O60" s="600">
        <f t="shared" si="22"/>
        <v>0</v>
      </c>
      <c r="P60" s="419"/>
    </row>
    <row r="61" spans="2:16">
      <c r="B61" s="155"/>
      <c r="C61" s="413" t="s">
        <v>922</v>
      </c>
      <c r="D61" s="414" t="s">
        <v>499</v>
      </c>
      <c r="E61" s="414" t="s">
        <v>277</v>
      </c>
      <c r="F61" s="600">
        <f>86.9487915334339/(100)</f>
        <v>0.869487915334339</v>
      </c>
      <c r="G61" s="600">
        <f>84.8860666603132/(100)</f>
        <v>0.84886066660313209</v>
      </c>
      <c r="H61" s="600">
        <f>82.8334149985625/(100)</f>
        <v>0.82833414998562505</v>
      </c>
      <c r="I61" s="600">
        <f>80.8303990309871/(100)</f>
        <v>0.80830399030987099</v>
      </c>
      <c r="J61" s="600">
        <f>78.8758185041868/(100)</f>
        <v>0.78875818504186801</v>
      </c>
      <c r="K61" s="600">
        <f>76.9685021883955/(100)</f>
        <v>0.76968502188395505</v>
      </c>
      <c r="L61" s="600">
        <f>74/(100)</f>
        <v>0.74</v>
      </c>
      <c r="M61" s="600">
        <f>70/(100)</f>
        <v>0.7</v>
      </c>
      <c r="N61" s="600">
        <f>65/(100)</f>
        <v>0.65</v>
      </c>
      <c r="O61" s="600">
        <f>60/(100)</f>
        <v>0.6</v>
      </c>
      <c r="P61" s="419"/>
    </row>
    <row r="62" spans="2:16">
      <c r="B62" s="155"/>
      <c r="C62" s="413" t="s">
        <v>922</v>
      </c>
      <c r="D62" s="414" t="s">
        <v>102</v>
      </c>
      <c r="E62" s="414" t="s">
        <v>277</v>
      </c>
      <c r="F62" s="600">
        <f>0.880198849250594/(100)</f>
        <v>8.8019884925059407E-3</v>
      </c>
      <c r="G62" s="600">
        <f>0.750636100782443/(100)</f>
        <v>7.5063610078244299E-3</v>
      </c>
      <c r="H62" s="600">
        <f>0.8/(100)</f>
        <v>8.0000000000000002E-3</v>
      </c>
      <c r="I62" s="600">
        <f>0.8/(100)</f>
        <v>8.0000000000000002E-3</v>
      </c>
      <c r="J62" s="600">
        <f>0.8/(100)</f>
        <v>8.0000000000000002E-3</v>
      </c>
      <c r="K62" s="600">
        <f t="shared" ref="K62:O63" si="23">0/(100)</f>
        <v>0</v>
      </c>
      <c r="L62" s="600">
        <f t="shared" si="23"/>
        <v>0</v>
      </c>
      <c r="M62" s="600">
        <f t="shared" si="23"/>
        <v>0</v>
      </c>
      <c r="N62" s="600">
        <f t="shared" si="23"/>
        <v>0</v>
      </c>
      <c r="O62" s="600">
        <f t="shared" si="23"/>
        <v>0</v>
      </c>
      <c r="P62" s="419"/>
    </row>
    <row r="63" spans="2:16">
      <c r="B63" s="155"/>
      <c r="C63" s="413" t="s">
        <v>922</v>
      </c>
      <c r="D63" s="414" t="s">
        <v>920</v>
      </c>
      <c r="E63" s="414" t="s">
        <v>277</v>
      </c>
      <c r="F63" s="600">
        <f>0.897025156663891/(100)</f>
        <v>8.9702515666389097E-3</v>
      </c>
      <c r="G63" s="600">
        <f>0.593326371075352/(100)</f>
        <v>5.9332637107535205E-3</v>
      </c>
      <c r="H63" s="600">
        <f>0.5/(100)</f>
        <v>5.0000000000000001E-3</v>
      </c>
      <c r="I63" s="600">
        <f>0.5/(100)</f>
        <v>5.0000000000000001E-3</v>
      </c>
      <c r="J63" s="600">
        <f>0.5/(100)</f>
        <v>5.0000000000000001E-3</v>
      </c>
      <c r="K63" s="600">
        <f t="shared" si="23"/>
        <v>0</v>
      </c>
      <c r="L63" s="600">
        <f t="shared" si="23"/>
        <v>0</v>
      </c>
      <c r="M63" s="600">
        <f t="shared" si="23"/>
        <v>0</v>
      </c>
      <c r="N63" s="600">
        <f t="shared" si="23"/>
        <v>0</v>
      </c>
      <c r="O63" s="600">
        <f t="shared" si="23"/>
        <v>0</v>
      </c>
      <c r="P63" s="419"/>
    </row>
    <row r="64" spans="2:16">
      <c r="B64" s="155"/>
      <c r="C64" s="413" t="s">
        <v>922</v>
      </c>
      <c r="D64" s="105" t="s">
        <v>921</v>
      </c>
      <c r="E64" s="414" t="s">
        <v>277</v>
      </c>
      <c r="F64" s="600">
        <f>0.4/(100)</f>
        <v>4.0000000000000001E-3</v>
      </c>
      <c r="G64" s="600">
        <f>0.4/(100)</f>
        <v>4.0000000000000001E-3</v>
      </c>
      <c r="H64" s="600">
        <f>0.5/(100)</f>
        <v>5.0000000000000001E-3</v>
      </c>
      <c r="I64" s="600">
        <f>0.827437729911718/(100)</f>
        <v>8.2743772991171801E-3</v>
      </c>
      <c r="J64" s="600">
        <f>1.36930639376291/(100)</f>
        <v>1.3693063937629099E-2</v>
      </c>
      <c r="K64" s="600">
        <f>3/(100)</f>
        <v>0.03</v>
      </c>
      <c r="L64" s="600">
        <f>3.4086580994025/(100)</f>
        <v>3.4086580994024999E-2</v>
      </c>
      <c r="M64" s="600">
        <f>3.87298334620742/(100)</f>
        <v>3.8729833462074204E-2</v>
      </c>
      <c r="N64" s="600">
        <f>4.40055868396696/(100)</f>
        <v>4.4005586839669597E-2</v>
      </c>
      <c r="O64" s="600">
        <f>5/(100)</f>
        <v>0.05</v>
      </c>
      <c r="P64" s="419"/>
    </row>
    <row r="65" spans="2:16">
      <c r="B65" s="155"/>
      <c r="C65" s="815" t="s">
        <v>922</v>
      </c>
      <c r="D65" s="816" t="s">
        <v>103</v>
      </c>
      <c r="E65" s="817"/>
      <c r="F65" s="818">
        <f>SUM(F58:F64)</f>
        <v>0.98485692857809459</v>
      </c>
      <c r="G65" s="818">
        <f t="shared" ref="G65:O65" si="24">SUM(G58:G64)</f>
        <v>0.99864229296168794</v>
      </c>
      <c r="H65" s="818">
        <f t="shared" si="24"/>
        <v>0.99083375600821499</v>
      </c>
      <c r="I65" s="818">
        <f t="shared" si="24"/>
        <v>0.99485167619149295</v>
      </c>
      <c r="J65" s="818">
        <f t="shared" si="24"/>
        <v>0.99896579652717532</v>
      </c>
      <c r="K65" s="818">
        <f t="shared" si="24"/>
        <v>0.99968502188395503</v>
      </c>
      <c r="L65" s="818">
        <f t="shared" si="24"/>
        <v>1.0037547355518337</v>
      </c>
      <c r="M65" s="818">
        <f t="shared" si="24"/>
        <v>1.002731610836203</v>
      </c>
      <c r="N65" s="818">
        <f t="shared" si="24"/>
        <v>0.99780264431604015</v>
      </c>
      <c r="O65" s="818">
        <f t="shared" si="24"/>
        <v>1</v>
      </c>
      <c r="P65" s="814"/>
    </row>
    <row r="66" spans="2:16">
      <c r="B66" s="155"/>
      <c r="C66" s="104"/>
      <c r="D66" s="105"/>
      <c r="E66" s="415"/>
      <c r="F66" s="415"/>
      <c r="G66" s="415"/>
      <c r="H66" s="415"/>
      <c r="I66" s="415"/>
      <c r="J66" s="415"/>
      <c r="K66" s="415"/>
      <c r="L66" s="415"/>
      <c r="M66" s="415"/>
      <c r="N66" s="415"/>
      <c r="O66" s="415"/>
      <c r="P66" s="419"/>
    </row>
    <row r="67" spans="2:16">
      <c r="B67" s="155"/>
      <c r="C67" s="104"/>
      <c r="D67" s="105"/>
      <c r="E67" s="415"/>
      <c r="F67" s="415"/>
      <c r="G67" s="415"/>
      <c r="H67" s="415"/>
      <c r="I67" s="415"/>
      <c r="J67" s="415"/>
      <c r="K67" s="415"/>
      <c r="L67" s="415"/>
      <c r="M67" s="415"/>
      <c r="N67" s="415"/>
      <c r="O67" s="415"/>
      <c r="P67" s="419"/>
    </row>
    <row r="68" spans="2:16" ht="14.25">
      <c r="B68" s="155"/>
      <c r="C68" s="819" t="s">
        <v>461</v>
      </c>
      <c r="D68" s="761"/>
      <c r="E68" s="760"/>
      <c r="F68" s="760"/>
      <c r="G68" s="760"/>
      <c r="H68" s="760"/>
      <c r="I68" s="760"/>
      <c r="J68" s="760"/>
      <c r="K68" s="760"/>
      <c r="L68" s="760"/>
      <c r="M68" s="760"/>
      <c r="N68" s="760"/>
      <c r="O68" s="760"/>
      <c r="P68" s="419"/>
    </row>
    <row r="69" spans="2:16">
      <c r="B69" s="155"/>
      <c r="C69" s="104"/>
      <c r="D69" s="105"/>
      <c r="E69" s="415"/>
      <c r="F69" s="415"/>
      <c r="G69" s="415"/>
      <c r="H69" s="415"/>
      <c r="I69" s="415"/>
      <c r="J69" s="415"/>
      <c r="K69" s="415"/>
      <c r="L69" s="415"/>
      <c r="M69" s="415"/>
      <c r="N69" s="415"/>
      <c r="O69" s="415"/>
      <c r="P69" s="419"/>
    </row>
    <row r="70" spans="2:16">
      <c r="B70" s="155"/>
      <c r="C70" s="61" t="s">
        <v>870</v>
      </c>
      <c r="D70" s="61" t="s">
        <v>65</v>
      </c>
      <c r="E70" s="61" t="s">
        <v>404</v>
      </c>
      <c r="F70" s="119">
        <v>2007</v>
      </c>
      <c r="G70" s="120">
        <f t="shared" ref="G70:O70" si="25">F70+5</f>
        <v>2012</v>
      </c>
      <c r="H70" s="120">
        <f t="shared" si="25"/>
        <v>2017</v>
      </c>
      <c r="I70" s="120">
        <f t="shared" si="25"/>
        <v>2022</v>
      </c>
      <c r="J70" s="120">
        <f t="shared" si="25"/>
        <v>2027</v>
      </c>
      <c r="K70" s="120">
        <f t="shared" si="25"/>
        <v>2032</v>
      </c>
      <c r="L70" s="120">
        <f t="shared" si="25"/>
        <v>2037</v>
      </c>
      <c r="M70" s="120">
        <f t="shared" si="25"/>
        <v>2042</v>
      </c>
      <c r="N70" s="120">
        <f t="shared" si="25"/>
        <v>2047</v>
      </c>
      <c r="O70" s="120">
        <f t="shared" si="25"/>
        <v>2052</v>
      </c>
      <c r="P70" s="419"/>
    </row>
    <row r="71" spans="2:16">
      <c r="B71" s="155"/>
      <c r="C71" s="413" t="s">
        <v>923</v>
      </c>
      <c r="D71" s="414" t="s">
        <v>918</v>
      </c>
      <c r="E71" s="96" t="s">
        <v>277</v>
      </c>
      <c r="F71" s="293">
        <f>59.3487697551256/(100)</f>
        <v>0.59348769755125597</v>
      </c>
      <c r="G71" s="293">
        <f>69.063372263579/(100)</f>
        <v>0.69063372263578993</v>
      </c>
      <c r="H71" s="293">
        <f>65.241886104259/(100)</f>
        <v>0.65241886104258995</v>
      </c>
      <c r="I71" s="293">
        <f>60/(100)</f>
        <v>0.6</v>
      </c>
      <c r="J71" s="293">
        <f>55/(100)</f>
        <v>0.55000000000000004</v>
      </c>
      <c r="K71" s="293">
        <f>50/(100)</f>
        <v>0.5</v>
      </c>
      <c r="L71" s="293">
        <f>45/(100)</f>
        <v>0.45</v>
      </c>
      <c r="M71" s="293">
        <f>41/(100)</f>
        <v>0.41</v>
      </c>
      <c r="N71" s="293">
        <f>36/(100)</f>
        <v>0.36</v>
      </c>
      <c r="O71" s="293">
        <f>30/(100)</f>
        <v>0.3</v>
      </c>
      <c r="P71" s="419"/>
    </row>
    <row r="72" spans="2:16">
      <c r="B72" s="155"/>
      <c r="C72" s="413" t="s">
        <v>923</v>
      </c>
      <c r="D72" s="414" t="s">
        <v>5</v>
      </c>
      <c r="E72" s="414" t="s">
        <v>277</v>
      </c>
      <c r="F72" s="293">
        <f>0.110103817793504/(100)</f>
        <v>1.1010381779350401E-3</v>
      </c>
      <c r="G72" s="293">
        <f>0.0802741561760231/(100)</f>
        <v>8.0274156176023093E-4</v>
      </c>
      <c r="H72" s="293">
        <f>1/(100)</f>
        <v>0.01</v>
      </c>
      <c r="I72" s="293">
        <f>1.32046924775612/(100)</f>
        <v>1.3204692477561199E-2</v>
      </c>
      <c r="J72" s="293">
        <f>1.74363903426962/(100)</f>
        <v>1.7436390342696201E-2</v>
      </c>
      <c r="K72" s="293">
        <f>2.30242172394022/(100)</f>
        <v>2.3024217239402199E-2</v>
      </c>
      <c r="L72" s="293">
        <f>3.0402770818287/(100)</f>
        <v>3.0402770818287E-2</v>
      </c>
      <c r="M72" s="293">
        <f>4.01459239121253/(100)</f>
        <v>4.0145923912125306E-2</v>
      </c>
      <c r="N72" s="293">
        <f>5.30114579487187/(100)</f>
        <v>5.3011457948718699E-2</v>
      </c>
      <c r="O72" s="293">
        <f>7/(100)</f>
        <v>7.0000000000000007E-2</v>
      </c>
      <c r="P72" s="419"/>
    </row>
    <row r="73" spans="2:16">
      <c r="B73" s="155"/>
      <c r="C73" s="413" t="s">
        <v>923</v>
      </c>
      <c r="D73" s="414" t="s">
        <v>919</v>
      </c>
      <c r="E73" s="414" t="s">
        <v>277</v>
      </c>
      <c r="F73" s="293">
        <f>0.110103817793504/(100)</f>
        <v>1.1010381779350401E-3</v>
      </c>
      <c r="G73" s="293">
        <f>0.852664449424112/(100)</f>
        <v>8.5266444942411201E-3</v>
      </c>
      <c r="H73" s="293">
        <f>6/(100)</f>
        <v>0.06</v>
      </c>
      <c r="I73" s="293">
        <f>14/(100)</f>
        <v>0.14000000000000001</v>
      </c>
      <c r="J73" s="293">
        <f>24/(100)</f>
        <v>0.24</v>
      </c>
      <c r="K73" s="293">
        <f>35/(100)</f>
        <v>0.35</v>
      </c>
      <c r="L73" s="293">
        <f>40/(100)</f>
        <v>0.4</v>
      </c>
      <c r="M73" s="293">
        <f>45/(100)</f>
        <v>0.45</v>
      </c>
      <c r="N73" s="293">
        <f>50/(100)</f>
        <v>0.5</v>
      </c>
      <c r="O73" s="293">
        <f>55/(100)</f>
        <v>0.55000000000000004</v>
      </c>
      <c r="P73" s="419"/>
    </row>
    <row r="74" spans="2:16">
      <c r="B74" s="155"/>
      <c r="C74" s="413" t="s">
        <v>923</v>
      </c>
      <c r="D74" s="414" t="s">
        <v>499</v>
      </c>
      <c r="E74" s="414" t="s">
        <v>277</v>
      </c>
      <c r="F74" s="293">
        <f>24.2130928431194/(100)</f>
        <v>0.24213092843119402</v>
      </c>
      <c r="G74" s="293">
        <f>22.5534703295461/(100)</f>
        <v>0.22553470329546102</v>
      </c>
      <c r="H74" s="293">
        <f>19.8128956880495/(100)</f>
        <v>0.19812895688049501</v>
      </c>
      <c r="I74" s="293">
        <f>17.4053407218343/(100)</f>
        <v>0.174053407218343</v>
      </c>
      <c r="J74" s="293">
        <f>15.2903386972289/(100)</f>
        <v>0.152903386972289</v>
      </c>
      <c r="K74" s="293">
        <f>13.4323401772129/(100)</f>
        <v>0.13432340177212901</v>
      </c>
      <c r="L74" s="293">
        <f>11.8001154983616/(100)</f>
        <v>0.11800115498361601</v>
      </c>
      <c r="M74" s="293">
        <f>10.3662298555311/(100)</f>
        <v>0.10366229855531101</v>
      </c>
      <c r="N74" s="293">
        <f>9.10658217138837/(100)</f>
        <v>9.1065821713883693E-2</v>
      </c>
      <c r="O74" s="293">
        <f>8/(100)</f>
        <v>0.08</v>
      </c>
      <c r="P74" s="419"/>
    </row>
    <row r="75" spans="2:16">
      <c r="B75" s="155"/>
      <c r="C75" s="413" t="s">
        <v>923</v>
      </c>
      <c r="D75" s="414" t="s">
        <v>102</v>
      </c>
      <c r="E75" s="414" t="s">
        <v>277</v>
      </c>
      <c r="F75" s="293">
        <f>3.33047323644972/(100)</f>
        <v>3.33047323644972E-2</v>
      </c>
      <c r="G75" s="293">
        <f>2.64439319653509/(100)</f>
        <v>2.64439319653509E-2</v>
      </c>
      <c r="H75" s="293">
        <f>2.7758113895741/(100)</f>
        <v>2.7758113895741E-2</v>
      </c>
      <c r="I75" s="293">
        <f>2.46795307522439/(100)</f>
        <v>2.4679530752243897E-2</v>
      </c>
      <c r="J75" s="293">
        <f>1/(100)</f>
        <v>0.01</v>
      </c>
      <c r="K75" s="293">
        <f t="shared" ref="K75:O77" si="26">0/(100)</f>
        <v>0</v>
      </c>
      <c r="L75" s="293">
        <f t="shared" si="26"/>
        <v>0</v>
      </c>
      <c r="M75" s="293">
        <f t="shared" si="26"/>
        <v>0</v>
      </c>
      <c r="N75" s="293">
        <f t="shared" si="26"/>
        <v>0</v>
      </c>
      <c r="O75" s="293">
        <f t="shared" si="26"/>
        <v>0</v>
      </c>
      <c r="P75" s="419"/>
    </row>
    <row r="76" spans="2:16">
      <c r="B76" s="155"/>
      <c r="C76" s="413" t="s">
        <v>923</v>
      </c>
      <c r="D76" s="414" t="s">
        <v>920</v>
      </c>
      <c r="E76" s="414" t="s">
        <v>277</v>
      </c>
      <c r="F76" s="293">
        <f>9.94336205201996/(100)</f>
        <v>9.9433620520199606E-2</v>
      </c>
      <c r="G76" s="293">
        <f>6.21460128251248/(100)</f>
        <v>6.2146012825124802E-2</v>
      </c>
      <c r="H76" s="293">
        <f>5.5516227791482/(100)</f>
        <v>5.5516227791481999E-2</v>
      </c>
      <c r="I76" s="293">
        <f>4.93590615044878/(100)</f>
        <v>4.9359061504487795E-2</v>
      </c>
      <c r="J76" s="293">
        <f>3/(100)</f>
        <v>0.03</v>
      </c>
      <c r="K76" s="293">
        <f t="shared" si="26"/>
        <v>0</v>
      </c>
      <c r="L76" s="293">
        <f t="shared" si="26"/>
        <v>0</v>
      </c>
      <c r="M76" s="293">
        <f t="shared" si="26"/>
        <v>0</v>
      </c>
      <c r="N76" s="293">
        <f t="shared" si="26"/>
        <v>0</v>
      </c>
      <c r="O76" s="293">
        <f t="shared" si="26"/>
        <v>0</v>
      </c>
      <c r="P76" s="419"/>
    </row>
    <row r="77" spans="2:16">
      <c r="B77" s="155"/>
      <c r="C77" s="413" t="s">
        <v>923</v>
      </c>
      <c r="D77" s="414" t="s">
        <v>921</v>
      </c>
      <c r="E77" s="414" t="s">
        <v>277</v>
      </c>
      <c r="F77" s="293">
        <f>0/(100)</f>
        <v>0</v>
      </c>
      <c r="G77" s="293">
        <f>0/(100)</f>
        <v>0</v>
      </c>
      <c r="H77" s="293">
        <f>0/(100)</f>
        <v>0</v>
      </c>
      <c r="I77" s="293">
        <f>0/(100)</f>
        <v>0</v>
      </c>
      <c r="J77" s="293">
        <f>0/(100)</f>
        <v>0</v>
      </c>
      <c r="K77" s="293">
        <f t="shared" si="26"/>
        <v>0</v>
      </c>
      <c r="L77" s="293">
        <f t="shared" si="26"/>
        <v>0</v>
      </c>
      <c r="M77" s="293">
        <f t="shared" si="26"/>
        <v>0</v>
      </c>
      <c r="N77" s="293">
        <f t="shared" si="26"/>
        <v>0</v>
      </c>
      <c r="O77" s="293">
        <f t="shared" si="26"/>
        <v>0</v>
      </c>
      <c r="P77" s="419"/>
    </row>
    <row r="78" spans="2:16">
      <c r="B78" s="155"/>
      <c r="C78" s="106" t="s">
        <v>923</v>
      </c>
      <c r="D78" s="417" t="s">
        <v>103</v>
      </c>
      <c r="E78" s="417"/>
      <c r="F78" s="814">
        <f t="shared" ref="F78:O78" si="27">SUM(F71:F77)</f>
        <v>0.97055905522301678</v>
      </c>
      <c r="G78" s="814">
        <f t="shared" si="27"/>
        <v>1.014087756777728</v>
      </c>
      <c r="H78" s="814">
        <f t="shared" si="27"/>
        <v>1.0038221596103079</v>
      </c>
      <c r="I78" s="814">
        <f t="shared" si="27"/>
        <v>1.0012966919526358</v>
      </c>
      <c r="J78" s="814">
        <f t="shared" si="27"/>
        <v>1.0003397773149851</v>
      </c>
      <c r="K78" s="814">
        <f t="shared" si="27"/>
        <v>1.0073476190115311</v>
      </c>
      <c r="L78" s="814">
        <f t="shared" si="27"/>
        <v>0.99840392580190307</v>
      </c>
      <c r="M78" s="814">
        <f t="shared" si="27"/>
        <v>1.0038082224674363</v>
      </c>
      <c r="N78" s="814">
        <f t="shared" si="27"/>
        <v>1.0040772796626025</v>
      </c>
      <c r="O78" s="814">
        <f t="shared" si="27"/>
        <v>1</v>
      </c>
      <c r="P78" s="419"/>
    </row>
    <row r="79" spans="2:16">
      <c r="B79" s="155"/>
      <c r="C79" s="413"/>
      <c r="D79" s="414"/>
      <c r="E79" s="414"/>
      <c r="F79" s="293"/>
      <c r="G79" s="293"/>
      <c r="H79" s="293"/>
      <c r="I79" s="293"/>
      <c r="J79" s="293"/>
      <c r="K79" s="293"/>
      <c r="L79" s="293"/>
      <c r="M79" s="293"/>
      <c r="N79" s="293"/>
      <c r="O79" s="293"/>
      <c r="P79" s="419"/>
    </row>
    <row r="80" spans="2:16">
      <c r="B80" s="155"/>
      <c r="C80" s="413" t="s">
        <v>922</v>
      </c>
      <c r="D80" s="414" t="s">
        <v>918</v>
      </c>
      <c r="E80" s="414" t="s">
        <v>277</v>
      </c>
      <c r="F80" s="293">
        <f>9.25967731846108/(100)</f>
        <v>9.2596773184610792E-2</v>
      </c>
      <c r="G80" s="293">
        <f>13.0951612469662/(100)</f>
        <v>0.130951612469662</v>
      </c>
      <c r="H80" s="293">
        <f>20/(100)</f>
        <v>0.2</v>
      </c>
      <c r="I80" s="293">
        <f>25/(100)</f>
        <v>0.25</v>
      </c>
      <c r="J80" s="293">
        <f>28/(100)</f>
        <v>0.28000000000000003</v>
      </c>
      <c r="K80" s="293">
        <f>30/(100)</f>
        <v>0.3</v>
      </c>
      <c r="L80" s="293">
        <f>31/(100)</f>
        <v>0.31</v>
      </c>
      <c r="M80" s="293">
        <f>32.2179862063878/(100)</f>
        <v>0.322179862063878</v>
      </c>
      <c r="N80" s="293">
        <f>33/(100)</f>
        <v>0.33</v>
      </c>
      <c r="O80" s="293">
        <f>35/(100)</f>
        <v>0.35</v>
      </c>
      <c r="P80" s="419"/>
    </row>
    <row r="81" spans="2:16">
      <c r="B81" s="155"/>
      <c r="C81" s="413" t="s">
        <v>922</v>
      </c>
      <c r="D81" s="414" t="s">
        <v>5</v>
      </c>
      <c r="E81" s="414" t="s">
        <v>277</v>
      </c>
      <c r="F81" s="293">
        <f>0.1/(100)</f>
        <v>1E-3</v>
      </c>
      <c r="G81" s="293">
        <f>0.139038917031591/(100)</f>
        <v>1.3903891703159099E-3</v>
      </c>
      <c r="H81" s="293">
        <f>1/(100)</f>
        <v>0.01</v>
      </c>
      <c r="I81" s="293">
        <f>1/(100)</f>
        <v>0.01</v>
      </c>
      <c r="J81" s="293">
        <f>1.38949549437314/(100)</f>
        <v>1.38949549437314E-2</v>
      </c>
      <c r="K81" s="293">
        <f>2/(100)</f>
        <v>0.02</v>
      </c>
      <c r="L81" s="293">
        <f>5/(100)</f>
        <v>0.05</v>
      </c>
      <c r="M81" s="293">
        <f>8/(100)</f>
        <v>0.08</v>
      </c>
      <c r="N81" s="293">
        <f>9/(100)</f>
        <v>0.09</v>
      </c>
      <c r="O81" s="293">
        <f>10/(100)</f>
        <v>0.1</v>
      </c>
      <c r="P81" s="419"/>
    </row>
    <row r="82" spans="2:16">
      <c r="B82" s="155"/>
      <c r="C82" s="413" t="s">
        <v>922</v>
      </c>
      <c r="D82" s="414" t="s">
        <v>919</v>
      </c>
      <c r="E82" s="414" t="s">
        <v>277</v>
      </c>
      <c r="F82" s="293">
        <f>0/(100)</f>
        <v>0</v>
      </c>
      <c r="G82" s="293">
        <f>0/(100)</f>
        <v>0</v>
      </c>
      <c r="H82" s="293">
        <f>0/(100)</f>
        <v>0</v>
      </c>
      <c r="I82" s="293">
        <f>0/(100)</f>
        <v>0</v>
      </c>
      <c r="J82" s="293">
        <f>0/(100)</f>
        <v>0</v>
      </c>
      <c r="K82" s="293">
        <f>1/(100)</f>
        <v>0.01</v>
      </c>
      <c r="L82" s="293">
        <f>1/(100)</f>
        <v>0.01</v>
      </c>
      <c r="M82" s="293">
        <f>2/(100)</f>
        <v>0.02</v>
      </c>
      <c r="N82" s="293">
        <f>2/(100)</f>
        <v>0.02</v>
      </c>
      <c r="O82" s="293">
        <f>3/(100)</f>
        <v>0.03</v>
      </c>
      <c r="P82" s="419"/>
    </row>
    <row r="83" spans="2:16">
      <c r="B83" s="155"/>
      <c r="C83" s="413" t="s">
        <v>922</v>
      </c>
      <c r="D83" s="414" t="s">
        <v>499</v>
      </c>
      <c r="E83" s="414" t="s">
        <v>277</v>
      </c>
      <c r="F83" s="293">
        <f>86.9487915334339/(100)</f>
        <v>0.869487915334339</v>
      </c>
      <c r="G83" s="293">
        <f>84.8860666603132/(100)</f>
        <v>0.84886066660313209</v>
      </c>
      <c r="H83" s="293">
        <f>77/(100)</f>
        <v>0.77</v>
      </c>
      <c r="I83" s="293">
        <f>72/(100)</f>
        <v>0.72</v>
      </c>
      <c r="J83" s="293">
        <f>68/(100)</f>
        <v>0.68</v>
      </c>
      <c r="K83" s="293">
        <f>65/(100)</f>
        <v>0.65</v>
      </c>
      <c r="L83" s="293">
        <f>60/(100)</f>
        <v>0.6</v>
      </c>
      <c r="M83" s="293">
        <f>53/(100)</f>
        <v>0.53</v>
      </c>
      <c r="N83" s="293">
        <f>49/(100)</f>
        <v>0.49</v>
      </c>
      <c r="O83" s="293">
        <f>45/(100)</f>
        <v>0.45</v>
      </c>
      <c r="P83" s="419"/>
    </row>
    <row r="84" spans="2:16">
      <c r="B84" s="155"/>
      <c r="C84" s="413" t="s">
        <v>922</v>
      </c>
      <c r="D84" s="414" t="s">
        <v>102</v>
      </c>
      <c r="E84" s="414" t="s">
        <v>277</v>
      </c>
      <c r="F84" s="293">
        <f>0.880198849250594/(100)</f>
        <v>8.8019884925059407E-3</v>
      </c>
      <c r="G84" s="293">
        <f>0.750636100782443/(100)</f>
        <v>7.5063610078244299E-3</v>
      </c>
      <c r="H84" s="293">
        <f>0.8/(100)</f>
        <v>8.0000000000000002E-3</v>
      </c>
      <c r="I84" s="293">
        <f>0.8/(100)</f>
        <v>8.0000000000000002E-3</v>
      </c>
      <c r="J84" s="293">
        <f>0.8/(100)</f>
        <v>8.0000000000000002E-3</v>
      </c>
      <c r="K84" s="293">
        <f t="shared" ref="K84:O85" si="28">0/(100)</f>
        <v>0</v>
      </c>
      <c r="L84" s="293">
        <f t="shared" si="28"/>
        <v>0</v>
      </c>
      <c r="M84" s="293">
        <f t="shared" si="28"/>
        <v>0</v>
      </c>
      <c r="N84" s="293">
        <f t="shared" si="28"/>
        <v>0</v>
      </c>
      <c r="O84" s="293">
        <f t="shared" si="28"/>
        <v>0</v>
      </c>
      <c r="P84" s="419"/>
    </row>
    <row r="85" spans="2:16">
      <c r="B85" s="155"/>
      <c r="C85" s="413" t="s">
        <v>922</v>
      </c>
      <c r="D85" s="414" t="s">
        <v>920</v>
      </c>
      <c r="E85" s="414" t="s">
        <v>277</v>
      </c>
      <c r="F85" s="293">
        <f>0.897025156663891/(100)</f>
        <v>8.9702515666389097E-3</v>
      </c>
      <c r="G85" s="293">
        <f>0.593326371075352/(100)</f>
        <v>5.9332637107535205E-3</v>
      </c>
      <c r="H85" s="293">
        <f>0.5/(100)</f>
        <v>5.0000000000000001E-3</v>
      </c>
      <c r="I85" s="293">
        <f>0.5/(100)</f>
        <v>5.0000000000000001E-3</v>
      </c>
      <c r="J85" s="293">
        <f>0.5/(100)</f>
        <v>5.0000000000000001E-3</v>
      </c>
      <c r="K85" s="293">
        <f t="shared" si="28"/>
        <v>0</v>
      </c>
      <c r="L85" s="293">
        <f t="shared" si="28"/>
        <v>0</v>
      </c>
      <c r="M85" s="293">
        <f t="shared" si="28"/>
        <v>0</v>
      </c>
      <c r="N85" s="293">
        <f t="shared" si="28"/>
        <v>0</v>
      </c>
      <c r="O85" s="293">
        <f t="shared" si="28"/>
        <v>0</v>
      </c>
      <c r="P85" s="419"/>
    </row>
    <row r="86" spans="2:16">
      <c r="B86" s="155"/>
      <c r="C86" s="413" t="s">
        <v>922</v>
      </c>
      <c r="D86" s="105" t="s">
        <v>921</v>
      </c>
      <c r="E86" s="414" t="s">
        <v>277</v>
      </c>
      <c r="F86" s="293">
        <f>0.4/(100)</f>
        <v>4.0000000000000001E-3</v>
      </c>
      <c r="G86" s="293">
        <f>0.4/(100)</f>
        <v>4.0000000000000001E-3</v>
      </c>
      <c r="H86" s="293">
        <f>0.8/(100)</f>
        <v>8.0000000000000002E-3</v>
      </c>
      <c r="I86" s="293">
        <f>1.09059264885126/(100)</f>
        <v>1.09059264885126E-2</v>
      </c>
      <c r="J86" s="293">
        <f>1.4867404071605/(100)</f>
        <v>1.4867404071604999E-2</v>
      </c>
      <c r="K86" s="293">
        <f>1/(100)</f>
        <v>0.01</v>
      </c>
      <c r="L86" s="293">
        <f>2.7629962978547/(100)</f>
        <v>2.7629962978546998E-2</v>
      </c>
      <c r="M86" s="293">
        <f>3.76662931405447/(100)</f>
        <v>3.7666293140544697E-2</v>
      </c>
      <c r="N86" s="293">
        <f>5.13482280106932/(100)</f>
        <v>5.1348228010693199E-2</v>
      </c>
      <c r="O86" s="293">
        <f>7/(100)</f>
        <v>7.0000000000000007E-2</v>
      </c>
      <c r="P86" s="419"/>
    </row>
    <row r="87" spans="2:16">
      <c r="B87" s="155"/>
      <c r="C87" s="815" t="s">
        <v>922</v>
      </c>
      <c r="D87" s="816" t="s">
        <v>103</v>
      </c>
      <c r="E87" s="817"/>
      <c r="F87" s="818">
        <f t="shared" ref="F87:P87" si="29">SUM(F80:F86)</f>
        <v>0.98485692857809459</v>
      </c>
      <c r="G87" s="818">
        <f t="shared" si="29"/>
        <v>0.99864229296168794</v>
      </c>
      <c r="H87" s="818">
        <f t="shared" si="29"/>
        <v>1.0009999999999999</v>
      </c>
      <c r="I87" s="818">
        <f t="shared" si="29"/>
        <v>1.0039059264885126</v>
      </c>
      <c r="J87" s="818">
        <f t="shared" si="29"/>
        <v>1.0017623590153364</v>
      </c>
      <c r="K87" s="818">
        <f t="shared" si="29"/>
        <v>0.99</v>
      </c>
      <c r="L87" s="818">
        <f t="shared" si="29"/>
        <v>0.997629962978547</v>
      </c>
      <c r="M87" s="818">
        <f t="shared" si="29"/>
        <v>0.98984615520442276</v>
      </c>
      <c r="N87" s="818">
        <f t="shared" si="29"/>
        <v>0.98134822801069321</v>
      </c>
      <c r="O87" s="818">
        <f t="shared" si="29"/>
        <v>1</v>
      </c>
      <c r="P87" s="814">
        <f t="shared" si="29"/>
        <v>0</v>
      </c>
    </row>
    <row r="88" spans="2:16">
      <c r="B88" s="155"/>
      <c r="C88" s="104"/>
      <c r="D88" s="105"/>
      <c r="E88" s="415"/>
      <c r="F88" s="415"/>
      <c r="G88" s="415"/>
      <c r="H88" s="415"/>
      <c r="I88" s="415"/>
      <c r="J88" s="415"/>
      <c r="K88" s="415"/>
      <c r="L88" s="415"/>
      <c r="M88" s="415"/>
      <c r="N88" s="415"/>
      <c r="O88" s="415"/>
      <c r="P88" s="419"/>
    </row>
    <row r="89" spans="2:16">
      <c r="B89" s="155"/>
      <c r="C89" s="104"/>
      <c r="D89" s="105"/>
      <c r="E89" s="415"/>
      <c r="F89" s="415"/>
      <c r="G89" s="415"/>
      <c r="H89" s="415"/>
      <c r="I89" s="415"/>
      <c r="J89" s="415"/>
      <c r="K89" s="415"/>
      <c r="L89" s="415"/>
      <c r="M89" s="415"/>
      <c r="N89" s="415"/>
      <c r="O89" s="415"/>
      <c r="P89" s="419"/>
    </row>
    <row r="90" spans="2:16">
      <c r="B90" s="155"/>
      <c r="C90" s="104"/>
      <c r="D90" s="105"/>
      <c r="E90" s="415"/>
      <c r="F90" s="415"/>
      <c r="G90" s="415"/>
      <c r="H90" s="415"/>
      <c r="I90" s="415"/>
      <c r="J90" s="415"/>
      <c r="K90" s="415"/>
      <c r="L90" s="415"/>
      <c r="M90" s="415"/>
      <c r="N90" s="415"/>
      <c r="O90" s="415"/>
      <c r="P90" s="419"/>
    </row>
    <row r="91" spans="2:16" ht="14.25">
      <c r="B91" s="155"/>
      <c r="C91" s="819" t="s">
        <v>462</v>
      </c>
      <c r="D91" s="761"/>
      <c r="E91" s="760"/>
      <c r="F91" s="760"/>
      <c r="G91" s="760"/>
      <c r="H91" s="760"/>
      <c r="I91" s="760"/>
      <c r="J91" s="760"/>
      <c r="K91" s="760"/>
      <c r="L91" s="760"/>
      <c r="M91" s="760"/>
      <c r="N91" s="760"/>
      <c r="O91" s="760"/>
      <c r="P91" s="419"/>
    </row>
    <row r="92" spans="2:16">
      <c r="B92" s="155"/>
      <c r="C92" s="104"/>
      <c r="D92" s="105"/>
      <c r="E92" s="415"/>
      <c r="F92" s="415"/>
      <c r="G92" s="415"/>
      <c r="H92" s="415"/>
      <c r="I92" s="415"/>
      <c r="J92" s="415"/>
      <c r="K92" s="415"/>
      <c r="L92" s="415"/>
      <c r="M92" s="415"/>
      <c r="N92" s="415"/>
      <c r="O92" s="415"/>
      <c r="P92" s="419"/>
    </row>
    <row r="93" spans="2:16">
      <c r="B93" s="155"/>
      <c r="C93" s="61" t="s">
        <v>870</v>
      </c>
      <c r="D93" s="61" t="s">
        <v>65</v>
      </c>
      <c r="E93" s="61" t="s">
        <v>404</v>
      </c>
      <c r="F93" s="119">
        <v>2007</v>
      </c>
      <c r="G93" s="120">
        <f t="shared" ref="G93:O93" si="30">F93+5</f>
        <v>2012</v>
      </c>
      <c r="H93" s="120">
        <f t="shared" si="30"/>
        <v>2017</v>
      </c>
      <c r="I93" s="120">
        <f t="shared" si="30"/>
        <v>2022</v>
      </c>
      <c r="J93" s="120">
        <f t="shared" si="30"/>
        <v>2027</v>
      </c>
      <c r="K93" s="120">
        <f t="shared" si="30"/>
        <v>2032</v>
      </c>
      <c r="L93" s="120">
        <f t="shared" si="30"/>
        <v>2037</v>
      </c>
      <c r="M93" s="120">
        <f t="shared" si="30"/>
        <v>2042</v>
      </c>
      <c r="N93" s="120">
        <f t="shared" si="30"/>
        <v>2047</v>
      </c>
      <c r="O93" s="120">
        <f t="shared" si="30"/>
        <v>2052</v>
      </c>
      <c r="P93" s="419"/>
    </row>
    <row r="94" spans="2:16">
      <c r="B94" s="155"/>
      <c r="C94" s="413" t="s">
        <v>923</v>
      </c>
      <c r="D94" s="414" t="s">
        <v>918</v>
      </c>
      <c r="E94" s="96" t="s">
        <v>277</v>
      </c>
      <c r="F94" s="600">
        <v>0.59348769755125597</v>
      </c>
      <c r="G94" s="600">
        <v>0.69063372263579026</v>
      </c>
      <c r="H94" s="600">
        <v>0.6</v>
      </c>
      <c r="I94" s="600">
        <v>0.55000000000000004</v>
      </c>
      <c r="J94" s="600">
        <v>0.49</v>
      </c>
      <c r="K94" s="600">
        <v>0.45</v>
      </c>
      <c r="L94" s="600">
        <v>0.4</v>
      </c>
      <c r="M94" s="600">
        <v>0.36</v>
      </c>
      <c r="N94" s="600">
        <v>0.3</v>
      </c>
      <c r="O94" s="600">
        <v>0.25</v>
      </c>
      <c r="P94" s="419"/>
    </row>
    <row r="95" spans="2:16">
      <c r="B95" s="155"/>
      <c r="C95" s="413" t="s">
        <v>923</v>
      </c>
      <c r="D95" s="414" t="s">
        <v>5</v>
      </c>
      <c r="E95" s="414" t="s">
        <v>277</v>
      </c>
      <c r="F95" s="600">
        <v>1.101038177935044E-3</v>
      </c>
      <c r="G95" s="600">
        <v>8.0274156176023093E-4</v>
      </c>
      <c r="H95" s="600">
        <v>9.0000000000000011E-3</v>
      </c>
      <c r="I95" s="600">
        <v>0.02</v>
      </c>
      <c r="J95" s="600">
        <v>2.7789909887462758E-4</v>
      </c>
      <c r="K95" s="600">
        <v>3.8613954577665021E-6</v>
      </c>
      <c r="L95" s="600">
        <v>0.03</v>
      </c>
      <c r="M95" s="600">
        <v>4.1684864831194134E-4</v>
      </c>
      <c r="N95" s="600">
        <v>5.7920931866497527E-6</v>
      </c>
      <c r="O95" s="600">
        <v>0.09</v>
      </c>
      <c r="P95" s="419"/>
    </row>
    <row r="96" spans="2:16">
      <c r="B96" s="155"/>
      <c r="C96" s="413" t="s">
        <v>923</v>
      </c>
      <c r="D96" s="414" t="s">
        <v>919</v>
      </c>
      <c r="E96" s="414" t="s">
        <v>277</v>
      </c>
      <c r="F96" s="600">
        <v>1.101038177935044E-3</v>
      </c>
      <c r="G96" s="600">
        <v>8.5266444942411201E-3</v>
      </c>
      <c r="H96" s="600">
        <v>0.15</v>
      </c>
      <c r="I96" s="600">
        <v>0.26</v>
      </c>
      <c r="J96" s="600">
        <v>0.39</v>
      </c>
      <c r="K96" s="600">
        <v>0.46</v>
      </c>
      <c r="L96" s="600">
        <v>0.54</v>
      </c>
      <c r="M96" s="600">
        <v>0.57999999999999996</v>
      </c>
      <c r="N96" s="600">
        <v>0.63</v>
      </c>
      <c r="O96" s="600">
        <v>0.65</v>
      </c>
      <c r="P96" s="419"/>
    </row>
    <row r="97" spans="2:16">
      <c r="B97" s="155"/>
      <c r="C97" s="413" t="s">
        <v>923</v>
      </c>
      <c r="D97" s="414" t="s">
        <v>499</v>
      </c>
      <c r="E97" s="414" t="s">
        <v>277</v>
      </c>
      <c r="F97" s="600">
        <v>0.24213092843119366</v>
      </c>
      <c r="G97" s="600">
        <v>0.22553470329546127</v>
      </c>
      <c r="H97" s="600">
        <v>1.5277831106394128E-3</v>
      </c>
      <c r="I97" s="600">
        <v>1.0349277512725966E-5</v>
      </c>
      <c r="J97" s="600">
        <v>7.0106512036638725E-8</v>
      </c>
      <c r="K97" s="600">
        <v>4.7490494132558978E-10</v>
      </c>
      <c r="L97" s="600">
        <v>3.2170292993266306E-12</v>
      </c>
      <c r="M97" s="600">
        <v>2.1792313813030295E-14</v>
      </c>
      <c r="N97" s="600">
        <v>1.4762219959420181E-16</v>
      </c>
      <c r="O97" s="600">
        <v>0.01</v>
      </c>
      <c r="P97" s="419"/>
    </row>
    <row r="98" spans="2:16">
      <c r="B98" s="155"/>
      <c r="C98" s="413" t="s">
        <v>923</v>
      </c>
      <c r="D98" s="414" t="s">
        <v>102</v>
      </c>
      <c r="E98" s="414" t="s">
        <v>277</v>
      </c>
      <c r="F98" s="600">
        <v>3.3304732364497228E-2</v>
      </c>
      <c r="G98" s="600">
        <v>2.64439319653509E-2</v>
      </c>
      <c r="H98" s="600">
        <v>0.02</v>
      </c>
      <c r="I98" s="600">
        <v>0.02</v>
      </c>
      <c r="J98" s="600">
        <v>5.0000000000000001E-3</v>
      </c>
      <c r="K98" s="600">
        <v>0</v>
      </c>
      <c r="L98" s="600">
        <v>0</v>
      </c>
      <c r="M98" s="600">
        <v>0</v>
      </c>
      <c r="N98" s="600">
        <v>0</v>
      </c>
      <c r="O98" s="600">
        <v>0</v>
      </c>
      <c r="P98" s="419"/>
    </row>
    <row r="99" spans="2:16">
      <c r="B99" s="155"/>
      <c r="C99" s="413" t="s">
        <v>923</v>
      </c>
      <c r="D99" s="414" t="s">
        <v>920</v>
      </c>
      <c r="E99" s="414" t="s">
        <v>277</v>
      </c>
      <c r="F99" s="600">
        <v>9.9433620520199606E-2</v>
      </c>
      <c r="G99" s="600">
        <v>6.2146012825124802E-2</v>
      </c>
      <c r="H99" s="600">
        <v>0.06</v>
      </c>
      <c r="I99" s="600">
        <v>0.05</v>
      </c>
      <c r="J99" s="600">
        <v>0.02</v>
      </c>
      <c r="K99" s="600">
        <v>0</v>
      </c>
      <c r="L99" s="600">
        <v>0</v>
      </c>
      <c r="M99" s="600">
        <v>0</v>
      </c>
      <c r="N99" s="600">
        <v>0</v>
      </c>
      <c r="O99" s="600">
        <v>0</v>
      </c>
      <c r="P99" s="419"/>
    </row>
    <row r="100" spans="2:16">
      <c r="B100" s="155"/>
      <c r="C100" s="413" t="s">
        <v>923</v>
      </c>
      <c r="D100" s="414" t="s">
        <v>921</v>
      </c>
      <c r="E100" s="414" t="s">
        <v>277</v>
      </c>
      <c r="F100" s="600">
        <v>0</v>
      </c>
      <c r="G100" s="600">
        <v>0</v>
      </c>
      <c r="H100" s="600">
        <v>0</v>
      </c>
      <c r="I100" s="600">
        <v>0</v>
      </c>
      <c r="J100" s="600">
        <v>0</v>
      </c>
      <c r="K100" s="600">
        <v>0</v>
      </c>
      <c r="L100" s="600">
        <v>0</v>
      </c>
      <c r="M100" s="600">
        <v>0</v>
      </c>
      <c r="N100" s="600">
        <v>0</v>
      </c>
      <c r="O100" s="600">
        <v>0</v>
      </c>
      <c r="P100" s="419"/>
    </row>
    <row r="101" spans="2:16">
      <c r="B101" s="155"/>
      <c r="C101" s="106" t="s">
        <v>923</v>
      </c>
      <c r="D101" s="417" t="s">
        <v>103</v>
      </c>
      <c r="E101" s="417"/>
      <c r="F101" s="814">
        <f t="shared" ref="F101:O101" si="31">SUM(F94:F100)</f>
        <v>0.97055905522301655</v>
      </c>
      <c r="G101" s="814">
        <f t="shared" si="31"/>
        <v>1.0140877567777284</v>
      </c>
      <c r="H101" s="814">
        <f t="shared" si="31"/>
        <v>0.84052778311063947</v>
      </c>
      <c r="I101" s="814">
        <f t="shared" si="31"/>
        <v>0.90001034927751289</v>
      </c>
      <c r="J101" s="814">
        <f t="shared" si="31"/>
        <v>0.90527796920538672</v>
      </c>
      <c r="K101" s="814">
        <f t="shared" si="31"/>
        <v>0.91000386187036264</v>
      </c>
      <c r="L101" s="814">
        <f t="shared" si="31"/>
        <v>0.97000000000321707</v>
      </c>
      <c r="M101" s="814">
        <f t="shared" si="31"/>
        <v>0.94041684864833364</v>
      </c>
      <c r="N101" s="814">
        <f t="shared" si="31"/>
        <v>0.93000579209318668</v>
      </c>
      <c r="O101" s="814">
        <f t="shared" si="31"/>
        <v>1</v>
      </c>
      <c r="P101" s="419"/>
    </row>
    <row r="102" spans="2:16">
      <c r="B102" s="155"/>
      <c r="C102" s="413"/>
      <c r="D102" s="414"/>
      <c r="E102" s="414"/>
      <c r="F102" s="600"/>
      <c r="G102" s="600"/>
      <c r="H102" s="600"/>
      <c r="I102" s="600"/>
      <c r="J102" s="600"/>
      <c r="K102" s="600"/>
      <c r="L102" s="600"/>
      <c r="M102" s="600"/>
      <c r="N102" s="600"/>
      <c r="O102" s="600"/>
      <c r="P102" s="419"/>
    </row>
    <row r="103" spans="2:16">
      <c r="B103" s="155"/>
      <c r="C103" s="413" t="s">
        <v>922</v>
      </c>
      <c r="D103" s="414" t="s">
        <v>918</v>
      </c>
      <c r="E103" s="414" t="s">
        <v>277</v>
      </c>
      <c r="F103" s="600">
        <v>9.259677318461082E-2</v>
      </c>
      <c r="G103" s="600">
        <v>0.130951612469662</v>
      </c>
      <c r="H103" s="600">
        <v>0.24</v>
      </c>
      <c r="I103" s="600">
        <v>0.3</v>
      </c>
      <c r="J103" s="600">
        <v>0.35</v>
      </c>
      <c r="K103" s="600">
        <v>0.41</v>
      </c>
      <c r="L103" s="600">
        <v>0.4</v>
      </c>
      <c r="M103" s="600">
        <v>3.7596855370602956E-3</v>
      </c>
      <c r="N103" s="600">
        <v>0.36</v>
      </c>
      <c r="O103" s="600">
        <v>0.32</v>
      </c>
      <c r="P103" s="419"/>
    </row>
    <row r="104" spans="2:16">
      <c r="B104" s="155"/>
      <c r="C104" s="413" t="s">
        <v>922</v>
      </c>
      <c r="D104" s="414" t="s">
        <v>5</v>
      </c>
      <c r="E104" s="414" t="s">
        <v>277</v>
      </c>
      <c r="F104" s="600">
        <v>1E-3</v>
      </c>
      <c r="G104" s="600">
        <v>1.3903891703159089E-3</v>
      </c>
      <c r="H104" s="600">
        <v>0.01</v>
      </c>
      <c r="I104" s="600">
        <v>0.02</v>
      </c>
      <c r="J104" s="600">
        <v>0.05</v>
      </c>
      <c r="K104" s="600">
        <v>0.06</v>
      </c>
      <c r="L104" s="600">
        <v>0.11</v>
      </c>
      <c r="M104" s="600">
        <v>0.13</v>
      </c>
      <c r="N104" s="600">
        <v>0.17</v>
      </c>
      <c r="O104" s="600">
        <v>0.22</v>
      </c>
      <c r="P104" s="419"/>
    </row>
    <row r="105" spans="2:16">
      <c r="B105" s="155"/>
      <c r="C105" s="413" t="s">
        <v>922</v>
      </c>
      <c r="D105" s="414" t="s">
        <v>919</v>
      </c>
      <c r="E105" s="414" t="s">
        <v>277</v>
      </c>
      <c r="F105" s="600">
        <v>0</v>
      </c>
      <c r="G105" s="600">
        <v>0</v>
      </c>
      <c r="H105" s="600">
        <v>0</v>
      </c>
      <c r="I105" s="600">
        <v>0</v>
      </c>
      <c r="J105" s="600">
        <v>0.01</v>
      </c>
      <c r="K105" s="600">
        <v>0.02</v>
      </c>
      <c r="L105" s="600">
        <v>0.03</v>
      </c>
      <c r="M105" s="600">
        <v>0.08</v>
      </c>
      <c r="N105" s="600">
        <v>0.1</v>
      </c>
      <c r="O105" s="600">
        <v>0.15</v>
      </c>
      <c r="P105" s="419"/>
    </row>
    <row r="106" spans="2:16">
      <c r="B106" s="155"/>
      <c r="C106" s="413" t="s">
        <v>922</v>
      </c>
      <c r="D106" s="414" t="s">
        <v>499</v>
      </c>
      <c r="E106" s="414" t="s">
        <v>277</v>
      </c>
      <c r="F106" s="600">
        <v>0.86948791533433933</v>
      </c>
      <c r="G106" s="600">
        <v>0.84886066660313175</v>
      </c>
      <c r="H106" s="600">
        <v>0.73</v>
      </c>
      <c r="I106" s="600">
        <v>0.66</v>
      </c>
      <c r="J106" s="600">
        <v>0.57999999999999996</v>
      </c>
      <c r="K106" s="600">
        <v>0.5</v>
      </c>
      <c r="L106" s="600">
        <v>0.45</v>
      </c>
      <c r="M106" s="600">
        <v>0.4</v>
      </c>
      <c r="N106" s="600">
        <v>0.36</v>
      </c>
      <c r="O106" s="600">
        <v>0.3</v>
      </c>
      <c r="P106" s="419"/>
    </row>
    <row r="107" spans="2:16">
      <c r="B107" s="155"/>
      <c r="C107" s="413" t="s">
        <v>922</v>
      </c>
      <c r="D107" s="414" t="s">
        <v>102</v>
      </c>
      <c r="E107" s="414" t="s">
        <v>277</v>
      </c>
      <c r="F107" s="600">
        <v>8.8019884925059425E-3</v>
      </c>
      <c r="G107" s="600">
        <v>7.5063610078244291E-3</v>
      </c>
      <c r="H107" s="600">
        <v>8.0000000000000002E-3</v>
      </c>
      <c r="I107" s="600">
        <v>8.0000000000000002E-3</v>
      </c>
      <c r="J107" s="600">
        <v>0</v>
      </c>
      <c r="K107" s="600">
        <v>0</v>
      </c>
      <c r="L107" s="600">
        <v>0</v>
      </c>
      <c r="M107" s="600">
        <v>0</v>
      </c>
      <c r="N107" s="600">
        <v>0</v>
      </c>
      <c r="O107" s="600">
        <v>0</v>
      </c>
      <c r="P107" s="419"/>
    </row>
    <row r="108" spans="2:16">
      <c r="B108" s="155"/>
      <c r="C108" s="413" t="s">
        <v>922</v>
      </c>
      <c r="D108" s="414" t="s">
        <v>920</v>
      </c>
      <c r="E108" s="414" t="s">
        <v>277</v>
      </c>
      <c r="F108" s="600">
        <v>8.9702515666389097E-3</v>
      </c>
      <c r="G108" s="600">
        <v>5.9332637107535231E-3</v>
      </c>
      <c r="H108" s="600">
        <v>5.0000000000000001E-3</v>
      </c>
      <c r="I108" s="600">
        <v>0</v>
      </c>
      <c r="J108" s="600">
        <v>0</v>
      </c>
      <c r="K108" s="600">
        <v>0</v>
      </c>
      <c r="L108" s="600">
        <v>0</v>
      </c>
      <c r="M108" s="600">
        <v>0</v>
      </c>
      <c r="N108" s="600">
        <v>0</v>
      </c>
      <c r="O108" s="600">
        <v>0</v>
      </c>
      <c r="P108" s="419"/>
    </row>
    <row r="109" spans="2:16">
      <c r="B109" s="155"/>
      <c r="C109" s="413" t="s">
        <v>922</v>
      </c>
      <c r="D109" s="105" t="s">
        <v>921</v>
      </c>
      <c r="E109" s="414" t="s">
        <v>277</v>
      </c>
      <c r="F109" s="600">
        <v>4.0000000000000001E-3</v>
      </c>
      <c r="G109" s="600">
        <v>4.0000000000000001E-3</v>
      </c>
      <c r="H109" s="600">
        <v>0.01</v>
      </c>
      <c r="I109" s="600">
        <v>0.01</v>
      </c>
      <c r="J109" s="600">
        <v>0.01</v>
      </c>
      <c r="K109" s="600">
        <v>0.01</v>
      </c>
      <c r="L109" s="600">
        <v>0.01</v>
      </c>
      <c r="M109" s="600">
        <v>0.01</v>
      </c>
      <c r="N109" s="600">
        <v>0.01</v>
      </c>
      <c r="O109" s="600">
        <v>0.01</v>
      </c>
      <c r="P109" s="419"/>
    </row>
    <row r="110" spans="2:16">
      <c r="B110" s="155"/>
      <c r="C110" s="832" t="s">
        <v>922</v>
      </c>
      <c r="D110" s="816" t="s">
        <v>103</v>
      </c>
      <c r="E110" s="817"/>
      <c r="F110" s="818">
        <f t="shared" ref="F110:O110" si="32">SUM(F103:F109)</f>
        <v>0.98485692857809493</v>
      </c>
      <c r="G110" s="818">
        <f t="shared" si="32"/>
        <v>0.99864229296168761</v>
      </c>
      <c r="H110" s="818">
        <f t="shared" si="32"/>
        <v>1.0029999999999999</v>
      </c>
      <c r="I110" s="818">
        <f t="shared" si="32"/>
        <v>0.998</v>
      </c>
      <c r="J110" s="818">
        <f t="shared" si="32"/>
        <v>1</v>
      </c>
      <c r="K110" s="818">
        <f t="shared" si="32"/>
        <v>1</v>
      </c>
      <c r="L110" s="818">
        <f t="shared" si="32"/>
        <v>1</v>
      </c>
      <c r="M110" s="818">
        <f t="shared" si="32"/>
        <v>0.6237596855370604</v>
      </c>
      <c r="N110" s="818">
        <f t="shared" si="32"/>
        <v>1</v>
      </c>
      <c r="O110" s="818">
        <f t="shared" si="32"/>
        <v>1</v>
      </c>
      <c r="P110" s="419"/>
    </row>
    <row r="111" spans="2:16">
      <c r="B111" s="155"/>
      <c r="C111" s="104"/>
      <c r="D111" s="105"/>
      <c r="E111" s="415"/>
      <c r="F111" s="415"/>
      <c r="G111" s="415"/>
      <c r="H111" s="415"/>
      <c r="I111" s="415"/>
      <c r="J111" s="415"/>
      <c r="K111" s="415"/>
      <c r="L111" s="415"/>
      <c r="M111" s="415"/>
      <c r="N111" s="415"/>
      <c r="O111" s="415"/>
      <c r="P111" s="419"/>
    </row>
    <row r="112" spans="2:16">
      <c r="B112" s="155"/>
      <c r="C112" s="104"/>
      <c r="D112" s="105"/>
      <c r="E112" s="415"/>
      <c r="F112" s="415"/>
      <c r="G112" s="415"/>
      <c r="H112" s="415"/>
      <c r="I112" s="415"/>
      <c r="J112" s="415"/>
      <c r="K112" s="415"/>
      <c r="L112" s="415"/>
      <c r="M112" s="415"/>
      <c r="N112" s="415"/>
      <c r="O112" s="415"/>
      <c r="P112" s="419"/>
    </row>
    <row r="113" spans="2:16" ht="14.25">
      <c r="B113" s="155"/>
      <c r="C113" s="819" t="s">
        <v>463</v>
      </c>
      <c r="D113" s="761"/>
      <c r="E113" s="760"/>
      <c r="F113" s="760"/>
      <c r="G113" s="760"/>
      <c r="H113" s="760"/>
      <c r="I113" s="760"/>
      <c r="J113" s="760"/>
      <c r="K113" s="760"/>
      <c r="L113" s="760"/>
      <c r="M113" s="760"/>
      <c r="N113" s="760"/>
      <c r="O113" s="760"/>
      <c r="P113" s="419"/>
    </row>
    <row r="114" spans="2:16">
      <c r="B114" s="155"/>
      <c r="C114" s="104"/>
      <c r="D114" s="105"/>
      <c r="E114" s="415"/>
      <c r="F114" s="415"/>
      <c r="G114" s="415"/>
      <c r="H114" s="415"/>
      <c r="I114" s="415"/>
      <c r="J114" s="415"/>
      <c r="K114" s="415"/>
      <c r="L114" s="415"/>
      <c r="M114" s="415"/>
      <c r="N114" s="415"/>
      <c r="O114" s="415"/>
      <c r="P114" s="419"/>
    </row>
    <row r="115" spans="2:16">
      <c r="B115" s="155"/>
      <c r="C115" s="61" t="s">
        <v>870</v>
      </c>
      <c r="D115" s="61" t="s">
        <v>65</v>
      </c>
      <c r="E115" s="61" t="s">
        <v>404</v>
      </c>
      <c r="F115" s="119">
        <v>2007</v>
      </c>
      <c r="G115" s="120">
        <f t="shared" ref="G115:O115" si="33">F115+5</f>
        <v>2012</v>
      </c>
      <c r="H115" s="120">
        <f t="shared" si="33"/>
        <v>2017</v>
      </c>
      <c r="I115" s="120">
        <f t="shared" si="33"/>
        <v>2022</v>
      </c>
      <c r="J115" s="120">
        <f t="shared" si="33"/>
        <v>2027</v>
      </c>
      <c r="K115" s="120">
        <f t="shared" si="33"/>
        <v>2032</v>
      </c>
      <c r="L115" s="120">
        <f t="shared" si="33"/>
        <v>2037</v>
      </c>
      <c r="M115" s="120">
        <f t="shared" si="33"/>
        <v>2042</v>
      </c>
      <c r="N115" s="120">
        <f t="shared" si="33"/>
        <v>2047</v>
      </c>
      <c r="O115" s="120">
        <f t="shared" si="33"/>
        <v>2052</v>
      </c>
      <c r="P115" s="419"/>
    </row>
    <row r="116" spans="2:16">
      <c r="B116" s="155"/>
      <c r="C116" s="413" t="s">
        <v>923</v>
      </c>
      <c r="D116" s="414" t="s">
        <v>918</v>
      </c>
      <c r="E116" s="96" t="s">
        <v>277</v>
      </c>
      <c r="F116" s="600">
        <v>0.59348769755125597</v>
      </c>
      <c r="G116" s="600">
        <v>0.69063372263579026</v>
      </c>
      <c r="H116" s="600">
        <v>0.6</v>
      </c>
      <c r="I116" s="600">
        <v>0.48</v>
      </c>
      <c r="J116" s="600">
        <v>0.42</v>
      </c>
      <c r="K116" s="600">
        <v>0.33</v>
      </c>
      <c r="L116" s="600">
        <v>0.27</v>
      </c>
      <c r="M116" s="600">
        <v>0.22</v>
      </c>
      <c r="N116" s="600">
        <v>0.18</v>
      </c>
      <c r="O116" s="600">
        <v>0.15</v>
      </c>
      <c r="P116" s="419"/>
    </row>
    <row r="117" spans="2:16">
      <c r="B117" s="155"/>
      <c r="C117" s="413" t="s">
        <v>923</v>
      </c>
      <c r="D117" s="414" t="s">
        <v>5</v>
      </c>
      <c r="E117" s="414" t="s">
        <v>277</v>
      </c>
      <c r="F117" s="600">
        <v>1.101038177935044E-3</v>
      </c>
      <c r="G117" s="600">
        <v>8.0274156176023093E-4</v>
      </c>
      <c r="H117" s="600">
        <v>0.01</v>
      </c>
      <c r="I117" s="600">
        <v>0.03</v>
      </c>
      <c r="J117" s="600">
        <v>4.4170701005410388E-4</v>
      </c>
      <c r="K117" s="600">
        <v>6.5035027576978749E-6</v>
      </c>
      <c r="L117" s="600">
        <v>7.0000000000000007E-2</v>
      </c>
      <c r="M117" s="600">
        <v>0.09</v>
      </c>
      <c r="N117" s="600">
        <v>0.12</v>
      </c>
      <c r="O117" s="600">
        <v>0.15</v>
      </c>
      <c r="P117" s="419"/>
    </row>
    <row r="118" spans="2:16">
      <c r="B118" s="155"/>
      <c r="C118" s="413" t="s">
        <v>923</v>
      </c>
      <c r="D118" s="414" t="s">
        <v>919</v>
      </c>
      <c r="E118" s="414" t="s">
        <v>277</v>
      </c>
      <c r="F118" s="600">
        <v>1.101038177935044E-3</v>
      </c>
      <c r="G118" s="600">
        <v>8.5266444942411201E-3</v>
      </c>
      <c r="H118" s="600">
        <v>0.21</v>
      </c>
      <c r="I118" s="600">
        <v>0.32</v>
      </c>
      <c r="J118" s="600">
        <v>0.44</v>
      </c>
      <c r="K118" s="600">
        <v>0.54</v>
      </c>
      <c r="L118" s="600">
        <v>0.61</v>
      </c>
      <c r="M118" s="600">
        <v>0.66</v>
      </c>
      <c r="N118" s="600">
        <v>0.68</v>
      </c>
      <c r="O118" s="600">
        <v>0.7</v>
      </c>
      <c r="P118" s="419"/>
    </row>
    <row r="119" spans="2:16">
      <c r="B119" s="155"/>
      <c r="C119" s="413" t="s">
        <v>923</v>
      </c>
      <c r="D119" s="414" t="s">
        <v>499</v>
      </c>
      <c r="E119" s="414" t="s">
        <v>277</v>
      </c>
      <c r="F119" s="600">
        <v>0.24213092843119366</v>
      </c>
      <c r="G119" s="600">
        <v>0.22553470329546127</v>
      </c>
      <c r="H119" s="600">
        <v>0.12</v>
      </c>
      <c r="I119" s="600">
        <v>0.1</v>
      </c>
      <c r="J119" s="600">
        <v>7.0000000000000007E-2</v>
      </c>
      <c r="K119" s="600">
        <v>0.06</v>
      </c>
      <c r="L119" s="600">
        <v>0.05</v>
      </c>
      <c r="M119" s="600">
        <v>2.9524500000000008E-4</v>
      </c>
      <c r="N119" s="600">
        <v>0</v>
      </c>
      <c r="O119" s="600">
        <v>0</v>
      </c>
      <c r="P119" s="419"/>
    </row>
    <row r="120" spans="2:16">
      <c r="B120" s="155"/>
      <c r="C120" s="413" t="s">
        <v>923</v>
      </c>
      <c r="D120" s="69" t="s">
        <v>102</v>
      </c>
      <c r="E120" s="414" t="s">
        <v>277</v>
      </c>
      <c r="F120" s="600">
        <v>3.3304732364497228E-2</v>
      </c>
      <c r="G120" s="600">
        <v>2.64439319653509E-2</v>
      </c>
      <c r="H120" s="600">
        <v>0.02</v>
      </c>
      <c r="I120" s="600">
        <v>0.02</v>
      </c>
      <c r="J120" s="600">
        <v>5.0000000000000001E-3</v>
      </c>
      <c r="K120" s="600">
        <v>0</v>
      </c>
      <c r="L120" s="600">
        <v>0</v>
      </c>
      <c r="M120" s="600">
        <v>0</v>
      </c>
      <c r="N120" s="600">
        <v>0</v>
      </c>
      <c r="O120" s="600">
        <v>0</v>
      </c>
      <c r="P120" s="419"/>
    </row>
    <row r="121" spans="2:16">
      <c r="B121" s="155"/>
      <c r="C121" s="413" t="s">
        <v>923</v>
      </c>
      <c r="D121" s="414" t="s">
        <v>920</v>
      </c>
      <c r="E121" s="414" t="s">
        <v>277</v>
      </c>
      <c r="F121" s="600">
        <v>9.9433620520199606E-2</v>
      </c>
      <c r="G121" s="600">
        <v>6.2146012825124802E-2</v>
      </c>
      <c r="H121" s="600">
        <v>0.04</v>
      </c>
      <c r="I121" s="600">
        <v>0.05</v>
      </c>
      <c r="J121" s="600">
        <v>6.5000000000000002E-2</v>
      </c>
      <c r="K121" s="600">
        <v>0</v>
      </c>
      <c r="L121" s="600">
        <v>0</v>
      </c>
      <c r="M121" s="600">
        <v>0</v>
      </c>
      <c r="N121" s="600">
        <v>0</v>
      </c>
      <c r="O121" s="600">
        <v>0</v>
      </c>
      <c r="P121" s="419"/>
    </row>
    <row r="122" spans="2:16">
      <c r="B122" s="155"/>
      <c r="C122" s="413" t="s">
        <v>923</v>
      </c>
      <c r="D122" s="414" t="s">
        <v>921</v>
      </c>
      <c r="E122" s="414" t="s">
        <v>277</v>
      </c>
      <c r="F122" s="600">
        <v>0</v>
      </c>
      <c r="G122" s="600">
        <v>0</v>
      </c>
      <c r="H122" s="600">
        <v>0</v>
      </c>
      <c r="I122" s="600">
        <v>0</v>
      </c>
      <c r="J122" s="600">
        <v>0</v>
      </c>
      <c r="K122" s="600">
        <v>0</v>
      </c>
      <c r="L122" s="600">
        <v>0</v>
      </c>
      <c r="M122" s="600">
        <v>0</v>
      </c>
      <c r="N122" s="600">
        <v>0</v>
      </c>
      <c r="O122" s="600">
        <v>0</v>
      </c>
      <c r="P122" s="419"/>
    </row>
    <row r="123" spans="2:16">
      <c r="B123" s="155"/>
      <c r="C123" s="106" t="s">
        <v>923</v>
      </c>
      <c r="D123" s="417" t="s">
        <v>103</v>
      </c>
      <c r="E123" s="417"/>
      <c r="F123" s="814">
        <f t="shared" ref="F123:O123" si="34">SUM(F116:F122)</f>
        <v>0.97055905522301655</v>
      </c>
      <c r="G123" s="814">
        <f t="shared" si="34"/>
        <v>1.0140877567777284</v>
      </c>
      <c r="H123" s="814">
        <f t="shared" si="34"/>
        <v>1</v>
      </c>
      <c r="I123" s="814">
        <f t="shared" si="34"/>
        <v>1</v>
      </c>
      <c r="J123" s="814">
        <f t="shared" si="34"/>
        <v>1.0004417070100542</v>
      </c>
      <c r="K123" s="814">
        <f t="shared" si="34"/>
        <v>0.93000650350275782</v>
      </c>
      <c r="L123" s="814">
        <f t="shared" si="34"/>
        <v>1</v>
      </c>
      <c r="M123" s="814">
        <f t="shared" si="34"/>
        <v>0.97029524499999997</v>
      </c>
      <c r="N123" s="814">
        <f t="shared" si="34"/>
        <v>0.98</v>
      </c>
      <c r="O123" s="814">
        <f t="shared" si="34"/>
        <v>1</v>
      </c>
      <c r="P123" s="419"/>
    </row>
    <row r="124" spans="2:16">
      <c r="B124" s="155"/>
      <c r="C124" s="413"/>
      <c r="D124" s="414"/>
      <c r="E124" s="414"/>
      <c r="F124" s="600"/>
      <c r="G124" s="600"/>
      <c r="H124" s="600"/>
      <c r="I124" s="600"/>
      <c r="J124" s="600"/>
      <c r="K124" s="600"/>
      <c r="L124" s="600"/>
      <c r="M124" s="600"/>
      <c r="N124" s="600"/>
      <c r="O124" s="600"/>
      <c r="P124" s="419"/>
    </row>
    <row r="125" spans="2:16">
      <c r="B125" s="155"/>
      <c r="C125" s="413" t="s">
        <v>922</v>
      </c>
      <c r="D125" s="414" t="s">
        <v>918</v>
      </c>
      <c r="E125" s="414" t="s">
        <v>277</v>
      </c>
      <c r="F125" s="600">
        <v>9.259677318461082E-2</v>
      </c>
      <c r="G125" s="600">
        <v>0.130951612469662</v>
      </c>
      <c r="H125" s="600">
        <v>0.28000000000000003</v>
      </c>
      <c r="I125" s="600">
        <v>0.36</v>
      </c>
      <c r="J125" s="600">
        <v>0.4</v>
      </c>
      <c r="K125" s="600">
        <v>0.43</v>
      </c>
      <c r="L125" s="600">
        <v>0.36</v>
      </c>
      <c r="M125" s="600">
        <v>0.34</v>
      </c>
      <c r="N125" s="600">
        <v>0.32</v>
      </c>
      <c r="O125" s="600">
        <v>0.27</v>
      </c>
      <c r="P125" s="419"/>
    </row>
    <row r="126" spans="2:16">
      <c r="B126" s="155"/>
      <c r="C126" s="413" t="s">
        <v>922</v>
      </c>
      <c r="D126" s="414" t="s">
        <v>5</v>
      </c>
      <c r="E126" s="414" t="s">
        <v>277</v>
      </c>
      <c r="F126" s="600">
        <v>1E-3</v>
      </c>
      <c r="G126" s="600">
        <v>1.3903891703159089E-3</v>
      </c>
      <c r="H126" s="600">
        <v>0.01</v>
      </c>
      <c r="I126" s="600">
        <v>0.04</v>
      </c>
      <c r="J126" s="600">
        <v>0.06</v>
      </c>
      <c r="K126" s="600">
        <v>0.12</v>
      </c>
      <c r="L126" s="600">
        <v>0.15</v>
      </c>
      <c r="M126" s="600">
        <v>0.18</v>
      </c>
      <c r="N126" s="600">
        <v>0.22</v>
      </c>
      <c r="O126" s="600">
        <v>0.27</v>
      </c>
      <c r="P126" s="419"/>
    </row>
    <row r="127" spans="2:16">
      <c r="B127" s="155"/>
      <c r="C127" s="413" t="s">
        <v>922</v>
      </c>
      <c r="D127" s="414" t="s">
        <v>919</v>
      </c>
      <c r="E127" s="414" t="s">
        <v>277</v>
      </c>
      <c r="F127" s="600">
        <v>0</v>
      </c>
      <c r="G127" s="600">
        <v>0</v>
      </c>
      <c r="H127" s="600">
        <v>0</v>
      </c>
      <c r="I127" s="600">
        <v>0.02</v>
      </c>
      <c r="J127" s="600">
        <v>0.03</v>
      </c>
      <c r="K127" s="600">
        <v>0.04</v>
      </c>
      <c r="L127" s="600">
        <v>0.11</v>
      </c>
      <c r="M127" s="600">
        <v>0.15</v>
      </c>
      <c r="N127" s="600">
        <v>0.18</v>
      </c>
      <c r="O127" s="600">
        <v>0.21</v>
      </c>
      <c r="P127" s="419"/>
    </row>
    <row r="128" spans="2:16">
      <c r="B128" s="155"/>
      <c r="C128" s="413" t="s">
        <v>922</v>
      </c>
      <c r="D128" s="414" t="s">
        <v>499</v>
      </c>
      <c r="E128" s="414" t="s">
        <v>277</v>
      </c>
      <c r="F128" s="600">
        <v>0.86948791533433933</v>
      </c>
      <c r="G128" s="600">
        <v>0.84886066660313175</v>
      </c>
      <c r="H128" s="600">
        <v>0.68700000000000006</v>
      </c>
      <c r="I128" s="600">
        <v>0.55600000000000005</v>
      </c>
      <c r="J128" s="600">
        <v>0.48799999999999999</v>
      </c>
      <c r="K128" s="600">
        <v>0.4</v>
      </c>
      <c r="L128" s="600">
        <v>0.37</v>
      </c>
      <c r="M128" s="600">
        <v>0.33</v>
      </c>
      <c r="N128" s="600">
        <v>0.28000000000000003</v>
      </c>
      <c r="O128" s="600">
        <v>0.25</v>
      </c>
      <c r="P128" s="419"/>
    </row>
    <row r="129" spans="2:16">
      <c r="B129" s="155"/>
      <c r="C129" s="413" t="s">
        <v>922</v>
      </c>
      <c r="D129" s="414" t="s">
        <v>102</v>
      </c>
      <c r="E129" s="414" t="s">
        <v>277</v>
      </c>
      <c r="F129" s="600">
        <v>8.8019884925059425E-3</v>
      </c>
      <c r="G129" s="600">
        <v>7.5063610078244291E-3</v>
      </c>
      <c r="H129" s="600">
        <v>8.0000000000000002E-3</v>
      </c>
      <c r="I129" s="600">
        <v>8.0000000000000002E-3</v>
      </c>
      <c r="J129" s="600">
        <v>8.0000000000000002E-3</v>
      </c>
      <c r="K129" s="600">
        <v>0</v>
      </c>
      <c r="L129" s="600">
        <v>0</v>
      </c>
      <c r="M129" s="600">
        <v>0</v>
      </c>
      <c r="N129" s="600">
        <v>0</v>
      </c>
      <c r="O129" s="600">
        <v>0</v>
      </c>
      <c r="P129" s="419"/>
    </row>
    <row r="130" spans="2:16">
      <c r="B130" s="155"/>
      <c r="C130" s="413" t="s">
        <v>922</v>
      </c>
      <c r="D130" s="414" t="s">
        <v>920</v>
      </c>
      <c r="E130" s="414" t="s">
        <v>277</v>
      </c>
      <c r="F130" s="600">
        <v>8.9702515666389097E-3</v>
      </c>
      <c r="G130" s="600">
        <v>5.9332637107535231E-3</v>
      </c>
      <c r="H130" s="600">
        <v>5.0000000000000001E-3</v>
      </c>
      <c r="I130" s="600">
        <v>5.0000000000000001E-3</v>
      </c>
      <c r="J130" s="600">
        <v>5.0000000000000001E-3</v>
      </c>
      <c r="K130" s="600">
        <v>0</v>
      </c>
      <c r="L130" s="600">
        <v>0</v>
      </c>
      <c r="M130" s="600">
        <v>0</v>
      </c>
      <c r="N130" s="600">
        <v>0</v>
      </c>
      <c r="O130" s="600">
        <v>0</v>
      </c>
      <c r="P130" s="419"/>
    </row>
    <row r="131" spans="2:16">
      <c r="B131" s="155"/>
      <c r="C131" s="413" t="s">
        <v>922</v>
      </c>
      <c r="D131" s="105" t="s">
        <v>921</v>
      </c>
      <c r="E131" s="414" t="s">
        <v>277</v>
      </c>
      <c r="F131" s="600">
        <v>4.0000000000000001E-3</v>
      </c>
      <c r="G131" s="600">
        <v>4.0000000000000001E-3</v>
      </c>
      <c r="H131" s="600">
        <v>0.01</v>
      </c>
      <c r="I131" s="600">
        <v>0.01</v>
      </c>
      <c r="J131" s="600">
        <v>8.5000000000000006E-3</v>
      </c>
      <c r="K131" s="600">
        <v>7.4999999999999997E-3</v>
      </c>
      <c r="L131" s="600">
        <v>5.0000000000000001E-3</v>
      </c>
      <c r="M131" s="600">
        <v>2.5000000000000001E-3</v>
      </c>
      <c r="N131" s="600">
        <v>1E-3</v>
      </c>
      <c r="O131" s="600">
        <v>0</v>
      </c>
      <c r="P131" s="419"/>
    </row>
    <row r="132" spans="2:16">
      <c r="B132" s="155"/>
      <c r="C132" s="815" t="s">
        <v>922</v>
      </c>
      <c r="D132" s="816" t="s">
        <v>103</v>
      </c>
      <c r="E132" s="817"/>
      <c r="F132" s="818">
        <f t="shared" ref="F132:O132" si="35">SUM(F125:F131)</f>
        <v>0.98485692857809493</v>
      </c>
      <c r="G132" s="818">
        <f t="shared" si="35"/>
        <v>0.99864229296168761</v>
      </c>
      <c r="H132" s="818">
        <f t="shared" si="35"/>
        <v>1</v>
      </c>
      <c r="I132" s="818">
        <f t="shared" si="35"/>
        <v>0.999</v>
      </c>
      <c r="J132" s="818">
        <f t="shared" si="35"/>
        <v>0.99949999999999994</v>
      </c>
      <c r="K132" s="818">
        <f t="shared" si="35"/>
        <v>0.99750000000000005</v>
      </c>
      <c r="L132" s="818">
        <f t="shared" si="35"/>
        <v>0.995</v>
      </c>
      <c r="M132" s="818">
        <f t="shared" si="35"/>
        <v>1.0024999999999999</v>
      </c>
      <c r="N132" s="818">
        <f t="shared" si="35"/>
        <v>1.0009999999999999</v>
      </c>
      <c r="O132" s="818">
        <f t="shared" si="35"/>
        <v>1</v>
      </c>
      <c r="P132" s="419"/>
    </row>
    <row r="133" spans="2:16">
      <c r="B133" s="155"/>
      <c r="C133" s="104"/>
      <c r="D133" s="105"/>
      <c r="E133" s="415"/>
      <c r="F133" s="415"/>
      <c r="G133" s="415"/>
      <c r="H133" s="415"/>
      <c r="I133" s="415"/>
      <c r="J133" s="415"/>
      <c r="K133" s="415"/>
      <c r="L133" s="415"/>
      <c r="M133" s="415"/>
      <c r="N133" s="415"/>
      <c r="O133" s="415"/>
      <c r="P133" s="419"/>
    </row>
    <row r="134" spans="2:16">
      <c r="B134" s="155"/>
      <c r="C134" s="104"/>
      <c r="D134" s="105"/>
      <c r="E134" s="415"/>
      <c r="F134" s="415"/>
      <c r="G134" s="415"/>
      <c r="H134" s="415"/>
      <c r="I134" s="415"/>
      <c r="J134" s="415"/>
      <c r="K134" s="415"/>
      <c r="L134" s="415"/>
      <c r="M134" s="415"/>
      <c r="N134" s="415"/>
      <c r="O134" s="415"/>
      <c r="P134" s="419"/>
    </row>
    <row r="135" spans="2:16">
      <c r="B135" s="155"/>
      <c r="C135" s="104"/>
      <c r="D135" s="105"/>
      <c r="E135" s="415"/>
      <c r="F135" s="415"/>
      <c r="G135" s="415"/>
      <c r="H135" s="415"/>
      <c r="I135" s="415"/>
      <c r="J135" s="415"/>
      <c r="K135" s="415"/>
      <c r="L135" s="415"/>
      <c r="M135" s="415"/>
      <c r="N135" s="415"/>
      <c r="O135" s="415"/>
      <c r="P135" s="419"/>
    </row>
    <row r="136" spans="2:16">
      <c r="B136" s="155"/>
      <c r="C136" s="104"/>
      <c r="D136" s="105"/>
      <c r="E136" s="415"/>
      <c r="F136" s="415"/>
      <c r="G136" s="415"/>
      <c r="H136" s="415"/>
      <c r="I136" s="415"/>
      <c r="J136" s="415"/>
      <c r="K136" s="415"/>
      <c r="L136" s="415"/>
      <c r="M136" s="415"/>
      <c r="N136" s="415"/>
      <c r="O136" s="415"/>
      <c r="P136" s="419"/>
    </row>
    <row r="137" spans="2:16" ht="14.25">
      <c r="B137" s="155"/>
      <c r="C137" s="819" t="s">
        <v>875</v>
      </c>
      <c r="D137" s="761"/>
      <c r="E137" s="760"/>
      <c r="F137" s="760"/>
      <c r="G137" s="760"/>
      <c r="H137" s="760"/>
      <c r="I137" s="760"/>
      <c r="J137" s="760"/>
      <c r="K137" s="760"/>
      <c r="L137" s="760"/>
      <c r="M137" s="760"/>
      <c r="N137" s="760"/>
      <c r="O137" s="760"/>
      <c r="P137" s="419"/>
    </row>
    <row r="138" spans="2:16">
      <c r="B138" s="155"/>
      <c r="C138" s="104"/>
      <c r="D138" s="105"/>
      <c r="E138" s="415"/>
      <c r="F138" s="415"/>
      <c r="G138" s="415"/>
      <c r="H138" s="415"/>
      <c r="I138" s="415"/>
      <c r="J138" s="415"/>
      <c r="K138" s="415"/>
      <c r="L138" s="415"/>
      <c r="M138" s="415"/>
      <c r="N138" s="415"/>
      <c r="O138" s="415"/>
      <c r="P138" s="419"/>
    </row>
    <row r="139" spans="2:16">
      <c r="B139" s="155"/>
      <c r="C139" s="61" t="s">
        <v>870</v>
      </c>
      <c r="D139" s="61" t="s">
        <v>65</v>
      </c>
      <c r="E139" s="61" t="s">
        <v>404</v>
      </c>
      <c r="F139" s="119">
        <v>2007</v>
      </c>
      <c r="G139" s="120">
        <f t="shared" ref="G139:O139" si="36">F139+5</f>
        <v>2012</v>
      </c>
      <c r="H139" s="120">
        <f t="shared" si="36"/>
        <v>2017</v>
      </c>
      <c r="I139" s="120">
        <f t="shared" si="36"/>
        <v>2022</v>
      </c>
      <c r="J139" s="120">
        <f t="shared" si="36"/>
        <v>2027</v>
      </c>
      <c r="K139" s="120">
        <f t="shared" si="36"/>
        <v>2032</v>
      </c>
      <c r="L139" s="120">
        <f t="shared" si="36"/>
        <v>2037</v>
      </c>
      <c r="M139" s="120">
        <f t="shared" si="36"/>
        <v>2042</v>
      </c>
      <c r="N139" s="120">
        <f t="shared" si="36"/>
        <v>2047</v>
      </c>
      <c r="O139" s="120">
        <f t="shared" si="36"/>
        <v>2052</v>
      </c>
      <c r="P139" s="419"/>
    </row>
    <row r="140" spans="2:16">
      <c r="B140" s="155"/>
      <c r="C140" s="413" t="s">
        <v>923</v>
      </c>
      <c r="D140" s="414" t="s">
        <v>918</v>
      </c>
      <c r="E140" s="96" t="s">
        <v>277</v>
      </c>
      <c r="F140" s="600">
        <f t="shared" ref="F140:O140" si="37">CHOOSE($E$8,F49,F71,F94,F116)</f>
        <v>0.59348769755125597</v>
      </c>
      <c r="G140" s="600">
        <f t="shared" si="37"/>
        <v>0.69063372263578993</v>
      </c>
      <c r="H140" s="600">
        <f t="shared" si="37"/>
        <v>0.65241886104258995</v>
      </c>
      <c r="I140" s="600">
        <f t="shared" si="37"/>
        <v>0.61631854381454798</v>
      </c>
      <c r="J140" s="600">
        <f t="shared" si="37"/>
        <v>0.58221576678925602</v>
      </c>
      <c r="K140" s="600">
        <f t="shared" si="37"/>
        <v>0.55000000000000004</v>
      </c>
      <c r="L140" s="600">
        <f t="shared" si="37"/>
        <v>0.49123468999377801</v>
      </c>
      <c r="M140" s="600">
        <f t="shared" si="37"/>
        <v>0.43874821936960601</v>
      </c>
      <c r="N140" s="600">
        <f t="shared" si="37"/>
        <v>0.39186971914063795</v>
      </c>
      <c r="O140" s="600">
        <f t="shared" si="37"/>
        <v>0.35</v>
      </c>
      <c r="P140" s="419"/>
    </row>
    <row r="141" spans="2:16">
      <c r="B141" s="155"/>
      <c r="C141" s="413" t="s">
        <v>923</v>
      </c>
      <c r="D141" s="414" t="s">
        <v>5</v>
      </c>
      <c r="E141" s="414" t="s">
        <v>277</v>
      </c>
      <c r="F141" s="600">
        <f t="shared" ref="F141:O141" si="38">CHOOSE($E$8,F50,F72,F95,F117)</f>
        <v>1.1010381779350401E-3</v>
      </c>
      <c r="G141" s="600">
        <f t="shared" si="38"/>
        <v>8.0274156176023093E-4</v>
      </c>
      <c r="H141" s="600">
        <f t="shared" si="38"/>
        <v>0.01</v>
      </c>
      <c r="I141" s="600">
        <f t="shared" si="38"/>
        <v>1.2228445449938501E-2</v>
      </c>
      <c r="J141" s="600">
        <f t="shared" si="38"/>
        <v>0.02</v>
      </c>
      <c r="K141" s="600">
        <f t="shared" si="38"/>
        <v>0.03</v>
      </c>
      <c r="L141" s="600">
        <f t="shared" si="38"/>
        <v>3.6685336349815502E-2</v>
      </c>
      <c r="M141" s="600">
        <f t="shared" si="38"/>
        <v>4.4860463436636605E-2</v>
      </c>
      <c r="N141" s="600">
        <f t="shared" si="38"/>
        <v>5.4857372999387206E-2</v>
      </c>
      <c r="O141" s="600">
        <f t="shared" si="38"/>
        <v>0.05</v>
      </c>
      <c r="P141" s="419"/>
    </row>
    <row r="142" spans="2:16">
      <c r="B142" s="155"/>
      <c r="C142" s="413" t="s">
        <v>923</v>
      </c>
      <c r="D142" s="414" t="s">
        <v>919</v>
      </c>
      <c r="E142" s="414" t="s">
        <v>277</v>
      </c>
      <c r="F142" s="600">
        <f t="shared" ref="F142:O142" si="39">CHOOSE($E$8,F51,F73,F96,F118)</f>
        <v>1.1010381779350401E-3</v>
      </c>
      <c r="G142" s="600">
        <f t="shared" si="39"/>
        <v>8.5266444942411201E-3</v>
      </c>
      <c r="H142" s="600">
        <f t="shared" si="39"/>
        <v>0.03</v>
      </c>
      <c r="I142" s="600">
        <f t="shared" si="39"/>
        <v>0.08</v>
      </c>
      <c r="J142" s="600">
        <f t="shared" si="39"/>
        <v>0.15</v>
      </c>
      <c r="K142" s="600">
        <f t="shared" si="39"/>
        <v>0.22</v>
      </c>
      <c r="L142" s="600">
        <f t="shared" si="39"/>
        <v>0.28000000000000003</v>
      </c>
      <c r="M142" s="600">
        <f t="shared" si="39"/>
        <v>0.36</v>
      </c>
      <c r="N142" s="600">
        <f t="shared" si="39"/>
        <v>0.42</v>
      </c>
      <c r="O142" s="600">
        <f t="shared" si="39"/>
        <v>0.47</v>
      </c>
      <c r="P142" s="419"/>
    </row>
    <row r="143" spans="2:16">
      <c r="B143" s="155"/>
      <c r="C143" s="413" t="s">
        <v>923</v>
      </c>
      <c r="D143" s="414" t="s">
        <v>499</v>
      </c>
      <c r="E143" s="414" t="s">
        <v>277</v>
      </c>
      <c r="F143" s="600">
        <f t="shared" ref="F143:O143" si="40">CHOOSE($E$8,F52,F74,F97,F119)</f>
        <v>0.24213092843119402</v>
      </c>
      <c r="G143" s="600">
        <f t="shared" si="40"/>
        <v>0.22553470329546102</v>
      </c>
      <c r="H143" s="600">
        <f t="shared" si="40"/>
        <v>0.209840818797557</v>
      </c>
      <c r="I143" s="600">
        <f t="shared" si="40"/>
        <v>0.19523899688263799</v>
      </c>
      <c r="J143" s="600">
        <f t="shared" si="40"/>
        <v>0.181653246123259</v>
      </c>
      <c r="K143" s="600">
        <f t="shared" si="40"/>
        <v>0.16901286297302998</v>
      </c>
      <c r="L143" s="600">
        <f t="shared" si="40"/>
        <v>0.15725206380819398</v>
      </c>
      <c r="M143" s="600">
        <f t="shared" si="40"/>
        <v>0.14630964257366799</v>
      </c>
      <c r="N143" s="600">
        <f t="shared" si="40"/>
        <v>0.13612865225186899</v>
      </c>
      <c r="O143" s="600">
        <f t="shared" si="40"/>
        <v>0.12665610849660799</v>
      </c>
      <c r="P143" s="419"/>
    </row>
    <row r="144" spans="2:16">
      <c r="B144" s="155"/>
      <c r="C144" s="413" t="s">
        <v>923</v>
      </c>
      <c r="D144" s="414" t="s">
        <v>102</v>
      </c>
      <c r="E144" s="414" t="s">
        <v>277</v>
      </c>
      <c r="F144" s="600">
        <f t="shared" ref="F144:O144" si="41">CHOOSE($E$8,F53,F75,F98,F120)</f>
        <v>3.33047323644972E-2</v>
      </c>
      <c r="G144" s="600">
        <f t="shared" si="41"/>
        <v>2.64439319653509E-2</v>
      </c>
      <c r="H144" s="600">
        <f t="shared" si="41"/>
        <v>3.0758113895740999E-2</v>
      </c>
      <c r="I144" s="600">
        <f t="shared" si="41"/>
        <v>2.91453010735514E-2</v>
      </c>
      <c r="J144" s="600">
        <f t="shared" si="41"/>
        <v>0.02</v>
      </c>
      <c r="K144" s="600">
        <f t="shared" si="41"/>
        <v>0.01</v>
      </c>
      <c r="L144" s="600">
        <f t="shared" si="41"/>
        <v>0.01</v>
      </c>
      <c r="M144" s="600">
        <f t="shared" si="41"/>
        <v>0</v>
      </c>
      <c r="N144" s="600">
        <f t="shared" si="41"/>
        <v>0</v>
      </c>
      <c r="O144" s="600">
        <f t="shared" si="41"/>
        <v>0</v>
      </c>
      <c r="P144" s="419"/>
    </row>
    <row r="145" spans="2:16">
      <c r="B145" s="155"/>
      <c r="C145" s="413" t="s">
        <v>923</v>
      </c>
      <c r="D145" s="414" t="s">
        <v>920</v>
      </c>
      <c r="E145" s="414" t="s">
        <v>277</v>
      </c>
      <c r="F145" s="600">
        <f t="shared" ref="F145:O145" si="42">CHOOSE($E$8,F54,F76,F99,F121)</f>
        <v>9.9433620520199606E-2</v>
      </c>
      <c r="G145" s="600">
        <f t="shared" si="42"/>
        <v>6.2146012825124802E-2</v>
      </c>
      <c r="H145" s="600">
        <f t="shared" si="42"/>
        <v>6.1516227791481998E-2</v>
      </c>
      <c r="I145" s="600">
        <f t="shared" si="42"/>
        <v>5.8290602147102799E-2</v>
      </c>
      <c r="J145" s="600">
        <f t="shared" si="42"/>
        <v>0.04</v>
      </c>
      <c r="K145" s="600">
        <f t="shared" si="42"/>
        <v>0.02</v>
      </c>
      <c r="L145" s="600">
        <f t="shared" si="42"/>
        <v>0.01</v>
      </c>
      <c r="M145" s="600">
        <f t="shared" si="42"/>
        <v>0</v>
      </c>
      <c r="N145" s="600">
        <f t="shared" si="42"/>
        <v>0</v>
      </c>
      <c r="O145" s="600">
        <f t="shared" si="42"/>
        <v>0</v>
      </c>
      <c r="P145" s="419"/>
    </row>
    <row r="146" spans="2:16">
      <c r="B146" s="155"/>
      <c r="C146" s="413" t="s">
        <v>923</v>
      </c>
      <c r="D146" s="414" t="s">
        <v>921</v>
      </c>
      <c r="E146" s="414" t="s">
        <v>277</v>
      </c>
      <c r="F146" s="600">
        <f t="shared" ref="F146:O146" si="43">CHOOSE($E$8,F55,F77,F100,F122)</f>
        <v>0</v>
      </c>
      <c r="G146" s="600">
        <f t="shared" si="43"/>
        <v>0</v>
      </c>
      <c r="H146" s="600">
        <f t="shared" si="43"/>
        <v>0</v>
      </c>
      <c r="I146" s="600">
        <f t="shared" si="43"/>
        <v>0</v>
      </c>
      <c r="J146" s="600">
        <f t="shared" si="43"/>
        <v>0</v>
      </c>
      <c r="K146" s="600">
        <f t="shared" si="43"/>
        <v>0</v>
      </c>
      <c r="L146" s="600">
        <f t="shared" si="43"/>
        <v>0</v>
      </c>
      <c r="M146" s="600">
        <f t="shared" si="43"/>
        <v>0</v>
      </c>
      <c r="N146" s="600">
        <f t="shared" si="43"/>
        <v>0</v>
      </c>
      <c r="O146" s="600">
        <f t="shared" si="43"/>
        <v>0</v>
      </c>
      <c r="P146" s="419"/>
    </row>
    <row r="147" spans="2:16">
      <c r="B147" s="155"/>
      <c r="C147" s="106" t="s">
        <v>923</v>
      </c>
      <c r="D147" s="417" t="s">
        <v>103</v>
      </c>
      <c r="E147" s="417"/>
      <c r="F147" s="814">
        <f t="shared" ref="F147:O147" si="44">SUM(F140:F146)</f>
        <v>0.97055905522301678</v>
      </c>
      <c r="G147" s="814">
        <f t="shared" si="44"/>
        <v>1.014087756777728</v>
      </c>
      <c r="H147" s="814">
        <f t="shared" si="44"/>
        <v>0.99453402152737003</v>
      </c>
      <c r="I147" s="814">
        <f t="shared" si="44"/>
        <v>0.99122188936777866</v>
      </c>
      <c r="J147" s="814">
        <f t="shared" si="44"/>
        <v>0.99386901291251517</v>
      </c>
      <c r="K147" s="814">
        <f t="shared" si="44"/>
        <v>0.99901286297303005</v>
      </c>
      <c r="L147" s="814">
        <f t="shared" si="44"/>
        <v>0.98517209015178753</v>
      </c>
      <c r="M147" s="814">
        <f t="shared" si="44"/>
        <v>0.98991832537991054</v>
      </c>
      <c r="N147" s="814">
        <f t="shared" si="44"/>
        <v>1.0028557443918942</v>
      </c>
      <c r="O147" s="814">
        <f t="shared" si="44"/>
        <v>0.99665610849660791</v>
      </c>
      <c r="P147" s="419"/>
    </row>
    <row r="148" spans="2:16">
      <c r="B148" s="155"/>
      <c r="C148" s="413"/>
      <c r="D148" s="414"/>
      <c r="E148" s="414"/>
      <c r="F148" s="600"/>
      <c r="G148" s="600"/>
      <c r="H148" s="600"/>
      <c r="I148" s="600"/>
      <c r="J148" s="600"/>
      <c r="K148" s="600"/>
      <c r="L148" s="600"/>
      <c r="M148" s="600"/>
      <c r="N148" s="600"/>
      <c r="O148" s="600"/>
      <c r="P148" s="419"/>
    </row>
    <row r="149" spans="2:16">
      <c r="B149" s="155"/>
      <c r="C149" s="413" t="s">
        <v>922</v>
      </c>
      <c r="D149" s="414" t="s">
        <v>918</v>
      </c>
      <c r="E149" s="414" t="s">
        <v>277</v>
      </c>
      <c r="F149" s="600">
        <f t="shared" ref="F149:O149" si="45">CHOOSE($E$8,F58,F80,F103,F125)</f>
        <v>9.2596773184610792E-2</v>
      </c>
      <c r="G149" s="600">
        <f t="shared" si="45"/>
        <v>0.130951612469662</v>
      </c>
      <c r="H149" s="600">
        <f t="shared" si="45"/>
        <v>0.141791848436533</v>
      </c>
      <c r="I149" s="600">
        <f t="shared" si="45"/>
        <v>0.16</v>
      </c>
      <c r="J149" s="600">
        <f t="shared" si="45"/>
        <v>0.17324487512592601</v>
      </c>
      <c r="K149" s="600">
        <f t="shared" si="45"/>
        <v>0.18</v>
      </c>
      <c r="L149" s="600">
        <f t="shared" si="45"/>
        <v>0.20451948596415001</v>
      </c>
      <c r="M149" s="600">
        <f t="shared" si="45"/>
        <v>0.232379000772445</v>
      </c>
      <c r="N149" s="600">
        <f t="shared" si="45"/>
        <v>0.26403352103801803</v>
      </c>
      <c r="O149" s="600">
        <f t="shared" si="45"/>
        <v>0.3</v>
      </c>
      <c r="P149" s="419"/>
    </row>
    <row r="150" spans="2:16">
      <c r="B150" s="155" t="s">
        <v>692</v>
      </c>
      <c r="C150" s="413" t="s">
        <v>922</v>
      </c>
      <c r="D150" s="414" t="s">
        <v>5</v>
      </c>
      <c r="E150" s="414" t="s">
        <v>277</v>
      </c>
      <c r="F150" s="600">
        <f t="shared" ref="F150:O150" si="46">CHOOSE($E$8,F59,F81,F104,F126)</f>
        <v>1E-3</v>
      </c>
      <c r="G150" s="600">
        <f t="shared" si="46"/>
        <v>1.3903891703159099E-3</v>
      </c>
      <c r="H150" s="600">
        <f t="shared" si="46"/>
        <v>2.7077575860568696E-3</v>
      </c>
      <c r="I150" s="600">
        <f t="shared" si="46"/>
        <v>5.2733085825047502E-3</v>
      </c>
      <c r="J150" s="600">
        <f t="shared" si="46"/>
        <v>1.0269672421752101E-2</v>
      </c>
      <c r="K150" s="600">
        <f t="shared" si="46"/>
        <v>0.02</v>
      </c>
      <c r="L150" s="600">
        <f t="shared" si="46"/>
        <v>2.5148668593658701E-2</v>
      </c>
      <c r="M150" s="600">
        <f t="shared" si="46"/>
        <v>3.1622776601683798E-2</v>
      </c>
      <c r="N150" s="600">
        <f t="shared" si="46"/>
        <v>3.9763536438352502E-2</v>
      </c>
      <c r="O150" s="600">
        <f t="shared" si="46"/>
        <v>0.05</v>
      </c>
      <c r="P150" s="419"/>
    </row>
    <row r="151" spans="2:16">
      <c r="B151" s="155"/>
      <c r="C151" s="413" t="s">
        <v>922</v>
      </c>
      <c r="D151" s="414" t="s">
        <v>919</v>
      </c>
      <c r="E151" s="414" t="s">
        <v>277</v>
      </c>
      <c r="F151" s="600">
        <f t="shared" ref="F151:O151" si="47">CHOOSE($E$8,F60,F82,F105,F127)</f>
        <v>0</v>
      </c>
      <c r="G151" s="600">
        <f t="shared" si="47"/>
        <v>0</v>
      </c>
      <c r="H151" s="600">
        <f t="shared" si="47"/>
        <v>0</v>
      </c>
      <c r="I151" s="600">
        <f t="shared" si="47"/>
        <v>0</v>
      </c>
      <c r="J151" s="600">
        <f t="shared" si="47"/>
        <v>0</v>
      </c>
      <c r="K151" s="600">
        <f t="shared" si="47"/>
        <v>0</v>
      </c>
      <c r="L151" s="600">
        <f t="shared" si="47"/>
        <v>0</v>
      </c>
      <c r="M151" s="600">
        <f t="shared" si="47"/>
        <v>0</v>
      </c>
      <c r="N151" s="600">
        <f t="shared" si="47"/>
        <v>0</v>
      </c>
      <c r="O151" s="600">
        <f t="shared" si="47"/>
        <v>0</v>
      </c>
      <c r="P151" s="419"/>
    </row>
    <row r="152" spans="2:16">
      <c r="B152" s="155"/>
      <c r="C152" s="413" t="s">
        <v>922</v>
      </c>
      <c r="D152" s="414" t="s">
        <v>499</v>
      </c>
      <c r="E152" s="414" t="s">
        <v>277</v>
      </c>
      <c r="F152" s="600">
        <f t="shared" ref="F152:O152" si="48">CHOOSE($E$8,F61,F83,F106,F128)</f>
        <v>0.869487915334339</v>
      </c>
      <c r="G152" s="600">
        <f t="shared" si="48"/>
        <v>0.84886066660313209</v>
      </c>
      <c r="H152" s="600">
        <f t="shared" si="48"/>
        <v>0.82833414998562505</v>
      </c>
      <c r="I152" s="600">
        <f t="shared" si="48"/>
        <v>0.80830399030987099</v>
      </c>
      <c r="J152" s="600">
        <f t="shared" si="48"/>
        <v>0.78875818504186801</v>
      </c>
      <c r="K152" s="600">
        <f t="shared" si="48"/>
        <v>0.76968502188395505</v>
      </c>
      <c r="L152" s="600">
        <f t="shared" si="48"/>
        <v>0.74</v>
      </c>
      <c r="M152" s="600">
        <f t="shared" si="48"/>
        <v>0.7</v>
      </c>
      <c r="N152" s="600">
        <f t="shared" si="48"/>
        <v>0.65</v>
      </c>
      <c r="O152" s="600">
        <f t="shared" si="48"/>
        <v>0.6</v>
      </c>
      <c r="P152" s="419"/>
    </row>
    <row r="153" spans="2:16">
      <c r="B153" s="155"/>
      <c r="C153" s="413" t="s">
        <v>922</v>
      </c>
      <c r="D153" s="414" t="s">
        <v>102</v>
      </c>
      <c r="E153" s="414" t="s">
        <v>277</v>
      </c>
      <c r="F153" s="600">
        <f t="shared" ref="F153:O153" si="49">CHOOSE($E$8,F62,F84,F107,F129)</f>
        <v>8.8019884925059407E-3</v>
      </c>
      <c r="G153" s="600">
        <f t="shared" si="49"/>
        <v>7.5063610078244299E-3</v>
      </c>
      <c r="H153" s="600">
        <f t="shared" si="49"/>
        <v>8.0000000000000002E-3</v>
      </c>
      <c r="I153" s="600">
        <f t="shared" si="49"/>
        <v>8.0000000000000002E-3</v>
      </c>
      <c r="J153" s="600">
        <f t="shared" si="49"/>
        <v>8.0000000000000002E-3</v>
      </c>
      <c r="K153" s="600">
        <f t="shared" si="49"/>
        <v>0</v>
      </c>
      <c r="L153" s="600">
        <f t="shared" si="49"/>
        <v>0</v>
      </c>
      <c r="M153" s="600">
        <f t="shared" si="49"/>
        <v>0</v>
      </c>
      <c r="N153" s="600">
        <f t="shared" si="49"/>
        <v>0</v>
      </c>
      <c r="O153" s="600">
        <f t="shared" si="49"/>
        <v>0</v>
      </c>
      <c r="P153" s="419"/>
    </row>
    <row r="154" spans="2:16">
      <c r="B154" s="155"/>
      <c r="C154" s="413" t="s">
        <v>922</v>
      </c>
      <c r="D154" s="414" t="s">
        <v>920</v>
      </c>
      <c r="E154" s="414" t="s">
        <v>277</v>
      </c>
      <c r="F154" s="600">
        <f t="shared" ref="F154:O154" si="50">CHOOSE($E$8,F63,F85,F108,F130)</f>
        <v>8.9702515666389097E-3</v>
      </c>
      <c r="G154" s="600">
        <f t="shared" si="50"/>
        <v>5.9332637107535205E-3</v>
      </c>
      <c r="H154" s="600">
        <f t="shared" si="50"/>
        <v>5.0000000000000001E-3</v>
      </c>
      <c r="I154" s="600">
        <f t="shared" si="50"/>
        <v>5.0000000000000001E-3</v>
      </c>
      <c r="J154" s="600">
        <f t="shared" si="50"/>
        <v>5.0000000000000001E-3</v>
      </c>
      <c r="K154" s="600">
        <f t="shared" si="50"/>
        <v>0</v>
      </c>
      <c r="L154" s="600">
        <f t="shared" si="50"/>
        <v>0</v>
      </c>
      <c r="M154" s="600">
        <f t="shared" si="50"/>
        <v>0</v>
      </c>
      <c r="N154" s="600">
        <f t="shared" si="50"/>
        <v>0</v>
      </c>
      <c r="O154" s="600">
        <f t="shared" si="50"/>
        <v>0</v>
      </c>
      <c r="P154" s="419"/>
    </row>
    <row r="155" spans="2:16">
      <c r="B155" s="155"/>
      <c r="C155" s="413" t="s">
        <v>922</v>
      </c>
      <c r="D155" s="105" t="s">
        <v>921</v>
      </c>
      <c r="E155" s="414" t="s">
        <v>277</v>
      </c>
      <c r="F155" s="600">
        <f t="shared" ref="F155:O155" si="51">CHOOSE($E$8,F64,F86,F109,F131)</f>
        <v>4.0000000000000001E-3</v>
      </c>
      <c r="G155" s="600">
        <f t="shared" si="51"/>
        <v>4.0000000000000001E-3</v>
      </c>
      <c r="H155" s="600">
        <f t="shared" si="51"/>
        <v>5.0000000000000001E-3</v>
      </c>
      <c r="I155" s="600">
        <f t="shared" si="51"/>
        <v>8.2743772991171801E-3</v>
      </c>
      <c r="J155" s="600">
        <f t="shared" si="51"/>
        <v>1.3693063937629099E-2</v>
      </c>
      <c r="K155" s="600">
        <f t="shared" si="51"/>
        <v>0.03</v>
      </c>
      <c r="L155" s="600">
        <f t="shared" si="51"/>
        <v>3.4086580994024999E-2</v>
      </c>
      <c r="M155" s="600">
        <f t="shared" si="51"/>
        <v>3.8729833462074204E-2</v>
      </c>
      <c r="N155" s="600">
        <f t="shared" si="51"/>
        <v>4.4005586839669597E-2</v>
      </c>
      <c r="O155" s="600">
        <f t="shared" si="51"/>
        <v>0.05</v>
      </c>
      <c r="P155" s="419"/>
    </row>
    <row r="156" spans="2:16">
      <c r="B156" s="155"/>
      <c r="C156" s="815" t="s">
        <v>922</v>
      </c>
      <c r="D156" s="816" t="s">
        <v>103</v>
      </c>
      <c r="E156" s="817"/>
      <c r="F156" s="818">
        <f t="shared" ref="F156:O156" si="52">SUM(F149:F155)</f>
        <v>0.98485692857809459</v>
      </c>
      <c r="G156" s="818">
        <f t="shared" si="52"/>
        <v>0.99864229296168794</v>
      </c>
      <c r="H156" s="818">
        <f t="shared" si="52"/>
        <v>0.99083375600821499</v>
      </c>
      <c r="I156" s="818">
        <f t="shared" si="52"/>
        <v>0.99485167619149295</v>
      </c>
      <c r="J156" s="818">
        <f t="shared" si="52"/>
        <v>0.99896579652717532</v>
      </c>
      <c r="K156" s="818">
        <f t="shared" si="52"/>
        <v>0.99968502188395503</v>
      </c>
      <c r="L156" s="818">
        <f t="shared" si="52"/>
        <v>1.0037547355518337</v>
      </c>
      <c r="M156" s="818">
        <f t="shared" si="52"/>
        <v>1.002731610836203</v>
      </c>
      <c r="N156" s="818">
        <f t="shared" si="52"/>
        <v>0.99780264431604015</v>
      </c>
      <c r="O156" s="818">
        <f t="shared" si="52"/>
        <v>1</v>
      </c>
      <c r="P156" s="419"/>
    </row>
    <row r="157" spans="2:16">
      <c r="B157" s="155"/>
      <c r="C157" s="104"/>
      <c r="D157" s="105"/>
      <c r="E157" s="415"/>
      <c r="F157" s="415"/>
      <c r="G157" s="415"/>
      <c r="H157" s="415"/>
      <c r="I157" s="415"/>
      <c r="J157" s="415"/>
      <c r="K157" s="415"/>
      <c r="L157" s="415"/>
      <c r="M157" s="415"/>
      <c r="N157" s="415"/>
      <c r="O157" s="415"/>
      <c r="P157" s="419"/>
    </row>
    <row r="158" spans="2:16">
      <c r="B158" s="155"/>
      <c r="C158" s="104"/>
      <c r="D158" s="105"/>
      <c r="E158" s="415"/>
      <c r="F158" s="415"/>
      <c r="G158" s="415"/>
      <c r="H158" s="415"/>
      <c r="I158" s="415"/>
      <c r="J158" s="415"/>
      <c r="K158" s="415"/>
      <c r="L158" s="415"/>
      <c r="M158" s="415"/>
      <c r="N158" s="415"/>
      <c r="O158" s="415"/>
      <c r="P158" s="419"/>
    </row>
    <row r="159" spans="2:16">
      <c r="B159" s="155"/>
      <c r="C159" s="104"/>
      <c r="D159" s="105"/>
      <c r="E159" s="415"/>
      <c r="F159" s="415"/>
      <c r="G159" s="415"/>
      <c r="H159" s="415"/>
      <c r="I159" s="415"/>
      <c r="J159" s="415"/>
      <c r="K159" s="415"/>
      <c r="L159" s="415"/>
      <c r="M159" s="415"/>
      <c r="N159" s="415"/>
      <c r="O159" s="415"/>
      <c r="P159" s="419"/>
    </row>
    <row r="160" spans="2:16">
      <c r="B160" s="155"/>
      <c r="C160" s="104"/>
      <c r="D160" s="105"/>
      <c r="E160" s="415"/>
      <c r="F160" s="415"/>
      <c r="G160" s="415"/>
      <c r="H160" s="415"/>
      <c r="I160" s="415"/>
      <c r="J160" s="415"/>
      <c r="K160" s="415"/>
      <c r="L160" s="415"/>
      <c r="M160" s="415"/>
      <c r="N160" s="415"/>
      <c r="O160" s="415"/>
      <c r="P160" s="419"/>
    </row>
    <row r="161" spans="2:16" ht="15.75">
      <c r="B161" s="155"/>
      <c r="C161" s="820" t="s">
        <v>924</v>
      </c>
      <c r="D161" s="105"/>
      <c r="E161" s="415"/>
      <c r="F161" s="415"/>
      <c r="G161" s="415"/>
      <c r="H161" s="415"/>
      <c r="I161" s="415"/>
      <c r="J161" s="415"/>
      <c r="K161" s="415"/>
      <c r="L161" s="415"/>
      <c r="M161" s="415"/>
      <c r="N161" s="415"/>
      <c r="O161" s="415"/>
      <c r="P161" s="419"/>
    </row>
    <row r="162" spans="2:16">
      <c r="B162" s="155"/>
      <c r="C162" s="104"/>
      <c r="D162" s="105"/>
      <c r="E162" s="415"/>
      <c r="F162" s="415"/>
      <c r="G162" s="415"/>
      <c r="H162" s="415"/>
      <c r="I162" s="415"/>
      <c r="J162" s="415"/>
      <c r="K162" s="415"/>
      <c r="L162" s="415"/>
      <c r="M162" s="415"/>
      <c r="N162" s="415"/>
      <c r="O162" s="415"/>
      <c r="P162" s="419"/>
    </row>
    <row r="163" spans="2:16" ht="14.25">
      <c r="B163" s="155"/>
      <c r="C163" s="819" t="s">
        <v>460</v>
      </c>
      <c r="D163" s="761"/>
      <c r="E163" s="760"/>
      <c r="F163" s="760"/>
      <c r="G163" s="760"/>
      <c r="H163" s="760"/>
      <c r="I163" s="760"/>
      <c r="J163" s="760"/>
      <c r="K163" s="760"/>
      <c r="L163" s="760"/>
      <c r="M163" s="760"/>
      <c r="N163" s="760"/>
      <c r="O163" s="760"/>
      <c r="P163" s="419"/>
    </row>
    <row r="164" spans="2:16">
      <c r="B164" s="155"/>
      <c r="C164" s="104"/>
      <c r="D164" s="105"/>
      <c r="E164" s="415"/>
      <c r="F164" s="415"/>
      <c r="G164" s="415"/>
      <c r="H164" s="415"/>
      <c r="I164" s="415"/>
      <c r="J164" s="415"/>
      <c r="K164" s="415"/>
      <c r="L164" s="415"/>
      <c r="M164" s="415"/>
      <c r="N164" s="415"/>
      <c r="O164" s="415"/>
      <c r="P164" s="419"/>
    </row>
    <row r="165" spans="2:16">
      <c r="B165" s="155"/>
      <c r="C165" s="61" t="s">
        <v>925</v>
      </c>
      <c r="D165" s="61" t="s">
        <v>404</v>
      </c>
      <c r="E165" s="61" t="s">
        <v>533</v>
      </c>
      <c r="F165" s="119">
        <v>2007</v>
      </c>
      <c r="G165" s="120">
        <f t="shared" ref="G165:O165" si="53">F165+5</f>
        <v>2012</v>
      </c>
      <c r="H165" s="120">
        <f t="shared" si="53"/>
        <v>2017</v>
      </c>
      <c r="I165" s="120">
        <f t="shared" si="53"/>
        <v>2022</v>
      </c>
      <c r="J165" s="120">
        <f t="shared" si="53"/>
        <v>2027</v>
      </c>
      <c r="K165" s="120">
        <f t="shared" si="53"/>
        <v>2032</v>
      </c>
      <c r="L165" s="120">
        <f t="shared" si="53"/>
        <v>2037</v>
      </c>
      <c r="M165" s="120">
        <f t="shared" si="53"/>
        <v>2042</v>
      </c>
      <c r="N165" s="120">
        <f t="shared" si="53"/>
        <v>2047</v>
      </c>
      <c r="O165" s="120">
        <f t="shared" si="53"/>
        <v>2052</v>
      </c>
      <c r="P165" s="419"/>
    </row>
    <row r="166" spans="2:16">
      <c r="B166" s="155"/>
      <c r="C166" s="413" t="s">
        <v>918</v>
      </c>
      <c r="D166" s="414" t="s">
        <v>277</v>
      </c>
      <c r="E166" s="821">
        <f>(O166/G166)^(1/40)</f>
        <v>1.0007392431616786</v>
      </c>
      <c r="F166" s="541">
        <v>100</v>
      </c>
      <c r="G166" s="541">
        <v>100</v>
      </c>
      <c r="H166" s="541">
        <f>G166*$E166^5</f>
        <v>100.37016846542267</v>
      </c>
      <c r="I166" s="541">
        <f t="shared" ref="I166:N166" si="54">H166*$E166^5</f>
        <v>100.74170717777326</v>
      </c>
      <c r="J166" s="541">
        <f t="shared" si="54"/>
        <v>101.11462120927382</v>
      </c>
      <c r="K166" s="541">
        <f t="shared" si="54"/>
        <v>101.48891565092212</v>
      </c>
      <c r="L166" s="541">
        <f t="shared" si="54"/>
        <v>101.86459561256125</v>
      </c>
      <c r="M166" s="541">
        <f t="shared" si="54"/>
        <v>102.24166622294926</v>
      </c>
      <c r="N166" s="541">
        <f t="shared" si="54"/>
        <v>102.62013262982931</v>
      </c>
      <c r="O166" s="541">
        <f>G166+3</f>
        <v>103</v>
      </c>
      <c r="P166" s="419"/>
    </row>
    <row r="167" spans="2:16">
      <c r="B167" s="155"/>
      <c r="C167" s="413" t="s">
        <v>926</v>
      </c>
      <c r="D167" s="414" t="s">
        <v>277</v>
      </c>
      <c r="E167" s="821">
        <f t="shared" ref="E167:E172" si="55">(O167/G167)^(1/40)</f>
        <v>1.0004951882476445</v>
      </c>
      <c r="F167" s="541">
        <v>100</v>
      </c>
      <c r="G167" s="541">
        <v>100</v>
      </c>
      <c r="H167" s="541">
        <f>G167*$E167^5</f>
        <v>100.2478394566787</v>
      </c>
      <c r="I167" s="541">
        <f t="shared" ref="I167:N167" si="56">H167*$E167^5</f>
        <v>100.49629315732027</v>
      </c>
      <c r="J167" s="541">
        <f t="shared" si="56"/>
        <v>100.74536262426361</v>
      </c>
      <c r="K167" s="541">
        <f t="shared" si="56"/>
        <v>100.99504938362057</v>
      </c>
      <c r="L167" s="541">
        <f t="shared" si="56"/>
        <v>101.24535496528532</v>
      </c>
      <c r="M167" s="541">
        <f t="shared" si="56"/>
        <v>101.4962809029437</v>
      </c>
      <c r="N167" s="541">
        <f t="shared" si="56"/>
        <v>101.74782873408263</v>
      </c>
      <c r="O167" s="541">
        <f>G167+2</f>
        <v>102</v>
      </c>
      <c r="P167" s="419"/>
    </row>
    <row r="168" spans="2:16">
      <c r="B168" s="155"/>
      <c r="C168" s="413" t="s">
        <v>919</v>
      </c>
      <c r="D168" s="414" t="s">
        <v>277</v>
      </c>
      <c r="E168" s="821">
        <f t="shared" si="55"/>
        <v>1.0007392431616786</v>
      </c>
      <c r="F168" s="541">
        <v>100</v>
      </c>
      <c r="G168" s="541">
        <v>100</v>
      </c>
      <c r="H168" s="541">
        <f t="shared" ref="H168:N172" si="57">G168*$E168^5</f>
        <v>100.37016846542267</v>
      </c>
      <c r="I168" s="541">
        <f t="shared" si="57"/>
        <v>100.74170717777326</v>
      </c>
      <c r="J168" s="541">
        <f t="shared" si="57"/>
        <v>101.11462120927382</v>
      </c>
      <c r="K168" s="541">
        <f t="shared" si="57"/>
        <v>101.48891565092212</v>
      </c>
      <c r="L168" s="541">
        <f t="shared" si="57"/>
        <v>101.86459561256125</v>
      </c>
      <c r="M168" s="541">
        <f t="shared" si="57"/>
        <v>102.24166622294926</v>
      </c>
      <c r="N168" s="541">
        <f t="shared" si="57"/>
        <v>102.62013262982931</v>
      </c>
      <c r="O168" s="541">
        <f>G168+3</f>
        <v>103</v>
      </c>
      <c r="P168" s="419"/>
    </row>
    <row r="169" spans="2:16">
      <c r="B169" s="155"/>
      <c r="C169" s="413" t="s">
        <v>927</v>
      </c>
      <c r="D169" s="414" t="s">
        <v>277</v>
      </c>
      <c r="E169" s="821">
        <f t="shared" si="55"/>
        <v>1.0101881773459105</v>
      </c>
      <c r="F169" s="541">
        <v>100</v>
      </c>
      <c r="G169" s="541">
        <v>100</v>
      </c>
      <c r="H169" s="541">
        <f t="shared" si="57"/>
        <v>105.19895055086444</v>
      </c>
      <c r="I169" s="541">
        <f t="shared" si="57"/>
        <v>110.66819197003221</v>
      </c>
      <c r="J169" s="541">
        <f t="shared" si="57"/>
        <v>116.42177654608992</v>
      </c>
      <c r="K169" s="541">
        <f t="shared" si="57"/>
        <v>122.47448713915902</v>
      </c>
      <c r="L169" s="541">
        <f t="shared" si="57"/>
        <v>128.84187516294872</v>
      </c>
      <c r="M169" s="541">
        <f t="shared" si="57"/>
        <v>135.54030054147691</v>
      </c>
      <c r="N169" s="541">
        <f t="shared" si="57"/>
        <v>142.58697374312132</v>
      </c>
      <c r="O169" s="541">
        <f>G169+50</f>
        <v>150</v>
      </c>
      <c r="P169" s="419"/>
    </row>
    <row r="170" spans="2:16">
      <c r="B170" s="155"/>
      <c r="C170" s="413" t="s">
        <v>928</v>
      </c>
      <c r="D170" s="414" t="s">
        <v>277</v>
      </c>
      <c r="E170" s="821">
        <f t="shared" si="55"/>
        <v>1.0012204983068238</v>
      </c>
      <c r="F170" s="541">
        <v>100</v>
      </c>
      <c r="G170" s="541">
        <v>100</v>
      </c>
      <c r="H170" s="541">
        <f t="shared" si="57"/>
        <v>100.61174058871254</v>
      </c>
      <c r="I170" s="541">
        <f t="shared" si="57"/>
        <v>101.22722344290386</v>
      </c>
      <c r="J170" s="541">
        <f t="shared" si="57"/>
        <v>101.84647145553085</v>
      </c>
      <c r="K170" s="541">
        <f t="shared" si="57"/>
        <v>102.46950765959586</v>
      </c>
      <c r="L170" s="541">
        <f t="shared" si="57"/>
        <v>103.09635522900352</v>
      </c>
      <c r="M170" s="541">
        <f t="shared" si="57"/>
        <v>103.72703747942259</v>
      </c>
      <c r="N170" s="541">
        <f t="shared" si="57"/>
        <v>104.36157786915329</v>
      </c>
      <c r="O170" s="541">
        <f>G170+5</f>
        <v>105</v>
      </c>
      <c r="P170" s="419"/>
    </row>
    <row r="171" spans="2:16">
      <c r="B171" s="155"/>
      <c r="C171" s="413" t="s">
        <v>929</v>
      </c>
      <c r="D171" s="414" t="s">
        <v>277</v>
      </c>
      <c r="E171" s="821">
        <f t="shared" si="55"/>
        <v>1.0012204983068238</v>
      </c>
      <c r="F171" s="541">
        <v>100</v>
      </c>
      <c r="G171" s="541">
        <v>100</v>
      </c>
      <c r="H171" s="541">
        <f t="shared" si="57"/>
        <v>100.61174058871254</v>
      </c>
      <c r="I171" s="541">
        <f t="shared" si="57"/>
        <v>101.22722344290386</v>
      </c>
      <c r="J171" s="541">
        <f t="shared" si="57"/>
        <v>101.84647145553085</v>
      </c>
      <c r="K171" s="541">
        <f t="shared" si="57"/>
        <v>102.46950765959586</v>
      </c>
      <c r="L171" s="541">
        <f t="shared" si="57"/>
        <v>103.09635522900352</v>
      </c>
      <c r="M171" s="541">
        <f t="shared" si="57"/>
        <v>103.72703747942259</v>
      </c>
      <c r="N171" s="541">
        <f t="shared" si="57"/>
        <v>104.36157786915329</v>
      </c>
      <c r="O171" s="541">
        <f>G171+5</f>
        <v>105</v>
      </c>
      <c r="P171" s="419"/>
    </row>
    <row r="172" spans="2:16">
      <c r="B172" s="155"/>
      <c r="C172" s="111" t="s">
        <v>930</v>
      </c>
      <c r="D172" s="112" t="s">
        <v>277</v>
      </c>
      <c r="E172" s="822">
        <f t="shared" si="55"/>
        <v>1.0012204983068238</v>
      </c>
      <c r="F172" s="823">
        <v>100</v>
      </c>
      <c r="G172" s="823">
        <v>100</v>
      </c>
      <c r="H172" s="823">
        <f t="shared" si="57"/>
        <v>100.61174058871254</v>
      </c>
      <c r="I172" s="823">
        <f t="shared" si="57"/>
        <v>101.22722344290386</v>
      </c>
      <c r="J172" s="823">
        <f t="shared" si="57"/>
        <v>101.84647145553085</v>
      </c>
      <c r="K172" s="823">
        <f t="shared" si="57"/>
        <v>102.46950765959586</v>
      </c>
      <c r="L172" s="823">
        <f t="shared" si="57"/>
        <v>103.09635522900352</v>
      </c>
      <c r="M172" s="823">
        <f t="shared" si="57"/>
        <v>103.72703747942259</v>
      </c>
      <c r="N172" s="823">
        <f t="shared" si="57"/>
        <v>104.36157786915329</v>
      </c>
      <c r="O172" s="823">
        <f>G172+5</f>
        <v>105</v>
      </c>
      <c r="P172" s="775"/>
    </row>
    <row r="173" spans="2:16">
      <c r="B173" s="155"/>
      <c r="C173" s="106"/>
      <c r="D173" s="417"/>
      <c r="E173" s="417"/>
      <c r="F173" s="814"/>
      <c r="G173" s="814"/>
      <c r="H173" s="814"/>
      <c r="I173" s="814"/>
      <c r="J173" s="814"/>
      <c r="K173" s="814"/>
      <c r="L173" s="814"/>
      <c r="M173" s="814"/>
      <c r="N173" s="814"/>
      <c r="O173" s="814"/>
      <c r="P173" s="419"/>
    </row>
    <row r="174" spans="2:16" ht="14.25">
      <c r="B174" s="155"/>
      <c r="C174" s="819" t="s">
        <v>461</v>
      </c>
      <c r="D174" s="761"/>
      <c r="E174" s="760"/>
      <c r="F174" s="760"/>
      <c r="G174" s="760"/>
      <c r="H174" s="760"/>
      <c r="I174" s="760"/>
      <c r="J174" s="760"/>
      <c r="K174" s="760"/>
      <c r="L174" s="760"/>
      <c r="M174" s="760"/>
      <c r="N174" s="760"/>
      <c r="O174" s="760"/>
      <c r="P174" s="419"/>
    </row>
    <row r="175" spans="2:16">
      <c r="B175" s="155"/>
      <c r="C175" s="104"/>
      <c r="D175" s="105"/>
      <c r="E175" s="415"/>
      <c r="F175" s="415"/>
      <c r="G175" s="415"/>
      <c r="H175" s="415"/>
      <c r="I175" s="415"/>
      <c r="J175" s="415"/>
      <c r="K175" s="415"/>
      <c r="L175" s="415"/>
      <c r="M175" s="415"/>
      <c r="N175" s="415"/>
      <c r="O175" s="415"/>
      <c r="P175" s="419"/>
    </row>
    <row r="176" spans="2:16">
      <c r="B176" s="155"/>
      <c r="C176" s="61" t="s">
        <v>925</v>
      </c>
      <c r="D176" s="61" t="s">
        <v>404</v>
      </c>
      <c r="E176" s="61" t="s">
        <v>533</v>
      </c>
      <c r="F176" s="119">
        <v>2007</v>
      </c>
      <c r="G176" s="120">
        <f t="shared" ref="G176:O176" si="58">F176+5</f>
        <v>2012</v>
      </c>
      <c r="H176" s="120">
        <f t="shared" si="58"/>
        <v>2017</v>
      </c>
      <c r="I176" s="120">
        <f t="shared" si="58"/>
        <v>2022</v>
      </c>
      <c r="J176" s="120">
        <f t="shared" si="58"/>
        <v>2027</v>
      </c>
      <c r="K176" s="120">
        <f t="shared" si="58"/>
        <v>2032</v>
      </c>
      <c r="L176" s="120">
        <f t="shared" si="58"/>
        <v>2037</v>
      </c>
      <c r="M176" s="120">
        <f t="shared" si="58"/>
        <v>2042</v>
      </c>
      <c r="N176" s="120">
        <f t="shared" si="58"/>
        <v>2047</v>
      </c>
      <c r="O176" s="120">
        <f t="shared" si="58"/>
        <v>2052</v>
      </c>
      <c r="P176" s="419"/>
    </row>
    <row r="177" spans="2:16">
      <c r="B177" s="155"/>
      <c r="C177" s="413" t="s">
        <v>918</v>
      </c>
      <c r="D177" s="414" t="s">
        <v>277</v>
      </c>
      <c r="E177" s="821">
        <f>(O177/G177)^(1/40)</f>
        <v>1.0014577842390082</v>
      </c>
      <c r="F177" s="541">
        <v>100</v>
      </c>
      <c r="G177" s="541">
        <v>100</v>
      </c>
      <c r="H177" s="541">
        <f>G177*$E177^5</f>
        <v>100.7310203546385</v>
      </c>
      <c r="I177" s="541">
        <f t="shared" ref="I177:N177" si="59">H177*$E177^5</f>
        <v>101.46738461686596</v>
      </c>
      <c r="J177" s="541">
        <f t="shared" si="59"/>
        <v>102.20913185173458</v>
      </c>
      <c r="K177" s="541">
        <f t="shared" si="59"/>
        <v>102.95630140987006</v>
      </c>
      <c r="L177" s="541">
        <f t="shared" si="59"/>
        <v>103.70893292955918</v>
      </c>
      <c r="M177" s="541">
        <f t="shared" si="59"/>
        <v>104.46706633885265</v>
      </c>
      <c r="N177" s="541">
        <f t="shared" si="59"/>
        <v>105.23074185768337</v>
      </c>
      <c r="O177" s="541">
        <f>G177+6</f>
        <v>106</v>
      </c>
      <c r="P177" s="419"/>
    </row>
    <row r="178" spans="2:16">
      <c r="B178" s="155"/>
      <c r="C178" s="413" t="s">
        <v>926</v>
      </c>
      <c r="D178" s="414" t="s">
        <v>277</v>
      </c>
      <c r="E178" s="821">
        <f t="shared" ref="E178:E183" si="60">(O178/G178)^(1/40)</f>
        <v>1.0009809986935909</v>
      </c>
      <c r="F178" s="541">
        <v>100</v>
      </c>
      <c r="G178" s="541">
        <v>100</v>
      </c>
      <c r="H178" s="541">
        <f>G178*$E178^5</f>
        <v>100.49146264976781</v>
      </c>
      <c r="I178" s="541">
        <f t="shared" ref="I178:N178" si="61">H178*$E178^5</f>
        <v>100.98534065489679</v>
      </c>
      <c r="J178" s="541">
        <f t="shared" si="61"/>
        <v>101.48164588595638</v>
      </c>
      <c r="K178" s="541">
        <f t="shared" si="61"/>
        <v>101.98039027185548</v>
      </c>
      <c r="L178" s="541">
        <f t="shared" si="61"/>
        <v>102.4815858001291</v>
      </c>
      <c r="M178" s="541">
        <f t="shared" si="61"/>
        <v>102.98524451722648</v>
      </c>
      <c r="N178" s="541">
        <f t="shared" si="61"/>
        <v>103.49137852880069</v>
      </c>
      <c r="O178" s="541">
        <f>G178+4</f>
        <v>104</v>
      </c>
      <c r="P178" s="419"/>
    </row>
    <row r="179" spans="2:16">
      <c r="B179" s="155"/>
      <c r="C179" s="413" t="s">
        <v>919</v>
      </c>
      <c r="D179" s="414" t="s">
        <v>277</v>
      </c>
      <c r="E179" s="821">
        <f t="shared" si="60"/>
        <v>1.0014577842390082</v>
      </c>
      <c r="F179" s="541">
        <v>100</v>
      </c>
      <c r="G179" s="541">
        <v>100</v>
      </c>
      <c r="H179" s="541">
        <f t="shared" ref="H179:N179" si="62">G179*$E179^5</f>
        <v>100.7310203546385</v>
      </c>
      <c r="I179" s="541">
        <f t="shared" si="62"/>
        <v>101.46738461686596</v>
      </c>
      <c r="J179" s="541">
        <f t="shared" si="62"/>
        <v>102.20913185173458</v>
      </c>
      <c r="K179" s="541">
        <f t="shared" si="62"/>
        <v>102.95630140987006</v>
      </c>
      <c r="L179" s="541">
        <f t="shared" si="62"/>
        <v>103.70893292955918</v>
      </c>
      <c r="M179" s="541">
        <f t="shared" si="62"/>
        <v>104.46706633885265</v>
      </c>
      <c r="N179" s="541">
        <f t="shared" si="62"/>
        <v>105.23074185768337</v>
      </c>
      <c r="O179" s="541">
        <f>G179+6</f>
        <v>106</v>
      </c>
      <c r="P179" s="419"/>
    </row>
    <row r="180" spans="2:16">
      <c r="B180" s="155"/>
      <c r="C180" s="413" t="s">
        <v>927</v>
      </c>
      <c r="D180" s="414" t="s">
        <v>277</v>
      </c>
      <c r="E180" s="821">
        <f t="shared" si="60"/>
        <v>1.0174796921026863</v>
      </c>
      <c r="F180" s="541">
        <v>100</v>
      </c>
      <c r="G180" s="541">
        <v>100</v>
      </c>
      <c r="H180" s="541">
        <f t="shared" ref="H180:N180" si="63">G180*$E180^5</f>
        <v>109.05077326652572</v>
      </c>
      <c r="I180" s="541">
        <f t="shared" si="63"/>
        <v>118.92071150027202</v>
      </c>
      <c r="J180" s="541">
        <f t="shared" si="63"/>
        <v>129.68395546510084</v>
      </c>
      <c r="K180" s="541">
        <f t="shared" si="63"/>
        <v>141.42135623730931</v>
      </c>
      <c r="L180" s="541">
        <f t="shared" si="63"/>
        <v>154.22108254079382</v>
      </c>
      <c r="M180" s="541">
        <f t="shared" si="63"/>
        <v>168.17928305074255</v>
      </c>
      <c r="N180" s="541">
        <f t="shared" si="63"/>
        <v>183.4008086409338</v>
      </c>
      <c r="O180" s="541">
        <f>G180+100</f>
        <v>200</v>
      </c>
      <c r="P180" s="419"/>
    </row>
    <row r="181" spans="2:16">
      <c r="B181" s="155"/>
      <c r="C181" s="413" t="s">
        <v>928</v>
      </c>
      <c r="D181" s="414" t="s">
        <v>277</v>
      </c>
      <c r="E181" s="821">
        <f t="shared" si="60"/>
        <v>1.0023855955106329</v>
      </c>
      <c r="F181" s="541">
        <v>100</v>
      </c>
      <c r="G181" s="541">
        <v>100</v>
      </c>
      <c r="H181" s="541">
        <f t="shared" ref="H181:N181" si="64">G181*$E181^5</f>
        <v>101.19850241403998</v>
      </c>
      <c r="I181" s="541">
        <f t="shared" si="64"/>
        <v>102.41136890844456</v>
      </c>
      <c r="J181" s="541">
        <f t="shared" si="64"/>
        <v>103.63877163706366</v>
      </c>
      <c r="K181" s="541">
        <f t="shared" si="64"/>
        <v>104.88088481701524</v>
      </c>
      <c r="L181" s="541">
        <f t="shared" si="64"/>
        <v>106.13788475341366</v>
      </c>
      <c r="M181" s="541">
        <f t="shared" si="64"/>
        <v>107.40994986439429</v>
      </c>
      <c r="N181" s="541">
        <f t="shared" si="64"/>
        <v>108.69726070643819</v>
      </c>
      <c r="O181" s="541">
        <f>G181+10</f>
        <v>110</v>
      </c>
      <c r="P181" s="419"/>
    </row>
    <row r="182" spans="2:16">
      <c r="B182" s="155"/>
      <c r="C182" s="413" t="s">
        <v>929</v>
      </c>
      <c r="D182" s="414" t="s">
        <v>277</v>
      </c>
      <c r="E182" s="821">
        <f t="shared" si="60"/>
        <v>1.0023855955106329</v>
      </c>
      <c r="F182" s="541">
        <v>100</v>
      </c>
      <c r="G182" s="541">
        <v>100</v>
      </c>
      <c r="H182" s="541">
        <f t="shared" ref="H182:N182" si="65">G182*$E182^5</f>
        <v>101.19850241403998</v>
      </c>
      <c r="I182" s="541">
        <f t="shared" si="65"/>
        <v>102.41136890844456</v>
      </c>
      <c r="J182" s="541">
        <f t="shared" si="65"/>
        <v>103.63877163706366</v>
      </c>
      <c r="K182" s="541">
        <f t="shared" si="65"/>
        <v>104.88088481701524</v>
      </c>
      <c r="L182" s="541">
        <f t="shared" si="65"/>
        <v>106.13788475341366</v>
      </c>
      <c r="M182" s="541">
        <f t="shared" si="65"/>
        <v>107.40994986439429</v>
      </c>
      <c r="N182" s="541">
        <f t="shared" si="65"/>
        <v>108.69726070643819</v>
      </c>
      <c r="O182" s="541">
        <f>G182+10</f>
        <v>110</v>
      </c>
      <c r="P182" s="419"/>
    </row>
    <row r="183" spans="2:16">
      <c r="B183" s="155"/>
      <c r="C183" s="111" t="s">
        <v>930</v>
      </c>
      <c r="D183" s="112" t="s">
        <v>277</v>
      </c>
      <c r="E183" s="822">
        <f t="shared" si="60"/>
        <v>1.0023855955106329</v>
      </c>
      <c r="F183" s="823">
        <v>100</v>
      </c>
      <c r="G183" s="823">
        <v>100</v>
      </c>
      <c r="H183" s="823">
        <f t="shared" ref="H183:N183" si="66">G183*$E183^5</f>
        <v>101.19850241403998</v>
      </c>
      <c r="I183" s="823">
        <f t="shared" si="66"/>
        <v>102.41136890844456</v>
      </c>
      <c r="J183" s="823">
        <f t="shared" si="66"/>
        <v>103.63877163706366</v>
      </c>
      <c r="K183" s="823">
        <f t="shared" si="66"/>
        <v>104.88088481701524</v>
      </c>
      <c r="L183" s="823">
        <f t="shared" si="66"/>
        <v>106.13788475341366</v>
      </c>
      <c r="M183" s="823">
        <f t="shared" si="66"/>
        <v>107.40994986439429</v>
      </c>
      <c r="N183" s="823">
        <f t="shared" si="66"/>
        <v>108.69726070643819</v>
      </c>
      <c r="O183" s="823">
        <f>G183+10</f>
        <v>110</v>
      </c>
      <c r="P183" s="419"/>
    </row>
    <row r="184" spans="2:16">
      <c r="B184" s="155"/>
      <c r="C184" s="413"/>
      <c r="D184" s="414"/>
      <c r="E184" s="414"/>
      <c r="F184" s="600"/>
      <c r="G184" s="600"/>
      <c r="H184" s="600"/>
      <c r="I184" s="600"/>
      <c r="J184" s="600"/>
      <c r="K184" s="600"/>
      <c r="L184" s="600"/>
      <c r="M184" s="600"/>
      <c r="N184" s="600"/>
      <c r="O184" s="600"/>
      <c r="P184" s="419"/>
    </row>
    <row r="185" spans="2:16">
      <c r="B185" s="155"/>
      <c r="C185" s="413"/>
      <c r="D185" s="414"/>
      <c r="E185" s="414"/>
      <c r="F185" s="600"/>
      <c r="G185" s="600"/>
      <c r="H185" s="600"/>
      <c r="I185" s="600"/>
      <c r="J185" s="600"/>
      <c r="K185" s="600"/>
      <c r="L185" s="600"/>
      <c r="M185" s="600"/>
      <c r="N185" s="600"/>
      <c r="O185" s="600"/>
      <c r="P185" s="419"/>
    </row>
    <row r="186" spans="2:16">
      <c r="B186" s="155"/>
      <c r="C186" s="104"/>
      <c r="D186" s="105"/>
      <c r="E186" s="415"/>
      <c r="F186" s="415"/>
      <c r="G186" s="415"/>
      <c r="H186" s="415"/>
      <c r="I186" s="415"/>
      <c r="J186" s="415"/>
      <c r="K186" s="415"/>
      <c r="L186" s="415"/>
      <c r="M186" s="415"/>
      <c r="N186" s="415"/>
      <c r="O186" s="415"/>
      <c r="P186" s="419"/>
    </row>
    <row r="187" spans="2:16" ht="14.25">
      <c r="B187" s="155"/>
      <c r="C187" s="819" t="s">
        <v>462</v>
      </c>
      <c r="D187" s="761"/>
      <c r="E187" s="760"/>
      <c r="F187" s="760"/>
      <c r="G187" s="760"/>
      <c r="H187" s="760"/>
      <c r="I187" s="760"/>
      <c r="J187" s="760"/>
      <c r="K187" s="760"/>
      <c r="L187" s="760"/>
      <c r="M187" s="760"/>
      <c r="N187" s="760"/>
      <c r="O187" s="760"/>
      <c r="P187" s="419"/>
    </row>
    <row r="188" spans="2:16">
      <c r="B188" s="155"/>
      <c r="C188" s="104"/>
      <c r="D188" s="105"/>
      <c r="E188" s="415"/>
      <c r="F188" s="415"/>
      <c r="G188" s="415"/>
      <c r="H188" s="415"/>
      <c r="I188" s="415"/>
      <c r="J188" s="415"/>
      <c r="K188" s="415"/>
      <c r="L188" s="415"/>
      <c r="M188" s="415"/>
      <c r="N188" s="415"/>
      <c r="O188" s="415"/>
      <c r="P188" s="419"/>
    </row>
    <row r="189" spans="2:16">
      <c r="B189" s="155"/>
      <c r="C189" s="61" t="s">
        <v>925</v>
      </c>
      <c r="D189" s="61" t="s">
        <v>404</v>
      </c>
      <c r="E189" s="61" t="s">
        <v>533</v>
      </c>
      <c r="F189" s="119">
        <v>2007</v>
      </c>
      <c r="G189" s="120">
        <f t="shared" ref="G189:O189" si="67">F189+5</f>
        <v>2012</v>
      </c>
      <c r="H189" s="120">
        <f t="shared" si="67"/>
        <v>2017</v>
      </c>
      <c r="I189" s="120">
        <f t="shared" si="67"/>
        <v>2022</v>
      </c>
      <c r="J189" s="120">
        <f t="shared" si="67"/>
        <v>2027</v>
      </c>
      <c r="K189" s="120">
        <f t="shared" si="67"/>
        <v>2032</v>
      </c>
      <c r="L189" s="120">
        <f t="shared" si="67"/>
        <v>2037</v>
      </c>
      <c r="M189" s="120">
        <f t="shared" si="67"/>
        <v>2042</v>
      </c>
      <c r="N189" s="120">
        <f t="shared" si="67"/>
        <v>2047</v>
      </c>
      <c r="O189" s="120">
        <f t="shared" si="67"/>
        <v>2052</v>
      </c>
      <c r="P189" s="419"/>
    </row>
    <row r="190" spans="2:16">
      <c r="B190" s="155"/>
      <c r="C190" s="413" t="s">
        <v>918</v>
      </c>
      <c r="D190" s="414" t="s">
        <v>277</v>
      </c>
      <c r="E190" s="821">
        <f>(O190/G190)^(1/40)</f>
        <v>1.0021567648846494</v>
      </c>
      <c r="F190" s="541">
        <v>100</v>
      </c>
      <c r="G190" s="541">
        <v>100</v>
      </c>
      <c r="H190" s="541">
        <f>G190*$E190^5</f>
        <v>101.08304412039841</v>
      </c>
      <c r="I190" s="541">
        <f t="shared" ref="I190:N190" si="68">H190*$E190^5</f>
        <v>102.17781808646411</v>
      </c>
      <c r="J190" s="541">
        <f t="shared" si="68"/>
        <v>103.28444893760096</v>
      </c>
      <c r="K190" s="541">
        <f t="shared" si="68"/>
        <v>104.40306508910554</v>
      </c>
      <c r="L190" s="541">
        <f t="shared" si="68"/>
        <v>105.53379634706883</v>
      </c>
      <c r="M190" s="541">
        <f t="shared" si="68"/>
        <v>106.676773923439</v>
      </c>
      <c r="N190" s="541">
        <f t="shared" si="68"/>
        <v>107.83213045124751</v>
      </c>
      <c r="O190" s="541">
        <f>G190+9</f>
        <v>109</v>
      </c>
      <c r="P190" s="419"/>
    </row>
    <row r="191" spans="2:16">
      <c r="B191" s="155"/>
      <c r="C191" s="413" t="s">
        <v>926</v>
      </c>
      <c r="D191" s="414" t="s">
        <v>277</v>
      </c>
      <c r="E191" s="821">
        <f t="shared" ref="E191:E196" si="69">(O191/G191)^(1/40)</f>
        <v>1.0014577842390082</v>
      </c>
      <c r="F191" s="541">
        <v>100</v>
      </c>
      <c r="G191" s="541">
        <v>100</v>
      </c>
      <c r="H191" s="541">
        <f>G191*$E191^5</f>
        <v>100.7310203546385</v>
      </c>
      <c r="I191" s="541">
        <f t="shared" ref="I191:N191" si="70">H191*$E191^5</f>
        <v>101.46738461686596</v>
      </c>
      <c r="J191" s="541">
        <f t="shared" si="70"/>
        <v>102.20913185173458</v>
      </c>
      <c r="K191" s="541">
        <f t="shared" si="70"/>
        <v>102.95630140987006</v>
      </c>
      <c r="L191" s="541">
        <f t="shared" si="70"/>
        <v>103.70893292955918</v>
      </c>
      <c r="M191" s="541">
        <f t="shared" si="70"/>
        <v>104.46706633885265</v>
      </c>
      <c r="N191" s="541">
        <f t="shared" si="70"/>
        <v>105.23074185768337</v>
      </c>
      <c r="O191" s="541">
        <f>G191+6</f>
        <v>106</v>
      </c>
      <c r="P191" s="419"/>
    </row>
    <row r="192" spans="2:16">
      <c r="B192" s="155"/>
      <c r="C192" s="413" t="s">
        <v>919</v>
      </c>
      <c r="D192" s="414" t="s">
        <v>277</v>
      </c>
      <c r="E192" s="821">
        <f t="shared" si="69"/>
        <v>1.0021567648846494</v>
      </c>
      <c r="F192" s="541">
        <v>100</v>
      </c>
      <c r="G192" s="541">
        <v>100</v>
      </c>
      <c r="H192" s="541">
        <f t="shared" ref="H192:N192" si="71">G192*$E192^5</f>
        <v>101.08304412039841</v>
      </c>
      <c r="I192" s="541">
        <f t="shared" si="71"/>
        <v>102.17781808646411</v>
      </c>
      <c r="J192" s="541">
        <f t="shared" si="71"/>
        <v>103.28444893760096</v>
      </c>
      <c r="K192" s="541">
        <f t="shared" si="71"/>
        <v>104.40306508910554</v>
      </c>
      <c r="L192" s="541">
        <f t="shared" si="71"/>
        <v>105.53379634706883</v>
      </c>
      <c r="M192" s="541">
        <f t="shared" si="71"/>
        <v>106.676773923439</v>
      </c>
      <c r="N192" s="541">
        <f t="shared" si="71"/>
        <v>107.83213045124751</v>
      </c>
      <c r="O192" s="541">
        <f>G192+9</f>
        <v>109</v>
      </c>
      <c r="P192" s="419"/>
    </row>
    <row r="193" spans="2:16">
      <c r="B193" s="155"/>
      <c r="C193" s="413" t="s">
        <v>927</v>
      </c>
      <c r="D193" s="414" t="s">
        <v>277</v>
      </c>
      <c r="E193" s="821">
        <f t="shared" si="69"/>
        <v>1.0231716546977176</v>
      </c>
      <c r="F193" s="541">
        <v>100</v>
      </c>
      <c r="G193" s="541">
        <v>100</v>
      </c>
      <c r="H193" s="541">
        <f t="shared" ref="H193:N193" si="72">G193*$E193^5</f>
        <v>112.13533919701386</v>
      </c>
      <c r="I193" s="541">
        <f t="shared" si="72"/>
        <v>125.74334296829353</v>
      </c>
      <c r="J193" s="541">
        <f t="shared" si="72"/>
        <v>141.00272415516042</v>
      </c>
      <c r="K193" s="541">
        <f t="shared" si="72"/>
        <v>158.11388300841892</v>
      </c>
      <c r="L193" s="541">
        <f t="shared" si="72"/>
        <v>177.30153902906022</v>
      </c>
      <c r="M193" s="541">
        <f t="shared" si="72"/>
        <v>198.8176821917626</v>
      </c>
      <c r="N193" s="541">
        <f t="shared" si="72"/>
        <v>222.94488230937401</v>
      </c>
      <c r="O193" s="541">
        <f>G193+150</f>
        <v>250</v>
      </c>
      <c r="P193" s="419"/>
    </row>
    <row r="194" spans="2:16">
      <c r="B194" s="155"/>
      <c r="C194" s="413" t="s">
        <v>928</v>
      </c>
      <c r="D194" s="414" t="s">
        <v>277</v>
      </c>
      <c r="E194" s="821">
        <f t="shared" si="69"/>
        <v>1.0035001598627038</v>
      </c>
      <c r="F194" s="541">
        <v>100</v>
      </c>
      <c r="G194" s="541">
        <v>100</v>
      </c>
      <c r="H194" s="541">
        <f t="shared" ref="H194:N194" si="73">G194*$E194^5</f>
        <v>101.76237400638909</v>
      </c>
      <c r="I194" s="541">
        <f t="shared" si="73"/>
        <v>103.55580763416215</v>
      </c>
      <c r="J194" s="541">
        <f t="shared" si="73"/>
        <v>105.38084827001292</v>
      </c>
      <c r="K194" s="541">
        <f t="shared" si="73"/>
        <v>107.23805294763596</v>
      </c>
      <c r="L194" s="541">
        <f t="shared" si="73"/>
        <v>109.12798851774288</v>
      </c>
      <c r="M194" s="541">
        <f t="shared" si="73"/>
        <v>111.05123182107486</v>
      </c>
      <c r="N194" s="541">
        <f t="shared" si="73"/>
        <v>113.00836986446438</v>
      </c>
      <c r="O194" s="541">
        <f>G194+15</f>
        <v>115</v>
      </c>
      <c r="P194" s="419"/>
    </row>
    <row r="195" spans="2:16">
      <c r="B195" s="155"/>
      <c r="C195" s="413" t="s">
        <v>929</v>
      </c>
      <c r="D195" s="414" t="s">
        <v>277</v>
      </c>
      <c r="E195" s="821">
        <f t="shared" si="69"/>
        <v>1.0035001598627038</v>
      </c>
      <c r="F195" s="541">
        <v>100</v>
      </c>
      <c r="G195" s="541">
        <v>100</v>
      </c>
      <c r="H195" s="541">
        <f t="shared" ref="H195:N195" si="74">G195*$E195^5</f>
        <v>101.76237400638909</v>
      </c>
      <c r="I195" s="541">
        <f t="shared" si="74"/>
        <v>103.55580763416215</v>
      </c>
      <c r="J195" s="541">
        <f t="shared" si="74"/>
        <v>105.38084827001292</v>
      </c>
      <c r="K195" s="541">
        <f t="shared" si="74"/>
        <v>107.23805294763596</v>
      </c>
      <c r="L195" s="541">
        <f t="shared" si="74"/>
        <v>109.12798851774288</v>
      </c>
      <c r="M195" s="541">
        <f t="shared" si="74"/>
        <v>111.05123182107486</v>
      </c>
      <c r="N195" s="541">
        <f t="shared" si="74"/>
        <v>113.00836986446438</v>
      </c>
      <c r="O195" s="541">
        <f>G195+15</f>
        <v>115</v>
      </c>
      <c r="P195" s="419"/>
    </row>
    <row r="196" spans="2:16">
      <c r="B196" s="155"/>
      <c r="C196" s="111" t="s">
        <v>930</v>
      </c>
      <c r="D196" s="112" t="s">
        <v>277</v>
      </c>
      <c r="E196" s="822">
        <f t="shared" si="69"/>
        <v>1.0035001598627038</v>
      </c>
      <c r="F196" s="823">
        <v>100</v>
      </c>
      <c r="G196" s="823">
        <v>100</v>
      </c>
      <c r="H196" s="823">
        <f t="shared" ref="H196:N196" si="75">G196*$E196^5</f>
        <v>101.76237400638909</v>
      </c>
      <c r="I196" s="823">
        <f t="shared" si="75"/>
        <v>103.55580763416215</v>
      </c>
      <c r="J196" s="823">
        <f t="shared" si="75"/>
        <v>105.38084827001292</v>
      </c>
      <c r="K196" s="823">
        <f t="shared" si="75"/>
        <v>107.23805294763596</v>
      </c>
      <c r="L196" s="823">
        <f t="shared" si="75"/>
        <v>109.12798851774288</v>
      </c>
      <c r="M196" s="823">
        <f t="shared" si="75"/>
        <v>111.05123182107486</v>
      </c>
      <c r="N196" s="823">
        <f t="shared" si="75"/>
        <v>113.00836986446438</v>
      </c>
      <c r="O196" s="823">
        <f>G196+15</f>
        <v>115</v>
      </c>
      <c r="P196" s="419"/>
    </row>
    <row r="197" spans="2:16">
      <c r="B197" s="155"/>
      <c r="C197" s="104"/>
      <c r="D197" s="105"/>
      <c r="E197" s="415"/>
      <c r="F197" s="415"/>
      <c r="G197" s="415"/>
      <c r="H197" s="415"/>
      <c r="I197" s="415"/>
      <c r="J197" s="415"/>
      <c r="K197" s="415"/>
      <c r="L197" s="415"/>
      <c r="M197" s="415"/>
      <c r="N197" s="415"/>
      <c r="O197" s="415"/>
      <c r="P197" s="419"/>
    </row>
    <row r="198" spans="2:16">
      <c r="B198" s="155"/>
      <c r="C198" s="104"/>
      <c r="D198" s="105"/>
      <c r="E198" s="415"/>
      <c r="F198" s="415"/>
      <c r="G198" s="415"/>
      <c r="H198" s="415"/>
      <c r="I198" s="415"/>
      <c r="J198" s="415"/>
      <c r="K198" s="415"/>
      <c r="L198" s="415"/>
      <c r="M198" s="415"/>
      <c r="N198" s="415"/>
      <c r="O198" s="415"/>
      <c r="P198" s="419"/>
    </row>
    <row r="199" spans="2:16" ht="14.25">
      <c r="B199" s="155"/>
      <c r="C199" s="819" t="s">
        <v>463</v>
      </c>
      <c r="D199" s="761"/>
      <c r="E199" s="760"/>
      <c r="F199" s="760"/>
      <c r="G199" s="760"/>
      <c r="H199" s="760"/>
      <c r="I199" s="760"/>
      <c r="J199" s="760"/>
      <c r="K199" s="760"/>
      <c r="L199" s="760"/>
      <c r="M199" s="760"/>
      <c r="N199" s="760"/>
      <c r="O199" s="760"/>
      <c r="P199" s="419"/>
    </row>
    <row r="200" spans="2:16">
      <c r="B200" s="155"/>
      <c r="C200" s="104"/>
      <c r="D200" s="105"/>
      <c r="E200" s="415"/>
      <c r="F200" s="415"/>
      <c r="G200" s="415"/>
      <c r="H200" s="415"/>
      <c r="I200" s="415"/>
      <c r="J200" s="415"/>
      <c r="K200" s="415"/>
      <c r="L200" s="415"/>
      <c r="M200" s="415"/>
      <c r="N200" s="415"/>
      <c r="O200" s="415"/>
      <c r="P200" s="419"/>
    </row>
    <row r="201" spans="2:16">
      <c r="B201" s="155"/>
      <c r="C201" s="61" t="s">
        <v>925</v>
      </c>
      <c r="D201" s="61" t="s">
        <v>404</v>
      </c>
      <c r="E201" s="61" t="s">
        <v>533</v>
      </c>
      <c r="F201" s="119">
        <v>2007</v>
      </c>
      <c r="G201" s="120">
        <f t="shared" ref="G201:O201" si="76">F201+5</f>
        <v>2012</v>
      </c>
      <c r="H201" s="120">
        <f t="shared" si="76"/>
        <v>2017</v>
      </c>
      <c r="I201" s="120">
        <f t="shared" si="76"/>
        <v>2022</v>
      </c>
      <c r="J201" s="120">
        <f t="shared" si="76"/>
        <v>2027</v>
      </c>
      <c r="K201" s="120">
        <f t="shared" si="76"/>
        <v>2032</v>
      </c>
      <c r="L201" s="120">
        <f t="shared" si="76"/>
        <v>2037</v>
      </c>
      <c r="M201" s="120">
        <f t="shared" si="76"/>
        <v>2042</v>
      </c>
      <c r="N201" s="120">
        <f t="shared" si="76"/>
        <v>2047</v>
      </c>
      <c r="O201" s="120">
        <f t="shared" si="76"/>
        <v>2052</v>
      </c>
      <c r="P201" s="419"/>
    </row>
    <row r="202" spans="2:16">
      <c r="B202" s="155"/>
      <c r="C202" s="413" t="s">
        <v>918</v>
      </c>
      <c r="D202" s="414" t="s">
        <v>277</v>
      </c>
      <c r="E202" s="821">
        <f>(O202/G202)^(1/40)</f>
        <v>1.0028372344854506</v>
      </c>
      <c r="F202" s="541">
        <v>100</v>
      </c>
      <c r="G202" s="541">
        <v>100</v>
      </c>
      <c r="H202" s="541">
        <f>G202*$E202^5</f>
        <v>101.42669001412207</v>
      </c>
      <c r="I202" s="541">
        <f t="shared" ref="I202:N202" si="77">H202*$E202^5</f>
        <v>102.87373447220811</v>
      </c>
      <c r="J202" s="541">
        <f t="shared" si="77"/>
        <v>104.34142376907756</v>
      </c>
      <c r="K202" s="541">
        <f t="shared" si="77"/>
        <v>105.83005244258379</v>
      </c>
      <c r="L202" s="541">
        <f t="shared" si="77"/>
        <v>107.33991923272229</v>
      </c>
      <c r="M202" s="541">
        <f t="shared" si="77"/>
        <v>108.87132714158224</v>
      </c>
      <c r="N202" s="541">
        <f t="shared" si="77"/>
        <v>110.42458349415338</v>
      </c>
      <c r="O202" s="541">
        <f>G202+12</f>
        <v>112</v>
      </c>
      <c r="P202" s="419"/>
    </row>
    <row r="203" spans="2:16">
      <c r="B203" s="155"/>
      <c r="C203" s="413" t="s">
        <v>926</v>
      </c>
      <c r="D203" s="414" t="s">
        <v>277</v>
      </c>
      <c r="E203" s="821">
        <f t="shared" ref="E203:E208" si="78">(O203/G203)^(1/40)</f>
        <v>1.0019258781541378</v>
      </c>
      <c r="F203" s="541">
        <v>100</v>
      </c>
      <c r="G203" s="541">
        <v>100</v>
      </c>
      <c r="H203" s="541">
        <f>G203*$E203^5</f>
        <v>100.96665523370942</v>
      </c>
      <c r="I203" s="541">
        <f t="shared" ref="I203:N203" si="79">H203*$E203^5</f>
        <v>101.94265469082742</v>
      </c>
      <c r="J203" s="541">
        <f t="shared" si="79"/>
        <v>102.92808869777863</v>
      </c>
      <c r="K203" s="541">
        <f t="shared" si="79"/>
        <v>103.92304845413278</v>
      </c>
      <c r="L203" s="541">
        <f t="shared" si="79"/>
        <v>104.92762604104503</v>
      </c>
      <c r="M203" s="541">
        <f t="shared" si="79"/>
        <v>105.94191442977784</v>
      </c>
      <c r="N203" s="541">
        <f t="shared" si="79"/>
        <v>106.96600749030524</v>
      </c>
      <c r="O203" s="541">
        <f>G203+8</f>
        <v>108</v>
      </c>
      <c r="P203" s="419"/>
    </row>
    <row r="204" spans="2:16">
      <c r="B204" s="155"/>
      <c r="C204" s="413" t="s">
        <v>919</v>
      </c>
      <c r="D204" s="414" t="s">
        <v>277</v>
      </c>
      <c r="E204" s="821">
        <f t="shared" si="78"/>
        <v>1.0028372344854506</v>
      </c>
      <c r="F204" s="541">
        <v>100</v>
      </c>
      <c r="G204" s="541">
        <v>100</v>
      </c>
      <c r="H204" s="541">
        <f t="shared" ref="H204:N204" si="80">G204*$E204^5</f>
        <v>101.42669001412207</v>
      </c>
      <c r="I204" s="541">
        <f t="shared" si="80"/>
        <v>102.87373447220811</v>
      </c>
      <c r="J204" s="541">
        <f t="shared" si="80"/>
        <v>104.34142376907756</v>
      </c>
      <c r="K204" s="541">
        <f t="shared" si="80"/>
        <v>105.83005244258379</v>
      </c>
      <c r="L204" s="541">
        <f t="shared" si="80"/>
        <v>107.33991923272229</v>
      </c>
      <c r="M204" s="541">
        <f t="shared" si="80"/>
        <v>108.87132714158224</v>
      </c>
      <c r="N204" s="541">
        <f t="shared" si="80"/>
        <v>110.42458349415338</v>
      </c>
      <c r="O204" s="541">
        <f>G204+12</f>
        <v>112</v>
      </c>
      <c r="P204" s="419"/>
    </row>
    <row r="205" spans="2:16">
      <c r="B205" s="155"/>
      <c r="C205" s="413" t="s">
        <v>927</v>
      </c>
      <c r="D205" s="414" t="s">
        <v>277</v>
      </c>
      <c r="E205" s="821">
        <f t="shared" si="78"/>
        <v>1.027845955651691</v>
      </c>
      <c r="F205" s="541">
        <v>100</v>
      </c>
      <c r="G205" s="541">
        <v>100</v>
      </c>
      <c r="H205" s="541">
        <f t="shared" ref="H205:N205" si="81">G205*$E205^5</f>
        <v>114.72026904398773</v>
      </c>
      <c r="I205" s="541">
        <f t="shared" si="81"/>
        <v>131.6074012952493</v>
      </c>
      <c r="J205" s="541">
        <f t="shared" si="81"/>
        <v>150.9803648477106</v>
      </c>
      <c r="K205" s="541">
        <f t="shared" si="81"/>
        <v>173.2050807568879</v>
      </c>
      <c r="L205" s="541">
        <f t="shared" si="81"/>
        <v>198.70133464215803</v>
      </c>
      <c r="M205" s="541">
        <f t="shared" si="81"/>
        <v>227.95070569547809</v>
      </c>
      <c r="N205" s="541">
        <f t="shared" si="81"/>
        <v>261.50566286152116</v>
      </c>
      <c r="O205" s="541">
        <f>G205+200</f>
        <v>300</v>
      </c>
      <c r="P205" s="419"/>
    </row>
    <row r="206" spans="2:16">
      <c r="B206" s="155"/>
      <c r="C206" s="413" t="s">
        <v>928</v>
      </c>
      <c r="D206" s="414" t="s">
        <v>277</v>
      </c>
      <c r="E206" s="821">
        <f t="shared" si="78"/>
        <v>1.0045684425800032</v>
      </c>
      <c r="F206" s="541">
        <v>100</v>
      </c>
      <c r="G206" s="541">
        <v>100</v>
      </c>
      <c r="H206" s="541">
        <f t="shared" ref="H206:N206" si="82">G206*$E206^5</f>
        <v>102.30518752204634</v>
      </c>
      <c r="I206" s="541">
        <f t="shared" si="82"/>
        <v>104.66351393921066</v>
      </c>
      <c r="J206" s="541">
        <f t="shared" si="82"/>
        <v>107.07620420267257</v>
      </c>
      <c r="K206" s="541">
        <f t="shared" si="82"/>
        <v>109.54451150103344</v>
      </c>
      <c r="L206" s="541">
        <f t="shared" si="82"/>
        <v>112.06971791124188</v>
      </c>
      <c r="M206" s="541">
        <f t="shared" si="82"/>
        <v>114.65313506452436</v>
      </c>
      <c r="N206" s="541">
        <f t="shared" si="82"/>
        <v>117.29610482766671</v>
      </c>
      <c r="O206" s="541">
        <f>G206+20</f>
        <v>120</v>
      </c>
      <c r="P206" s="419"/>
    </row>
    <row r="207" spans="2:16">
      <c r="B207" s="636"/>
      <c r="C207" s="413" t="s">
        <v>929</v>
      </c>
      <c r="D207" s="414" t="s">
        <v>277</v>
      </c>
      <c r="E207" s="821">
        <f t="shared" si="78"/>
        <v>1.0045684425800032</v>
      </c>
      <c r="F207" s="541">
        <v>100</v>
      </c>
      <c r="G207" s="541">
        <v>100</v>
      </c>
      <c r="H207" s="541">
        <f t="shared" ref="H207:N207" si="83">G207*$E207^5</f>
        <v>102.30518752204634</v>
      </c>
      <c r="I207" s="541">
        <f t="shared" si="83"/>
        <v>104.66351393921066</v>
      </c>
      <c r="J207" s="541">
        <f t="shared" si="83"/>
        <v>107.07620420267257</v>
      </c>
      <c r="K207" s="541">
        <f t="shared" si="83"/>
        <v>109.54451150103344</v>
      </c>
      <c r="L207" s="541">
        <f t="shared" si="83"/>
        <v>112.06971791124188</v>
      </c>
      <c r="M207" s="541">
        <f t="shared" si="83"/>
        <v>114.65313506452436</v>
      </c>
      <c r="N207" s="541">
        <f t="shared" si="83"/>
        <v>117.29610482766671</v>
      </c>
      <c r="O207" s="541">
        <f>G207+20</f>
        <v>120</v>
      </c>
      <c r="P207" s="158"/>
    </row>
    <row r="208" spans="2:16">
      <c r="C208" s="111" t="s">
        <v>930</v>
      </c>
      <c r="D208" s="112" t="s">
        <v>277</v>
      </c>
      <c r="E208" s="822">
        <f t="shared" si="78"/>
        <v>1.0045684425800032</v>
      </c>
      <c r="F208" s="823">
        <v>100</v>
      </c>
      <c r="G208" s="823">
        <v>100</v>
      </c>
      <c r="H208" s="823">
        <f t="shared" ref="H208:N208" si="84">G208*$E208^5</f>
        <v>102.30518752204634</v>
      </c>
      <c r="I208" s="823">
        <f t="shared" si="84"/>
        <v>104.66351393921066</v>
      </c>
      <c r="J208" s="823">
        <f t="shared" si="84"/>
        <v>107.07620420267257</v>
      </c>
      <c r="K208" s="823">
        <f t="shared" si="84"/>
        <v>109.54451150103344</v>
      </c>
      <c r="L208" s="823">
        <f t="shared" si="84"/>
        <v>112.06971791124188</v>
      </c>
      <c r="M208" s="823">
        <f t="shared" si="84"/>
        <v>114.65313506452436</v>
      </c>
      <c r="N208" s="823">
        <f t="shared" si="84"/>
        <v>117.29610482766671</v>
      </c>
      <c r="O208" s="823">
        <f>G208+20</f>
        <v>120</v>
      </c>
    </row>
    <row r="209" spans="3:15">
      <c r="C209" s="413"/>
      <c r="D209" s="414"/>
      <c r="E209" s="821"/>
      <c r="F209" s="541"/>
      <c r="G209" s="541"/>
      <c r="H209" s="541"/>
      <c r="I209" s="541"/>
      <c r="J209" s="541"/>
      <c r="K209" s="541"/>
      <c r="L209" s="541"/>
      <c r="M209" s="541"/>
      <c r="N209" s="541"/>
      <c r="O209" s="541"/>
    </row>
    <row r="210" spans="3:15">
      <c r="C210" s="413"/>
      <c r="D210" s="414"/>
      <c r="E210" s="821"/>
      <c r="F210" s="541"/>
      <c r="G210" s="541"/>
      <c r="H210" s="541"/>
      <c r="I210" s="541"/>
      <c r="J210" s="541"/>
      <c r="K210" s="541"/>
      <c r="L210" s="541"/>
      <c r="M210" s="541"/>
      <c r="N210" s="541"/>
      <c r="O210" s="541"/>
    </row>
    <row r="211" spans="3:15">
      <c r="C211" s="413"/>
      <c r="D211" s="414"/>
      <c r="E211" s="821"/>
      <c r="F211" s="541"/>
      <c r="G211" s="541"/>
      <c r="H211" s="541"/>
      <c r="I211" s="541"/>
      <c r="J211" s="541"/>
      <c r="K211" s="541"/>
      <c r="L211" s="541"/>
      <c r="M211" s="541"/>
      <c r="N211" s="541"/>
      <c r="O211" s="541"/>
    </row>
    <row r="212" spans="3:15" ht="14.25">
      <c r="C212" s="819" t="s">
        <v>1061</v>
      </c>
      <c r="D212" s="761"/>
      <c r="E212" s="760"/>
      <c r="F212" s="760"/>
      <c r="G212" s="760"/>
      <c r="H212" s="760"/>
      <c r="I212" s="760"/>
      <c r="J212" s="760"/>
      <c r="K212" s="760"/>
      <c r="L212" s="760"/>
      <c r="M212" s="760"/>
      <c r="N212" s="760"/>
      <c r="O212" s="760"/>
    </row>
    <row r="213" spans="3:15">
      <c r="C213" s="104"/>
      <c r="D213" s="105"/>
      <c r="E213" s="415"/>
      <c r="F213" s="415"/>
      <c r="G213" s="415"/>
      <c r="H213" s="415"/>
      <c r="I213" s="415"/>
      <c r="J213" s="415"/>
      <c r="K213" s="415"/>
      <c r="L213" s="415"/>
      <c r="M213" s="415"/>
      <c r="N213" s="415"/>
      <c r="O213" s="415"/>
    </row>
    <row r="214" spans="3:15">
      <c r="C214" s="61" t="s">
        <v>925</v>
      </c>
      <c r="D214" s="61" t="s">
        <v>404</v>
      </c>
      <c r="E214" s="61" t="s">
        <v>533</v>
      </c>
      <c r="F214" s="119">
        <v>2007</v>
      </c>
      <c r="G214" s="120">
        <f t="shared" ref="G214:O214" si="85">F214+5</f>
        <v>2012</v>
      </c>
      <c r="H214" s="120">
        <f t="shared" si="85"/>
        <v>2017</v>
      </c>
      <c r="I214" s="120">
        <f t="shared" si="85"/>
        <v>2022</v>
      </c>
      <c r="J214" s="120">
        <f t="shared" si="85"/>
        <v>2027</v>
      </c>
      <c r="K214" s="120">
        <f t="shared" si="85"/>
        <v>2032</v>
      </c>
      <c r="L214" s="120">
        <f t="shared" si="85"/>
        <v>2037</v>
      </c>
      <c r="M214" s="120">
        <f t="shared" si="85"/>
        <v>2042</v>
      </c>
      <c r="N214" s="120">
        <f t="shared" si="85"/>
        <v>2047</v>
      </c>
      <c r="O214" s="120">
        <f t="shared" si="85"/>
        <v>2052</v>
      </c>
    </row>
    <row r="215" spans="3:15">
      <c r="C215" s="413" t="s">
        <v>918</v>
      </c>
      <c r="D215" s="414" t="s">
        <v>277</v>
      </c>
      <c r="E215" s="821">
        <f>(O215/G215)^(1/40)</f>
        <v>1.0007392431616786</v>
      </c>
      <c r="F215" s="541">
        <f>CHOOSE($E$8,F166,F177,F190,F202)</f>
        <v>100</v>
      </c>
      <c r="G215" s="541">
        <f t="shared" ref="G215:O215" si="86">CHOOSE($E$8,G166,G177,G190,G202)</f>
        <v>100</v>
      </c>
      <c r="H215" s="541">
        <f t="shared" si="86"/>
        <v>100.37016846542267</v>
      </c>
      <c r="I215" s="541">
        <f t="shared" si="86"/>
        <v>100.74170717777326</v>
      </c>
      <c r="J215" s="541">
        <f t="shared" si="86"/>
        <v>101.11462120927382</v>
      </c>
      <c r="K215" s="541">
        <f t="shared" si="86"/>
        <v>101.48891565092212</v>
      </c>
      <c r="L215" s="541">
        <f t="shared" si="86"/>
        <v>101.86459561256125</v>
      </c>
      <c r="M215" s="541">
        <f t="shared" si="86"/>
        <v>102.24166622294926</v>
      </c>
      <c r="N215" s="541">
        <f t="shared" si="86"/>
        <v>102.62013262982931</v>
      </c>
      <c r="O215" s="541">
        <f t="shared" si="86"/>
        <v>103</v>
      </c>
    </row>
    <row r="216" spans="3:15">
      <c r="C216" s="413" t="s">
        <v>926</v>
      </c>
      <c r="D216" s="414" t="s">
        <v>277</v>
      </c>
      <c r="E216" s="821">
        <f t="shared" ref="E216:E221" si="87">(O216/G216)^(1/40)</f>
        <v>1.0004951882476445</v>
      </c>
      <c r="F216" s="541">
        <f t="shared" ref="F216:O216" si="88">CHOOSE($E$8,F167,F178,F191,F203)</f>
        <v>100</v>
      </c>
      <c r="G216" s="541">
        <f t="shared" si="88"/>
        <v>100</v>
      </c>
      <c r="H216" s="541">
        <f t="shared" si="88"/>
        <v>100.2478394566787</v>
      </c>
      <c r="I216" s="541">
        <f t="shared" si="88"/>
        <v>100.49629315732027</v>
      </c>
      <c r="J216" s="541">
        <f t="shared" si="88"/>
        <v>100.74536262426361</v>
      </c>
      <c r="K216" s="541">
        <f t="shared" si="88"/>
        <v>100.99504938362057</v>
      </c>
      <c r="L216" s="541">
        <f t="shared" si="88"/>
        <v>101.24535496528532</v>
      </c>
      <c r="M216" s="541">
        <f t="shared" si="88"/>
        <v>101.4962809029437</v>
      </c>
      <c r="N216" s="541">
        <f t="shared" si="88"/>
        <v>101.74782873408263</v>
      </c>
      <c r="O216" s="541">
        <f t="shared" si="88"/>
        <v>102</v>
      </c>
    </row>
    <row r="217" spans="3:15">
      <c r="C217" s="413" t="s">
        <v>919</v>
      </c>
      <c r="D217" s="414" t="s">
        <v>277</v>
      </c>
      <c r="E217" s="821">
        <f t="shared" si="87"/>
        <v>1.0007392431616786</v>
      </c>
      <c r="F217" s="541">
        <f t="shared" ref="F217:O217" si="89">CHOOSE($E$8,F168,F179,F192,F204)</f>
        <v>100</v>
      </c>
      <c r="G217" s="541">
        <f t="shared" si="89"/>
        <v>100</v>
      </c>
      <c r="H217" s="541">
        <f t="shared" si="89"/>
        <v>100.37016846542267</v>
      </c>
      <c r="I217" s="541">
        <f t="shared" si="89"/>
        <v>100.74170717777326</v>
      </c>
      <c r="J217" s="541">
        <f t="shared" si="89"/>
        <v>101.11462120927382</v>
      </c>
      <c r="K217" s="541">
        <f t="shared" si="89"/>
        <v>101.48891565092212</v>
      </c>
      <c r="L217" s="541">
        <f t="shared" si="89"/>
        <v>101.86459561256125</v>
      </c>
      <c r="M217" s="541">
        <f t="shared" si="89"/>
        <v>102.24166622294926</v>
      </c>
      <c r="N217" s="541">
        <f t="shared" si="89"/>
        <v>102.62013262982931</v>
      </c>
      <c r="O217" s="541">
        <f t="shared" si="89"/>
        <v>103</v>
      </c>
    </row>
    <row r="218" spans="3:15">
      <c r="C218" s="413" t="s">
        <v>927</v>
      </c>
      <c r="D218" s="414" t="s">
        <v>277</v>
      </c>
      <c r="E218" s="821">
        <f t="shared" si="87"/>
        <v>1.0101881773459105</v>
      </c>
      <c r="F218" s="541">
        <f t="shared" ref="F218:O218" si="90">CHOOSE($E$8,F169,F180,F193,F205)</f>
        <v>100</v>
      </c>
      <c r="G218" s="541">
        <f t="shared" si="90"/>
        <v>100</v>
      </c>
      <c r="H218" s="541">
        <f t="shared" si="90"/>
        <v>105.19895055086444</v>
      </c>
      <c r="I218" s="541">
        <f t="shared" si="90"/>
        <v>110.66819197003221</v>
      </c>
      <c r="J218" s="541">
        <f t="shared" si="90"/>
        <v>116.42177654608992</v>
      </c>
      <c r="K218" s="541">
        <f t="shared" si="90"/>
        <v>122.47448713915902</v>
      </c>
      <c r="L218" s="541">
        <f t="shared" si="90"/>
        <v>128.84187516294872</v>
      </c>
      <c r="M218" s="541">
        <f t="shared" si="90"/>
        <v>135.54030054147691</v>
      </c>
      <c r="N218" s="541">
        <f t="shared" si="90"/>
        <v>142.58697374312132</v>
      </c>
      <c r="O218" s="541">
        <f t="shared" si="90"/>
        <v>150</v>
      </c>
    </row>
    <row r="219" spans="3:15">
      <c r="C219" s="413" t="s">
        <v>928</v>
      </c>
      <c r="D219" s="414" t="s">
        <v>277</v>
      </c>
      <c r="E219" s="821">
        <f t="shared" si="87"/>
        <v>1.0012204983068238</v>
      </c>
      <c r="F219" s="541">
        <f t="shared" ref="F219:O219" si="91">CHOOSE($E$8,F170,F181,F194,F206)</f>
        <v>100</v>
      </c>
      <c r="G219" s="541">
        <f t="shared" si="91"/>
        <v>100</v>
      </c>
      <c r="H219" s="541">
        <f t="shared" si="91"/>
        <v>100.61174058871254</v>
      </c>
      <c r="I219" s="541">
        <f t="shared" si="91"/>
        <v>101.22722344290386</v>
      </c>
      <c r="J219" s="541">
        <f t="shared" si="91"/>
        <v>101.84647145553085</v>
      </c>
      <c r="K219" s="541">
        <f t="shared" si="91"/>
        <v>102.46950765959586</v>
      </c>
      <c r="L219" s="541">
        <f t="shared" si="91"/>
        <v>103.09635522900352</v>
      </c>
      <c r="M219" s="541">
        <f t="shared" si="91"/>
        <v>103.72703747942259</v>
      </c>
      <c r="N219" s="541">
        <f t="shared" si="91"/>
        <v>104.36157786915329</v>
      </c>
      <c r="O219" s="541">
        <f t="shared" si="91"/>
        <v>105</v>
      </c>
    </row>
    <row r="220" spans="3:15">
      <c r="C220" s="413" t="s">
        <v>929</v>
      </c>
      <c r="D220" s="414" t="s">
        <v>277</v>
      </c>
      <c r="E220" s="821">
        <f t="shared" si="87"/>
        <v>1.0012204983068238</v>
      </c>
      <c r="F220" s="541">
        <f t="shared" ref="F220:O220" si="92">CHOOSE($E$8,F171,F182,F195,F207)</f>
        <v>100</v>
      </c>
      <c r="G220" s="541">
        <f t="shared" si="92"/>
        <v>100</v>
      </c>
      <c r="H220" s="541">
        <f t="shared" si="92"/>
        <v>100.61174058871254</v>
      </c>
      <c r="I220" s="541">
        <f t="shared" si="92"/>
        <v>101.22722344290386</v>
      </c>
      <c r="J220" s="541">
        <f t="shared" si="92"/>
        <v>101.84647145553085</v>
      </c>
      <c r="K220" s="541">
        <f t="shared" si="92"/>
        <v>102.46950765959586</v>
      </c>
      <c r="L220" s="541">
        <f t="shared" si="92"/>
        <v>103.09635522900352</v>
      </c>
      <c r="M220" s="541">
        <f t="shared" si="92"/>
        <v>103.72703747942259</v>
      </c>
      <c r="N220" s="541">
        <f t="shared" si="92"/>
        <v>104.36157786915329</v>
      </c>
      <c r="O220" s="541">
        <f t="shared" si="92"/>
        <v>105</v>
      </c>
    </row>
    <row r="221" spans="3:15">
      <c r="C221" s="111" t="s">
        <v>930</v>
      </c>
      <c r="D221" s="112" t="s">
        <v>277</v>
      </c>
      <c r="E221" s="822">
        <f t="shared" si="87"/>
        <v>1.0012204983068238</v>
      </c>
      <c r="F221" s="823">
        <f t="shared" ref="F221:O221" si="93">CHOOSE($E$8,F172,F183,F196,F208)</f>
        <v>100</v>
      </c>
      <c r="G221" s="823">
        <f t="shared" si="93"/>
        <v>100</v>
      </c>
      <c r="H221" s="823">
        <f t="shared" si="93"/>
        <v>100.61174058871254</v>
      </c>
      <c r="I221" s="823">
        <f t="shared" si="93"/>
        <v>101.22722344290386</v>
      </c>
      <c r="J221" s="823">
        <f t="shared" si="93"/>
        <v>101.84647145553085</v>
      </c>
      <c r="K221" s="823">
        <f t="shared" si="93"/>
        <v>102.46950765959586</v>
      </c>
      <c r="L221" s="823">
        <f t="shared" si="93"/>
        <v>103.09635522900352</v>
      </c>
      <c r="M221" s="823">
        <f t="shared" si="93"/>
        <v>103.72703747942259</v>
      </c>
      <c r="N221" s="823">
        <f t="shared" si="93"/>
        <v>104.36157786915329</v>
      </c>
      <c r="O221" s="823">
        <f t="shared" si="93"/>
        <v>105</v>
      </c>
    </row>
    <row r="222" spans="3:15">
      <c r="C222" s="413"/>
      <c r="D222" s="414"/>
      <c r="E222" s="821"/>
      <c r="F222" s="541"/>
      <c r="G222" s="541"/>
      <c r="H222" s="541"/>
      <c r="I222" s="541"/>
      <c r="J222" s="541"/>
      <c r="K222" s="541"/>
      <c r="L222" s="541"/>
      <c r="M222" s="541"/>
      <c r="N222" s="541"/>
      <c r="O222" s="541"/>
    </row>
    <row r="223" spans="3:15">
      <c r="C223" s="413"/>
      <c r="D223" s="414"/>
      <c r="E223" s="821"/>
      <c r="F223" s="541"/>
      <c r="G223" s="541"/>
      <c r="H223" s="541"/>
      <c r="I223" s="541"/>
      <c r="J223" s="541"/>
      <c r="K223" s="541"/>
      <c r="L223" s="541"/>
      <c r="M223" s="541"/>
      <c r="N223" s="541"/>
      <c r="O223" s="541"/>
    </row>
    <row r="224" spans="3:15">
      <c r="C224" s="413"/>
      <c r="D224" s="414"/>
      <c r="E224" s="821"/>
      <c r="F224" s="541"/>
      <c r="G224" s="541"/>
      <c r="H224" s="541"/>
      <c r="I224" s="541"/>
      <c r="J224" s="541"/>
      <c r="K224" s="541"/>
      <c r="L224" s="541"/>
      <c r="M224" s="541"/>
      <c r="N224" s="541"/>
      <c r="O224" s="541"/>
    </row>
    <row r="225" spans="1:16">
      <c r="C225" s="413"/>
      <c r="D225" s="414"/>
      <c r="E225" s="821"/>
      <c r="F225" s="541"/>
      <c r="G225" s="541"/>
      <c r="H225" s="541"/>
      <c r="I225" s="541"/>
      <c r="J225" s="541"/>
      <c r="K225" s="541"/>
      <c r="L225" s="541"/>
      <c r="M225" s="541"/>
      <c r="N225" s="541"/>
      <c r="O225" s="541"/>
    </row>
    <row r="226" spans="1:16">
      <c r="C226" s="413"/>
      <c r="D226" s="414"/>
      <c r="E226" s="821"/>
      <c r="F226" s="541"/>
      <c r="G226" s="541"/>
      <c r="H226" s="541"/>
      <c r="I226" s="541"/>
      <c r="J226" s="541"/>
      <c r="K226" s="541"/>
      <c r="L226" s="541"/>
      <c r="M226" s="541"/>
      <c r="N226" s="541"/>
      <c r="O226" s="541"/>
    </row>
    <row r="227" spans="1:16">
      <c r="C227" s="413"/>
      <c r="D227" s="414"/>
      <c r="E227" s="821"/>
      <c r="F227" s="541"/>
      <c r="G227" s="541"/>
      <c r="H227" s="541"/>
      <c r="I227" s="541"/>
      <c r="J227" s="541"/>
      <c r="K227" s="541"/>
      <c r="L227" s="541"/>
      <c r="M227" s="541"/>
      <c r="N227" s="541"/>
      <c r="O227" s="541"/>
    </row>
    <row r="228" spans="1:16">
      <c r="C228" s="413"/>
      <c r="D228" s="414"/>
      <c r="E228" s="821"/>
      <c r="F228" s="541"/>
      <c r="G228" s="541"/>
      <c r="H228" s="541"/>
      <c r="I228" s="541"/>
      <c r="J228" s="541"/>
      <c r="K228" s="541"/>
      <c r="L228" s="541"/>
      <c r="M228" s="541"/>
      <c r="N228" s="541"/>
      <c r="O228" s="541"/>
    </row>
    <row r="229" spans="1:16">
      <c r="C229" s="413"/>
      <c r="D229" s="414"/>
      <c r="E229" s="821"/>
      <c r="F229" s="541"/>
      <c r="G229" s="541"/>
      <c r="H229" s="541"/>
      <c r="I229" s="541"/>
      <c r="J229" s="541"/>
      <c r="K229" s="541"/>
      <c r="L229" s="541"/>
      <c r="M229" s="541"/>
      <c r="N229" s="541"/>
      <c r="O229" s="541"/>
    </row>
    <row r="230" spans="1:16" s="51" customFormat="1" ht="22.5">
      <c r="A230" s="162"/>
      <c r="B230" s="421" t="s">
        <v>265</v>
      </c>
      <c r="C230" s="159"/>
      <c r="D230" s="159"/>
      <c r="E230" s="159"/>
      <c r="F230" s="159"/>
      <c r="G230" s="159"/>
      <c r="H230" s="159"/>
      <c r="I230" s="159"/>
      <c r="J230" s="159"/>
      <c r="K230" s="159"/>
      <c r="L230" s="159"/>
      <c r="M230" s="159"/>
      <c r="N230" s="159"/>
      <c r="O230" s="159"/>
      <c r="P230" s="160"/>
    </row>
    <row r="231" spans="1:16">
      <c r="B231" s="418"/>
      <c r="C231" s="415"/>
      <c r="D231" s="415"/>
      <c r="E231" s="415"/>
      <c r="F231" s="415"/>
      <c r="G231" s="415"/>
      <c r="H231" s="415"/>
      <c r="I231" s="415"/>
      <c r="J231" s="415"/>
      <c r="K231" s="415"/>
      <c r="L231" s="415"/>
      <c r="M231" s="415"/>
      <c r="N231" s="415"/>
      <c r="O231" s="415"/>
      <c r="P231" s="419"/>
    </row>
    <row r="232" spans="1:16">
      <c r="B232" s="418"/>
      <c r="C232" s="416" t="s">
        <v>909</v>
      </c>
      <c r="D232" s="415"/>
      <c r="E232" s="415"/>
      <c r="F232" s="415"/>
      <c r="G232" s="104"/>
      <c r="H232" s="415"/>
      <c r="I232" s="415"/>
      <c r="J232" s="415"/>
      <c r="K232" s="415"/>
      <c r="L232" s="415"/>
      <c r="M232" s="415"/>
      <c r="N232" s="415"/>
      <c r="O232" s="415"/>
      <c r="P232" s="419"/>
    </row>
    <row r="233" spans="1:16" ht="6" customHeight="1">
      <c r="B233" s="418"/>
      <c r="C233" s="415"/>
      <c r="D233" s="415"/>
      <c r="E233" s="415"/>
      <c r="F233" s="415"/>
      <c r="G233" s="415"/>
      <c r="H233" s="415"/>
      <c r="I233" s="415"/>
      <c r="J233" s="415"/>
      <c r="K233" s="415"/>
      <c r="L233" s="415"/>
      <c r="M233" s="415"/>
      <c r="N233" s="415"/>
      <c r="O233" s="415"/>
      <c r="P233" s="419"/>
    </row>
    <row r="234" spans="1:16" ht="15.75">
      <c r="B234" s="152"/>
      <c r="C234" s="61" t="s">
        <v>64</v>
      </c>
      <c r="D234" s="61" t="s">
        <v>910</v>
      </c>
      <c r="E234" s="61" t="s">
        <v>404</v>
      </c>
      <c r="F234" s="119">
        <v>2007</v>
      </c>
      <c r="G234" s="120">
        <f>F234+5</f>
        <v>2012</v>
      </c>
      <c r="H234" s="120">
        <f t="shared" ref="H234:O234" si="94">G234+5</f>
        <v>2017</v>
      </c>
      <c r="I234" s="120">
        <f t="shared" si="94"/>
        <v>2022</v>
      </c>
      <c r="J234" s="120">
        <f t="shared" si="94"/>
        <v>2027</v>
      </c>
      <c r="K234" s="120">
        <f t="shared" si="94"/>
        <v>2032</v>
      </c>
      <c r="L234" s="120">
        <f t="shared" si="94"/>
        <v>2037</v>
      </c>
      <c r="M234" s="120">
        <f t="shared" si="94"/>
        <v>2042</v>
      </c>
      <c r="N234" s="120">
        <f t="shared" si="94"/>
        <v>2047</v>
      </c>
      <c r="O234" s="120">
        <f t="shared" si="94"/>
        <v>2052</v>
      </c>
      <c r="P234" s="419"/>
    </row>
    <row r="235" spans="1:16" ht="15.75">
      <c r="B235" s="152"/>
      <c r="C235" s="412"/>
      <c r="D235" s="69" t="s">
        <v>911</v>
      </c>
      <c r="E235" s="69" t="s">
        <v>913</v>
      </c>
      <c r="F235" s="3187">
        <f>INDEX(Global.Assumptions[Urban Households],MATCH(F234,Global.Assumptions[Year]),0)/10^6</f>
        <v>69.186964811451503</v>
      </c>
      <c r="G235" s="3187">
        <f>INDEX(Global.Assumptions[Urban Households],MATCH(G234,Global.Assumptions[Year]),0)/10^6</f>
        <v>88.647593305569004</v>
      </c>
      <c r="H235" s="3187">
        <f>INDEX(Global.Assumptions[Urban Households],MATCH(H234,Global.Assumptions[Year]),0)/10^6</f>
        <v>96.982042482202402</v>
      </c>
      <c r="I235" s="3187">
        <f>INDEX(Global.Assumptions[Urban Households],MATCH(I234,Global.Assumptions[Year]),0)/10^6</f>
        <v>110.266232693804</v>
      </c>
      <c r="J235" s="3187">
        <f>INDEX(Global.Assumptions[Urban Households],MATCH(J234,Global.Assumptions[Year]),0)/10^6</f>
        <v>128.54050499175401</v>
      </c>
      <c r="K235" s="3187">
        <f>INDEX(Global.Assumptions[Urban Households],MATCH(K234,Global.Assumptions[Year]),0)/10^6</f>
        <v>144.16279711743803</v>
      </c>
      <c r="L235" s="3187">
        <f>INDEX(Global.Assumptions[Urban Households],MATCH(L234,Global.Assumptions[Year]),0)/10^6</f>
        <v>164.67380492576501</v>
      </c>
      <c r="M235" s="3187">
        <f>INDEX(Global.Assumptions[Urban Households],MATCH(M234,Global.Assumptions[Year]),0)/10^6</f>
        <v>181.94824708288999</v>
      </c>
      <c r="N235" s="3187">
        <f>INDEX(Global.Assumptions[Urban Households],MATCH(N234,Global.Assumptions[Year]),0)/10^6</f>
        <v>205.57118185959501</v>
      </c>
      <c r="O235" s="3187">
        <f>INDEX(Global.Assumptions[Urban Households],MATCH(O234,Global.Assumptions[Year]),0)/10^6</f>
        <v>234.31205218574101</v>
      </c>
      <c r="P235" s="419"/>
    </row>
    <row r="236" spans="1:16" ht="15.75">
      <c r="B236" s="152"/>
      <c r="C236" s="78"/>
      <c r="D236" s="79" t="s">
        <v>912</v>
      </c>
      <c r="E236" s="79" t="s">
        <v>913</v>
      </c>
      <c r="F236" s="3187">
        <f>INDEX(Global.Assumptions[RuralHouseholds],MATCH(F234,Global.Assumptions[Year]),0)/10^6</f>
        <v>157.15838631159099</v>
      </c>
      <c r="G236" s="3187">
        <f>INDEX(Global.Assumptions[RuralHouseholds],MATCH(G234,Global.Assumptions[Year]),0)/10^6</f>
        <v>170.87052246518701</v>
      </c>
      <c r="H236" s="3187">
        <f>INDEX(Global.Assumptions[RuralHouseholds],MATCH(H234,Global.Assumptions[Year]),0)/10^6</f>
        <v>180.52454776985601</v>
      </c>
      <c r="I236" s="3187">
        <f>INDEX(Global.Assumptions[RuralHouseholds],MATCH(I234,Global.Assumptions[Year]),0)/10^6</f>
        <v>190.09866356813299</v>
      </c>
      <c r="J236" s="3187">
        <f>INDEX(Global.Assumptions[RuralHouseholds],MATCH(J234,Global.Assumptions[Year]),0)/10^6</f>
        <v>196.70692407550101</v>
      </c>
      <c r="K236" s="3187">
        <f>INDEX(Global.Assumptions[RuralHouseholds],MATCH(K234,Global.Assumptions[Year]),0)/10^6</f>
        <v>203.58234150691999</v>
      </c>
      <c r="L236" s="3187">
        <f>INDEX(Global.Assumptions[RuralHouseholds],MATCH(L234,Global.Assumptions[Year]),0)/10^6</f>
        <v>207.261898702742</v>
      </c>
      <c r="M236" s="3187">
        <f>INDEX(Global.Assumptions[RuralHouseholds],MATCH(M234,Global.Assumptions[Year]),0)/10^6</f>
        <v>211.390986895384</v>
      </c>
      <c r="N236" s="3187">
        <f>INDEX(Global.Assumptions[RuralHouseholds],MATCH(N234,Global.Assumptions[Year]),0)/10^6</f>
        <v>210.60378532268999</v>
      </c>
      <c r="O236" s="3187">
        <f>INDEX(Global.Assumptions[RuralHouseholds],MATCH(O234,Global.Assumptions[Year]),0)/10^6</f>
        <v>219.76105518003001</v>
      </c>
      <c r="P236" s="419"/>
    </row>
    <row r="237" spans="1:16" ht="15.75">
      <c r="B237" s="152"/>
      <c r="C237" s="413"/>
      <c r="D237" s="414"/>
      <c r="E237" s="414"/>
      <c r="F237" s="813"/>
      <c r="G237" s="813"/>
      <c r="H237" s="813"/>
      <c r="I237" s="813"/>
      <c r="J237" s="813"/>
      <c r="K237" s="813"/>
      <c r="L237" s="813"/>
      <c r="M237" s="813"/>
      <c r="N237" s="813"/>
      <c r="O237" s="813"/>
      <c r="P237" s="419"/>
    </row>
    <row r="238" spans="1:16" ht="15.75">
      <c r="B238" s="152"/>
      <c r="C238" s="413"/>
      <c r="D238" s="414"/>
      <c r="E238" s="414"/>
      <c r="F238" s="813"/>
      <c r="G238" s="813"/>
      <c r="H238" s="813"/>
      <c r="I238" s="813"/>
      <c r="J238" s="813"/>
      <c r="K238" s="813"/>
      <c r="L238" s="813"/>
      <c r="M238" s="813"/>
      <c r="N238" s="813"/>
      <c r="O238" s="813"/>
      <c r="P238" s="419"/>
    </row>
    <row r="239" spans="1:16" ht="15.75">
      <c r="B239" s="152"/>
      <c r="C239" s="106" t="s">
        <v>935</v>
      </c>
      <c r="D239" s="414"/>
      <c r="E239" s="414"/>
      <c r="F239" s="813"/>
      <c r="G239" s="813"/>
      <c r="H239" s="813"/>
      <c r="I239" s="813"/>
      <c r="J239" s="813"/>
      <c r="K239" s="813"/>
      <c r="L239" s="813"/>
      <c r="M239" s="813"/>
      <c r="N239" s="813"/>
      <c r="O239" s="813"/>
      <c r="P239" s="419"/>
    </row>
    <row r="240" spans="1:16" ht="9" customHeight="1">
      <c r="B240" s="152"/>
      <c r="C240" s="106"/>
      <c r="D240" s="414"/>
      <c r="E240" s="414"/>
      <c r="F240" s="813"/>
      <c r="G240" s="813"/>
      <c r="H240" s="813"/>
      <c r="I240" s="813"/>
      <c r="J240" s="813"/>
      <c r="K240" s="813"/>
      <c r="L240" s="813"/>
      <c r="M240" s="813"/>
      <c r="N240" s="813"/>
      <c r="O240" s="813"/>
      <c r="P240" s="419"/>
    </row>
    <row r="241" spans="2:16" ht="15.75">
      <c r="B241" s="152"/>
      <c r="C241" s="825" t="s">
        <v>403</v>
      </c>
      <c r="D241" s="783" t="s">
        <v>934</v>
      </c>
      <c r="E241" s="826" t="s">
        <v>71</v>
      </c>
      <c r="F241" s="984" t="s">
        <v>1064</v>
      </c>
      <c r="G241" s="813"/>
      <c r="H241" s="813"/>
      <c r="I241" s="813"/>
      <c r="J241" s="813"/>
      <c r="K241" s="813"/>
      <c r="L241" s="813"/>
      <c r="M241" s="813"/>
      <c r="N241" s="813"/>
      <c r="O241" s="813"/>
      <c r="P241" s="419"/>
    </row>
    <row r="242" spans="2:16" ht="15.75">
      <c r="B242" s="152"/>
      <c r="C242" s="824" t="s">
        <v>918</v>
      </c>
      <c r="D242" s="414">
        <f>110*unit.kglpge</f>
        <v>1.4101388888888888E-6</v>
      </c>
      <c r="E242" s="827" t="str">
        <f t="shared" ref="E242:E248" si="95">preferences.energyunits</f>
        <v>TWh</v>
      </c>
      <c r="F242" s="982">
        <v>15</v>
      </c>
      <c r="G242" s="813"/>
      <c r="H242" s="813"/>
      <c r="I242" s="813"/>
      <c r="J242" s="813"/>
      <c r="K242" s="813"/>
      <c r="L242" s="813"/>
      <c r="M242" s="813"/>
      <c r="N242" s="813"/>
      <c r="O242" s="813"/>
      <c r="P242" s="419"/>
    </row>
    <row r="243" spans="2:16" ht="15.75">
      <c r="B243" s="152"/>
      <c r="C243" s="824" t="s">
        <v>5</v>
      </c>
      <c r="D243" s="414">
        <f>1314*Unit.kWh</f>
        <v>1.314E-6</v>
      </c>
      <c r="E243" s="829" t="str">
        <f t="shared" si="95"/>
        <v>TWh</v>
      </c>
      <c r="F243" s="982">
        <v>10</v>
      </c>
      <c r="G243" s="813"/>
      <c r="H243" s="813"/>
      <c r="I243" s="813"/>
      <c r="J243" s="813"/>
      <c r="K243" s="813"/>
      <c r="L243" s="813"/>
      <c r="M243" s="813"/>
      <c r="N243" s="813"/>
      <c r="O243" s="813"/>
      <c r="P243" s="419"/>
    </row>
    <row r="244" spans="2:16" ht="15.75">
      <c r="B244" s="152"/>
      <c r="C244" s="824" t="s">
        <v>919</v>
      </c>
      <c r="D244" s="414">
        <f>170*unit.scm</f>
        <v>1.6027222222222223E-6</v>
      </c>
      <c r="E244" s="827" t="str">
        <f t="shared" si="95"/>
        <v>TWh</v>
      </c>
      <c r="F244" s="982">
        <v>15</v>
      </c>
      <c r="G244" s="813"/>
      <c r="H244" s="813"/>
      <c r="I244" s="813"/>
      <c r="J244" s="813"/>
      <c r="K244" s="813"/>
      <c r="L244" s="813"/>
      <c r="M244" s="813"/>
      <c r="N244" s="813"/>
      <c r="O244" s="813"/>
      <c r="P244" s="419"/>
    </row>
    <row r="245" spans="2:16" ht="15.75">
      <c r="B245" s="152"/>
      <c r="C245" s="824" t="s">
        <v>499</v>
      </c>
      <c r="D245" s="414">
        <f>2106*unit.kgb</f>
        <v>6.0840000000000005E-6</v>
      </c>
      <c r="E245" s="827" t="str">
        <f t="shared" si="95"/>
        <v>TWh</v>
      </c>
      <c r="F245" s="982">
        <v>5</v>
      </c>
      <c r="G245" s="813"/>
      <c r="H245" s="813"/>
      <c r="I245" s="813"/>
      <c r="J245" s="813"/>
      <c r="K245" s="813"/>
      <c r="L245" s="813"/>
      <c r="M245" s="813"/>
      <c r="N245" s="813"/>
      <c r="O245" s="813"/>
      <c r="P245" s="419"/>
    </row>
    <row r="246" spans="2:16" ht="15.75">
      <c r="B246" s="152"/>
      <c r="C246" s="824" t="s">
        <v>102</v>
      </c>
      <c r="D246" s="414">
        <f>950*unit.kgce</f>
        <v>4.4164444444444446E-6</v>
      </c>
      <c r="E246" s="827" t="str">
        <f t="shared" si="95"/>
        <v>TWh</v>
      </c>
      <c r="F246" s="982">
        <v>3</v>
      </c>
      <c r="G246" s="813"/>
      <c r="H246" s="813"/>
      <c r="I246" s="813"/>
      <c r="J246" s="813"/>
      <c r="K246" s="813"/>
      <c r="L246" s="813"/>
      <c r="M246" s="813"/>
      <c r="N246" s="813"/>
      <c r="O246" s="813"/>
      <c r="P246" s="419"/>
    </row>
    <row r="247" spans="2:16" ht="15.75">
      <c r="B247" s="152"/>
      <c r="C247" s="824" t="s">
        <v>920</v>
      </c>
      <c r="D247" s="414">
        <f>529*unit.lke</f>
        <v>1.9470138888888888E-6</v>
      </c>
      <c r="E247" s="827" t="str">
        <f t="shared" si="95"/>
        <v>TWh</v>
      </c>
      <c r="F247" s="982">
        <v>5</v>
      </c>
      <c r="G247" s="813"/>
      <c r="H247" s="813"/>
      <c r="I247" s="813"/>
      <c r="J247" s="813"/>
      <c r="K247" s="813"/>
      <c r="L247" s="813"/>
      <c r="M247" s="813"/>
      <c r="N247" s="813"/>
      <c r="O247" s="813"/>
      <c r="P247" s="419"/>
    </row>
    <row r="248" spans="2:16" ht="15.75">
      <c r="B248" s="152"/>
      <c r="C248" s="598" t="s">
        <v>921</v>
      </c>
      <c r="D248" s="112">
        <f>331*unit.scmb</f>
        <v>2.0687499999999999E-6</v>
      </c>
      <c r="E248" s="828" t="str">
        <f t="shared" si="95"/>
        <v>TWh</v>
      </c>
      <c r="F248" s="983">
        <v>15</v>
      </c>
      <c r="G248" s="813"/>
      <c r="H248" s="813"/>
      <c r="I248" s="813"/>
      <c r="J248" s="813"/>
      <c r="K248" s="813"/>
      <c r="L248" s="813"/>
      <c r="M248" s="813"/>
      <c r="N248" s="813"/>
      <c r="O248" s="813"/>
      <c r="P248" s="419"/>
    </row>
    <row r="249" spans="2:16" ht="15.75">
      <c r="B249" s="152"/>
      <c r="C249" s="413"/>
      <c r="D249" s="414"/>
      <c r="E249" s="414"/>
      <c r="F249" s="813"/>
      <c r="G249" s="813"/>
      <c r="H249" s="813"/>
      <c r="I249" s="813"/>
      <c r="J249" s="813"/>
      <c r="K249" s="813"/>
      <c r="L249" s="813"/>
      <c r="M249" s="813"/>
      <c r="N249" s="813"/>
      <c r="O249" s="813"/>
      <c r="P249" s="419"/>
    </row>
    <row r="250" spans="2:16" ht="15.75">
      <c r="B250" s="152"/>
      <c r="C250" s="413"/>
      <c r="D250" s="414"/>
      <c r="E250" s="414"/>
      <c r="F250" s="813"/>
      <c r="G250" s="813"/>
      <c r="H250" s="813"/>
      <c r="I250" s="813"/>
      <c r="J250" s="813"/>
      <c r="K250" s="813"/>
      <c r="L250" s="813"/>
      <c r="M250" s="813"/>
      <c r="N250" s="813"/>
      <c r="O250" s="813"/>
      <c r="P250" s="419"/>
    </row>
    <row r="251" spans="2:16" ht="15.75">
      <c r="B251" s="152"/>
      <c r="C251" s="413"/>
      <c r="D251" s="414"/>
      <c r="E251" s="414"/>
      <c r="F251" s="813"/>
      <c r="G251" s="813"/>
      <c r="H251" s="813"/>
      <c r="I251" s="813"/>
      <c r="J251" s="813"/>
      <c r="K251" s="813"/>
      <c r="L251" s="813"/>
      <c r="M251" s="813"/>
      <c r="N251" s="813"/>
      <c r="O251" s="813"/>
      <c r="P251" s="419"/>
    </row>
    <row r="252" spans="2:16" ht="15.75">
      <c r="B252" s="152"/>
      <c r="C252" s="413"/>
      <c r="D252" s="414"/>
      <c r="E252" s="414"/>
      <c r="F252" s="813"/>
      <c r="G252" s="813"/>
      <c r="H252" s="813"/>
      <c r="I252" s="813"/>
      <c r="J252" s="813"/>
      <c r="K252" s="813"/>
      <c r="L252" s="813"/>
      <c r="M252" s="813"/>
      <c r="N252" s="813"/>
      <c r="O252" s="813"/>
      <c r="P252" s="419"/>
    </row>
    <row r="253" spans="2:16" ht="15.75">
      <c r="B253" s="152"/>
      <c r="C253" s="413"/>
      <c r="D253" s="414"/>
      <c r="E253" s="414"/>
      <c r="F253" s="813"/>
      <c r="G253" s="813"/>
      <c r="H253" s="813"/>
      <c r="I253" s="813"/>
      <c r="J253" s="813"/>
      <c r="K253" s="813"/>
      <c r="L253" s="813"/>
      <c r="M253" s="813"/>
      <c r="N253" s="813"/>
      <c r="O253" s="813"/>
      <c r="P253" s="419"/>
    </row>
    <row r="254" spans="2:16" ht="15.75">
      <c r="B254" s="152"/>
      <c r="C254" s="413"/>
      <c r="D254" s="414"/>
      <c r="E254" s="414"/>
      <c r="F254" s="813"/>
      <c r="G254" s="813"/>
      <c r="H254" s="813"/>
      <c r="I254" s="813"/>
      <c r="J254" s="813"/>
      <c r="K254" s="813"/>
      <c r="L254" s="813"/>
      <c r="M254" s="813"/>
      <c r="N254" s="813"/>
      <c r="O254" s="813"/>
      <c r="P254" s="419"/>
    </row>
    <row r="255" spans="2:16" ht="15.75">
      <c r="B255" s="152"/>
      <c r="C255" s="413"/>
      <c r="D255" s="414"/>
      <c r="E255" s="414"/>
      <c r="F255" s="813"/>
      <c r="G255" s="813"/>
      <c r="H255" s="813"/>
      <c r="I255" s="813"/>
      <c r="J255" s="813"/>
      <c r="K255" s="813"/>
      <c r="L255" s="813"/>
      <c r="M255" s="813"/>
      <c r="N255" s="813"/>
      <c r="O255" s="813"/>
      <c r="P255" s="419"/>
    </row>
    <row r="256" spans="2:16" ht="15.75">
      <c r="B256" s="152"/>
      <c r="C256" s="413"/>
      <c r="D256" s="414"/>
      <c r="E256" s="414"/>
      <c r="F256" s="813"/>
      <c r="G256" s="813"/>
      <c r="H256" s="813"/>
      <c r="I256" s="813"/>
      <c r="J256" s="813"/>
      <c r="K256" s="813"/>
      <c r="L256" s="813"/>
      <c r="M256" s="813"/>
      <c r="N256" s="813"/>
      <c r="O256" s="813"/>
      <c r="P256" s="419"/>
    </row>
    <row r="257" spans="2:32" ht="15.75">
      <c r="B257" s="152"/>
      <c r="C257" s="413"/>
      <c r="D257" s="414"/>
      <c r="E257" s="414"/>
      <c r="F257" s="813"/>
      <c r="G257" s="813"/>
      <c r="H257" s="813"/>
      <c r="I257" s="813"/>
      <c r="J257" s="813"/>
      <c r="K257" s="813"/>
      <c r="L257" s="813"/>
      <c r="M257" s="813"/>
      <c r="N257" s="813"/>
      <c r="O257" s="813"/>
      <c r="P257" s="419"/>
    </row>
    <row r="258" spans="2:32" ht="15.75">
      <c r="B258" s="152"/>
      <c r="C258" s="413"/>
      <c r="D258" s="414"/>
      <c r="E258" s="414"/>
      <c r="F258" s="813"/>
      <c r="G258" s="813"/>
      <c r="H258" s="813"/>
      <c r="I258" s="813"/>
      <c r="J258" s="813"/>
      <c r="K258" s="813"/>
      <c r="L258" s="813"/>
      <c r="M258" s="813"/>
      <c r="N258" s="813"/>
      <c r="O258" s="813"/>
      <c r="P258" s="419"/>
    </row>
    <row r="259" spans="2:32" ht="15.75">
      <c r="B259" s="152"/>
      <c r="C259" s="413"/>
      <c r="D259" s="414"/>
      <c r="E259" s="414"/>
      <c r="F259" s="813"/>
      <c r="G259" s="813"/>
      <c r="H259" s="813"/>
      <c r="I259" s="813"/>
      <c r="J259" s="813"/>
      <c r="K259" s="813"/>
      <c r="L259" s="813"/>
      <c r="M259" s="813"/>
      <c r="N259" s="813"/>
      <c r="O259" s="813"/>
      <c r="P259" s="419"/>
    </row>
    <row r="260" spans="2:32">
      <c r="B260" s="418"/>
      <c r="C260" s="415"/>
      <c r="D260" s="415"/>
      <c r="E260" s="415"/>
      <c r="F260" s="415"/>
      <c r="G260" s="415"/>
      <c r="H260" s="415"/>
      <c r="I260" s="415"/>
      <c r="J260" s="415"/>
      <c r="K260" s="415"/>
      <c r="L260" s="415"/>
      <c r="M260" s="415"/>
      <c r="N260" s="415"/>
      <c r="O260" s="415"/>
      <c r="P260" s="419"/>
    </row>
    <row r="261" spans="2:32">
      <c r="B261" s="155"/>
      <c r="C261" s="415"/>
      <c r="D261" s="105"/>
      <c r="E261" s="415"/>
      <c r="F261" s="415"/>
      <c r="G261" s="415"/>
      <c r="H261" s="415"/>
      <c r="I261" s="415"/>
      <c r="J261" s="415"/>
      <c r="K261" s="415"/>
      <c r="L261" s="415"/>
      <c r="M261" s="415"/>
      <c r="N261" s="415"/>
      <c r="O261" s="415"/>
      <c r="P261" s="419"/>
    </row>
    <row r="263" spans="2:32" ht="11.25" customHeight="1">
      <c r="B263" s="727"/>
      <c r="C263" s="620"/>
      <c r="D263" s="723"/>
      <c r="E263" s="724"/>
      <c r="F263" s="724"/>
      <c r="G263" s="725"/>
      <c r="H263" s="723"/>
      <c r="I263" s="723"/>
      <c r="J263" s="723"/>
      <c r="K263" s="723"/>
      <c r="L263" s="723"/>
      <c r="M263" s="723"/>
      <c r="N263" s="728"/>
      <c r="O263" s="728"/>
      <c r="P263" s="729"/>
      <c r="R263" s="646"/>
      <c r="S263" s="620"/>
      <c r="T263" s="723"/>
      <c r="U263" s="724"/>
      <c r="V263" s="724"/>
      <c r="W263" s="725"/>
      <c r="X263" s="723"/>
      <c r="Y263" s="723"/>
      <c r="Z263" s="723"/>
      <c r="AA263" s="723"/>
      <c r="AB263" s="723"/>
      <c r="AC263" s="723"/>
      <c r="AD263" s="723"/>
      <c r="AE263" s="723"/>
      <c r="AF263" s="726"/>
    </row>
    <row r="264" spans="2:32" ht="15.75">
      <c r="B264" s="421" t="s">
        <v>270</v>
      </c>
      <c r="C264" s="159"/>
      <c r="D264" s="159"/>
      <c r="E264" s="159"/>
      <c r="F264" s="159"/>
      <c r="G264" s="159"/>
      <c r="H264" s="159"/>
      <c r="I264" s="159"/>
      <c r="J264" s="159"/>
      <c r="K264" s="159"/>
      <c r="L264" s="159"/>
      <c r="M264" s="159"/>
      <c r="N264" s="159"/>
      <c r="O264" s="159"/>
      <c r="P264" s="160"/>
      <c r="R264" s="35"/>
      <c r="S264" s="35"/>
      <c r="T264" s="35"/>
      <c r="U264" s="511"/>
      <c r="V264" s="511"/>
      <c r="W264" s="35"/>
      <c r="X264" s="35"/>
      <c r="Y264" s="35"/>
      <c r="Z264" s="35"/>
      <c r="AA264" s="35"/>
      <c r="AB264" s="35"/>
      <c r="AC264" s="35"/>
      <c r="AD264" s="35"/>
      <c r="AE264" s="35"/>
      <c r="AF264" s="35"/>
    </row>
    <row r="265" spans="2:32">
      <c r="B265" s="418"/>
      <c r="C265" s="415"/>
      <c r="D265" s="415"/>
      <c r="E265" s="415"/>
      <c r="F265" s="415"/>
      <c r="G265" s="415"/>
      <c r="H265" s="415"/>
      <c r="I265" s="415"/>
      <c r="J265" s="415"/>
      <c r="K265" s="415"/>
      <c r="L265" s="415"/>
      <c r="M265" s="415"/>
      <c r="N265" s="415"/>
      <c r="O265" s="415"/>
      <c r="P265" s="419"/>
      <c r="R265" s="646"/>
      <c r="S265" s="710"/>
      <c r="T265" s="710"/>
      <c r="U265" s="711"/>
      <c r="V265" s="712"/>
      <c r="W265" s="712"/>
      <c r="X265" s="713"/>
      <c r="Y265" s="646"/>
      <c r="Z265" s="646"/>
      <c r="AA265" s="646"/>
      <c r="AB265" s="646"/>
      <c r="AC265" s="646"/>
      <c r="AD265" s="646"/>
      <c r="AE265" s="646"/>
      <c r="AF265" s="35"/>
    </row>
    <row r="266" spans="2:32">
      <c r="B266" s="418"/>
      <c r="C266" s="415"/>
      <c r="D266" s="415"/>
      <c r="E266" s="415"/>
      <c r="F266" s="415"/>
      <c r="G266" s="415"/>
      <c r="H266" s="415"/>
      <c r="I266" s="415"/>
      <c r="J266" s="415"/>
      <c r="K266" s="415"/>
      <c r="L266" s="415"/>
      <c r="M266" s="415"/>
      <c r="N266" s="415"/>
      <c r="O266" s="415"/>
      <c r="P266" s="419"/>
      <c r="R266" s="646"/>
      <c r="S266" s="710"/>
      <c r="T266" s="710"/>
      <c r="U266" s="711"/>
      <c r="V266" s="712"/>
      <c r="W266" s="712"/>
      <c r="X266" s="713"/>
      <c r="Y266" s="646"/>
      <c r="Z266" s="646"/>
      <c r="AA266" s="646"/>
      <c r="AB266" s="646"/>
      <c r="AC266" s="646"/>
      <c r="AD266" s="646"/>
      <c r="AE266" s="646"/>
      <c r="AF266" s="35"/>
    </row>
    <row r="267" spans="2:32">
      <c r="B267" s="418"/>
      <c r="C267" s="415"/>
      <c r="D267" s="415"/>
      <c r="E267" s="415"/>
      <c r="F267" s="415"/>
      <c r="G267" s="415"/>
      <c r="H267" s="415"/>
      <c r="I267" s="415"/>
      <c r="J267" s="415"/>
      <c r="K267" s="415"/>
      <c r="L267" s="415"/>
      <c r="M267" s="415"/>
      <c r="N267" s="415"/>
      <c r="O267" s="415"/>
      <c r="P267" s="419"/>
      <c r="R267" s="646"/>
      <c r="S267" s="710"/>
      <c r="T267" s="710"/>
      <c r="U267" s="711"/>
      <c r="V267" s="712"/>
      <c r="W267" s="712"/>
      <c r="X267" s="713"/>
      <c r="Y267" s="646"/>
      <c r="Z267" s="646"/>
      <c r="AA267" s="646"/>
      <c r="AB267" s="646"/>
      <c r="AC267" s="646"/>
      <c r="AD267" s="646"/>
      <c r="AE267" s="646"/>
      <c r="AF267" s="35"/>
    </row>
    <row r="268" spans="2:32">
      <c r="B268" s="418"/>
      <c r="C268" s="415"/>
      <c r="D268" s="415"/>
      <c r="E268" s="415"/>
      <c r="F268" s="415"/>
      <c r="G268" s="415"/>
      <c r="H268" s="415"/>
      <c r="I268" s="415"/>
      <c r="J268" s="415"/>
      <c r="K268" s="415"/>
      <c r="L268" s="415"/>
      <c r="M268" s="415"/>
      <c r="N268" s="415"/>
      <c r="O268" s="415"/>
      <c r="P268" s="419"/>
      <c r="R268" s="646"/>
      <c r="S268" s="710"/>
      <c r="T268" s="710"/>
      <c r="U268" s="711"/>
      <c r="V268" s="712"/>
      <c r="W268" s="712"/>
      <c r="X268" s="713"/>
      <c r="Y268" s="646"/>
      <c r="Z268" s="646"/>
      <c r="AA268" s="646"/>
      <c r="AB268" s="646"/>
      <c r="AC268" s="646"/>
      <c r="AD268" s="646"/>
      <c r="AE268" s="646"/>
      <c r="AF268" s="35"/>
    </row>
    <row r="269" spans="2:32" ht="15.75">
      <c r="B269" s="418"/>
      <c r="C269" s="820" t="s">
        <v>1062</v>
      </c>
      <c r="D269" s="105"/>
      <c r="E269" s="415"/>
      <c r="F269" s="415"/>
      <c r="G269" s="415"/>
      <c r="H269" s="415"/>
      <c r="I269" s="415"/>
      <c r="J269" s="415"/>
      <c r="K269" s="415"/>
      <c r="L269" s="415"/>
      <c r="M269" s="415"/>
      <c r="N269" s="415"/>
      <c r="O269" s="415"/>
      <c r="P269" s="419"/>
      <c r="R269" s="646"/>
      <c r="S269" s="710"/>
      <c r="T269" s="710"/>
      <c r="U269" s="711"/>
      <c r="V269" s="712"/>
      <c r="W269" s="712"/>
      <c r="X269" s="713"/>
      <c r="Y269" s="646"/>
      <c r="Z269" s="646"/>
      <c r="AA269" s="646"/>
      <c r="AB269" s="646"/>
      <c r="AC269" s="646"/>
      <c r="AD269" s="646"/>
      <c r="AE269" s="646"/>
      <c r="AF269" s="35"/>
    </row>
    <row r="270" spans="2:32">
      <c r="B270" s="418"/>
      <c r="C270" s="104"/>
      <c r="D270" s="105"/>
      <c r="E270" s="415"/>
      <c r="F270" s="415"/>
      <c r="G270" s="415"/>
      <c r="H270" s="415"/>
      <c r="I270" s="415"/>
      <c r="J270" s="415"/>
      <c r="K270" s="415"/>
      <c r="L270" s="415"/>
      <c r="M270" s="415"/>
      <c r="N270" s="415"/>
      <c r="O270" s="415"/>
      <c r="P270" s="419"/>
      <c r="R270" s="646"/>
      <c r="S270" s="710"/>
      <c r="T270" s="710"/>
      <c r="U270" s="711"/>
      <c r="V270" s="712"/>
      <c r="W270" s="712"/>
      <c r="X270" s="713"/>
      <c r="Y270" s="646"/>
      <c r="Z270" s="646"/>
      <c r="AA270" s="646"/>
      <c r="AB270" s="646"/>
      <c r="AC270" s="646"/>
      <c r="AD270" s="646"/>
      <c r="AE270" s="646"/>
      <c r="AF270" s="35"/>
    </row>
    <row r="271" spans="2:32" ht="14.25">
      <c r="B271" s="418"/>
      <c r="C271" s="819" t="s">
        <v>460</v>
      </c>
      <c r="D271" s="761"/>
      <c r="E271" s="760"/>
      <c r="F271" s="760"/>
      <c r="G271" s="760"/>
      <c r="H271" s="760"/>
      <c r="I271" s="760"/>
      <c r="J271" s="760"/>
      <c r="K271" s="760"/>
      <c r="L271" s="760"/>
      <c r="M271" s="760"/>
      <c r="N271" s="760"/>
      <c r="O271" s="760"/>
      <c r="P271" s="419"/>
      <c r="R271" s="646"/>
      <c r="S271" s="710"/>
      <c r="T271" s="710"/>
      <c r="U271" s="711"/>
      <c r="V271" s="712"/>
      <c r="W271" s="712"/>
      <c r="X271" s="713"/>
      <c r="Y271" s="646"/>
      <c r="Z271" s="646"/>
      <c r="AA271" s="646"/>
      <c r="AB271" s="646"/>
      <c r="AC271" s="646"/>
      <c r="AD271" s="646"/>
      <c r="AE271" s="646"/>
      <c r="AF271" s="35"/>
    </row>
    <row r="272" spans="2:32">
      <c r="B272" s="418"/>
      <c r="C272" s="104"/>
      <c r="D272" s="105"/>
      <c r="E272" s="415"/>
      <c r="F272" s="415"/>
      <c r="G272" s="415"/>
      <c r="H272" s="415"/>
      <c r="I272" s="415"/>
      <c r="J272" s="415"/>
      <c r="K272" s="415"/>
      <c r="L272" s="415"/>
      <c r="M272" s="415"/>
      <c r="N272" s="415"/>
      <c r="O272" s="415"/>
      <c r="P272" s="419"/>
      <c r="R272" s="646"/>
      <c r="S272" s="710"/>
      <c r="T272" s="710"/>
      <c r="U272" s="711"/>
      <c r="V272" s="712"/>
      <c r="W272" s="712"/>
      <c r="X272" s="713"/>
      <c r="Y272" s="646"/>
      <c r="Z272" s="646"/>
      <c r="AA272" s="646"/>
      <c r="AB272" s="646"/>
      <c r="AC272" s="646"/>
      <c r="AD272" s="646"/>
      <c r="AE272" s="646"/>
      <c r="AF272" s="35"/>
    </row>
    <row r="273" spans="2:32">
      <c r="B273" s="418"/>
      <c r="C273" s="61" t="s">
        <v>64</v>
      </c>
      <c r="D273" s="61" t="s">
        <v>925</v>
      </c>
      <c r="E273" s="61" t="s">
        <v>404</v>
      </c>
      <c r="F273" s="119">
        <v>2007</v>
      </c>
      <c r="G273" s="120">
        <f t="shared" ref="G273:O273" si="96">F273+5</f>
        <v>2012</v>
      </c>
      <c r="H273" s="120">
        <f t="shared" si="96"/>
        <v>2017</v>
      </c>
      <c r="I273" s="120">
        <f t="shared" si="96"/>
        <v>2022</v>
      </c>
      <c r="J273" s="120">
        <f t="shared" si="96"/>
        <v>2027</v>
      </c>
      <c r="K273" s="120">
        <f t="shared" si="96"/>
        <v>2032</v>
      </c>
      <c r="L273" s="120">
        <f t="shared" si="96"/>
        <v>2037</v>
      </c>
      <c r="M273" s="120">
        <f t="shared" si="96"/>
        <v>2042</v>
      </c>
      <c r="N273" s="120">
        <f t="shared" si="96"/>
        <v>2047</v>
      </c>
      <c r="O273" s="120">
        <f t="shared" si="96"/>
        <v>2052</v>
      </c>
      <c r="P273" s="419"/>
      <c r="R273" s="646"/>
      <c r="S273" s="710"/>
      <c r="T273" s="710"/>
      <c r="U273" s="711"/>
      <c r="V273" s="712"/>
      <c r="W273" s="712"/>
      <c r="X273" s="713"/>
      <c r="Y273" s="646"/>
      <c r="Z273" s="646"/>
      <c r="AA273" s="646"/>
      <c r="AB273" s="646"/>
      <c r="AC273" s="646"/>
      <c r="AD273" s="646"/>
      <c r="AE273" s="646"/>
      <c r="AF273" s="35"/>
    </row>
    <row r="274" spans="2:32">
      <c r="B274" s="418"/>
      <c r="C274" s="413"/>
      <c r="D274" s="413" t="s">
        <v>918</v>
      </c>
      <c r="E274" s="821" t="str">
        <f t="shared" ref="E274:E280" si="97">preferences.energyunits</f>
        <v>TWh</v>
      </c>
      <c r="F274" s="519">
        <f t="shared" ref="F274:O274" si="98">($D242/F166)*(100)</f>
        <v>1.4101388888888888E-6</v>
      </c>
      <c r="G274" s="519">
        <f t="shared" si="98"/>
        <v>1.4101388888888888E-6</v>
      </c>
      <c r="H274" s="519">
        <f t="shared" si="98"/>
        <v>1.4049382505267778E-6</v>
      </c>
      <c r="I274" s="519">
        <f t="shared" si="98"/>
        <v>1.3997567922891115E-6</v>
      </c>
      <c r="J274" s="519">
        <f t="shared" si="98"/>
        <v>1.3945944434389638E-6</v>
      </c>
      <c r="K274" s="519">
        <f t="shared" si="98"/>
        <v>1.3894511335002882E-6</v>
      </c>
      <c r="L274" s="519">
        <f t="shared" si="98"/>
        <v>1.3843267922569557E-6</v>
      </c>
      <c r="M274" s="519">
        <f t="shared" si="98"/>
        <v>1.3792213497517978E-6</v>
      </c>
      <c r="N274" s="519">
        <f t="shared" si="98"/>
        <v>1.3741347362856495E-6</v>
      </c>
      <c r="O274" s="519">
        <f t="shared" si="98"/>
        <v>1.3690668824163968E-6</v>
      </c>
      <c r="P274" s="419"/>
      <c r="R274" s="646"/>
      <c r="S274" s="710"/>
      <c r="T274" s="710"/>
      <c r="U274" s="711"/>
      <c r="V274" s="712"/>
      <c r="W274" s="712"/>
      <c r="X274" s="713"/>
      <c r="Y274" s="646"/>
      <c r="Z274" s="646"/>
      <c r="AA274" s="646"/>
      <c r="AB274" s="646"/>
      <c r="AC274" s="646"/>
      <c r="AD274" s="646"/>
      <c r="AE274" s="646"/>
      <c r="AF274" s="35"/>
    </row>
    <row r="275" spans="2:32">
      <c r="B275" s="418"/>
      <c r="C275" s="413"/>
      <c r="D275" s="413" t="s">
        <v>926</v>
      </c>
      <c r="E275" s="821" t="str">
        <f t="shared" si="97"/>
        <v>TWh</v>
      </c>
      <c r="F275" s="519">
        <f t="shared" ref="F275:O275" si="99">($D243/F167)*(100)</f>
        <v>1.314E-6</v>
      </c>
      <c r="G275" s="519">
        <f t="shared" si="99"/>
        <v>1.314E-6</v>
      </c>
      <c r="H275" s="519">
        <f t="shared" si="99"/>
        <v>1.310751440750835E-6</v>
      </c>
      <c r="I275" s="519">
        <f t="shared" si="99"/>
        <v>1.3075109128085156E-6</v>
      </c>
      <c r="J275" s="519">
        <f t="shared" si="99"/>
        <v>1.3042783963175045E-6</v>
      </c>
      <c r="K275" s="519">
        <f t="shared" si="99"/>
        <v>1.3010538714713529E-6</v>
      </c>
      <c r="L275" s="519">
        <f t="shared" si="99"/>
        <v>1.2978373185125779E-6</v>
      </c>
      <c r="M275" s="519">
        <f t="shared" si="99"/>
        <v>1.2946287177325433E-6</v>
      </c>
      <c r="N275" s="519">
        <f t="shared" si="99"/>
        <v>1.2914280494713372E-6</v>
      </c>
      <c r="O275" s="519">
        <f t="shared" si="99"/>
        <v>1.2882352941176471E-6</v>
      </c>
      <c r="P275" s="419"/>
      <c r="R275" s="646"/>
      <c r="S275" s="710"/>
      <c r="T275" s="710"/>
      <c r="U275" s="711"/>
      <c r="V275" s="712"/>
      <c r="W275" s="712"/>
      <c r="X275" s="713"/>
      <c r="Y275" s="646"/>
      <c r="Z275" s="646"/>
      <c r="AA275" s="646"/>
      <c r="AB275" s="646"/>
      <c r="AC275" s="646"/>
      <c r="AD275" s="646"/>
      <c r="AE275" s="646"/>
      <c r="AF275" s="35"/>
    </row>
    <row r="276" spans="2:32">
      <c r="B276" s="418"/>
      <c r="C276" s="413"/>
      <c r="D276" s="413" t="s">
        <v>919</v>
      </c>
      <c r="E276" s="821" t="str">
        <f t="shared" si="97"/>
        <v>TWh</v>
      </c>
      <c r="F276" s="519">
        <f t="shared" ref="F276:O276" si="100">($D244/F168)*(100)</f>
        <v>1.6027222222222223E-6</v>
      </c>
      <c r="G276" s="519">
        <f t="shared" si="100"/>
        <v>1.6027222222222223E-6</v>
      </c>
      <c r="H276" s="519">
        <f t="shared" si="100"/>
        <v>1.5968113302254314E-6</v>
      </c>
      <c r="I276" s="519">
        <f t="shared" si="100"/>
        <v>1.5909222377917301E-6</v>
      </c>
      <c r="J276" s="519">
        <f t="shared" si="100"/>
        <v>1.5850548645236157E-6</v>
      </c>
      <c r="K276" s="519">
        <f t="shared" si="100"/>
        <v>1.5792091303200952E-6</v>
      </c>
      <c r="L276" s="519">
        <f t="shared" si="100"/>
        <v>1.5733849553755905E-6</v>
      </c>
      <c r="M276" s="519">
        <f t="shared" si="100"/>
        <v>1.5675822601788485E-6</v>
      </c>
      <c r="N276" s="519">
        <f t="shared" si="100"/>
        <v>1.561800965511857E-6</v>
      </c>
      <c r="O276" s="519">
        <f t="shared" si="100"/>
        <v>1.5560409924487596E-6</v>
      </c>
      <c r="P276" s="419"/>
      <c r="R276" s="646"/>
      <c r="S276" s="710"/>
      <c r="T276" s="710"/>
      <c r="U276" s="711"/>
      <c r="V276" s="712"/>
      <c r="W276" s="712"/>
      <c r="X276" s="713"/>
      <c r="Y276" s="646"/>
      <c r="Z276" s="646"/>
      <c r="AA276" s="646"/>
      <c r="AB276" s="646"/>
      <c r="AC276" s="646"/>
      <c r="AD276" s="646"/>
      <c r="AE276" s="646"/>
      <c r="AF276" s="35"/>
    </row>
    <row r="277" spans="2:32">
      <c r="B277" s="418"/>
      <c r="C277" s="413"/>
      <c r="D277" s="413" t="s">
        <v>927</v>
      </c>
      <c r="E277" s="821" t="str">
        <f t="shared" si="97"/>
        <v>TWh</v>
      </c>
      <c r="F277" s="519">
        <f t="shared" ref="F277:O277" si="101">($D245/F169)*(100)</f>
        <v>6.0840000000000005E-6</v>
      </c>
      <c r="G277" s="519">
        <f t="shared" si="101"/>
        <v>6.0840000000000005E-6</v>
      </c>
      <c r="H277" s="519">
        <f t="shared" si="101"/>
        <v>5.7833276550209914E-6</v>
      </c>
      <c r="I277" s="519">
        <f t="shared" si="101"/>
        <v>5.4975145899622936E-6</v>
      </c>
      <c r="J277" s="519">
        <f t="shared" si="101"/>
        <v>5.2258264566091906E-6</v>
      </c>
      <c r="K277" s="519">
        <f t="shared" si="101"/>
        <v>4.9675651983642808E-6</v>
      </c>
      <c r="L277" s="519">
        <f t="shared" si="101"/>
        <v>4.7220672567093984E-6</v>
      </c>
      <c r="M277" s="519">
        <f t="shared" si="101"/>
        <v>4.4887018663044987E-6</v>
      </c>
      <c r="N277" s="519">
        <f t="shared" si="101"/>
        <v>4.2668694343430547E-6</v>
      </c>
      <c r="O277" s="519">
        <f t="shared" si="101"/>
        <v>4.0559999999999998E-6</v>
      </c>
      <c r="P277" s="419"/>
      <c r="R277" s="646"/>
      <c r="S277" s="710"/>
      <c r="T277" s="710"/>
      <c r="U277" s="711"/>
      <c r="V277" s="712"/>
      <c r="W277" s="712"/>
      <c r="X277" s="713"/>
      <c r="Y277" s="646"/>
      <c r="Z277" s="646"/>
      <c r="AA277" s="646"/>
      <c r="AB277" s="646"/>
      <c r="AC277" s="646"/>
      <c r="AD277" s="646"/>
      <c r="AE277" s="646"/>
      <c r="AF277" s="35"/>
    </row>
    <row r="278" spans="2:32">
      <c r="B278" s="418"/>
      <c r="C278" s="413"/>
      <c r="D278" s="413" t="s">
        <v>928</v>
      </c>
      <c r="E278" s="821" t="str">
        <f t="shared" si="97"/>
        <v>TWh</v>
      </c>
      <c r="F278" s="519">
        <f t="shared" ref="F278:O278" si="102">($D246/F170)*(100)</f>
        <v>4.4164444444444446E-6</v>
      </c>
      <c r="G278" s="519">
        <f t="shared" si="102"/>
        <v>4.4164444444444446E-6</v>
      </c>
      <c r="H278" s="519">
        <f t="shared" si="102"/>
        <v>4.3895915313683765E-6</v>
      </c>
      <c r="I278" s="519">
        <f t="shared" si="102"/>
        <v>4.3629018896635967E-6</v>
      </c>
      <c r="J278" s="519">
        <f t="shared" si="102"/>
        <v>4.3363745266057588E-6</v>
      </c>
      <c r="K278" s="519">
        <f t="shared" si="102"/>
        <v>4.3100084555064826E-6</v>
      </c>
      <c r="L278" s="519">
        <f t="shared" si="102"/>
        <v>4.2838026956766664E-6</v>
      </c>
      <c r="M278" s="519">
        <f t="shared" si="102"/>
        <v>4.2577562723900035E-6</v>
      </c>
      <c r="N278" s="519">
        <f t="shared" si="102"/>
        <v>4.2318682168467255E-6</v>
      </c>
      <c r="O278" s="519">
        <f t="shared" si="102"/>
        <v>4.206137566137567E-6</v>
      </c>
      <c r="P278" s="419"/>
      <c r="R278" s="646"/>
      <c r="S278" s="710"/>
      <c r="T278" s="710"/>
      <c r="U278" s="711"/>
      <c r="V278" s="712"/>
      <c r="W278" s="712"/>
      <c r="X278" s="713"/>
      <c r="Y278" s="646"/>
      <c r="Z278" s="646"/>
      <c r="AA278" s="646"/>
      <c r="AB278" s="646"/>
      <c r="AC278" s="646"/>
      <c r="AD278" s="646"/>
      <c r="AE278" s="646"/>
      <c r="AF278" s="35"/>
    </row>
    <row r="279" spans="2:32">
      <c r="B279" s="418"/>
      <c r="C279" s="413"/>
      <c r="D279" s="413" t="s">
        <v>929</v>
      </c>
      <c r="E279" s="821" t="str">
        <f t="shared" si="97"/>
        <v>TWh</v>
      </c>
      <c r="F279" s="519">
        <f t="shared" ref="F279:O279" si="103">($D247/F171)*(100)</f>
        <v>1.9470138888888888E-6</v>
      </c>
      <c r="G279" s="519">
        <f t="shared" si="103"/>
        <v>1.9470138888888888E-6</v>
      </c>
      <c r="H279" s="519">
        <f t="shared" si="103"/>
        <v>1.935175634072393E-6</v>
      </c>
      <c r="I279" s="519">
        <f t="shared" si="103"/>
        <v>1.9234093583403293E-6</v>
      </c>
      <c r="J279" s="519">
        <f t="shared" si="103"/>
        <v>1.9117146240446945E-6</v>
      </c>
      <c r="K279" s="519">
        <f t="shared" si="103"/>
        <v>1.9000909961984761E-6</v>
      </c>
      <c r="L279" s="519">
        <f t="shared" si="103"/>
        <v>1.8885380424594742E-6</v>
      </c>
      <c r="M279" s="519">
        <f t="shared" si="103"/>
        <v>1.8770553331142214E-6</v>
      </c>
      <c r="N279" s="519">
        <f t="shared" si="103"/>
        <v>1.8656424410619974E-6</v>
      </c>
      <c r="O279" s="519">
        <f t="shared" si="103"/>
        <v>1.8542989417989416E-6</v>
      </c>
      <c r="P279" s="419"/>
      <c r="R279" s="646"/>
      <c r="S279" s="710"/>
      <c r="T279" s="710"/>
      <c r="U279" s="711"/>
      <c r="V279" s="712"/>
      <c r="W279" s="712"/>
      <c r="X279" s="713"/>
      <c r="Y279" s="646"/>
      <c r="Z279" s="646"/>
      <c r="AA279" s="646"/>
      <c r="AB279" s="646"/>
      <c r="AC279" s="646"/>
      <c r="AD279" s="646"/>
      <c r="AE279" s="646"/>
      <c r="AF279" s="35"/>
    </row>
    <row r="280" spans="2:32">
      <c r="B280" s="418"/>
      <c r="C280" s="111"/>
      <c r="D280" s="111" t="s">
        <v>930</v>
      </c>
      <c r="E280" s="822" t="str">
        <f t="shared" si="97"/>
        <v>TWh</v>
      </c>
      <c r="F280" s="520">
        <f t="shared" ref="F280:O280" si="104">($D248/F172)*(100)</f>
        <v>2.0687499999999999E-6</v>
      </c>
      <c r="G280" s="520">
        <f t="shared" si="104"/>
        <v>2.0687499999999999E-6</v>
      </c>
      <c r="H280" s="520">
        <f t="shared" si="104"/>
        <v>2.0561715639696323E-6</v>
      </c>
      <c r="I280" s="520">
        <f t="shared" si="104"/>
        <v>2.0436696074814857E-6</v>
      </c>
      <c r="J280" s="520">
        <f t="shared" si="104"/>
        <v>2.0312436655238243E-6</v>
      </c>
      <c r="K280" s="520">
        <f t="shared" si="104"/>
        <v>2.0188932759122804E-6</v>
      </c>
      <c r="L280" s="520">
        <f t="shared" si="104"/>
        <v>2.0066179792726659E-6</v>
      </c>
      <c r="M280" s="520">
        <f t="shared" si="104"/>
        <v>1.9944173190238844E-6</v>
      </c>
      <c r="N280" s="520">
        <f t="shared" si="104"/>
        <v>1.982290841360948E-6</v>
      </c>
      <c r="O280" s="520">
        <f t="shared" si="104"/>
        <v>1.970238095238095E-6</v>
      </c>
      <c r="P280" s="419"/>
      <c r="R280" s="646"/>
      <c r="S280" s="710"/>
      <c r="T280" s="710"/>
      <c r="U280" s="711"/>
      <c r="V280" s="712"/>
      <c r="W280" s="712"/>
      <c r="X280" s="713"/>
      <c r="Y280" s="646"/>
      <c r="Z280" s="646"/>
      <c r="AA280" s="646"/>
      <c r="AB280" s="646"/>
      <c r="AC280" s="646"/>
      <c r="AD280" s="646"/>
      <c r="AE280" s="646"/>
      <c r="AF280" s="35"/>
    </row>
    <row r="281" spans="2:32">
      <c r="B281" s="418"/>
      <c r="C281" s="106"/>
      <c r="D281" s="417"/>
      <c r="E281" s="417"/>
      <c r="F281" s="814"/>
      <c r="G281" s="814"/>
      <c r="H281" s="814"/>
      <c r="I281" s="814"/>
      <c r="J281" s="814"/>
      <c r="K281" s="814"/>
      <c r="L281" s="814"/>
      <c r="M281" s="814"/>
      <c r="N281" s="814"/>
      <c r="O281" s="814"/>
      <c r="P281" s="419"/>
      <c r="R281" s="646"/>
      <c r="S281" s="710"/>
      <c r="T281" s="710"/>
      <c r="U281" s="711"/>
      <c r="V281" s="712"/>
      <c r="W281" s="712"/>
      <c r="X281" s="713"/>
      <c r="Y281" s="646"/>
      <c r="Z281" s="646"/>
      <c r="AA281" s="646"/>
      <c r="AB281" s="646"/>
      <c r="AC281" s="646"/>
      <c r="AD281" s="646"/>
      <c r="AE281" s="646"/>
      <c r="AF281" s="35"/>
    </row>
    <row r="282" spans="2:32" ht="14.25">
      <c r="B282" s="418"/>
      <c r="C282" s="819" t="s">
        <v>461</v>
      </c>
      <c r="D282" s="761"/>
      <c r="E282" s="760"/>
      <c r="F282" s="760"/>
      <c r="G282" s="760"/>
      <c r="H282" s="760"/>
      <c r="I282" s="760"/>
      <c r="J282" s="760"/>
      <c r="K282" s="760"/>
      <c r="L282" s="760"/>
      <c r="M282" s="760"/>
      <c r="N282" s="760"/>
      <c r="O282" s="760"/>
      <c r="P282" s="419"/>
      <c r="R282" s="646"/>
      <c r="S282" s="710"/>
      <c r="T282" s="710"/>
      <c r="U282" s="711"/>
      <c r="V282" s="712"/>
      <c r="W282" s="712"/>
      <c r="X282" s="713"/>
      <c r="Y282" s="646"/>
      <c r="Z282" s="646"/>
      <c r="AA282" s="646"/>
      <c r="AB282" s="646"/>
      <c r="AC282" s="646"/>
      <c r="AD282" s="646"/>
      <c r="AE282" s="646"/>
      <c r="AF282" s="35"/>
    </row>
    <row r="283" spans="2:32">
      <c r="B283" s="418"/>
      <c r="C283" s="104"/>
      <c r="D283" s="105"/>
      <c r="E283" s="415"/>
      <c r="F283" s="415"/>
      <c r="G283" s="415"/>
      <c r="H283" s="415"/>
      <c r="I283" s="415"/>
      <c r="J283" s="415"/>
      <c r="K283" s="415"/>
      <c r="L283" s="415"/>
      <c r="M283" s="415"/>
      <c r="N283" s="415"/>
      <c r="O283" s="415"/>
      <c r="P283" s="419"/>
      <c r="R283" s="646"/>
      <c r="S283" s="710"/>
      <c r="T283" s="710"/>
      <c r="U283" s="711"/>
      <c r="V283" s="712"/>
      <c r="W283" s="712"/>
      <c r="X283" s="713"/>
      <c r="Y283" s="646"/>
      <c r="Z283" s="646"/>
      <c r="AA283" s="646"/>
      <c r="AB283" s="646"/>
      <c r="AC283" s="646"/>
      <c r="AD283" s="646"/>
      <c r="AE283" s="646"/>
      <c r="AF283" s="35"/>
    </row>
    <row r="284" spans="2:32">
      <c r="B284" s="418"/>
      <c r="C284" s="61" t="s">
        <v>64</v>
      </c>
      <c r="D284" s="61" t="s">
        <v>925</v>
      </c>
      <c r="E284" s="61" t="s">
        <v>404</v>
      </c>
      <c r="F284" s="119">
        <v>2007</v>
      </c>
      <c r="G284" s="120">
        <f t="shared" ref="G284:O284" si="105">F284+5</f>
        <v>2012</v>
      </c>
      <c r="H284" s="120">
        <f t="shared" si="105"/>
        <v>2017</v>
      </c>
      <c r="I284" s="120">
        <f t="shared" si="105"/>
        <v>2022</v>
      </c>
      <c r="J284" s="120">
        <f t="shared" si="105"/>
        <v>2027</v>
      </c>
      <c r="K284" s="120">
        <f t="shared" si="105"/>
        <v>2032</v>
      </c>
      <c r="L284" s="120">
        <f t="shared" si="105"/>
        <v>2037</v>
      </c>
      <c r="M284" s="120">
        <f t="shared" si="105"/>
        <v>2042</v>
      </c>
      <c r="N284" s="120">
        <f t="shared" si="105"/>
        <v>2047</v>
      </c>
      <c r="O284" s="120">
        <f t="shared" si="105"/>
        <v>2052</v>
      </c>
      <c r="P284" s="419"/>
      <c r="R284" s="646"/>
      <c r="S284" s="710"/>
      <c r="T284" s="710"/>
      <c r="U284" s="711"/>
      <c r="V284" s="712"/>
      <c r="W284" s="712"/>
      <c r="X284" s="713"/>
      <c r="Y284" s="646"/>
      <c r="Z284" s="646"/>
      <c r="AA284" s="646"/>
      <c r="AB284" s="646"/>
      <c r="AC284" s="646"/>
      <c r="AD284" s="646"/>
      <c r="AE284" s="646"/>
      <c r="AF284" s="35"/>
    </row>
    <row r="285" spans="2:32">
      <c r="B285" s="418"/>
      <c r="C285" s="413"/>
      <c r="D285" s="413" t="s">
        <v>918</v>
      </c>
      <c r="E285" s="821" t="str">
        <f t="shared" ref="E285:E291" si="106">preferences.energyunits</f>
        <v>TWh</v>
      </c>
      <c r="F285" s="519">
        <f t="shared" ref="F285:O285" si="107">($D242/F177)*(100)</f>
        <v>1.4101388888888888E-6</v>
      </c>
      <c r="G285" s="519">
        <f t="shared" si="107"/>
        <v>1.4101388888888888E-6</v>
      </c>
      <c r="H285" s="519">
        <f t="shared" si="107"/>
        <v>1.3999052962278011E-6</v>
      </c>
      <c r="I285" s="519">
        <f t="shared" si="107"/>
        <v>1.3897459703070879E-6</v>
      </c>
      <c r="J285" s="519">
        <f t="shared" si="107"/>
        <v>1.3796603721617047E-6</v>
      </c>
      <c r="K285" s="519">
        <f t="shared" si="107"/>
        <v>1.3696479667379579E-6</v>
      </c>
      <c r="L285" s="519">
        <f t="shared" si="107"/>
        <v>1.3597082228651203E-6</v>
      </c>
      <c r="M285" s="519">
        <f t="shared" si="107"/>
        <v>1.3498406132272522E-6</v>
      </c>
      <c r="N285" s="519">
        <f t="shared" si="107"/>
        <v>1.3400446143352247E-6</v>
      </c>
      <c r="O285" s="519">
        <f t="shared" si="107"/>
        <v>1.3303197064989516E-6</v>
      </c>
      <c r="P285" s="419"/>
      <c r="R285" s="646"/>
      <c r="S285" s="710"/>
      <c r="T285" s="710"/>
      <c r="U285" s="711"/>
      <c r="V285" s="712"/>
      <c r="W285" s="712"/>
      <c r="X285" s="713"/>
      <c r="Y285" s="646"/>
      <c r="Z285" s="646"/>
      <c r="AA285" s="646"/>
      <c r="AB285" s="646"/>
      <c r="AC285" s="646"/>
      <c r="AD285" s="646"/>
      <c r="AE285" s="646"/>
      <c r="AF285" s="35"/>
    </row>
    <row r="286" spans="2:32">
      <c r="B286" s="418"/>
      <c r="C286" s="413"/>
      <c r="D286" s="413" t="s">
        <v>926</v>
      </c>
      <c r="E286" s="821" t="str">
        <f t="shared" si="106"/>
        <v>TWh</v>
      </c>
      <c r="F286" s="519">
        <f t="shared" ref="F286:O286" si="108">($D243/F178)*(100)</f>
        <v>1.314E-6</v>
      </c>
      <c r="G286" s="519">
        <f t="shared" si="108"/>
        <v>1.314E-6</v>
      </c>
      <c r="H286" s="519">
        <f t="shared" si="108"/>
        <v>1.3075737633350449E-6</v>
      </c>
      <c r="I286" s="519">
        <f t="shared" si="108"/>
        <v>1.3011789547657322E-6</v>
      </c>
      <c r="J286" s="519">
        <f t="shared" si="108"/>
        <v>1.2948154205900979E-6</v>
      </c>
      <c r="K286" s="519">
        <f t="shared" si="108"/>
        <v>1.2884830078578719E-6</v>
      </c>
      <c r="L286" s="519">
        <f t="shared" si="108"/>
        <v>1.2821815643668004E-6</v>
      </c>
      <c r="M286" s="519">
        <f t="shared" si="108"/>
        <v>1.2759109386589897E-6</v>
      </c>
      <c r="N286" s="519">
        <f t="shared" si="108"/>
        <v>1.2696709800172639E-6</v>
      </c>
      <c r="O286" s="519">
        <f t="shared" si="108"/>
        <v>1.2634615384615386E-6</v>
      </c>
      <c r="P286" s="419"/>
      <c r="R286" s="646"/>
      <c r="S286" s="710"/>
      <c r="T286" s="710"/>
      <c r="U286" s="711"/>
      <c r="V286" s="712"/>
      <c r="W286" s="712"/>
      <c r="X286" s="713"/>
      <c r="Y286" s="646"/>
      <c r="Z286" s="646"/>
      <c r="AA286" s="646"/>
      <c r="AB286" s="646"/>
      <c r="AC286" s="646"/>
      <c r="AD286" s="646"/>
      <c r="AE286" s="646"/>
      <c r="AF286" s="35"/>
    </row>
    <row r="287" spans="2:32">
      <c r="B287" s="418"/>
      <c r="C287" s="413"/>
      <c r="D287" s="413" t="s">
        <v>919</v>
      </c>
      <c r="E287" s="821" t="str">
        <f t="shared" si="106"/>
        <v>TWh</v>
      </c>
      <c r="F287" s="519">
        <f t="shared" ref="F287:O287" si="109">($D244/F179)*(100)</f>
        <v>1.6027222222222223E-6</v>
      </c>
      <c r="G287" s="519">
        <f t="shared" si="109"/>
        <v>1.6027222222222223E-6</v>
      </c>
      <c r="H287" s="519">
        <f t="shared" si="109"/>
        <v>1.5910910229833878E-6</v>
      </c>
      <c r="I287" s="519">
        <f t="shared" si="109"/>
        <v>1.5795442331286985E-6</v>
      </c>
      <c r="J287" s="519">
        <f t="shared" si="109"/>
        <v>1.568081240086399E-6</v>
      </c>
      <c r="K287" s="519">
        <f t="shared" si="109"/>
        <v>1.5567014357302613E-6</v>
      </c>
      <c r="L287" s="519">
        <f t="shared" si="109"/>
        <v>1.5454042163473205E-6</v>
      </c>
      <c r="M287" s="519">
        <f t="shared" si="109"/>
        <v>1.5341889826058506E-6</v>
      </c>
      <c r="N287" s="519">
        <f t="shared" si="109"/>
        <v>1.5230551395235653E-6</v>
      </c>
      <c r="O287" s="519">
        <f t="shared" si="109"/>
        <v>1.5120020964360588E-6</v>
      </c>
      <c r="P287" s="419"/>
      <c r="R287" s="646"/>
      <c r="S287" s="710"/>
      <c r="T287" s="710"/>
      <c r="U287" s="711"/>
      <c r="V287" s="712"/>
      <c r="W287" s="712"/>
      <c r="X287" s="713"/>
      <c r="Y287" s="646"/>
      <c r="Z287" s="646"/>
      <c r="AA287" s="646"/>
      <c r="AB287" s="646"/>
      <c r="AC287" s="646"/>
      <c r="AD287" s="646"/>
      <c r="AE287" s="646"/>
      <c r="AF287" s="35"/>
    </row>
    <row r="288" spans="2:32">
      <c r="B288" s="418"/>
      <c r="C288" s="413"/>
      <c r="D288" s="413" t="s">
        <v>927</v>
      </c>
      <c r="E288" s="821" t="str">
        <f t="shared" si="106"/>
        <v>TWh</v>
      </c>
      <c r="F288" s="519">
        <f t="shared" ref="F288:O288" si="110">($D245/F180)*(100)</f>
        <v>6.0840000000000005E-6</v>
      </c>
      <c r="G288" s="519">
        <f t="shared" si="110"/>
        <v>6.0840000000000005E-6</v>
      </c>
      <c r="H288" s="519">
        <f t="shared" si="110"/>
        <v>5.5790525988572226E-6</v>
      </c>
      <c r="I288" s="519">
        <f t="shared" si="110"/>
        <v>5.1160137904036028E-6</v>
      </c>
      <c r="J288" s="519">
        <f t="shared" si="110"/>
        <v>4.6914053308909611E-6</v>
      </c>
      <c r="K288" s="519">
        <f t="shared" si="110"/>
        <v>4.3020376567389616E-6</v>
      </c>
      <c r="L288" s="519">
        <f t="shared" si="110"/>
        <v>3.944985925248378E-6</v>
      </c>
      <c r="M288" s="519">
        <f t="shared" si="110"/>
        <v>3.6175680438382849E-6</v>
      </c>
      <c r="N288" s="519">
        <f t="shared" si="110"/>
        <v>3.3173245227677221E-6</v>
      </c>
      <c r="O288" s="519">
        <f t="shared" si="110"/>
        <v>3.0420000000000003E-6</v>
      </c>
      <c r="P288" s="419"/>
      <c r="R288" s="646"/>
      <c r="S288" s="710"/>
      <c r="T288" s="710"/>
      <c r="U288" s="711"/>
      <c r="V288" s="712"/>
      <c r="W288" s="712"/>
      <c r="X288" s="713"/>
      <c r="Y288" s="646"/>
      <c r="Z288" s="646"/>
      <c r="AA288" s="646"/>
      <c r="AB288" s="646"/>
      <c r="AC288" s="646"/>
      <c r="AD288" s="646"/>
      <c r="AE288" s="646"/>
      <c r="AF288" s="35"/>
    </row>
    <row r="289" spans="2:32">
      <c r="B289" s="418"/>
      <c r="C289" s="413"/>
      <c r="D289" s="413" t="s">
        <v>928</v>
      </c>
      <c r="E289" s="821" t="str">
        <f t="shared" si="106"/>
        <v>TWh</v>
      </c>
      <c r="F289" s="519">
        <f t="shared" ref="F289:O289" si="111">($D246/F181)*(100)</f>
        <v>4.4164444444444446E-6</v>
      </c>
      <c r="G289" s="519">
        <f t="shared" si="111"/>
        <v>4.4164444444444446E-6</v>
      </c>
      <c r="H289" s="519">
        <f t="shared" si="111"/>
        <v>4.3641401197570694E-6</v>
      </c>
      <c r="I289" s="519">
        <f t="shared" si="111"/>
        <v>4.3124552396059976E-6</v>
      </c>
      <c r="J289" s="519">
        <f t="shared" si="111"/>
        <v>4.261382467857252E-6</v>
      </c>
      <c r="K289" s="519">
        <f t="shared" si="111"/>
        <v>4.2109145552593074E-6</v>
      </c>
      <c r="L289" s="519">
        <f t="shared" si="111"/>
        <v>4.1610443384141408E-6</v>
      </c>
      <c r="M289" s="519">
        <f t="shared" si="111"/>
        <v>4.1117647387604517E-6</v>
      </c>
      <c r="N289" s="519">
        <f t="shared" si="111"/>
        <v>4.0630687615689442E-6</v>
      </c>
      <c r="O289" s="519">
        <f t="shared" si="111"/>
        <v>4.0149494949494956E-6</v>
      </c>
      <c r="P289" s="419"/>
      <c r="R289" s="646"/>
      <c r="S289" s="710"/>
      <c r="T289" s="710"/>
      <c r="U289" s="711"/>
      <c r="V289" s="712"/>
      <c r="W289" s="712"/>
      <c r="X289" s="713"/>
      <c r="Y289" s="646"/>
      <c r="Z289" s="646"/>
      <c r="AA289" s="646"/>
      <c r="AB289" s="646"/>
      <c r="AC289" s="646"/>
      <c r="AD289" s="646"/>
      <c r="AE289" s="646"/>
      <c r="AF289" s="35"/>
    </row>
    <row r="290" spans="2:32">
      <c r="B290" s="418"/>
      <c r="C290" s="413"/>
      <c r="D290" s="413" t="s">
        <v>929</v>
      </c>
      <c r="E290" s="821" t="str">
        <f t="shared" si="106"/>
        <v>TWh</v>
      </c>
      <c r="F290" s="519">
        <f t="shared" ref="F290:O290" si="112">($D247/F182)*(100)</f>
        <v>1.9470138888888888E-6</v>
      </c>
      <c r="G290" s="519">
        <f t="shared" si="112"/>
        <v>1.9470138888888888E-6</v>
      </c>
      <c r="H290" s="519">
        <f t="shared" si="112"/>
        <v>1.9239552389055572E-6</v>
      </c>
      <c r="I290" s="519">
        <f t="shared" si="112"/>
        <v>1.9011696744621325E-6</v>
      </c>
      <c r="J290" s="519">
        <f t="shared" si="112"/>
        <v>1.8786539613834934E-6</v>
      </c>
      <c r="K290" s="519">
        <f t="shared" si="112"/>
        <v>1.8564049037971281E-6</v>
      </c>
      <c r="L290" s="519">
        <f t="shared" si="112"/>
        <v>1.8344193436795133E-6</v>
      </c>
      <c r="M290" s="519">
        <f t="shared" si="112"/>
        <v>1.8126941604078631E-6</v>
      </c>
      <c r="N290" s="519">
        <f t="shared" si="112"/>
        <v>1.7912262703171934E-6</v>
      </c>
      <c r="O290" s="519">
        <f t="shared" si="112"/>
        <v>1.7700126262626262E-6</v>
      </c>
      <c r="P290" s="419"/>
      <c r="R290" s="646"/>
      <c r="S290" s="710"/>
      <c r="T290" s="710"/>
      <c r="U290" s="711"/>
      <c r="V290" s="712"/>
      <c r="W290" s="712"/>
      <c r="X290" s="713"/>
      <c r="Y290" s="646"/>
      <c r="Z290" s="646"/>
      <c r="AA290" s="646"/>
      <c r="AB290" s="646"/>
      <c r="AC290" s="646"/>
      <c r="AD290" s="646"/>
      <c r="AE290" s="646"/>
      <c r="AF290" s="35"/>
    </row>
    <row r="291" spans="2:32">
      <c r="B291" s="418"/>
      <c r="C291" s="111"/>
      <c r="D291" s="111" t="s">
        <v>930</v>
      </c>
      <c r="E291" s="822" t="str">
        <f t="shared" si="106"/>
        <v>TWh</v>
      </c>
      <c r="F291" s="520">
        <f t="shared" ref="F291:O291" si="113">($D248/F183)*(100)</f>
        <v>2.0687499999999999E-6</v>
      </c>
      <c r="G291" s="520">
        <f t="shared" si="113"/>
        <v>2.0687499999999999E-6</v>
      </c>
      <c r="H291" s="520">
        <f t="shared" si="113"/>
        <v>2.0442496189676695E-6</v>
      </c>
      <c r="I291" s="520">
        <f t="shared" si="113"/>
        <v>2.0200393980178662E-6</v>
      </c>
      <c r="J291" s="520">
        <f t="shared" si="113"/>
        <v>1.9961159007602192E-6</v>
      </c>
      <c r="K291" s="520">
        <f t="shared" si="113"/>
        <v>1.9724757315018174E-6</v>
      </c>
      <c r="L291" s="520">
        <f t="shared" si="113"/>
        <v>1.9491155347652277E-6</v>
      </c>
      <c r="M291" s="520">
        <f t="shared" si="113"/>
        <v>1.9260319948122212E-6</v>
      </c>
      <c r="N291" s="520">
        <f t="shared" si="113"/>
        <v>1.903221835173135E-6</v>
      </c>
      <c r="O291" s="520">
        <f t="shared" si="113"/>
        <v>1.8806818181818181E-6</v>
      </c>
      <c r="P291" s="775"/>
      <c r="R291" s="646"/>
      <c r="S291" s="710"/>
      <c r="T291" s="710"/>
      <c r="U291" s="711"/>
      <c r="V291" s="712"/>
      <c r="W291" s="712"/>
      <c r="X291" s="713"/>
      <c r="Y291" s="646"/>
      <c r="Z291" s="646"/>
      <c r="AA291" s="646"/>
      <c r="AB291" s="646"/>
      <c r="AC291" s="646"/>
      <c r="AD291" s="646"/>
      <c r="AE291" s="646"/>
      <c r="AF291" s="35"/>
    </row>
    <row r="292" spans="2:32">
      <c r="B292" s="418"/>
      <c r="C292" s="413"/>
      <c r="D292" s="414"/>
      <c r="E292" s="414"/>
      <c r="F292" s="600"/>
      <c r="G292" s="600"/>
      <c r="H292" s="600"/>
      <c r="I292" s="600"/>
      <c r="J292" s="600"/>
      <c r="K292" s="600"/>
      <c r="L292" s="600"/>
      <c r="M292" s="600"/>
      <c r="N292" s="600"/>
      <c r="O292" s="600"/>
      <c r="P292" s="419"/>
      <c r="R292" s="646"/>
      <c r="S292" s="710"/>
      <c r="T292" s="710"/>
      <c r="U292" s="711"/>
      <c r="V292" s="712"/>
      <c r="W292" s="712"/>
      <c r="X292" s="713"/>
      <c r="Y292" s="646"/>
      <c r="Z292" s="646"/>
      <c r="AA292" s="646"/>
      <c r="AB292" s="646"/>
      <c r="AC292" s="646"/>
      <c r="AD292" s="646"/>
      <c r="AE292" s="646"/>
      <c r="AF292" s="35"/>
    </row>
    <row r="293" spans="2:32">
      <c r="B293" s="418"/>
      <c r="C293" s="413"/>
      <c r="D293" s="414"/>
      <c r="E293" s="414"/>
      <c r="F293" s="600"/>
      <c r="G293" s="600"/>
      <c r="H293" s="600"/>
      <c r="I293" s="600"/>
      <c r="J293" s="600"/>
      <c r="K293" s="600"/>
      <c r="L293" s="600"/>
      <c r="M293" s="600"/>
      <c r="N293" s="600"/>
      <c r="O293" s="600"/>
      <c r="P293" s="419"/>
      <c r="R293" s="646"/>
      <c r="S293" s="710"/>
      <c r="T293" s="710"/>
      <c r="U293" s="711"/>
      <c r="V293" s="712"/>
      <c r="W293" s="712"/>
      <c r="X293" s="713"/>
      <c r="Y293" s="646"/>
      <c r="Z293" s="646"/>
      <c r="AA293" s="646"/>
      <c r="AB293" s="646"/>
      <c r="AC293" s="646"/>
      <c r="AD293" s="646"/>
      <c r="AE293" s="646"/>
      <c r="AF293" s="35"/>
    </row>
    <row r="294" spans="2:32">
      <c r="B294" s="418"/>
      <c r="C294" s="104"/>
      <c r="D294" s="105"/>
      <c r="E294" s="415"/>
      <c r="F294" s="415"/>
      <c r="G294" s="415">
        <f>100</f>
        <v>100</v>
      </c>
      <c r="H294" s="415"/>
      <c r="I294" s="415"/>
      <c r="J294" s="415"/>
      <c r="K294" s="415"/>
      <c r="L294" s="415"/>
      <c r="M294" s="415"/>
      <c r="N294" s="415"/>
      <c r="O294" s="415"/>
      <c r="P294" s="419"/>
      <c r="R294" s="646"/>
      <c r="S294" s="710"/>
      <c r="T294" s="710"/>
      <c r="U294" s="711"/>
      <c r="V294" s="712"/>
      <c r="W294" s="712"/>
      <c r="X294" s="713"/>
      <c r="Y294" s="646"/>
      <c r="Z294" s="646"/>
      <c r="AA294" s="646"/>
      <c r="AB294" s="646"/>
      <c r="AC294" s="646"/>
      <c r="AD294" s="646"/>
      <c r="AE294" s="646"/>
      <c r="AF294" s="35"/>
    </row>
    <row r="295" spans="2:32" ht="14.25">
      <c r="B295" s="418"/>
      <c r="C295" s="819" t="s">
        <v>462</v>
      </c>
      <c r="D295" s="761"/>
      <c r="E295" s="760"/>
      <c r="F295" s="760"/>
      <c r="G295" s="760"/>
      <c r="H295" s="760"/>
      <c r="I295" s="760"/>
      <c r="J295" s="760"/>
      <c r="K295" s="760"/>
      <c r="L295" s="760"/>
      <c r="M295" s="760"/>
      <c r="N295" s="760"/>
      <c r="O295" s="760"/>
      <c r="P295" s="419"/>
      <c r="R295" s="646"/>
      <c r="S295" s="710"/>
      <c r="T295" s="710"/>
      <c r="U295" s="711"/>
      <c r="V295" s="712"/>
      <c r="W295" s="712"/>
      <c r="X295" s="713"/>
      <c r="Y295" s="646"/>
      <c r="Z295" s="646"/>
      <c r="AA295" s="646"/>
      <c r="AB295" s="646"/>
      <c r="AC295" s="646"/>
      <c r="AD295" s="646"/>
      <c r="AE295" s="646"/>
      <c r="AF295" s="35"/>
    </row>
    <row r="296" spans="2:32">
      <c r="B296" s="418"/>
      <c r="C296" s="104"/>
      <c r="D296" s="105"/>
      <c r="E296" s="415"/>
      <c r="F296" s="415"/>
      <c r="G296" s="415"/>
      <c r="H296" s="415"/>
      <c r="I296" s="415"/>
      <c r="J296" s="415"/>
      <c r="K296" s="415"/>
      <c r="L296" s="415"/>
      <c r="M296" s="415"/>
      <c r="N296" s="415"/>
      <c r="O296" s="415"/>
      <c r="P296" s="419"/>
      <c r="R296" s="646"/>
      <c r="S296" s="710"/>
      <c r="T296" s="710"/>
      <c r="U296" s="711"/>
      <c r="V296" s="712"/>
      <c r="W296" s="712"/>
      <c r="X296" s="713"/>
      <c r="Y296" s="646"/>
      <c r="Z296" s="646"/>
      <c r="AA296" s="646"/>
      <c r="AB296" s="646"/>
      <c r="AC296" s="646"/>
      <c r="AD296" s="646"/>
      <c r="AE296" s="646"/>
      <c r="AF296" s="35"/>
    </row>
    <row r="297" spans="2:32">
      <c r="B297" s="418"/>
      <c r="C297" s="61" t="s">
        <v>64</v>
      </c>
      <c r="D297" s="61" t="s">
        <v>925</v>
      </c>
      <c r="E297" s="61" t="s">
        <v>404</v>
      </c>
      <c r="F297" s="119">
        <v>2007</v>
      </c>
      <c r="G297" s="120">
        <f t="shared" ref="G297:O297" si="114">F297+5</f>
        <v>2012</v>
      </c>
      <c r="H297" s="120">
        <f t="shared" si="114"/>
        <v>2017</v>
      </c>
      <c r="I297" s="120">
        <f t="shared" si="114"/>
        <v>2022</v>
      </c>
      <c r="J297" s="120">
        <f t="shared" si="114"/>
        <v>2027</v>
      </c>
      <c r="K297" s="120">
        <f t="shared" si="114"/>
        <v>2032</v>
      </c>
      <c r="L297" s="120">
        <f t="shared" si="114"/>
        <v>2037</v>
      </c>
      <c r="M297" s="120">
        <f t="shared" si="114"/>
        <v>2042</v>
      </c>
      <c r="N297" s="120">
        <f t="shared" si="114"/>
        <v>2047</v>
      </c>
      <c r="O297" s="120">
        <f t="shared" si="114"/>
        <v>2052</v>
      </c>
      <c r="P297" s="419"/>
      <c r="R297" s="646"/>
      <c r="S297" s="710"/>
      <c r="T297" s="710"/>
      <c r="U297" s="711"/>
      <c r="V297" s="712"/>
      <c r="W297" s="712"/>
      <c r="X297" s="713"/>
      <c r="Y297" s="646"/>
      <c r="Z297" s="646"/>
      <c r="AA297" s="646"/>
      <c r="AB297" s="646"/>
      <c r="AC297" s="646"/>
      <c r="AD297" s="646"/>
      <c r="AE297" s="646"/>
      <c r="AF297" s="35"/>
    </row>
    <row r="298" spans="2:32">
      <c r="B298" s="418"/>
      <c r="C298" s="413"/>
      <c r="D298" s="413" t="s">
        <v>918</v>
      </c>
      <c r="E298" s="821" t="str">
        <f t="shared" ref="E298:E304" si="115">preferences.energyunits</f>
        <v>TWh</v>
      </c>
      <c r="F298" s="541">
        <f t="shared" ref="F298:O298" si="116">($D242/F190)*(100)</f>
        <v>1.4101388888888888E-6</v>
      </c>
      <c r="G298" s="541">
        <f t="shared" si="116"/>
        <v>1.4101388888888888E-6</v>
      </c>
      <c r="H298" s="541">
        <f t="shared" si="116"/>
        <v>1.3950300974407682E-6</v>
      </c>
      <c r="I298" s="541">
        <f t="shared" si="116"/>
        <v>1.3800831876206361E-6</v>
      </c>
      <c r="J298" s="541">
        <f t="shared" si="116"/>
        <v>1.3652964249640531E-6</v>
      </c>
      <c r="K298" s="541">
        <f t="shared" si="116"/>
        <v>1.3506680935903257E-6</v>
      </c>
      <c r="L298" s="541">
        <f t="shared" si="116"/>
        <v>1.3361964960033915E-6</v>
      </c>
      <c r="M298" s="541">
        <f t="shared" si="116"/>
        <v>1.3218799528948385E-6</v>
      </c>
      <c r="N298" s="541">
        <f t="shared" si="116"/>
        <v>1.3077168029490368E-6</v>
      </c>
      <c r="O298" s="541">
        <f t="shared" si="116"/>
        <v>1.2937054026503567E-6</v>
      </c>
      <c r="P298" s="419"/>
      <c r="R298" s="646"/>
      <c r="S298" s="710"/>
      <c r="T298" s="710"/>
      <c r="U298" s="711"/>
      <c r="V298" s="712"/>
      <c r="W298" s="712"/>
      <c r="X298" s="713"/>
      <c r="Y298" s="646"/>
      <c r="Z298" s="646"/>
      <c r="AA298" s="646"/>
      <c r="AB298" s="646"/>
      <c r="AC298" s="646"/>
      <c r="AD298" s="646"/>
      <c r="AE298" s="646"/>
      <c r="AF298" s="35"/>
    </row>
    <row r="299" spans="2:32">
      <c r="B299" s="418"/>
      <c r="C299" s="413"/>
      <c r="D299" s="413" t="s">
        <v>926</v>
      </c>
      <c r="E299" s="821" t="str">
        <f t="shared" si="115"/>
        <v>TWh</v>
      </c>
      <c r="F299" s="541">
        <f t="shared" ref="F299:O299" si="117">($D243/F191)*(100)</f>
        <v>1.314E-6</v>
      </c>
      <c r="G299" s="541">
        <f t="shared" si="117"/>
        <v>1.314E-6</v>
      </c>
      <c r="H299" s="541">
        <f t="shared" si="117"/>
        <v>1.3044641018961866E-6</v>
      </c>
      <c r="I299" s="541">
        <f t="shared" si="117"/>
        <v>1.2949974072570964E-6</v>
      </c>
      <c r="J299" s="541">
        <f t="shared" si="117"/>
        <v>1.2855994138626473E-6</v>
      </c>
      <c r="K299" s="541">
        <f t="shared" si="117"/>
        <v>1.2762696231374444E-6</v>
      </c>
      <c r="L299" s="541">
        <f t="shared" si="117"/>
        <v>1.267007540124331E-6</v>
      </c>
      <c r="M299" s="541">
        <f t="shared" si="117"/>
        <v>1.2578126734581294E-6</v>
      </c>
      <c r="N299" s="541">
        <f t="shared" si="117"/>
        <v>1.2486845353395739E-6</v>
      </c>
      <c r="O299" s="541">
        <f t="shared" si="117"/>
        <v>1.239622641509434E-6</v>
      </c>
      <c r="P299" s="419"/>
      <c r="R299" s="646"/>
      <c r="S299" s="710"/>
      <c r="T299" s="710"/>
      <c r="U299" s="711"/>
      <c r="V299" s="712"/>
      <c r="W299" s="712"/>
      <c r="X299" s="713"/>
      <c r="Y299" s="646"/>
      <c r="Z299" s="646"/>
      <c r="AA299" s="646"/>
      <c r="AB299" s="646"/>
      <c r="AC299" s="646"/>
      <c r="AD299" s="646"/>
      <c r="AE299" s="646"/>
      <c r="AF299" s="35"/>
    </row>
    <row r="300" spans="2:32">
      <c r="B300" s="418"/>
      <c r="C300" s="413"/>
      <c r="D300" s="413" t="s">
        <v>919</v>
      </c>
      <c r="E300" s="821" t="str">
        <f t="shared" si="115"/>
        <v>TWh</v>
      </c>
      <c r="F300" s="541">
        <f t="shared" ref="F300:O300" si="118">($D244/F192)*(100)</f>
        <v>1.6027222222222223E-6</v>
      </c>
      <c r="G300" s="541">
        <f t="shared" si="118"/>
        <v>1.6027222222222223E-6</v>
      </c>
      <c r="H300" s="541">
        <f t="shared" si="118"/>
        <v>1.5855500159979801E-6</v>
      </c>
      <c r="I300" s="541">
        <f t="shared" si="118"/>
        <v>1.5685617996520332E-6</v>
      </c>
      <c r="J300" s="541">
        <f t="shared" si="118"/>
        <v>1.5517556018433163E-6</v>
      </c>
      <c r="K300" s="541">
        <f t="shared" si="118"/>
        <v>1.5351294723524992E-6</v>
      </c>
      <c r="L300" s="541">
        <f t="shared" si="118"/>
        <v>1.5186814818556818E-6</v>
      </c>
      <c r="M300" s="541">
        <f t="shared" si="118"/>
        <v>1.5024097217005104E-6</v>
      </c>
      <c r="N300" s="541">
        <f t="shared" si="118"/>
        <v>1.486312303684695E-6</v>
      </c>
      <c r="O300" s="541">
        <f t="shared" si="118"/>
        <v>1.4703873598369011E-6</v>
      </c>
      <c r="P300" s="419"/>
      <c r="R300" s="646"/>
      <c r="S300" s="710"/>
      <c r="T300" s="710"/>
      <c r="U300" s="711"/>
      <c r="V300" s="712"/>
      <c r="W300" s="712"/>
      <c r="X300" s="713"/>
      <c r="Y300" s="646"/>
      <c r="Z300" s="646"/>
      <c r="AA300" s="646"/>
      <c r="AB300" s="646"/>
      <c r="AC300" s="646"/>
      <c r="AD300" s="646"/>
      <c r="AE300" s="646"/>
      <c r="AF300" s="35"/>
    </row>
    <row r="301" spans="2:32">
      <c r="B301" s="418"/>
      <c r="C301" s="413"/>
      <c r="D301" s="413" t="s">
        <v>927</v>
      </c>
      <c r="E301" s="821" t="str">
        <f t="shared" si="115"/>
        <v>TWh</v>
      </c>
      <c r="F301" s="541">
        <f t="shared" ref="F301:O301" si="119">($D245/F193)*(100)</f>
        <v>6.0840000000000005E-6</v>
      </c>
      <c r="G301" s="541">
        <f t="shared" si="119"/>
        <v>6.0840000000000005E-6</v>
      </c>
      <c r="H301" s="541">
        <f t="shared" si="119"/>
        <v>5.4255866558809284E-6</v>
      </c>
      <c r="I301" s="541">
        <f t="shared" si="119"/>
        <v>4.8384271138187375E-6</v>
      </c>
      <c r="J301" s="541">
        <f t="shared" si="119"/>
        <v>4.3148102538112123E-6</v>
      </c>
      <c r="K301" s="541">
        <f t="shared" si="119"/>
        <v>3.8478594568928857E-6</v>
      </c>
      <c r="L301" s="541">
        <f t="shared" si="119"/>
        <v>3.431442295039986E-6</v>
      </c>
      <c r="M301" s="541">
        <f t="shared" si="119"/>
        <v>3.060089994476393E-6</v>
      </c>
      <c r="N301" s="541">
        <f t="shared" si="119"/>
        <v>2.7289256146985305E-6</v>
      </c>
      <c r="O301" s="541">
        <f t="shared" si="119"/>
        <v>2.4336000000000003E-6</v>
      </c>
      <c r="P301" s="419"/>
      <c r="R301" s="646"/>
      <c r="S301" s="710"/>
      <c r="T301" s="710"/>
      <c r="U301" s="711"/>
      <c r="V301" s="712"/>
      <c r="W301" s="712"/>
      <c r="X301" s="713"/>
      <c r="Y301" s="646"/>
      <c r="Z301" s="646"/>
      <c r="AA301" s="646"/>
      <c r="AB301" s="646"/>
      <c r="AC301" s="646"/>
      <c r="AD301" s="646"/>
      <c r="AE301" s="646"/>
      <c r="AF301" s="35"/>
    </row>
    <row r="302" spans="2:32">
      <c r="B302" s="418"/>
      <c r="C302" s="413"/>
      <c r="D302" s="413" t="s">
        <v>928</v>
      </c>
      <c r="E302" s="821" t="str">
        <f t="shared" si="115"/>
        <v>TWh</v>
      </c>
      <c r="F302" s="541">
        <f t="shared" ref="F302:O302" si="120">($D246/F194)*(100)</f>
        <v>4.4164444444444446E-6</v>
      </c>
      <c r="G302" s="541">
        <f t="shared" si="120"/>
        <v>4.4164444444444446E-6</v>
      </c>
      <c r="H302" s="541">
        <f t="shared" si="120"/>
        <v>4.3399581501185897E-6</v>
      </c>
      <c r="I302" s="541">
        <f t="shared" si="120"/>
        <v>4.2647964854339063E-6</v>
      </c>
      <c r="J302" s="541">
        <f t="shared" si="120"/>
        <v>4.190936509761598E-6</v>
      </c>
      <c r="K302" s="541">
        <f t="shared" si="120"/>
        <v>4.1183556797706705E-6</v>
      </c>
      <c r="L302" s="541">
        <f t="shared" si="120"/>
        <v>4.0470318425473269E-6</v>
      </c>
      <c r="M302" s="541">
        <f t="shared" si="120"/>
        <v>3.9769432288335131E-6</v>
      </c>
      <c r="N302" s="541">
        <f t="shared" si="120"/>
        <v>3.9080684463825726E-6</v>
      </c>
      <c r="O302" s="541">
        <f t="shared" si="120"/>
        <v>3.8403864734299523E-6</v>
      </c>
      <c r="P302" s="419"/>
      <c r="R302" s="646"/>
      <c r="S302" s="710"/>
      <c r="T302" s="710"/>
      <c r="U302" s="711"/>
      <c r="V302" s="712"/>
      <c r="W302" s="712"/>
      <c r="X302" s="713"/>
      <c r="Y302" s="646"/>
      <c r="Z302" s="646"/>
      <c r="AA302" s="646"/>
      <c r="AB302" s="646"/>
      <c r="AC302" s="646"/>
      <c r="AD302" s="646"/>
      <c r="AE302" s="646"/>
      <c r="AF302" s="35"/>
    </row>
    <row r="303" spans="2:32">
      <c r="B303" s="418"/>
      <c r="C303" s="413"/>
      <c r="D303" s="413" t="s">
        <v>929</v>
      </c>
      <c r="E303" s="821" t="str">
        <f t="shared" si="115"/>
        <v>TWh</v>
      </c>
      <c r="F303" s="541">
        <f t="shared" ref="F303:O303" si="121">($D247/F195)*(100)</f>
        <v>1.9470138888888888E-6</v>
      </c>
      <c r="G303" s="541">
        <f t="shared" si="121"/>
        <v>1.9470138888888888E-6</v>
      </c>
      <c r="H303" s="541">
        <f t="shared" si="121"/>
        <v>1.9132944842330885E-6</v>
      </c>
      <c r="I303" s="541">
        <f t="shared" si="121"/>
        <v>1.8801590498595909E-6</v>
      </c>
      <c r="J303" s="541">
        <f t="shared" si="121"/>
        <v>1.8475974722656787E-6</v>
      </c>
      <c r="K303" s="541">
        <f t="shared" si="121"/>
        <v>1.8155998130995627E-6</v>
      </c>
      <c r="L303" s="541">
        <f t="shared" si="121"/>
        <v>1.7841563061270282E-6</v>
      </c>
      <c r="M303" s="541">
        <f t="shared" si="121"/>
        <v>1.7532573542506103E-6</v>
      </c>
      <c r="N303" s="541">
        <f t="shared" si="121"/>
        <v>1.7228935265803968E-6</v>
      </c>
      <c r="O303" s="541">
        <f t="shared" si="121"/>
        <v>1.6930555555555555E-6</v>
      </c>
      <c r="P303" s="419"/>
      <c r="R303" s="646"/>
      <c r="S303" s="710"/>
      <c r="T303" s="710"/>
      <c r="U303" s="711"/>
      <c r="V303" s="712"/>
      <c r="W303" s="712"/>
      <c r="X303" s="713"/>
      <c r="Y303" s="646"/>
      <c r="Z303" s="646"/>
      <c r="AA303" s="646"/>
      <c r="AB303" s="646"/>
      <c r="AC303" s="646"/>
      <c r="AD303" s="646"/>
      <c r="AE303" s="646"/>
      <c r="AF303" s="35"/>
    </row>
    <row r="304" spans="2:32">
      <c r="B304" s="418"/>
      <c r="C304" s="111"/>
      <c r="D304" s="111" t="s">
        <v>930</v>
      </c>
      <c r="E304" s="822" t="str">
        <f t="shared" si="115"/>
        <v>TWh</v>
      </c>
      <c r="F304" s="823">
        <f t="shared" ref="F304:O304" si="122">($D248/F196)*(100)</f>
        <v>2.0687499999999999E-6</v>
      </c>
      <c r="G304" s="823">
        <f t="shared" si="122"/>
        <v>2.0687499999999999E-6</v>
      </c>
      <c r="H304" s="823">
        <f t="shared" si="122"/>
        <v>2.0329223057140102E-6</v>
      </c>
      <c r="I304" s="823">
        <f t="shared" si="122"/>
        <v>1.997715094172601E-6</v>
      </c>
      <c r="J304" s="823">
        <f t="shared" si="122"/>
        <v>1.9631176195311396E-6</v>
      </c>
      <c r="K304" s="823">
        <f t="shared" si="122"/>
        <v>1.9291193220471512E-6</v>
      </c>
      <c r="L304" s="823">
        <f t="shared" si="122"/>
        <v>1.8957098248573019E-6</v>
      </c>
      <c r="M304" s="823">
        <f t="shared" si="122"/>
        <v>1.8628789308102033E-6</v>
      </c>
      <c r="N304" s="823">
        <f t="shared" si="122"/>
        <v>1.8306166193540684E-6</v>
      </c>
      <c r="O304" s="823">
        <f t="shared" si="122"/>
        <v>1.7989130434782609E-6</v>
      </c>
      <c r="P304" s="419"/>
      <c r="R304" s="646"/>
      <c r="S304" s="710"/>
      <c r="T304" s="710"/>
      <c r="U304" s="711"/>
      <c r="V304" s="712"/>
      <c r="W304" s="712"/>
      <c r="X304" s="713"/>
      <c r="Y304" s="646"/>
      <c r="Z304" s="646"/>
      <c r="AA304" s="646"/>
      <c r="AB304" s="646"/>
      <c r="AC304" s="646"/>
      <c r="AD304" s="646"/>
      <c r="AE304" s="646"/>
      <c r="AF304" s="35"/>
    </row>
    <row r="305" spans="2:32">
      <c r="B305" s="418"/>
      <c r="C305" s="104"/>
      <c r="D305" s="105"/>
      <c r="E305" s="415"/>
      <c r="F305" s="415"/>
      <c r="G305" s="415"/>
      <c r="H305" s="415"/>
      <c r="I305" s="415"/>
      <c r="J305" s="415"/>
      <c r="K305" s="415"/>
      <c r="L305" s="415"/>
      <c r="M305" s="415"/>
      <c r="N305" s="415"/>
      <c r="O305" s="415"/>
      <c r="P305" s="419"/>
      <c r="R305" s="646"/>
      <c r="S305" s="710"/>
      <c r="T305" s="710"/>
      <c r="U305" s="711"/>
      <c r="V305" s="712"/>
      <c r="W305" s="712"/>
      <c r="X305" s="713"/>
      <c r="Y305" s="646"/>
      <c r="Z305" s="646"/>
      <c r="AA305" s="646"/>
      <c r="AB305" s="646"/>
      <c r="AC305" s="646"/>
      <c r="AD305" s="646"/>
      <c r="AE305" s="646"/>
      <c r="AF305" s="35"/>
    </row>
    <row r="306" spans="2:32">
      <c r="B306" s="418"/>
      <c r="C306" s="104"/>
      <c r="D306" s="105"/>
      <c r="E306" s="415"/>
      <c r="F306" s="415"/>
      <c r="G306" s="415"/>
      <c r="H306" s="415"/>
      <c r="I306" s="415"/>
      <c r="J306" s="415"/>
      <c r="K306" s="415"/>
      <c r="L306" s="415"/>
      <c r="M306" s="415"/>
      <c r="N306" s="415"/>
      <c r="O306" s="415"/>
      <c r="P306" s="419"/>
      <c r="R306" s="646"/>
      <c r="S306" s="710"/>
      <c r="T306" s="710"/>
      <c r="U306" s="711"/>
      <c r="V306" s="712"/>
      <c r="W306" s="712"/>
      <c r="X306" s="713"/>
      <c r="Y306" s="646"/>
      <c r="Z306" s="646"/>
      <c r="AA306" s="646"/>
      <c r="AB306" s="646"/>
      <c r="AC306" s="646"/>
      <c r="AD306" s="646"/>
      <c r="AE306" s="646"/>
      <c r="AF306" s="35"/>
    </row>
    <row r="307" spans="2:32" ht="14.25">
      <c r="B307" s="418"/>
      <c r="C307" s="819" t="s">
        <v>463</v>
      </c>
      <c r="D307" s="761"/>
      <c r="E307" s="760"/>
      <c r="F307" s="760"/>
      <c r="G307" s="760"/>
      <c r="H307" s="760"/>
      <c r="I307" s="760"/>
      <c r="J307" s="760"/>
      <c r="K307" s="760"/>
      <c r="L307" s="760"/>
      <c r="M307" s="760"/>
      <c r="N307" s="760"/>
      <c r="O307" s="760"/>
      <c r="P307" s="419"/>
      <c r="R307" s="646"/>
      <c r="S307" s="710"/>
      <c r="T307" s="710"/>
      <c r="U307" s="711"/>
      <c r="V307" s="712"/>
      <c r="W307" s="712"/>
      <c r="X307" s="713"/>
      <c r="Y307" s="646"/>
      <c r="Z307" s="646"/>
      <c r="AA307" s="646"/>
      <c r="AB307" s="646"/>
      <c r="AC307" s="646"/>
      <c r="AD307" s="646"/>
      <c r="AE307" s="646"/>
      <c r="AF307" s="35"/>
    </row>
    <row r="308" spans="2:32">
      <c r="B308" s="418"/>
      <c r="C308" s="104"/>
      <c r="D308" s="105"/>
      <c r="E308" s="415"/>
      <c r="F308" s="415"/>
      <c r="G308" s="415"/>
      <c r="H308" s="415"/>
      <c r="I308" s="415"/>
      <c r="J308" s="415"/>
      <c r="K308" s="415"/>
      <c r="L308" s="415"/>
      <c r="M308" s="415"/>
      <c r="N308" s="415"/>
      <c r="O308" s="415"/>
      <c r="P308" s="419"/>
      <c r="R308" s="646"/>
      <c r="S308" s="710"/>
      <c r="T308" s="710"/>
      <c r="U308" s="711"/>
      <c r="V308" s="712"/>
      <c r="W308" s="712"/>
      <c r="X308" s="713"/>
      <c r="Y308" s="646"/>
      <c r="Z308" s="646"/>
      <c r="AA308" s="646"/>
      <c r="AB308" s="646"/>
      <c r="AC308" s="646"/>
      <c r="AD308" s="646"/>
      <c r="AE308" s="646"/>
      <c r="AF308" s="35"/>
    </row>
    <row r="309" spans="2:32">
      <c r="B309" s="418"/>
      <c r="C309" s="61" t="s">
        <v>64</v>
      </c>
      <c r="D309" s="61" t="s">
        <v>925</v>
      </c>
      <c r="E309" s="61" t="s">
        <v>404</v>
      </c>
      <c r="F309" s="119">
        <v>2007</v>
      </c>
      <c r="G309" s="120">
        <f t="shared" ref="G309:O309" si="123">F309+5</f>
        <v>2012</v>
      </c>
      <c r="H309" s="120">
        <f t="shared" si="123"/>
        <v>2017</v>
      </c>
      <c r="I309" s="120">
        <f t="shared" si="123"/>
        <v>2022</v>
      </c>
      <c r="J309" s="120">
        <f t="shared" si="123"/>
        <v>2027</v>
      </c>
      <c r="K309" s="120">
        <f t="shared" si="123"/>
        <v>2032</v>
      </c>
      <c r="L309" s="120">
        <f t="shared" si="123"/>
        <v>2037</v>
      </c>
      <c r="M309" s="120">
        <f t="shared" si="123"/>
        <v>2042</v>
      </c>
      <c r="N309" s="120">
        <f t="shared" si="123"/>
        <v>2047</v>
      </c>
      <c r="O309" s="120">
        <f t="shared" si="123"/>
        <v>2052</v>
      </c>
      <c r="P309" s="419"/>
      <c r="R309" s="646"/>
      <c r="S309" s="710"/>
      <c r="T309" s="710"/>
      <c r="U309" s="711"/>
      <c r="V309" s="712"/>
      <c r="W309" s="712"/>
      <c r="X309" s="713"/>
      <c r="Y309" s="646"/>
      <c r="Z309" s="646"/>
      <c r="AA309" s="646"/>
      <c r="AB309" s="646"/>
      <c r="AC309" s="646"/>
      <c r="AD309" s="646"/>
      <c r="AE309" s="646"/>
      <c r="AF309" s="35"/>
    </row>
    <row r="310" spans="2:32">
      <c r="B310" s="418"/>
      <c r="C310" s="413"/>
      <c r="D310" s="413" t="s">
        <v>918</v>
      </c>
      <c r="E310" s="821" t="str">
        <f t="shared" ref="E310:E316" si="124">preferences.energyunits</f>
        <v>TWh</v>
      </c>
      <c r="F310" s="519">
        <f t="shared" ref="F310:O310" si="125">($D242/F202)*(100)</f>
        <v>1.4101388888888888E-6</v>
      </c>
      <c r="G310" s="519">
        <f t="shared" si="125"/>
        <v>1.4101388888888888E-6</v>
      </c>
      <c r="H310" s="519">
        <f t="shared" si="125"/>
        <v>1.3903035667362792E-6</v>
      </c>
      <c r="I310" s="519">
        <f t="shared" si="125"/>
        <v>1.3707472525650804E-6</v>
      </c>
      <c r="J310" s="519">
        <f t="shared" si="125"/>
        <v>1.3514660217879784E-6</v>
      </c>
      <c r="K310" s="519">
        <f t="shared" si="125"/>
        <v>1.3324560050217632E-6</v>
      </c>
      <c r="L310" s="519">
        <f t="shared" si="125"/>
        <v>1.3137133873108147E-6</v>
      </c>
      <c r="M310" s="519">
        <f t="shared" si="125"/>
        <v>1.2952344073615148E-6</v>
      </c>
      <c r="N310" s="519">
        <f t="shared" si="125"/>
        <v>1.277015356787423E-6</v>
      </c>
      <c r="O310" s="519">
        <f t="shared" si="125"/>
        <v>1.2590525793650792E-6</v>
      </c>
      <c r="P310" s="419"/>
      <c r="R310" s="646"/>
      <c r="S310" s="710"/>
      <c r="T310" s="710"/>
      <c r="U310" s="711"/>
      <c r="V310" s="712"/>
      <c r="W310" s="712"/>
      <c r="X310" s="713"/>
      <c r="Y310" s="646"/>
      <c r="Z310" s="646"/>
      <c r="AA310" s="646"/>
      <c r="AB310" s="646"/>
      <c r="AC310" s="646"/>
      <c r="AD310" s="646"/>
      <c r="AE310" s="646"/>
      <c r="AF310" s="35"/>
    </row>
    <row r="311" spans="2:32">
      <c r="B311" s="418"/>
      <c r="C311" s="413"/>
      <c r="D311" s="413" t="s">
        <v>926</v>
      </c>
      <c r="E311" s="821" t="str">
        <f t="shared" si="124"/>
        <v>TWh</v>
      </c>
      <c r="F311" s="519">
        <f t="shared" ref="F311:O311" si="126">($D243/F203)*(100)</f>
        <v>1.314E-6</v>
      </c>
      <c r="G311" s="519">
        <f t="shared" si="126"/>
        <v>1.314E-6</v>
      </c>
      <c r="H311" s="519">
        <f t="shared" si="126"/>
        <v>1.3014197577987105E-6</v>
      </c>
      <c r="I311" s="519">
        <f t="shared" si="126"/>
        <v>1.2889599588956269E-6</v>
      </c>
      <c r="J311" s="519">
        <f t="shared" si="126"/>
        <v>1.2766194501660443E-6</v>
      </c>
      <c r="K311" s="519">
        <f t="shared" si="126"/>
        <v>1.2643970895252786E-6</v>
      </c>
      <c r="L311" s="519">
        <f t="shared" si="126"/>
        <v>1.2522917458229699E-6</v>
      </c>
      <c r="M311" s="519">
        <f t="shared" si="126"/>
        <v>1.240302298738397E-6</v>
      </c>
      <c r="N311" s="519">
        <f t="shared" si="126"/>
        <v>1.2284276386767946E-6</v>
      </c>
      <c r="O311" s="519">
        <f t="shared" si="126"/>
        <v>1.2166666666666667E-6</v>
      </c>
      <c r="P311" s="419"/>
      <c r="R311" s="646"/>
      <c r="S311" s="710"/>
      <c r="T311" s="710"/>
      <c r="U311" s="711"/>
      <c r="V311" s="712"/>
      <c r="W311" s="712"/>
      <c r="X311" s="713"/>
      <c r="Y311" s="646"/>
      <c r="Z311" s="646"/>
      <c r="AA311" s="646"/>
      <c r="AB311" s="646"/>
      <c r="AC311" s="646"/>
      <c r="AD311" s="646"/>
      <c r="AE311" s="646"/>
      <c r="AF311" s="35"/>
    </row>
    <row r="312" spans="2:32">
      <c r="B312" s="418"/>
      <c r="C312" s="413"/>
      <c r="D312" s="413" t="s">
        <v>919</v>
      </c>
      <c r="E312" s="821" t="str">
        <f t="shared" si="124"/>
        <v>TWh</v>
      </c>
      <c r="F312" s="519">
        <f t="shared" ref="F312:O312" si="127">($D244/F204)*(100)</f>
        <v>1.6027222222222223E-6</v>
      </c>
      <c r="G312" s="519">
        <f t="shared" si="127"/>
        <v>1.6027222222222223E-6</v>
      </c>
      <c r="H312" s="519">
        <f t="shared" si="127"/>
        <v>1.580177980765288E-6</v>
      </c>
      <c r="I312" s="519">
        <f t="shared" si="127"/>
        <v>1.5579508515414168E-6</v>
      </c>
      <c r="J312" s="519">
        <f t="shared" si="127"/>
        <v>1.5360363739805534E-6</v>
      </c>
      <c r="K312" s="519">
        <f t="shared" si="127"/>
        <v>1.514430150255997E-6</v>
      </c>
      <c r="L312" s="519">
        <f t="shared" si="127"/>
        <v>1.49312784440184E-6</v>
      </c>
      <c r="M312" s="519">
        <f t="shared" si="127"/>
        <v>1.4721251814428187E-6</v>
      </c>
      <c r="N312" s="519">
        <f t="shared" si="127"/>
        <v>1.451417946536408E-6</v>
      </c>
      <c r="O312" s="519">
        <f t="shared" si="127"/>
        <v>1.4310019841269841E-6</v>
      </c>
      <c r="P312" s="419"/>
      <c r="R312" s="646"/>
      <c r="S312" s="710"/>
      <c r="T312" s="710"/>
      <c r="U312" s="711"/>
      <c r="V312" s="712"/>
      <c r="W312" s="712"/>
      <c r="X312" s="713"/>
      <c r="Y312" s="646"/>
      <c r="Z312" s="646"/>
      <c r="AA312" s="646"/>
      <c r="AB312" s="646"/>
      <c r="AC312" s="646"/>
      <c r="AD312" s="646"/>
      <c r="AE312" s="646"/>
      <c r="AF312" s="35"/>
    </row>
    <row r="313" spans="2:32">
      <c r="B313" s="418"/>
      <c r="C313" s="413"/>
      <c r="D313" s="413" t="s">
        <v>927</v>
      </c>
      <c r="E313" s="821" t="str">
        <f t="shared" si="124"/>
        <v>TWh</v>
      </c>
      <c r="F313" s="519">
        <f t="shared" ref="F313:O313" si="128">($D245/F205)*(100)</f>
        <v>6.0840000000000005E-6</v>
      </c>
      <c r="G313" s="519">
        <f t="shared" si="128"/>
        <v>6.0840000000000005E-6</v>
      </c>
      <c r="H313" s="519">
        <f t="shared" si="128"/>
        <v>5.3033348428316395E-6</v>
      </c>
      <c r="I313" s="519">
        <f t="shared" si="128"/>
        <v>4.6228403115042872E-6</v>
      </c>
      <c r="J313" s="519">
        <f t="shared" si="128"/>
        <v>4.0296630665429576E-6</v>
      </c>
      <c r="K313" s="519">
        <f t="shared" si="128"/>
        <v>3.5125990377496799E-6</v>
      </c>
      <c r="L313" s="519">
        <f t="shared" si="128"/>
        <v>3.0618817991115657E-6</v>
      </c>
      <c r="M313" s="519">
        <f t="shared" si="128"/>
        <v>2.6689980982676513E-6</v>
      </c>
      <c r="N313" s="519">
        <f t="shared" si="128"/>
        <v>2.326527056212067E-6</v>
      </c>
      <c r="O313" s="519">
        <f t="shared" si="128"/>
        <v>2.0279999999999999E-6</v>
      </c>
      <c r="P313" s="419"/>
      <c r="R313" s="646"/>
      <c r="S313" s="710"/>
      <c r="T313" s="710"/>
      <c r="U313" s="711"/>
      <c r="V313" s="712"/>
      <c r="W313" s="712"/>
      <c r="X313" s="713"/>
      <c r="Y313" s="646"/>
      <c r="Z313" s="646"/>
      <c r="AA313" s="646"/>
      <c r="AB313" s="646"/>
      <c r="AC313" s="646"/>
      <c r="AD313" s="646"/>
      <c r="AE313" s="646"/>
      <c r="AF313" s="35"/>
    </row>
    <row r="314" spans="2:32">
      <c r="B314" s="418"/>
      <c r="C314" s="413"/>
      <c r="D314" s="413" t="s">
        <v>928</v>
      </c>
      <c r="E314" s="821" t="str">
        <f t="shared" si="124"/>
        <v>TWh</v>
      </c>
      <c r="F314" s="519">
        <f t="shared" ref="F314:O314" si="129">($D246/F206)*(100)</f>
        <v>4.4164444444444446E-6</v>
      </c>
      <c r="G314" s="519">
        <f t="shared" si="129"/>
        <v>4.4164444444444446E-6</v>
      </c>
      <c r="H314" s="519">
        <f t="shared" si="129"/>
        <v>4.3169310876759983E-6</v>
      </c>
      <c r="I314" s="519">
        <f t="shared" si="129"/>
        <v>4.2196600116154596E-6</v>
      </c>
      <c r="J314" s="519">
        <f t="shared" si="129"/>
        <v>4.1245806921629854E-6</v>
      </c>
      <c r="K314" s="519">
        <f t="shared" si="129"/>
        <v>4.0316437436509809E-6</v>
      </c>
      <c r="L314" s="519">
        <f t="shared" si="129"/>
        <v>3.940800893192419E-6</v>
      </c>
      <c r="M314" s="519">
        <f t="shared" si="129"/>
        <v>3.8520049556071558E-6</v>
      </c>
      <c r="N314" s="519">
        <f t="shared" si="129"/>
        <v>3.7652098089132243E-6</v>
      </c>
      <c r="O314" s="519">
        <f t="shared" si="129"/>
        <v>3.6803703703703709E-6</v>
      </c>
      <c r="P314" s="419"/>
      <c r="R314" s="646"/>
      <c r="S314" s="710"/>
      <c r="T314" s="710"/>
      <c r="U314" s="711"/>
      <c r="V314" s="712"/>
      <c r="W314" s="712"/>
      <c r="X314" s="713"/>
      <c r="Y314" s="646"/>
      <c r="Z314" s="646"/>
      <c r="AA314" s="646"/>
      <c r="AB314" s="646"/>
      <c r="AC314" s="646"/>
      <c r="AD314" s="646"/>
      <c r="AE314" s="646"/>
      <c r="AF314" s="35"/>
    </row>
    <row r="315" spans="2:32">
      <c r="B315" s="418"/>
      <c r="C315" s="413"/>
      <c r="D315" s="413" t="s">
        <v>929</v>
      </c>
      <c r="E315" s="821" t="str">
        <f t="shared" si="124"/>
        <v>TWh</v>
      </c>
      <c r="F315" s="519">
        <f t="shared" ref="F315:O315" si="130">($D247/F207)*(100)</f>
        <v>1.9470138888888888E-6</v>
      </c>
      <c r="G315" s="519">
        <f t="shared" si="130"/>
        <v>1.9470138888888888E-6</v>
      </c>
      <c r="H315" s="519">
        <f t="shared" si="130"/>
        <v>1.9031428767669436E-6</v>
      </c>
      <c r="I315" s="519">
        <f t="shared" si="130"/>
        <v>1.860260386460681E-6</v>
      </c>
      <c r="J315" s="519">
        <f t="shared" si="130"/>
        <v>1.8183441441420579E-6</v>
      </c>
      <c r="K315" s="519">
        <f t="shared" si="130"/>
        <v>1.7773723778671656E-6</v>
      </c>
      <c r="L315" s="519">
        <f t="shared" si="130"/>
        <v>1.7373238062675458E-6</v>
      </c>
      <c r="M315" s="519">
        <f t="shared" si="130"/>
        <v>1.6981776274963178E-6</v>
      </c>
      <c r="N315" s="519">
        <f t="shared" si="130"/>
        <v>1.6599135084233806E-6</v>
      </c>
      <c r="O315" s="519">
        <f t="shared" si="130"/>
        <v>1.6225115740740741E-6</v>
      </c>
      <c r="P315" s="419"/>
      <c r="R315" s="646"/>
      <c r="S315" s="710"/>
      <c r="T315" s="710"/>
      <c r="U315" s="711"/>
      <c r="V315" s="712"/>
      <c r="W315" s="712"/>
      <c r="X315" s="713"/>
      <c r="Y315" s="646"/>
      <c r="Z315" s="646"/>
      <c r="AA315" s="646"/>
      <c r="AB315" s="646"/>
      <c r="AC315" s="646"/>
      <c r="AD315" s="646"/>
      <c r="AE315" s="646"/>
      <c r="AF315" s="35"/>
    </row>
    <row r="316" spans="2:32">
      <c r="B316" s="418"/>
      <c r="C316" s="111"/>
      <c r="D316" s="111" t="s">
        <v>930</v>
      </c>
      <c r="E316" s="822" t="str">
        <f t="shared" si="124"/>
        <v>TWh</v>
      </c>
      <c r="F316" s="520">
        <f t="shared" ref="F316:O316" si="131">($D248/F208)*(100)</f>
        <v>2.0687499999999999E-6</v>
      </c>
      <c r="G316" s="520">
        <f t="shared" si="131"/>
        <v>2.0687499999999999E-6</v>
      </c>
      <c r="H316" s="520">
        <f t="shared" si="131"/>
        <v>2.0221359738519547E-6</v>
      </c>
      <c r="I316" s="520">
        <f t="shared" si="131"/>
        <v>1.9765722763727818E-6</v>
      </c>
      <c r="J316" s="520">
        <f t="shared" si="131"/>
        <v>1.9320352410740058E-6</v>
      </c>
      <c r="K316" s="520">
        <f t="shared" si="131"/>
        <v>1.88850173473135E-6</v>
      </c>
      <c r="L316" s="520">
        <f t="shared" si="131"/>
        <v>1.8459491453689833E-6</v>
      </c>
      <c r="M316" s="520">
        <f t="shared" si="131"/>
        <v>1.8043553705145098E-6</v>
      </c>
      <c r="N316" s="520">
        <f t="shared" si="131"/>
        <v>1.7636988057186043E-6</v>
      </c>
      <c r="O316" s="520">
        <f t="shared" si="131"/>
        <v>1.7239583333333332E-6</v>
      </c>
      <c r="P316" s="419"/>
      <c r="R316" s="646"/>
      <c r="S316" s="710"/>
      <c r="T316" s="710"/>
      <c r="U316" s="711"/>
      <c r="V316" s="712"/>
      <c r="W316" s="712"/>
      <c r="X316" s="713"/>
      <c r="Y316" s="646"/>
      <c r="Z316" s="646"/>
      <c r="AA316" s="646"/>
      <c r="AB316" s="646"/>
      <c r="AC316" s="646"/>
      <c r="AD316" s="646"/>
      <c r="AE316" s="646"/>
      <c r="AF316" s="35"/>
    </row>
    <row r="317" spans="2:32">
      <c r="B317" s="418"/>
      <c r="C317" s="415"/>
      <c r="D317" s="415"/>
      <c r="E317" s="415"/>
      <c r="F317" s="415"/>
      <c r="G317" s="415"/>
      <c r="H317" s="415"/>
      <c r="I317" s="415"/>
      <c r="J317" s="415"/>
      <c r="K317" s="415"/>
      <c r="L317" s="415"/>
      <c r="M317" s="415"/>
      <c r="N317" s="415"/>
      <c r="O317" s="415"/>
      <c r="P317" s="419"/>
      <c r="R317" s="646"/>
      <c r="S317" s="710"/>
      <c r="T317" s="710"/>
      <c r="U317" s="711"/>
      <c r="V317" s="712"/>
      <c r="W317" s="712"/>
      <c r="X317" s="713"/>
      <c r="Y317" s="646"/>
      <c r="Z317" s="646"/>
      <c r="AA317" s="646"/>
      <c r="AB317" s="646"/>
      <c r="AC317" s="646"/>
      <c r="AD317" s="646"/>
      <c r="AE317" s="646"/>
      <c r="AF317" s="35"/>
    </row>
    <row r="318" spans="2:32">
      <c r="B318" s="418"/>
      <c r="C318" s="415"/>
      <c r="D318" s="415"/>
      <c r="E318" s="415"/>
      <c r="F318" s="415"/>
      <c r="G318" s="415"/>
      <c r="H318" s="415"/>
      <c r="I318" s="415"/>
      <c r="J318" s="415"/>
      <c r="K318" s="415"/>
      <c r="L318" s="415"/>
      <c r="M318" s="415"/>
      <c r="N318" s="415"/>
      <c r="O318" s="415"/>
      <c r="P318" s="419"/>
      <c r="R318" s="646"/>
      <c r="S318" s="710"/>
      <c r="T318" s="710"/>
      <c r="U318" s="711"/>
      <c r="V318" s="712"/>
      <c r="W318" s="712"/>
      <c r="X318" s="713"/>
      <c r="Y318" s="646"/>
      <c r="Z318" s="646"/>
      <c r="AA318" s="646"/>
      <c r="AB318" s="646"/>
      <c r="AC318" s="646"/>
      <c r="AD318" s="646"/>
      <c r="AE318" s="646"/>
      <c r="AF318" s="35"/>
    </row>
    <row r="319" spans="2:32">
      <c r="B319" s="418"/>
      <c r="C319" s="415"/>
      <c r="D319" s="415"/>
      <c r="E319" s="415"/>
      <c r="F319" s="415"/>
      <c r="G319" s="415"/>
      <c r="H319" s="415"/>
      <c r="I319" s="415"/>
      <c r="J319" s="415"/>
      <c r="K319" s="415"/>
      <c r="L319" s="415"/>
      <c r="M319" s="415"/>
      <c r="N319" s="415"/>
      <c r="O319" s="415"/>
      <c r="P319" s="419"/>
      <c r="R319" s="646"/>
      <c r="S319" s="710"/>
      <c r="T319" s="710"/>
      <c r="U319" s="711"/>
      <c r="V319" s="712"/>
      <c r="W319" s="712"/>
      <c r="X319" s="713"/>
      <c r="Y319" s="646"/>
      <c r="Z319" s="646"/>
      <c r="AA319" s="646"/>
      <c r="AB319" s="646"/>
      <c r="AC319" s="646"/>
      <c r="AD319" s="646"/>
      <c r="AE319" s="646"/>
      <c r="AF319" s="35"/>
    </row>
    <row r="320" spans="2:32">
      <c r="B320" s="418"/>
      <c r="C320" s="415"/>
      <c r="D320" s="415"/>
      <c r="E320" s="415"/>
      <c r="F320" s="415"/>
      <c r="G320" s="415"/>
      <c r="H320" s="415"/>
      <c r="I320" s="415"/>
      <c r="J320" s="415"/>
      <c r="K320" s="415"/>
      <c r="L320" s="415"/>
      <c r="M320" s="415"/>
      <c r="N320" s="415"/>
      <c r="O320" s="415"/>
      <c r="P320" s="419"/>
      <c r="R320" s="646"/>
      <c r="S320" s="710"/>
      <c r="T320" s="710"/>
      <c r="U320" s="711"/>
      <c r="V320" s="712"/>
      <c r="W320" s="712"/>
      <c r="X320" s="713"/>
      <c r="Y320" s="646"/>
      <c r="Z320" s="646"/>
      <c r="AA320" s="646"/>
      <c r="AB320" s="646"/>
      <c r="AC320" s="646"/>
      <c r="AD320" s="646"/>
      <c r="AE320" s="646"/>
      <c r="AF320" s="35"/>
    </row>
    <row r="321" spans="2:32">
      <c r="B321" s="418"/>
      <c r="C321" s="415"/>
      <c r="D321" s="415"/>
      <c r="E321" s="415"/>
      <c r="F321" s="415"/>
      <c r="G321" s="415"/>
      <c r="H321" s="415"/>
      <c r="I321" s="415"/>
      <c r="J321" s="415"/>
      <c r="K321" s="415"/>
      <c r="L321" s="415"/>
      <c r="M321" s="415"/>
      <c r="N321" s="415"/>
      <c r="O321" s="415"/>
      <c r="P321" s="419"/>
      <c r="R321" s="646"/>
      <c r="S321" s="710"/>
      <c r="T321" s="710"/>
      <c r="U321" s="711"/>
      <c r="V321" s="712"/>
      <c r="W321" s="712"/>
      <c r="X321" s="713"/>
      <c r="Y321" s="646"/>
      <c r="Z321" s="646"/>
      <c r="AA321" s="646"/>
      <c r="AB321" s="646"/>
      <c r="AC321" s="646"/>
      <c r="AD321" s="646"/>
      <c r="AE321" s="646"/>
      <c r="AF321" s="35"/>
    </row>
    <row r="322" spans="2:32">
      <c r="B322" s="418"/>
      <c r="C322" s="415"/>
      <c r="D322" s="415"/>
      <c r="E322" s="415"/>
      <c r="F322" s="415"/>
      <c r="G322" s="415"/>
      <c r="H322" s="415"/>
      <c r="I322" s="415"/>
      <c r="J322" s="415"/>
      <c r="K322" s="415"/>
      <c r="L322" s="415"/>
      <c r="M322" s="415"/>
      <c r="N322" s="415"/>
      <c r="O322" s="415"/>
      <c r="P322" s="419"/>
      <c r="R322" s="646"/>
      <c r="S322" s="710"/>
      <c r="T322" s="710"/>
      <c r="U322" s="711"/>
      <c r="V322" s="712"/>
      <c r="W322" s="712"/>
      <c r="X322" s="713"/>
      <c r="Y322" s="646"/>
      <c r="Z322" s="646"/>
      <c r="AA322" s="646"/>
      <c r="AB322" s="646"/>
      <c r="AC322" s="646"/>
      <c r="AD322" s="646"/>
      <c r="AE322" s="646"/>
      <c r="AF322" s="35"/>
    </row>
    <row r="323" spans="2:32">
      <c r="B323" s="418"/>
      <c r="C323" s="415"/>
      <c r="D323" s="415"/>
      <c r="E323" s="415"/>
      <c r="F323" s="415"/>
      <c r="G323" s="415"/>
      <c r="H323" s="415"/>
      <c r="I323" s="415"/>
      <c r="J323" s="415"/>
      <c r="K323" s="415"/>
      <c r="L323" s="415"/>
      <c r="M323" s="415"/>
      <c r="N323" s="415"/>
      <c r="O323" s="415"/>
      <c r="P323" s="419"/>
      <c r="R323" s="646"/>
      <c r="S323" s="710"/>
      <c r="T323" s="710"/>
      <c r="U323" s="711"/>
      <c r="V323" s="712"/>
      <c r="W323" s="712"/>
      <c r="X323" s="713"/>
      <c r="Y323" s="646"/>
      <c r="Z323" s="646"/>
      <c r="AA323" s="646"/>
      <c r="AB323" s="646"/>
      <c r="AC323" s="646"/>
      <c r="AD323" s="646"/>
      <c r="AE323" s="646"/>
      <c r="AF323" s="35"/>
    </row>
    <row r="324" spans="2:32" ht="15.75">
      <c r="B324" s="418"/>
      <c r="C324" s="820" t="s">
        <v>951</v>
      </c>
      <c r="D324" s="105"/>
      <c r="E324" s="415"/>
      <c r="F324" s="415"/>
      <c r="G324" s="415"/>
      <c r="H324" s="415"/>
      <c r="I324" s="415"/>
      <c r="J324" s="415"/>
      <c r="K324" s="415"/>
      <c r="L324" s="415"/>
      <c r="M324" s="415"/>
      <c r="N324" s="415"/>
      <c r="O324" s="415"/>
      <c r="P324" s="419"/>
      <c r="R324" s="646"/>
      <c r="S324" s="710"/>
      <c r="T324" s="710"/>
      <c r="U324" s="711"/>
      <c r="V324" s="712"/>
      <c r="W324" s="712"/>
      <c r="X324" s="713"/>
      <c r="Y324" s="646"/>
      <c r="Z324" s="646"/>
      <c r="AA324" s="646"/>
      <c r="AB324" s="646"/>
      <c r="AC324" s="646"/>
      <c r="AD324" s="646"/>
      <c r="AE324" s="646"/>
      <c r="AF324" s="35"/>
    </row>
    <row r="325" spans="2:32">
      <c r="B325" s="418"/>
      <c r="C325" s="104"/>
      <c r="D325" s="105"/>
      <c r="E325" s="415"/>
      <c r="F325" s="415"/>
      <c r="G325" s="415"/>
      <c r="H325" s="415"/>
      <c r="I325" s="415"/>
      <c r="J325" s="415"/>
      <c r="K325" s="415"/>
      <c r="L325" s="415"/>
      <c r="M325" s="415"/>
      <c r="N325" s="415"/>
      <c r="O325" s="415"/>
      <c r="P325" s="419"/>
      <c r="R325" s="646"/>
      <c r="S325" s="710"/>
      <c r="T325" s="710"/>
      <c r="U325" s="711"/>
      <c r="V325" s="712"/>
      <c r="W325" s="712"/>
      <c r="X325" s="713"/>
      <c r="Y325" s="646"/>
      <c r="Z325" s="646"/>
      <c r="AA325" s="646"/>
      <c r="AB325" s="646"/>
      <c r="AC325" s="646"/>
      <c r="AD325" s="646"/>
      <c r="AE325" s="646"/>
      <c r="AF325" s="35"/>
    </row>
    <row r="326" spans="2:32" ht="14.25">
      <c r="B326" s="418"/>
      <c r="C326" s="819" t="s">
        <v>460</v>
      </c>
      <c r="D326" s="761"/>
      <c r="E326" s="760"/>
      <c r="F326" s="760"/>
      <c r="G326" s="760"/>
      <c r="H326" s="760"/>
      <c r="I326" s="760"/>
      <c r="J326" s="760"/>
      <c r="K326" s="760"/>
      <c r="L326" s="760"/>
      <c r="M326" s="760"/>
      <c r="N326" s="760"/>
      <c r="O326" s="830" t="str">
        <f>preferences.energyunits</f>
        <v>TWh</v>
      </c>
      <c r="P326" s="419"/>
      <c r="R326" s="646"/>
      <c r="S326" s="710"/>
      <c r="T326" s="710"/>
      <c r="U326" s="711"/>
      <c r="V326" s="712"/>
      <c r="W326" s="712"/>
      <c r="X326" s="713"/>
      <c r="Y326" s="646"/>
      <c r="Z326" s="646"/>
      <c r="AA326" s="646"/>
      <c r="AB326" s="646"/>
      <c r="AC326" s="646"/>
      <c r="AD326" s="646"/>
      <c r="AE326" s="646"/>
      <c r="AF326" s="35"/>
    </row>
    <row r="327" spans="2:32">
      <c r="B327" s="418"/>
      <c r="C327" s="104"/>
      <c r="D327" s="105"/>
      <c r="E327" s="415"/>
      <c r="F327" s="415"/>
      <c r="G327" s="415"/>
      <c r="H327" s="415"/>
      <c r="I327" s="415"/>
      <c r="J327" s="415"/>
      <c r="K327" s="415"/>
      <c r="L327" s="415"/>
      <c r="M327" s="415"/>
      <c r="N327" s="415"/>
      <c r="O327" s="415"/>
      <c r="P327" s="419"/>
      <c r="R327" s="646"/>
      <c r="S327" s="710"/>
      <c r="T327" s="710"/>
      <c r="U327" s="711"/>
      <c r="V327" s="712"/>
      <c r="W327" s="712"/>
      <c r="X327" s="713"/>
      <c r="Y327" s="646"/>
      <c r="Z327" s="646"/>
      <c r="AA327" s="646"/>
      <c r="AB327" s="646"/>
      <c r="AC327" s="646"/>
      <c r="AD327" s="646"/>
      <c r="AE327" s="646"/>
      <c r="AF327" s="35"/>
    </row>
    <row r="328" spans="2:32">
      <c r="B328" s="418"/>
      <c r="C328" s="61" t="s">
        <v>870</v>
      </c>
      <c r="D328" s="61" t="s">
        <v>65</v>
      </c>
      <c r="E328" s="61" t="s">
        <v>64</v>
      </c>
      <c r="F328" s="119">
        <v>2007</v>
      </c>
      <c r="G328" s="120">
        <f t="shared" ref="G328:O328" si="132">F328+5</f>
        <v>2012</v>
      </c>
      <c r="H328" s="120">
        <f t="shared" si="132"/>
        <v>2017</v>
      </c>
      <c r="I328" s="120">
        <f t="shared" si="132"/>
        <v>2022</v>
      </c>
      <c r="J328" s="120">
        <f t="shared" si="132"/>
        <v>2027</v>
      </c>
      <c r="K328" s="120">
        <f t="shared" si="132"/>
        <v>2032</v>
      </c>
      <c r="L328" s="120">
        <f t="shared" si="132"/>
        <v>2037</v>
      </c>
      <c r="M328" s="120">
        <f t="shared" si="132"/>
        <v>2042</v>
      </c>
      <c r="N328" s="120">
        <f t="shared" si="132"/>
        <v>2047</v>
      </c>
      <c r="O328" s="120">
        <f t="shared" si="132"/>
        <v>2052</v>
      </c>
      <c r="P328" s="419"/>
      <c r="R328" s="646"/>
      <c r="S328" s="710"/>
      <c r="T328" s="710"/>
      <c r="U328" s="711"/>
      <c r="V328" s="712"/>
      <c r="W328" s="712"/>
      <c r="X328" s="713"/>
      <c r="Y328" s="646"/>
      <c r="Z328" s="646"/>
      <c r="AA328" s="646"/>
      <c r="AB328" s="646"/>
      <c r="AC328" s="646"/>
      <c r="AD328" s="646"/>
      <c r="AE328" s="646"/>
      <c r="AF328" s="35"/>
    </row>
    <row r="329" spans="2:32">
      <c r="B329" s="418"/>
      <c r="C329" s="413" t="s">
        <v>923</v>
      </c>
      <c r="D329" s="414" t="s">
        <v>918</v>
      </c>
      <c r="E329" s="96"/>
      <c r="F329" s="519">
        <f t="shared" ref="F329:O329" si="133">F49*F$235*10^6*F274</f>
        <v>57.902576551305131</v>
      </c>
      <c r="G329" s="519">
        <f t="shared" si="133"/>
        <v>86.33295768478996</v>
      </c>
      <c r="H329" s="519">
        <f t="shared" si="133"/>
        <v>88.894536676350626</v>
      </c>
      <c r="I329" s="519">
        <f t="shared" si="133"/>
        <v>95.126245369092231</v>
      </c>
      <c r="J329" s="519">
        <f t="shared" si="133"/>
        <v>104.36908943766598</v>
      </c>
      <c r="K329" s="519">
        <f t="shared" si="133"/>
        <v>110.16893902486801</v>
      </c>
      <c r="L329" s="519">
        <f t="shared" si="133"/>
        <v>111.98301931442454</v>
      </c>
      <c r="M329" s="519">
        <f t="shared" si="133"/>
        <v>110.10250857037229</v>
      </c>
      <c r="N329" s="519">
        <f t="shared" si="133"/>
        <v>110.69633863175937</v>
      </c>
      <c r="O329" s="519">
        <f t="shared" si="133"/>
        <v>112.2761047794822</v>
      </c>
      <c r="P329" s="419"/>
      <c r="R329" s="646"/>
      <c r="S329" s="710"/>
      <c r="T329" s="710"/>
      <c r="U329" s="711"/>
      <c r="V329" s="712"/>
      <c r="W329" s="712"/>
      <c r="X329" s="713"/>
      <c r="Y329" s="646"/>
      <c r="Z329" s="646"/>
      <c r="AA329" s="646"/>
      <c r="AB329" s="646"/>
      <c r="AC329" s="646"/>
      <c r="AD329" s="646"/>
      <c r="AE329" s="646"/>
      <c r="AF329" s="35"/>
    </row>
    <row r="330" spans="2:32">
      <c r="B330" s="418"/>
      <c r="C330" s="413" t="s">
        <v>923</v>
      </c>
      <c r="D330" s="414" t="s">
        <v>5</v>
      </c>
      <c r="E330" s="414"/>
      <c r="F330" s="519">
        <f t="shared" ref="F330:O330" si="134">F50*F$235*10^6*F275</f>
        <v>0.10009722143013318</v>
      </c>
      <c r="G330" s="519">
        <f t="shared" si="134"/>
        <v>9.3505695250267307E-2</v>
      </c>
      <c r="H330" s="519">
        <f t="shared" si="134"/>
        <v>1.271193519105055</v>
      </c>
      <c r="I330" s="519">
        <f t="shared" si="134"/>
        <v>1.7630275941553981</v>
      </c>
      <c r="J330" s="519">
        <f t="shared" si="134"/>
        <v>3.3530520742497418</v>
      </c>
      <c r="K330" s="519">
        <f t="shared" si="134"/>
        <v>5.6269069593534571</v>
      </c>
      <c r="L330" s="519">
        <f t="shared" si="134"/>
        <v>7.840383092975391</v>
      </c>
      <c r="M330" s="519">
        <f t="shared" si="134"/>
        <v>10.567125567057492</v>
      </c>
      <c r="N330" s="519">
        <f t="shared" si="134"/>
        <v>14.563556801098377</v>
      </c>
      <c r="O330" s="519">
        <f t="shared" si="134"/>
        <v>15.092452773140378</v>
      </c>
      <c r="P330" s="419"/>
      <c r="R330" s="646"/>
      <c r="S330" s="710"/>
      <c r="T330" s="710"/>
      <c r="U330" s="711"/>
      <c r="V330" s="712"/>
      <c r="W330" s="712"/>
      <c r="X330" s="713"/>
      <c r="Y330" s="646"/>
      <c r="Z330" s="646"/>
      <c r="AA330" s="646"/>
      <c r="AB330" s="646"/>
      <c r="AC330" s="646"/>
      <c r="AD330" s="646"/>
      <c r="AE330" s="646"/>
      <c r="AF330" s="35"/>
    </row>
    <row r="331" spans="2:32">
      <c r="B331" s="418"/>
      <c r="C331" s="413" t="s">
        <v>923</v>
      </c>
      <c r="D331" s="414" t="s">
        <v>919</v>
      </c>
      <c r="E331" s="414"/>
      <c r="F331" s="519">
        <f t="shared" ref="F331:O331" si="135">F51*F$235*10^6*F276</f>
        <v>0.12209135553179065</v>
      </c>
      <c r="G331" s="519">
        <f t="shared" si="135"/>
        <v>1.2114440580384245</v>
      </c>
      <c r="H331" s="519">
        <f t="shared" si="135"/>
        <v>4.6458607279195467</v>
      </c>
      <c r="I331" s="519">
        <f t="shared" si="135"/>
        <v>14.034000133607226</v>
      </c>
      <c r="J331" s="519">
        <f t="shared" si="135"/>
        <v>30.561562908825266</v>
      </c>
      <c r="K331" s="519">
        <f t="shared" si="135"/>
        <v>50.08590520127516</v>
      </c>
      <c r="L331" s="519">
        <f t="shared" si="135"/>
        <v>72.546680420102987</v>
      </c>
      <c r="M331" s="519">
        <f t="shared" si="135"/>
        <v>102.67878398319945</v>
      </c>
      <c r="N331" s="519">
        <f t="shared" si="135"/>
        <v>134.84573353008619</v>
      </c>
      <c r="O331" s="519">
        <f t="shared" si="135"/>
        <v>171.3616043661288</v>
      </c>
      <c r="P331" s="419"/>
      <c r="R331" s="646"/>
      <c r="S331" s="710"/>
      <c r="T331" s="710"/>
      <c r="U331" s="711"/>
      <c r="V331" s="712"/>
      <c r="W331" s="712"/>
      <c r="X331" s="713"/>
      <c r="Y331" s="646"/>
      <c r="Z331" s="646"/>
      <c r="AA331" s="646"/>
      <c r="AB331" s="646"/>
      <c r="AC331" s="646"/>
      <c r="AD331" s="646"/>
      <c r="AE331" s="646"/>
      <c r="AF331" s="35"/>
    </row>
    <row r="332" spans="2:32">
      <c r="B332" s="418"/>
      <c r="C332" s="413" t="s">
        <v>923</v>
      </c>
      <c r="D332" s="414" t="s">
        <v>499</v>
      </c>
      <c r="E332" s="414"/>
      <c r="F332" s="519">
        <f t="shared" ref="F332:O332" si="136">F52*F$235*10^6*F277</f>
        <v>101.92101768890981</v>
      </c>
      <c r="G332" s="519">
        <f t="shared" si="136"/>
        <v>121.6380730511076</v>
      </c>
      <c r="H332" s="519">
        <f t="shared" si="136"/>
        <v>117.69529356658963</v>
      </c>
      <c r="I332" s="519">
        <f t="shared" si="136"/>
        <v>118.3519710613872</v>
      </c>
      <c r="J332" s="519">
        <f t="shared" si="136"/>
        <v>122.02200254466746</v>
      </c>
      <c r="K332" s="519">
        <f t="shared" si="136"/>
        <v>121.03654952723166</v>
      </c>
      <c r="L332" s="519">
        <f t="shared" si="136"/>
        <v>122.27932783203535</v>
      </c>
      <c r="M332" s="519">
        <f t="shared" si="136"/>
        <v>119.49275832382796</v>
      </c>
      <c r="N332" s="519">
        <f t="shared" si="136"/>
        <v>119.40462010431004</v>
      </c>
      <c r="O332" s="519">
        <f t="shared" si="136"/>
        <v>120.37012576620755</v>
      </c>
      <c r="P332" s="419"/>
      <c r="R332" s="646"/>
      <c r="S332" s="710"/>
      <c r="T332" s="710"/>
      <c r="U332" s="711"/>
      <c r="V332" s="712"/>
      <c r="W332" s="712"/>
      <c r="X332" s="713"/>
      <c r="Y332" s="646"/>
      <c r="Z332" s="646"/>
      <c r="AA332" s="646"/>
      <c r="AB332" s="646"/>
      <c r="AC332" s="646"/>
      <c r="AD332" s="646"/>
      <c r="AE332" s="646"/>
      <c r="AF332" s="35"/>
    </row>
    <row r="333" spans="2:32">
      <c r="B333" s="418"/>
      <c r="C333" s="413" t="s">
        <v>923</v>
      </c>
      <c r="D333" s="414" t="s">
        <v>102</v>
      </c>
      <c r="E333" s="414"/>
      <c r="F333" s="519">
        <f t="shared" ref="F333:O333" si="137">F53*F$235*10^6*F278</f>
        <v>10.176606889228831</v>
      </c>
      <c r="G333" s="519">
        <f t="shared" si="137"/>
        <v>10.352988993018204</v>
      </c>
      <c r="H333" s="519">
        <f t="shared" si="137"/>
        <v>13.094084414673233</v>
      </c>
      <c r="I333" s="519">
        <f t="shared" si="137"/>
        <v>14.021243444754983</v>
      </c>
      <c r="J333" s="519">
        <f t="shared" si="137"/>
        <v>11.147995429665649</v>
      </c>
      <c r="K333" s="519">
        <f t="shared" si="137"/>
        <v>6.2134287454562349</v>
      </c>
      <c r="L333" s="519">
        <f t="shared" si="137"/>
        <v>7.0543008944832568</v>
      </c>
      <c r="M333" s="519">
        <f t="shared" si="137"/>
        <v>0</v>
      </c>
      <c r="N333" s="519">
        <f t="shared" si="137"/>
        <v>0</v>
      </c>
      <c r="O333" s="519">
        <f t="shared" si="137"/>
        <v>0</v>
      </c>
      <c r="P333" s="419"/>
      <c r="R333" s="646"/>
      <c r="S333" s="710"/>
      <c r="T333" s="710"/>
      <c r="U333" s="711"/>
      <c r="V333" s="712"/>
      <c r="W333" s="712"/>
      <c r="X333" s="713"/>
      <c r="Y333" s="646"/>
      <c r="Z333" s="646"/>
      <c r="AA333" s="646"/>
      <c r="AB333" s="646"/>
      <c r="AC333" s="646"/>
      <c r="AD333" s="646"/>
      <c r="AE333" s="646"/>
      <c r="AF333" s="35"/>
    </row>
    <row r="334" spans="2:32">
      <c r="B334" s="418"/>
      <c r="C334" s="413" t="s">
        <v>923</v>
      </c>
      <c r="D334" s="414" t="s">
        <v>920</v>
      </c>
      <c r="E334" s="414"/>
      <c r="F334" s="519">
        <f t="shared" ref="F334:O334" si="138">F54*F$235*10^6*F279</f>
        <v>13.394502305355823</v>
      </c>
      <c r="G334" s="519">
        <f t="shared" si="138"/>
        <v>10.726283449233986</v>
      </c>
      <c r="H334" s="519">
        <f t="shared" si="138"/>
        <v>11.545198649434985</v>
      </c>
      <c r="I334" s="519">
        <f t="shared" si="138"/>
        <v>12.362684992345384</v>
      </c>
      <c r="J334" s="519">
        <f t="shared" si="138"/>
        <v>9.8293105269930479</v>
      </c>
      <c r="K334" s="519">
        <f t="shared" si="138"/>
        <v>5.4784486557926328</v>
      </c>
      <c r="L334" s="519">
        <f t="shared" si="138"/>
        <v>3.1099274519885762</v>
      </c>
      <c r="M334" s="519">
        <f t="shared" si="138"/>
        <v>0</v>
      </c>
      <c r="N334" s="519">
        <f t="shared" si="138"/>
        <v>0</v>
      </c>
      <c r="O334" s="519">
        <f t="shared" si="138"/>
        <v>0</v>
      </c>
      <c r="P334" s="419"/>
      <c r="R334" s="646"/>
      <c r="S334" s="710"/>
      <c r="T334" s="710"/>
      <c r="U334" s="711"/>
      <c r="V334" s="712"/>
      <c r="W334" s="712"/>
      <c r="X334" s="713"/>
      <c r="Y334" s="646"/>
      <c r="Z334" s="646"/>
      <c r="AA334" s="646"/>
      <c r="AB334" s="646"/>
      <c r="AC334" s="646"/>
      <c r="AD334" s="646"/>
      <c r="AE334" s="646"/>
      <c r="AF334" s="35"/>
    </row>
    <row r="335" spans="2:32">
      <c r="B335" s="418"/>
      <c r="C335" s="413" t="s">
        <v>923</v>
      </c>
      <c r="D335" s="414" t="s">
        <v>921</v>
      </c>
      <c r="E335" s="414"/>
      <c r="F335" s="519">
        <f t="shared" ref="F335:O335" si="139">F55*F$235*10^6*F280</f>
        <v>0</v>
      </c>
      <c r="G335" s="519">
        <f t="shared" si="139"/>
        <v>0</v>
      </c>
      <c r="H335" s="519">
        <f t="shared" si="139"/>
        <v>0</v>
      </c>
      <c r="I335" s="519">
        <f t="shared" si="139"/>
        <v>0</v>
      </c>
      <c r="J335" s="519">
        <f t="shared" si="139"/>
        <v>0</v>
      </c>
      <c r="K335" s="519">
        <f t="shared" si="139"/>
        <v>0</v>
      </c>
      <c r="L335" s="519">
        <f t="shared" si="139"/>
        <v>0</v>
      </c>
      <c r="M335" s="519">
        <f t="shared" si="139"/>
        <v>0</v>
      </c>
      <c r="N335" s="519">
        <f t="shared" si="139"/>
        <v>0</v>
      </c>
      <c r="O335" s="519">
        <f t="shared" si="139"/>
        <v>0</v>
      </c>
      <c r="P335" s="419"/>
      <c r="R335" s="646"/>
      <c r="S335" s="710"/>
      <c r="T335" s="710"/>
      <c r="U335" s="711"/>
      <c r="V335" s="712"/>
      <c r="W335" s="712"/>
      <c r="X335" s="713"/>
      <c r="Y335" s="646"/>
      <c r="Z335" s="646"/>
      <c r="AA335" s="646"/>
      <c r="AB335" s="646"/>
      <c r="AC335" s="646"/>
      <c r="AD335" s="646"/>
      <c r="AE335" s="646"/>
      <c r="AF335" s="35"/>
    </row>
    <row r="336" spans="2:32">
      <c r="B336" s="418"/>
      <c r="C336" s="106" t="s">
        <v>923</v>
      </c>
      <c r="D336" s="417" t="s">
        <v>103</v>
      </c>
      <c r="E336" s="417"/>
      <c r="F336" s="569">
        <f>SUM(F329:F335)</f>
        <v>183.61689201176151</v>
      </c>
      <c r="G336" s="569">
        <f t="shared" ref="G336:O336" si="140">SUM(G329:G335)</f>
        <v>230.35525293143846</v>
      </c>
      <c r="H336" s="569">
        <f t="shared" si="140"/>
        <v>237.14616755407306</v>
      </c>
      <c r="I336" s="569">
        <f t="shared" si="140"/>
        <v>255.65917259534243</v>
      </c>
      <c r="J336" s="569">
        <f t="shared" si="140"/>
        <v>281.28301292206714</v>
      </c>
      <c r="K336" s="569">
        <f t="shared" si="140"/>
        <v>298.61017811397716</v>
      </c>
      <c r="L336" s="569">
        <f t="shared" si="140"/>
        <v>324.81363900601013</v>
      </c>
      <c r="M336" s="569">
        <f t="shared" si="140"/>
        <v>342.84117644445718</v>
      </c>
      <c r="N336" s="569">
        <f t="shared" si="140"/>
        <v>379.51024906725394</v>
      </c>
      <c r="O336" s="569">
        <f t="shared" si="140"/>
        <v>419.10028768495891</v>
      </c>
      <c r="P336" s="419"/>
      <c r="R336" s="646"/>
      <c r="S336" s="710"/>
      <c r="T336" s="710"/>
      <c r="U336" s="711"/>
      <c r="V336" s="712"/>
      <c r="W336" s="712"/>
      <c r="X336" s="713"/>
      <c r="Y336" s="646"/>
      <c r="Z336" s="646"/>
      <c r="AA336" s="646"/>
      <c r="AB336" s="646"/>
      <c r="AC336" s="646"/>
      <c r="AD336" s="646"/>
      <c r="AE336" s="646"/>
      <c r="AF336" s="35"/>
    </row>
    <row r="337" spans="2:32">
      <c r="B337" s="418"/>
      <c r="C337" s="413"/>
      <c r="D337" s="414"/>
      <c r="E337" s="414"/>
      <c r="F337" s="519"/>
      <c r="G337" s="519"/>
      <c r="H337" s="519"/>
      <c r="I337" s="519"/>
      <c r="J337" s="519"/>
      <c r="K337" s="519"/>
      <c r="L337" s="519"/>
      <c r="M337" s="519"/>
      <c r="N337" s="519"/>
      <c r="O337" s="519"/>
      <c r="P337" s="419"/>
      <c r="R337" s="646"/>
      <c r="S337" s="710"/>
      <c r="T337" s="710"/>
      <c r="U337" s="711"/>
      <c r="V337" s="712"/>
      <c r="W337" s="712"/>
      <c r="X337" s="713"/>
      <c r="Y337" s="646"/>
      <c r="Z337" s="646"/>
      <c r="AA337" s="646"/>
      <c r="AB337" s="646"/>
      <c r="AC337" s="646"/>
      <c r="AD337" s="646"/>
      <c r="AE337" s="646"/>
      <c r="AF337" s="35"/>
    </row>
    <row r="338" spans="2:32">
      <c r="B338" s="418"/>
      <c r="C338" s="413" t="s">
        <v>922</v>
      </c>
      <c r="D338" s="414" t="s">
        <v>918</v>
      </c>
      <c r="E338" s="414"/>
      <c r="F338" s="519">
        <f t="shared" ref="F338:O338" si="141">F58*F$236*10^6*F274</f>
        <v>20.520847987443812</v>
      </c>
      <c r="G338" s="519">
        <f t="shared" si="141"/>
        <v>31.55294406678777</v>
      </c>
      <c r="H338" s="519">
        <f t="shared" si="141"/>
        <v>35.962076993955797</v>
      </c>
      <c r="I338" s="519">
        <f t="shared" si="141"/>
        <v>42.574703285532287</v>
      </c>
      <c r="J338" s="519">
        <f t="shared" si="141"/>
        <v>47.52564001884366</v>
      </c>
      <c r="K338" s="519">
        <f t="shared" si="141"/>
        <v>50.916188730137904</v>
      </c>
      <c r="L338" s="519">
        <f t="shared" si="141"/>
        <v>58.680362652644995</v>
      </c>
      <c r="M338" s="519">
        <f t="shared" si="141"/>
        <v>67.751250802833113</v>
      </c>
      <c r="N338" s="519">
        <f t="shared" si="141"/>
        <v>76.410766849950221</v>
      </c>
      <c r="O338" s="519">
        <f t="shared" si="141"/>
        <v>90.260274807558432</v>
      </c>
      <c r="P338" s="419"/>
      <c r="R338" s="646"/>
      <c r="S338" s="710"/>
      <c r="T338" s="710"/>
      <c r="U338" s="711"/>
      <c r="V338" s="712"/>
      <c r="W338" s="712"/>
      <c r="X338" s="713"/>
      <c r="Y338" s="646"/>
      <c r="Z338" s="646"/>
      <c r="AA338" s="646"/>
      <c r="AB338" s="646"/>
      <c r="AC338" s="646"/>
      <c r="AD338" s="646"/>
      <c r="AE338" s="646"/>
      <c r="AF338" s="35"/>
    </row>
    <row r="339" spans="2:32">
      <c r="B339" s="418"/>
      <c r="C339" s="413" t="s">
        <v>922</v>
      </c>
      <c r="D339" s="414" t="s">
        <v>5</v>
      </c>
      <c r="E339" s="414"/>
      <c r="F339" s="519">
        <f t="shared" ref="F339:O339" si="142">F59*F$236*10^6*F275</f>
        <v>0.20650611961343057</v>
      </c>
      <c r="G339" s="519">
        <f t="shared" si="142"/>
        <v>0.31217555248582807</v>
      </c>
      <c r="H339" s="519">
        <f t="shared" si="142"/>
        <v>0.6407172117365989</v>
      </c>
      <c r="I339" s="519">
        <f t="shared" si="142"/>
        <v>1.3107128947403945</v>
      </c>
      <c r="J339" s="519">
        <f t="shared" si="142"/>
        <v>2.6347932308073903</v>
      </c>
      <c r="K339" s="519">
        <f t="shared" si="142"/>
        <v>5.2974318716156272</v>
      </c>
      <c r="L339" s="519">
        <f t="shared" si="142"/>
        <v>6.7647963671245579</v>
      </c>
      <c r="M339" s="519">
        <f t="shared" si="142"/>
        <v>8.6542951541458208</v>
      </c>
      <c r="N339" s="519">
        <f t="shared" si="142"/>
        <v>10.814872154271491</v>
      </c>
      <c r="O339" s="519">
        <f t="shared" si="142"/>
        <v>14.155197377772522</v>
      </c>
      <c r="P339" s="419"/>
      <c r="R339" s="646"/>
      <c r="S339" s="710"/>
      <c r="T339" s="710"/>
      <c r="U339" s="711"/>
      <c r="V339" s="712"/>
      <c r="W339" s="712"/>
      <c r="X339" s="713"/>
      <c r="Y339" s="646"/>
      <c r="Z339" s="646"/>
      <c r="AA339" s="646"/>
      <c r="AB339" s="646"/>
      <c r="AC339" s="646"/>
      <c r="AD339" s="646"/>
      <c r="AE339" s="646"/>
      <c r="AF339" s="35"/>
    </row>
    <row r="340" spans="2:32">
      <c r="B340" s="418"/>
      <c r="C340" s="413" t="s">
        <v>922</v>
      </c>
      <c r="D340" s="414" t="s">
        <v>919</v>
      </c>
      <c r="E340" s="414"/>
      <c r="F340" s="519">
        <f t="shared" ref="F340:O340" si="143">F60*F$236*10^6*F276</f>
        <v>0</v>
      </c>
      <c r="G340" s="519">
        <f t="shared" si="143"/>
        <v>0</v>
      </c>
      <c r="H340" s="519">
        <f t="shared" si="143"/>
        <v>0</v>
      </c>
      <c r="I340" s="519">
        <f t="shared" si="143"/>
        <v>0</v>
      </c>
      <c r="J340" s="519">
        <f t="shared" si="143"/>
        <v>0</v>
      </c>
      <c r="K340" s="519">
        <f t="shared" si="143"/>
        <v>0</v>
      </c>
      <c r="L340" s="519">
        <f t="shared" si="143"/>
        <v>0</v>
      </c>
      <c r="M340" s="519">
        <f t="shared" si="143"/>
        <v>0</v>
      </c>
      <c r="N340" s="519">
        <f t="shared" si="143"/>
        <v>0</v>
      </c>
      <c r="O340" s="519">
        <f t="shared" si="143"/>
        <v>0</v>
      </c>
      <c r="P340" s="419"/>
      <c r="R340" s="646"/>
      <c r="S340" s="710"/>
      <c r="T340" s="710"/>
      <c r="U340" s="711"/>
      <c r="V340" s="712"/>
      <c r="W340" s="712"/>
      <c r="X340" s="713"/>
      <c r="Y340" s="646"/>
      <c r="Z340" s="646"/>
      <c r="AA340" s="646"/>
      <c r="AB340" s="646"/>
      <c r="AC340" s="646"/>
      <c r="AD340" s="646"/>
      <c r="AE340" s="646"/>
      <c r="AF340" s="35"/>
    </row>
    <row r="341" spans="2:32">
      <c r="B341" s="418"/>
      <c r="C341" s="413" t="s">
        <v>922</v>
      </c>
      <c r="D341" s="414" t="s">
        <v>499</v>
      </c>
      <c r="E341" s="414"/>
      <c r="F341" s="519">
        <f t="shared" ref="F341:O341" si="144">F61*F$236*10^6*F277</f>
        <v>831.36228083431911</v>
      </c>
      <c r="G341" s="519">
        <f t="shared" si="144"/>
        <v>882.45539592636521</v>
      </c>
      <c r="H341" s="519">
        <f t="shared" si="144"/>
        <v>864.8078641702906</v>
      </c>
      <c r="I341" s="519">
        <f t="shared" si="144"/>
        <v>844.73439381729145</v>
      </c>
      <c r="J341" s="519">
        <f t="shared" si="144"/>
        <v>810.80890450014385</v>
      </c>
      <c r="K341" s="519">
        <f t="shared" si="144"/>
        <v>778.38904703360095</v>
      </c>
      <c r="L341" s="519">
        <f t="shared" si="144"/>
        <v>724.2414228164522</v>
      </c>
      <c r="M341" s="519">
        <f t="shared" si="144"/>
        <v>664.20978217808204</v>
      </c>
      <c r="N341" s="519">
        <f t="shared" si="144"/>
        <v>584.10225532771597</v>
      </c>
      <c r="O341" s="519">
        <f t="shared" si="144"/>
        <v>534.81050388612096</v>
      </c>
      <c r="P341" s="419"/>
      <c r="R341" s="646"/>
      <c r="S341" s="710"/>
      <c r="T341" s="710"/>
      <c r="U341" s="711"/>
      <c r="V341" s="712"/>
      <c r="W341" s="712"/>
      <c r="X341" s="713"/>
      <c r="Y341" s="646"/>
      <c r="Z341" s="646"/>
      <c r="AA341" s="646"/>
      <c r="AB341" s="646"/>
      <c r="AC341" s="646"/>
      <c r="AD341" s="646"/>
      <c r="AE341" s="646"/>
      <c r="AF341" s="35"/>
    </row>
    <row r="342" spans="2:32">
      <c r="B342" s="418"/>
      <c r="C342" s="413" t="s">
        <v>922</v>
      </c>
      <c r="D342" s="414" t="s">
        <v>102</v>
      </c>
      <c r="E342" s="414"/>
      <c r="F342" s="519">
        <f t="shared" ref="F342:O342" si="145">F62*F$236*10^6*F278</f>
        <v>6.1092954581163994</v>
      </c>
      <c r="G342" s="519">
        <f t="shared" si="145"/>
        <v>5.6646015444790523</v>
      </c>
      <c r="H342" s="519">
        <f t="shared" si="145"/>
        <v>6.3394322087573274</v>
      </c>
      <c r="I342" s="519">
        <f t="shared" si="145"/>
        <v>6.6350545480314542</v>
      </c>
      <c r="J342" s="519">
        <f t="shared" si="145"/>
        <v>6.823959158143805</v>
      </c>
      <c r="K342" s="519">
        <f t="shared" si="145"/>
        <v>0</v>
      </c>
      <c r="L342" s="519">
        <f t="shared" si="145"/>
        <v>0</v>
      </c>
      <c r="M342" s="519">
        <f t="shared" si="145"/>
        <v>0</v>
      </c>
      <c r="N342" s="519">
        <f t="shared" si="145"/>
        <v>0</v>
      </c>
      <c r="O342" s="519">
        <f t="shared" si="145"/>
        <v>0</v>
      </c>
      <c r="P342" s="419"/>
      <c r="R342" s="646"/>
      <c r="S342" s="710"/>
      <c r="T342" s="710"/>
      <c r="U342" s="711"/>
      <c r="V342" s="712"/>
      <c r="W342" s="712"/>
      <c r="X342" s="713"/>
      <c r="Y342" s="646"/>
      <c r="Z342" s="646"/>
      <c r="AA342" s="646"/>
      <c r="AB342" s="646"/>
      <c r="AC342" s="646"/>
      <c r="AD342" s="646"/>
      <c r="AE342" s="646"/>
      <c r="AF342" s="35"/>
    </row>
    <row r="343" spans="2:32">
      <c r="B343" s="418"/>
      <c r="C343" s="413" t="s">
        <v>922</v>
      </c>
      <c r="D343" s="414" t="s">
        <v>920</v>
      </c>
      <c r="E343" s="414"/>
      <c r="F343" s="519">
        <f t="shared" ref="F343:O343" si="146">F63*F$236*10^6*F279</f>
        <v>2.7448033380745551</v>
      </c>
      <c r="G343" s="519">
        <f t="shared" si="146"/>
        <v>1.9739213680723564</v>
      </c>
      <c r="H343" s="519">
        <f t="shared" si="146"/>
        <v>1.7467335309808156</v>
      </c>
      <c r="I343" s="519">
        <f t="shared" si="146"/>
        <v>1.828187742574684</v>
      </c>
      <c r="J343" s="519">
        <f t="shared" si="146"/>
        <v>1.8802375170299235</v>
      </c>
      <c r="K343" s="519">
        <f t="shared" si="146"/>
        <v>0</v>
      </c>
      <c r="L343" s="519">
        <f t="shared" si="146"/>
        <v>0</v>
      </c>
      <c r="M343" s="519">
        <f t="shared" si="146"/>
        <v>0</v>
      </c>
      <c r="N343" s="519">
        <f t="shared" si="146"/>
        <v>0</v>
      </c>
      <c r="O343" s="519">
        <f t="shared" si="146"/>
        <v>0</v>
      </c>
      <c r="P343" s="419"/>
      <c r="R343" s="646"/>
      <c r="S343" s="710"/>
      <c r="T343" s="710"/>
      <c r="U343" s="711"/>
      <c r="V343" s="712"/>
      <c r="W343" s="712"/>
      <c r="X343" s="713"/>
      <c r="Y343" s="646"/>
      <c r="Z343" s="646"/>
      <c r="AA343" s="646"/>
      <c r="AB343" s="646"/>
      <c r="AC343" s="646"/>
      <c r="AD343" s="646"/>
      <c r="AE343" s="646"/>
      <c r="AF343" s="35"/>
    </row>
    <row r="344" spans="2:32">
      <c r="B344" s="418"/>
      <c r="C344" s="413" t="s">
        <v>922</v>
      </c>
      <c r="D344" s="105" t="s">
        <v>921</v>
      </c>
      <c r="E344" s="414"/>
      <c r="F344" s="519">
        <f t="shared" ref="F344:O344" si="147">F64*F$236*10^6*F280</f>
        <v>1.3004856467284154</v>
      </c>
      <c r="G344" s="519">
        <f t="shared" si="147"/>
        <v>1.4139535733994226</v>
      </c>
      <c r="H344" s="519">
        <f t="shared" si="147"/>
        <v>1.8559472086142774</v>
      </c>
      <c r="I344" s="519">
        <f t="shared" si="147"/>
        <v>3.2145861574906998</v>
      </c>
      <c r="J344" s="519">
        <f t="shared" si="147"/>
        <v>5.4711964298996456</v>
      </c>
      <c r="K344" s="519">
        <f t="shared" si="147"/>
        <v>12.33033061088395</v>
      </c>
      <c r="L344" s="519">
        <f t="shared" si="147"/>
        <v>14.176454021749196</v>
      </c>
      <c r="M344" s="519">
        <f t="shared" si="147"/>
        <v>16.328569257697232</v>
      </c>
      <c r="N344" s="519">
        <f t="shared" si="147"/>
        <v>18.371362393648152</v>
      </c>
      <c r="O344" s="519">
        <f t="shared" si="147"/>
        <v>21.649080138270811</v>
      </c>
      <c r="P344" s="419"/>
      <c r="R344" s="646"/>
      <c r="S344" s="710"/>
      <c r="T344" s="710"/>
      <c r="U344" s="711"/>
      <c r="V344" s="712"/>
      <c r="W344" s="712"/>
      <c r="X344" s="713"/>
      <c r="Y344" s="646"/>
      <c r="Z344" s="646"/>
      <c r="AA344" s="646"/>
      <c r="AB344" s="646"/>
      <c r="AC344" s="646"/>
      <c r="AD344" s="646"/>
      <c r="AE344" s="646"/>
      <c r="AF344" s="35"/>
    </row>
    <row r="345" spans="2:32">
      <c r="B345" s="418"/>
      <c r="C345" s="832" t="s">
        <v>922</v>
      </c>
      <c r="D345" s="816" t="s">
        <v>103</v>
      </c>
      <c r="E345" s="817"/>
      <c r="F345" s="831">
        <f>SUM(F338:F344)</f>
        <v>862.24421938429577</v>
      </c>
      <c r="G345" s="831">
        <f t="shared" ref="G345:O345" si="148">SUM(G338:G344)</f>
        <v>923.37299203158977</v>
      </c>
      <c r="H345" s="831">
        <f t="shared" si="148"/>
        <v>911.35277132433532</v>
      </c>
      <c r="I345" s="831">
        <f t="shared" si="148"/>
        <v>900.29763844566094</v>
      </c>
      <c r="J345" s="831">
        <f t="shared" si="148"/>
        <v>875.14473085486838</v>
      </c>
      <c r="K345" s="831">
        <f t="shared" si="148"/>
        <v>846.93299824623841</v>
      </c>
      <c r="L345" s="831">
        <f t="shared" si="148"/>
        <v>803.863035857971</v>
      </c>
      <c r="M345" s="831">
        <f t="shared" si="148"/>
        <v>756.94389739275823</v>
      </c>
      <c r="N345" s="831">
        <f t="shared" si="148"/>
        <v>689.69925672558577</v>
      </c>
      <c r="O345" s="831">
        <f t="shared" si="148"/>
        <v>660.87505620972274</v>
      </c>
      <c r="P345" s="419"/>
      <c r="R345" s="646"/>
      <c r="S345" s="710"/>
      <c r="T345" s="710"/>
      <c r="U345" s="711"/>
      <c r="V345" s="712"/>
      <c r="W345" s="712"/>
      <c r="X345" s="713"/>
      <c r="Y345" s="646"/>
      <c r="Z345" s="646"/>
      <c r="AA345" s="646"/>
      <c r="AB345" s="646"/>
      <c r="AC345" s="646"/>
      <c r="AD345" s="646"/>
      <c r="AE345" s="646"/>
      <c r="AF345" s="35"/>
    </row>
    <row r="346" spans="2:32">
      <c r="B346" s="418"/>
      <c r="C346" s="415"/>
      <c r="D346" s="415"/>
      <c r="E346" s="415"/>
      <c r="F346" s="415"/>
      <c r="G346" s="415"/>
      <c r="H346" s="415"/>
      <c r="I346" s="415"/>
      <c r="J346" s="415"/>
      <c r="K346" s="415"/>
      <c r="L346" s="415"/>
      <c r="M346" s="415"/>
      <c r="N346" s="415"/>
      <c r="O346" s="415"/>
      <c r="P346" s="419"/>
      <c r="R346" s="646"/>
      <c r="S346" s="710"/>
      <c r="T346" s="710"/>
      <c r="U346" s="711"/>
      <c r="V346" s="712"/>
      <c r="W346" s="712"/>
      <c r="X346" s="713"/>
      <c r="Y346" s="646"/>
      <c r="Z346" s="646"/>
      <c r="AA346" s="646"/>
      <c r="AB346" s="646"/>
      <c r="AC346" s="646"/>
      <c r="AD346" s="646"/>
      <c r="AE346" s="646"/>
      <c r="AF346" s="35"/>
    </row>
    <row r="347" spans="2:32" ht="14.25">
      <c r="B347" s="418"/>
      <c r="C347" s="819" t="s">
        <v>461</v>
      </c>
      <c r="D347" s="761"/>
      <c r="E347" s="760"/>
      <c r="F347" s="760"/>
      <c r="G347" s="760"/>
      <c r="H347" s="760"/>
      <c r="I347" s="760"/>
      <c r="J347" s="760"/>
      <c r="K347" s="760"/>
      <c r="L347" s="760"/>
      <c r="M347" s="760"/>
      <c r="N347" s="760"/>
      <c r="O347" s="830" t="str">
        <f>preferences.energyunits</f>
        <v>TWh</v>
      </c>
      <c r="P347" s="419"/>
      <c r="R347" s="646"/>
      <c r="S347" s="710"/>
      <c r="T347" s="710"/>
      <c r="U347" s="711"/>
      <c r="V347" s="712"/>
      <c r="W347" s="712"/>
      <c r="X347" s="713"/>
      <c r="Y347" s="646"/>
      <c r="Z347" s="646"/>
      <c r="AA347" s="646"/>
      <c r="AB347" s="646"/>
      <c r="AC347" s="646"/>
      <c r="AD347" s="646"/>
      <c r="AE347" s="646"/>
      <c r="AF347" s="35"/>
    </row>
    <row r="348" spans="2:32">
      <c r="B348" s="418"/>
      <c r="C348" s="104"/>
      <c r="D348" s="105"/>
      <c r="E348" s="415"/>
      <c r="F348" s="415"/>
      <c r="G348" s="415"/>
      <c r="H348" s="415"/>
      <c r="I348" s="415"/>
      <c r="J348" s="415"/>
      <c r="K348" s="415"/>
      <c r="L348" s="415"/>
      <c r="M348" s="415"/>
      <c r="N348" s="415"/>
      <c r="O348" s="415"/>
      <c r="P348" s="419"/>
      <c r="R348" s="646"/>
      <c r="S348" s="710"/>
      <c r="T348" s="710"/>
      <c r="U348" s="711"/>
      <c r="V348" s="712"/>
      <c r="W348" s="712"/>
      <c r="X348" s="713"/>
      <c r="Y348" s="646"/>
      <c r="Z348" s="646"/>
      <c r="AA348" s="646"/>
      <c r="AB348" s="646"/>
      <c r="AC348" s="646"/>
      <c r="AD348" s="646"/>
      <c r="AE348" s="646"/>
      <c r="AF348" s="35"/>
    </row>
    <row r="349" spans="2:32">
      <c r="B349" s="418"/>
      <c r="C349" s="61" t="s">
        <v>870</v>
      </c>
      <c r="D349" s="61" t="s">
        <v>65</v>
      </c>
      <c r="E349" s="61" t="s">
        <v>64</v>
      </c>
      <c r="F349" s="119">
        <v>2007</v>
      </c>
      <c r="G349" s="120">
        <f t="shared" ref="G349:O349" si="149">F349+5</f>
        <v>2012</v>
      </c>
      <c r="H349" s="120">
        <f t="shared" si="149"/>
        <v>2017</v>
      </c>
      <c r="I349" s="120">
        <f t="shared" si="149"/>
        <v>2022</v>
      </c>
      <c r="J349" s="120">
        <f t="shared" si="149"/>
        <v>2027</v>
      </c>
      <c r="K349" s="120">
        <f t="shared" si="149"/>
        <v>2032</v>
      </c>
      <c r="L349" s="120">
        <f t="shared" si="149"/>
        <v>2037</v>
      </c>
      <c r="M349" s="120">
        <f t="shared" si="149"/>
        <v>2042</v>
      </c>
      <c r="N349" s="120">
        <f t="shared" si="149"/>
        <v>2047</v>
      </c>
      <c r="O349" s="120">
        <f t="shared" si="149"/>
        <v>2052</v>
      </c>
      <c r="P349" s="419"/>
      <c r="R349" s="646"/>
      <c r="S349" s="710"/>
      <c r="T349" s="710"/>
      <c r="U349" s="711"/>
      <c r="V349" s="712"/>
      <c r="W349" s="712"/>
      <c r="X349" s="713"/>
      <c r="Y349" s="646"/>
      <c r="Z349" s="646"/>
      <c r="AA349" s="646"/>
      <c r="AB349" s="646"/>
      <c r="AC349" s="646"/>
      <c r="AD349" s="646"/>
      <c r="AE349" s="646"/>
      <c r="AF349" s="35"/>
    </row>
    <row r="350" spans="2:32">
      <c r="B350" s="418"/>
      <c r="C350" s="413" t="s">
        <v>923</v>
      </c>
      <c r="D350" s="414" t="s">
        <v>918</v>
      </c>
      <c r="E350" s="96"/>
      <c r="F350" s="519">
        <f t="shared" ref="F350:O350" si="150">F71*F$235*10^6*F285</f>
        <v>57.902576551305131</v>
      </c>
      <c r="G350" s="519">
        <f t="shared" si="150"/>
        <v>86.33295768478996</v>
      </c>
      <c r="H350" s="519">
        <f t="shared" si="150"/>
        <v>88.576086993346394</v>
      </c>
      <c r="I350" s="519">
        <f t="shared" si="150"/>
        <v>91.945231528294656</v>
      </c>
      <c r="J350" s="519">
        <f t="shared" si="150"/>
        <v>97.538232525127228</v>
      </c>
      <c r="K350" s="519">
        <f t="shared" si="150"/>
        <v>98.726140975577863</v>
      </c>
      <c r="L350" s="519">
        <f t="shared" si="150"/>
        <v>100.75874699162226</v>
      </c>
      <c r="M350" s="519">
        <f t="shared" si="150"/>
        <v>100.69646470137664</v>
      </c>
      <c r="N350" s="519">
        <f t="shared" si="150"/>
        <v>99.170839840851826</v>
      </c>
      <c r="O350" s="519">
        <f t="shared" si="150"/>
        <v>93.512982147870616</v>
      </c>
      <c r="P350" s="419"/>
      <c r="R350" s="646"/>
      <c r="S350" s="710"/>
      <c r="T350" s="710"/>
      <c r="U350" s="711"/>
      <c r="V350" s="712"/>
      <c r="W350" s="712"/>
      <c r="X350" s="713"/>
      <c r="Y350" s="646"/>
      <c r="Z350" s="646"/>
      <c r="AA350" s="646"/>
      <c r="AB350" s="646"/>
      <c r="AC350" s="646"/>
      <c r="AD350" s="646"/>
      <c r="AE350" s="646"/>
      <c r="AF350" s="35"/>
    </row>
    <row r="351" spans="2:32">
      <c r="B351" s="418"/>
      <c r="C351" s="413" t="s">
        <v>923</v>
      </c>
      <c r="D351" s="414" t="s">
        <v>5</v>
      </c>
      <c r="E351" s="414"/>
      <c r="F351" s="519">
        <f t="shared" ref="F351:O351" si="151">F72*F$235*10^6*F286</f>
        <v>0.10009722143013318</v>
      </c>
      <c r="G351" s="519">
        <f t="shared" si="151"/>
        <v>9.3505695250267307E-2</v>
      </c>
      <c r="H351" s="519">
        <f t="shared" si="151"/>
        <v>1.2681117426437261</v>
      </c>
      <c r="I351" s="519">
        <f t="shared" si="151"/>
        <v>1.894557796899121</v>
      </c>
      <c r="J351" s="519">
        <f t="shared" si="151"/>
        <v>2.9020470391626625</v>
      </c>
      <c r="K351" s="519">
        <f t="shared" si="151"/>
        <v>4.2767786164261912</v>
      </c>
      <c r="L351" s="519">
        <f t="shared" si="151"/>
        <v>6.419293226352587</v>
      </c>
      <c r="M351" s="519">
        <f t="shared" si="151"/>
        <v>9.3198665499073083</v>
      </c>
      <c r="N351" s="519">
        <f t="shared" si="151"/>
        <v>13.836402102128247</v>
      </c>
      <c r="O351" s="519">
        <f t="shared" si="151"/>
        <v>20.723098615427368</v>
      </c>
      <c r="P351" s="419"/>
      <c r="R351" s="646"/>
      <c r="S351" s="710"/>
      <c r="T351" s="710"/>
      <c r="U351" s="711"/>
      <c r="V351" s="712"/>
      <c r="W351" s="712"/>
      <c r="X351" s="713"/>
      <c r="Y351" s="646"/>
      <c r="Z351" s="646"/>
      <c r="AA351" s="646"/>
      <c r="AB351" s="646"/>
      <c r="AC351" s="646"/>
      <c r="AD351" s="646"/>
      <c r="AE351" s="646"/>
      <c r="AF351" s="35"/>
    </row>
    <row r="352" spans="2:32">
      <c r="B352" s="418"/>
      <c r="C352" s="413" t="s">
        <v>923</v>
      </c>
      <c r="D352" s="414" t="s">
        <v>919</v>
      </c>
      <c r="E352" s="414"/>
      <c r="F352" s="519">
        <f t="shared" ref="F352:O352" si="152">F73*F$235*10^6*F287</f>
        <v>0.12209135553179065</v>
      </c>
      <c r="G352" s="519">
        <f t="shared" si="152"/>
        <v>1.2114440580384245</v>
      </c>
      <c r="H352" s="519">
        <f t="shared" si="152"/>
        <v>9.258435431041546</v>
      </c>
      <c r="I352" s="519">
        <f t="shared" si="152"/>
        <v>24.383854874445539</v>
      </c>
      <c r="J352" s="519">
        <f t="shared" si="152"/>
        <v>48.374869072512375</v>
      </c>
      <c r="K352" s="519">
        <f t="shared" si="152"/>
        <v>78.546451638062152</v>
      </c>
      <c r="L352" s="519">
        <f t="shared" si="152"/>
        <v>101.79503698169337</v>
      </c>
      <c r="M352" s="519">
        <f t="shared" si="152"/>
        <v>125.61434823555763</v>
      </c>
      <c r="N352" s="519">
        <f t="shared" si="152"/>
        <v>156.54812253459485</v>
      </c>
      <c r="O352" s="519">
        <f t="shared" si="152"/>
        <v>194.85417276879164</v>
      </c>
      <c r="P352" s="419"/>
      <c r="R352" s="646"/>
      <c r="S352" s="710"/>
      <c r="T352" s="710"/>
      <c r="U352" s="711"/>
      <c r="V352" s="712"/>
      <c r="W352" s="712"/>
      <c r="X352" s="713"/>
      <c r="Y352" s="646"/>
      <c r="Z352" s="646"/>
      <c r="AA352" s="646"/>
      <c r="AB352" s="646"/>
      <c r="AC352" s="646"/>
      <c r="AD352" s="646"/>
      <c r="AE352" s="646"/>
      <c r="AF352" s="35"/>
    </row>
    <row r="353" spans="2:32">
      <c r="B353" s="418"/>
      <c r="C353" s="413" t="s">
        <v>923</v>
      </c>
      <c r="D353" s="414" t="s">
        <v>499</v>
      </c>
      <c r="E353" s="414"/>
      <c r="F353" s="519">
        <f t="shared" ref="F353:O353" si="153">F74*F$235*10^6*F288</f>
        <v>101.92101768890981</v>
      </c>
      <c r="G353" s="519">
        <f t="shared" si="153"/>
        <v>121.6380730511076</v>
      </c>
      <c r="H353" s="519">
        <f t="shared" si="153"/>
        <v>107.20122182885996</v>
      </c>
      <c r="I353" s="519">
        <f t="shared" si="153"/>
        <v>98.1876289419789</v>
      </c>
      <c r="J353" s="519">
        <f t="shared" si="153"/>
        <v>92.206187287987007</v>
      </c>
      <c r="K353" s="519">
        <f t="shared" si="153"/>
        <v>83.30653854273487</v>
      </c>
      <c r="L353" s="519">
        <f t="shared" si="153"/>
        <v>76.657779756084992</v>
      </c>
      <c r="M353" s="519">
        <f t="shared" si="153"/>
        <v>68.231578561677196</v>
      </c>
      <c r="N353" s="519">
        <f t="shared" si="153"/>
        <v>62.102002246643728</v>
      </c>
      <c r="O353" s="519">
        <f t="shared" si="153"/>
        <v>57.022181019921938</v>
      </c>
      <c r="P353" s="419"/>
      <c r="R353" s="646"/>
      <c r="S353" s="710"/>
      <c r="T353" s="710"/>
      <c r="U353" s="711"/>
      <c r="V353" s="712"/>
      <c r="W353" s="712"/>
      <c r="X353" s="713"/>
      <c r="Y353" s="646"/>
      <c r="Z353" s="646"/>
      <c r="AA353" s="646"/>
      <c r="AB353" s="646"/>
      <c r="AC353" s="646"/>
      <c r="AD353" s="646"/>
      <c r="AE353" s="646"/>
      <c r="AF353" s="35"/>
    </row>
    <row r="354" spans="2:32">
      <c r="B354" s="418"/>
      <c r="C354" s="413" t="s">
        <v>923</v>
      </c>
      <c r="D354" s="414" t="s">
        <v>102</v>
      </c>
      <c r="E354" s="414"/>
      <c r="F354" s="519">
        <f t="shared" ref="F354:O354" si="154">F75*F$235*10^6*F289</f>
        <v>10.176606889228831</v>
      </c>
      <c r="G354" s="519">
        <f t="shared" si="154"/>
        <v>10.352988993018204</v>
      </c>
      <c r="H354" s="519">
        <f t="shared" si="154"/>
        <v>11.74843357554904</v>
      </c>
      <c r="I354" s="519">
        <f t="shared" si="154"/>
        <v>11.735565865716968</v>
      </c>
      <c r="J354" s="519">
        <f t="shared" si="154"/>
        <v>5.4776025438137808</v>
      </c>
      <c r="K354" s="519">
        <f t="shared" si="154"/>
        <v>0</v>
      </c>
      <c r="L354" s="519">
        <f t="shared" si="154"/>
        <v>0</v>
      </c>
      <c r="M354" s="519">
        <f t="shared" si="154"/>
        <v>0</v>
      </c>
      <c r="N354" s="519">
        <f t="shared" si="154"/>
        <v>0</v>
      </c>
      <c r="O354" s="519">
        <f t="shared" si="154"/>
        <v>0</v>
      </c>
      <c r="P354" s="419"/>
      <c r="R354" s="646"/>
      <c r="S354" s="710"/>
      <c r="T354" s="710"/>
      <c r="U354" s="711"/>
      <c r="V354" s="712"/>
      <c r="W354" s="712"/>
      <c r="X354" s="713"/>
      <c r="Y354" s="646"/>
      <c r="Z354" s="646"/>
      <c r="AA354" s="646"/>
      <c r="AB354" s="646"/>
      <c r="AC354" s="646"/>
      <c r="AD354" s="646"/>
      <c r="AE354" s="646"/>
      <c r="AF354" s="35"/>
    </row>
    <row r="355" spans="2:32">
      <c r="B355" s="418"/>
      <c r="C355" s="413" t="s">
        <v>923</v>
      </c>
      <c r="D355" s="414" t="s">
        <v>920</v>
      </c>
      <c r="E355" s="414"/>
      <c r="F355" s="519">
        <f t="shared" ref="F355:O355" si="155">F76*F$235*10^6*F290</f>
        <v>13.394502305355823</v>
      </c>
      <c r="G355" s="519">
        <f t="shared" si="155"/>
        <v>10.726283449233986</v>
      </c>
      <c r="H355" s="519">
        <f t="shared" si="155"/>
        <v>10.358723462742415</v>
      </c>
      <c r="I355" s="519">
        <f t="shared" si="155"/>
        <v>10.347377861059256</v>
      </c>
      <c r="J355" s="519">
        <f t="shared" si="155"/>
        <v>7.2444938670298002</v>
      </c>
      <c r="K355" s="519">
        <f t="shared" si="155"/>
        <v>0</v>
      </c>
      <c r="L355" s="519">
        <f t="shared" si="155"/>
        <v>0</v>
      </c>
      <c r="M355" s="519">
        <f t="shared" si="155"/>
        <v>0</v>
      </c>
      <c r="N355" s="519">
        <f t="shared" si="155"/>
        <v>0</v>
      </c>
      <c r="O355" s="519">
        <f t="shared" si="155"/>
        <v>0</v>
      </c>
      <c r="P355" s="419"/>
      <c r="R355" s="646"/>
      <c r="S355" s="710"/>
      <c r="T355" s="710"/>
      <c r="U355" s="711"/>
      <c r="V355" s="712"/>
      <c r="W355" s="712"/>
      <c r="X355" s="713"/>
      <c r="Y355" s="646"/>
      <c r="Z355" s="646"/>
      <c r="AA355" s="646"/>
      <c r="AB355" s="646"/>
      <c r="AC355" s="646"/>
      <c r="AD355" s="646"/>
      <c r="AE355" s="646"/>
      <c r="AF355" s="35"/>
    </row>
    <row r="356" spans="2:32">
      <c r="B356" s="418"/>
      <c r="C356" s="413" t="s">
        <v>923</v>
      </c>
      <c r="D356" s="414" t="s">
        <v>921</v>
      </c>
      <c r="E356" s="414"/>
      <c r="F356" s="519">
        <f t="shared" ref="F356:O356" si="156">F77*F$235*10^6*F291</f>
        <v>0</v>
      </c>
      <c r="G356" s="519">
        <f t="shared" si="156"/>
        <v>0</v>
      </c>
      <c r="H356" s="519">
        <f t="shared" si="156"/>
        <v>0</v>
      </c>
      <c r="I356" s="519">
        <f t="shared" si="156"/>
        <v>0</v>
      </c>
      <c r="J356" s="519">
        <f t="shared" si="156"/>
        <v>0</v>
      </c>
      <c r="K356" s="519">
        <f t="shared" si="156"/>
        <v>0</v>
      </c>
      <c r="L356" s="519">
        <f t="shared" si="156"/>
        <v>0</v>
      </c>
      <c r="M356" s="519">
        <f t="shared" si="156"/>
        <v>0</v>
      </c>
      <c r="N356" s="519">
        <f t="shared" si="156"/>
        <v>0</v>
      </c>
      <c r="O356" s="519">
        <f t="shared" si="156"/>
        <v>0</v>
      </c>
      <c r="P356" s="419"/>
      <c r="R356" s="646"/>
      <c r="S356" s="710"/>
      <c r="T356" s="710"/>
      <c r="U356" s="711"/>
      <c r="V356" s="712"/>
      <c r="W356" s="712"/>
      <c r="X356" s="713"/>
      <c r="Y356" s="646"/>
      <c r="Z356" s="646"/>
      <c r="AA356" s="646"/>
      <c r="AB356" s="646"/>
      <c r="AC356" s="646"/>
      <c r="AD356" s="646"/>
      <c r="AE356" s="646"/>
      <c r="AF356" s="35"/>
    </row>
    <row r="357" spans="2:32">
      <c r="B357" s="418"/>
      <c r="C357" s="106" t="s">
        <v>923</v>
      </c>
      <c r="D357" s="417" t="s">
        <v>103</v>
      </c>
      <c r="E357" s="417"/>
      <c r="F357" s="569">
        <f>SUM(F350:F356)</f>
        <v>183.61689201176151</v>
      </c>
      <c r="G357" s="569">
        <f t="shared" ref="G357:O357" si="157">SUM(G350:G356)</f>
        <v>230.35525293143846</v>
      </c>
      <c r="H357" s="569">
        <f t="shared" si="157"/>
        <v>228.41101303418307</v>
      </c>
      <c r="I357" s="569">
        <f t="shared" si="157"/>
        <v>238.49421686839443</v>
      </c>
      <c r="J357" s="569">
        <f t="shared" si="157"/>
        <v>253.74343233563286</v>
      </c>
      <c r="K357" s="569">
        <f t="shared" si="157"/>
        <v>264.85590977280106</v>
      </c>
      <c r="L357" s="569">
        <f t="shared" si="157"/>
        <v>285.63085695575325</v>
      </c>
      <c r="M357" s="569">
        <f t="shared" si="157"/>
        <v>303.86225804851881</v>
      </c>
      <c r="N357" s="569">
        <f t="shared" si="157"/>
        <v>331.65736672421866</v>
      </c>
      <c r="O357" s="569">
        <f t="shared" si="157"/>
        <v>366.11243455201156</v>
      </c>
      <c r="P357" s="419"/>
      <c r="R357" s="646"/>
      <c r="S357" s="710"/>
      <c r="T357" s="710"/>
      <c r="U357" s="711"/>
      <c r="V357" s="712"/>
      <c r="W357" s="712"/>
      <c r="X357" s="713"/>
      <c r="Y357" s="646"/>
      <c r="Z357" s="646"/>
      <c r="AA357" s="646"/>
      <c r="AB357" s="646"/>
      <c r="AC357" s="646"/>
      <c r="AD357" s="646"/>
      <c r="AE357" s="646"/>
      <c r="AF357" s="35"/>
    </row>
    <row r="358" spans="2:32">
      <c r="B358" s="418"/>
      <c r="C358" s="413"/>
      <c r="D358" s="414"/>
      <c r="E358" s="414"/>
      <c r="F358" s="519"/>
      <c r="G358" s="519"/>
      <c r="H358" s="519"/>
      <c r="I358" s="519"/>
      <c r="J358" s="519"/>
      <c r="K358" s="519"/>
      <c r="L358" s="519"/>
      <c r="M358" s="519"/>
      <c r="N358" s="519"/>
      <c r="O358" s="519"/>
      <c r="P358" s="419"/>
      <c r="R358" s="646"/>
      <c r="S358" s="710"/>
      <c r="T358" s="710"/>
      <c r="U358" s="711"/>
      <c r="V358" s="712"/>
      <c r="W358" s="712"/>
      <c r="X358" s="713"/>
      <c r="Y358" s="646"/>
      <c r="Z358" s="646"/>
      <c r="AA358" s="646"/>
      <c r="AB358" s="646"/>
      <c r="AC358" s="646"/>
      <c r="AD358" s="646"/>
      <c r="AE358" s="646"/>
      <c r="AF358" s="35"/>
    </row>
    <row r="359" spans="2:32">
      <c r="B359" s="418"/>
      <c r="C359" s="413" t="s">
        <v>922</v>
      </c>
      <c r="D359" s="414" t="s">
        <v>918</v>
      </c>
      <c r="E359" s="414"/>
      <c r="F359" s="519">
        <f t="shared" ref="F359:O359" si="158">F80*F$236*10^6*F285</f>
        <v>20.520847987443812</v>
      </c>
      <c r="G359" s="519">
        <f t="shared" si="158"/>
        <v>31.55294406678777</v>
      </c>
      <c r="H359" s="519">
        <f t="shared" si="158"/>
        <v>50.543454104430019</v>
      </c>
      <c r="I359" s="519">
        <f t="shared" si="158"/>
        <v>66.047212913643918</v>
      </c>
      <c r="J359" s="519">
        <f t="shared" si="158"/>
        <v>75.988849461501175</v>
      </c>
      <c r="K359" s="519">
        <f t="shared" si="158"/>
        <v>83.650842032611664</v>
      </c>
      <c r="L359" s="519">
        <f t="shared" si="158"/>
        <v>87.362869465354336</v>
      </c>
      <c r="M359" s="519">
        <f t="shared" si="158"/>
        <v>91.932135466693154</v>
      </c>
      <c r="N359" s="519">
        <f t="shared" si="158"/>
        <v>93.132094532493227</v>
      </c>
      <c r="O359" s="519">
        <f t="shared" si="158"/>
        <v>102.3233618494491</v>
      </c>
      <c r="P359" s="419"/>
      <c r="R359" s="646"/>
      <c r="S359" s="710"/>
      <c r="T359" s="710"/>
      <c r="U359" s="711"/>
      <c r="V359" s="712"/>
      <c r="W359" s="712"/>
      <c r="X359" s="713"/>
      <c r="Y359" s="646"/>
      <c r="Z359" s="646"/>
      <c r="AA359" s="646"/>
      <c r="AB359" s="646"/>
      <c r="AC359" s="646"/>
      <c r="AD359" s="646"/>
      <c r="AE359" s="646"/>
      <c r="AF359" s="35"/>
    </row>
    <row r="360" spans="2:32">
      <c r="B360" s="418"/>
      <c r="C360" s="413" t="s">
        <v>922</v>
      </c>
      <c r="D360" s="414" t="s">
        <v>5</v>
      </c>
      <c r="E360" s="414"/>
      <c r="F360" s="519">
        <f t="shared" ref="F360:O360" si="159">F81*F$236*10^6*F286</f>
        <v>0.20650611961343057</v>
      </c>
      <c r="G360" s="519">
        <f t="shared" si="159"/>
        <v>0.31217555248582807</v>
      </c>
      <c r="H360" s="519">
        <f t="shared" si="159"/>
        <v>2.3604916230178774</v>
      </c>
      <c r="I360" s="519">
        <f t="shared" si="159"/>
        <v>2.4735238036394582</v>
      </c>
      <c r="J360" s="519">
        <f t="shared" si="159"/>
        <v>3.5390333333674269</v>
      </c>
      <c r="K360" s="519">
        <f t="shared" si="159"/>
        <v>5.2462477546316952</v>
      </c>
      <c r="L360" s="519">
        <f t="shared" si="159"/>
        <v>13.287369275615754</v>
      </c>
      <c r="M360" s="519">
        <f t="shared" si="159"/>
        <v>21.577285801099165</v>
      </c>
      <c r="N360" s="519">
        <f t="shared" si="159"/>
        <v>24.065776305540471</v>
      </c>
      <c r="O360" s="519">
        <f t="shared" si="159"/>
        <v>27.765964087169181</v>
      </c>
      <c r="P360" s="419"/>
      <c r="R360" s="646"/>
      <c r="S360" s="710"/>
      <c r="T360" s="710"/>
      <c r="U360" s="711"/>
      <c r="V360" s="712"/>
      <c r="W360" s="712"/>
      <c r="X360" s="713"/>
      <c r="Y360" s="646"/>
      <c r="Z360" s="646"/>
      <c r="AA360" s="646"/>
      <c r="AB360" s="646"/>
      <c r="AC360" s="646"/>
      <c r="AD360" s="646"/>
      <c r="AE360" s="646"/>
      <c r="AF360" s="35"/>
    </row>
    <row r="361" spans="2:32">
      <c r="B361" s="418"/>
      <c r="C361" s="413" t="s">
        <v>922</v>
      </c>
      <c r="D361" s="414" t="s">
        <v>919</v>
      </c>
      <c r="E361" s="414"/>
      <c r="F361" s="519">
        <f t="shared" ref="F361:O361" si="160">F82*F$236*10^6*F287</f>
        <v>0</v>
      </c>
      <c r="G361" s="519">
        <f t="shared" si="160"/>
        <v>0</v>
      </c>
      <c r="H361" s="519">
        <f t="shared" si="160"/>
        <v>0</v>
      </c>
      <c r="I361" s="519">
        <f t="shared" si="160"/>
        <v>0</v>
      </c>
      <c r="J361" s="519">
        <f t="shared" si="160"/>
        <v>0</v>
      </c>
      <c r="K361" s="519">
        <f t="shared" si="160"/>
        <v>3.1691692331315076</v>
      </c>
      <c r="L361" s="519">
        <f t="shared" si="160"/>
        <v>3.2030341214336873</v>
      </c>
      <c r="M361" s="519">
        <f t="shared" si="160"/>
        <v>6.4862744623415169</v>
      </c>
      <c r="N361" s="519">
        <f t="shared" si="160"/>
        <v>6.4152235527768129</v>
      </c>
      <c r="O361" s="519">
        <f t="shared" si="160"/>
        <v>9.9683752844161724</v>
      </c>
      <c r="P361" s="419"/>
      <c r="R361" s="646"/>
      <c r="S361" s="710"/>
      <c r="T361" s="710"/>
      <c r="U361" s="711"/>
      <c r="V361" s="712"/>
      <c r="W361" s="712"/>
      <c r="X361" s="713"/>
      <c r="Y361" s="646"/>
      <c r="Z361" s="646"/>
      <c r="AA361" s="646"/>
      <c r="AB361" s="646"/>
      <c r="AC361" s="646"/>
      <c r="AD361" s="646"/>
      <c r="AE361" s="646"/>
      <c r="AF361" s="35"/>
    </row>
    <row r="362" spans="2:32">
      <c r="B362" s="418"/>
      <c r="C362" s="413" t="s">
        <v>922</v>
      </c>
      <c r="D362" s="414" t="s">
        <v>499</v>
      </c>
      <c r="E362" s="414"/>
      <c r="F362" s="519">
        <f t="shared" ref="F362:O362" si="161">F83*F$236*10^6*F288</f>
        <v>831.36228083431911</v>
      </c>
      <c r="G362" s="519">
        <f t="shared" si="161"/>
        <v>882.45539592636521</v>
      </c>
      <c r="H362" s="519">
        <f t="shared" si="161"/>
        <v>775.51007949256393</v>
      </c>
      <c r="I362" s="519">
        <f t="shared" si="161"/>
        <v>700.23411673334158</v>
      </c>
      <c r="J362" s="519">
        <f t="shared" si="161"/>
        <v>627.52570031705886</v>
      </c>
      <c r="K362" s="519">
        <f t="shared" si="161"/>
        <v>569.2822846164097</v>
      </c>
      <c r="L362" s="519">
        <f t="shared" si="161"/>
        <v>490.58716393354331</v>
      </c>
      <c r="M362" s="519">
        <f t="shared" si="161"/>
        <v>405.30227784253481</v>
      </c>
      <c r="N362" s="519">
        <f t="shared" si="161"/>
        <v>342.3341398029475</v>
      </c>
      <c r="O362" s="519">
        <f t="shared" si="161"/>
        <v>300.83090843594312</v>
      </c>
      <c r="P362" s="419"/>
      <c r="R362" s="646"/>
      <c r="S362" s="710"/>
      <c r="T362" s="710"/>
      <c r="U362" s="711"/>
      <c r="V362" s="712"/>
      <c r="W362" s="712"/>
      <c r="X362" s="713"/>
      <c r="Y362" s="646"/>
      <c r="Z362" s="646"/>
      <c r="AA362" s="646"/>
      <c r="AB362" s="646"/>
      <c r="AC362" s="646"/>
      <c r="AD362" s="646"/>
      <c r="AE362" s="646"/>
      <c r="AF362" s="35"/>
    </row>
    <row r="363" spans="2:32">
      <c r="B363" s="418"/>
      <c r="C363" s="413" t="s">
        <v>922</v>
      </c>
      <c r="D363" s="414" t="s">
        <v>102</v>
      </c>
      <c r="E363" s="414"/>
      <c r="F363" s="519">
        <f t="shared" ref="F363:O363" si="162">F84*F$236*10^6*F289</f>
        <v>6.1092954581163994</v>
      </c>
      <c r="G363" s="519">
        <f t="shared" si="162"/>
        <v>5.6646015444790523</v>
      </c>
      <c r="H363" s="519">
        <f t="shared" si="162"/>
        <v>6.3026753721874424</v>
      </c>
      <c r="I363" s="519">
        <f t="shared" si="162"/>
        <v>6.5583358219719434</v>
      </c>
      <c r="J363" s="519">
        <f t="shared" si="162"/>
        <v>6.7059475004917406</v>
      </c>
      <c r="K363" s="519">
        <f t="shared" si="162"/>
        <v>0</v>
      </c>
      <c r="L363" s="519">
        <f t="shared" si="162"/>
        <v>0</v>
      </c>
      <c r="M363" s="519">
        <f t="shared" si="162"/>
        <v>0</v>
      </c>
      <c r="N363" s="519">
        <f t="shared" si="162"/>
        <v>0</v>
      </c>
      <c r="O363" s="519">
        <f t="shared" si="162"/>
        <v>0</v>
      </c>
      <c r="P363" s="419"/>
      <c r="R363" s="646"/>
      <c r="S363" s="710"/>
      <c r="T363" s="710"/>
      <c r="U363" s="711"/>
      <c r="V363" s="712"/>
      <c r="W363" s="712"/>
      <c r="X363" s="713"/>
      <c r="Y363" s="646"/>
      <c r="Z363" s="646"/>
      <c r="AA363" s="646"/>
      <c r="AB363" s="646"/>
      <c r="AC363" s="646"/>
      <c r="AD363" s="646"/>
      <c r="AE363" s="646"/>
      <c r="AF363" s="35"/>
    </row>
    <row r="364" spans="2:32">
      <c r="B364" s="418"/>
      <c r="C364" s="413" t="s">
        <v>922</v>
      </c>
      <c r="D364" s="414" t="s">
        <v>920</v>
      </c>
      <c r="E364" s="414"/>
      <c r="F364" s="519">
        <f t="shared" ref="F364:O364" si="163">F85*F$236*10^6*F290</f>
        <v>2.7448033380745551</v>
      </c>
      <c r="G364" s="519">
        <f t="shared" si="163"/>
        <v>1.9739213680723564</v>
      </c>
      <c r="H364" s="519">
        <f t="shared" si="163"/>
        <v>1.7366057471643552</v>
      </c>
      <c r="I364" s="519">
        <f t="shared" si="163"/>
        <v>1.8070490716575691</v>
      </c>
      <c r="J364" s="519">
        <f t="shared" si="163"/>
        <v>1.8477212107300103</v>
      </c>
      <c r="K364" s="519">
        <f t="shared" si="163"/>
        <v>0</v>
      </c>
      <c r="L364" s="519">
        <f t="shared" si="163"/>
        <v>0</v>
      </c>
      <c r="M364" s="519">
        <f t="shared" si="163"/>
        <v>0</v>
      </c>
      <c r="N364" s="519">
        <f t="shared" si="163"/>
        <v>0</v>
      </c>
      <c r="O364" s="519">
        <f t="shared" si="163"/>
        <v>0</v>
      </c>
      <c r="P364" s="419"/>
      <c r="R364" s="646"/>
      <c r="S364" s="710"/>
      <c r="T364" s="710"/>
      <c r="U364" s="711"/>
      <c r="V364" s="712"/>
      <c r="W364" s="712"/>
      <c r="X364" s="713"/>
      <c r="Y364" s="646"/>
      <c r="Z364" s="646"/>
      <c r="AA364" s="646"/>
      <c r="AB364" s="646"/>
      <c r="AC364" s="646"/>
      <c r="AD364" s="646"/>
      <c r="AE364" s="646"/>
      <c r="AF364" s="35"/>
    </row>
    <row r="365" spans="2:32">
      <c r="B365" s="418"/>
      <c r="C365" s="413" t="s">
        <v>922</v>
      </c>
      <c r="D365" s="105" t="s">
        <v>921</v>
      </c>
      <c r="E365" s="414"/>
      <c r="F365" s="519">
        <f t="shared" ref="F365:O365" si="164">F86*F$236*10^6*F291</f>
        <v>1.3004856467284154</v>
      </c>
      <c r="G365" s="519">
        <f t="shared" si="164"/>
        <v>1.4139535733994226</v>
      </c>
      <c r="H365" s="519">
        <f t="shared" si="164"/>
        <v>2.9522979039427124</v>
      </c>
      <c r="I365" s="519">
        <f t="shared" si="164"/>
        <v>4.1879498219372877</v>
      </c>
      <c r="J365" s="519">
        <f t="shared" si="164"/>
        <v>5.8376835167750647</v>
      </c>
      <c r="K365" s="519">
        <f t="shared" si="164"/>
        <v>4.0156122798471481</v>
      </c>
      <c r="L365" s="519">
        <f t="shared" si="164"/>
        <v>11.161880233896023</v>
      </c>
      <c r="M365" s="519">
        <f t="shared" si="164"/>
        <v>15.335673211014951</v>
      </c>
      <c r="N365" s="519">
        <f t="shared" si="164"/>
        <v>20.581690606693211</v>
      </c>
      <c r="O365" s="519">
        <f t="shared" si="164"/>
        <v>28.931043457507364</v>
      </c>
      <c r="P365" s="419"/>
      <c r="R365" s="646"/>
      <c r="S365" s="710"/>
      <c r="T365" s="710"/>
      <c r="U365" s="711"/>
      <c r="V365" s="712"/>
      <c r="W365" s="712"/>
      <c r="X365" s="713"/>
      <c r="Y365" s="646"/>
      <c r="Z365" s="646"/>
      <c r="AA365" s="646"/>
      <c r="AB365" s="646"/>
      <c r="AC365" s="646"/>
      <c r="AD365" s="646"/>
      <c r="AE365" s="646"/>
      <c r="AF365" s="35"/>
    </row>
    <row r="366" spans="2:32">
      <c r="B366" s="418"/>
      <c r="C366" s="832" t="s">
        <v>922</v>
      </c>
      <c r="D366" s="816" t="s">
        <v>103</v>
      </c>
      <c r="E366" s="817"/>
      <c r="F366" s="831">
        <f>SUM(F359:F365)</f>
        <v>862.24421938429577</v>
      </c>
      <c r="G366" s="831">
        <f t="shared" ref="G366:O366" si="165">SUM(G359:G365)</f>
        <v>923.37299203158977</v>
      </c>
      <c r="H366" s="831">
        <f t="shared" si="165"/>
        <v>839.40560424330636</v>
      </c>
      <c r="I366" s="831">
        <f t="shared" si="165"/>
        <v>781.30818816619183</v>
      </c>
      <c r="J366" s="831">
        <f t="shared" si="165"/>
        <v>721.44493533992431</v>
      </c>
      <c r="K366" s="831">
        <f t="shared" si="165"/>
        <v>665.36415591663172</v>
      </c>
      <c r="L366" s="831">
        <f t="shared" si="165"/>
        <v>605.60231702984311</v>
      </c>
      <c r="M366" s="831">
        <f t="shared" si="165"/>
        <v>540.63364678368362</v>
      </c>
      <c r="N366" s="831">
        <f t="shared" si="165"/>
        <v>486.52892480045119</v>
      </c>
      <c r="O366" s="831">
        <f t="shared" si="165"/>
        <v>469.81965311448494</v>
      </c>
      <c r="P366" s="419"/>
      <c r="R366" s="646"/>
      <c r="S366" s="710"/>
      <c r="T366" s="710"/>
      <c r="U366" s="711"/>
      <c r="V366" s="712"/>
      <c r="W366" s="712"/>
      <c r="X366" s="713"/>
      <c r="Y366" s="646"/>
      <c r="Z366" s="646"/>
      <c r="AA366" s="646"/>
      <c r="AB366" s="646"/>
      <c r="AC366" s="646"/>
      <c r="AD366" s="646"/>
      <c r="AE366" s="646"/>
      <c r="AF366" s="35"/>
    </row>
    <row r="367" spans="2:32">
      <c r="B367" s="418"/>
      <c r="C367" s="415"/>
      <c r="D367" s="415"/>
      <c r="E367" s="415"/>
      <c r="F367" s="415"/>
      <c r="G367" s="415"/>
      <c r="H367" s="415"/>
      <c r="I367" s="415"/>
      <c r="J367" s="415"/>
      <c r="K367" s="415"/>
      <c r="L367" s="415"/>
      <c r="M367" s="415"/>
      <c r="N367" s="415"/>
      <c r="O367" s="415"/>
      <c r="P367" s="419"/>
      <c r="R367" s="646"/>
      <c r="S367" s="710"/>
      <c r="T367" s="710"/>
      <c r="U367" s="711"/>
      <c r="V367" s="712"/>
      <c r="W367" s="712"/>
      <c r="X367" s="713"/>
      <c r="Y367" s="646"/>
      <c r="Z367" s="646"/>
      <c r="AA367" s="646"/>
      <c r="AB367" s="646"/>
      <c r="AC367" s="646"/>
      <c r="AD367" s="646"/>
      <c r="AE367" s="646"/>
      <c r="AF367" s="35"/>
    </row>
    <row r="368" spans="2:32">
      <c r="B368" s="418"/>
      <c r="C368" s="415"/>
      <c r="D368" s="415"/>
      <c r="E368" s="415"/>
      <c r="F368" s="415"/>
      <c r="G368" s="415"/>
      <c r="H368" s="415"/>
      <c r="I368" s="415"/>
      <c r="J368" s="415"/>
      <c r="K368" s="415"/>
      <c r="L368" s="415"/>
      <c r="M368" s="415"/>
      <c r="N368" s="415"/>
      <c r="O368" s="415"/>
      <c r="P368" s="419"/>
      <c r="R368" s="646"/>
      <c r="S368" s="710"/>
      <c r="T368" s="710"/>
      <c r="U368" s="711"/>
      <c r="V368" s="712"/>
      <c r="W368" s="712"/>
      <c r="X368" s="713"/>
      <c r="Y368" s="646"/>
      <c r="Z368" s="646"/>
      <c r="AA368" s="646"/>
      <c r="AB368" s="646"/>
      <c r="AC368" s="646"/>
      <c r="AD368" s="646"/>
      <c r="AE368" s="646"/>
      <c r="AF368" s="35"/>
    </row>
    <row r="369" spans="2:32" ht="14.25">
      <c r="B369" s="418"/>
      <c r="C369" s="819" t="s">
        <v>462</v>
      </c>
      <c r="D369" s="761"/>
      <c r="E369" s="760"/>
      <c r="F369" s="760"/>
      <c r="G369" s="760"/>
      <c r="H369" s="760"/>
      <c r="I369" s="760"/>
      <c r="J369" s="760"/>
      <c r="K369" s="760"/>
      <c r="L369" s="760"/>
      <c r="M369" s="760"/>
      <c r="N369" s="760"/>
      <c r="O369" s="830" t="str">
        <f>preferences.energyunits</f>
        <v>TWh</v>
      </c>
      <c r="P369" s="419"/>
      <c r="R369" s="646"/>
      <c r="S369" s="710"/>
      <c r="T369" s="710"/>
      <c r="U369" s="711"/>
      <c r="V369" s="712"/>
      <c r="W369" s="712"/>
      <c r="X369" s="713"/>
      <c r="Y369" s="646"/>
      <c r="Z369" s="646"/>
      <c r="AA369" s="646"/>
      <c r="AB369" s="646"/>
      <c r="AC369" s="646"/>
      <c r="AD369" s="646"/>
      <c r="AE369" s="646"/>
      <c r="AF369" s="35"/>
    </row>
    <row r="370" spans="2:32">
      <c r="B370" s="418"/>
      <c r="C370" s="104"/>
      <c r="D370" s="105"/>
      <c r="E370" s="415"/>
      <c r="F370" s="415"/>
      <c r="G370" s="415"/>
      <c r="H370" s="415"/>
      <c r="I370" s="415"/>
      <c r="J370" s="415"/>
      <c r="K370" s="415"/>
      <c r="L370" s="415"/>
      <c r="M370" s="415"/>
      <c r="N370" s="415"/>
      <c r="O370" s="415"/>
      <c r="P370" s="419"/>
      <c r="R370" s="646"/>
      <c r="S370" s="710"/>
      <c r="T370" s="710"/>
      <c r="U370" s="711"/>
      <c r="V370" s="712"/>
      <c r="W370" s="712"/>
      <c r="X370" s="713"/>
      <c r="Y370" s="646"/>
      <c r="Z370" s="646"/>
      <c r="AA370" s="646"/>
      <c r="AB370" s="646"/>
      <c r="AC370" s="646"/>
      <c r="AD370" s="646"/>
      <c r="AE370" s="646"/>
      <c r="AF370" s="35"/>
    </row>
    <row r="371" spans="2:32">
      <c r="B371" s="418"/>
      <c r="C371" s="61" t="s">
        <v>870</v>
      </c>
      <c r="D371" s="61" t="s">
        <v>65</v>
      </c>
      <c r="E371" s="61" t="s">
        <v>64</v>
      </c>
      <c r="F371" s="119">
        <v>2007</v>
      </c>
      <c r="G371" s="120">
        <f t="shared" ref="G371:O371" si="166">F371+5</f>
        <v>2012</v>
      </c>
      <c r="H371" s="120">
        <f t="shared" si="166"/>
        <v>2017</v>
      </c>
      <c r="I371" s="120">
        <f t="shared" si="166"/>
        <v>2022</v>
      </c>
      <c r="J371" s="120">
        <f t="shared" si="166"/>
        <v>2027</v>
      </c>
      <c r="K371" s="120">
        <f t="shared" si="166"/>
        <v>2032</v>
      </c>
      <c r="L371" s="120">
        <f t="shared" si="166"/>
        <v>2037</v>
      </c>
      <c r="M371" s="120">
        <f t="shared" si="166"/>
        <v>2042</v>
      </c>
      <c r="N371" s="120">
        <f t="shared" si="166"/>
        <v>2047</v>
      </c>
      <c r="O371" s="120">
        <f t="shared" si="166"/>
        <v>2052</v>
      </c>
      <c r="P371" s="419"/>
      <c r="R371" s="646"/>
      <c r="S371" s="710"/>
      <c r="T371" s="710"/>
      <c r="U371" s="711"/>
      <c r="V371" s="712"/>
      <c r="W371" s="712"/>
      <c r="X371" s="713"/>
      <c r="Y371" s="646"/>
      <c r="Z371" s="646"/>
      <c r="AA371" s="646"/>
      <c r="AB371" s="646"/>
      <c r="AC371" s="646"/>
      <c r="AD371" s="646"/>
      <c r="AE371" s="646"/>
      <c r="AF371" s="35"/>
    </row>
    <row r="372" spans="2:32">
      <c r="B372" s="418"/>
      <c r="C372" s="413" t="s">
        <v>923</v>
      </c>
      <c r="D372" s="414" t="s">
        <v>918</v>
      </c>
      <c r="E372" s="96"/>
      <c r="F372" s="519">
        <f t="shared" ref="F372:O372" si="167">F94*F$235*10^6*F298</f>
        <v>57.902576551305131</v>
      </c>
      <c r="G372" s="519">
        <f t="shared" si="167"/>
        <v>86.332957684790003</v>
      </c>
      <c r="H372" s="519">
        <f t="shared" si="167"/>
        <v>81.17572090437092</v>
      </c>
      <c r="I372" s="519">
        <f t="shared" si="167"/>
        <v>83.697115646641109</v>
      </c>
      <c r="J372" s="519">
        <f t="shared" si="167"/>
        <v>85.992987044874724</v>
      </c>
      <c r="K372" s="519">
        <f t="shared" si="167"/>
        <v>87.6222406571665</v>
      </c>
      <c r="L372" s="519">
        <f t="shared" si="167"/>
        <v>88.014624450141298</v>
      </c>
      <c r="M372" s="519">
        <f t="shared" si="167"/>
        <v>86.584946501962463</v>
      </c>
      <c r="N372" s="519">
        <f t="shared" si="167"/>
        <v>80.648666615965382</v>
      </c>
      <c r="O372" s="519">
        <f t="shared" si="167"/>
        <v>75.782691954696361</v>
      </c>
      <c r="P372" s="419"/>
      <c r="R372" s="646"/>
      <c r="S372" s="710"/>
      <c r="T372" s="710"/>
      <c r="U372" s="711"/>
      <c r="V372" s="712"/>
      <c r="W372" s="712"/>
      <c r="X372" s="713"/>
      <c r="Y372" s="646"/>
      <c r="Z372" s="646"/>
      <c r="AA372" s="646"/>
      <c r="AB372" s="646"/>
      <c r="AC372" s="646"/>
      <c r="AD372" s="646"/>
      <c r="AE372" s="646"/>
      <c r="AF372" s="35"/>
    </row>
    <row r="373" spans="2:32">
      <c r="B373" s="418"/>
      <c r="C373" s="413" t="s">
        <v>923</v>
      </c>
      <c r="D373" s="414" t="s">
        <v>5</v>
      </c>
      <c r="E373" s="414"/>
      <c r="F373" s="519">
        <f t="shared" ref="F373:O373" si="168">F95*F$235*10^6*F299</f>
        <v>0.10009722143013353</v>
      </c>
      <c r="G373" s="519">
        <f t="shared" si="168"/>
        <v>9.3505695250267307E-2</v>
      </c>
      <c r="H373" s="519">
        <f t="shared" si="168"/>
        <v>1.1385863365194357</v>
      </c>
      <c r="I373" s="519">
        <f t="shared" si="168"/>
        <v>2.8558897089296775</v>
      </c>
      <c r="J373" s="519">
        <f t="shared" si="168"/>
        <v>4.5923270137056944E-2</v>
      </c>
      <c r="K373" s="519">
        <f t="shared" si="168"/>
        <v>7.1046046227538377E-4</v>
      </c>
      <c r="L373" s="519">
        <f t="shared" si="168"/>
        <v>6.2592885750572238</v>
      </c>
      <c r="M373" s="519">
        <f t="shared" si="168"/>
        <v>9.539865236166116E-2</v>
      </c>
      <c r="N373" s="519">
        <f t="shared" si="168"/>
        <v>1.4867929950242939E-3</v>
      </c>
      <c r="O373" s="519">
        <f t="shared" si="168"/>
        <v>26.141267256118617</v>
      </c>
      <c r="P373" s="419"/>
      <c r="R373" s="646"/>
      <c r="S373" s="710"/>
      <c r="T373" s="710"/>
      <c r="U373" s="711"/>
      <c r="V373" s="712"/>
      <c r="W373" s="712"/>
      <c r="X373" s="713"/>
      <c r="Y373" s="646"/>
      <c r="Z373" s="646"/>
      <c r="AA373" s="646"/>
      <c r="AB373" s="646"/>
      <c r="AC373" s="646"/>
      <c r="AD373" s="646"/>
      <c r="AE373" s="646"/>
      <c r="AF373" s="35"/>
    </row>
    <row r="374" spans="2:32">
      <c r="B374" s="418"/>
      <c r="C374" s="413" t="s">
        <v>923</v>
      </c>
      <c r="D374" s="414" t="s">
        <v>919</v>
      </c>
      <c r="E374" s="414"/>
      <c r="F374" s="519">
        <f t="shared" ref="F374:O374" si="169">F96*F$235*10^6*F300</f>
        <v>0.12209135553179107</v>
      </c>
      <c r="G374" s="519">
        <f t="shared" si="169"/>
        <v>1.2114440580384245</v>
      </c>
      <c r="H374" s="519">
        <f t="shared" si="169"/>
        <v>23.065481851375921</v>
      </c>
      <c r="I374" s="519">
        <f t="shared" si="169"/>
        <v>44.969444102711201</v>
      </c>
      <c r="J374" s="519">
        <f t="shared" si="169"/>
        <v>77.79074498704199</v>
      </c>
      <c r="K374" s="519">
        <f t="shared" si="169"/>
        <v>101.80193698900641</v>
      </c>
      <c r="L374" s="519">
        <f t="shared" si="169"/>
        <v>135.04701136723614</v>
      </c>
      <c r="M374" s="519">
        <f t="shared" si="169"/>
        <v>158.54927285294625</v>
      </c>
      <c r="N374" s="519">
        <f t="shared" si="169"/>
        <v>192.4920754349796</v>
      </c>
      <c r="O374" s="519">
        <f t="shared" si="169"/>
        <v>223.94416186438266</v>
      </c>
      <c r="P374" s="419"/>
      <c r="R374" s="646"/>
      <c r="S374" s="710"/>
      <c r="T374" s="710"/>
      <c r="U374" s="711"/>
      <c r="V374" s="712"/>
      <c r="W374" s="712"/>
      <c r="X374" s="713"/>
      <c r="Y374" s="646"/>
      <c r="Z374" s="646"/>
      <c r="AA374" s="646"/>
      <c r="AB374" s="646"/>
      <c r="AC374" s="646"/>
      <c r="AD374" s="646"/>
      <c r="AE374" s="646"/>
      <c r="AF374" s="35"/>
    </row>
    <row r="375" spans="2:32">
      <c r="B375" s="418"/>
      <c r="C375" s="413" t="s">
        <v>923</v>
      </c>
      <c r="D375" s="414" t="s">
        <v>499</v>
      </c>
      <c r="E375" s="414"/>
      <c r="F375" s="519">
        <f t="shared" ref="F375:O375" si="170">F97*F$235*10^6*F301</f>
        <v>101.92101768890966</v>
      </c>
      <c r="G375" s="519">
        <f t="shared" si="170"/>
        <v>121.63807305110771</v>
      </c>
      <c r="H375" s="519">
        <f t="shared" si="170"/>
        <v>0.80389575482826114</v>
      </c>
      <c r="I375" s="519">
        <f t="shared" si="170"/>
        <v>5.5214961376530624E-3</v>
      </c>
      <c r="J375" s="519">
        <f t="shared" si="170"/>
        <v>3.888302677382508E-5</v>
      </c>
      <c r="K375" s="519">
        <f t="shared" si="170"/>
        <v>2.6343840577964742E-7</v>
      </c>
      <c r="L375" s="519">
        <f t="shared" si="170"/>
        <v>1.8178424324798274E-9</v>
      </c>
      <c r="M375" s="519">
        <f t="shared" si="170"/>
        <v>1.2133481127068331E-11</v>
      </c>
      <c r="N375" s="519">
        <f t="shared" si="170"/>
        <v>8.2814350976154308E-14</v>
      </c>
      <c r="O375" s="519">
        <f t="shared" si="170"/>
        <v>5.7022181019921945</v>
      </c>
      <c r="P375" s="419"/>
      <c r="R375" s="646"/>
      <c r="S375" s="710"/>
      <c r="T375" s="710"/>
      <c r="U375" s="711"/>
      <c r="V375" s="712"/>
      <c r="W375" s="712"/>
      <c r="X375" s="713"/>
      <c r="Y375" s="646"/>
      <c r="Z375" s="646"/>
      <c r="AA375" s="646"/>
      <c r="AB375" s="646"/>
      <c r="AC375" s="646"/>
      <c r="AD375" s="646"/>
      <c r="AE375" s="646"/>
      <c r="AF375" s="35"/>
    </row>
    <row r="376" spans="2:32">
      <c r="B376" s="418"/>
      <c r="C376" s="413" t="s">
        <v>923</v>
      </c>
      <c r="D376" s="414" t="s">
        <v>102</v>
      </c>
      <c r="E376" s="414"/>
      <c r="F376" s="519">
        <f t="shared" ref="F376:O376" si="171">F98*F$235*10^6*F302</f>
        <v>10.176606889228839</v>
      </c>
      <c r="G376" s="519">
        <f t="shared" si="171"/>
        <v>10.352988993018204</v>
      </c>
      <c r="H376" s="519">
        <f t="shared" si="171"/>
        <v>8.4179601137156332</v>
      </c>
      <c r="I376" s="519">
        <f t="shared" si="171"/>
        <v>9.405260833091452</v>
      </c>
      <c r="J376" s="519">
        <f t="shared" si="171"/>
        <v>2.6935254767656738</v>
      </c>
      <c r="K376" s="519">
        <f t="shared" si="171"/>
        <v>0</v>
      </c>
      <c r="L376" s="519">
        <f t="shared" si="171"/>
        <v>0</v>
      </c>
      <c r="M376" s="519">
        <f t="shared" si="171"/>
        <v>0</v>
      </c>
      <c r="N376" s="519">
        <f t="shared" si="171"/>
        <v>0</v>
      </c>
      <c r="O376" s="519">
        <f t="shared" si="171"/>
        <v>0</v>
      </c>
      <c r="P376" s="419"/>
      <c r="R376" s="646"/>
      <c r="S376" s="710"/>
      <c r="T376" s="710"/>
      <c r="U376" s="711"/>
      <c r="V376" s="712"/>
      <c r="W376" s="712"/>
      <c r="X376" s="713"/>
      <c r="Y376" s="646"/>
      <c r="Z376" s="646"/>
      <c r="AA376" s="646"/>
      <c r="AB376" s="646"/>
      <c r="AC376" s="646"/>
      <c r="AD376" s="646"/>
      <c r="AE376" s="646"/>
      <c r="AF376" s="35"/>
    </row>
    <row r="377" spans="2:32">
      <c r="B377" s="418"/>
      <c r="C377" s="413" t="s">
        <v>923</v>
      </c>
      <c r="D377" s="414" t="s">
        <v>920</v>
      </c>
      <c r="E377" s="414"/>
      <c r="F377" s="519">
        <f t="shared" ref="F377:O377" si="172">F99*F$235*10^6*F303</f>
        <v>13.394502305355823</v>
      </c>
      <c r="G377" s="519">
        <f t="shared" si="172"/>
        <v>10.726283449233986</v>
      </c>
      <c r="H377" s="519">
        <f t="shared" si="172"/>
        <v>11.133312417051414</v>
      </c>
      <c r="I377" s="519">
        <f t="shared" si="172"/>
        <v>10.365902764658955</v>
      </c>
      <c r="J377" s="519">
        <f t="shared" si="172"/>
        <v>4.7498222421303709</v>
      </c>
      <c r="K377" s="519">
        <f t="shared" si="172"/>
        <v>0</v>
      </c>
      <c r="L377" s="519">
        <f t="shared" si="172"/>
        <v>0</v>
      </c>
      <c r="M377" s="519">
        <f t="shared" si="172"/>
        <v>0</v>
      </c>
      <c r="N377" s="519">
        <f t="shared" si="172"/>
        <v>0</v>
      </c>
      <c r="O377" s="519">
        <f t="shared" si="172"/>
        <v>0</v>
      </c>
      <c r="P377" s="419"/>
      <c r="R377" s="646"/>
      <c r="S377" s="710"/>
      <c r="T377" s="710"/>
      <c r="U377" s="711"/>
      <c r="V377" s="712"/>
      <c r="W377" s="712"/>
      <c r="X377" s="713"/>
      <c r="Y377" s="646"/>
      <c r="Z377" s="646"/>
      <c r="AA377" s="646"/>
      <c r="AB377" s="646"/>
      <c r="AC377" s="646"/>
      <c r="AD377" s="646"/>
      <c r="AE377" s="646"/>
      <c r="AF377" s="35"/>
    </row>
    <row r="378" spans="2:32">
      <c r="B378" s="418"/>
      <c r="C378" s="413" t="s">
        <v>923</v>
      </c>
      <c r="D378" s="414" t="s">
        <v>921</v>
      </c>
      <c r="E378" s="414"/>
      <c r="F378" s="519">
        <f t="shared" ref="F378:O378" si="173">F100*F$235*10^6*F304</f>
        <v>0</v>
      </c>
      <c r="G378" s="519">
        <f t="shared" si="173"/>
        <v>0</v>
      </c>
      <c r="H378" s="519">
        <f t="shared" si="173"/>
        <v>0</v>
      </c>
      <c r="I378" s="519">
        <f t="shared" si="173"/>
        <v>0</v>
      </c>
      <c r="J378" s="519">
        <f t="shared" si="173"/>
        <v>0</v>
      </c>
      <c r="K378" s="519">
        <f t="shared" si="173"/>
        <v>0</v>
      </c>
      <c r="L378" s="519">
        <f t="shared" si="173"/>
        <v>0</v>
      </c>
      <c r="M378" s="519">
        <f t="shared" si="173"/>
        <v>0</v>
      </c>
      <c r="N378" s="519">
        <f t="shared" si="173"/>
        <v>0</v>
      </c>
      <c r="O378" s="519">
        <f t="shared" si="173"/>
        <v>0</v>
      </c>
      <c r="P378" s="419"/>
      <c r="R378" s="646"/>
      <c r="S378" s="710"/>
      <c r="T378" s="710"/>
      <c r="U378" s="711"/>
      <c r="V378" s="712"/>
      <c r="W378" s="712"/>
      <c r="X378" s="713"/>
      <c r="Y378" s="646"/>
      <c r="Z378" s="646"/>
      <c r="AA378" s="646"/>
      <c r="AB378" s="646"/>
      <c r="AC378" s="646"/>
      <c r="AD378" s="646"/>
      <c r="AE378" s="646"/>
      <c r="AF378" s="35"/>
    </row>
    <row r="379" spans="2:32">
      <c r="B379" s="418"/>
      <c r="C379" s="106" t="s">
        <v>923</v>
      </c>
      <c r="D379" s="417" t="s">
        <v>103</v>
      </c>
      <c r="E379" s="417"/>
      <c r="F379" s="569">
        <f>SUM(F372:F378)</f>
        <v>183.61689201176137</v>
      </c>
      <c r="G379" s="569">
        <f t="shared" ref="G379:O379" si="174">SUM(G372:G378)</f>
        <v>230.3552529314386</v>
      </c>
      <c r="H379" s="569">
        <f t="shared" si="174"/>
        <v>125.73495737786159</v>
      </c>
      <c r="I379" s="569">
        <f t="shared" si="174"/>
        <v>151.29913455217005</v>
      </c>
      <c r="J379" s="569">
        <f t="shared" si="174"/>
        <v>171.27304190397658</v>
      </c>
      <c r="K379" s="569">
        <f t="shared" si="174"/>
        <v>189.4248883700736</v>
      </c>
      <c r="L379" s="569">
        <f t="shared" si="174"/>
        <v>229.32092439425253</v>
      </c>
      <c r="M379" s="569">
        <f t="shared" si="174"/>
        <v>245.22961800728251</v>
      </c>
      <c r="N379" s="569">
        <f t="shared" si="174"/>
        <v>273.14222884394007</v>
      </c>
      <c r="O379" s="569">
        <f t="shared" si="174"/>
        <v>331.57033917718985</v>
      </c>
      <c r="P379" s="419"/>
      <c r="R379" s="646"/>
      <c r="S379" s="710"/>
      <c r="T379" s="710"/>
      <c r="U379" s="711"/>
      <c r="V379" s="712"/>
      <c r="W379" s="712"/>
      <c r="X379" s="713"/>
      <c r="Y379" s="646"/>
      <c r="Z379" s="646"/>
      <c r="AA379" s="646"/>
      <c r="AB379" s="646"/>
      <c r="AC379" s="646"/>
      <c r="AD379" s="646"/>
      <c r="AE379" s="646"/>
      <c r="AF379" s="35"/>
    </row>
    <row r="380" spans="2:32">
      <c r="B380" s="418"/>
      <c r="C380" s="413"/>
      <c r="D380" s="414"/>
      <c r="E380" s="414"/>
      <c r="F380" s="519"/>
      <c r="G380" s="519"/>
      <c r="H380" s="519"/>
      <c r="I380" s="519"/>
      <c r="J380" s="519"/>
      <c r="K380" s="519"/>
      <c r="L380" s="519"/>
      <c r="M380" s="519"/>
      <c r="N380" s="519"/>
      <c r="O380" s="519"/>
      <c r="P380" s="419"/>
      <c r="R380" s="646"/>
      <c r="S380" s="710"/>
      <c r="T380" s="710"/>
      <c r="U380" s="711"/>
      <c r="V380" s="712"/>
      <c r="W380" s="712"/>
      <c r="X380" s="713"/>
      <c r="Y380" s="646"/>
      <c r="Z380" s="646"/>
      <c r="AA380" s="646"/>
      <c r="AB380" s="646"/>
      <c r="AC380" s="646"/>
      <c r="AD380" s="646"/>
      <c r="AE380" s="646"/>
      <c r="AF380" s="35"/>
    </row>
    <row r="381" spans="2:32">
      <c r="B381" s="418"/>
      <c r="C381" s="413" t="s">
        <v>922</v>
      </c>
      <c r="D381" s="414" t="s">
        <v>918</v>
      </c>
      <c r="E381" s="414"/>
      <c r="F381" s="519">
        <f t="shared" ref="F381:O381" si="175">F103*F$236*10^6*F298</f>
        <v>20.520847987443819</v>
      </c>
      <c r="G381" s="519">
        <f t="shared" si="175"/>
        <v>31.55294406678777</v>
      </c>
      <c r="H381" s="519">
        <f t="shared" si="175"/>
        <v>60.440922591799882</v>
      </c>
      <c r="I381" s="519">
        <f t="shared" si="175"/>
        <v>78.705590873859549</v>
      </c>
      <c r="J381" s="519">
        <f t="shared" si="175"/>
        <v>93.997141072084929</v>
      </c>
      <c r="K381" s="519">
        <f t="shared" si="175"/>
        <v>112.73859096764055</v>
      </c>
      <c r="L381" s="519">
        <f t="shared" si="175"/>
        <v>110.7770491206455</v>
      </c>
      <c r="M381" s="519">
        <f t="shared" si="175"/>
        <v>1.0505821178444208</v>
      </c>
      <c r="N381" s="519">
        <f t="shared" si="175"/>
        <v>99.147639179215233</v>
      </c>
      <c r="O381" s="519">
        <f t="shared" si="175"/>
        <v>90.977940601135359</v>
      </c>
      <c r="P381" s="419"/>
      <c r="R381" s="646"/>
      <c r="S381" s="710"/>
      <c r="T381" s="710"/>
      <c r="U381" s="711"/>
      <c r="V381" s="712"/>
      <c r="W381" s="712"/>
      <c r="X381" s="713"/>
      <c r="Y381" s="646"/>
      <c r="Z381" s="646"/>
      <c r="AA381" s="646"/>
      <c r="AB381" s="646"/>
      <c r="AC381" s="646"/>
      <c r="AD381" s="646"/>
      <c r="AE381" s="646"/>
      <c r="AF381" s="35"/>
    </row>
    <row r="382" spans="2:32">
      <c r="B382" s="418"/>
      <c r="C382" s="413" t="s">
        <v>922</v>
      </c>
      <c r="D382" s="414" t="s">
        <v>5</v>
      </c>
      <c r="E382" s="414"/>
      <c r="F382" s="519">
        <f t="shared" ref="F382:O382" si="176">F104*F$236*10^6*F299</f>
        <v>0.20650611961343057</v>
      </c>
      <c r="G382" s="519">
        <f t="shared" si="176"/>
        <v>0.31217555248582785</v>
      </c>
      <c r="H382" s="519">
        <f t="shared" si="176"/>
        <v>2.3548779207682049</v>
      </c>
      <c r="I382" s="519">
        <f t="shared" si="176"/>
        <v>4.9235455288754251</v>
      </c>
      <c r="J382" s="519">
        <f t="shared" si="176"/>
        <v>12.64431531470942</v>
      </c>
      <c r="K382" s="519">
        <f t="shared" si="176"/>
        <v>15.589557496348517</v>
      </c>
      <c r="L382" s="519">
        <f t="shared" si="176"/>
        <v>28.886262728054536</v>
      </c>
      <c r="M382" s="519">
        <f t="shared" si="176"/>
        <v>34.565734108338596</v>
      </c>
      <c r="N382" s="519">
        <f t="shared" si="176"/>
        <v>44.706207268791154</v>
      </c>
      <c r="O382" s="519">
        <f t="shared" si="176"/>
        <v>59.932571539097246</v>
      </c>
      <c r="P382" s="419"/>
      <c r="R382" s="646"/>
      <c r="S382" s="710"/>
      <c r="T382" s="710"/>
      <c r="U382" s="711"/>
      <c r="V382" s="712"/>
      <c r="W382" s="712"/>
      <c r="X382" s="713"/>
      <c r="Y382" s="646"/>
      <c r="Z382" s="646"/>
      <c r="AA382" s="646"/>
      <c r="AB382" s="646"/>
      <c r="AC382" s="646"/>
      <c r="AD382" s="646"/>
      <c r="AE382" s="646"/>
      <c r="AF382" s="35"/>
    </row>
    <row r="383" spans="2:32">
      <c r="B383" s="418"/>
      <c r="C383" s="413" t="s">
        <v>922</v>
      </c>
      <c r="D383" s="414" t="s">
        <v>919</v>
      </c>
      <c r="E383" s="414"/>
      <c r="F383" s="519">
        <f t="shared" ref="F383:O383" si="177">F105*F$236*10^6*F300</f>
        <v>0</v>
      </c>
      <c r="G383" s="519">
        <f t="shared" si="177"/>
        <v>0</v>
      </c>
      <c r="H383" s="519">
        <f t="shared" si="177"/>
        <v>0</v>
      </c>
      <c r="I383" s="519">
        <f t="shared" si="177"/>
        <v>0</v>
      </c>
      <c r="J383" s="519">
        <f t="shared" si="177"/>
        <v>3.0524107135552661</v>
      </c>
      <c r="K383" s="519">
        <f t="shared" si="177"/>
        <v>6.2505050499560886</v>
      </c>
      <c r="L383" s="519">
        <f t="shared" si="177"/>
        <v>9.4429442236230727</v>
      </c>
      <c r="M383" s="519">
        <f t="shared" si="177"/>
        <v>25.40766990331921</v>
      </c>
      <c r="N383" s="519">
        <f t="shared" si="177"/>
        <v>31.302299732768429</v>
      </c>
      <c r="O383" s="519">
        <f t="shared" si="177"/>
        <v>48.470081658170379</v>
      </c>
      <c r="P383" s="419"/>
      <c r="R383" s="646"/>
      <c r="S383" s="710"/>
      <c r="T383" s="710"/>
      <c r="U383" s="711"/>
      <c r="V383" s="712"/>
      <c r="W383" s="712"/>
      <c r="X383" s="713"/>
      <c r="Y383" s="646"/>
      <c r="Z383" s="646"/>
      <c r="AA383" s="646"/>
      <c r="AB383" s="646"/>
      <c r="AC383" s="646"/>
      <c r="AD383" s="646"/>
      <c r="AE383" s="646"/>
      <c r="AF383" s="35"/>
    </row>
    <row r="384" spans="2:32">
      <c r="B384" s="418"/>
      <c r="C384" s="413" t="s">
        <v>922</v>
      </c>
      <c r="D384" s="414" t="s">
        <v>499</v>
      </c>
      <c r="E384" s="414"/>
      <c r="F384" s="519">
        <f t="shared" ref="F384:O384" si="178">F106*F$236*10^6*F301</f>
        <v>831.36228083431956</v>
      </c>
      <c r="G384" s="519">
        <f t="shared" si="178"/>
        <v>882.45539592636487</v>
      </c>
      <c r="H384" s="519">
        <f t="shared" si="178"/>
        <v>714.99965153052119</v>
      </c>
      <c r="I384" s="519">
        <f t="shared" si="178"/>
        <v>607.0538285517822</v>
      </c>
      <c r="J384" s="519">
        <f t="shared" si="178"/>
        <v>492.27677073804853</v>
      </c>
      <c r="K384" s="519">
        <f t="shared" si="178"/>
        <v>391.67811901189953</v>
      </c>
      <c r="L384" s="519">
        <f t="shared" si="178"/>
        <v>320.04326041149693</v>
      </c>
      <c r="M384" s="519">
        <f t="shared" si="178"/>
        <v>258.75017756842198</v>
      </c>
      <c r="N384" s="519">
        <f t="shared" si="178"/>
        <v>206.89994315504126</v>
      </c>
      <c r="O384" s="519">
        <f t="shared" si="178"/>
        <v>160.44315116583633</v>
      </c>
      <c r="P384" s="419"/>
      <c r="R384" s="646"/>
      <c r="S384" s="710"/>
      <c r="T384" s="710"/>
      <c r="U384" s="711"/>
      <c r="V384" s="712"/>
      <c r="W384" s="712"/>
      <c r="X384" s="713"/>
      <c r="Y384" s="646"/>
      <c r="Z384" s="646"/>
      <c r="AA384" s="646"/>
      <c r="AB384" s="646"/>
      <c r="AC384" s="646"/>
      <c r="AD384" s="646"/>
      <c r="AE384" s="646"/>
      <c r="AF384" s="35"/>
    </row>
    <row r="385" spans="2:32">
      <c r="B385" s="418"/>
      <c r="C385" s="413" t="s">
        <v>922</v>
      </c>
      <c r="D385" s="414" t="s">
        <v>102</v>
      </c>
      <c r="E385" s="414"/>
      <c r="F385" s="519">
        <f t="shared" ref="F385:O385" si="179">F107*F$236*10^6*F302</f>
        <v>6.1092954581164003</v>
      </c>
      <c r="G385" s="519">
        <f t="shared" si="179"/>
        <v>5.6646015444790514</v>
      </c>
      <c r="H385" s="519">
        <f t="shared" si="179"/>
        <v>6.2677518591220744</v>
      </c>
      <c r="I385" s="519">
        <f t="shared" si="179"/>
        <v>6.485856898168449</v>
      </c>
      <c r="J385" s="519">
        <f t="shared" si="179"/>
        <v>0</v>
      </c>
      <c r="K385" s="519">
        <f t="shared" si="179"/>
        <v>0</v>
      </c>
      <c r="L385" s="519">
        <f t="shared" si="179"/>
        <v>0</v>
      </c>
      <c r="M385" s="519">
        <f t="shared" si="179"/>
        <v>0</v>
      </c>
      <c r="N385" s="519">
        <f t="shared" si="179"/>
        <v>0</v>
      </c>
      <c r="O385" s="519">
        <f t="shared" si="179"/>
        <v>0</v>
      </c>
      <c r="P385" s="419"/>
      <c r="R385" s="646"/>
      <c r="S385" s="710"/>
      <c r="T385" s="710"/>
      <c r="U385" s="711"/>
      <c r="V385" s="712"/>
      <c r="W385" s="712"/>
      <c r="X385" s="713"/>
      <c r="Y385" s="646"/>
      <c r="Z385" s="646"/>
      <c r="AA385" s="646"/>
      <c r="AB385" s="646"/>
      <c r="AC385" s="646"/>
      <c r="AD385" s="646"/>
      <c r="AE385" s="646"/>
      <c r="AF385" s="35"/>
    </row>
    <row r="386" spans="2:32">
      <c r="B386" s="418"/>
      <c r="C386" s="413" t="s">
        <v>922</v>
      </c>
      <c r="D386" s="414" t="s">
        <v>920</v>
      </c>
      <c r="E386" s="414"/>
      <c r="F386" s="519">
        <f t="shared" ref="F386:O386" si="180">F108*F$236*10^6*F303</f>
        <v>2.7448033380745551</v>
      </c>
      <c r="G386" s="519">
        <f t="shared" si="180"/>
        <v>1.9739213680723573</v>
      </c>
      <c r="H386" s="519">
        <f t="shared" si="180"/>
        <v>1.7269831075836912</v>
      </c>
      <c r="I386" s="519">
        <f t="shared" si="180"/>
        <v>0</v>
      </c>
      <c r="J386" s="519">
        <f t="shared" si="180"/>
        <v>0</v>
      </c>
      <c r="K386" s="519">
        <f t="shared" si="180"/>
        <v>0</v>
      </c>
      <c r="L386" s="519">
        <f t="shared" si="180"/>
        <v>0</v>
      </c>
      <c r="M386" s="519">
        <f t="shared" si="180"/>
        <v>0</v>
      </c>
      <c r="N386" s="519">
        <f t="shared" si="180"/>
        <v>0</v>
      </c>
      <c r="O386" s="519">
        <f t="shared" si="180"/>
        <v>0</v>
      </c>
      <c r="P386" s="419"/>
      <c r="R386" s="646"/>
      <c r="S386" s="710"/>
      <c r="T386" s="710"/>
      <c r="U386" s="711"/>
      <c r="V386" s="712"/>
      <c r="W386" s="712"/>
      <c r="X386" s="713"/>
      <c r="Y386" s="646"/>
      <c r="Z386" s="646"/>
      <c r="AA386" s="646"/>
      <c r="AB386" s="646"/>
      <c r="AC386" s="646"/>
      <c r="AD386" s="646"/>
      <c r="AE386" s="646"/>
      <c r="AF386" s="35"/>
    </row>
    <row r="387" spans="2:32">
      <c r="B387" s="418"/>
      <c r="C387" s="413" t="s">
        <v>922</v>
      </c>
      <c r="D387" s="105" t="s">
        <v>921</v>
      </c>
      <c r="E387" s="414"/>
      <c r="F387" s="519">
        <f t="shared" ref="F387:O387" si="181">F109*F$236*10^6*F304</f>
        <v>1.3004856467284154</v>
      </c>
      <c r="G387" s="519">
        <f t="shared" si="181"/>
        <v>1.4139535733994226</v>
      </c>
      <c r="H387" s="519">
        <f t="shared" si="181"/>
        <v>3.6699237989027469</v>
      </c>
      <c r="I387" s="519">
        <f t="shared" si="181"/>
        <v>3.7976296959209837</v>
      </c>
      <c r="J387" s="519">
        <f t="shared" si="181"/>
        <v>3.8615882853639016</v>
      </c>
      <c r="K387" s="519">
        <f t="shared" si="181"/>
        <v>3.9273462862860113</v>
      </c>
      <c r="L387" s="519">
        <f t="shared" si="181"/>
        <v>3.9290841768936691</v>
      </c>
      <c r="M387" s="519">
        <f t="shared" si="181"/>
        <v>3.9379581565058661</v>
      </c>
      <c r="N387" s="519">
        <f t="shared" si="181"/>
        <v>3.8553478951059277</v>
      </c>
      <c r="O387" s="519">
        <f t="shared" si="181"/>
        <v>3.9533102861190188</v>
      </c>
      <c r="P387" s="419"/>
      <c r="R387" s="646"/>
      <c r="S387" s="710"/>
      <c r="T387" s="710"/>
      <c r="U387" s="711"/>
      <c r="V387" s="712"/>
      <c r="W387" s="712"/>
      <c r="X387" s="713"/>
      <c r="Y387" s="646"/>
      <c r="Z387" s="646"/>
      <c r="AA387" s="646"/>
      <c r="AB387" s="646"/>
      <c r="AC387" s="646"/>
      <c r="AD387" s="646"/>
      <c r="AE387" s="646"/>
      <c r="AF387" s="35"/>
    </row>
    <row r="388" spans="2:32">
      <c r="B388" s="418"/>
      <c r="C388" s="832" t="s">
        <v>922</v>
      </c>
      <c r="D388" s="816" t="s">
        <v>103</v>
      </c>
      <c r="E388" s="817"/>
      <c r="F388" s="831">
        <f>SUM(F381:F387)</f>
        <v>862.24421938429623</v>
      </c>
      <c r="G388" s="831">
        <f t="shared" ref="G388:O388" si="182">SUM(G381:G387)</f>
        <v>923.37299203158943</v>
      </c>
      <c r="H388" s="831">
        <f t="shared" si="182"/>
        <v>789.46011080869789</v>
      </c>
      <c r="I388" s="831">
        <f t="shared" si="182"/>
        <v>700.96645154860653</v>
      </c>
      <c r="J388" s="831">
        <f t="shared" si="182"/>
        <v>605.8322261237621</v>
      </c>
      <c r="K388" s="831">
        <f t="shared" si="182"/>
        <v>530.18411881213069</v>
      </c>
      <c r="L388" s="831">
        <f t="shared" si="182"/>
        <v>473.07860066071373</v>
      </c>
      <c r="M388" s="831">
        <f t="shared" si="182"/>
        <v>323.71212185443011</v>
      </c>
      <c r="N388" s="831">
        <f t="shared" si="182"/>
        <v>385.91143723092199</v>
      </c>
      <c r="O388" s="831">
        <f t="shared" si="182"/>
        <v>363.77705525035833</v>
      </c>
      <c r="P388" s="419"/>
      <c r="R388" s="646"/>
      <c r="S388" s="710"/>
      <c r="T388" s="710"/>
      <c r="U388" s="711"/>
      <c r="V388" s="712"/>
      <c r="W388" s="712"/>
      <c r="X388" s="713"/>
      <c r="Y388" s="646"/>
      <c r="Z388" s="646"/>
      <c r="AA388" s="646"/>
      <c r="AB388" s="646"/>
      <c r="AC388" s="646"/>
      <c r="AD388" s="646"/>
      <c r="AE388" s="646"/>
      <c r="AF388" s="35"/>
    </row>
    <row r="389" spans="2:32">
      <c r="B389" s="418"/>
      <c r="C389" s="415"/>
      <c r="D389" s="415"/>
      <c r="E389" s="415"/>
      <c r="F389" s="415"/>
      <c r="G389" s="415"/>
      <c r="H389" s="415"/>
      <c r="I389" s="415"/>
      <c r="J389" s="415"/>
      <c r="K389" s="415"/>
      <c r="L389" s="415"/>
      <c r="M389" s="415"/>
      <c r="N389" s="415"/>
      <c r="O389" s="415"/>
      <c r="P389" s="419"/>
      <c r="R389" s="646"/>
      <c r="S389" s="710"/>
      <c r="T389" s="710"/>
      <c r="U389" s="711"/>
      <c r="V389" s="712"/>
      <c r="W389" s="712"/>
      <c r="X389" s="713"/>
      <c r="Y389" s="646"/>
      <c r="Z389" s="646"/>
      <c r="AA389" s="646"/>
      <c r="AB389" s="646"/>
      <c r="AC389" s="646"/>
      <c r="AD389" s="646"/>
      <c r="AE389" s="646"/>
      <c r="AF389" s="35"/>
    </row>
    <row r="390" spans="2:32">
      <c r="B390" s="418"/>
      <c r="C390" s="415"/>
      <c r="D390" s="415"/>
      <c r="E390" s="415"/>
      <c r="F390" s="415"/>
      <c r="G390" s="415"/>
      <c r="H390" s="415"/>
      <c r="I390" s="415"/>
      <c r="J390" s="415"/>
      <c r="K390" s="415"/>
      <c r="L390" s="415"/>
      <c r="M390" s="415"/>
      <c r="N390" s="415"/>
      <c r="O390" s="415"/>
      <c r="P390" s="419"/>
      <c r="R390" s="646"/>
      <c r="S390" s="710"/>
      <c r="T390" s="710"/>
      <c r="U390" s="711"/>
      <c r="V390" s="712"/>
      <c r="W390" s="712"/>
      <c r="X390" s="713"/>
      <c r="Y390" s="646"/>
      <c r="Z390" s="646"/>
      <c r="AA390" s="646"/>
      <c r="AB390" s="646"/>
      <c r="AC390" s="646"/>
      <c r="AD390" s="646"/>
      <c r="AE390" s="646"/>
      <c r="AF390" s="35"/>
    </row>
    <row r="391" spans="2:32" ht="14.25">
      <c r="B391" s="418"/>
      <c r="C391" s="819" t="s">
        <v>463</v>
      </c>
      <c r="D391" s="761"/>
      <c r="E391" s="760"/>
      <c r="F391" s="760"/>
      <c r="G391" s="760"/>
      <c r="H391" s="760"/>
      <c r="I391" s="760"/>
      <c r="J391" s="760"/>
      <c r="K391" s="760"/>
      <c r="L391" s="760"/>
      <c r="M391" s="760"/>
      <c r="N391" s="760"/>
      <c r="O391" s="830" t="str">
        <f>preferences.energyunits</f>
        <v>TWh</v>
      </c>
      <c r="P391" s="419"/>
      <c r="R391" s="646"/>
      <c r="S391" s="710"/>
      <c r="T391" s="710"/>
      <c r="U391" s="711"/>
      <c r="V391" s="712"/>
      <c r="W391" s="712"/>
      <c r="X391" s="713"/>
      <c r="Y391" s="646"/>
      <c r="Z391" s="646"/>
      <c r="AA391" s="646"/>
      <c r="AB391" s="646"/>
      <c r="AC391" s="646"/>
      <c r="AD391" s="646"/>
      <c r="AE391" s="646"/>
      <c r="AF391" s="35"/>
    </row>
    <row r="392" spans="2:32">
      <c r="B392" s="418"/>
      <c r="C392" s="104"/>
      <c r="D392" s="105"/>
      <c r="E392" s="415"/>
      <c r="F392" s="415"/>
      <c r="G392" s="415"/>
      <c r="H392" s="415"/>
      <c r="I392" s="415"/>
      <c r="J392" s="415"/>
      <c r="K392" s="415"/>
      <c r="L392" s="415"/>
      <c r="M392" s="415"/>
      <c r="N392" s="415"/>
      <c r="O392" s="415"/>
      <c r="P392" s="419"/>
      <c r="R392" s="646"/>
      <c r="S392" s="710"/>
      <c r="T392" s="710"/>
      <c r="U392" s="711"/>
      <c r="V392" s="712"/>
      <c r="W392" s="712"/>
      <c r="X392" s="713"/>
      <c r="Y392" s="646"/>
      <c r="Z392" s="646"/>
      <c r="AA392" s="646"/>
      <c r="AB392" s="646"/>
      <c r="AC392" s="646"/>
      <c r="AD392" s="646"/>
      <c r="AE392" s="646"/>
      <c r="AF392" s="35"/>
    </row>
    <row r="393" spans="2:32">
      <c r="B393" s="418"/>
      <c r="C393" s="61" t="s">
        <v>870</v>
      </c>
      <c r="D393" s="61" t="s">
        <v>65</v>
      </c>
      <c r="E393" s="61" t="s">
        <v>64</v>
      </c>
      <c r="F393" s="119">
        <v>2007</v>
      </c>
      <c r="G393" s="120">
        <f t="shared" ref="G393:O393" si="183">F393+5</f>
        <v>2012</v>
      </c>
      <c r="H393" s="120">
        <f t="shared" si="183"/>
        <v>2017</v>
      </c>
      <c r="I393" s="120">
        <f t="shared" si="183"/>
        <v>2022</v>
      </c>
      <c r="J393" s="120">
        <f t="shared" si="183"/>
        <v>2027</v>
      </c>
      <c r="K393" s="120">
        <f t="shared" si="183"/>
        <v>2032</v>
      </c>
      <c r="L393" s="120">
        <f t="shared" si="183"/>
        <v>2037</v>
      </c>
      <c r="M393" s="120">
        <f t="shared" si="183"/>
        <v>2042</v>
      </c>
      <c r="N393" s="120">
        <f t="shared" si="183"/>
        <v>2047</v>
      </c>
      <c r="O393" s="120">
        <f t="shared" si="183"/>
        <v>2052</v>
      </c>
      <c r="P393" s="419"/>
      <c r="R393" s="646"/>
      <c r="S393" s="710"/>
      <c r="T393" s="710"/>
      <c r="U393" s="711"/>
      <c r="V393" s="712"/>
      <c r="W393" s="712"/>
      <c r="X393" s="713"/>
      <c r="Y393" s="646"/>
      <c r="Z393" s="646"/>
      <c r="AA393" s="646"/>
      <c r="AB393" s="646"/>
      <c r="AC393" s="646"/>
      <c r="AD393" s="646"/>
      <c r="AE393" s="646"/>
      <c r="AF393" s="35"/>
    </row>
    <row r="394" spans="2:32">
      <c r="B394" s="418"/>
      <c r="C394" s="413" t="s">
        <v>923</v>
      </c>
      <c r="D394" s="414" t="s">
        <v>918</v>
      </c>
      <c r="E394" s="96"/>
      <c r="F394" s="519">
        <f t="shared" ref="F394:O394" si="184">F116*F$235*10^6*F310</f>
        <v>57.902576551305131</v>
      </c>
      <c r="G394" s="519">
        <f t="shared" si="184"/>
        <v>86.332957684790003</v>
      </c>
      <c r="H394" s="519">
        <f t="shared" si="184"/>
        <v>80.900687743425209</v>
      </c>
      <c r="I394" s="519">
        <f t="shared" si="184"/>
        <v>72.55062504755216</v>
      </c>
      <c r="J394" s="519">
        <f t="shared" si="184"/>
        <v>72.961612466325903</v>
      </c>
      <c r="K394" s="519">
        <f t="shared" si="184"/>
        <v>63.389892957555261</v>
      </c>
      <c r="L394" s="519">
        <f t="shared" si="184"/>
        <v>58.410229159004523</v>
      </c>
      <c r="M394" s="519">
        <f t="shared" si="184"/>
        <v>51.846438595792165</v>
      </c>
      <c r="N394" s="519">
        <f t="shared" si="184"/>
        <v>47.253160106575727</v>
      </c>
      <c r="O394" s="519">
        <f t="shared" si="184"/>
        <v>44.251679052117339</v>
      </c>
      <c r="P394" s="419"/>
      <c r="R394" s="646"/>
      <c r="S394" s="710"/>
      <c r="T394" s="710"/>
      <c r="U394" s="711"/>
      <c r="V394" s="712"/>
      <c r="W394" s="712"/>
      <c r="X394" s="713"/>
      <c r="Y394" s="646"/>
      <c r="Z394" s="646"/>
      <c r="AA394" s="646"/>
      <c r="AB394" s="646"/>
      <c r="AC394" s="646"/>
      <c r="AD394" s="646"/>
      <c r="AE394" s="646"/>
      <c r="AF394" s="35"/>
    </row>
    <row r="395" spans="2:32">
      <c r="B395" s="418"/>
      <c r="C395" s="413" t="s">
        <v>923</v>
      </c>
      <c r="D395" s="414" t="s">
        <v>5</v>
      </c>
      <c r="E395" s="414"/>
      <c r="F395" s="519">
        <f t="shared" ref="F395:O395" si="185">F117*F$235*10^6*F311</f>
        <v>0.10009722143013353</v>
      </c>
      <c r="G395" s="519">
        <f t="shared" si="185"/>
        <v>9.3505695250267307E-2</v>
      </c>
      <c r="H395" s="519">
        <f t="shared" si="185"/>
        <v>1.2621434623801211</v>
      </c>
      <c r="I395" s="519">
        <f t="shared" si="185"/>
        <v>4.2638627628174364</v>
      </c>
      <c r="J395" s="519">
        <f t="shared" si="185"/>
        <v>7.2482931630905328E-2</v>
      </c>
      <c r="K395" s="519">
        <f t="shared" si="185"/>
        <v>1.1854521163495223E-3</v>
      </c>
      <c r="L395" s="519">
        <f t="shared" si="185"/>
        <v>14.435375266325824</v>
      </c>
      <c r="M395" s="519">
        <f t="shared" si="185"/>
        <v>20.310374619749727</v>
      </c>
      <c r="N395" s="519">
        <f t="shared" si="185"/>
        <v>30.303518581413627</v>
      </c>
      <c r="O395" s="519">
        <f t="shared" si="185"/>
        <v>42.761949523897741</v>
      </c>
      <c r="P395" s="419"/>
      <c r="R395" s="646"/>
      <c r="S395" s="710"/>
      <c r="T395" s="710"/>
      <c r="U395" s="711"/>
      <c r="V395" s="712"/>
      <c r="W395" s="712"/>
      <c r="X395" s="713"/>
      <c r="Y395" s="646"/>
      <c r="Z395" s="646"/>
      <c r="AA395" s="646"/>
      <c r="AB395" s="646"/>
      <c r="AC395" s="646"/>
      <c r="AD395" s="646"/>
      <c r="AE395" s="646"/>
      <c r="AF395" s="35"/>
    </row>
    <row r="396" spans="2:32">
      <c r="B396" s="418"/>
      <c r="C396" s="413" t="s">
        <v>923</v>
      </c>
      <c r="D396" s="414" t="s">
        <v>919</v>
      </c>
      <c r="E396" s="414"/>
      <c r="F396" s="519">
        <f t="shared" ref="F396:O396" si="186">F118*F$235*10^6*F312</f>
        <v>0.12209135553179107</v>
      </c>
      <c r="G396" s="519">
        <f t="shared" si="186"/>
        <v>1.2114440580384245</v>
      </c>
      <c r="H396" s="519">
        <f t="shared" si="186"/>
        <v>32.182266492604192</v>
      </c>
      <c r="I396" s="519">
        <f t="shared" si="186"/>
        <v>54.972598758904311</v>
      </c>
      <c r="J396" s="519">
        <f t="shared" si="186"/>
        <v>86.874872126751725</v>
      </c>
      <c r="K396" s="519">
        <f t="shared" si="186"/>
        <v>117.89522270993871</v>
      </c>
      <c r="L396" s="519">
        <f t="shared" si="186"/>
        <v>149.98621646073653</v>
      </c>
      <c r="M396" s="519">
        <f t="shared" si="186"/>
        <v>176.7813935250675</v>
      </c>
      <c r="N396" s="519">
        <f t="shared" si="186"/>
        <v>202.89139779636682</v>
      </c>
      <c r="O396" s="519">
        <f t="shared" si="186"/>
        <v>234.71070810786262</v>
      </c>
      <c r="P396" s="419"/>
      <c r="R396" s="646"/>
      <c r="S396" s="710"/>
      <c r="T396" s="710"/>
      <c r="U396" s="711"/>
      <c r="V396" s="712"/>
      <c r="W396" s="712"/>
      <c r="X396" s="713"/>
      <c r="Y396" s="646"/>
      <c r="Z396" s="646"/>
      <c r="AA396" s="646"/>
      <c r="AB396" s="646"/>
      <c r="AC396" s="646"/>
      <c r="AD396" s="646"/>
      <c r="AE396" s="646"/>
      <c r="AF396" s="35"/>
    </row>
    <row r="397" spans="2:32">
      <c r="B397" s="418"/>
      <c r="C397" s="413" t="s">
        <v>923</v>
      </c>
      <c r="D397" s="414" t="s">
        <v>499</v>
      </c>
      <c r="E397" s="414"/>
      <c r="F397" s="519">
        <f t="shared" ref="F397:O397" si="187">F119*F$235*10^6*F313</f>
        <v>101.92101768890966</v>
      </c>
      <c r="G397" s="519">
        <f t="shared" si="187"/>
        <v>121.63807305110771</v>
      </c>
      <c r="H397" s="519">
        <f t="shared" si="187"/>
        <v>61.719389402981065</v>
      </c>
      <c r="I397" s="519">
        <f t="shared" si="187"/>
        <v>50.974318549462922</v>
      </c>
      <c r="J397" s="519">
        <f t="shared" si="187"/>
        <v>36.25824478640363</v>
      </c>
      <c r="K397" s="519">
        <f t="shared" si="187"/>
        <v>30.383166146040907</v>
      </c>
      <c r="L397" s="519">
        <f t="shared" si="187"/>
        <v>25.210586304632422</v>
      </c>
      <c r="M397" s="519">
        <f t="shared" si="187"/>
        <v>0.14337673679070764</v>
      </c>
      <c r="N397" s="519">
        <f t="shared" si="187"/>
        <v>0</v>
      </c>
      <c r="O397" s="519">
        <f t="shared" si="187"/>
        <v>0</v>
      </c>
      <c r="P397" s="419"/>
      <c r="R397" s="646"/>
      <c r="S397" s="710"/>
      <c r="T397" s="710"/>
      <c r="U397" s="711"/>
      <c r="V397" s="712"/>
      <c r="W397" s="712"/>
      <c r="X397" s="713"/>
      <c r="Y397" s="646"/>
      <c r="Z397" s="646"/>
      <c r="AA397" s="646"/>
      <c r="AB397" s="646"/>
      <c r="AC397" s="646"/>
      <c r="AD397" s="646"/>
      <c r="AE397" s="646"/>
      <c r="AF397" s="35"/>
    </row>
    <row r="398" spans="2:32">
      <c r="B398" s="418"/>
      <c r="C398" s="413" t="s">
        <v>923</v>
      </c>
      <c r="D398" s="414" t="s">
        <v>102</v>
      </c>
      <c r="E398" s="414"/>
      <c r="F398" s="519">
        <f t="shared" ref="F398:O398" si="188">F120*F$235*10^6*F314</f>
        <v>10.176606889228839</v>
      </c>
      <c r="G398" s="519">
        <f t="shared" si="188"/>
        <v>10.352988993018204</v>
      </c>
      <c r="H398" s="519">
        <f t="shared" si="188"/>
        <v>8.3732958827546788</v>
      </c>
      <c r="I398" s="519">
        <f t="shared" si="188"/>
        <v>9.3057202545906001</v>
      </c>
      <c r="J398" s="519">
        <f t="shared" si="188"/>
        <v>2.650878425249342</v>
      </c>
      <c r="K398" s="519">
        <f t="shared" si="188"/>
        <v>0</v>
      </c>
      <c r="L398" s="519">
        <f t="shared" si="188"/>
        <v>0</v>
      </c>
      <c r="M398" s="519">
        <f t="shared" si="188"/>
        <v>0</v>
      </c>
      <c r="N398" s="519">
        <f t="shared" si="188"/>
        <v>0</v>
      </c>
      <c r="O398" s="519">
        <f t="shared" si="188"/>
        <v>0</v>
      </c>
      <c r="P398" s="419"/>
      <c r="R398" s="646"/>
      <c r="S398" s="710"/>
      <c r="T398" s="710"/>
      <c r="U398" s="711"/>
      <c r="V398" s="712"/>
      <c r="W398" s="712"/>
      <c r="X398" s="713"/>
      <c r="Y398" s="646"/>
      <c r="Z398" s="646"/>
      <c r="AA398" s="646"/>
      <c r="AB398" s="646"/>
      <c r="AC398" s="646"/>
      <c r="AD398" s="646"/>
      <c r="AE398" s="646"/>
      <c r="AF398" s="35"/>
    </row>
    <row r="399" spans="2:32">
      <c r="B399" s="418"/>
      <c r="C399" s="413" t="s">
        <v>923</v>
      </c>
      <c r="D399" s="414" t="s">
        <v>920</v>
      </c>
      <c r="E399" s="414"/>
      <c r="F399" s="519">
        <f t="shared" ref="F399:O399" si="189">F121*F$235*10^6*F315</f>
        <v>13.394502305355823</v>
      </c>
      <c r="G399" s="519">
        <f t="shared" si="189"/>
        <v>10.726283449233986</v>
      </c>
      <c r="H399" s="519">
        <f t="shared" si="189"/>
        <v>7.3828273329725045</v>
      </c>
      <c r="I399" s="519">
        <f t="shared" si="189"/>
        <v>10.256195232226961</v>
      </c>
      <c r="J399" s="519">
        <f t="shared" si="189"/>
        <v>15.192506844893227</v>
      </c>
      <c r="K399" s="519">
        <f t="shared" si="189"/>
        <v>0</v>
      </c>
      <c r="L399" s="519">
        <f t="shared" si="189"/>
        <v>0</v>
      </c>
      <c r="M399" s="519">
        <f t="shared" si="189"/>
        <v>0</v>
      </c>
      <c r="N399" s="519">
        <f t="shared" si="189"/>
        <v>0</v>
      </c>
      <c r="O399" s="519">
        <f t="shared" si="189"/>
        <v>0</v>
      </c>
      <c r="P399" s="419"/>
      <c r="R399" s="646"/>
      <c r="S399" s="710"/>
      <c r="T399" s="710"/>
      <c r="U399" s="711"/>
      <c r="V399" s="712"/>
      <c r="W399" s="712"/>
      <c r="X399" s="713"/>
      <c r="Y399" s="646"/>
      <c r="Z399" s="646"/>
      <c r="AA399" s="646"/>
      <c r="AB399" s="646"/>
      <c r="AC399" s="646"/>
      <c r="AD399" s="646"/>
      <c r="AE399" s="646"/>
      <c r="AF399" s="35"/>
    </row>
    <row r="400" spans="2:32">
      <c r="B400" s="418"/>
      <c r="C400" s="413" t="s">
        <v>923</v>
      </c>
      <c r="D400" s="414" t="s">
        <v>921</v>
      </c>
      <c r="E400" s="414"/>
      <c r="F400" s="519">
        <f t="shared" ref="F400:O400" si="190">F122*F$235*10^6*F316</f>
        <v>0</v>
      </c>
      <c r="G400" s="519">
        <f t="shared" si="190"/>
        <v>0</v>
      </c>
      <c r="H400" s="519">
        <f t="shared" si="190"/>
        <v>0</v>
      </c>
      <c r="I400" s="519">
        <f t="shared" si="190"/>
        <v>0</v>
      </c>
      <c r="J400" s="519">
        <f t="shared" si="190"/>
        <v>0</v>
      </c>
      <c r="K400" s="519">
        <f t="shared" si="190"/>
        <v>0</v>
      </c>
      <c r="L400" s="519">
        <f t="shared" si="190"/>
        <v>0</v>
      </c>
      <c r="M400" s="519">
        <f t="shared" si="190"/>
        <v>0</v>
      </c>
      <c r="N400" s="519">
        <f t="shared" si="190"/>
        <v>0</v>
      </c>
      <c r="O400" s="519">
        <f t="shared" si="190"/>
        <v>0</v>
      </c>
      <c r="P400" s="419"/>
      <c r="R400" s="646"/>
      <c r="S400" s="710"/>
      <c r="T400" s="710"/>
      <c r="U400" s="711"/>
      <c r="V400" s="712"/>
      <c r="W400" s="712"/>
      <c r="X400" s="713"/>
      <c r="Y400" s="646"/>
      <c r="Z400" s="646"/>
      <c r="AA400" s="646"/>
      <c r="AB400" s="646"/>
      <c r="AC400" s="646"/>
      <c r="AD400" s="646"/>
      <c r="AE400" s="646"/>
      <c r="AF400" s="35"/>
    </row>
    <row r="401" spans="2:32">
      <c r="B401" s="418"/>
      <c r="C401" s="106" t="s">
        <v>923</v>
      </c>
      <c r="D401" s="417" t="s">
        <v>103</v>
      </c>
      <c r="E401" s="417"/>
      <c r="F401" s="569">
        <f>SUM(F394:F400)</f>
        <v>183.61689201176137</v>
      </c>
      <c r="G401" s="569">
        <f t="shared" ref="G401:O401" si="191">SUM(G394:G400)</f>
        <v>230.3552529314386</v>
      </c>
      <c r="H401" s="569">
        <f t="shared" si="191"/>
        <v>191.82061031711777</v>
      </c>
      <c r="I401" s="569">
        <f t="shared" si="191"/>
        <v>202.32332060555439</v>
      </c>
      <c r="J401" s="569">
        <f t="shared" si="191"/>
        <v>214.01059758125473</v>
      </c>
      <c r="K401" s="569">
        <f t="shared" si="191"/>
        <v>211.66946726565124</v>
      </c>
      <c r="L401" s="569">
        <f t="shared" si="191"/>
        <v>248.04240719069929</v>
      </c>
      <c r="M401" s="569">
        <f t="shared" si="191"/>
        <v>249.0815834774001</v>
      </c>
      <c r="N401" s="569">
        <f t="shared" si="191"/>
        <v>280.44807648435619</v>
      </c>
      <c r="O401" s="569">
        <f t="shared" si="191"/>
        <v>321.72433668387771</v>
      </c>
      <c r="P401" s="419"/>
      <c r="R401" s="646"/>
      <c r="S401" s="710"/>
      <c r="T401" s="710"/>
      <c r="U401" s="711"/>
      <c r="V401" s="712"/>
      <c r="W401" s="712"/>
      <c r="X401" s="713"/>
      <c r="Y401" s="646"/>
      <c r="Z401" s="646"/>
      <c r="AA401" s="646"/>
      <c r="AB401" s="646"/>
      <c r="AC401" s="646"/>
      <c r="AD401" s="646"/>
      <c r="AE401" s="646"/>
      <c r="AF401" s="35"/>
    </row>
    <row r="402" spans="2:32">
      <c r="B402" s="418"/>
      <c r="C402" s="413"/>
      <c r="D402" s="414"/>
      <c r="E402" s="414"/>
      <c r="F402" s="519"/>
      <c r="G402" s="519"/>
      <c r="H402" s="519"/>
      <c r="I402" s="519"/>
      <c r="J402" s="519"/>
      <c r="K402" s="519"/>
      <c r="L402" s="519"/>
      <c r="M402" s="519"/>
      <c r="N402" s="519"/>
      <c r="O402" s="519"/>
      <c r="P402" s="419"/>
      <c r="R402" s="646"/>
      <c r="S402" s="710"/>
      <c r="T402" s="710"/>
      <c r="U402" s="711"/>
      <c r="V402" s="712"/>
      <c r="W402" s="712"/>
      <c r="X402" s="713"/>
      <c r="Y402" s="646"/>
      <c r="Z402" s="646"/>
      <c r="AA402" s="646"/>
      <c r="AB402" s="646"/>
      <c r="AC402" s="646"/>
      <c r="AD402" s="646"/>
      <c r="AE402" s="646"/>
      <c r="AF402" s="35"/>
    </row>
    <row r="403" spans="2:32">
      <c r="B403" s="418"/>
      <c r="C403" s="413" t="s">
        <v>922</v>
      </c>
      <c r="D403" s="414" t="s">
        <v>918</v>
      </c>
      <c r="E403" s="414"/>
      <c r="F403" s="519">
        <f t="shared" ref="F403:O403" si="192">F125*F$236*10^6*F310</f>
        <v>20.520847987443819</v>
      </c>
      <c r="G403" s="519">
        <f t="shared" si="192"/>
        <v>31.55294406678777</v>
      </c>
      <c r="H403" s="519">
        <f t="shared" si="192"/>
        <v>70.275498341407712</v>
      </c>
      <c r="I403" s="519">
        <f t="shared" si="192"/>
        <v>93.807799488832259</v>
      </c>
      <c r="J403" s="519">
        <f t="shared" si="192"/>
        <v>106.33708965538692</v>
      </c>
      <c r="K403" s="519">
        <f t="shared" si="192"/>
        <v>116.64374078663334</v>
      </c>
      <c r="L403" s="519">
        <f t="shared" si="192"/>
        <v>98.021783161890042</v>
      </c>
      <c r="M403" s="519">
        <f t="shared" si="192"/>
        <v>93.092299075222854</v>
      </c>
      <c r="N403" s="519">
        <f t="shared" si="192"/>
        <v>86.062165777483784</v>
      </c>
      <c r="O403" s="519">
        <f t="shared" si="192"/>
        <v>74.706495309470242</v>
      </c>
      <c r="P403" s="419"/>
      <c r="R403" s="646"/>
      <c r="S403" s="710"/>
      <c r="T403" s="710"/>
      <c r="U403" s="711"/>
      <c r="V403" s="712"/>
      <c r="W403" s="712"/>
      <c r="X403" s="713"/>
      <c r="Y403" s="646"/>
      <c r="Z403" s="646"/>
      <c r="AA403" s="646"/>
      <c r="AB403" s="646"/>
      <c r="AC403" s="646"/>
      <c r="AD403" s="646"/>
      <c r="AE403" s="646"/>
      <c r="AF403" s="35"/>
    </row>
    <row r="404" spans="2:32">
      <c r="B404" s="418"/>
      <c r="C404" s="413" t="s">
        <v>922</v>
      </c>
      <c r="D404" s="414" t="s">
        <v>5</v>
      </c>
      <c r="E404" s="414"/>
      <c r="F404" s="519">
        <f t="shared" ref="F404:O404" si="193">F126*F$236*10^6*F311</f>
        <v>0.20650611961343057</v>
      </c>
      <c r="G404" s="519">
        <f t="shared" si="193"/>
        <v>0.31217555248582785</v>
      </c>
      <c r="H404" s="519">
        <f t="shared" si="193"/>
        <v>2.3493821323536777</v>
      </c>
      <c r="I404" s="519">
        <f t="shared" si="193"/>
        <v>9.8011826231557713</v>
      </c>
      <c r="J404" s="519">
        <f t="shared" si="193"/>
        <v>15.067193115427195</v>
      </c>
      <c r="K404" s="519">
        <f t="shared" si="193"/>
        <v>30.889070409610913</v>
      </c>
      <c r="L404" s="519">
        <f t="shared" si="193"/>
        <v>38.932854745356046</v>
      </c>
      <c r="M404" s="519">
        <f t="shared" si="193"/>
        <v>47.193970856206171</v>
      </c>
      <c r="N404" s="519">
        <f t="shared" si="193"/>
        <v>56.916532354076267</v>
      </c>
      <c r="O404" s="519">
        <f t="shared" si="193"/>
        <v>72.191506626639878</v>
      </c>
      <c r="P404" s="419"/>
      <c r="R404" s="646"/>
      <c r="S404" s="710"/>
      <c r="T404" s="710"/>
      <c r="U404" s="711"/>
      <c r="V404" s="712"/>
      <c r="W404" s="712"/>
      <c r="X404" s="713"/>
      <c r="Y404" s="646"/>
      <c r="Z404" s="646"/>
      <c r="AA404" s="646"/>
      <c r="AB404" s="646"/>
      <c r="AC404" s="646"/>
      <c r="AD404" s="646"/>
      <c r="AE404" s="646"/>
      <c r="AF404" s="35"/>
    </row>
    <row r="405" spans="2:32">
      <c r="B405" s="418"/>
      <c r="C405" s="413" t="s">
        <v>922</v>
      </c>
      <c r="D405" s="414" t="s">
        <v>919</v>
      </c>
      <c r="E405" s="414"/>
      <c r="F405" s="519">
        <f t="shared" ref="F405:O405" si="194">F127*F$236*10^6*F312</f>
        <v>0</v>
      </c>
      <c r="G405" s="519">
        <f t="shared" si="194"/>
        <v>0</v>
      </c>
      <c r="H405" s="519">
        <f t="shared" si="194"/>
        <v>0</v>
      </c>
      <c r="I405" s="519">
        <f t="shared" si="194"/>
        <v>5.9232874956571617</v>
      </c>
      <c r="J405" s="519">
        <f t="shared" si="194"/>
        <v>9.0644697118140183</v>
      </c>
      <c r="K405" s="519">
        <f t="shared" si="194"/>
        <v>12.332449441511702</v>
      </c>
      <c r="L405" s="519">
        <f t="shared" si="194"/>
        <v>34.041536324032343</v>
      </c>
      <c r="M405" s="519">
        <f t="shared" si="194"/>
        <v>46.679099240811553</v>
      </c>
      <c r="N405" s="519">
        <f t="shared" si="194"/>
        <v>55.021340452653575</v>
      </c>
      <c r="O405" s="519">
        <f t="shared" si="194"/>
        <v>66.040486259257136</v>
      </c>
      <c r="P405" s="419"/>
      <c r="R405" s="646"/>
      <c r="S405" s="710"/>
      <c r="T405" s="710"/>
      <c r="U405" s="711"/>
      <c r="V405" s="712"/>
      <c r="W405" s="712"/>
      <c r="X405" s="713"/>
      <c r="Y405" s="646"/>
      <c r="Z405" s="646"/>
      <c r="AA405" s="646"/>
      <c r="AB405" s="646"/>
      <c r="AC405" s="646"/>
      <c r="AD405" s="646"/>
      <c r="AE405" s="646"/>
      <c r="AF405" s="35"/>
    </row>
    <row r="406" spans="2:32">
      <c r="B406" s="418"/>
      <c r="C406" s="413" t="s">
        <v>922</v>
      </c>
      <c r="D406" s="414" t="s">
        <v>499</v>
      </c>
      <c r="E406" s="414"/>
      <c r="F406" s="519">
        <f t="shared" ref="F406:O406" si="195">F128*F$236*10^6*F313</f>
        <v>831.36228083431956</v>
      </c>
      <c r="G406" s="519">
        <f t="shared" si="195"/>
        <v>882.45539592636487</v>
      </c>
      <c r="H406" s="519">
        <f t="shared" si="195"/>
        <v>657.72151930774567</v>
      </c>
      <c r="I406" s="519">
        <f t="shared" si="195"/>
        <v>488.61044539885637</v>
      </c>
      <c r="J406" s="519">
        <f t="shared" si="195"/>
        <v>386.81936191759428</v>
      </c>
      <c r="K406" s="519">
        <f t="shared" si="195"/>
        <v>286.04125475201351</v>
      </c>
      <c r="L406" s="519">
        <f t="shared" si="195"/>
        <v>234.80623105627538</v>
      </c>
      <c r="M406" s="519">
        <f t="shared" si="195"/>
        <v>186.1867068648516</v>
      </c>
      <c r="N406" s="519">
        <f t="shared" si="195"/>
        <v>137.19311331429651</v>
      </c>
      <c r="O406" s="519">
        <f t="shared" si="195"/>
        <v>111.41885497627521</v>
      </c>
      <c r="P406" s="419"/>
      <c r="R406" s="646"/>
      <c r="S406" s="710"/>
      <c r="T406" s="710"/>
      <c r="U406" s="711"/>
      <c r="V406" s="712"/>
      <c r="W406" s="712"/>
      <c r="X406" s="713"/>
      <c r="Y406" s="646"/>
      <c r="Z406" s="646"/>
      <c r="AA406" s="646"/>
      <c r="AB406" s="646"/>
      <c r="AC406" s="646"/>
      <c r="AD406" s="646"/>
      <c r="AE406" s="646"/>
      <c r="AF406" s="35"/>
    </row>
    <row r="407" spans="2:32">
      <c r="B407" s="418"/>
      <c r="C407" s="413" t="s">
        <v>922</v>
      </c>
      <c r="D407" s="414" t="s">
        <v>102</v>
      </c>
      <c r="E407" s="414"/>
      <c r="F407" s="519">
        <f t="shared" ref="F407:O407" si="196">F129*F$236*10^6*F314</f>
        <v>6.1092954581164003</v>
      </c>
      <c r="G407" s="519">
        <f t="shared" si="196"/>
        <v>5.6646015444790514</v>
      </c>
      <c r="H407" s="519">
        <f t="shared" si="196"/>
        <v>6.2344962588507382</v>
      </c>
      <c r="I407" s="519">
        <f t="shared" si="196"/>
        <v>6.4172138313599314</v>
      </c>
      <c r="J407" s="519">
        <f t="shared" si="196"/>
        <v>6.4906686484526546</v>
      </c>
      <c r="K407" s="519">
        <f t="shared" si="196"/>
        <v>0</v>
      </c>
      <c r="L407" s="519">
        <f t="shared" si="196"/>
        <v>0</v>
      </c>
      <c r="M407" s="519">
        <f t="shared" si="196"/>
        <v>0</v>
      </c>
      <c r="N407" s="519">
        <f t="shared" si="196"/>
        <v>0</v>
      </c>
      <c r="O407" s="519">
        <f t="shared" si="196"/>
        <v>0</v>
      </c>
      <c r="P407" s="419"/>
      <c r="R407" s="646"/>
      <c r="S407" s="710"/>
      <c r="T407" s="710"/>
      <c r="U407" s="711"/>
      <c r="V407" s="712"/>
      <c r="W407" s="712"/>
      <c r="X407" s="713"/>
      <c r="Y407" s="646"/>
      <c r="Z407" s="646"/>
      <c r="AA407" s="646"/>
      <c r="AB407" s="646"/>
      <c r="AC407" s="646"/>
      <c r="AD407" s="646"/>
      <c r="AE407" s="646"/>
      <c r="AF407" s="35"/>
    </row>
    <row r="408" spans="2:32">
      <c r="B408" s="418"/>
      <c r="C408" s="413" t="s">
        <v>922</v>
      </c>
      <c r="D408" s="414" t="s">
        <v>920</v>
      </c>
      <c r="E408" s="414"/>
      <c r="F408" s="519">
        <f t="shared" ref="F408:O408" si="197">F130*F$236*10^6*F315</f>
        <v>2.7448033380745551</v>
      </c>
      <c r="G408" s="519">
        <f t="shared" si="197"/>
        <v>1.9739213680723573</v>
      </c>
      <c r="H408" s="519">
        <f t="shared" si="197"/>
        <v>1.7178200358488767</v>
      </c>
      <c r="I408" s="519">
        <f t="shared" si="197"/>
        <v>1.7681650667745701</v>
      </c>
      <c r="J408" s="519">
        <f t="shared" si="197"/>
        <v>1.7884044175244183</v>
      </c>
      <c r="K408" s="519">
        <f t="shared" si="197"/>
        <v>0</v>
      </c>
      <c r="L408" s="519">
        <f t="shared" si="197"/>
        <v>0</v>
      </c>
      <c r="M408" s="519">
        <f t="shared" si="197"/>
        <v>0</v>
      </c>
      <c r="N408" s="519">
        <f t="shared" si="197"/>
        <v>0</v>
      </c>
      <c r="O408" s="519">
        <f t="shared" si="197"/>
        <v>0</v>
      </c>
      <c r="P408" s="419"/>
      <c r="R408" s="646"/>
      <c r="S408" s="710"/>
      <c r="T408" s="710"/>
      <c r="U408" s="711"/>
      <c r="V408" s="712"/>
      <c r="W408" s="712"/>
      <c r="X408" s="713"/>
      <c r="Y408" s="646"/>
      <c r="Z408" s="646"/>
      <c r="AA408" s="646"/>
      <c r="AB408" s="646"/>
      <c r="AC408" s="646"/>
      <c r="AD408" s="646"/>
      <c r="AE408" s="646"/>
      <c r="AF408" s="35"/>
    </row>
    <row r="409" spans="2:32">
      <c r="B409" s="418"/>
      <c r="C409" s="413" t="s">
        <v>922</v>
      </c>
      <c r="D409" s="105" t="s">
        <v>921</v>
      </c>
      <c r="E409" s="414"/>
      <c r="F409" s="519">
        <f t="shared" ref="F409:O409" si="198">F131*F$236*10^6*F316</f>
        <v>1.3004856467284154</v>
      </c>
      <c r="G409" s="519">
        <f t="shared" si="198"/>
        <v>1.4139535733994226</v>
      </c>
      <c r="H409" s="519">
        <f t="shared" si="198"/>
        <v>3.6504518220878155</v>
      </c>
      <c r="I409" s="519">
        <f t="shared" si="198"/>
        <v>3.757437481842882</v>
      </c>
      <c r="J409" s="519">
        <f t="shared" si="198"/>
        <v>3.2303800305556623</v>
      </c>
      <c r="K409" s="519">
        <f t="shared" si="198"/>
        <v>2.8834920382236637</v>
      </c>
      <c r="L409" s="519">
        <f t="shared" si="198"/>
        <v>1.912974623889397</v>
      </c>
      <c r="M409" s="519">
        <f t="shared" si="198"/>
        <v>0.95356115620762116</v>
      </c>
      <c r="N409" s="519">
        <f t="shared" si="198"/>
        <v>0.3714416446534457</v>
      </c>
      <c r="O409" s="519">
        <f t="shared" si="198"/>
        <v>0</v>
      </c>
      <c r="P409" s="419"/>
      <c r="R409" s="646"/>
      <c r="S409" s="710"/>
      <c r="T409" s="710"/>
      <c r="U409" s="711"/>
      <c r="V409" s="712"/>
      <c r="W409" s="712"/>
      <c r="X409" s="713"/>
      <c r="Y409" s="646"/>
      <c r="Z409" s="646"/>
      <c r="AA409" s="646"/>
      <c r="AB409" s="646"/>
      <c r="AC409" s="646"/>
      <c r="AD409" s="646"/>
      <c r="AE409" s="646"/>
      <c r="AF409" s="35"/>
    </row>
    <row r="410" spans="2:32">
      <c r="B410" s="418"/>
      <c r="C410" s="832" t="s">
        <v>922</v>
      </c>
      <c r="D410" s="816" t="s">
        <v>103</v>
      </c>
      <c r="E410" s="817"/>
      <c r="F410" s="831">
        <f>SUM(F403:F409)</f>
        <v>862.24421938429623</v>
      </c>
      <c r="G410" s="831">
        <f t="shared" ref="G410:O410" si="199">SUM(G403:G409)</f>
        <v>923.37299203158943</v>
      </c>
      <c r="H410" s="831">
        <f t="shared" si="199"/>
        <v>741.94916789829449</v>
      </c>
      <c r="I410" s="831">
        <f t="shared" si="199"/>
        <v>610.08553138647903</v>
      </c>
      <c r="J410" s="831">
        <f t="shared" si="199"/>
        <v>528.79756749675516</v>
      </c>
      <c r="K410" s="831">
        <f t="shared" si="199"/>
        <v>448.79000742799315</v>
      </c>
      <c r="L410" s="831">
        <f t="shared" si="199"/>
        <v>407.71537991144322</v>
      </c>
      <c r="M410" s="831">
        <f t="shared" si="199"/>
        <v>374.1056371932998</v>
      </c>
      <c r="N410" s="831">
        <f t="shared" si="199"/>
        <v>335.5645935431636</v>
      </c>
      <c r="O410" s="831">
        <f t="shared" si="199"/>
        <v>324.35734317164247</v>
      </c>
      <c r="P410" s="419"/>
      <c r="R410" s="646"/>
      <c r="S410" s="710"/>
      <c r="T410" s="710"/>
      <c r="U410" s="711"/>
      <c r="V410" s="712"/>
      <c r="W410" s="712"/>
      <c r="X410" s="713"/>
      <c r="Y410" s="646"/>
      <c r="Z410" s="646"/>
      <c r="AA410" s="646"/>
      <c r="AB410" s="646"/>
      <c r="AC410" s="646"/>
      <c r="AD410" s="646"/>
      <c r="AE410" s="646"/>
      <c r="AF410" s="35"/>
    </row>
    <row r="411" spans="2:32">
      <c r="B411" s="418"/>
      <c r="C411" s="415"/>
      <c r="D411" s="415"/>
      <c r="E411" s="415"/>
      <c r="F411" s="415"/>
      <c r="G411" s="415"/>
      <c r="H411" s="415"/>
      <c r="I411" s="415"/>
      <c r="J411" s="415"/>
      <c r="K411" s="415"/>
      <c r="L411" s="415"/>
      <c r="M411" s="415"/>
      <c r="N411" s="415"/>
      <c r="O411" s="415"/>
      <c r="P411" s="419"/>
      <c r="R411" s="646"/>
      <c r="S411" s="710"/>
      <c r="T411" s="710"/>
      <c r="U411" s="711"/>
      <c r="V411" s="712"/>
      <c r="W411" s="712"/>
      <c r="X411" s="713"/>
      <c r="Y411" s="646"/>
      <c r="Z411" s="646"/>
      <c r="AA411" s="646"/>
      <c r="AB411" s="646"/>
      <c r="AC411" s="646"/>
      <c r="AD411" s="646"/>
      <c r="AE411" s="646"/>
      <c r="AF411" s="35"/>
    </row>
    <row r="412" spans="2:32">
      <c r="B412" s="418"/>
      <c r="C412" s="415"/>
      <c r="D412" s="415"/>
      <c r="E412" s="415"/>
      <c r="F412" s="415"/>
      <c r="G412" s="415"/>
      <c r="H412" s="415"/>
      <c r="I412" s="415"/>
      <c r="J412" s="415"/>
      <c r="K412" s="415"/>
      <c r="L412" s="415"/>
      <c r="M412" s="415"/>
      <c r="N412" s="415"/>
      <c r="O412" s="415"/>
      <c r="P412" s="419"/>
      <c r="R412" s="646"/>
      <c r="S412" s="710"/>
      <c r="T412" s="710"/>
      <c r="U412" s="711"/>
      <c r="V412" s="712"/>
      <c r="W412" s="712"/>
      <c r="X412" s="713"/>
      <c r="Y412" s="646"/>
      <c r="Z412" s="646"/>
      <c r="AA412" s="646"/>
      <c r="AB412" s="646"/>
      <c r="AC412" s="646"/>
      <c r="AD412" s="646"/>
      <c r="AE412" s="646"/>
      <c r="AF412" s="35"/>
    </row>
    <row r="413" spans="2:32">
      <c r="B413" s="418"/>
      <c r="C413" s="415"/>
      <c r="D413" s="415"/>
      <c r="E413" s="415"/>
      <c r="F413" s="415"/>
      <c r="G413" s="415"/>
      <c r="H413" s="415"/>
      <c r="I413" s="415"/>
      <c r="J413" s="415"/>
      <c r="K413" s="415"/>
      <c r="L413" s="415"/>
      <c r="M413" s="415"/>
      <c r="N413" s="415"/>
      <c r="O413" s="415"/>
      <c r="P413" s="419"/>
      <c r="R413" s="646"/>
      <c r="S413" s="710"/>
      <c r="T413" s="710"/>
      <c r="U413" s="711"/>
      <c r="V413" s="712"/>
      <c r="W413" s="712"/>
      <c r="X413" s="713"/>
      <c r="Y413" s="646"/>
      <c r="Z413" s="646"/>
      <c r="AA413" s="646"/>
      <c r="AB413" s="646"/>
      <c r="AC413" s="646"/>
      <c r="AD413" s="646"/>
      <c r="AE413" s="646"/>
      <c r="AF413" s="35"/>
    </row>
    <row r="414" spans="2:32">
      <c r="B414" s="418"/>
      <c r="C414" s="415"/>
      <c r="D414" s="415"/>
      <c r="E414" s="415"/>
      <c r="F414" s="415"/>
      <c r="G414" s="415"/>
      <c r="H414" s="415"/>
      <c r="I414" s="415"/>
      <c r="J414" s="415"/>
      <c r="K414" s="415"/>
      <c r="L414" s="415"/>
      <c r="M414" s="415"/>
      <c r="N414" s="415"/>
      <c r="O414" s="415"/>
      <c r="P414" s="419"/>
      <c r="R414" s="646"/>
      <c r="S414" s="710"/>
      <c r="T414" s="710"/>
      <c r="U414" s="711"/>
      <c r="V414" s="712"/>
      <c r="W414" s="712"/>
      <c r="X414" s="713"/>
      <c r="Y414" s="646"/>
      <c r="Z414" s="646"/>
      <c r="AA414" s="646"/>
      <c r="AB414" s="646"/>
      <c r="AC414" s="646"/>
      <c r="AD414" s="646"/>
      <c r="AE414" s="646"/>
      <c r="AF414" s="35"/>
    </row>
    <row r="415" spans="2:32">
      <c r="B415" s="418"/>
      <c r="C415" s="415"/>
      <c r="D415" s="415"/>
      <c r="E415" s="415"/>
      <c r="F415" s="415"/>
      <c r="G415" s="415"/>
      <c r="H415" s="415"/>
      <c r="I415" s="415"/>
      <c r="J415" s="415"/>
      <c r="K415" s="415"/>
      <c r="L415" s="415"/>
      <c r="M415" s="415"/>
      <c r="N415" s="415"/>
      <c r="O415" s="415"/>
      <c r="P415" s="419"/>
      <c r="R415" s="646"/>
      <c r="S415" s="710"/>
      <c r="T415" s="710"/>
      <c r="U415" s="711"/>
      <c r="V415" s="712"/>
      <c r="W415" s="712"/>
      <c r="X415" s="713"/>
      <c r="Y415" s="646"/>
      <c r="Z415" s="646"/>
      <c r="AA415" s="646"/>
      <c r="AB415" s="646"/>
      <c r="AC415" s="646"/>
      <c r="AD415" s="646"/>
      <c r="AE415" s="646"/>
      <c r="AF415" s="35"/>
    </row>
    <row r="416" spans="2:32">
      <c r="B416" s="418"/>
      <c r="C416" s="415"/>
      <c r="D416" s="415"/>
      <c r="E416" s="415"/>
      <c r="F416" s="415"/>
      <c r="G416" s="415"/>
      <c r="H416" s="415"/>
      <c r="I416" s="415"/>
      <c r="J416" s="415"/>
      <c r="K416" s="415"/>
      <c r="L416" s="415"/>
      <c r="M416" s="415"/>
      <c r="N416" s="415"/>
      <c r="O416" s="415"/>
      <c r="P416" s="419"/>
      <c r="R416" s="646"/>
      <c r="S416" s="710"/>
      <c r="T416" s="710"/>
      <c r="U416" s="711"/>
      <c r="V416" s="712"/>
      <c r="W416" s="712"/>
      <c r="X416" s="713"/>
      <c r="Y416" s="646"/>
      <c r="Z416" s="646"/>
      <c r="AA416" s="646"/>
      <c r="AB416" s="646"/>
      <c r="AC416" s="646"/>
      <c r="AD416" s="646"/>
      <c r="AE416" s="646"/>
      <c r="AF416" s="35"/>
    </row>
    <row r="417" spans="2:32">
      <c r="B417" s="418"/>
      <c r="C417" s="415"/>
      <c r="D417" s="415"/>
      <c r="E417" s="415"/>
      <c r="F417" s="415"/>
      <c r="G417" s="415"/>
      <c r="H417" s="415"/>
      <c r="I417" s="415"/>
      <c r="J417" s="415"/>
      <c r="K417" s="415"/>
      <c r="L417" s="415"/>
      <c r="M417" s="415"/>
      <c r="N417" s="415"/>
      <c r="O417" s="415"/>
      <c r="P417" s="419"/>
      <c r="R417" s="646"/>
      <c r="S417" s="710"/>
      <c r="T417" s="710"/>
      <c r="U417" s="711"/>
      <c r="V417" s="712"/>
      <c r="W417" s="712"/>
      <c r="X417" s="713"/>
      <c r="Y417" s="646"/>
      <c r="Z417" s="646"/>
      <c r="AA417" s="646"/>
      <c r="AB417" s="646"/>
      <c r="AC417" s="646"/>
      <c r="AD417" s="646"/>
      <c r="AE417" s="646"/>
      <c r="AF417" s="35"/>
    </row>
    <row r="418" spans="2:32">
      <c r="B418" s="418"/>
      <c r="C418" s="415"/>
      <c r="D418" s="415"/>
      <c r="E418" s="415"/>
      <c r="F418" s="415"/>
      <c r="G418" s="415"/>
      <c r="H418" s="415"/>
      <c r="I418" s="415"/>
      <c r="J418" s="415"/>
      <c r="K418" s="415"/>
      <c r="L418" s="415"/>
      <c r="M418" s="415"/>
      <c r="N418" s="415"/>
      <c r="O418" s="415"/>
      <c r="P418" s="419"/>
      <c r="R418" s="646"/>
      <c r="S418" s="710"/>
      <c r="T418" s="710"/>
      <c r="U418" s="711"/>
      <c r="V418" s="712"/>
      <c r="W418" s="712"/>
      <c r="X418" s="713"/>
      <c r="Y418" s="646"/>
      <c r="Z418" s="646"/>
      <c r="AA418" s="646"/>
      <c r="AB418" s="646"/>
      <c r="AC418" s="646"/>
      <c r="AD418" s="646"/>
      <c r="AE418" s="646"/>
      <c r="AF418" s="35"/>
    </row>
    <row r="419" spans="2:32">
      <c r="B419" s="418"/>
      <c r="C419" s="415"/>
      <c r="D419" s="415"/>
      <c r="E419" s="415"/>
      <c r="F419" s="415"/>
      <c r="G419" s="415"/>
      <c r="H419" s="415"/>
      <c r="I419" s="415"/>
      <c r="J419" s="415"/>
      <c r="K419" s="415"/>
      <c r="L419" s="415"/>
      <c r="M419" s="415"/>
      <c r="N419" s="415"/>
      <c r="O419" s="415"/>
      <c r="P419" s="419"/>
      <c r="R419" s="646"/>
      <c r="S419" s="710"/>
      <c r="T419" s="710"/>
      <c r="U419" s="711"/>
      <c r="V419" s="712"/>
      <c r="W419" s="712"/>
      <c r="X419" s="713"/>
      <c r="Y419" s="646"/>
      <c r="Z419" s="646"/>
      <c r="AA419" s="646"/>
      <c r="AB419" s="646"/>
      <c r="AC419" s="646"/>
      <c r="AD419" s="646"/>
      <c r="AE419" s="646"/>
      <c r="AF419" s="35"/>
    </row>
    <row r="420" spans="2:32">
      <c r="B420" s="418"/>
      <c r="C420" s="415"/>
      <c r="D420" s="415"/>
      <c r="E420" s="415"/>
      <c r="F420" s="415"/>
      <c r="G420" s="415"/>
      <c r="H420" s="415"/>
      <c r="I420" s="415"/>
      <c r="J420" s="415"/>
      <c r="K420" s="415"/>
      <c r="L420" s="415"/>
      <c r="M420" s="415"/>
      <c r="N420" s="415"/>
      <c r="O420" s="415"/>
      <c r="P420" s="419"/>
      <c r="R420" s="646"/>
      <c r="S420" s="710"/>
      <c r="T420" s="710"/>
      <c r="U420" s="711"/>
      <c r="V420" s="712"/>
      <c r="W420" s="712"/>
      <c r="X420" s="713"/>
      <c r="Y420" s="646"/>
      <c r="Z420" s="646"/>
      <c r="AA420" s="646"/>
      <c r="AB420" s="646"/>
      <c r="AC420" s="646"/>
      <c r="AD420" s="646"/>
      <c r="AE420" s="646"/>
      <c r="AF420" s="35"/>
    </row>
    <row r="421" spans="2:32">
      <c r="B421" s="418"/>
      <c r="C421" s="415"/>
      <c r="D421" s="415"/>
      <c r="E421" s="415"/>
      <c r="F421" s="415"/>
      <c r="G421" s="415"/>
      <c r="H421" s="415"/>
      <c r="I421" s="415"/>
      <c r="J421" s="415"/>
      <c r="K421" s="415"/>
      <c r="L421" s="415"/>
      <c r="M421" s="415"/>
      <c r="N421" s="415"/>
      <c r="O421" s="415"/>
      <c r="P421" s="419"/>
      <c r="R421" s="646"/>
      <c r="S421" s="710"/>
      <c r="T421" s="710"/>
      <c r="U421" s="711"/>
      <c r="V421" s="712"/>
      <c r="W421" s="712"/>
      <c r="X421" s="713"/>
      <c r="Y421" s="646"/>
      <c r="Z421" s="646"/>
      <c r="AA421" s="646"/>
      <c r="AB421" s="646"/>
      <c r="AC421" s="646"/>
      <c r="AD421" s="646"/>
      <c r="AE421" s="646"/>
      <c r="AF421" s="35"/>
    </row>
    <row r="422" spans="2:32">
      <c r="B422" s="418"/>
      <c r="C422" s="415"/>
      <c r="D422" s="415"/>
      <c r="E422" s="415"/>
      <c r="F422" s="415"/>
      <c r="G422" s="415"/>
      <c r="H422" s="415"/>
      <c r="I422" s="415"/>
      <c r="J422" s="415"/>
      <c r="K422" s="415"/>
      <c r="L422" s="415"/>
      <c r="M422" s="415"/>
      <c r="N422" s="415"/>
      <c r="O422" s="415"/>
      <c r="P422" s="419"/>
      <c r="R422" s="646"/>
      <c r="S422" s="710"/>
      <c r="T422" s="710"/>
      <c r="U422" s="711"/>
      <c r="V422" s="712"/>
      <c r="W422" s="712"/>
      <c r="X422" s="713"/>
      <c r="Y422" s="646"/>
      <c r="Z422" s="646"/>
      <c r="AA422" s="646"/>
      <c r="AB422" s="646"/>
      <c r="AC422" s="646"/>
      <c r="AD422" s="646"/>
      <c r="AE422" s="646"/>
      <c r="AF422" s="35"/>
    </row>
    <row r="423" spans="2:32">
      <c r="B423" s="418"/>
      <c r="C423" s="415"/>
      <c r="D423" s="415"/>
      <c r="E423" s="415"/>
      <c r="F423" s="415"/>
      <c r="G423" s="415"/>
      <c r="H423" s="415"/>
      <c r="I423" s="415"/>
      <c r="J423" s="415"/>
      <c r="K423" s="415"/>
      <c r="L423" s="415"/>
      <c r="M423" s="415"/>
      <c r="N423" s="415"/>
      <c r="O423" s="415"/>
      <c r="P423" s="419"/>
      <c r="R423" s="646"/>
      <c r="S423" s="710"/>
      <c r="T423" s="710"/>
      <c r="U423" s="711"/>
      <c r="V423" s="712"/>
      <c r="W423" s="712"/>
      <c r="X423" s="713"/>
      <c r="Y423" s="646"/>
      <c r="Z423" s="646"/>
      <c r="AA423" s="646"/>
      <c r="AB423" s="646"/>
      <c r="AC423" s="646"/>
      <c r="AD423" s="646"/>
      <c r="AE423" s="646"/>
      <c r="AF423" s="35"/>
    </row>
    <row r="424" spans="2:32">
      <c r="B424" s="418"/>
      <c r="C424" s="415"/>
      <c r="D424" s="415"/>
      <c r="E424" s="415"/>
      <c r="F424" s="415"/>
      <c r="G424" s="415"/>
      <c r="H424" s="415"/>
      <c r="I424" s="415"/>
      <c r="J424" s="415"/>
      <c r="K424" s="415"/>
      <c r="L424" s="415"/>
      <c r="M424" s="415"/>
      <c r="N424" s="415"/>
      <c r="O424" s="415"/>
      <c r="P424" s="419"/>
      <c r="R424" s="646"/>
      <c r="S424" s="710"/>
      <c r="T424" s="710"/>
      <c r="U424" s="711"/>
      <c r="V424" s="712"/>
      <c r="W424" s="712"/>
      <c r="X424" s="713"/>
      <c r="Y424" s="646"/>
      <c r="Z424" s="646"/>
      <c r="AA424" s="646"/>
      <c r="AB424" s="646"/>
      <c r="AC424" s="646"/>
      <c r="AD424" s="646"/>
      <c r="AE424" s="646"/>
      <c r="AF424" s="35"/>
    </row>
    <row r="425" spans="2:32">
      <c r="B425" s="418"/>
      <c r="C425" s="415"/>
      <c r="D425" s="415"/>
      <c r="E425" s="415"/>
      <c r="F425" s="415"/>
      <c r="G425" s="415"/>
      <c r="H425" s="415"/>
      <c r="I425" s="415"/>
      <c r="J425" s="415"/>
      <c r="K425" s="415"/>
      <c r="L425" s="415"/>
      <c r="M425" s="415"/>
      <c r="N425" s="415"/>
      <c r="O425" s="415"/>
      <c r="P425" s="419"/>
      <c r="R425" s="646"/>
      <c r="S425" s="710"/>
      <c r="T425" s="710"/>
      <c r="U425" s="711"/>
      <c r="V425" s="712"/>
      <c r="W425" s="712"/>
      <c r="X425" s="713"/>
      <c r="Y425" s="646"/>
      <c r="Z425" s="646"/>
      <c r="AA425" s="646"/>
      <c r="AB425" s="646"/>
      <c r="AC425" s="646"/>
      <c r="AD425" s="646"/>
      <c r="AE425" s="646"/>
      <c r="AF425" s="35"/>
    </row>
    <row r="426" spans="2:32">
      <c r="B426" s="418"/>
      <c r="C426" s="415"/>
      <c r="D426" s="415"/>
      <c r="E426" s="415"/>
      <c r="F426" s="415"/>
      <c r="G426" s="415"/>
      <c r="H426" s="415"/>
      <c r="I426" s="415"/>
      <c r="J426" s="415"/>
      <c r="K426" s="415"/>
      <c r="L426" s="415"/>
      <c r="M426" s="415"/>
      <c r="N426" s="415"/>
      <c r="O426" s="415"/>
      <c r="P426" s="419"/>
      <c r="R426" s="646"/>
      <c r="S426" s="710"/>
      <c r="T426" s="710"/>
      <c r="U426" s="711"/>
      <c r="V426" s="712"/>
      <c r="W426" s="712"/>
      <c r="X426" s="713"/>
      <c r="Y426" s="646"/>
      <c r="Z426" s="646"/>
      <c r="AA426" s="646"/>
      <c r="AB426" s="646"/>
      <c r="AC426" s="646"/>
      <c r="AD426" s="646"/>
      <c r="AE426" s="646"/>
      <c r="AF426" s="35"/>
    </row>
    <row r="427" spans="2:32">
      <c r="B427" s="418"/>
      <c r="C427" s="415"/>
      <c r="D427" s="415"/>
      <c r="E427" s="415"/>
      <c r="F427" s="415"/>
      <c r="G427" s="415"/>
      <c r="H427" s="415"/>
      <c r="I427" s="415"/>
      <c r="J427" s="415"/>
      <c r="K427" s="415"/>
      <c r="L427" s="415"/>
      <c r="M427" s="415"/>
      <c r="N427" s="415"/>
      <c r="O427" s="415"/>
      <c r="P427" s="419"/>
      <c r="R427" s="646"/>
      <c r="S427" s="710"/>
      <c r="T427" s="710"/>
      <c r="U427" s="711"/>
      <c r="V427" s="712"/>
      <c r="W427" s="712"/>
      <c r="X427" s="713"/>
      <c r="Y427" s="646"/>
      <c r="Z427" s="646"/>
      <c r="AA427" s="646"/>
      <c r="AB427" s="646"/>
      <c r="AC427" s="646"/>
      <c r="AD427" s="646"/>
      <c r="AE427" s="646"/>
      <c r="AF427" s="35"/>
    </row>
    <row r="428" spans="2:32">
      <c r="B428" s="418"/>
      <c r="C428" s="415"/>
      <c r="D428" s="415"/>
      <c r="E428" s="415"/>
      <c r="F428" s="415"/>
      <c r="G428" s="415"/>
      <c r="H428" s="415"/>
      <c r="I428" s="415"/>
      <c r="J428" s="415"/>
      <c r="K428" s="415"/>
      <c r="L428" s="415"/>
      <c r="M428" s="415"/>
      <c r="N428" s="415"/>
      <c r="O428" s="415"/>
      <c r="P428" s="419"/>
      <c r="R428" s="646"/>
      <c r="S428" s="710"/>
      <c r="T428" s="710"/>
      <c r="U428" s="711"/>
      <c r="V428" s="712"/>
      <c r="W428" s="712"/>
      <c r="X428" s="713"/>
      <c r="Y428" s="646"/>
      <c r="Z428" s="646"/>
      <c r="AA428" s="646"/>
      <c r="AB428" s="646"/>
      <c r="AC428" s="646"/>
      <c r="AD428" s="646"/>
      <c r="AE428" s="646"/>
      <c r="AF428" s="35"/>
    </row>
    <row r="429" spans="2:32" ht="11.25" customHeight="1">
      <c r="B429" s="155"/>
      <c r="C429" s="413"/>
      <c r="D429" s="414"/>
      <c r="E429" s="414"/>
      <c r="F429" s="677"/>
      <c r="G429" s="678"/>
      <c r="H429" s="678"/>
      <c r="I429" s="678"/>
      <c r="J429" s="678"/>
      <c r="K429" s="678"/>
      <c r="L429" s="678"/>
      <c r="M429" s="678"/>
      <c r="N429" s="678"/>
      <c r="O429" s="678"/>
      <c r="P429" s="419"/>
      <c r="R429" s="646"/>
      <c r="S429" s="733"/>
      <c r="T429" s="730"/>
      <c r="U429" s="731"/>
      <c r="V429" s="732"/>
      <c r="W429" s="732"/>
      <c r="X429" s="734"/>
      <c r="Y429" s="646"/>
      <c r="Z429" s="646"/>
      <c r="AA429" s="646"/>
      <c r="AB429" s="646"/>
      <c r="AC429" s="646"/>
      <c r="AD429" s="646"/>
      <c r="AE429" s="646"/>
      <c r="AF429" s="35"/>
    </row>
    <row r="430" spans="2:32">
      <c r="R430" s="646"/>
      <c r="S430" s="735"/>
      <c r="T430" s="621"/>
      <c r="U430" s="621"/>
      <c r="V430" s="736"/>
      <c r="W430" s="737"/>
      <c r="X430" s="737"/>
      <c r="Y430" s="737"/>
      <c r="Z430" s="737"/>
      <c r="AA430" s="737"/>
      <c r="AB430" s="737"/>
      <c r="AC430" s="737"/>
      <c r="AD430" s="737"/>
      <c r="AE430" s="737"/>
      <c r="AF430" s="35"/>
    </row>
    <row r="431" spans="2:32">
      <c r="B431" s="423" t="s">
        <v>241</v>
      </c>
      <c r="R431" s="646"/>
      <c r="S431" s="735"/>
      <c r="T431" s="621"/>
      <c r="U431" s="621"/>
      <c r="V431" s="736"/>
      <c r="W431" s="737"/>
      <c r="X431" s="737"/>
      <c r="Y431" s="737"/>
      <c r="Z431" s="737"/>
      <c r="AA431" s="737"/>
      <c r="AB431" s="737"/>
      <c r="AC431" s="737"/>
      <c r="AD431" s="737"/>
      <c r="AE431" s="737"/>
      <c r="AF431" s="35"/>
    </row>
    <row r="432" spans="2:32">
      <c r="B432" s="423">
        <v>1</v>
      </c>
      <c r="C432" s="423" t="str">
        <f>"Calculation of Fuel Demand per Scenario in  "&amp;preferences.energyunits</f>
        <v>Calculation of Fuel Demand per Scenario in  TWh</v>
      </c>
      <c r="F432" s="605">
        <f>unit.kglpge</f>
        <v>1.2819444444444444E-8</v>
      </c>
      <c r="G432" s="605" t="str">
        <f>preferences.energyunits</f>
        <v>TWh</v>
      </c>
      <c r="R432" s="646"/>
      <c r="S432" s="735"/>
      <c r="T432" s="621"/>
      <c r="U432" s="621"/>
      <c r="V432" s="736"/>
      <c r="W432" s="737"/>
      <c r="X432" s="737"/>
      <c r="Y432" s="737"/>
      <c r="Z432" s="737"/>
      <c r="AA432" s="737"/>
      <c r="AB432" s="737"/>
      <c r="AC432" s="737"/>
      <c r="AD432" s="737"/>
      <c r="AE432" s="737"/>
      <c r="AF432" s="35"/>
    </row>
    <row r="433" spans="3:32">
      <c r="C433" s="605" t="s">
        <v>1063</v>
      </c>
      <c r="F433" s="605">
        <f>Unit.kWh</f>
        <v>1.0000000000000001E-9</v>
      </c>
      <c r="R433" s="646"/>
      <c r="S433" s="735"/>
      <c r="T433" s="621"/>
      <c r="U433" s="621"/>
      <c r="V433" s="736"/>
      <c r="W433" s="737"/>
      <c r="X433" s="737"/>
      <c r="Y433" s="737"/>
      <c r="Z433" s="737"/>
      <c r="AA433" s="737"/>
      <c r="AB433" s="737"/>
      <c r="AC433" s="737"/>
      <c r="AD433" s="737"/>
      <c r="AE433" s="737"/>
      <c r="AF433" s="35"/>
    </row>
    <row r="434" spans="3:32">
      <c r="R434" s="646"/>
      <c r="S434" s="735"/>
      <c r="T434" s="621"/>
      <c r="U434" s="621"/>
      <c r="V434" s="736"/>
      <c r="W434" s="737"/>
      <c r="X434" s="737"/>
      <c r="Y434" s="737"/>
      <c r="Z434" s="737"/>
      <c r="AA434" s="737"/>
      <c r="AB434" s="737"/>
      <c r="AC434" s="737"/>
      <c r="AD434" s="737"/>
      <c r="AE434" s="737"/>
      <c r="AF434" s="35"/>
    </row>
    <row r="435" spans="3:32">
      <c r="C435" s="893" t="s">
        <v>870</v>
      </c>
      <c r="D435" s="893" t="s">
        <v>65</v>
      </c>
      <c r="E435" s="893" t="s">
        <v>64</v>
      </c>
      <c r="F435" s="641">
        <v>2007</v>
      </c>
      <c r="G435" s="642">
        <f t="shared" ref="G435:O435" si="200">F435+5</f>
        <v>2012</v>
      </c>
      <c r="H435" s="642">
        <f t="shared" si="200"/>
        <v>2017</v>
      </c>
      <c r="I435" s="642">
        <f t="shared" si="200"/>
        <v>2022</v>
      </c>
      <c r="J435" s="642">
        <f t="shared" si="200"/>
        <v>2027</v>
      </c>
      <c r="K435" s="642">
        <f t="shared" si="200"/>
        <v>2032</v>
      </c>
      <c r="L435" s="642">
        <f t="shared" si="200"/>
        <v>2037</v>
      </c>
      <c r="M435" s="642">
        <f t="shared" si="200"/>
        <v>2042</v>
      </c>
      <c r="N435" s="642">
        <f t="shared" si="200"/>
        <v>2047</v>
      </c>
      <c r="O435" s="642">
        <f t="shared" si="200"/>
        <v>2052</v>
      </c>
      <c r="R435" s="646"/>
      <c r="S435" s="735"/>
      <c r="T435" s="621"/>
      <c r="U435" s="621"/>
      <c r="V435" s="736"/>
      <c r="W435" s="737"/>
      <c r="X435" s="737"/>
      <c r="Y435" s="737"/>
      <c r="Z435" s="737"/>
      <c r="AA435" s="737"/>
      <c r="AB435" s="737"/>
      <c r="AC435" s="737"/>
      <c r="AD435" s="737"/>
      <c r="AE435" s="737"/>
      <c r="AF435" s="35"/>
    </row>
    <row r="436" spans="3:32">
      <c r="C436" s="894" t="s">
        <v>923</v>
      </c>
      <c r="D436" s="628" t="s">
        <v>918</v>
      </c>
      <c r="E436" s="941"/>
      <c r="F436" s="942">
        <f t="shared" ref="F436:O436" si="201">CHOOSE($E$8,F329,F350,F372,F394)</f>
        <v>57.902576551305131</v>
      </c>
      <c r="G436" s="942">
        <f t="shared" si="201"/>
        <v>86.33295768478996</v>
      </c>
      <c r="H436" s="942">
        <f t="shared" si="201"/>
        <v>88.894536676350626</v>
      </c>
      <c r="I436" s="942">
        <f t="shared" si="201"/>
        <v>95.126245369092231</v>
      </c>
      <c r="J436" s="942">
        <f t="shared" si="201"/>
        <v>104.36908943766598</v>
      </c>
      <c r="K436" s="942">
        <f t="shared" si="201"/>
        <v>110.16893902486801</v>
      </c>
      <c r="L436" s="942">
        <f t="shared" si="201"/>
        <v>111.98301931442454</v>
      </c>
      <c r="M436" s="942">
        <f t="shared" si="201"/>
        <v>110.10250857037229</v>
      </c>
      <c r="N436" s="942">
        <f t="shared" si="201"/>
        <v>110.69633863175937</v>
      </c>
      <c r="O436" s="942">
        <f t="shared" si="201"/>
        <v>112.2761047794822</v>
      </c>
      <c r="R436" s="646"/>
      <c r="S436" s="735"/>
      <c r="T436" s="621"/>
      <c r="U436" s="621"/>
      <c r="V436" s="736"/>
      <c r="W436" s="737"/>
      <c r="X436" s="737"/>
      <c r="Y436" s="737"/>
      <c r="Z436" s="737"/>
      <c r="AA436" s="737"/>
      <c r="AB436" s="737"/>
      <c r="AC436" s="737"/>
      <c r="AD436" s="737"/>
      <c r="AE436" s="737"/>
      <c r="AF436" s="35"/>
    </row>
    <row r="437" spans="3:32">
      <c r="C437" s="894" t="s">
        <v>923</v>
      </c>
      <c r="D437" s="628" t="s">
        <v>5</v>
      </c>
      <c r="E437" s="628"/>
      <c r="F437" s="942">
        <f t="shared" ref="F437:O437" si="202">CHOOSE($E$8,F330,F351,F373,F395)</f>
        <v>0.10009722143013318</v>
      </c>
      <c r="G437" s="942">
        <f t="shared" si="202"/>
        <v>9.3505695250267307E-2</v>
      </c>
      <c r="H437" s="942">
        <f t="shared" si="202"/>
        <v>1.271193519105055</v>
      </c>
      <c r="I437" s="942">
        <f t="shared" si="202"/>
        <v>1.7630275941553981</v>
      </c>
      <c r="J437" s="942">
        <f t="shared" si="202"/>
        <v>3.3530520742497418</v>
      </c>
      <c r="K437" s="942">
        <f t="shared" si="202"/>
        <v>5.6269069593534571</v>
      </c>
      <c r="L437" s="942">
        <f t="shared" si="202"/>
        <v>7.840383092975391</v>
      </c>
      <c r="M437" s="942">
        <f t="shared" si="202"/>
        <v>10.567125567057492</v>
      </c>
      <c r="N437" s="942">
        <f t="shared" si="202"/>
        <v>14.563556801098377</v>
      </c>
      <c r="O437" s="942">
        <f t="shared" si="202"/>
        <v>15.092452773140378</v>
      </c>
      <c r="R437" s="646"/>
      <c r="S437" s="735"/>
      <c r="T437" s="621"/>
      <c r="U437" s="621"/>
      <c r="V437" s="736"/>
      <c r="W437" s="737"/>
      <c r="X437" s="737"/>
      <c r="Y437" s="737"/>
      <c r="Z437" s="737"/>
      <c r="AA437" s="737"/>
      <c r="AB437" s="737"/>
      <c r="AC437" s="737"/>
      <c r="AD437" s="737"/>
      <c r="AE437" s="737"/>
      <c r="AF437" s="35"/>
    </row>
    <row r="438" spans="3:32">
      <c r="C438" s="894" t="s">
        <v>923</v>
      </c>
      <c r="D438" s="628" t="s">
        <v>919</v>
      </c>
      <c r="E438" s="628"/>
      <c r="F438" s="942">
        <f t="shared" ref="F438:O438" si="203">CHOOSE($E$8,F331,F352,F374,F396)</f>
        <v>0.12209135553179065</v>
      </c>
      <c r="G438" s="942">
        <f t="shared" si="203"/>
        <v>1.2114440580384245</v>
      </c>
      <c r="H438" s="942">
        <f t="shared" si="203"/>
        <v>4.6458607279195467</v>
      </c>
      <c r="I438" s="942">
        <f t="shared" si="203"/>
        <v>14.034000133607226</v>
      </c>
      <c r="J438" s="942">
        <f t="shared" si="203"/>
        <v>30.561562908825266</v>
      </c>
      <c r="K438" s="942">
        <f t="shared" si="203"/>
        <v>50.08590520127516</v>
      </c>
      <c r="L438" s="942">
        <f t="shared" si="203"/>
        <v>72.546680420102987</v>
      </c>
      <c r="M438" s="942">
        <f t="shared" si="203"/>
        <v>102.67878398319945</v>
      </c>
      <c r="N438" s="942">
        <f t="shared" si="203"/>
        <v>134.84573353008619</v>
      </c>
      <c r="O438" s="942">
        <f t="shared" si="203"/>
        <v>171.3616043661288</v>
      </c>
      <c r="R438" s="646"/>
      <c r="S438" s="735"/>
      <c r="T438" s="621"/>
      <c r="U438" s="621"/>
      <c r="V438" s="736"/>
      <c r="W438" s="737"/>
      <c r="X438" s="737"/>
      <c r="Y438" s="737"/>
      <c r="Z438" s="737"/>
      <c r="AA438" s="737"/>
      <c r="AB438" s="737"/>
      <c r="AC438" s="737"/>
      <c r="AD438" s="737"/>
      <c r="AE438" s="737"/>
      <c r="AF438" s="35"/>
    </row>
    <row r="439" spans="3:32">
      <c r="C439" s="894" t="s">
        <v>923</v>
      </c>
      <c r="D439" s="628" t="s">
        <v>499</v>
      </c>
      <c r="E439" s="628"/>
      <c r="F439" s="942">
        <f t="shared" ref="F439:O439" si="204">CHOOSE($E$8,F332,F353,F375,F397)</f>
        <v>101.92101768890981</v>
      </c>
      <c r="G439" s="942">
        <f t="shared" si="204"/>
        <v>121.6380730511076</v>
      </c>
      <c r="H439" s="942">
        <f t="shared" si="204"/>
        <v>117.69529356658963</v>
      </c>
      <c r="I439" s="942">
        <f t="shared" si="204"/>
        <v>118.3519710613872</v>
      </c>
      <c r="J439" s="942">
        <f t="shared" si="204"/>
        <v>122.02200254466746</v>
      </c>
      <c r="K439" s="942">
        <f t="shared" si="204"/>
        <v>121.03654952723166</v>
      </c>
      <c r="L439" s="942">
        <f t="shared" si="204"/>
        <v>122.27932783203535</v>
      </c>
      <c r="M439" s="942">
        <f t="shared" si="204"/>
        <v>119.49275832382796</v>
      </c>
      <c r="N439" s="942">
        <f t="shared" si="204"/>
        <v>119.40462010431004</v>
      </c>
      <c r="O439" s="942">
        <f t="shared" si="204"/>
        <v>120.37012576620755</v>
      </c>
      <c r="R439" s="646"/>
      <c r="S439" s="735"/>
      <c r="T439" s="621"/>
      <c r="U439" s="621"/>
      <c r="V439" s="736"/>
      <c r="W439" s="737"/>
      <c r="X439" s="737"/>
      <c r="Y439" s="737"/>
      <c r="Z439" s="737"/>
      <c r="AA439" s="737"/>
      <c r="AB439" s="737"/>
      <c r="AC439" s="737"/>
      <c r="AD439" s="737"/>
      <c r="AE439" s="737"/>
      <c r="AF439" s="35"/>
    </row>
    <row r="440" spans="3:32">
      <c r="C440" s="894" t="s">
        <v>923</v>
      </c>
      <c r="D440" s="628" t="s">
        <v>102</v>
      </c>
      <c r="E440" s="628"/>
      <c r="F440" s="942">
        <f t="shared" ref="F440:O440" si="205">CHOOSE($E$8,F333,F354,F376,F398)</f>
        <v>10.176606889228831</v>
      </c>
      <c r="G440" s="942">
        <f t="shared" si="205"/>
        <v>10.352988993018204</v>
      </c>
      <c r="H440" s="942">
        <f t="shared" si="205"/>
        <v>13.094084414673233</v>
      </c>
      <c r="I440" s="942">
        <f t="shared" si="205"/>
        <v>14.021243444754983</v>
      </c>
      <c r="J440" s="942">
        <f t="shared" si="205"/>
        <v>11.147995429665649</v>
      </c>
      <c r="K440" s="942">
        <f t="shared" si="205"/>
        <v>6.2134287454562349</v>
      </c>
      <c r="L440" s="942">
        <f t="shared" si="205"/>
        <v>7.0543008944832568</v>
      </c>
      <c r="M440" s="942">
        <f t="shared" si="205"/>
        <v>0</v>
      </c>
      <c r="N440" s="942">
        <f t="shared" si="205"/>
        <v>0</v>
      </c>
      <c r="O440" s="942">
        <f t="shared" si="205"/>
        <v>0</v>
      </c>
      <c r="R440" s="646"/>
      <c r="S440" s="735"/>
      <c r="T440" s="621"/>
      <c r="U440" s="621"/>
      <c r="V440" s="736"/>
      <c r="W440" s="737"/>
      <c r="X440" s="737"/>
      <c r="Y440" s="737"/>
      <c r="Z440" s="737"/>
      <c r="AA440" s="737"/>
      <c r="AB440" s="737"/>
      <c r="AC440" s="737"/>
      <c r="AD440" s="737"/>
      <c r="AE440" s="737"/>
      <c r="AF440" s="35"/>
    </row>
    <row r="441" spans="3:32">
      <c r="C441" s="894" t="s">
        <v>923</v>
      </c>
      <c r="D441" s="628" t="s">
        <v>920</v>
      </c>
      <c r="E441" s="628"/>
      <c r="F441" s="942">
        <f t="shared" ref="F441:O441" si="206">CHOOSE($E$8,F334,F355,F377,F399)</f>
        <v>13.394502305355823</v>
      </c>
      <c r="G441" s="942">
        <f t="shared" si="206"/>
        <v>10.726283449233986</v>
      </c>
      <c r="H441" s="942">
        <f t="shared" si="206"/>
        <v>11.545198649434985</v>
      </c>
      <c r="I441" s="942">
        <f t="shared" si="206"/>
        <v>12.362684992345384</v>
      </c>
      <c r="J441" s="942">
        <f t="shared" si="206"/>
        <v>9.8293105269930479</v>
      </c>
      <c r="K441" s="942">
        <f t="shared" si="206"/>
        <v>5.4784486557926328</v>
      </c>
      <c r="L441" s="942">
        <f t="shared" si="206"/>
        <v>3.1099274519885762</v>
      </c>
      <c r="M441" s="942">
        <f t="shared" si="206"/>
        <v>0</v>
      </c>
      <c r="N441" s="942">
        <f t="shared" si="206"/>
        <v>0</v>
      </c>
      <c r="O441" s="942">
        <f t="shared" si="206"/>
        <v>0</v>
      </c>
      <c r="R441" s="646"/>
      <c r="S441" s="735"/>
      <c r="T441" s="621"/>
      <c r="U441" s="621"/>
      <c r="V441" s="736"/>
      <c r="W441" s="737"/>
      <c r="X441" s="737"/>
      <c r="Y441" s="737"/>
      <c r="Z441" s="737"/>
      <c r="AA441" s="737"/>
      <c r="AB441" s="737"/>
      <c r="AC441" s="737"/>
      <c r="AD441" s="737"/>
      <c r="AE441" s="737"/>
      <c r="AF441" s="35"/>
    </row>
    <row r="442" spans="3:32">
      <c r="C442" s="894" t="s">
        <v>923</v>
      </c>
      <c r="D442" s="628" t="s">
        <v>921</v>
      </c>
      <c r="E442" s="628"/>
      <c r="F442" s="942">
        <f t="shared" ref="F442:O442" si="207">CHOOSE($E$8,F335,F356,F378,F400)</f>
        <v>0</v>
      </c>
      <c r="G442" s="942">
        <f t="shared" si="207"/>
        <v>0</v>
      </c>
      <c r="H442" s="942">
        <f t="shared" si="207"/>
        <v>0</v>
      </c>
      <c r="I442" s="942">
        <f t="shared" si="207"/>
        <v>0</v>
      </c>
      <c r="J442" s="942">
        <f t="shared" si="207"/>
        <v>0</v>
      </c>
      <c r="K442" s="942">
        <f t="shared" si="207"/>
        <v>0</v>
      </c>
      <c r="L442" s="942">
        <f t="shared" si="207"/>
        <v>0</v>
      </c>
      <c r="M442" s="942">
        <f t="shared" si="207"/>
        <v>0</v>
      </c>
      <c r="N442" s="942">
        <f t="shared" si="207"/>
        <v>0</v>
      </c>
      <c r="O442" s="942">
        <f t="shared" si="207"/>
        <v>0</v>
      </c>
      <c r="R442" s="646"/>
      <c r="S442" s="735"/>
      <c r="T442" s="621"/>
      <c r="U442" s="621"/>
      <c r="V442" s="736"/>
      <c r="W442" s="737"/>
      <c r="X442" s="737"/>
      <c r="Y442" s="737"/>
      <c r="Z442" s="737"/>
      <c r="AA442" s="737"/>
      <c r="AB442" s="737"/>
      <c r="AC442" s="737"/>
      <c r="AD442" s="737"/>
      <c r="AE442" s="737"/>
      <c r="AF442" s="35"/>
    </row>
    <row r="443" spans="3:32">
      <c r="C443" s="943" t="s">
        <v>923</v>
      </c>
      <c r="D443" s="944" t="s">
        <v>103</v>
      </c>
      <c r="E443" s="944"/>
      <c r="F443" s="945">
        <f>SUM(F436:F442)</f>
        <v>183.61689201176151</v>
      </c>
      <c r="G443" s="945">
        <f t="shared" ref="G443:O443" si="208">SUM(G436:G442)</f>
        <v>230.35525293143846</v>
      </c>
      <c r="H443" s="945">
        <f t="shared" si="208"/>
        <v>237.14616755407306</v>
      </c>
      <c r="I443" s="945">
        <f t="shared" si="208"/>
        <v>255.65917259534243</v>
      </c>
      <c r="J443" s="945">
        <f t="shared" si="208"/>
        <v>281.28301292206714</v>
      </c>
      <c r="K443" s="945">
        <f t="shared" si="208"/>
        <v>298.61017811397716</v>
      </c>
      <c r="L443" s="945">
        <f t="shared" si="208"/>
        <v>324.81363900601013</v>
      </c>
      <c r="M443" s="945">
        <f t="shared" si="208"/>
        <v>342.84117644445718</v>
      </c>
      <c r="N443" s="945">
        <f t="shared" si="208"/>
        <v>379.51024906725394</v>
      </c>
      <c r="O443" s="945">
        <f t="shared" si="208"/>
        <v>419.10028768495891</v>
      </c>
      <c r="R443" s="646"/>
      <c r="S443" s="735"/>
      <c r="T443" s="621"/>
      <c r="U443" s="621"/>
      <c r="V443" s="736"/>
      <c r="W443" s="737"/>
      <c r="X443" s="737"/>
      <c r="Y443" s="737"/>
      <c r="Z443" s="737"/>
      <c r="AA443" s="737"/>
      <c r="AB443" s="737"/>
      <c r="AC443" s="737"/>
      <c r="AD443" s="737"/>
      <c r="AE443" s="737"/>
      <c r="AF443" s="35"/>
    </row>
    <row r="444" spans="3:32">
      <c r="C444" s="894"/>
      <c r="D444" s="628"/>
      <c r="E444" s="628"/>
      <c r="F444" s="942"/>
      <c r="G444" s="942"/>
      <c r="H444" s="942"/>
      <c r="I444" s="942"/>
      <c r="J444" s="942"/>
      <c r="K444" s="942"/>
      <c r="L444" s="942"/>
      <c r="M444" s="942"/>
      <c r="N444" s="942"/>
      <c r="O444" s="942"/>
      <c r="R444" s="646"/>
      <c r="S444" s="735"/>
      <c r="T444" s="621"/>
      <c r="U444" s="621"/>
      <c r="V444" s="736"/>
      <c r="W444" s="737"/>
      <c r="X444" s="737"/>
      <c r="Y444" s="737"/>
      <c r="Z444" s="737"/>
      <c r="AA444" s="737"/>
      <c r="AB444" s="737"/>
      <c r="AC444" s="737"/>
      <c r="AD444" s="737"/>
      <c r="AE444" s="737"/>
      <c r="AF444" s="35"/>
    </row>
    <row r="445" spans="3:32">
      <c r="C445" s="894" t="s">
        <v>922</v>
      </c>
      <c r="D445" s="628" t="s">
        <v>918</v>
      </c>
      <c r="E445" s="628"/>
      <c r="F445" s="942">
        <f t="shared" ref="F445:O445" si="209">CHOOSE($E$8,F338,F359,F381,F403)</f>
        <v>20.520847987443812</v>
      </c>
      <c r="G445" s="942">
        <f t="shared" si="209"/>
        <v>31.55294406678777</v>
      </c>
      <c r="H445" s="942">
        <f t="shared" si="209"/>
        <v>35.962076993955797</v>
      </c>
      <c r="I445" s="942">
        <f t="shared" si="209"/>
        <v>42.574703285532287</v>
      </c>
      <c r="J445" s="942">
        <f t="shared" si="209"/>
        <v>47.52564001884366</v>
      </c>
      <c r="K445" s="942">
        <f t="shared" si="209"/>
        <v>50.916188730137904</v>
      </c>
      <c r="L445" s="942">
        <f t="shared" si="209"/>
        <v>58.680362652644995</v>
      </c>
      <c r="M445" s="942">
        <f t="shared" si="209"/>
        <v>67.751250802833113</v>
      </c>
      <c r="N445" s="942">
        <f t="shared" si="209"/>
        <v>76.410766849950221</v>
      </c>
      <c r="O445" s="942">
        <f t="shared" si="209"/>
        <v>90.260274807558432</v>
      </c>
      <c r="R445" s="646"/>
      <c r="S445" s="735"/>
      <c r="T445" s="621"/>
      <c r="U445" s="621"/>
      <c r="V445" s="736"/>
      <c r="W445" s="737"/>
      <c r="X445" s="737"/>
      <c r="Y445" s="737"/>
      <c r="Z445" s="737"/>
      <c r="AA445" s="737"/>
      <c r="AB445" s="737"/>
      <c r="AC445" s="737"/>
      <c r="AD445" s="737"/>
      <c r="AE445" s="737"/>
      <c r="AF445" s="35"/>
    </row>
    <row r="446" spans="3:32">
      <c r="C446" s="894" t="s">
        <v>922</v>
      </c>
      <c r="D446" s="628" t="s">
        <v>5</v>
      </c>
      <c r="E446" s="628"/>
      <c r="F446" s="942">
        <f t="shared" ref="F446:O446" si="210">CHOOSE($E$8,F339,F360,F382,F404)</f>
        <v>0.20650611961343057</v>
      </c>
      <c r="G446" s="942">
        <f t="shared" si="210"/>
        <v>0.31217555248582807</v>
      </c>
      <c r="H446" s="942">
        <f t="shared" si="210"/>
        <v>0.6407172117365989</v>
      </c>
      <c r="I446" s="942">
        <f t="shared" si="210"/>
        <v>1.3107128947403945</v>
      </c>
      <c r="J446" s="942">
        <f t="shared" si="210"/>
        <v>2.6347932308073903</v>
      </c>
      <c r="K446" s="942">
        <f t="shared" si="210"/>
        <v>5.2974318716156272</v>
      </c>
      <c r="L446" s="942">
        <f t="shared" si="210"/>
        <v>6.7647963671245579</v>
      </c>
      <c r="M446" s="942">
        <f t="shared" si="210"/>
        <v>8.6542951541458208</v>
      </c>
      <c r="N446" s="942">
        <f t="shared" si="210"/>
        <v>10.814872154271491</v>
      </c>
      <c r="O446" s="942">
        <f t="shared" si="210"/>
        <v>14.155197377772522</v>
      </c>
      <c r="R446" s="646"/>
      <c r="S446" s="735"/>
      <c r="T446" s="621"/>
      <c r="U446" s="621"/>
      <c r="V446" s="736"/>
      <c r="W446" s="737"/>
      <c r="X446" s="737"/>
      <c r="Y446" s="737"/>
      <c r="Z446" s="737"/>
      <c r="AA446" s="737"/>
      <c r="AB446" s="737"/>
      <c r="AC446" s="737"/>
      <c r="AD446" s="737"/>
      <c r="AE446" s="737"/>
      <c r="AF446" s="35"/>
    </row>
    <row r="447" spans="3:32">
      <c r="C447" s="894" t="s">
        <v>922</v>
      </c>
      <c r="D447" s="628" t="s">
        <v>919</v>
      </c>
      <c r="E447" s="628"/>
      <c r="F447" s="942">
        <f t="shared" ref="F447:O447" si="211">CHOOSE($E$8,F340,F361,F383,F405)</f>
        <v>0</v>
      </c>
      <c r="G447" s="942">
        <f t="shared" si="211"/>
        <v>0</v>
      </c>
      <c r="H447" s="942">
        <f t="shared" si="211"/>
        <v>0</v>
      </c>
      <c r="I447" s="942">
        <f t="shared" si="211"/>
        <v>0</v>
      </c>
      <c r="J447" s="942">
        <f t="shared" si="211"/>
        <v>0</v>
      </c>
      <c r="K447" s="942">
        <f t="shared" si="211"/>
        <v>0</v>
      </c>
      <c r="L447" s="942">
        <f t="shared" si="211"/>
        <v>0</v>
      </c>
      <c r="M447" s="942">
        <f t="shared" si="211"/>
        <v>0</v>
      </c>
      <c r="N447" s="942">
        <f t="shared" si="211"/>
        <v>0</v>
      </c>
      <c r="O447" s="942">
        <f t="shared" si="211"/>
        <v>0</v>
      </c>
      <c r="R447" s="646"/>
      <c r="S447" s="735"/>
      <c r="T447" s="621"/>
      <c r="U447" s="621"/>
      <c r="V447" s="736"/>
      <c r="W447" s="737"/>
      <c r="X447" s="737"/>
      <c r="Y447" s="737"/>
      <c r="Z447" s="737"/>
      <c r="AA447" s="737"/>
      <c r="AB447" s="737"/>
      <c r="AC447" s="737"/>
      <c r="AD447" s="737"/>
      <c r="AE447" s="737"/>
      <c r="AF447" s="35"/>
    </row>
    <row r="448" spans="3:32">
      <c r="C448" s="894" t="s">
        <v>922</v>
      </c>
      <c r="D448" s="628" t="s">
        <v>499</v>
      </c>
      <c r="E448" s="628"/>
      <c r="F448" s="942">
        <f t="shared" ref="F448:O448" si="212">CHOOSE($E$8,F341,F362,F384,F406)</f>
        <v>831.36228083431911</v>
      </c>
      <c r="G448" s="942">
        <f t="shared" si="212"/>
        <v>882.45539592636521</v>
      </c>
      <c r="H448" s="942">
        <f t="shared" si="212"/>
        <v>864.8078641702906</v>
      </c>
      <c r="I448" s="942">
        <f t="shared" si="212"/>
        <v>844.73439381729145</v>
      </c>
      <c r="J448" s="942">
        <f t="shared" si="212"/>
        <v>810.80890450014385</v>
      </c>
      <c r="K448" s="942">
        <f t="shared" si="212"/>
        <v>778.38904703360095</v>
      </c>
      <c r="L448" s="942">
        <f t="shared" si="212"/>
        <v>724.2414228164522</v>
      </c>
      <c r="M448" s="942">
        <f t="shared" si="212"/>
        <v>664.20978217808204</v>
      </c>
      <c r="N448" s="942">
        <f t="shared" si="212"/>
        <v>584.10225532771597</v>
      </c>
      <c r="O448" s="942">
        <f t="shared" si="212"/>
        <v>534.81050388612096</v>
      </c>
      <c r="R448" s="646"/>
      <c r="S448" s="735"/>
      <c r="T448" s="621"/>
      <c r="U448" s="621"/>
      <c r="V448" s="736"/>
      <c r="W448" s="737"/>
      <c r="X448" s="737"/>
      <c r="Y448" s="737"/>
      <c r="Z448" s="737"/>
      <c r="AA448" s="737"/>
      <c r="AB448" s="737"/>
      <c r="AC448" s="737"/>
      <c r="AD448" s="737"/>
      <c r="AE448" s="737"/>
      <c r="AF448" s="35"/>
    </row>
    <row r="449" spans="1:32">
      <c r="C449" s="894" t="s">
        <v>922</v>
      </c>
      <c r="D449" s="628" t="s">
        <v>102</v>
      </c>
      <c r="E449" s="628"/>
      <c r="F449" s="942">
        <f t="shared" ref="F449:O449" si="213">CHOOSE($E$8,F342,F363,F385,F407)</f>
        <v>6.1092954581163994</v>
      </c>
      <c r="G449" s="942">
        <f t="shared" si="213"/>
        <v>5.6646015444790523</v>
      </c>
      <c r="H449" s="942">
        <f t="shared" si="213"/>
        <v>6.3394322087573274</v>
      </c>
      <c r="I449" s="942">
        <f t="shared" si="213"/>
        <v>6.6350545480314542</v>
      </c>
      <c r="J449" s="942">
        <f t="shared" si="213"/>
        <v>6.823959158143805</v>
      </c>
      <c r="K449" s="942">
        <f t="shared" si="213"/>
        <v>0</v>
      </c>
      <c r="L449" s="942">
        <f t="shared" si="213"/>
        <v>0</v>
      </c>
      <c r="M449" s="942">
        <f t="shared" si="213"/>
        <v>0</v>
      </c>
      <c r="N449" s="942">
        <f t="shared" si="213"/>
        <v>0</v>
      </c>
      <c r="O449" s="942">
        <f t="shared" si="213"/>
        <v>0</v>
      </c>
      <c r="R449" s="646"/>
      <c r="S449" s="735"/>
      <c r="T449" s="621"/>
      <c r="U449" s="621"/>
      <c r="V449" s="736"/>
      <c r="W449" s="737"/>
      <c r="X449" s="737"/>
      <c r="Y449" s="737"/>
      <c r="Z449" s="737"/>
      <c r="AA449" s="737"/>
      <c r="AB449" s="737"/>
      <c r="AC449" s="737"/>
      <c r="AD449" s="737"/>
      <c r="AE449" s="737"/>
      <c r="AF449" s="35"/>
    </row>
    <row r="450" spans="1:32">
      <c r="C450" s="894" t="s">
        <v>922</v>
      </c>
      <c r="D450" s="628" t="s">
        <v>920</v>
      </c>
      <c r="E450" s="628"/>
      <c r="F450" s="942">
        <f t="shared" ref="F450:O450" si="214">CHOOSE($E$8,F343,F364,F386,F408)</f>
        <v>2.7448033380745551</v>
      </c>
      <c r="G450" s="942">
        <f t="shared" si="214"/>
        <v>1.9739213680723564</v>
      </c>
      <c r="H450" s="942">
        <f t="shared" si="214"/>
        <v>1.7467335309808156</v>
      </c>
      <c r="I450" s="942">
        <f t="shared" si="214"/>
        <v>1.828187742574684</v>
      </c>
      <c r="J450" s="942">
        <f t="shared" si="214"/>
        <v>1.8802375170299235</v>
      </c>
      <c r="K450" s="942">
        <f t="shared" si="214"/>
        <v>0</v>
      </c>
      <c r="L450" s="942">
        <f t="shared" si="214"/>
        <v>0</v>
      </c>
      <c r="M450" s="942">
        <f t="shared" si="214"/>
        <v>0</v>
      </c>
      <c r="N450" s="942">
        <f t="shared" si="214"/>
        <v>0</v>
      </c>
      <c r="O450" s="942">
        <f t="shared" si="214"/>
        <v>0</v>
      </c>
      <c r="R450" s="646"/>
      <c r="S450" s="735"/>
      <c r="T450" s="621"/>
      <c r="U450" s="621"/>
      <c r="V450" s="736"/>
      <c r="W450" s="737"/>
      <c r="X450" s="737"/>
      <c r="Y450" s="737"/>
      <c r="Z450" s="737"/>
      <c r="AA450" s="737"/>
      <c r="AB450" s="737"/>
      <c r="AC450" s="737"/>
      <c r="AD450" s="737"/>
      <c r="AE450" s="737"/>
      <c r="AF450" s="35"/>
    </row>
    <row r="451" spans="1:32">
      <c r="C451" s="894" t="s">
        <v>922</v>
      </c>
      <c r="D451" s="946" t="s">
        <v>921</v>
      </c>
      <c r="E451" s="628"/>
      <c r="F451" s="942">
        <f t="shared" ref="F451:O451" si="215">CHOOSE($E$8,F344,F365,F387,F409)</f>
        <v>1.3004856467284154</v>
      </c>
      <c r="G451" s="942">
        <f t="shared" si="215"/>
        <v>1.4139535733994226</v>
      </c>
      <c r="H451" s="942">
        <f t="shared" si="215"/>
        <v>1.8559472086142774</v>
      </c>
      <c r="I451" s="942">
        <f t="shared" si="215"/>
        <v>3.2145861574906998</v>
      </c>
      <c r="J451" s="942">
        <f t="shared" si="215"/>
        <v>5.4711964298996456</v>
      </c>
      <c r="K451" s="942">
        <f t="shared" si="215"/>
        <v>12.33033061088395</v>
      </c>
      <c r="L451" s="942">
        <f t="shared" si="215"/>
        <v>14.176454021749196</v>
      </c>
      <c r="M451" s="942">
        <f t="shared" si="215"/>
        <v>16.328569257697232</v>
      </c>
      <c r="N451" s="942">
        <f t="shared" si="215"/>
        <v>18.371362393648152</v>
      </c>
      <c r="O451" s="942">
        <f t="shared" si="215"/>
        <v>21.649080138270811</v>
      </c>
      <c r="R451" s="646"/>
      <c r="S451" s="735"/>
      <c r="T451" s="621"/>
      <c r="U451" s="621"/>
      <c r="V451" s="736"/>
      <c r="W451" s="737"/>
      <c r="X451" s="737"/>
      <c r="Y451" s="737"/>
      <c r="Z451" s="737"/>
      <c r="AA451" s="737"/>
      <c r="AB451" s="737"/>
      <c r="AC451" s="737"/>
      <c r="AD451" s="737"/>
      <c r="AE451" s="737"/>
      <c r="AF451" s="35"/>
    </row>
    <row r="452" spans="1:32">
      <c r="C452" s="947" t="s">
        <v>922</v>
      </c>
      <c r="D452" s="948" t="s">
        <v>103</v>
      </c>
      <c r="E452" s="949"/>
      <c r="F452" s="950">
        <f>SUM(F445:F451)</f>
        <v>862.24421938429577</v>
      </c>
      <c r="G452" s="950">
        <f t="shared" ref="G452:O452" si="216">SUM(G445:G451)</f>
        <v>923.37299203158977</v>
      </c>
      <c r="H452" s="950">
        <f t="shared" si="216"/>
        <v>911.35277132433532</v>
      </c>
      <c r="I452" s="950">
        <f t="shared" si="216"/>
        <v>900.29763844566094</v>
      </c>
      <c r="J452" s="950">
        <f t="shared" si="216"/>
        <v>875.14473085486838</v>
      </c>
      <c r="K452" s="950">
        <f t="shared" si="216"/>
        <v>846.93299824623841</v>
      </c>
      <c r="L452" s="950">
        <f t="shared" si="216"/>
        <v>803.863035857971</v>
      </c>
      <c r="M452" s="950">
        <f t="shared" si="216"/>
        <v>756.94389739275823</v>
      </c>
      <c r="N452" s="950">
        <f t="shared" si="216"/>
        <v>689.69925672558577</v>
      </c>
      <c r="O452" s="950">
        <f t="shared" si="216"/>
        <v>660.87505620972274</v>
      </c>
      <c r="R452" s="646"/>
      <c r="S452" s="735"/>
      <c r="T452" s="621"/>
      <c r="U452" s="621"/>
      <c r="V452" s="736"/>
      <c r="W452" s="737"/>
      <c r="X452" s="737"/>
      <c r="Y452" s="737"/>
      <c r="Z452" s="737"/>
      <c r="AA452" s="737"/>
      <c r="AB452" s="737"/>
      <c r="AC452" s="737"/>
      <c r="AD452" s="737"/>
      <c r="AE452" s="737"/>
      <c r="AF452" s="35"/>
    </row>
    <row r="453" spans="1:32">
      <c r="R453" s="646"/>
      <c r="S453" s="735"/>
      <c r="T453" s="621"/>
      <c r="U453" s="621"/>
      <c r="V453" s="736"/>
      <c r="W453" s="737"/>
      <c r="X453" s="737"/>
      <c r="Y453" s="737"/>
      <c r="Z453" s="737"/>
      <c r="AA453" s="737"/>
      <c r="AB453" s="737"/>
      <c r="AC453" s="737"/>
      <c r="AD453" s="737"/>
      <c r="AE453" s="737"/>
      <c r="AF453" s="35"/>
    </row>
    <row r="454" spans="1:32">
      <c r="F454" s="940"/>
      <c r="G454" s="940"/>
      <c r="H454" s="940"/>
      <c r="I454" s="940"/>
      <c r="J454" s="940"/>
      <c r="K454" s="940"/>
      <c r="L454" s="940"/>
      <c r="M454" s="940"/>
      <c r="N454" s="940"/>
      <c r="O454" s="940"/>
      <c r="R454" s="646"/>
      <c r="S454" s="735"/>
      <c r="T454" s="738"/>
      <c r="U454" s="621"/>
      <c r="V454" s="739"/>
      <c r="W454" s="739"/>
      <c r="X454" s="740"/>
      <c r="Y454" s="740"/>
      <c r="Z454" s="740"/>
      <c r="AA454" s="740"/>
      <c r="AB454" s="740"/>
      <c r="AC454" s="740"/>
      <c r="AD454" s="740"/>
      <c r="AE454" s="740"/>
      <c r="AF454" s="35"/>
    </row>
    <row r="455" spans="1:32">
      <c r="F455" s="940"/>
      <c r="G455" s="940"/>
      <c r="H455" s="940"/>
      <c r="I455" s="940"/>
      <c r="J455" s="940"/>
      <c r="K455" s="940"/>
      <c r="L455" s="940"/>
      <c r="M455" s="940"/>
      <c r="N455" s="940"/>
      <c r="O455" s="940"/>
      <c r="R455" s="646"/>
      <c r="S455" s="735"/>
      <c r="T455" s="738"/>
      <c r="U455" s="621"/>
      <c r="V455" s="739"/>
      <c r="W455" s="739"/>
      <c r="X455" s="740"/>
      <c r="Y455" s="740"/>
      <c r="Z455" s="740"/>
      <c r="AA455" s="740"/>
      <c r="AB455" s="740"/>
      <c r="AC455" s="740"/>
      <c r="AD455" s="740"/>
      <c r="AE455" s="740"/>
      <c r="AF455" s="35"/>
    </row>
    <row r="456" spans="1:32">
      <c r="F456" s="940"/>
      <c r="G456" s="940"/>
      <c r="H456" s="940"/>
      <c r="I456" s="940"/>
      <c r="J456" s="940"/>
      <c r="K456" s="940"/>
      <c r="L456" s="940"/>
      <c r="M456" s="940"/>
      <c r="N456" s="940"/>
      <c r="O456" s="940"/>
      <c r="R456" s="646"/>
      <c r="S456" s="735"/>
      <c r="T456" s="738"/>
      <c r="U456" s="621"/>
      <c r="V456" s="739"/>
      <c r="W456" s="739"/>
      <c r="X456" s="740"/>
      <c r="Y456" s="740"/>
      <c r="Z456" s="740"/>
      <c r="AA456" s="740"/>
      <c r="AB456" s="740"/>
      <c r="AC456" s="740"/>
      <c r="AD456" s="740"/>
      <c r="AE456" s="740"/>
      <c r="AF456" s="35"/>
    </row>
    <row r="457" spans="1:32">
      <c r="F457" s="940"/>
      <c r="G457" s="940"/>
      <c r="H457" s="940"/>
      <c r="I457" s="940"/>
      <c r="J457" s="940"/>
      <c r="K457" s="940"/>
      <c r="L457" s="940"/>
      <c r="M457" s="940"/>
      <c r="N457" s="940"/>
      <c r="O457" s="940"/>
      <c r="R457" s="646"/>
      <c r="S457" s="735"/>
      <c r="T457" s="738"/>
      <c r="U457" s="621"/>
      <c r="V457" s="739"/>
      <c r="W457" s="739"/>
      <c r="X457" s="740"/>
      <c r="Y457" s="740"/>
      <c r="Z457" s="740"/>
      <c r="AA457" s="740"/>
      <c r="AB457" s="740"/>
      <c r="AC457" s="740"/>
      <c r="AD457" s="740"/>
      <c r="AE457" s="740"/>
      <c r="AF457" s="35"/>
    </row>
    <row r="458" spans="1:32">
      <c r="A458" s="423"/>
      <c r="B458" s="423">
        <v>2</v>
      </c>
      <c r="C458" s="423" t="str">
        <f>"Cooking  Fuel  Demand(Rural +Urban) in "&amp;preferences.energyunits</f>
        <v>Cooking  Fuel  Demand(Rural +Urban) in TWh</v>
      </c>
      <c r="E458" s="422"/>
      <c r="F458" s="854"/>
      <c r="G458" s="854"/>
      <c r="H458" s="854"/>
      <c r="I458" s="854"/>
      <c r="J458" s="854"/>
      <c r="K458" s="854"/>
      <c r="L458" s="854"/>
      <c r="M458" s="854"/>
      <c r="N458" s="854"/>
      <c r="O458" s="854" t="str">
        <f>preferences.energyunits</f>
        <v>TWh</v>
      </c>
      <c r="R458" s="646"/>
      <c r="S458" s="735"/>
      <c r="T458" s="738"/>
      <c r="U458" s="621"/>
      <c r="V458" s="739"/>
      <c r="W458" s="739"/>
      <c r="X458" s="740"/>
      <c r="Y458" s="740"/>
      <c r="Z458" s="740"/>
      <c r="AA458" s="740"/>
      <c r="AB458" s="740"/>
      <c r="AC458" s="740"/>
      <c r="AD458" s="740"/>
      <c r="AE458" s="740"/>
      <c r="AF458" s="35"/>
    </row>
    <row r="459" spans="1:32">
      <c r="A459" s="423"/>
      <c r="B459" s="423"/>
      <c r="C459" s="423"/>
      <c r="E459" s="422"/>
      <c r="F459" s="854"/>
      <c r="G459" s="854"/>
      <c r="H459" s="854"/>
      <c r="I459" s="854"/>
      <c r="J459" s="854"/>
      <c r="K459" s="854"/>
      <c r="L459" s="854"/>
      <c r="M459" s="854"/>
      <c r="N459" s="854"/>
      <c r="O459" s="854"/>
      <c r="R459" s="646"/>
      <c r="S459" s="735"/>
      <c r="T459" s="738"/>
      <c r="U459" s="621"/>
      <c r="V459" s="739"/>
      <c r="W459" s="739"/>
      <c r="X459" s="740"/>
      <c r="Y459" s="740"/>
      <c r="Z459" s="740"/>
      <c r="AA459" s="740"/>
      <c r="AB459" s="740"/>
      <c r="AC459" s="740"/>
      <c r="AD459" s="740"/>
      <c r="AE459" s="740"/>
      <c r="AF459" s="35"/>
    </row>
    <row r="460" spans="1:32">
      <c r="C460" s="979" t="s">
        <v>64</v>
      </c>
      <c r="D460" s="979" t="s">
        <v>227</v>
      </c>
      <c r="E460" s="979" t="s">
        <v>66</v>
      </c>
      <c r="F460" s="641">
        <v>2007</v>
      </c>
      <c r="G460" s="642">
        <f>F460+5</f>
        <v>2012</v>
      </c>
      <c r="H460" s="642">
        <f t="shared" ref="H460:O460" si="217">G460+5</f>
        <v>2017</v>
      </c>
      <c r="I460" s="642">
        <f t="shared" si="217"/>
        <v>2022</v>
      </c>
      <c r="J460" s="642">
        <f t="shared" si="217"/>
        <v>2027</v>
      </c>
      <c r="K460" s="642">
        <f t="shared" si="217"/>
        <v>2032</v>
      </c>
      <c r="L460" s="642">
        <f t="shared" si="217"/>
        <v>2037</v>
      </c>
      <c r="M460" s="642">
        <f t="shared" si="217"/>
        <v>2042</v>
      </c>
      <c r="N460" s="642">
        <f t="shared" si="217"/>
        <v>2047</v>
      </c>
      <c r="O460" s="642">
        <f t="shared" si="217"/>
        <v>2052</v>
      </c>
      <c r="R460" s="646"/>
      <c r="S460" s="735"/>
      <c r="T460" s="738"/>
      <c r="U460" s="621"/>
      <c r="V460" s="739"/>
      <c r="W460" s="739"/>
      <c r="X460" s="740"/>
      <c r="Y460" s="740"/>
      <c r="Z460" s="740"/>
      <c r="AA460" s="740"/>
      <c r="AB460" s="740"/>
      <c r="AC460" s="740"/>
      <c r="AD460" s="740"/>
      <c r="AE460" s="740"/>
      <c r="AF460" s="35"/>
    </row>
    <row r="461" spans="1:32">
      <c r="C461" s="894"/>
      <c r="D461" s="628" t="s">
        <v>918</v>
      </c>
      <c r="E461" s="895"/>
      <c r="F461" s="935">
        <f>F436+F445</f>
        <v>78.423424538748947</v>
      </c>
      <c r="G461" s="935">
        <f t="shared" ref="G461:O461" si="218">G436+G445</f>
        <v>117.88590175157773</v>
      </c>
      <c r="H461" s="935">
        <f t="shared" si="218"/>
        <v>124.85661367030642</v>
      </c>
      <c r="I461" s="935">
        <f t="shared" si="218"/>
        <v>137.70094865462451</v>
      </c>
      <c r="J461" s="935">
        <f t="shared" si="218"/>
        <v>151.89472945650965</v>
      </c>
      <c r="K461" s="935">
        <f t="shared" si="218"/>
        <v>161.08512775500591</v>
      </c>
      <c r="L461" s="935">
        <f t="shared" si="218"/>
        <v>170.66338196706954</v>
      </c>
      <c r="M461" s="935">
        <f t="shared" si="218"/>
        <v>177.85375937320541</v>
      </c>
      <c r="N461" s="935">
        <f t="shared" si="218"/>
        <v>187.1071054817096</v>
      </c>
      <c r="O461" s="935">
        <f t="shared" si="218"/>
        <v>202.53637958704064</v>
      </c>
      <c r="R461" s="646"/>
      <c r="S461" s="735"/>
      <c r="T461" s="738"/>
      <c r="U461" s="621"/>
      <c r="V461" s="739"/>
      <c r="W461" s="739"/>
      <c r="X461" s="740"/>
      <c r="Y461" s="740"/>
      <c r="Z461" s="740"/>
      <c r="AA461" s="740"/>
      <c r="AB461" s="740"/>
      <c r="AC461" s="740"/>
      <c r="AD461" s="740"/>
      <c r="AE461" s="740"/>
      <c r="AF461" s="35"/>
    </row>
    <row r="462" spans="1:32">
      <c r="C462" s="894"/>
      <c r="D462" s="628" t="s">
        <v>5</v>
      </c>
      <c r="E462" s="895"/>
      <c r="F462" s="935">
        <f t="shared" ref="F462:O462" si="219">F437+F446</f>
        <v>0.30660334104356374</v>
      </c>
      <c r="G462" s="935">
        <f t="shared" si="219"/>
        <v>0.40568124773609537</v>
      </c>
      <c r="H462" s="935">
        <f t="shared" si="219"/>
        <v>1.9119107308416539</v>
      </c>
      <c r="I462" s="935">
        <f t="shared" si="219"/>
        <v>3.0737404888957927</v>
      </c>
      <c r="J462" s="935">
        <f t="shared" si="219"/>
        <v>5.9878453050571316</v>
      </c>
      <c r="K462" s="935">
        <f t="shared" si="219"/>
        <v>10.924338830969084</v>
      </c>
      <c r="L462" s="935">
        <f t="shared" si="219"/>
        <v>14.605179460099949</v>
      </c>
      <c r="M462" s="935">
        <f t="shared" si="219"/>
        <v>19.221420721203312</v>
      </c>
      <c r="N462" s="935">
        <f t="shared" si="219"/>
        <v>25.37842895536987</v>
      </c>
      <c r="O462" s="935">
        <f t="shared" si="219"/>
        <v>29.2476501509129</v>
      </c>
      <c r="R462" s="646"/>
      <c r="S462" s="735"/>
      <c r="T462" s="738"/>
      <c r="U462" s="621"/>
      <c r="V462" s="739"/>
      <c r="W462" s="739"/>
      <c r="X462" s="740"/>
      <c r="Y462" s="740"/>
      <c r="Z462" s="740"/>
      <c r="AA462" s="740"/>
      <c r="AB462" s="740"/>
      <c r="AC462" s="740"/>
      <c r="AD462" s="740"/>
      <c r="AE462" s="740"/>
      <c r="AF462" s="35"/>
    </row>
    <row r="463" spans="1:32">
      <c r="C463" s="894"/>
      <c r="D463" s="628" t="s">
        <v>919</v>
      </c>
      <c r="E463" s="895"/>
      <c r="F463" s="935">
        <f t="shared" ref="F463:O463" si="220">F438+F447</f>
        <v>0.12209135553179065</v>
      </c>
      <c r="G463" s="935">
        <f t="shared" si="220"/>
        <v>1.2114440580384245</v>
      </c>
      <c r="H463" s="935">
        <f t="shared" si="220"/>
        <v>4.6458607279195467</v>
      </c>
      <c r="I463" s="935">
        <f t="shared" si="220"/>
        <v>14.034000133607226</v>
      </c>
      <c r="J463" s="935">
        <f t="shared" si="220"/>
        <v>30.561562908825266</v>
      </c>
      <c r="K463" s="935">
        <f t="shared" si="220"/>
        <v>50.08590520127516</v>
      </c>
      <c r="L463" s="935">
        <f t="shared" si="220"/>
        <v>72.546680420102987</v>
      </c>
      <c r="M463" s="935">
        <f t="shared" si="220"/>
        <v>102.67878398319945</v>
      </c>
      <c r="N463" s="935">
        <f t="shared" si="220"/>
        <v>134.84573353008619</v>
      </c>
      <c r="O463" s="935">
        <f t="shared" si="220"/>
        <v>171.3616043661288</v>
      </c>
      <c r="R463" s="646"/>
      <c r="S463" s="735"/>
      <c r="T463" s="738"/>
      <c r="U463" s="621"/>
      <c r="V463" s="739"/>
      <c r="W463" s="739"/>
      <c r="X463" s="740"/>
      <c r="Y463" s="740"/>
      <c r="Z463" s="740"/>
      <c r="AA463" s="740"/>
      <c r="AB463" s="740"/>
      <c r="AC463" s="740"/>
      <c r="AD463" s="740"/>
      <c r="AE463" s="740"/>
      <c r="AF463" s="35"/>
    </row>
    <row r="464" spans="1:32">
      <c r="C464" s="894"/>
      <c r="D464" s="628" t="s">
        <v>499</v>
      </c>
      <c r="E464" s="895"/>
      <c r="F464" s="935">
        <f t="shared" ref="F464:O464" si="221">F439+F448</f>
        <v>933.28329852322895</v>
      </c>
      <c r="G464" s="935">
        <f t="shared" si="221"/>
        <v>1004.0934689774729</v>
      </c>
      <c r="H464" s="935">
        <f t="shared" si="221"/>
        <v>982.50315773688021</v>
      </c>
      <c r="I464" s="935">
        <f t="shared" si="221"/>
        <v>963.08636487867864</v>
      </c>
      <c r="J464" s="935">
        <f t="shared" si="221"/>
        <v>932.83090704481128</v>
      </c>
      <c r="K464" s="935">
        <f t="shared" si="221"/>
        <v>899.42559656083256</v>
      </c>
      <c r="L464" s="935">
        <f t="shared" si="221"/>
        <v>846.52075064848759</v>
      </c>
      <c r="M464" s="935">
        <f t="shared" si="221"/>
        <v>783.70254050190999</v>
      </c>
      <c r="N464" s="935">
        <f t="shared" si="221"/>
        <v>703.50687543202605</v>
      </c>
      <c r="O464" s="935">
        <f t="shared" si="221"/>
        <v>655.18062965232855</v>
      </c>
      <c r="R464" s="646"/>
      <c r="S464" s="735"/>
      <c r="T464" s="738"/>
      <c r="U464" s="621"/>
      <c r="V464" s="739"/>
      <c r="W464" s="739"/>
      <c r="X464" s="740"/>
      <c r="Y464" s="740"/>
      <c r="Z464" s="740"/>
      <c r="AA464" s="740"/>
      <c r="AB464" s="740"/>
      <c r="AC464" s="740"/>
      <c r="AD464" s="740"/>
      <c r="AE464" s="740"/>
      <c r="AF464" s="35"/>
    </row>
    <row r="465" spans="2:32">
      <c r="C465" s="894"/>
      <c r="D465" s="628" t="s">
        <v>102</v>
      </c>
      <c r="E465" s="895"/>
      <c r="F465" s="935">
        <f t="shared" ref="F465:O465" si="222">F440+F449</f>
        <v>16.285902347345228</v>
      </c>
      <c r="G465" s="935">
        <f t="shared" si="222"/>
        <v>16.017590537497256</v>
      </c>
      <c r="H465" s="935">
        <f t="shared" si="222"/>
        <v>19.43351662343056</v>
      </c>
      <c r="I465" s="935">
        <f t="shared" si="222"/>
        <v>20.656297992786438</v>
      </c>
      <c r="J465" s="935">
        <f t="shared" si="222"/>
        <v>17.971954587809453</v>
      </c>
      <c r="K465" s="935">
        <f t="shared" si="222"/>
        <v>6.2134287454562349</v>
      </c>
      <c r="L465" s="935">
        <f t="shared" si="222"/>
        <v>7.0543008944832568</v>
      </c>
      <c r="M465" s="935">
        <f t="shared" si="222"/>
        <v>0</v>
      </c>
      <c r="N465" s="935">
        <f t="shared" si="222"/>
        <v>0</v>
      </c>
      <c r="O465" s="935">
        <f t="shared" si="222"/>
        <v>0</v>
      </c>
      <c r="R465" s="646"/>
      <c r="S465" s="735"/>
      <c r="T465" s="738"/>
      <c r="U465" s="621"/>
      <c r="V465" s="739"/>
      <c r="W465" s="739"/>
      <c r="X465" s="740"/>
      <c r="Y465" s="740"/>
      <c r="Z465" s="740"/>
      <c r="AA465" s="740"/>
      <c r="AB465" s="740"/>
      <c r="AC465" s="740"/>
      <c r="AD465" s="740"/>
      <c r="AE465" s="740"/>
      <c r="AF465" s="35"/>
    </row>
    <row r="466" spans="2:32">
      <c r="C466" s="894"/>
      <c r="D466" s="628" t="s">
        <v>920</v>
      </c>
      <c r="E466" s="895"/>
      <c r="F466" s="935">
        <f t="shared" ref="F466:O466" si="223">F441+F450</f>
        <v>16.139305643430379</v>
      </c>
      <c r="G466" s="935">
        <f t="shared" si="223"/>
        <v>12.700204817306343</v>
      </c>
      <c r="H466" s="935">
        <f t="shared" si="223"/>
        <v>13.291932180415801</v>
      </c>
      <c r="I466" s="935">
        <f t="shared" si="223"/>
        <v>14.190872734920069</v>
      </c>
      <c r="J466" s="935">
        <f t="shared" si="223"/>
        <v>11.709548044022972</v>
      </c>
      <c r="K466" s="935">
        <f t="shared" si="223"/>
        <v>5.4784486557926328</v>
      </c>
      <c r="L466" s="935">
        <f t="shared" si="223"/>
        <v>3.1099274519885762</v>
      </c>
      <c r="M466" s="935">
        <f t="shared" si="223"/>
        <v>0</v>
      </c>
      <c r="N466" s="935">
        <f t="shared" si="223"/>
        <v>0</v>
      </c>
      <c r="O466" s="935">
        <f t="shared" si="223"/>
        <v>0</v>
      </c>
      <c r="R466" s="646"/>
      <c r="S466" s="735"/>
      <c r="T466" s="738"/>
      <c r="U466" s="621"/>
      <c r="V466" s="739"/>
      <c r="W466" s="739"/>
      <c r="X466" s="740"/>
      <c r="Y466" s="740"/>
      <c r="Z466" s="740"/>
      <c r="AA466" s="740"/>
      <c r="AB466" s="740"/>
      <c r="AC466" s="740"/>
      <c r="AD466" s="740"/>
      <c r="AE466" s="740"/>
      <c r="AF466" s="35"/>
    </row>
    <row r="467" spans="2:32">
      <c r="C467" s="894"/>
      <c r="D467" s="628" t="s">
        <v>921</v>
      </c>
      <c r="E467" s="895"/>
      <c r="F467" s="935">
        <f t="shared" ref="F467:O467" si="224">F442+F451</f>
        <v>1.3004856467284154</v>
      </c>
      <c r="G467" s="935">
        <f t="shared" si="224"/>
        <v>1.4139535733994226</v>
      </c>
      <c r="H467" s="935">
        <f t="shared" si="224"/>
        <v>1.8559472086142774</v>
      </c>
      <c r="I467" s="935">
        <f t="shared" si="224"/>
        <v>3.2145861574906998</v>
      </c>
      <c r="J467" s="935">
        <f t="shared" si="224"/>
        <v>5.4711964298996456</v>
      </c>
      <c r="K467" s="935">
        <f t="shared" si="224"/>
        <v>12.33033061088395</v>
      </c>
      <c r="L467" s="935">
        <f t="shared" si="224"/>
        <v>14.176454021749196</v>
      </c>
      <c r="M467" s="935">
        <f t="shared" si="224"/>
        <v>16.328569257697232</v>
      </c>
      <c r="N467" s="935">
        <f t="shared" si="224"/>
        <v>18.371362393648152</v>
      </c>
      <c r="O467" s="935">
        <f t="shared" si="224"/>
        <v>21.649080138270811</v>
      </c>
      <c r="R467" s="646"/>
      <c r="S467" s="735"/>
      <c r="T467" s="738"/>
      <c r="U467" s="621"/>
      <c r="V467" s="739"/>
      <c r="W467" s="739"/>
      <c r="X467" s="740"/>
      <c r="Y467" s="740"/>
      <c r="Z467" s="740"/>
      <c r="AA467" s="740"/>
      <c r="AB467" s="740"/>
      <c r="AC467" s="740"/>
      <c r="AD467" s="740"/>
      <c r="AE467" s="740"/>
      <c r="AF467" s="35"/>
    </row>
    <row r="468" spans="2:32">
      <c r="C468" s="241"/>
      <c r="D468" s="948" t="s">
        <v>103</v>
      </c>
      <c r="E468" s="241"/>
      <c r="F468" s="951">
        <f>SUM(F461:F467)</f>
        <v>1045.8611113960574</v>
      </c>
      <c r="G468" s="951">
        <f t="shared" ref="G468:O468" si="225">SUM(G461:G467)</f>
        <v>1153.7282449630279</v>
      </c>
      <c r="H468" s="951">
        <f t="shared" si="225"/>
        <v>1148.4989388784084</v>
      </c>
      <c r="I468" s="951">
        <f t="shared" si="225"/>
        <v>1155.9568110410032</v>
      </c>
      <c r="J468" s="951">
        <f t="shared" si="225"/>
        <v>1156.4277437769356</v>
      </c>
      <c r="K468" s="951">
        <f t="shared" si="225"/>
        <v>1145.5431763602155</v>
      </c>
      <c r="L468" s="951">
        <f t="shared" si="225"/>
        <v>1128.6766748639811</v>
      </c>
      <c r="M468" s="951">
        <f t="shared" si="225"/>
        <v>1099.7850738372154</v>
      </c>
      <c r="N468" s="951">
        <f t="shared" si="225"/>
        <v>1069.2095057928398</v>
      </c>
      <c r="O468" s="951">
        <f t="shared" si="225"/>
        <v>1079.9753438946816</v>
      </c>
      <c r="R468" s="646"/>
      <c r="S468" s="735"/>
      <c r="T468" s="738"/>
      <c r="U468" s="621"/>
      <c r="V468" s="739"/>
      <c r="W468" s="739"/>
      <c r="X468" s="740"/>
      <c r="Y468" s="740"/>
      <c r="Z468" s="740"/>
      <c r="AA468" s="740"/>
      <c r="AB468" s="740"/>
      <c r="AC468" s="740"/>
      <c r="AD468" s="740"/>
      <c r="AE468" s="740"/>
      <c r="AF468" s="35"/>
    </row>
    <row r="469" spans="2:32">
      <c r="C469" s="539"/>
      <c r="D469" s="944"/>
      <c r="E469" s="539"/>
      <c r="F469" s="980"/>
      <c r="G469" s="980"/>
      <c r="H469" s="980"/>
      <c r="I469" s="980"/>
      <c r="J469" s="980"/>
      <c r="K469" s="980"/>
      <c r="L469" s="980"/>
      <c r="M469" s="980"/>
      <c r="N469" s="980"/>
      <c r="O469" s="980"/>
      <c r="R469" s="646"/>
      <c r="S469" s="735"/>
      <c r="T469" s="738"/>
      <c r="U469" s="621"/>
      <c r="V469" s="739"/>
      <c r="W469" s="739"/>
      <c r="X469" s="740"/>
      <c r="Y469" s="740"/>
      <c r="Z469" s="740"/>
      <c r="AA469" s="740"/>
      <c r="AB469" s="740"/>
      <c r="AC469" s="740"/>
      <c r="AD469" s="740"/>
      <c r="AE469" s="740"/>
      <c r="AF469" s="35"/>
    </row>
    <row r="470" spans="2:32">
      <c r="B470" s="605">
        <v>3</v>
      </c>
      <c r="C470" s="956" t="s">
        <v>1065</v>
      </c>
      <c r="D470" s="944"/>
      <c r="E470" s="539"/>
      <c r="F470" s="980"/>
      <c r="G470" s="980"/>
      <c r="H470" s="980"/>
      <c r="I470" s="980"/>
      <c r="J470" s="980"/>
      <c r="K470" s="980"/>
      <c r="L470" s="980"/>
      <c r="M470" s="980"/>
      <c r="N470" s="980"/>
      <c r="O470" s="980"/>
      <c r="R470" s="646"/>
      <c r="S470" s="735"/>
      <c r="T470" s="738"/>
      <c r="U470" s="621"/>
      <c r="V470" s="739"/>
      <c r="W470" s="739"/>
      <c r="X470" s="740"/>
      <c r="Y470" s="740"/>
      <c r="Z470" s="740"/>
      <c r="AA470" s="740"/>
      <c r="AB470" s="740"/>
      <c r="AC470" s="740"/>
      <c r="AD470" s="740"/>
      <c r="AE470" s="740"/>
      <c r="AF470" s="35"/>
    </row>
    <row r="471" spans="2:32">
      <c r="C471" s="956"/>
      <c r="D471" s="944"/>
      <c r="E471" s="539"/>
      <c r="F471" s="980"/>
      <c r="G471" s="980"/>
      <c r="H471" s="980"/>
      <c r="I471" s="980"/>
      <c r="J471" s="980"/>
      <c r="K471" s="980"/>
      <c r="L471" s="980"/>
      <c r="M471" s="980"/>
      <c r="N471" s="980"/>
      <c r="O471" s="980"/>
      <c r="R471" s="646"/>
      <c r="S471" s="735"/>
      <c r="T471" s="738"/>
      <c r="U471" s="621"/>
      <c r="V471" s="739"/>
      <c r="W471" s="739"/>
      <c r="X471" s="740"/>
      <c r="Y471" s="740"/>
      <c r="Z471" s="740"/>
      <c r="AA471" s="740"/>
      <c r="AB471" s="740"/>
      <c r="AC471" s="740"/>
      <c r="AD471" s="740"/>
      <c r="AE471" s="740"/>
      <c r="AF471" s="35"/>
    </row>
    <row r="472" spans="2:32">
      <c r="C472" s="893" t="s">
        <v>870</v>
      </c>
      <c r="D472" s="893" t="s">
        <v>65</v>
      </c>
      <c r="E472" s="893" t="s">
        <v>404</v>
      </c>
      <c r="F472" s="641">
        <v>2007</v>
      </c>
      <c r="G472" s="642">
        <f t="shared" ref="G472:O472" si="226">F472+5</f>
        <v>2012</v>
      </c>
      <c r="H472" s="642">
        <f t="shared" si="226"/>
        <v>2017</v>
      </c>
      <c r="I472" s="642">
        <f t="shared" si="226"/>
        <v>2022</v>
      </c>
      <c r="J472" s="642">
        <f t="shared" si="226"/>
        <v>2027</v>
      </c>
      <c r="K472" s="642">
        <f t="shared" si="226"/>
        <v>2032</v>
      </c>
      <c r="L472" s="642">
        <f t="shared" si="226"/>
        <v>2037</v>
      </c>
      <c r="M472" s="642">
        <f t="shared" si="226"/>
        <v>2042</v>
      </c>
      <c r="N472" s="642">
        <f t="shared" si="226"/>
        <v>2047</v>
      </c>
      <c r="O472" s="642">
        <f t="shared" si="226"/>
        <v>2052</v>
      </c>
      <c r="R472" s="646"/>
      <c r="S472" s="735"/>
      <c r="T472" s="738"/>
      <c r="U472" s="621"/>
      <c r="V472" s="739"/>
      <c r="W472" s="739"/>
      <c r="X472" s="740"/>
      <c r="Y472" s="740"/>
      <c r="Z472" s="740"/>
      <c r="AA472" s="740"/>
      <c r="AB472" s="740"/>
      <c r="AC472" s="740"/>
      <c r="AD472" s="740"/>
      <c r="AE472" s="740"/>
      <c r="AF472" s="35"/>
    </row>
    <row r="473" spans="2:32">
      <c r="C473" s="894" t="s">
        <v>923</v>
      </c>
      <c r="D473" s="628" t="s">
        <v>918</v>
      </c>
      <c r="E473" s="941" t="s">
        <v>277</v>
      </c>
      <c r="F473" s="978">
        <f t="shared" ref="F473:O473" si="227">F140</f>
        <v>0.59348769755125597</v>
      </c>
      <c r="G473" s="978">
        <f t="shared" si="227"/>
        <v>0.69063372263578993</v>
      </c>
      <c r="H473" s="978">
        <f t="shared" si="227"/>
        <v>0.65241886104258995</v>
      </c>
      <c r="I473" s="978">
        <f t="shared" si="227"/>
        <v>0.61631854381454798</v>
      </c>
      <c r="J473" s="978">
        <f t="shared" si="227"/>
        <v>0.58221576678925602</v>
      </c>
      <c r="K473" s="978">
        <f t="shared" si="227"/>
        <v>0.55000000000000004</v>
      </c>
      <c r="L473" s="978">
        <f t="shared" si="227"/>
        <v>0.49123468999377801</v>
      </c>
      <c r="M473" s="978">
        <f t="shared" si="227"/>
        <v>0.43874821936960601</v>
      </c>
      <c r="N473" s="978">
        <f t="shared" si="227"/>
        <v>0.39186971914063795</v>
      </c>
      <c r="O473" s="978">
        <f t="shared" si="227"/>
        <v>0.35</v>
      </c>
      <c r="R473" s="646"/>
      <c r="S473" s="735"/>
      <c r="T473" s="738"/>
      <c r="U473" s="621"/>
      <c r="V473" s="739"/>
      <c r="W473" s="739"/>
      <c r="X473" s="740"/>
      <c r="Y473" s="740"/>
      <c r="Z473" s="740"/>
      <c r="AA473" s="740"/>
      <c r="AB473" s="740"/>
      <c r="AC473" s="740"/>
      <c r="AD473" s="740"/>
      <c r="AE473" s="740"/>
      <c r="AF473" s="35"/>
    </row>
    <row r="474" spans="2:32">
      <c r="C474" s="894" t="s">
        <v>923</v>
      </c>
      <c r="D474" s="628" t="s">
        <v>5</v>
      </c>
      <c r="E474" s="628" t="s">
        <v>277</v>
      </c>
      <c r="F474" s="978">
        <f t="shared" ref="F474:O474" si="228">F141</f>
        <v>1.1010381779350401E-3</v>
      </c>
      <c r="G474" s="978">
        <f t="shared" si="228"/>
        <v>8.0274156176023093E-4</v>
      </c>
      <c r="H474" s="978">
        <f t="shared" si="228"/>
        <v>0.01</v>
      </c>
      <c r="I474" s="978">
        <f t="shared" si="228"/>
        <v>1.2228445449938501E-2</v>
      </c>
      <c r="J474" s="978">
        <f t="shared" si="228"/>
        <v>0.02</v>
      </c>
      <c r="K474" s="978">
        <f t="shared" si="228"/>
        <v>0.03</v>
      </c>
      <c r="L474" s="978">
        <f t="shared" si="228"/>
        <v>3.6685336349815502E-2</v>
      </c>
      <c r="M474" s="978">
        <f t="shared" si="228"/>
        <v>4.4860463436636605E-2</v>
      </c>
      <c r="N474" s="978">
        <f t="shared" si="228"/>
        <v>5.4857372999387206E-2</v>
      </c>
      <c r="O474" s="978">
        <f t="shared" si="228"/>
        <v>0.05</v>
      </c>
      <c r="R474" s="646"/>
      <c r="S474" s="735"/>
      <c r="T474" s="738"/>
      <c r="U474" s="621"/>
      <c r="V474" s="739"/>
      <c r="W474" s="739"/>
      <c r="X474" s="740"/>
      <c r="Y474" s="740"/>
      <c r="Z474" s="740"/>
      <c r="AA474" s="740"/>
      <c r="AB474" s="740"/>
      <c r="AC474" s="740"/>
      <c r="AD474" s="740"/>
      <c r="AE474" s="740"/>
      <c r="AF474" s="35"/>
    </row>
    <row r="475" spans="2:32">
      <c r="C475" s="894" t="s">
        <v>923</v>
      </c>
      <c r="D475" s="628" t="s">
        <v>919</v>
      </c>
      <c r="E475" s="628" t="s">
        <v>277</v>
      </c>
      <c r="F475" s="978">
        <f t="shared" ref="F475:O475" si="229">F142</f>
        <v>1.1010381779350401E-3</v>
      </c>
      <c r="G475" s="978">
        <f t="shared" si="229"/>
        <v>8.5266444942411201E-3</v>
      </c>
      <c r="H475" s="978">
        <f t="shared" si="229"/>
        <v>0.03</v>
      </c>
      <c r="I475" s="978">
        <f t="shared" si="229"/>
        <v>0.08</v>
      </c>
      <c r="J475" s="978">
        <f t="shared" si="229"/>
        <v>0.15</v>
      </c>
      <c r="K475" s="978">
        <f t="shared" si="229"/>
        <v>0.22</v>
      </c>
      <c r="L475" s="978">
        <f t="shared" si="229"/>
        <v>0.28000000000000003</v>
      </c>
      <c r="M475" s="978">
        <f t="shared" si="229"/>
        <v>0.36</v>
      </c>
      <c r="N475" s="978">
        <f t="shared" si="229"/>
        <v>0.42</v>
      </c>
      <c r="O475" s="978">
        <f t="shared" si="229"/>
        <v>0.47</v>
      </c>
      <c r="R475" s="646"/>
      <c r="S475" s="735"/>
      <c r="T475" s="738"/>
      <c r="U475" s="621"/>
      <c r="V475" s="739"/>
      <c r="W475" s="739"/>
      <c r="X475" s="740"/>
      <c r="Y475" s="740"/>
      <c r="Z475" s="740"/>
      <c r="AA475" s="740"/>
      <c r="AB475" s="740"/>
      <c r="AC475" s="740"/>
      <c r="AD475" s="740"/>
      <c r="AE475" s="740"/>
      <c r="AF475" s="35"/>
    </row>
    <row r="476" spans="2:32">
      <c r="C476" s="894" t="s">
        <v>923</v>
      </c>
      <c r="D476" s="628" t="s">
        <v>499</v>
      </c>
      <c r="E476" s="628" t="s">
        <v>277</v>
      </c>
      <c r="F476" s="978">
        <f t="shared" ref="F476:O476" si="230">F143</f>
        <v>0.24213092843119402</v>
      </c>
      <c r="G476" s="978">
        <f t="shared" si="230"/>
        <v>0.22553470329546102</v>
      </c>
      <c r="H476" s="978">
        <f t="shared" si="230"/>
        <v>0.209840818797557</v>
      </c>
      <c r="I476" s="978">
        <f t="shared" si="230"/>
        <v>0.19523899688263799</v>
      </c>
      <c r="J476" s="978">
        <f t="shared" si="230"/>
        <v>0.181653246123259</v>
      </c>
      <c r="K476" s="978">
        <f t="shared" si="230"/>
        <v>0.16901286297302998</v>
      </c>
      <c r="L476" s="978">
        <f t="shared" si="230"/>
        <v>0.15725206380819398</v>
      </c>
      <c r="M476" s="978">
        <f t="shared" si="230"/>
        <v>0.14630964257366799</v>
      </c>
      <c r="N476" s="978">
        <f t="shared" si="230"/>
        <v>0.13612865225186899</v>
      </c>
      <c r="O476" s="978">
        <f t="shared" si="230"/>
        <v>0.12665610849660799</v>
      </c>
      <c r="R476" s="646"/>
      <c r="S476" s="735"/>
      <c r="T476" s="738"/>
      <c r="U476" s="621"/>
      <c r="V476" s="739"/>
      <c r="W476" s="739"/>
      <c r="X476" s="740"/>
      <c r="Y476" s="740"/>
      <c r="Z476" s="740"/>
      <c r="AA476" s="740"/>
      <c r="AB476" s="740"/>
      <c r="AC476" s="740"/>
      <c r="AD476" s="740"/>
      <c r="AE476" s="740"/>
      <c r="AF476" s="35"/>
    </row>
    <row r="477" spans="2:32">
      <c r="C477" s="894" t="s">
        <v>923</v>
      </c>
      <c r="D477" s="628" t="s">
        <v>102</v>
      </c>
      <c r="E477" s="628" t="s">
        <v>277</v>
      </c>
      <c r="F477" s="978">
        <f t="shared" ref="F477:O477" si="231">F144</f>
        <v>3.33047323644972E-2</v>
      </c>
      <c r="G477" s="978">
        <f t="shared" si="231"/>
        <v>2.64439319653509E-2</v>
      </c>
      <c r="H477" s="978">
        <f t="shared" si="231"/>
        <v>3.0758113895740999E-2</v>
      </c>
      <c r="I477" s="978">
        <f t="shared" si="231"/>
        <v>2.91453010735514E-2</v>
      </c>
      <c r="J477" s="978">
        <f t="shared" si="231"/>
        <v>0.02</v>
      </c>
      <c r="K477" s="978">
        <f t="shared" si="231"/>
        <v>0.01</v>
      </c>
      <c r="L477" s="978">
        <f t="shared" si="231"/>
        <v>0.01</v>
      </c>
      <c r="M477" s="978">
        <f t="shared" si="231"/>
        <v>0</v>
      </c>
      <c r="N477" s="978">
        <f t="shared" si="231"/>
        <v>0</v>
      </c>
      <c r="O477" s="978">
        <f t="shared" si="231"/>
        <v>0</v>
      </c>
      <c r="R477" s="646"/>
      <c r="S477" s="735"/>
      <c r="T477" s="738"/>
      <c r="U477" s="621"/>
      <c r="V477" s="739"/>
      <c r="W477" s="739"/>
      <c r="X477" s="740"/>
      <c r="Y477" s="740"/>
      <c r="Z477" s="740"/>
      <c r="AA477" s="740"/>
      <c r="AB477" s="740"/>
      <c r="AC477" s="740"/>
      <c r="AD477" s="740"/>
      <c r="AE477" s="740"/>
      <c r="AF477" s="35"/>
    </row>
    <row r="478" spans="2:32">
      <c r="C478" s="894" t="s">
        <v>923</v>
      </c>
      <c r="D478" s="628" t="s">
        <v>920</v>
      </c>
      <c r="E478" s="628" t="s">
        <v>277</v>
      </c>
      <c r="F478" s="978">
        <f t="shared" ref="F478:O478" si="232">F145</f>
        <v>9.9433620520199606E-2</v>
      </c>
      <c r="G478" s="978">
        <f t="shared" si="232"/>
        <v>6.2146012825124802E-2</v>
      </c>
      <c r="H478" s="978">
        <f t="shared" si="232"/>
        <v>6.1516227791481998E-2</v>
      </c>
      <c r="I478" s="978">
        <f t="shared" si="232"/>
        <v>5.8290602147102799E-2</v>
      </c>
      <c r="J478" s="978">
        <f t="shared" si="232"/>
        <v>0.04</v>
      </c>
      <c r="K478" s="978">
        <f t="shared" si="232"/>
        <v>0.02</v>
      </c>
      <c r="L478" s="978">
        <f t="shared" si="232"/>
        <v>0.01</v>
      </c>
      <c r="M478" s="978">
        <f t="shared" si="232"/>
        <v>0</v>
      </c>
      <c r="N478" s="978">
        <f t="shared" si="232"/>
        <v>0</v>
      </c>
      <c r="O478" s="978">
        <f t="shared" si="232"/>
        <v>0</v>
      </c>
      <c r="R478" s="646"/>
      <c r="S478" s="735"/>
      <c r="T478" s="738"/>
      <c r="U478" s="621"/>
      <c r="V478" s="739"/>
      <c r="W478" s="739"/>
      <c r="X478" s="740"/>
      <c r="Y478" s="740"/>
      <c r="Z478" s="740"/>
      <c r="AA478" s="740"/>
      <c r="AB478" s="740"/>
      <c r="AC478" s="740"/>
      <c r="AD478" s="740"/>
      <c r="AE478" s="740"/>
      <c r="AF478" s="35"/>
    </row>
    <row r="479" spans="2:32">
      <c r="C479" s="894" t="s">
        <v>923</v>
      </c>
      <c r="D479" s="628" t="s">
        <v>921</v>
      </c>
      <c r="E479" s="628" t="s">
        <v>277</v>
      </c>
      <c r="F479" s="978">
        <f t="shared" ref="F479:O479" si="233">F146</f>
        <v>0</v>
      </c>
      <c r="G479" s="978">
        <f t="shared" si="233"/>
        <v>0</v>
      </c>
      <c r="H479" s="978">
        <f t="shared" si="233"/>
        <v>0</v>
      </c>
      <c r="I479" s="978">
        <f t="shared" si="233"/>
        <v>0</v>
      </c>
      <c r="J479" s="978">
        <f t="shared" si="233"/>
        <v>0</v>
      </c>
      <c r="K479" s="978">
        <f t="shared" si="233"/>
        <v>0</v>
      </c>
      <c r="L479" s="978">
        <f t="shared" si="233"/>
        <v>0</v>
      </c>
      <c r="M479" s="978">
        <f t="shared" si="233"/>
        <v>0</v>
      </c>
      <c r="N479" s="978">
        <f t="shared" si="233"/>
        <v>0</v>
      </c>
      <c r="O479" s="978">
        <f t="shared" si="233"/>
        <v>0</v>
      </c>
      <c r="R479" s="646"/>
      <c r="S479" s="735"/>
      <c r="T479" s="738"/>
      <c r="U479" s="621"/>
      <c r="V479" s="739"/>
      <c r="W479" s="739"/>
      <c r="X479" s="740"/>
      <c r="Y479" s="740"/>
      <c r="Z479" s="740"/>
      <c r="AA479" s="740"/>
      <c r="AB479" s="740"/>
      <c r="AC479" s="740"/>
      <c r="AD479" s="740"/>
      <c r="AE479" s="740"/>
      <c r="AF479" s="35"/>
    </row>
    <row r="480" spans="2:32">
      <c r="C480" s="943" t="s">
        <v>923</v>
      </c>
      <c r="D480" s="944" t="s">
        <v>103</v>
      </c>
      <c r="E480" s="944"/>
      <c r="F480" s="977">
        <f t="shared" ref="F480:O480" si="234">SUM(F473:F479)</f>
        <v>0.97055905522301678</v>
      </c>
      <c r="G480" s="977">
        <f t="shared" si="234"/>
        <v>1.014087756777728</v>
      </c>
      <c r="H480" s="977">
        <f t="shared" si="234"/>
        <v>0.99453402152737003</v>
      </c>
      <c r="I480" s="977">
        <f t="shared" si="234"/>
        <v>0.99122188936777866</v>
      </c>
      <c r="J480" s="977">
        <f t="shared" si="234"/>
        <v>0.99386901291251517</v>
      </c>
      <c r="K480" s="977">
        <f t="shared" si="234"/>
        <v>0.99901286297303005</v>
      </c>
      <c r="L480" s="977">
        <f t="shared" si="234"/>
        <v>0.98517209015178753</v>
      </c>
      <c r="M480" s="977">
        <f t="shared" si="234"/>
        <v>0.98991832537991054</v>
      </c>
      <c r="N480" s="977">
        <f t="shared" si="234"/>
        <v>1.0028557443918942</v>
      </c>
      <c r="O480" s="977">
        <f t="shared" si="234"/>
        <v>0.99665610849660791</v>
      </c>
      <c r="R480" s="646"/>
      <c r="S480" s="735"/>
      <c r="T480" s="738"/>
      <c r="U480" s="621"/>
      <c r="V480" s="739"/>
      <c r="W480" s="739"/>
      <c r="X480" s="740"/>
      <c r="Y480" s="740"/>
      <c r="Z480" s="740"/>
      <c r="AA480" s="740"/>
      <c r="AB480" s="740"/>
      <c r="AC480" s="740"/>
      <c r="AD480" s="740"/>
      <c r="AE480" s="740"/>
      <c r="AF480" s="35"/>
    </row>
    <row r="481" spans="2:47">
      <c r="C481" s="894"/>
      <c r="D481" s="628"/>
      <c r="E481" s="628"/>
      <c r="F481" s="978"/>
      <c r="G481" s="978"/>
      <c r="H481" s="978"/>
      <c r="I481" s="978"/>
      <c r="J481" s="978"/>
      <c r="K481" s="978"/>
      <c r="L481" s="978"/>
      <c r="M481" s="978"/>
      <c r="N481" s="978"/>
      <c r="O481" s="978"/>
      <c r="R481" s="646"/>
      <c r="S481" s="735"/>
      <c r="T481" s="738"/>
      <c r="U481" s="621"/>
      <c r="V481" s="739"/>
      <c r="W481" s="739"/>
      <c r="X481" s="740"/>
      <c r="Y481" s="740"/>
      <c r="Z481" s="740"/>
      <c r="AA481" s="740"/>
      <c r="AB481" s="740"/>
      <c r="AC481" s="740"/>
      <c r="AD481" s="740"/>
      <c r="AE481" s="740"/>
      <c r="AF481" s="35"/>
    </row>
    <row r="482" spans="2:47">
      <c r="C482" s="894" t="s">
        <v>922</v>
      </c>
      <c r="D482" s="628" t="s">
        <v>918</v>
      </c>
      <c r="E482" s="628" t="s">
        <v>277</v>
      </c>
      <c r="F482" s="978">
        <f t="shared" ref="F482:O482" si="235">F149</f>
        <v>9.2596773184610792E-2</v>
      </c>
      <c r="G482" s="978">
        <f t="shared" si="235"/>
        <v>0.130951612469662</v>
      </c>
      <c r="H482" s="978">
        <f t="shared" si="235"/>
        <v>0.141791848436533</v>
      </c>
      <c r="I482" s="978">
        <f t="shared" si="235"/>
        <v>0.16</v>
      </c>
      <c r="J482" s="978">
        <f t="shared" si="235"/>
        <v>0.17324487512592601</v>
      </c>
      <c r="K482" s="978">
        <f t="shared" si="235"/>
        <v>0.18</v>
      </c>
      <c r="L482" s="978">
        <f t="shared" si="235"/>
        <v>0.20451948596415001</v>
      </c>
      <c r="M482" s="978">
        <f t="shared" si="235"/>
        <v>0.232379000772445</v>
      </c>
      <c r="N482" s="978">
        <f t="shared" si="235"/>
        <v>0.26403352103801803</v>
      </c>
      <c r="O482" s="978">
        <f t="shared" si="235"/>
        <v>0.3</v>
      </c>
      <c r="R482" s="646"/>
      <c r="S482" s="735"/>
      <c r="T482" s="738"/>
      <c r="U482" s="621"/>
      <c r="V482" s="739"/>
      <c r="W482" s="739"/>
      <c r="X482" s="740"/>
      <c r="Y482" s="740"/>
      <c r="Z482" s="740"/>
      <c r="AA482" s="740"/>
      <c r="AB482" s="740"/>
      <c r="AC482" s="740"/>
      <c r="AD482" s="740"/>
      <c r="AE482" s="740"/>
      <c r="AF482" s="35"/>
    </row>
    <row r="483" spans="2:47">
      <c r="C483" s="894" t="s">
        <v>922</v>
      </c>
      <c r="D483" s="628" t="s">
        <v>5</v>
      </c>
      <c r="E483" s="628" t="s">
        <v>277</v>
      </c>
      <c r="F483" s="978">
        <f t="shared" ref="F483:O483" si="236">F150</f>
        <v>1E-3</v>
      </c>
      <c r="G483" s="978">
        <f t="shared" si="236"/>
        <v>1.3903891703159099E-3</v>
      </c>
      <c r="H483" s="978">
        <f t="shared" si="236"/>
        <v>2.7077575860568696E-3</v>
      </c>
      <c r="I483" s="978">
        <f t="shared" si="236"/>
        <v>5.2733085825047502E-3</v>
      </c>
      <c r="J483" s="978">
        <f t="shared" si="236"/>
        <v>1.0269672421752101E-2</v>
      </c>
      <c r="K483" s="978">
        <f t="shared" si="236"/>
        <v>0.02</v>
      </c>
      <c r="L483" s="978">
        <f t="shared" si="236"/>
        <v>2.5148668593658701E-2</v>
      </c>
      <c r="M483" s="978">
        <f t="shared" si="236"/>
        <v>3.1622776601683798E-2</v>
      </c>
      <c r="N483" s="978">
        <f t="shared" si="236"/>
        <v>3.9763536438352502E-2</v>
      </c>
      <c r="O483" s="978">
        <f t="shared" si="236"/>
        <v>0.05</v>
      </c>
      <c r="R483" s="646"/>
      <c r="S483" s="735"/>
      <c r="T483" s="738"/>
      <c r="U483" s="621"/>
      <c r="V483" s="739"/>
      <c r="W483" s="739"/>
      <c r="X483" s="740"/>
      <c r="Y483" s="740"/>
      <c r="Z483" s="740"/>
      <c r="AA483" s="740"/>
      <c r="AB483" s="740"/>
      <c r="AC483" s="740"/>
      <c r="AD483" s="740"/>
      <c r="AE483" s="740"/>
      <c r="AF483" s="35"/>
    </row>
    <row r="484" spans="2:47">
      <c r="C484" s="894" t="s">
        <v>922</v>
      </c>
      <c r="D484" s="628" t="s">
        <v>919</v>
      </c>
      <c r="E484" s="628" t="s">
        <v>277</v>
      </c>
      <c r="F484" s="978">
        <f t="shared" ref="F484:O484" si="237">F151</f>
        <v>0</v>
      </c>
      <c r="G484" s="978">
        <f t="shared" si="237"/>
        <v>0</v>
      </c>
      <c r="H484" s="978">
        <f t="shared" si="237"/>
        <v>0</v>
      </c>
      <c r="I484" s="978">
        <f t="shared" si="237"/>
        <v>0</v>
      </c>
      <c r="J484" s="978">
        <f t="shared" si="237"/>
        <v>0</v>
      </c>
      <c r="K484" s="978">
        <f t="shared" si="237"/>
        <v>0</v>
      </c>
      <c r="L484" s="978">
        <f t="shared" si="237"/>
        <v>0</v>
      </c>
      <c r="M484" s="978">
        <f t="shared" si="237"/>
        <v>0</v>
      </c>
      <c r="N484" s="978">
        <f t="shared" si="237"/>
        <v>0</v>
      </c>
      <c r="O484" s="978">
        <f t="shared" si="237"/>
        <v>0</v>
      </c>
      <c r="R484" s="646"/>
      <c r="S484" s="735"/>
      <c r="T484" s="738"/>
      <c r="U484" s="621"/>
      <c r="V484" s="739"/>
      <c r="W484" s="739"/>
      <c r="X484" s="740"/>
      <c r="Y484" s="740"/>
      <c r="Z484" s="740"/>
      <c r="AA484" s="740"/>
      <c r="AB484" s="740"/>
      <c r="AC484" s="740"/>
      <c r="AD484" s="740"/>
      <c r="AE484" s="740"/>
      <c r="AF484" s="35"/>
    </row>
    <row r="485" spans="2:47">
      <c r="C485" s="894" t="s">
        <v>922</v>
      </c>
      <c r="D485" s="628" t="s">
        <v>499</v>
      </c>
      <c r="E485" s="628" t="s">
        <v>277</v>
      </c>
      <c r="F485" s="978">
        <f t="shared" ref="F485:O485" si="238">F152</f>
        <v>0.869487915334339</v>
      </c>
      <c r="G485" s="978">
        <f t="shared" si="238"/>
        <v>0.84886066660313209</v>
      </c>
      <c r="H485" s="978">
        <f t="shared" si="238"/>
        <v>0.82833414998562505</v>
      </c>
      <c r="I485" s="978">
        <f t="shared" si="238"/>
        <v>0.80830399030987099</v>
      </c>
      <c r="J485" s="978">
        <f t="shared" si="238"/>
        <v>0.78875818504186801</v>
      </c>
      <c r="K485" s="978">
        <f t="shared" si="238"/>
        <v>0.76968502188395505</v>
      </c>
      <c r="L485" s="978">
        <f t="shared" si="238"/>
        <v>0.74</v>
      </c>
      <c r="M485" s="978">
        <f t="shared" si="238"/>
        <v>0.7</v>
      </c>
      <c r="N485" s="978">
        <f t="shared" si="238"/>
        <v>0.65</v>
      </c>
      <c r="O485" s="978">
        <f t="shared" si="238"/>
        <v>0.6</v>
      </c>
      <c r="R485" s="646"/>
      <c r="S485" s="735"/>
      <c r="T485" s="738"/>
      <c r="U485" s="621"/>
      <c r="V485" s="739"/>
      <c r="W485" s="739"/>
      <c r="X485" s="740"/>
      <c r="Y485" s="740"/>
      <c r="Z485" s="740"/>
      <c r="AA485" s="740"/>
      <c r="AB485" s="740"/>
      <c r="AC485" s="740"/>
      <c r="AD485" s="740"/>
      <c r="AE485" s="740"/>
      <c r="AF485" s="35"/>
    </row>
    <row r="486" spans="2:47">
      <c r="C486" s="894" t="s">
        <v>922</v>
      </c>
      <c r="D486" s="628" t="s">
        <v>102</v>
      </c>
      <c r="E486" s="628" t="s">
        <v>277</v>
      </c>
      <c r="F486" s="978">
        <f t="shared" ref="F486:O486" si="239">F153</f>
        <v>8.8019884925059407E-3</v>
      </c>
      <c r="G486" s="978">
        <f t="shared" si="239"/>
        <v>7.5063610078244299E-3</v>
      </c>
      <c r="H486" s="978">
        <f t="shared" si="239"/>
        <v>8.0000000000000002E-3</v>
      </c>
      <c r="I486" s="978">
        <f t="shared" si="239"/>
        <v>8.0000000000000002E-3</v>
      </c>
      <c r="J486" s="978">
        <f t="shared" si="239"/>
        <v>8.0000000000000002E-3</v>
      </c>
      <c r="K486" s="978">
        <f t="shared" si="239"/>
        <v>0</v>
      </c>
      <c r="L486" s="978">
        <f t="shared" si="239"/>
        <v>0</v>
      </c>
      <c r="M486" s="978">
        <f t="shared" si="239"/>
        <v>0</v>
      </c>
      <c r="N486" s="978">
        <f t="shared" si="239"/>
        <v>0</v>
      </c>
      <c r="O486" s="978">
        <f t="shared" si="239"/>
        <v>0</v>
      </c>
      <c r="R486" s="646"/>
      <c r="S486" s="735"/>
      <c r="T486" s="738"/>
      <c r="U486" s="621"/>
      <c r="V486" s="739"/>
      <c r="W486" s="739"/>
      <c r="X486" s="740"/>
      <c r="Y486" s="740"/>
      <c r="Z486" s="740"/>
      <c r="AA486" s="740"/>
      <c r="AB486" s="740"/>
      <c r="AC486" s="740"/>
      <c r="AD486" s="740"/>
      <c r="AE486" s="740"/>
      <c r="AF486" s="35"/>
    </row>
    <row r="487" spans="2:47">
      <c r="C487" s="894" t="s">
        <v>922</v>
      </c>
      <c r="D487" s="628" t="s">
        <v>920</v>
      </c>
      <c r="E487" s="628" t="s">
        <v>277</v>
      </c>
      <c r="F487" s="978">
        <f t="shared" ref="F487:O487" si="240">F154</f>
        <v>8.9702515666389097E-3</v>
      </c>
      <c r="G487" s="978">
        <f t="shared" si="240"/>
        <v>5.9332637107535205E-3</v>
      </c>
      <c r="H487" s="978">
        <f t="shared" si="240"/>
        <v>5.0000000000000001E-3</v>
      </c>
      <c r="I487" s="978">
        <f t="shared" si="240"/>
        <v>5.0000000000000001E-3</v>
      </c>
      <c r="J487" s="978">
        <f t="shared" si="240"/>
        <v>5.0000000000000001E-3</v>
      </c>
      <c r="K487" s="978">
        <f t="shared" si="240"/>
        <v>0</v>
      </c>
      <c r="L487" s="978">
        <f t="shared" si="240"/>
        <v>0</v>
      </c>
      <c r="M487" s="978">
        <f t="shared" si="240"/>
        <v>0</v>
      </c>
      <c r="N487" s="978">
        <f t="shared" si="240"/>
        <v>0</v>
      </c>
      <c r="O487" s="978">
        <f t="shared" si="240"/>
        <v>0</v>
      </c>
      <c r="R487" s="646"/>
      <c r="S487" s="735"/>
      <c r="T487" s="738"/>
      <c r="U487" s="621"/>
      <c r="V487" s="739"/>
      <c r="W487" s="739"/>
      <c r="X487" s="740"/>
      <c r="Y487" s="740"/>
      <c r="Z487" s="740"/>
      <c r="AA487" s="740"/>
      <c r="AB487" s="740"/>
      <c r="AC487" s="740"/>
      <c r="AD487" s="740"/>
      <c r="AE487" s="740"/>
      <c r="AF487" s="35"/>
    </row>
    <row r="488" spans="2:47">
      <c r="C488" s="894" t="s">
        <v>922</v>
      </c>
      <c r="D488" s="946" t="s">
        <v>921</v>
      </c>
      <c r="E488" s="628" t="s">
        <v>277</v>
      </c>
      <c r="F488" s="978">
        <f t="shared" ref="F488:O488" si="241">F155</f>
        <v>4.0000000000000001E-3</v>
      </c>
      <c r="G488" s="978">
        <f t="shared" si="241"/>
        <v>4.0000000000000001E-3</v>
      </c>
      <c r="H488" s="978">
        <f t="shared" si="241"/>
        <v>5.0000000000000001E-3</v>
      </c>
      <c r="I488" s="978">
        <f t="shared" si="241"/>
        <v>8.2743772991171801E-3</v>
      </c>
      <c r="J488" s="978">
        <f t="shared" si="241"/>
        <v>1.3693063937629099E-2</v>
      </c>
      <c r="K488" s="978">
        <f t="shared" si="241"/>
        <v>0.03</v>
      </c>
      <c r="L488" s="978">
        <f t="shared" si="241"/>
        <v>3.4086580994024999E-2</v>
      </c>
      <c r="M488" s="978">
        <f t="shared" si="241"/>
        <v>3.8729833462074204E-2</v>
      </c>
      <c r="N488" s="978">
        <f t="shared" si="241"/>
        <v>4.4005586839669597E-2</v>
      </c>
      <c r="O488" s="978">
        <f t="shared" si="241"/>
        <v>0.05</v>
      </c>
      <c r="R488" s="646"/>
      <c r="S488" s="735"/>
      <c r="T488" s="738"/>
      <c r="U488" s="621"/>
      <c r="V488" s="739"/>
      <c r="W488" s="739"/>
      <c r="X488" s="740"/>
      <c r="Y488" s="740"/>
      <c r="Z488" s="740"/>
      <c r="AA488" s="740"/>
      <c r="AB488" s="740"/>
      <c r="AC488" s="740"/>
      <c r="AD488" s="740"/>
      <c r="AE488" s="740"/>
      <c r="AF488" s="35"/>
    </row>
    <row r="489" spans="2:47">
      <c r="C489" s="896" t="s">
        <v>922</v>
      </c>
      <c r="D489" s="948" t="s">
        <v>103</v>
      </c>
      <c r="E489" s="949"/>
      <c r="F489" s="981">
        <f t="shared" ref="F489:O489" si="242">SUM(F482:F488)</f>
        <v>0.98485692857809459</v>
      </c>
      <c r="G489" s="981">
        <f t="shared" si="242"/>
        <v>0.99864229296168794</v>
      </c>
      <c r="H489" s="981">
        <f t="shared" si="242"/>
        <v>0.99083375600821499</v>
      </c>
      <c r="I489" s="981">
        <f t="shared" si="242"/>
        <v>0.99485167619149295</v>
      </c>
      <c r="J489" s="981">
        <f t="shared" si="242"/>
        <v>0.99896579652717532</v>
      </c>
      <c r="K489" s="981">
        <f t="shared" si="242"/>
        <v>0.99968502188395503</v>
      </c>
      <c r="L489" s="981">
        <f t="shared" si="242"/>
        <v>1.0037547355518337</v>
      </c>
      <c r="M489" s="981">
        <f t="shared" si="242"/>
        <v>1.002731610836203</v>
      </c>
      <c r="N489" s="981">
        <f t="shared" si="242"/>
        <v>0.99780264431604015</v>
      </c>
      <c r="O489" s="981">
        <f t="shared" si="242"/>
        <v>1</v>
      </c>
      <c r="R489" s="646"/>
      <c r="S489" s="735"/>
      <c r="T489" s="738"/>
      <c r="U489" s="621"/>
      <c r="V489" s="739"/>
      <c r="W489" s="739"/>
      <c r="X489" s="740"/>
      <c r="Y489" s="740"/>
      <c r="Z489" s="740"/>
      <c r="AA489" s="740"/>
      <c r="AB489" s="740"/>
      <c r="AC489" s="740"/>
      <c r="AD489" s="740"/>
      <c r="AE489" s="740"/>
      <c r="AF489" s="35"/>
    </row>
    <row r="490" spans="2:47">
      <c r="C490" s="539"/>
      <c r="D490" s="944"/>
      <c r="E490" s="539"/>
      <c r="F490" s="980"/>
      <c r="G490" s="980"/>
      <c r="H490" s="980"/>
      <c r="I490" s="980"/>
      <c r="J490" s="980"/>
      <c r="K490" s="980"/>
      <c r="L490" s="980"/>
      <c r="M490" s="980"/>
      <c r="N490" s="980"/>
      <c r="O490" s="980"/>
      <c r="R490" s="646"/>
      <c r="S490" s="735"/>
      <c r="T490" s="738"/>
      <c r="U490" s="621"/>
      <c r="V490" s="739"/>
      <c r="W490" s="739"/>
      <c r="X490" s="740"/>
      <c r="Y490" s="740"/>
      <c r="Z490" s="740"/>
      <c r="AA490" s="740"/>
      <c r="AB490" s="740"/>
      <c r="AC490" s="740"/>
      <c r="AD490" s="740"/>
      <c r="AE490" s="740"/>
      <c r="AF490" s="35"/>
    </row>
    <row r="491" spans="2:47">
      <c r="C491" s="539"/>
      <c r="D491" s="944"/>
      <c r="E491" s="539"/>
      <c r="F491" s="980"/>
      <c r="G491" s="980"/>
      <c r="H491" s="980"/>
      <c r="I491" s="980"/>
      <c r="J491" s="980"/>
      <c r="K491" s="980"/>
      <c r="L491" s="980"/>
      <c r="M491" s="980"/>
      <c r="N491" s="980"/>
      <c r="O491" s="980"/>
      <c r="R491" s="646"/>
      <c r="S491" s="735"/>
      <c r="T491" s="738"/>
      <c r="U491" s="621"/>
      <c r="V491" s="739"/>
      <c r="W491" s="739"/>
      <c r="X491" s="740"/>
      <c r="Y491" s="740"/>
      <c r="Z491" s="740"/>
      <c r="AA491" s="740"/>
      <c r="AB491" s="740"/>
      <c r="AC491" s="740"/>
      <c r="AD491" s="740"/>
      <c r="AE491" s="740"/>
      <c r="AF491" s="35"/>
    </row>
    <row r="492" spans="2:47">
      <c r="H492" s="972"/>
      <c r="R492" s="646"/>
      <c r="S492" s="735"/>
      <c r="T492" s="738"/>
      <c r="U492" s="621"/>
      <c r="V492" s="739"/>
      <c r="W492" s="739"/>
      <c r="X492" s="740"/>
      <c r="Y492" s="740"/>
      <c r="Z492" s="740"/>
      <c r="AA492" s="740"/>
      <c r="AB492" s="740"/>
      <c r="AC492" s="740"/>
      <c r="AD492" s="740"/>
      <c r="AE492" s="740"/>
      <c r="AF492" s="35"/>
    </row>
    <row r="493" spans="2:47">
      <c r="B493" s="859">
        <v>5.0999999999999996</v>
      </c>
      <c r="C493" s="1825" t="s">
        <v>2207</v>
      </c>
      <c r="D493" s="19"/>
      <c r="E493" s="423"/>
      <c r="F493" s="19"/>
      <c r="G493" s="1668"/>
      <c r="H493" s="1668"/>
      <c r="I493" s="1668"/>
      <c r="J493" s="1668"/>
      <c r="K493" s="1668"/>
      <c r="L493" s="1668"/>
      <c r="M493" s="1668"/>
      <c r="N493" s="1668"/>
      <c r="O493" s="1668"/>
      <c r="P493" s="1668"/>
      <c r="Q493" s="495"/>
      <c r="R493" s="495"/>
      <c r="S493" s="495"/>
      <c r="T493" s="495"/>
      <c r="U493" s="495"/>
      <c r="V493" s="495"/>
      <c r="W493" s="495"/>
      <c r="X493" s="495"/>
      <c r="Y493" s="495"/>
      <c r="Z493" s="495"/>
      <c r="AA493" s="495"/>
      <c r="AB493" s="495"/>
      <c r="AC493" s="495"/>
      <c r="AD493" s="495"/>
      <c r="AE493" s="495"/>
      <c r="AF493" s="495"/>
      <c r="AG493" s="495"/>
      <c r="AH493" s="495"/>
      <c r="AI493" s="495"/>
      <c r="AJ493" s="495"/>
      <c r="AK493" s="495"/>
      <c r="AL493" s="495"/>
      <c r="AM493" s="495"/>
      <c r="AN493" s="495"/>
      <c r="AO493" s="495"/>
      <c r="AP493" s="495"/>
      <c r="AQ493" s="495"/>
      <c r="AR493" s="495"/>
      <c r="AS493" s="495"/>
      <c r="AT493" s="495"/>
      <c r="AU493" s="495"/>
    </row>
    <row r="494" spans="2:47">
      <c r="B494" s="859" t="s">
        <v>64</v>
      </c>
      <c r="C494" s="233" t="s">
        <v>1619</v>
      </c>
      <c r="D494" s="51"/>
      <c r="E494" s="859" t="s">
        <v>1530</v>
      </c>
      <c r="F494" s="641">
        <v>2007</v>
      </c>
      <c r="G494" s="642">
        <f t="shared" ref="G494:O494" si="243">F494+5</f>
        <v>2012</v>
      </c>
      <c r="H494" s="642">
        <f t="shared" si="243"/>
        <v>2017</v>
      </c>
      <c r="I494" s="642">
        <f t="shared" si="243"/>
        <v>2022</v>
      </c>
      <c r="J494" s="642">
        <f t="shared" si="243"/>
        <v>2027</v>
      </c>
      <c r="K494" s="642">
        <f t="shared" si="243"/>
        <v>2032</v>
      </c>
      <c r="L494" s="642">
        <f t="shared" si="243"/>
        <v>2037</v>
      </c>
      <c r="M494" s="642">
        <f t="shared" si="243"/>
        <v>2042</v>
      </c>
      <c r="N494" s="642">
        <f t="shared" si="243"/>
        <v>2047</v>
      </c>
      <c r="O494" s="642">
        <f t="shared" si="243"/>
        <v>2052</v>
      </c>
      <c r="P494" s="51"/>
      <c r="Q494" s="495"/>
      <c r="R494" s="495"/>
      <c r="S494" s="495"/>
      <c r="T494" s="495"/>
      <c r="U494" s="495"/>
      <c r="V494" s="495"/>
      <c r="W494" s="495"/>
      <c r="X494" s="495"/>
      <c r="Y494" s="495"/>
      <c r="Z494" s="495"/>
      <c r="AA494" s="495"/>
      <c r="AB494" s="495"/>
      <c r="AC494" s="495"/>
      <c r="AD494" s="495"/>
      <c r="AE494" s="495"/>
      <c r="AF494" s="495"/>
      <c r="AG494" s="495"/>
      <c r="AH494" s="495"/>
      <c r="AI494" s="495"/>
      <c r="AJ494" s="495"/>
      <c r="AK494" s="495"/>
      <c r="AL494" s="495"/>
      <c r="AM494" s="495"/>
      <c r="AN494" s="495"/>
      <c r="AO494" s="495"/>
      <c r="AP494" s="495"/>
      <c r="AQ494" s="495"/>
      <c r="AR494" s="495"/>
      <c r="AS494" s="495"/>
      <c r="AT494" s="495"/>
      <c r="AU494" s="495"/>
    </row>
    <row r="495" spans="2:47">
      <c r="B495" s="859"/>
      <c r="C495" s="423"/>
      <c r="D495" s="51"/>
      <c r="E495" s="51"/>
      <c r="F495" s="73"/>
      <c r="G495" s="73"/>
      <c r="H495" s="73"/>
      <c r="I495" s="73"/>
      <c r="J495" s="73"/>
      <c r="K495" s="73"/>
      <c r="L495" s="73"/>
      <c r="M495" s="73"/>
      <c r="N495" s="73"/>
      <c r="O495" s="73"/>
      <c r="P495" s="51"/>
      <c r="Q495" s="495"/>
      <c r="R495" s="495"/>
      <c r="S495" s="495"/>
      <c r="T495" s="495"/>
      <c r="U495" s="495"/>
      <c r="V495" s="495"/>
      <c r="W495" s="495"/>
      <c r="X495" s="495"/>
      <c r="Y495" s="495"/>
      <c r="Z495" s="495"/>
      <c r="AA495" s="495"/>
      <c r="AB495" s="495"/>
      <c r="AC495" s="495"/>
      <c r="AD495" s="495"/>
      <c r="AE495" s="495"/>
      <c r="AF495" s="495"/>
      <c r="AG495" s="495"/>
      <c r="AH495" s="495"/>
      <c r="AI495" s="495"/>
      <c r="AJ495" s="495"/>
      <c r="AK495" s="495"/>
      <c r="AL495" s="495"/>
      <c r="AM495" s="495"/>
      <c r="AN495" s="495"/>
      <c r="AO495" s="495"/>
      <c r="AP495" s="495"/>
      <c r="AQ495" s="495"/>
      <c r="AR495" s="495"/>
      <c r="AS495" s="495"/>
      <c r="AT495" s="495"/>
      <c r="AU495" s="495"/>
    </row>
    <row r="496" spans="2:47">
      <c r="B496" s="60" t="s">
        <v>34</v>
      </c>
      <c r="C496" s="19" t="str">
        <f>INDEX(Vectors[Description], MATCH(B496, Vectors[Code], 0))</f>
        <v>Electricity (delivered to end user)</v>
      </c>
      <c r="D496" s="51"/>
      <c r="E496" s="51" t="str">
        <f>preferences.energyunits</f>
        <v>TWh</v>
      </c>
      <c r="F496" s="90">
        <f>F437</f>
        <v>0.10009722143013318</v>
      </c>
      <c r="G496" s="90">
        <f t="shared" ref="G496:O496" si="244">G437</f>
        <v>9.3505695250267307E-2</v>
      </c>
      <c r="H496" s="90">
        <f t="shared" si="244"/>
        <v>1.271193519105055</v>
      </c>
      <c r="I496" s="90">
        <f t="shared" si="244"/>
        <v>1.7630275941553981</v>
      </c>
      <c r="J496" s="90">
        <f t="shared" si="244"/>
        <v>3.3530520742497418</v>
      </c>
      <c r="K496" s="90">
        <f t="shared" si="244"/>
        <v>5.6269069593534571</v>
      </c>
      <c r="L496" s="90">
        <f t="shared" si="244"/>
        <v>7.840383092975391</v>
      </c>
      <c r="M496" s="90">
        <f t="shared" si="244"/>
        <v>10.567125567057492</v>
      </c>
      <c r="N496" s="90">
        <f t="shared" si="244"/>
        <v>14.563556801098377</v>
      </c>
      <c r="O496" s="90">
        <f t="shared" si="244"/>
        <v>15.092452773140378</v>
      </c>
      <c r="P496" s="51"/>
      <c r="Q496" s="495"/>
      <c r="R496" s="495"/>
      <c r="S496" s="495"/>
      <c r="T496" s="495"/>
      <c r="U496" s="495"/>
      <c r="V496" s="495"/>
      <c r="W496" s="495"/>
      <c r="X496" s="495"/>
      <c r="Y496" s="495"/>
      <c r="Z496" s="495"/>
      <c r="AA496" s="495"/>
      <c r="AB496" s="495"/>
      <c r="AC496" s="495"/>
      <c r="AD496" s="495"/>
      <c r="AE496" s="495"/>
      <c r="AF496" s="495"/>
      <c r="AG496" s="495"/>
      <c r="AH496" s="495"/>
      <c r="AI496" s="495"/>
      <c r="AJ496" s="495"/>
      <c r="AK496" s="495"/>
      <c r="AL496" s="495"/>
      <c r="AM496" s="495"/>
      <c r="AN496" s="495"/>
      <c r="AO496" s="495"/>
      <c r="AP496" s="495"/>
      <c r="AQ496" s="495"/>
      <c r="AR496" s="495"/>
      <c r="AS496" s="495"/>
      <c r="AT496" s="495"/>
      <c r="AU496" s="495"/>
    </row>
    <row r="497" spans="2:47">
      <c r="B497" s="60" t="s">
        <v>36</v>
      </c>
      <c r="C497" s="19" t="str">
        <f>INDEX(Vectors[Description], MATCH(B497, Vectors[Code], 0))</f>
        <v>Solid hydrocarbons</v>
      </c>
      <c r="D497" s="51"/>
      <c r="E497" s="51" t="str">
        <f>preferences.energyunits</f>
        <v>TWh</v>
      </c>
      <c r="F497" s="90">
        <f>F440+F439</f>
        <v>112.09762457813865</v>
      </c>
      <c r="G497" s="90">
        <f t="shared" ref="G497:O497" si="245">G440+G439</f>
        <v>131.99106204412581</v>
      </c>
      <c r="H497" s="90">
        <f t="shared" si="245"/>
        <v>130.78937798126287</v>
      </c>
      <c r="I497" s="90">
        <f t="shared" si="245"/>
        <v>132.37321450614218</v>
      </c>
      <c r="J497" s="90">
        <f t="shared" si="245"/>
        <v>133.16999797433311</v>
      </c>
      <c r="K497" s="90">
        <f t="shared" si="245"/>
        <v>127.2499782726879</v>
      </c>
      <c r="L497" s="90">
        <f t="shared" si="245"/>
        <v>129.33362872651861</v>
      </c>
      <c r="M497" s="90">
        <f t="shared" si="245"/>
        <v>119.49275832382796</v>
      </c>
      <c r="N497" s="90">
        <f t="shared" si="245"/>
        <v>119.40462010431004</v>
      </c>
      <c r="O497" s="90">
        <f t="shared" si="245"/>
        <v>120.37012576620755</v>
      </c>
      <c r="P497" s="51"/>
      <c r="Q497" s="495"/>
      <c r="R497" s="495"/>
      <c r="S497" s="495"/>
      <c r="T497" s="495"/>
      <c r="U497" s="495"/>
      <c r="V497" s="495"/>
      <c r="W497" s="495"/>
      <c r="X497" s="495"/>
      <c r="Y497" s="495"/>
      <c r="Z497" s="495"/>
      <c r="AA497" s="495"/>
      <c r="AB497" s="495"/>
      <c r="AC497" s="495"/>
      <c r="AD497" s="495"/>
      <c r="AE497" s="495"/>
      <c r="AF497" s="495"/>
      <c r="AG497" s="495"/>
      <c r="AH497" s="495"/>
      <c r="AI497" s="495"/>
      <c r="AJ497" s="495"/>
      <c r="AK497" s="495"/>
      <c r="AL497" s="495"/>
      <c r="AM497" s="495"/>
      <c r="AN497" s="495"/>
      <c r="AO497" s="495"/>
      <c r="AP497" s="495"/>
      <c r="AQ497" s="495"/>
      <c r="AR497" s="495"/>
      <c r="AS497" s="495"/>
      <c r="AT497" s="495"/>
      <c r="AU497" s="495"/>
    </row>
    <row r="498" spans="2:47">
      <c r="B498" s="226" t="s">
        <v>38</v>
      </c>
      <c r="C498" s="19" t="str">
        <f>INDEX(Vectors[Description], MATCH(B498, Vectors[Code], 0))</f>
        <v>Liquid hydrocarbons</v>
      </c>
      <c r="D498" s="51"/>
      <c r="E498" s="51" t="str">
        <f>preferences.energyunits</f>
        <v>TWh</v>
      </c>
      <c r="F498" s="90">
        <f>F436+0.87*F441</f>
        <v>69.555793556964701</v>
      </c>
      <c r="G498" s="90">
        <f t="shared" ref="G498:O498" si="246">G436+0.87*G441</f>
        <v>95.664824285623524</v>
      </c>
      <c r="H498" s="90">
        <f t="shared" si="246"/>
        <v>98.938859501359062</v>
      </c>
      <c r="I498" s="90">
        <f t="shared" si="246"/>
        <v>105.88178131243272</v>
      </c>
      <c r="J498" s="90">
        <f t="shared" si="246"/>
        <v>112.92058959614992</v>
      </c>
      <c r="K498" s="90">
        <f t="shared" si="246"/>
        <v>114.9351893554076</v>
      </c>
      <c r="L498" s="90">
        <f t="shared" si="246"/>
        <v>114.68865619765459</v>
      </c>
      <c r="M498" s="90">
        <f t="shared" si="246"/>
        <v>110.10250857037229</v>
      </c>
      <c r="N498" s="90">
        <f t="shared" si="246"/>
        <v>110.69633863175937</v>
      </c>
      <c r="O498" s="90">
        <f t="shared" si="246"/>
        <v>112.2761047794822</v>
      </c>
      <c r="P498" s="51"/>
      <c r="Q498" s="495"/>
      <c r="R498" s="495"/>
      <c r="S498" s="495"/>
      <c r="T498" s="495"/>
      <c r="U498" s="495"/>
      <c r="V498" s="495"/>
      <c r="W498" s="495"/>
      <c r="X498" s="495"/>
      <c r="Y498" s="495"/>
      <c r="Z498" s="495"/>
      <c r="AA498" s="495"/>
      <c r="AB498" s="495"/>
      <c r="AC498" s="495"/>
      <c r="AD498" s="495"/>
      <c r="AE498" s="495"/>
      <c r="AF498" s="495"/>
      <c r="AG498" s="495"/>
      <c r="AH498" s="495"/>
      <c r="AI498" s="495"/>
      <c r="AJ498" s="495"/>
      <c r="AK498" s="495"/>
      <c r="AL498" s="495"/>
      <c r="AM498" s="495"/>
      <c r="AN498" s="495"/>
      <c r="AO498" s="495"/>
      <c r="AP498" s="495"/>
      <c r="AQ498" s="495"/>
      <c r="AR498" s="495"/>
      <c r="AS498" s="495"/>
      <c r="AT498" s="495"/>
      <c r="AU498" s="495"/>
    </row>
    <row r="499" spans="2:47">
      <c r="B499" s="17" t="s">
        <v>39</v>
      </c>
      <c r="C499" s="19" t="str">
        <f>INDEX(Vectors[Description], MATCH(B499, Vectors[Code], 0))</f>
        <v>Gaseous hydrocarbons</v>
      </c>
      <c r="D499" s="51"/>
      <c r="E499" s="51" t="str">
        <f>preferences.energyunits</f>
        <v>TWh</v>
      </c>
      <c r="F499" s="90">
        <f>F438+0.13*F436+F442</f>
        <v>7.6494263072014581</v>
      </c>
      <c r="G499" s="90">
        <f t="shared" ref="G499:O499" si="247">G438+0.13*G436+G442</f>
        <v>12.434728557061119</v>
      </c>
      <c r="H499" s="90">
        <f t="shared" si="247"/>
        <v>16.202150495845128</v>
      </c>
      <c r="I499" s="90">
        <f t="shared" si="247"/>
        <v>26.400412031589216</v>
      </c>
      <c r="J499" s="90">
        <f t="shared" si="247"/>
        <v>44.129544535721841</v>
      </c>
      <c r="K499" s="90">
        <f t="shared" si="247"/>
        <v>64.407867274508007</v>
      </c>
      <c r="L499" s="90">
        <f t="shared" si="247"/>
        <v>87.104472930978176</v>
      </c>
      <c r="M499" s="90">
        <f t="shared" si="247"/>
        <v>116.99211009734785</v>
      </c>
      <c r="N499" s="90">
        <f t="shared" si="247"/>
        <v>149.23625755221491</v>
      </c>
      <c r="O499" s="90">
        <f t="shared" si="247"/>
        <v>185.95749798746149</v>
      </c>
      <c r="P499" s="51"/>
      <c r="Q499" s="495"/>
      <c r="R499" s="495"/>
      <c r="S499" s="495"/>
      <c r="T499" s="495"/>
      <c r="U499" s="495"/>
      <c r="V499" s="495"/>
      <c r="W499" s="495"/>
      <c r="X499" s="495"/>
      <c r="Y499" s="495"/>
      <c r="Z499" s="495"/>
      <c r="AA499" s="495"/>
      <c r="AB499" s="495"/>
      <c r="AC499" s="495"/>
      <c r="AD499" s="495"/>
      <c r="AE499" s="495"/>
      <c r="AF499" s="495"/>
      <c r="AG499" s="495"/>
      <c r="AH499" s="495"/>
      <c r="AI499" s="495"/>
      <c r="AJ499" s="495"/>
      <c r="AK499" s="495"/>
      <c r="AL499" s="495"/>
      <c r="AM499" s="495"/>
      <c r="AN499" s="495"/>
      <c r="AO499" s="495"/>
      <c r="AP499" s="495"/>
      <c r="AQ499" s="495"/>
      <c r="AR499" s="495"/>
      <c r="AS499" s="495"/>
      <c r="AT499" s="495"/>
      <c r="AU499" s="495"/>
    </row>
    <row r="500" spans="2:47">
      <c r="B500" s="859"/>
      <c r="C500" s="423"/>
      <c r="D500" s="51"/>
      <c r="E500" s="51"/>
      <c r="F500" s="73"/>
      <c r="G500" s="73"/>
      <c r="H500" s="73"/>
      <c r="I500" s="73"/>
      <c r="J500" s="73"/>
      <c r="K500" s="73"/>
      <c r="L500" s="73"/>
      <c r="M500" s="73"/>
      <c r="N500" s="73"/>
      <c r="O500" s="73"/>
      <c r="P500" s="51"/>
      <c r="Q500" s="495"/>
      <c r="R500" s="495"/>
      <c r="S500" s="495"/>
      <c r="T500" s="495"/>
      <c r="U500" s="495"/>
      <c r="V500" s="495"/>
      <c r="W500" s="495"/>
      <c r="X500" s="495"/>
      <c r="Y500" s="495"/>
      <c r="Z500" s="495"/>
      <c r="AA500" s="495"/>
      <c r="AB500" s="495"/>
      <c r="AC500" s="495"/>
      <c r="AD500" s="495"/>
      <c r="AE500" s="495"/>
      <c r="AF500" s="495"/>
      <c r="AG500" s="495"/>
      <c r="AH500" s="495"/>
      <c r="AI500" s="495"/>
      <c r="AJ500" s="495"/>
      <c r="AK500" s="495"/>
      <c r="AL500" s="495"/>
      <c r="AM500" s="495"/>
      <c r="AN500" s="495"/>
      <c r="AO500" s="495"/>
      <c r="AP500" s="495"/>
      <c r="AQ500" s="495"/>
      <c r="AR500" s="495"/>
      <c r="AS500" s="495"/>
      <c r="AT500" s="495"/>
      <c r="AU500" s="495"/>
    </row>
    <row r="501" spans="2:47">
      <c r="B501" s="859">
        <v>6.1</v>
      </c>
      <c r="C501" s="423" t="s">
        <v>1621</v>
      </c>
      <c r="D501" s="51"/>
      <c r="E501" s="51"/>
      <c r="F501" s="73"/>
      <c r="G501" s="73"/>
      <c r="H501" s="73"/>
      <c r="I501" s="73"/>
      <c r="J501" s="73"/>
      <c r="K501" s="73"/>
      <c r="L501" s="73"/>
      <c r="M501" s="73"/>
      <c r="N501" s="73"/>
      <c r="O501" s="73"/>
      <c r="P501" s="51"/>
      <c r="Q501" s="495"/>
      <c r="R501" s="495"/>
      <c r="S501" s="495"/>
      <c r="T501" s="495"/>
      <c r="U501" s="495"/>
      <c r="V501" s="495"/>
      <c r="W501" s="495"/>
      <c r="X501" s="495"/>
      <c r="Y501" s="495"/>
      <c r="Z501" s="495"/>
      <c r="AA501" s="495"/>
      <c r="AB501" s="495"/>
      <c r="AC501" s="495"/>
      <c r="AD501" s="495"/>
      <c r="AE501" s="495"/>
      <c r="AF501" s="495"/>
      <c r="AG501" s="495"/>
      <c r="AH501" s="495"/>
      <c r="AI501" s="495"/>
      <c r="AJ501" s="495"/>
      <c r="AK501" s="495"/>
      <c r="AL501" s="495"/>
      <c r="AM501" s="495"/>
      <c r="AN501" s="495"/>
      <c r="AO501" s="495"/>
      <c r="AP501" s="495"/>
      <c r="AQ501" s="495"/>
      <c r="AR501" s="495"/>
      <c r="AS501" s="495"/>
      <c r="AT501" s="495"/>
      <c r="AU501" s="495"/>
    </row>
    <row r="502" spans="2:47">
      <c r="B502" s="423"/>
      <c r="D502" s="51"/>
      <c r="E502" s="51"/>
      <c r="F502" s="90"/>
      <c r="G502" s="90"/>
      <c r="H502" s="90"/>
      <c r="I502" s="90"/>
      <c r="J502" s="90"/>
      <c r="K502" s="90"/>
      <c r="L502" s="90"/>
      <c r="M502" s="90"/>
      <c r="N502" s="90"/>
      <c r="O502" s="90"/>
      <c r="P502" s="51"/>
      <c r="Q502" s="495"/>
      <c r="R502" s="495"/>
      <c r="S502" s="495"/>
      <c r="T502" s="495"/>
      <c r="U502" s="495"/>
      <c r="V502" s="495"/>
      <c r="W502" s="495"/>
      <c r="X502" s="495"/>
      <c r="Y502" s="495"/>
      <c r="Z502" s="495"/>
      <c r="AA502" s="495"/>
      <c r="AB502" s="495"/>
      <c r="AC502" s="495"/>
      <c r="AD502" s="495"/>
      <c r="AE502" s="495"/>
      <c r="AF502" s="495"/>
      <c r="AG502" s="495"/>
      <c r="AH502" s="495"/>
      <c r="AI502" s="495"/>
      <c r="AJ502" s="495"/>
      <c r="AK502" s="495"/>
      <c r="AL502" s="495"/>
      <c r="AM502" s="495"/>
      <c r="AN502" s="495"/>
      <c r="AO502" s="495"/>
      <c r="AP502" s="495"/>
      <c r="AQ502" s="495"/>
      <c r="AR502" s="495"/>
      <c r="AS502" s="495"/>
      <c r="AT502" s="495"/>
      <c r="AU502" s="495"/>
    </row>
    <row r="503" spans="2:47">
      <c r="B503" s="423"/>
      <c r="C503" s="423" t="s">
        <v>846</v>
      </c>
      <c r="D503" s="51"/>
      <c r="E503" s="51"/>
      <c r="F503" s="73"/>
      <c r="G503" s="73"/>
      <c r="H503" s="73"/>
      <c r="I503" s="73"/>
      <c r="J503" s="73"/>
      <c r="K503" s="73"/>
      <c r="L503" s="73"/>
      <c r="M503" s="73"/>
      <c r="N503" s="73"/>
      <c r="O503" s="73"/>
      <c r="P503" s="51"/>
      <c r="Q503" s="495"/>
      <c r="R503" s="495"/>
      <c r="S503" s="495"/>
      <c r="T503" s="495"/>
      <c r="U503" s="495"/>
      <c r="V503" s="495"/>
      <c r="W503" s="495"/>
      <c r="X503" s="495"/>
      <c r="Y503" s="495"/>
      <c r="Z503" s="495"/>
      <c r="AA503" s="495"/>
      <c r="AB503" s="495"/>
      <c r="AC503" s="495"/>
      <c r="AD503" s="495"/>
      <c r="AE503" s="495"/>
      <c r="AF503" s="495"/>
      <c r="AG503" s="495"/>
      <c r="AH503" s="495"/>
      <c r="AI503" s="495"/>
      <c r="AJ503" s="495"/>
      <c r="AK503" s="495"/>
      <c r="AL503" s="495"/>
      <c r="AM503" s="495"/>
      <c r="AN503" s="495"/>
      <c r="AO503" s="495"/>
      <c r="AP503" s="495"/>
      <c r="AQ503" s="495"/>
      <c r="AR503" s="495"/>
      <c r="AS503" s="495"/>
      <c r="AT503" s="495"/>
      <c r="AU503" s="495"/>
    </row>
    <row r="504" spans="2:47" ht="14.25">
      <c r="B504" s="423"/>
      <c r="C504" s="605" t="s">
        <v>350</v>
      </c>
      <c r="D504" s="51"/>
      <c r="E504" s="51" t="s">
        <v>368</v>
      </c>
      <c r="F504" s="90">
        <f>F$497*INDEX(EF[CO2], MATCH("V.03", EF[Vector], 0))+F$498*INDEX(EF[CO2], MATCH("V.04", EF[Vector], 0))+F$499*INDEX(EF[CO2], MATCH("V.05", EF[Vector], 0))</f>
        <v>58.982755882581095</v>
      </c>
      <c r="G504" s="90">
        <f>G$497*INDEX(EF[CO2], MATCH("V.03", EF[Vector], 0))+G$498*INDEX(EF[CO2], MATCH("V.04", EF[Vector], 0))+G$499*INDEX(EF[CO2], MATCH("V.05", EF[Vector], 0))</f>
        <v>73.803631987029334</v>
      </c>
      <c r="H504" s="90">
        <f>H$497*INDEX(EF[CO2], MATCH("V.03", EF[Vector], 0))+H$498*INDEX(EF[CO2], MATCH("V.04", EF[Vector], 0))+H$499*INDEX(EF[CO2], MATCH("V.05", EF[Vector], 0))</f>
        <v>75.009313740762494</v>
      </c>
      <c r="I504" s="90">
        <f>I$497*INDEX(EF[CO2], MATCH("V.03", EF[Vector], 0))+I$498*INDEX(EF[CO2], MATCH("V.04", EF[Vector], 0))+I$499*INDEX(EF[CO2], MATCH("V.05", EF[Vector], 0))</f>
        <v>79.439819389902723</v>
      </c>
      <c r="J504" s="90">
        <f>J$497*INDEX(EF[CO2], MATCH("V.03", EF[Vector], 0))+J$498*INDEX(EF[CO2], MATCH("V.04", EF[Vector], 0))+J$499*INDEX(EF[CO2], MATCH("V.05", EF[Vector], 0))</f>
        <v>85.120963645566633</v>
      </c>
      <c r="K504" s="90">
        <f>K$497*INDEX(EF[CO2], MATCH("V.03", EF[Vector], 0))+K$498*INDEX(EF[CO2], MATCH("V.04", EF[Vector], 0))+K$499*INDEX(EF[CO2], MATCH("V.05", EF[Vector], 0))</f>
        <v>87.637804934238943</v>
      </c>
      <c r="L504" s="90">
        <f>L$497*INDEX(EF[CO2], MATCH("V.03", EF[Vector], 0))+L$498*INDEX(EF[CO2], MATCH("V.04", EF[Vector], 0))+L$499*INDEX(EF[CO2], MATCH("V.05", EF[Vector], 0))</f>
        <v>92.810706945330864</v>
      </c>
      <c r="M504" s="90">
        <f>M$497*INDEX(EF[CO2], MATCH("V.03", EF[Vector], 0))+M$498*INDEX(EF[CO2], MATCH("V.04", EF[Vector], 0))+M$499*INDEX(EF[CO2], MATCH("V.05", EF[Vector], 0))</f>
        <v>94.117803743453948</v>
      </c>
      <c r="N504" s="90">
        <f>N$497*INDEX(EF[CO2], MATCH("V.03", EF[Vector], 0))+N$498*INDEX(EF[CO2], MATCH("V.04", EF[Vector], 0))+N$499*INDEX(EF[CO2], MATCH("V.05", EF[Vector], 0))</f>
        <v>100.66048825806848</v>
      </c>
      <c r="O504" s="90">
        <f>O$497*INDEX(EF[CO2], MATCH("V.03", EF[Vector], 0))+O$498*INDEX(EF[CO2], MATCH("V.04", EF[Vector], 0))+O$499*INDEX(EF[CO2], MATCH("V.05", EF[Vector], 0))</f>
        <v>108.72256783821274</v>
      </c>
      <c r="P504" s="51"/>
      <c r="Q504" s="495"/>
      <c r="R504" s="495"/>
      <c r="S504" s="495"/>
      <c r="T504" s="495"/>
      <c r="U504" s="495"/>
      <c r="V504" s="495"/>
      <c r="W504" s="495"/>
      <c r="X504" s="495"/>
      <c r="Y504" s="495"/>
      <c r="Z504" s="495"/>
      <c r="AA504" s="495"/>
      <c r="AB504" s="495"/>
      <c r="AC504" s="495"/>
      <c r="AD504" s="495"/>
      <c r="AE504" s="495"/>
      <c r="AF504" s="495"/>
      <c r="AG504" s="495"/>
      <c r="AH504" s="495"/>
      <c r="AI504" s="495"/>
      <c r="AJ504" s="495"/>
      <c r="AK504" s="495"/>
      <c r="AL504" s="495"/>
      <c r="AM504" s="495"/>
      <c r="AN504" s="495"/>
      <c r="AO504" s="495"/>
      <c r="AP504" s="495"/>
      <c r="AQ504" s="495"/>
      <c r="AR504" s="495"/>
      <c r="AS504" s="495"/>
      <c r="AT504" s="495"/>
      <c r="AU504" s="495"/>
    </row>
    <row r="505" spans="2:47" ht="14.25">
      <c r="B505" s="423"/>
      <c r="C505" s="605" t="s">
        <v>351</v>
      </c>
      <c r="D505" s="51"/>
      <c r="E505" s="51" t="s">
        <v>368</v>
      </c>
      <c r="F505" s="90">
        <f>F$497*INDEX(EF[CH4], MATCH("V.03", EF[Vector], 0))+F$498*INDEX(EF[CH4], MATCH("V.04", EF[Vector], 0))+F$499*INDEX(EF[CH4], MATCH("V.05", EF[Vector], 0))</f>
        <v>0</v>
      </c>
      <c r="G505" s="90">
        <f>G$497*INDEX(EF[CH4], MATCH("V.03", EF[Vector], 0))+G$498*INDEX(EF[CH4], MATCH("V.04", EF[Vector], 0))+G$499*INDEX(EF[CH4], MATCH("V.05", EF[Vector], 0))</f>
        <v>0</v>
      </c>
      <c r="H505" s="90">
        <f>H$497*INDEX(EF[CH4], MATCH("V.03", EF[Vector], 0))+H$498*INDEX(EF[CH4], MATCH("V.04", EF[Vector], 0))+H$499*INDEX(EF[CH4], MATCH("V.05", EF[Vector], 0))</f>
        <v>0</v>
      </c>
      <c r="I505" s="90">
        <f>I$497*INDEX(EF[CH4], MATCH("V.03", EF[Vector], 0))+I$498*INDEX(EF[CH4], MATCH("V.04", EF[Vector], 0))+I$499*INDEX(EF[CH4], MATCH("V.05", EF[Vector], 0))</f>
        <v>0</v>
      </c>
      <c r="J505" s="90">
        <f>J$497*INDEX(EF[CH4], MATCH("V.03", EF[Vector], 0))+J$498*INDEX(EF[CH4], MATCH("V.04", EF[Vector], 0))+J$499*INDEX(EF[CH4], MATCH("V.05", EF[Vector], 0))</f>
        <v>0</v>
      </c>
      <c r="K505" s="90">
        <f>K$497*INDEX(EF[CH4], MATCH("V.03", EF[Vector], 0))+K$498*INDEX(EF[CH4], MATCH("V.04", EF[Vector], 0))+K$499*INDEX(EF[CH4], MATCH("V.05", EF[Vector], 0))</f>
        <v>0</v>
      </c>
      <c r="L505" s="90">
        <f>L$497*INDEX(EF[CH4], MATCH("V.03", EF[Vector], 0))+L$498*INDEX(EF[CH4], MATCH("V.04", EF[Vector], 0))+L$499*INDEX(EF[CH4], MATCH("V.05", EF[Vector], 0))</f>
        <v>0</v>
      </c>
      <c r="M505" s="90">
        <f>M$497*INDEX(EF[CH4], MATCH("V.03", EF[Vector], 0))+M$498*INDEX(EF[CH4], MATCH("V.04", EF[Vector], 0))+M$499*INDEX(EF[CH4], MATCH("V.05", EF[Vector], 0))</f>
        <v>0</v>
      </c>
      <c r="N505" s="90">
        <f>N$497*INDEX(EF[CH4], MATCH("V.03", EF[Vector], 0))+N$498*INDEX(EF[CH4], MATCH("V.04", EF[Vector], 0))+N$499*INDEX(EF[CH4], MATCH("V.05", EF[Vector], 0))</f>
        <v>0</v>
      </c>
      <c r="O505" s="90">
        <f>O$497*INDEX(EF[CH4], MATCH("V.03", EF[Vector], 0))+O$498*INDEX(EF[CH4], MATCH("V.04", EF[Vector], 0))+O$499*INDEX(EF[CH4], MATCH("V.05", EF[Vector], 0))</f>
        <v>0</v>
      </c>
      <c r="P505" s="51"/>
      <c r="Q505" s="495"/>
      <c r="R505" s="495"/>
      <c r="S505" s="495"/>
      <c r="T505" s="495"/>
      <c r="U505" s="495"/>
      <c r="V505" s="495"/>
      <c r="W505" s="495"/>
      <c r="X505" s="495"/>
      <c r="Y505" s="495"/>
      <c r="Z505" s="495"/>
      <c r="AA505" s="495"/>
      <c r="AB505" s="495"/>
      <c r="AC505" s="495"/>
      <c r="AD505" s="495"/>
      <c r="AE505" s="495"/>
      <c r="AF505" s="495"/>
      <c r="AG505" s="495"/>
      <c r="AH505" s="495"/>
      <c r="AI505" s="495"/>
      <c r="AJ505" s="495"/>
      <c r="AK505" s="495"/>
      <c r="AL505" s="495"/>
      <c r="AM505" s="495"/>
      <c r="AN505" s="495"/>
      <c r="AO505" s="495"/>
      <c r="AP505" s="495"/>
      <c r="AQ505" s="495"/>
      <c r="AR505" s="495"/>
      <c r="AS505" s="495"/>
      <c r="AT505" s="495"/>
      <c r="AU505" s="495"/>
    </row>
    <row r="506" spans="2:47" ht="14.25">
      <c r="B506" s="423"/>
      <c r="C506" s="605" t="s">
        <v>352</v>
      </c>
      <c r="D506" s="51"/>
      <c r="E506" s="51" t="s">
        <v>368</v>
      </c>
      <c r="F506" s="90">
        <f>F$497*INDEX(EF[N2O], MATCH("V.03", EF[Vector], 0))+F$498*INDEX(EF[N2O], MATCH("V.04", EF[Vector], 0))+F$499*INDEX(EF[N2O], MATCH("V.05", EF[Vector], 0))</f>
        <v>0</v>
      </c>
      <c r="G506" s="90">
        <f>G$497*INDEX(EF[N2O], MATCH("V.03", EF[Vector], 0))+G$498*INDEX(EF[N2O], MATCH("V.04", EF[Vector], 0))+G$499*INDEX(EF[N2O], MATCH("V.05", EF[Vector], 0))</f>
        <v>0</v>
      </c>
      <c r="H506" s="90">
        <f>H$497*INDEX(EF[N2O], MATCH("V.03", EF[Vector], 0))+H$498*INDEX(EF[N2O], MATCH("V.04", EF[Vector], 0))+H$499*INDEX(EF[N2O], MATCH("V.05", EF[Vector], 0))</f>
        <v>0</v>
      </c>
      <c r="I506" s="90">
        <f>I$497*INDEX(EF[N2O], MATCH("V.03", EF[Vector], 0))+I$498*INDEX(EF[N2O], MATCH("V.04", EF[Vector], 0))+I$499*INDEX(EF[N2O], MATCH("V.05", EF[Vector], 0))</f>
        <v>0</v>
      </c>
      <c r="J506" s="90">
        <f>J$497*INDEX(EF[N2O], MATCH("V.03", EF[Vector], 0))+J$498*INDEX(EF[N2O], MATCH("V.04", EF[Vector], 0))+J$499*INDEX(EF[N2O], MATCH("V.05", EF[Vector], 0))</f>
        <v>0</v>
      </c>
      <c r="K506" s="90">
        <f>K$497*INDEX(EF[N2O], MATCH("V.03", EF[Vector], 0))+K$498*INDEX(EF[N2O], MATCH("V.04", EF[Vector], 0))+K$499*INDEX(EF[N2O], MATCH("V.05", EF[Vector], 0))</f>
        <v>0</v>
      </c>
      <c r="L506" s="90">
        <f>L$497*INDEX(EF[N2O], MATCH("V.03", EF[Vector], 0))+L$498*INDEX(EF[N2O], MATCH("V.04", EF[Vector], 0))+L$499*INDEX(EF[N2O], MATCH("V.05", EF[Vector], 0))</f>
        <v>0</v>
      </c>
      <c r="M506" s="90">
        <f>M$497*INDEX(EF[N2O], MATCH("V.03", EF[Vector], 0))+M$498*INDEX(EF[N2O], MATCH("V.04", EF[Vector], 0))+M$499*INDEX(EF[N2O], MATCH("V.05", EF[Vector], 0))</f>
        <v>0</v>
      </c>
      <c r="N506" s="90">
        <f>N$497*INDEX(EF[N2O], MATCH("V.03", EF[Vector], 0))+N$498*INDEX(EF[N2O], MATCH("V.04", EF[Vector], 0))+N$499*INDEX(EF[N2O], MATCH("V.05", EF[Vector], 0))</f>
        <v>0</v>
      </c>
      <c r="O506" s="90">
        <f>O$497*INDEX(EF[N2O], MATCH("V.03", EF[Vector], 0))+O$498*INDEX(EF[N2O], MATCH("V.04", EF[Vector], 0))+O$499*INDEX(EF[N2O], MATCH("V.05", EF[Vector], 0))</f>
        <v>0</v>
      </c>
      <c r="P506" s="51"/>
      <c r="Q506" s="495"/>
      <c r="R506" s="495"/>
      <c r="S506" s="495"/>
      <c r="T506" s="495"/>
      <c r="U506" s="495"/>
      <c r="V506" s="495"/>
      <c r="W506" s="495"/>
      <c r="X506" s="495"/>
      <c r="Y506" s="495"/>
      <c r="Z506" s="495"/>
      <c r="AA506" s="495"/>
      <c r="AB506" s="495"/>
      <c r="AC506" s="495"/>
      <c r="AD506" s="495"/>
      <c r="AE506" s="495"/>
      <c r="AF506" s="495"/>
      <c r="AG506" s="495"/>
      <c r="AH506" s="495"/>
      <c r="AI506" s="495"/>
      <c r="AJ506" s="495"/>
      <c r="AK506" s="495"/>
      <c r="AL506" s="495"/>
      <c r="AM506" s="495"/>
      <c r="AN506" s="495"/>
      <c r="AO506" s="495"/>
      <c r="AP506" s="495"/>
      <c r="AQ506" s="495"/>
      <c r="AR506" s="495"/>
      <c r="AS506" s="495"/>
      <c r="AT506" s="495"/>
      <c r="AU506" s="495"/>
    </row>
    <row r="507" spans="2:47">
      <c r="B507" s="973"/>
      <c r="C507" s="19"/>
      <c r="E507" s="423"/>
      <c r="G507" s="495"/>
      <c r="H507" s="495"/>
      <c r="I507" s="495"/>
      <c r="J507" s="495"/>
      <c r="K507" s="495"/>
      <c r="L507" s="495"/>
      <c r="M507" s="495"/>
      <c r="N507" s="495"/>
      <c r="O507" s="495"/>
      <c r="P507" s="495"/>
      <c r="Q507" s="495"/>
      <c r="R507" s="495"/>
      <c r="S507" s="495"/>
      <c r="T507" s="495"/>
      <c r="U507" s="495"/>
      <c r="V507" s="495"/>
      <c r="W507" s="495"/>
      <c r="X507" s="495"/>
      <c r="Y507" s="495"/>
      <c r="Z507" s="495"/>
      <c r="AA507" s="495"/>
      <c r="AB507" s="495"/>
      <c r="AC507" s="495"/>
      <c r="AD507" s="495"/>
      <c r="AE507" s="495"/>
      <c r="AF507" s="495"/>
      <c r="AG507" s="495"/>
      <c r="AH507" s="495"/>
      <c r="AI507" s="495"/>
      <c r="AJ507" s="495"/>
      <c r="AK507" s="495"/>
      <c r="AL507" s="495"/>
      <c r="AM507" s="495"/>
      <c r="AN507" s="495"/>
      <c r="AO507" s="495"/>
      <c r="AP507" s="495"/>
      <c r="AQ507" s="495"/>
      <c r="AR507" s="495"/>
      <c r="AS507" s="495"/>
      <c r="AT507" s="495"/>
      <c r="AU507" s="495"/>
    </row>
    <row r="508" spans="2:47">
      <c r="B508" s="859">
        <v>5.2</v>
      </c>
      <c r="C508" s="1825" t="s">
        <v>2208</v>
      </c>
      <c r="D508" s="19"/>
      <c r="E508" s="423"/>
      <c r="F508" s="19"/>
      <c r="G508" s="1668"/>
      <c r="H508" s="1668"/>
      <c r="I508" s="1668"/>
      <c r="J508" s="1668"/>
      <c r="K508" s="1668"/>
      <c r="L508" s="1668"/>
      <c r="M508" s="1668"/>
      <c r="N508" s="1668"/>
      <c r="O508" s="1668"/>
      <c r="P508" s="495"/>
      <c r="Q508" s="495"/>
      <c r="R508" s="495"/>
      <c r="S508" s="495"/>
      <c r="T508" s="495"/>
      <c r="U508" s="495"/>
      <c r="V508" s="495"/>
      <c r="W508" s="495"/>
      <c r="X508" s="495"/>
      <c r="Y508" s="495"/>
      <c r="Z508" s="495"/>
      <c r="AA508" s="495"/>
      <c r="AB508" s="495"/>
      <c r="AC508" s="495"/>
      <c r="AD508" s="495"/>
      <c r="AE508" s="495"/>
      <c r="AF508" s="495"/>
      <c r="AG508" s="495"/>
      <c r="AH508" s="495"/>
      <c r="AI508" s="495"/>
      <c r="AJ508" s="495"/>
      <c r="AK508" s="495"/>
      <c r="AL508" s="495"/>
      <c r="AM508" s="495"/>
      <c r="AN508" s="495"/>
      <c r="AO508" s="495"/>
      <c r="AP508" s="495"/>
      <c r="AQ508" s="495"/>
      <c r="AR508" s="495"/>
      <c r="AS508" s="495"/>
      <c r="AT508" s="495"/>
      <c r="AU508" s="495"/>
    </row>
    <row r="509" spans="2:47">
      <c r="B509" s="859" t="s">
        <v>64</v>
      </c>
      <c r="C509" s="233" t="s">
        <v>120</v>
      </c>
      <c r="D509" s="51"/>
      <c r="E509" s="859" t="s">
        <v>1530</v>
      </c>
      <c r="F509" s="641">
        <v>2007</v>
      </c>
      <c r="G509" s="642">
        <f t="shared" ref="G509:O509" si="248">F509+5</f>
        <v>2012</v>
      </c>
      <c r="H509" s="642">
        <f t="shared" si="248"/>
        <v>2017</v>
      </c>
      <c r="I509" s="642">
        <f t="shared" si="248"/>
        <v>2022</v>
      </c>
      <c r="J509" s="642">
        <f t="shared" si="248"/>
        <v>2027</v>
      </c>
      <c r="K509" s="642">
        <f t="shared" si="248"/>
        <v>2032</v>
      </c>
      <c r="L509" s="642">
        <f t="shared" si="248"/>
        <v>2037</v>
      </c>
      <c r="M509" s="642">
        <f t="shared" si="248"/>
        <v>2042</v>
      </c>
      <c r="N509" s="642">
        <f t="shared" si="248"/>
        <v>2047</v>
      </c>
      <c r="O509" s="642">
        <f t="shared" si="248"/>
        <v>2052</v>
      </c>
      <c r="P509" s="495"/>
      <c r="Q509" s="495"/>
      <c r="R509" s="495"/>
      <c r="S509" s="495"/>
      <c r="T509" s="495"/>
      <c r="U509" s="495"/>
      <c r="V509" s="495"/>
      <c r="W509" s="495"/>
      <c r="X509" s="495"/>
      <c r="Y509" s="495"/>
      <c r="Z509" s="495"/>
      <c r="AA509" s="495"/>
      <c r="AB509" s="495"/>
      <c r="AC509" s="495"/>
      <c r="AD509" s="495"/>
      <c r="AE509" s="495"/>
      <c r="AF509" s="495"/>
      <c r="AG509" s="495"/>
      <c r="AH509" s="495"/>
      <c r="AI509" s="495"/>
      <c r="AJ509" s="495"/>
      <c r="AK509" s="495"/>
      <c r="AL509" s="495"/>
      <c r="AM509" s="495"/>
      <c r="AN509" s="495"/>
      <c r="AO509" s="495"/>
      <c r="AP509" s="495"/>
      <c r="AQ509" s="495"/>
      <c r="AR509" s="495"/>
      <c r="AS509" s="495"/>
      <c r="AT509" s="495"/>
      <c r="AU509" s="495"/>
    </row>
    <row r="510" spans="2:47">
      <c r="B510" s="859"/>
      <c r="C510" s="423"/>
      <c r="D510" s="51"/>
      <c r="E510" s="51"/>
      <c r="F510" s="73"/>
      <c r="G510" s="73"/>
      <c r="H510" s="73"/>
      <c r="I510" s="73"/>
      <c r="J510" s="73"/>
      <c r="K510" s="73"/>
      <c r="L510" s="73"/>
      <c r="M510" s="73"/>
      <c r="N510" s="73"/>
      <c r="O510" s="73"/>
      <c r="P510" s="495"/>
      <c r="Q510" s="495"/>
      <c r="R510" s="495"/>
      <c r="S510" s="495"/>
      <c r="T510" s="495"/>
      <c r="U510" s="495"/>
      <c r="V510" s="495"/>
      <c r="W510" s="495"/>
      <c r="X510" s="495"/>
      <c r="Y510" s="495"/>
      <c r="Z510" s="495"/>
      <c r="AA510" s="495"/>
      <c r="AB510" s="495"/>
      <c r="AC510" s="495"/>
      <c r="AD510" s="495"/>
      <c r="AE510" s="495"/>
      <c r="AF510" s="495"/>
      <c r="AG510" s="495"/>
      <c r="AH510" s="495"/>
      <c r="AI510" s="495"/>
      <c r="AJ510" s="495"/>
      <c r="AK510" s="495"/>
      <c r="AL510" s="495"/>
      <c r="AM510" s="495"/>
      <c r="AN510" s="495"/>
      <c r="AO510" s="495"/>
      <c r="AP510" s="495"/>
      <c r="AQ510" s="495"/>
      <c r="AR510" s="495"/>
      <c r="AS510" s="495"/>
      <c r="AT510" s="495"/>
      <c r="AU510" s="495"/>
    </row>
    <row r="511" spans="2:47">
      <c r="B511" s="60" t="s">
        <v>34</v>
      </c>
      <c r="C511" s="19" t="str">
        <f>INDEX(Vectors[Description], MATCH(B511, Vectors[Code], 0))</f>
        <v>Electricity (delivered to end user)</v>
      </c>
      <c r="D511" s="51"/>
      <c r="E511" s="51" t="str">
        <f>preferences.energyunits</f>
        <v>TWh</v>
      </c>
      <c r="F511" s="73">
        <f t="shared" ref="F511:O511" si="249">F446</f>
        <v>0.20650611961343057</v>
      </c>
      <c r="G511" s="73">
        <f t="shared" si="249"/>
        <v>0.31217555248582807</v>
      </c>
      <c r="H511" s="73">
        <f t="shared" si="249"/>
        <v>0.6407172117365989</v>
      </c>
      <c r="I511" s="73">
        <f t="shared" si="249"/>
        <v>1.3107128947403945</v>
      </c>
      <c r="J511" s="73">
        <f t="shared" si="249"/>
        <v>2.6347932308073903</v>
      </c>
      <c r="K511" s="73">
        <f t="shared" si="249"/>
        <v>5.2974318716156272</v>
      </c>
      <c r="L511" s="73">
        <f t="shared" si="249"/>
        <v>6.7647963671245579</v>
      </c>
      <c r="M511" s="73">
        <f t="shared" si="249"/>
        <v>8.6542951541458208</v>
      </c>
      <c r="N511" s="73">
        <f t="shared" si="249"/>
        <v>10.814872154271491</v>
      </c>
      <c r="O511" s="73">
        <f t="shared" si="249"/>
        <v>14.155197377772522</v>
      </c>
      <c r="P511" s="495"/>
      <c r="Q511" s="495"/>
      <c r="R511" s="495"/>
      <c r="S511" s="495"/>
      <c r="T511" s="495"/>
      <c r="U511" s="495"/>
      <c r="V511" s="495"/>
      <c r="W511" s="495"/>
      <c r="X511" s="495"/>
      <c r="Y511" s="495"/>
      <c r="Z511" s="495"/>
      <c r="AA511" s="495"/>
      <c r="AB511" s="495"/>
      <c r="AC511" s="495"/>
      <c r="AD511" s="495"/>
      <c r="AE511" s="495"/>
      <c r="AF511" s="495"/>
      <c r="AG511" s="495"/>
      <c r="AH511" s="495"/>
      <c r="AI511" s="495"/>
      <c r="AJ511" s="495"/>
      <c r="AK511" s="495"/>
      <c r="AL511" s="495"/>
      <c r="AM511" s="495"/>
      <c r="AN511" s="495"/>
      <c r="AO511" s="495"/>
      <c r="AP511" s="495"/>
      <c r="AQ511" s="495"/>
      <c r="AR511" s="495"/>
      <c r="AS511" s="495"/>
      <c r="AT511" s="495"/>
      <c r="AU511" s="495"/>
    </row>
    <row r="512" spans="2:47">
      <c r="B512" s="60" t="s">
        <v>36</v>
      </c>
      <c r="C512" s="19" t="str">
        <f>INDEX(Vectors[Description], MATCH(B512, Vectors[Code], 0))</f>
        <v>Solid hydrocarbons</v>
      </c>
      <c r="D512" s="51"/>
      <c r="E512" s="51" t="str">
        <f>preferences.energyunits</f>
        <v>TWh</v>
      </c>
      <c r="F512" s="73">
        <f>F449+F448</f>
        <v>837.47157629243554</v>
      </c>
      <c r="G512" s="73">
        <f t="shared" ref="G512:O512" si="250">G449+G448</f>
        <v>888.11999747084428</v>
      </c>
      <c r="H512" s="73">
        <f t="shared" si="250"/>
        <v>871.14729637904793</v>
      </c>
      <c r="I512" s="73">
        <f t="shared" si="250"/>
        <v>851.36944836532291</v>
      </c>
      <c r="J512" s="73">
        <f t="shared" si="250"/>
        <v>817.63286365828765</v>
      </c>
      <c r="K512" s="73">
        <f t="shared" si="250"/>
        <v>778.38904703360095</v>
      </c>
      <c r="L512" s="73">
        <f t="shared" si="250"/>
        <v>724.2414228164522</v>
      </c>
      <c r="M512" s="73">
        <f t="shared" si="250"/>
        <v>664.20978217808204</v>
      </c>
      <c r="N512" s="73">
        <f t="shared" si="250"/>
        <v>584.10225532771597</v>
      </c>
      <c r="O512" s="73">
        <f t="shared" si="250"/>
        <v>534.81050388612096</v>
      </c>
      <c r="P512" s="495"/>
      <c r="Q512" s="495"/>
      <c r="R512" s="495"/>
      <c r="S512" s="495"/>
      <c r="T512" s="495"/>
      <c r="U512" s="495"/>
      <c r="V512" s="495"/>
      <c r="W512" s="495"/>
      <c r="X512" s="495"/>
      <c r="Y512" s="495"/>
      <c r="Z512" s="495"/>
      <c r="AA512" s="495"/>
      <c r="AB512" s="495"/>
      <c r="AC512" s="495"/>
      <c r="AD512" s="495"/>
      <c r="AE512" s="495"/>
      <c r="AF512" s="495"/>
      <c r="AG512" s="495"/>
      <c r="AH512" s="495"/>
      <c r="AI512" s="495"/>
      <c r="AJ512" s="495"/>
      <c r="AK512" s="495"/>
      <c r="AL512" s="495"/>
      <c r="AM512" s="495"/>
      <c r="AN512" s="495"/>
      <c r="AO512" s="495"/>
      <c r="AP512" s="495"/>
      <c r="AQ512" s="495"/>
      <c r="AR512" s="495"/>
      <c r="AS512" s="495"/>
      <c r="AT512" s="495"/>
      <c r="AU512" s="495"/>
    </row>
    <row r="513" spans="2:47">
      <c r="B513" s="226" t="s">
        <v>38</v>
      </c>
      <c r="C513" s="19" t="str">
        <f>INDEX(Vectors[Description], MATCH(B513, Vectors[Code], 0))</f>
        <v>Liquid hydrocarbons</v>
      </c>
      <c r="D513" s="51"/>
      <c r="E513" s="51" t="str">
        <f>preferences.energyunits</f>
        <v>TWh</v>
      </c>
      <c r="F513" s="73">
        <f>0.87*F445+F450</f>
        <v>20.597941087150669</v>
      </c>
      <c r="G513" s="73">
        <f t="shared" ref="G513:O513" si="251">0.87*G445+G450</f>
        <v>29.424982706177715</v>
      </c>
      <c r="H513" s="73">
        <f t="shared" si="251"/>
        <v>33.033740515722357</v>
      </c>
      <c r="I513" s="73">
        <f t="shared" si="251"/>
        <v>38.868179600987773</v>
      </c>
      <c r="J513" s="73">
        <f t="shared" si="251"/>
        <v>43.227544333423907</v>
      </c>
      <c r="K513" s="73">
        <f t="shared" si="251"/>
        <v>44.297084195219973</v>
      </c>
      <c r="L513" s="73">
        <f t="shared" si="251"/>
        <v>51.051915507801148</v>
      </c>
      <c r="M513" s="73">
        <f t="shared" si="251"/>
        <v>58.943588198464809</v>
      </c>
      <c r="N513" s="73">
        <f t="shared" si="251"/>
        <v>66.477367159456691</v>
      </c>
      <c r="O513" s="73">
        <f t="shared" si="251"/>
        <v>78.526439082575834</v>
      </c>
      <c r="P513" s="495"/>
      <c r="Q513" s="495"/>
      <c r="R513" s="495"/>
      <c r="S513" s="495"/>
      <c r="T513" s="495"/>
      <c r="U513" s="495"/>
      <c r="V513" s="495"/>
      <c r="W513" s="495"/>
      <c r="X513" s="495"/>
      <c r="Y513" s="495"/>
      <c r="Z513" s="495"/>
      <c r="AA513" s="495"/>
      <c r="AB513" s="495"/>
      <c r="AC513" s="495"/>
      <c r="AD513" s="495"/>
      <c r="AE513" s="495"/>
      <c r="AF513" s="495"/>
      <c r="AG513" s="495"/>
      <c r="AH513" s="495"/>
      <c r="AI513" s="495"/>
      <c r="AJ513" s="495"/>
      <c r="AK513" s="495"/>
      <c r="AL513" s="495"/>
      <c r="AM513" s="495"/>
      <c r="AN513" s="495"/>
      <c r="AO513" s="495"/>
      <c r="AP513" s="495"/>
      <c r="AQ513" s="495"/>
      <c r="AR513" s="495"/>
      <c r="AS513" s="495"/>
      <c r="AT513" s="495"/>
      <c r="AU513" s="495"/>
    </row>
    <row r="514" spans="2:47">
      <c r="B514" s="17" t="s">
        <v>39</v>
      </c>
      <c r="C514" s="19" t="str">
        <f>INDEX(Vectors[Description], MATCH(B514, Vectors[Code], 0))</f>
        <v>Gaseous hydrocarbons</v>
      </c>
      <c r="D514" s="51"/>
      <c r="E514" s="51" t="str">
        <f>preferences.energyunits</f>
        <v>TWh</v>
      </c>
      <c r="F514" s="73">
        <f>0.13*F445+F447+F451</f>
        <v>3.9681958850961112</v>
      </c>
      <c r="G514" s="73">
        <f t="shared" ref="G514:O514" si="252">0.13*G445+G447+G451</f>
        <v>5.5158363020818326</v>
      </c>
      <c r="H514" s="73">
        <f t="shared" si="252"/>
        <v>6.5310172178285315</v>
      </c>
      <c r="I514" s="73">
        <f t="shared" si="252"/>
        <v>8.7492975846098968</v>
      </c>
      <c r="J514" s="73">
        <f t="shared" si="252"/>
        <v>11.649529632349321</v>
      </c>
      <c r="K514" s="73">
        <f t="shared" si="252"/>
        <v>18.949435145801878</v>
      </c>
      <c r="L514" s="73">
        <f t="shared" si="252"/>
        <v>21.804901166593044</v>
      </c>
      <c r="M514" s="73">
        <f t="shared" si="252"/>
        <v>25.136231862065536</v>
      </c>
      <c r="N514" s="73">
        <f t="shared" si="252"/>
        <v>28.304762084141679</v>
      </c>
      <c r="O514" s="73">
        <f t="shared" si="252"/>
        <v>33.382915863253409</v>
      </c>
      <c r="P514" s="495"/>
      <c r="Q514" s="495"/>
      <c r="R514" s="495"/>
      <c r="S514" s="495"/>
      <c r="T514" s="495"/>
      <c r="U514" s="495"/>
      <c r="V514" s="495"/>
      <c r="W514" s="495"/>
      <c r="X514" s="495"/>
      <c r="Y514" s="495"/>
      <c r="Z514" s="495"/>
      <c r="AA514" s="495"/>
      <c r="AB514" s="495"/>
      <c r="AC514" s="495"/>
      <c r="AD514" s="495"/>
      <c r="AE514" s="495"/>
      <c r="AF514" s="495"/>
      <c r="AG514" s="495"/>
      <c r="AH514" s="495"/>
      <c r="AI514" s="495"/>
      <c r="AJ514" s="495"/>
      <c r="AK514" s="495"/>
      <c r="AL514" s="495"/>
      <c r="AM514" s="495"/>
      <c r="AN514" s="495"/>
      <c r="AO514" s="495"/>
      <c r="AP514" s="495"/>
      <c r="AQ514" s="495"/>
      <c r="AR514" s="495"/>
      <c r="AS514" s="495"/>
      <c r="AT514" s="495"/>
      <c r="AU514" s="495"/>
    </row>
    <row r="515" spans="2:47">
      <c r="B515" s="859"/>
      <c r="C515" s="423"/>
      <c r="D515" s="51"/>
      <c r="E515" s="51"/>
      <c r="F515" s="73"/>
      <c r="G515" s="73"/>
      <c r="H515" s="73"/>
      <c r="I515" s="73"/>
      <c r="J515" s="73"/>
      <c r="K515" s="73"/>
      <c r="L515" s="73"/>
      <c r="M515" s="73"/>
      <c r="N515" s="73"/>
      <c r="O515" s="73"/>
      <c r="P515" s="495"/>
      <c r="Q515" s="495"/>
      <c r="R515" s="495"/>
      <c r="S515" s="495"/>
      <c r="T515" s="495"/>
      <c r="U515" s="495"/>
      <c r="V515" s="495"/>
      <c r="W515" s="495"/>
      <c r="X515" s="495"/>
      <c r="Y515" s="495"/>
      <c r="Z515" s="495"/>
      <c r="AA515" s="495"/>
      <c r="AB515" s="495"/>
      <c r="AC515" s="495"/>
      <c r="AD515" s="495"/>
      <c r="AE515" s="495"/>
      <c r="AF515" s="495"/>
      <c r="AG515" s="495"/>
      <c r="AH515" s="495"/>
      <c r="AI515" s="495"/>
      <c r="AJ515" s="495"/>
      <c r="AK515" s="495"/>
      <c r="AL515" s="495"/>
      <c r="AM515" s="495"/>
      <c r="AN515" s="495"/>
      <c r="AO515" s="495"/>
      <c r="AP515" s="495"/>
      <c r="AQ515" s="495"/>
      <c r="AR515" s="495"/>
      <c r="AS515" s="495"/>
      <c r="AT515" s="495"/>
      <c r="AU515" s="495"/>
    </row>
    <row r="516" spans="2:47">
      <c r="B516" s="859">
        <v>6.2</v>
      </c>
      <c r="C516" s="423" t="s">
        <v>1620</v>
      </c>
      <c r="D516" s="51"/>
      <c r="E516" s="51"/>
      <c r="F516" s="73"/>
      <c r="G516" s="73"/>
      <c r="H516" s="73"/>
      <c r="I516" s="73"/>
      <c r="J516" s="73"/>
      <c r="K516" s="73"/>
      <c r="L516" s="73"/>
      <c r="M516" s="73"/>
      <c r="N516" s="73"/>
      <c r="O516" s="73"/>
      <c r="P516" s="495"/>
      <c r="Q516" s="495"/>
      <c r="R516" s="495"/>
      <c r="S516" s="495"/>
      <c r="T516" s="495"/>
      <c r="U516" s="495"/>
      <c r="V516" s="495"/>
      <c r="W516" s="495"/>
      <c r="X516" s="495"/>
      <c r="Y516" s="495"/>
      <c r="Z516" s="495"/>
      <c r="AA516" s="495"/>
      <c r="AB516" s="495"/>
      <c r="AC516" s="495"/>
      <c r="AD516" s="495"/>
      <c r="AE516" s="495"/>
      <c r="AF516" s="495"/>
      <c r="AG516" s="495"/>
      <c r="AH516" s="495"/>
      <c r="AI516" s="495"/>
      <c r="AJ516" s="495"/>
      <c r="AK516" s="495"/>
      <c r="AL516" s="495"/>
      <c r="AM516" s="495"/>
      <c r="AN516" s="495"/>
      <c r="AO516" s="495"/>
      <c r="AP516" s="495"/>
      <c r="AQ516" s="495"/>
      <c r="AR516" s="495"/>
      <c r="AS516" s="495"/>
      <c r="AT516" s="495"/>
      <c r="AU516" s="495"/>
    </row>
    <row r="517" spans="2:47">
      <c r="B517" s="423"/>
      <c r="D517" s="51"/>
      <c r="E517" s="51"/>
      <c r="F517" s="90"/>
      <c r="G517" s="90"/>
      <c r="H517" s="90"/>
      <c r="I517" s="90"/>
      <c r="J517" s="90"/>
      <c r="K517" s="90"/>
      <c r="L517" s="90"/>
      <c r="M517" s="90"/>
      <c r="N517" s="90"/>
      <c r="O517" s="90"/>
      <c r="P517" s="495"/>
      <c r="Q517" s="495"/>
      <c r="R517" s="495"/>
      <c r="S517" s="495"/>
      <c r="T517" s="495"/>
      <c r="U517" s="495"/>
      <c r="V517" s="495"/>
      <c r="W517" s="495"/>
      <c r="X517" s="495"/>
      <c r="Y517" s="495"/>
      <c r="Z517" s="495"/>
      <c r="AA517" s="495"/>
      <c r="AB517" s="495"/>
      <c r="AC517" s="495"/>
      <c r="AD517" s="495"/>
      <c r="AE517" s="495"/>
      <c r="AF517" s="495"/>
      <c r="AG517" s="495"/>
      <c r="AH517" s="495"/>
      <c r="AI517" s="495"/>
      <c r="AJ517" s="495"/>
      <c r="AK517" s="495"/>
      <c r="AL517" s="495"/>
      <c r="AM517" s="495"/>
      <c r="AN517" s="495"/>
      <c r="AO517" s="495"/>
      <c r="AP517" s="495"/>
      <c r="AQ517" s="495"/>
      <c r="AR517" s="495"/>
      <c r="AS517" s="495"/>
      <c r="AT517" s="495"/>
      <c r="AU517" s="495"/>
    </row>
    <row r="518" spans="2:47">
      <c r="B518" s="423"/>
      <c r="C518" s="423" t="s">
        <v>846</v>
      </c>
      <c r="D518" s="51"/>
      <c r="E518" s="51"/>
      <c r="F518" s="73"/>
      <c r="G518" s="73"/>
      <c r="H518" s="73"/>
      <c r="I518" s="73"/>
      <c r="J518" s="73"/>
      <c r="K518" s="73"/>
      <c r="L518" s="73"/>
      <c r="M518" s="73"/>
      <c r="N518" s="73"/>
      <c r="O518" s="73"/>
      <c r="P518" s="495"/>
      <c r="Q518" s="495"/>
      <c r="R518" s="495"/>
      <c r="S518" s="495"/>
      <c r="T518" s="495"/>
      <c r="U518" s="495"/>
      <c r="V518" s="495"/>
      <c r="W518" s="495"/>
      <c r="X518" s="495"/>
      <c r="Y518" s="495"/>
      <c r="Z518" s="495"/>
      <c r="AA518" s="495"/>
      <c r="AB518" s="495"/>
      <c r="AC518" s="495"/>
      <c r="AD518" s="495"/>
      <c r="AE518" s="495"/>
      <c r="AF518" s="495"/>
      <c r="AG518" s="495"/>
      <c r="AH518" s="495"/>
      <c r="AI518" s="495"/>
      <c r="AJ518" s="495"/>
      <c r="AK518" s="495"/>
      <c r="AL518" s="495"/>
      <c r="AM518" s="495"/>
      <c r="AN518" s="495"/>
      <c r="AO518" s="495"/>
      <c r="AP518" s="495"/>
      <c r="AQ518" s="495"/>
      <c r="AR518" s="495"/>
      <c r="AS518" s="495"/>
      <c r="AT518" s="495"/>
      <c r="AU518" s="495"/>
    </row>
    <row r="519" spans="2:47" ht="14.25">
      <c r="B519" s="423"/>
      <c r="C519" s="605" t="s">
        <v>350</v>
      </c>
      <c r="D519" s="51"/>
      <c r="E519" s="51" t="s">
        <v>368</v>
      </c>
      <c r="F519" s="90">
        <f>F$498*INDEX(EF[CO2], MATCH("V.04", EF[Vector], 0))</f>
        <v>18.552198763001243</v>
      </c>
      <c r="G519" s="90">
        <f>G$498*INDEX(EF[CO2], MATCH("V.04", EF[Vector], 0))</f>
        <v>25.516103605675333</v>
      </c>
      <c r="H519" s="90">
        <f>H$498*INDEX(EF[CO2], MATCH("V.04", EF[Vector], 0))</f>
        <v>26.389367340775216</v>
      </c>
      <c r="I519" s="90">
        <f>I$498*INDEX(EF[CO2], MATCH("V.04", EF[Vector], 0))</f>
        <v>28.241211146273969</v>
      </c>
      <c r="J519" s="90">
        <f>J$498*INDEX(EF[CO2], MATCH("V.04", EF[Vector], 0))</f>
        <v>30.118630174312727</v>
      </c>
      <c r="K519" s="90">
        <f>K$498*INDEX(EF[CO2], MATCH("V.04", EF[Vector], 0))</f>
        <v>30.655972259714044</v>
      </c>
      <c r="L519" s="90">
        <f>L$498*INDEX(EF[CO2], MATCH("V.04", EF[Vector], 0))</f>
        <v>30.590215952289295</v>
      </c>
      <c r="M519" s="90">
        <f>M$498*INDEX(EF[CO2], MATCH("V.04", EF[Vector], 0))</f>
        <v>29.366980359870578</v>
      </c>
      <c r="N519" s="90">
        <f>N$498*INDEX(EF[CO2], MATCH("V.04", EF[Vector], 0))</f>
        <v>29.525369083036761</v>
      </c>
      <c r="O519" s="90">
        <f>O$498*INDEX(EF[CO2], MATCH("V.04", EF[Vector], 0))</f>
        <v>29.94673061272173</v>
      </c>
      <c r="P519" s="495"/>
      <c r="Q519" s="495"/>
      <c r="R519" s="495"/>
      <c r="S519" s="495"/>
      <c r="T519" s="495"/>
      <c r="U519" s="495"/>
      <c r="V519" s="495"/>
      <c r="W519" s="495"/>
      <c r="X519" s="495"/>
      <c r="Y519" s="495"/>
      <c r="Z519" s="495"/>
      <c r="AA519" s="495"/>
      <c r="AB519" s="495"/>
      <c r="AC519" s="495"/>
      <c r="AD519" s="495"/>
      <c r="AE519" s="495"/>
      <c r="AF519" s="495"/>
      <c r="AG519" s="495"/>
      <c r="AH519" s="495"/>
      <c r="AI519" s="495"/>
      <c r="AJ519" s="495"/>
      <c r="AK519" s="495"/>
      <c r="AL519" s="495"/>
      <c r="AM519" s="495"/>
      <c r="AN519" s="495"/>
      <c r="AO519" s="495"/>
      <c r="AP519" s="495"/>
      <c r="AQ519" s="495"/>
      <c r="AR519" s="495"/>
      <c r="AS519" s="495"/>
      <c r="AT519" s="495"/>
      <c r="AU519" s="495"/>
    </row>
    <row r="520" spans="2:47" ht="14.25">
      <c r="B520" s="423"/>
      <c r="C520" s="605" t="s">
        <v>351</v>
      </c>
      <c r="D520" s="51"/>
      <c r="E520" s="51" t="s">
        <v>368</v>
      </c>
      <c r="F520" s="90">
        <f>F$497*INDEX(EF[CH4], MATCH("V.03", EF[Vector], 0))+F$498*INDEX(EF[CH4], MATCH("V.04", EF[Vector], 0))+F$499*INDEX(EF[CH4], MATCH("V.05", EF[Vector], 0))</f>
        <v>0</v>
      </c>
      <c r="G520" s="90">
        <f>G$497*INDEX(EF[CH4], MATCH("V.03", EF[Vector], 0))+G$498*INDEX(EF[CH4], MATCH("V.04", EF[Vector], 0))+G$499*INDEX(EF[CH4], MATCH("V.05", EF[Vector], 0))</f>
        <v>0</v>
      </c>
      <c r="H520" s="90">
        <f>H$497*INDEX(EF[CH4], MATCH("V.03", EF[Vector], 0))+H$498*INDEX(EF[CH4], MATCH("V.04", EF[Vector], 0))+H$499*INDEX(EF[CH4], MATCH("V.05", EF[Vector], 0))</f>
        <v>0</v>
      </c>
      <c r="I520" s="90">
        <f>I$497*INDEX(EF[CH4], MATCH("V.03", EF[Vector], 0))+I$498*INDEX(EF[CH4], MATCH("V.04", EF[Vector], 0))+I$499*INDEX(EF[CH4], MATCH("V.05", EF[Vector], 0))</f>
        <v>0</v>
      </c>
      <c r="J520" s="90">
        <f>J$497*INDEX(EF[CH4], MATCH("V.03", EF[Vector], 0))+J$498*INDEX(EF[CH4], MATCH("V.04", EF[Vector], 0))+J$499*INDEX(EF[CH4], MATCH("V.05", EF[Vector], 0))</f>
        <v>0</v>
      </c>
      <c r="K520" s="90">
        <f>K$497*INDEX(EF[CH4], MATCH("V.03", EF[Vector], 0))+K$498*INDEX(EF[CH4], MATCH("V.04", EF[Vector], 0))+K$499*INDEX(EF[CH4], MATCH("V.05", EF[Vector], 0))</f>
        <v>0</v>
      </c>
      <c r="L520" s="90">
        <f>L$497*INDEX(EF[CH4], MATCH("V.03", EF[Vector], 0))+L$498*INDEX(EF[CH4], MATCH("V.04", EF[Vector], 0))+L$499*INDEX(EF[CH4], MATCH("V.05", EF[Vector], 0))</f>
        <v>0</v>
      </c>
      <c r="M520" s="90">
        <f>M$497*INDEX(EF[CH4], MATCH("V.03", EF[Vector], 0))+M$498*INDEX(EF[CH4], MATCH("V.04", EF[Vector], 0))+M$499*INDEX(EF[CH4], MATCH("V.05", EF[Vector], 0))</f>
        <v>0</v>
      </c>
      <c r="N520" s="90">
        <f>N$497*INDEX(EF[CH4], MATCH("V.03", EF[Vector], 0))+N$498*INDEX(EF[CH4], MATCH("V.04", EF[Vector], 0))+N$499*INDEX(EF[CH4], MATCH("V.05", EF[Vector], 0))</f>
        <v>0</v>
      </c>
      <c r="O520" s="90">
        <f>O$497*INDEX(EF[CH4], MATCH("V.03", EF[Vector], 0))+O$498*INDEX(EF[CH4], MATCH("V.04", EF[Vector], 0))+O$499*INDEX(EF[CH4], MATCH("V.05", EF[Vector], 0))</f>
        <v>0</v>
      </c>
      <c r="P520" s="495"/>
      <c r="Q520" s="495"/>
      <c r="R520" s="495"/>
      <c r="S520" s="495"/>
      <c r="T520" s="495"/>
      <c r="U520" s="495"/>
      <c r="V520" s="495"/>
      <c r="W520" s="495"/>
      <c r="X520" s="495"/>
      <c r="Y520" s="495"/>
      <c r="Z520" s="495"/>
      <c r="AA520" s="495"/>
      <c r="AB520" s="495"/>
      <c r="AC520" s="495"/>
      <c r="AD520" s="495"/>
      <c r="AE520" s="495"/>
      <c r="AF520" s="495"/>
      <c r="AG520" s="495"/>
      <c r="AH520" s="495"/>
      <c r="AI520" s="495"/>
      <c r="AJ520" s="495"/>
      <c r="AK520" s="495"/>
      <c r="AL520" s="495"/>
      <c r="AM520" s="495"/>
      <c r="AN520" s="495"/>
      <c r="AO520" s="495"/>
      <c r="AP520" s="495"/>
      <c r="AQ520" s="495"/>
      <c r="AR520" s="495"/>
      <c r="AS520" s="495"/>
      <c r="AT520" s="495"/>
      <c r="AU520" s="495"/>
    </row>
    <row r="521" spans="2:47" ht="14.25">
      <c r="B521" s="423"/>
      <c r="C521" s="605" t="s">
        <v>352</v>
      </c>
      <c r="D521" s="51"/>
      <c r="E521" s="51" t="s">
        <v>368</v>
      </c>
      <c r="F521" s="90">
        <f>F$497*INDEX(EF[N2O], MATCH("V.03", EF[Vector], 0))+F$498*INDEX(EF[N2O], MATCH("V.04", EF[Vector], 0))+F$499*INDEX(EF[N2O], MATCH("V.05", EF[Vector], 0))</f>
        <v>0</v>
      </c>
      <c r="G521" s="90">
        <f>G$497*INDEX(EF[N2O], MATCH("V.03", EF[Vector], 0))+G$498*INDEX(EF[N2O], MATCH("V.04", EF[Vector], 0))+G$499*INDEX(EF[N2O], MATCH("V.05", EF[Vector], 0))</f>
        <v>0</v>
      </c>
      <c r="H521" s="90">
        <f>H$497*INDEX(EF[N2O], MATCH("V.03", EF[Vector], 0))+H$498*INDEX(EF[N2O], MATCH("V.04", EF[Vector], 0))+H$499*INDEX(EF[N2O], MATCH("V.05", EF[Vector], 0))</f>
        <v>0</v>
      </c>
      <c r="I521" s="90">
        <f>I$497*INDEX(EF[N2O], MATCH("V.03", EF[Vector], 0))+I$498*INDEX(EF[N2O], MATCH("V.04", EF[Vector], 0))+I$499*INDEX(EF[N2O], MATCH("V.05", EF[Vector], 0))</f>
        <v>0</v>
      </c>
      <c r="J521" s="90">
        <f>J$497*INDEX(EF[N2O], MATCH("V.03", EF[Vector], 0))+J$498*INDEX(EF[N2O], MATCH("V.04", EF[Vector], 0))+J$499*INDEX(EF[N2O], MATCH("V.05", EF[Vector], 0))</f>
        <v>0</v>
      </c>
      <c r="K521" s="90">
        <f>K$497*INDEX(EF[N2O], MATCH("V.03", EF[Vector], 0))+K$498*INDEX(EF[N2O], MATCH("V.04", EF[Vector], 0))+K$499*INDEX(EF[N2O], MATCH("V.05", EF[Vector], 0))</f>
        <v>0</v>
      </c>
      <c r="L521" s="90">
        <f>L$497*INDEX(EF[N2O], MATCH("V.03", EF[Vector], 0))+L$498*INDEX(EF[N2O], MATCH("V.04", EF[Vector], 0))+L$499*INDEX(EF[N2O], MATCH("V.05", EF[Vector], 0))</f>
        <v>0</v>
      </c>
      <c r="M521" s="90">
        <f>M$497*INDEX(EF[N2O], MATCH("V.03", EF[Vector], 0))+M$498*INDEX(EF[N2O], MATCH("V.04", EF[Vector], 0))+M$499*INDEX(EF[N2O], MATCH("V.05", EF[Vector], 0))</f>
        <v>0</v>
      </c>
      <c r="N521" s="90">
        <f>N$497*INDEX(EF[N2O], MATCH("V.03", EF[Vector], 0))+N$498*INDEX(EF[N2O], MATCH("V.04", EF[Vector], 0))+N$499*INDEX(EF[N2O], MATCH("V.05", EF[Vector], 0))</f>
        <v>0</v>
      </c>
      <c r="O521" s="90">
        <f>O$497*INDEX(EF[N2O], MATCH("V.03", EF[Vector], 0))+O$498*INDEX(EF[N2O], MATCH("V.04", EF[Vector], 0))+O$499*INDEX(EF[N2O], MATCH("V.05", EF[Vector], 0))</f>
        <v>0</v>
      </c>
      <c r="P521" s="495"/>
      <c r="Q521" s="495"/>
      <c r="R521" s="495"/>
      <c r="S521" s="495"/>
      <c r="T521" s="495"/>
      <c r="U521" s="495"/>
      <c r="V521" s="495"/>
      <c r="W521" s="495"/>
      <c r="X521" s="495"/>
      <c r="Y521" s="495"/>
      <c r="Z521" s="495"/>
      <c r="AA521" s="495"/>
      <c r="AB521" s="495"/>
      <c r="AC521" s="495"/>
      <c r="AD521" s="495"/>
      <c r="AE521" s="495"/>
      <c r="AF521" s="495"/>
      <c r="AG521" s="495"/>
      <c r="AH521" s="495"/>
      <c r="AI521" s="495"/>
      <c r="AJ521" s="495"/>
      <c r="AK521" s="495"/>
      <c r="AL521" s="495"/>
      <c r="AM521" s="495"/>
      <c r="AN521" s="495"/>
      <c r="AO521" s="495"/>
      <c r="AP521" s="495"/>
      <c r="AQ521" s="495"/>
      <c r="AR521" s="495"/>
      <c r="AS521" s="495"/>
      <c r="AT521" s="495"/>
      <c r="AU521" s="495"/>
    </row>
    <row r="522" spans="2:47">
      <c r="B522" s="973"/>
      <c r="C522" s="423"/>
      <c r="E522" s="423"/>
      <c r="G522" s="495"/>
      <c r="H522" s="495"/>
      <c r="I522" s="495"/>
      <c r="J522" s="495"/>
      <c r="K522" s="495"/>
      <c r="L522" s="495"/>
      <c r="M522" s="495"/>
      <c r="N522" s="495"/>
      <c r="O522" s="495"/>
      <c r="P522" s="495"/>
      <c r="Q522" s="495"/>
      <c r="R522" s="495"/>
      <c r="S522" s="495"/>
      <c r="T522" s="495"/>
      <c r="U522" s="495"/>
      <c r="V522" s="495"/>
      <c r="W522" s="495"/>
      <c r="X522" s="495"/>
      <c r="Y522" s="495"/>
      <c r="Z522" s="495"/>
      <c r="AA522" s="495"/>
      <c r="AB522" s="495"/>
      <c r="AC522" s="495"/>
      <c r="AD522" s="495"/>
      <c r="AE522" s="495"/>
      <c r="AF522" s="495"/>
      <c r="AG522" s="495"/>
      <c r="AH522" s="495"/>
      <c r="AI522" s="495"/>
      <c r="AJ522" s="495"/>
      <c r="AK522" s="495"/>
      <c r="AL522" s="495"/>
      <c r="AM522" s="495"/>
      <c r="AN522" s="495"/>
      <c r="AO522" s="495"/>
      <c r="AP522" s="495"/>
      <c r="AQ522" s="495"/>
      <c r="AR522" s="495"/>
      <c r="AS522" s="495"/>
      <c r="AT522" s="495"/>
      <c r="AU522" s="495"/>
    </row>
    <row r="523" spans="2:47">
      <c r="B523" s="973"/>
      <c r="C523" s="423"/>
      <c r="E523" s="423"/>
      <c r="G523" s="495"/>
      <c r="H523" s="495"/>
      <c r="I523" s="495"/>
      <c r="J523" s="495"/>
      <c r="K523" s="495"/>
      <c r="L523" s="495"/>
      <c r="M523" s="495"/>
      <c r="N523" s="495"/>
      <c r="O523" s="495"/>
      <c r="P523" s="495"/>
      <c r="Q523" s="495"/>
      <c r="R523" s="495"/>
      <c r="S523" s="495"/>
      <c r="T523" s="495"/>
      <c r="U523" s="495"/>
      <c r="V523" s="495"/>
      <c r="W523" s="495"/>
      <c r="X523" s="495"/>
      <c r="Y523" s="495"/>
      <c r="Z523" s="495"/>
      <c r="AA523" s="495"/>
      <c r="AB523" s="495"/>
      <c r="AC523" s="495"/>
      <c r="AD523" s="495"/>
      <c r="AE523" s="495"/>
      <c r="AF523" s="495"/>
      <c r="AG523" s="495"/>
      <c r="AH523" s="495"/>
      <c r="AI523" s="495"/>
      <c r="AJ523" s="495"/>
      <c r="AK523" s="495"/>
      <c r="AL523" s="495"/>
      <c r="AM523" s="495"/>
      <c r="AN523" s="495"/>
      <c r="AO523" s="495"/>
      <c r="AP523" s="495"/>
      <c r="AQ523" s="495"/>
      <c r="AR523" s="495"/>
      <c r="AS523" s="495"/>
      <c r="AT523" s="495"/>
      <c r="AU523" s="495"/>
    </row>
    <row r="524" spans="2:47">
      <c r="B524" s="973"/>
      <c r="C524" s="175"/>
      <c r="D524" s="175"/>
      <c r="E524" s="175"/>
      <c r="F524" s="175"/>
      <c r="G524" s="175"/>
      <c r="H524" s="175"/>
      <c r="I524" s="175"/>
      <c r="J524" s="175"/>
      <c r="K524" s="175"/>
      <c r="L524" s="175"/>
      <c r="M524" s="175"/>
      <c r="N524" s="175"/>
      <c r="O524" s="175"/>
      <c r="P524" s="177"/>
      <c r="Q524" s="495"/>
      <c r="R524" s="495"/>
      <c r="S524" s="495"/>
      <c r="T524" s="495"/>
      <c r="U524" s="495"/>
      <c r="V524" s="495"/>
      <c r="W524" s="495"/>
      <c r="X524" s="495"/>
      <c r="Y524" s="495"/>
      <c r="Z524" s="495"/>
      <c r="AA524" s="495"/>
      <c r="AB524" s="495"/>
      <c r="AC524" s="495"/>
      <c r="AD524" s="495"/>
      <c r="AE524" s="495"/>
      <c r="AF524" s="495"/>
      <c r="AG524" s="495"/>
      <c r="AH524" s="495"/>
      <c r="AI524" s="495"/>
      <c r="AJ524" s="495"/>
      <c r="AK524" s="495"/>
      <c r="AL524" s="495"/>
      <c r="AM524" s="495"/>
      <c r="AN524" s="495"/>
      <c r="AO524" s="495"/>
      <c r="AP524" s="495"/>
      <c r="AQ524" s="495"/>
      <c r="AR524" s="495"/>
      <c r="AS524" s="495"/>
      <c r="AT524" s="495"/>
      <c r="AU524" s="495"/>
    </row>
    <row r="525" spans="2:47">
      <c r="B525" s="973"/>
      <c r="C525" s="166"/>
      <c r="D525" s="166"/>
      <c r="E525" s="166"/>
      <c r="F525" s="166"/>
      <c r="G525" s="166"/>
      <c r="H525" s="166"/>
      <c r="I525" s="166"/>
      <c r="J525" s="166"/>
      <c r="K525" s="166"/>
      <c r="L525" s="166"/>
      <c r="M525" s="166"/>
      <c r="N525" s="166"/>
      <c r="O525" s="166"/>
      <c r="P525" s="168"/>
      <c r="Q525" s="495"/>
      <c r="R525" s="495"/>
      <c r="S525" s="495"/>
      <c r="T525" s="495"/>
      <c r="U525" s="495"/>
      <c r="V525" s="495"/>
      <c r="W525" s="495"/>
      <c r="X525" s="495"/>
      <c r="Y525" s="495"/>
      <c r="Z525" s="495"/>
      <c r="AA525" s="495"/>
      <c r="AB525" s="495"/>
      <c r="AC525" s="495"/>
      <c r="AD525" s="495"/>
      <c r="AE525" s="495"/>
      <c r="AF525" s="495"/>
      <c r="AG525" s="495"/>
      <c r="AH525" s="495"/>
      <c r="AI525" s="495"/>
      <c r="AJ525" s="495"/>
      <c r="AK525" s="495"/>
      <c r="AL525" s="495"/>
      <c r="AM525" s="495"/>
      <c r="AN525" s="495"/>
      <c r="AO525" s="495"/>
      <c r="AP525" s="495"/>
      <c r="AQ525" s="495"/>
      <c r="AR525" s="495"/>
      <c r="AS525" s="495"/>
      <c r="AT525" s="495"/>
      <c r="AU525" s="495"/>
    </row>
    <row r="526" spans="2:47">
      <c r="B526" s="973"/>
      <c r="C526" s="178" t="s">
        <v>239</v>
      </c>
      <c r="D526" s="166"/>
      <c r="E526" s="167"/>
      <c r="F526" s="166"/>
      <c r="G526" s="167"/>
      <c r="H526" s="166"/>
      <c r="I526" s="166"/>
      <c r="J526" s="166"/>
      <c r="K526" s="166"/>
      <c r="L526" s="166"/>
      <c r="M526" s="166"/>
      <c r="N526" s="166"/>
      <c r="O526" s="167" t="str">
        <f>preferences.energyunits</f>
        <v>TWh</v>
      </c>
      <c r="P526" s="168"/>
      <c r="Q526" s="495"/>
      <c r="R526" s="495"/>
      <c r="S526" s="495"/>
      <c r="T526" s="495"/>
      <c r="U526" s="495"/>
      <c r="V526" s="495"/>
      <c r="W526" s="495"/>
      <c r="X526" s="495"/>
      <c r="Y526" s="495"/>
      <c r="Z526" s="495"/>
      <c r="AA526" s="495"/>
      <c r="AB526" s="495"/>
      <c r="AC526" s="495"/>
      <c r="AD526" s="495"/>
      <c r="AE526" s="495"/>
      <c r="AF526" s="495"/>
      <c r="AG526" s="495"/>
      <c r="AH526" s="495"/>
      <c r="AI526" s="495"/>
      <c r="AJ526" s="495"/>
      <c r="AK526" s="495"/>
      <c r="AL526" s="495"/>
      <c r="AM526" s="495"/>
      <c r="AN526" s="495"/>
      <c r="AO526" s="495"/>
      <c r="AP526" s="495"/>
      <c r="AQ526" s="495"/>
      <c r="AR526" s="495"/>
      <c r="AS526" s="495"/>
      <c r="AT526" s="495"/>
      <c r="AU526" s="495"/>
    </row>
    <row r="527" spans="2:47">
      <c r="B527" s="973"/>
      <c r="C527" s="166"/>
      <c r="D527" s="166"/>
      <c r="E527" s="166"/>
      <c r="F527" s="166"/>
      <c r="G527" s="166"/>
      <c r="H527" s="166"/>
      <c r="I527" s="166"/>
      <c r="J527" s="166"/>
      <c r="K527" s="166"/>
      <c r="L527" s="166"/>
      <c r="M527" s="166"/>
      <c r="N527" s="166"/>
      <c r="O527" s="166"/>
      <c r="P527" s="168"/>
      <c r="Q527" s="495"/>
      <c r="R527" s="495"/>
      <c r="S527" s="495"/>
      <c r="T527" s="495"/>
      <c r="U527" s="495"/>
      <c r="V527" s="495"/>
      <c r="W527" s="495"/>
      <c r="X527" s="495"/>
      <c r="Y527" s="495"/>
      <c r="Z527" s="495"/>
      <c r="AA527" s="495"/>
      <c r="AB527" s="495"/>
      <c r="AC527" s="495"/>
      <c r="AD527" s="495"/>
      <c r="AE527" s="495"/>
      <c r="AF527" s="495"/>
      <c r="AG527" s="495"/>
      <c r="AH527" s="495"/>
      <c r="AI527" s="495"/>
      <c r="AJ527" s="495"/>
      <c r="AK527" s="495"/>
      <c r="AL527" s="495"/>
      <c r="AM527" s="495"/>
      <c r="AN527" s="495"/>
      <c r="AO527" s="495"/>
      <c r="AP527" s="495"/>
      <c r="AQ527" s="495"/>
      <c r="AR527" s="495"/>
      <c r="AS527" s="495"/>
      <c r="AT527" s="495"/>
      <c r="AU527" s="495"/>
    </row>
    <row r="528" spans="2:47">
      <c r="B528" s="973"/>
      <c r="C528" s="180" t="s">
        <v>64</v>
      </c>
      <c r="D528" s="180" t="s">
        <v>137</v>
      </c>
      <c r="E528" s="180" t="s">
        <v>156</v>
      </c>
      <c r="F528" s="230" t="s">
        <v>203</v>
      </c>
      <c r="G528" s="566" t="s">
        <v>712</v>
      </c>
      <c r="H528" s="566" t="s">
        <v>713</v>
      </c>
      <c r="I528" s="566" t="s">
        <v>714</v>
      </c>
      <c r="J528" s="566" t="s">
        <v>715</v>
      </c>
      <c r="K528" s="566" t="s">
        <v>716</v>
      </c>
      <c r="L528" s="566" t="s">
        <v>717</v>
      </c>
      <c r="M528" s="566" t="s">
        <v>718</v>
      </c>
      <c r="N528" s="566" t="s">
        <v>719</v>
      </c>
      <c r="O528" s="566" t="s">
        <v>720</v>
      </c>
      <c r="P528" s="168"/>
      <c r="Q528" s="495"/>
      <c r="R528" s="495"/>
      <c r="S528" s="495"/>
      <c r="T528" s="495"/>
      <c r="U528" s="495"/>
      <c r="V528" s="495"/>
      <c r="W528" s="495"/>
      <c r="X528" s="495"/>
      <c r="Y528" s="495"/>
      <c r="Z528" s="495"/>
      <c r="AA528" s="495"/>
      <c r="AB528" s="495"/>
      <c r="AC528" s="495"/>
      <c r="AD528" s="495"/>
      <c r="AE528" s="495"/>
      <c r="AF528" s="495"/>
      <c r="AG528" s="495"/>
      <c r="AH528" s="495"/>
      <c r="AI528" s="495"/>
      <c r="AJ528" s="495"/>
      <c r="AK528" s="495"/>
      <c r="AL528" s="495"/>
      <c r="AM528" s="495"/>
      <c r="AN528" s="495"/>
      <c r="AO528" s="495"/>
      <c r="AP528" s="495"/>
      <c r="AQ528" s="495"/>
      <c r="AR528" s="495"/>
      <c r="AS528" s="495"/>
      <c r="AT528" s="495"/>
      <c r="AU528" s="495"/>
    </row>
    <row r="529" spans="2:47">
      <c r="B529" s="973"/>
      <c r="C529" s="60" t="s">
        <v>1052</v>
      </c>
      <c r="D529" s="60" t="str">
        <f>INDEX(Vectors[Description], MATCH([Vector], Vectors[Code], 0))</f>
        <v>Domestic Cooking  Energy Demand</v>
      </c>
      <c r="E529" s="60"/>
      <c r="F529" s="129">
        <f t="shared" ref="F529:O529" si="253">F443+F452</f>
        <v>1045.8611113960574</v>
      </c>
      <c r="G529" s="129">
        <f t="shared" si="253"/>
        <v>1153.7282449630281</v>
      </c>
      <c r="H529" s="129">
        <f t="shared" si="253"/>
        <v>1148.4989388784084</v>
      </c>
      <c r="I529" s="129">
        <f t="shared" si="253"/>
        <v>1155.9568110410034</v>
      </c>
      <c r="J529" s="129">
        <f t="shared" si="253"/>
        <v>1156.4277437769356</v>
      </c>
      <c r="K529" s="129">
        <f t="shared" si="253"/>
        <v>1145.5431763602155</v>
      </c>
      <c r="L529" s="129">
        <f t="shared" si="253"/>
        <v>1128.6766748639811</v>
      </c>
      <c r="M529" s="129">
        <f t="shared" si="253"/>
        <v>1099.7850738372154</v>
      </c>
      <c r="N529" s="129">
        <f t="shared" si="253"/>
        <v>1069.2095057928398</v>
      </c>
      <c r="O529" s="129">
        <f t="shared" si="253"/>
        <v>1079.9753438946816</v>
      </c>
      <c r="P529" s="168"/>
      <c r="Q529" s="495"/>
      <c r="R529" s="495"/>
      <c r="S529" s="495"/>
      <c r="T529" s="495"/>
      <c r="U529" s="495"/>
      <c r="V529" s="495"/>
      <c r="W529" s="495"/>
      <c r="X529" s="495"/>
      <c r="Y529" s="495"/>
      <c r="Z529" s="495"/>
      <c r="AA529" s="495"/>
      <c r="AB529" s="495"/>
      <c r="AC529" s="495"/>
      <c r="AD529" s="495"/>
      <c r="AE529" s="495"/>
      <c r="AF529" s="495"/>
      <c r="AG529" s="495"/>
      <c r="AH529" s="495"/>
      <c r="AI529" s="495"/>
      <c r="AJ529" s="495"/>
      <c r="AK529" s="495"/>
      <c r="AL529" s="495"/>
      <c r="AM529" s="495"/>
      <c r="AN529" s="495"/>
      <c r="AO529" s="495"/>
      <c r="AP529" s="495"/>
      <c r="AQ529" s="495"/>
      <c r="AR529" s="495"/>
      <c r="AS529" s="495"/>
      <c r="AT529" s="495"/>
      <c r="AU529" s="495"/>
    </row>
    <row r="530" spans="2:47">
      <c r="B530" s="973"/>
      <c r="C530" s="60" t="s">
        <v>34</v>
      </c>
      <c r="D530" s="60" t="str">
        <f>INDEX(Vectors[Description], MATCH([Vector], Vectors[Code], 0))</f>
        <v>Electricity (delivered to end user)</v>
      </c>
      <c r="E530" s="60"/>
      <c r="F530" s="129">
        <f t="shared" ref="F530:O530" si="254">-F462</f>
        <v>-0.30660334104356374</v>
      </c>
      <c r="G530" s="129">
        <f t="shared" si="254"/>
        <v>-0.40568124773609537</v>
      </c>
      <c r="H530" s="129">
        <f t="shared" si="254"/>
        <v>-1.9119107308416539</v>
      </c>
      <c r="I530" s="129">
        <f t="shared" si="254"/>
        <v>-3.0737404888957927</v>
      </c>
      <c r="J530" s="129">
        <f t="shared" si="254"/>
        <v>-5.9878453050571316</v>
      </c>
      <c r="K530" s="129">
        <f t="shared" si="254"/>
        <v>-10.924338830969084</v>
      </c>
      <c r="L530" s="129">
        <f t="shared" si="254"/>
        <v>-14.605179460099949</v>
      </c>
      <c r="M530" s="129">
        <f t="shared" si="254"/>
        <v>-19.221420721203312</v>
      </c>
      <c r="N530" s="129">
        <f t="shared" si="254"/>
        <v>-25.37842895536987</v>
      </c>
      <c r="O530" s="129">
        <f t="shared" si="254"/>
        <v>-29.2476501509129</v>
      </c>
      <c r="P530" s="168"/>
      <c r="Q530" s="495"/>
      <c r="R530" s="495"/>
      <c r="S530" s="495"/>
      <c r="T530" s="495"/>
      <c r="U530" s="495"/>
      <c r="V530" s="495"/>
      <c r="W530" s="495"/>
      <c r="X530" s="495"/>
      <c r="Y530" s="495"/>
      <c r="Z530" s="495"/>
      <c r="AA530" s="495"/>
      <c r="AB530" s="495"/>
      <c r="AC530" s="495"/>
      <c r="AD530" s="495"/>
      <c r="AE530" s="495"/>
      <c r="AF530" s="495"/>
      <c r="AG530" s="495"/>
      <c r="AH530" s="495"/>
      <c r="AI530" s="495"/>
      <c r="AJ530" s="495"/>
      <c r="AK530" s="495"/>
      <c r="AL530" s="495"/>
      <c r="AM530" s="495"/>
      <c r="AN530" s="495"/>
      <c r="AO530" s="495"/>
      <c r="AP530" s="495"/>
      <c r="AQ530" s="495"/>
      <c r="AR530" s="495"/>
      <c r="AS530" s="495"/>
      <c r="AT530" s="495"/>
      <c r="AU530" s="495"/>
    </row>
    <row r="531" spans="2:47">
      <c r="B531" s="973"/>
      <c r="C531" s="60" t="s">
        <v>36</v>
      </c>
      <c r="D531" s="60" t="str">
        <f>INDEX(Vectors[Description], MATCH([Vector], Vectors[Code], 0))</f>
        <v>Solid hydrocarbons</v>
      </c>
      <c r="E531" s="60"/>
      <c r="F531" s="129">
        <f t="shared" ref="F531:O531" si="255">-(F465+F464)</f>
        <v>-949.56920087057415</v>
      </c>
      <c r="G531" s="129">
        <f t="shared" si="255"/>
        <v>-1020.1110595149701</v>
      </c>
      <c r="H531" s="129">
        <f t="shared" si="255"/>
        <v>-1001.9366743603108</v>
      </c>
      <c r="I531" s="129">
        <f t="shared" si="255"/>
        <v>-983.74266287146509</v>
      </c>
      <c r="J531" s="129">
        <f t="shared" si="255"/>
        <v>-950.80286163262076</v>
      </c>
      <c r="K531" s="129">
        <f t="shared" si="255"/>
        <v>-905.63902530628877</v>
      </c>
      <c r="L531" s="129">
        <f t="shared" si="255"/>
        <v>-853.57505154297087</v>
      </c>
      <c r="M531" s="129">
        <f t="shared" si="255"/>
        <v>-783.70254050190999</v>
      </c>
      <c r="N531" s="129">
        <f t="shared" si="255"/>
        <v>-703.50687543202605</v>
      </c>
      <c r="O531" s="129">
        <f t="shared" si="255"/>
        <v>-655.18062965232855</v>
      </c>
      <c r="P531" s="168"/>
      <c r="Q531" s="495"/>
      <c r="R531" s="495"/>
      <c r="S531" s="495"/>
      <c r="T531" s="495"/>
      <c r="U531" s="495"/>
      <c r="V531" s="495"/>
      <c r="W531" s="495"/>
      <c r="X531" s="495"/>
      <c r="Y531" s="495"/>
      <c r="Z531" s="495"/>
      <c r="AA531" s="495"/>
      <c r="AB531" s="495"/>
      <c r="AC531" s="495"/>
      <c r="AD531" s="495"/>
      <c r="AE531" s="495"/>
      <c r="AF531" s="495"/>
      <c r="AG531" s="495"/>
      <c r="AH531" s="495"/>
      <c r="AI531" s="495"/>
      <c r="AJ531" s="495"/>
      <c r="AK531" s="495"/>
      <c r="AL531" s="495"/>
      <c r="AM531" s="495"/>
      <c r="AN531" s="495"/>
      <c r="AO531" s="495"/>
      <c r="AP531" s="495"/>
      <c r="AQ531" s="495"/>
      <c r="AR531" s="495"/>
      <c r="AS531" s="495"/>
      <c r="AT531" s="495"/>
      <c r="AU531" s="495"/>
    </row>
    <row r="532" spans="2:47">
      <c r="B532" s="973"/>
      <c r="C532" s="60" t="s">
        <v>38</v>
      </c>
      <c r="D532" s="60" t="str">
        <f>INDEX(Vectors[Description], MATCH([Vector], Vectors[Code], 0))</f>
        <v>Liquid hydrocarbons</v>
      </c>
      <c r="E532" s="60"/>
      <c r="F532" s="129">
        <f>-(0.87*F461+F466)</f>
        <v>-84.36768499214196</v>
      </c>
      <c r="G532" s="129">
        <f t="shared" ref="G532:O532" si="256">-(0.87*G461+G466)</f>
        <v>-115.26093934117897</v>
      </c>
      <c r="H532" s="129">
        <f t="shared" si="256"/>
        <v>-121.91718607358239</v>
      </c>
      <c r="I532" s="129">
        <f t="shared" si="256"/>
        <v>-133.99069806444339</v>
      </c>
      <c r="J532" s="129">
        <f t="shared" si="256"/>
        <v>-143.85796267118636</v>
      </c>
      <c r="K532" s="129">
        <f t="shared" si="256"/>
        <v>-145.62250980264776</v>
      </c>
      <c r="L532" s="129">
        <f t="shared" si="256"/>
        <v>-151.58706976333906</v>
      </c>
      <c r="M532" s="129">
        <f t="shared" si="256"/>
        <v>-154.73277065468869</v>
      </c>
      <c r="N532" s="129">
        <f t="shared" si="256"/>
        <v>-162.78318176908735</v>
      </c>
      <c r="O532" s="129">
        <f t="shared" si="256"/>
        <v>-176.20665024072537</v>
      </c>
      <c r="P532" s="168"/>
      <c r="Q532" s="495"/>
      <c r="R532" s="495"/>
      <c r="S532" s="495"/>
      <c r="T532" s="495"/>
      <c r="U532" s="495"/>
      <c r="V532" s="495"/>
      <c r="W532" s="495"/>
      <c r="X532" s="495"/>
      <c r="Y532" s="495"/>
      <c r="Z532" s="495"/>
      <c r="AA532" s="495"/>
      <c r="AB532" s="495"/>
      <c r="AC532" s="495"/>
      <c r="AD532" s="495"/>
      <c r="AE532" s="495"/>
      <c r="AF532" s="495"/>
      <c r="AG532" s="495"/>
      <c r="AH532" s="495"/>
      <c r="AI532" s="495"/>
      <c r="AJ532" s="495"/>
      <c r="AK532" s="495"/>
      <c r="AL532" s="495"/>
      <c r="AM532" s="495"/>
      <c r="AN532" s="495"/>
      <c r="AO532" s="495"/>
      <c r="AP532" s="495"/>
      <c r="AQ532" s="495"/>
      <c r="AR532" s="495"/>
      <c r="AS532" s="495"/>
      <c r="AT532" s="495"/>
      <c r="AU532" s="495"/>
    </row>
    <row r="533" spans="2:47">
      <c r="B533" s="892">
        <f>-(B463+B467)</f>
        <v>0</v>
      </c>
      <c r="C533" s="60" t="s">
        <v>39</v>
      </c>
      <c r="D533" s="60" t="str">
        <f>INDEX(Vectors[Description], MATCH([Vector], Vectors[Code], 0))</f>
        <v>Gaseous hydrocarbons</v>
      </c>
      <c r="E533" s="60"/>
      <c r="F533" s="129">
        <f>-(F463+F467+0.13*F461)</f>
        <v>-11.617622192297571</v>
      </c>
      <c r="G533" s="129">
        <f t="shared" ref="G533:O533" si="257">-(G463+G467+0.13*G461)</f>
        <v>-17.950564859142954</v>
      </c>
      <c r="H533" s="129">
        <f t="shared" si="257"/>
        <v>-22.733167713673659</v>
      </c>
      <c r="I533" s="129">
        <f t="shared" si="257"/>
        <v>-35.149709616199118</v>
      </c>
      <c r="J533" s="129">
        <f t="shared" si="257"/>
        <v>-55.779074168071169</v>
      </c>
      <c r="K533" s="129">
        <f t="shared" si="257"/>
        <v>-83.357302420309878</v>
      </c>
      <c r="L533" s="129">
        <f t="shared" si="257"/>
        <v>-108.90937409757123</v>
      </c>
      <c r="M533" s="129">
        <f t="shared" si="257"/>
        <v>-142.1283419594134</v>
      </c>
      <c r="N533" s="129">
        <f t="shared" si="257"/>
        <v>-177.54101963635659</v>
      </c>
      <c r="O533" s="129">
        <f t="shared" si="257"/>
        <v>-219.3404138507149</v>
      </c>
      <c r="P533" s="173"/>
      <c r="Q533" s="495"/>
      <c r="R533" s="495"/>
      <c r="S533" s="495"/>
      <c r="T533" s="495"/>
      <c r="U533" s="495"/>
      <c r="V533" s="495"/>
      <c r="W533" s="495"/>
      <c r="X533" s="495"/>
      <c r="Y533" s="495"/>
      <c r="Z533" s="495"/>
      <c r="AA533" s="495"/>
      <c r="AB533" s="495"/>
      <c r="AC533" s="495"/>
      <c r="AD533" s="495"/>
      <c r="AE533" s="495"/>
      <c r="AF533" s="495"/>
      <c r="AG533" s="495"/>
      <c r="AH533" s="495"/>
      <c r="AI533" s="495"/>
      <c r="AJ533" s="495"/>
      <c r="AK533" s="495"/>
      <c r="AL533" s="495"/>
      <c r="AM533" s="495"/>
      <c r="AN533" s="495"/>
      <c r="AO533" s="495"/>
      <c r="AP533" s="495"/>
      <c r="AQ533" s="495"/>
      <c r="AR533" s="495"/>
      <c r="AS533" s="495"/>
      <c r="AT533" s="495"/>
      <c r="AU533" s="495"/>
    </row>
    <row r="534" spans="2:47">
      <c r="B534" s="973"/>
      <c r="C534" s="60" t="s">
        <v>103</v>
      </c>
      <c r="D534" s="60"/>
      <c r="E534" s="60"/>
      <c r="F534" s="2907">
        <f>SUBTOTAL(109,[2007])</f>
        <v>2.3092638912203256E-13</v>
      </c>
      <c r="G534" s="2907">
        <f>SUBTOTAL(109,[2012])</f>
        <v>7.460698725481052E-14</v>
      </c>
      <c r="H534" s="2907">
        <f>SUBTOTAL(109,[2017])</f>
        <v>-4.9737991503207013E-14</v>
      </c>
      <c r="I534" s="2907">
        <f>SUBTOTAL(109,[2022])</f>
        <v>1.1368683772161603E-13</v>
      </c>
      <c r="J534" s="2907">
        <f>SUBTOTAL(109,[2027])</f>
        <v>1.6342482922482304E-13</v>
      </c>
      <c r="K534" s="2907">
        <f>SUBTOTAL(109,[2032])</f>
        <v>0</v>
      </c>
      <c r="L534" s="2907">
        <f>SUBTOTAL(109,[2037])</f>
        <v>1.1368683772161603E-13</v>
      </c>
      <c r="M534" s="2907">
        <f>SUBTOTAL(109,[2042])</f>
        <v>0</v>
      </c>
      <c r="N534" s="2907">
        <f>SUBTOTAL(109,[2047])</f>
        <v>0</v>
      </c>
      <c r="O534" s="2907">
        <f>SUBTOTAL(109,[2052])</f>
        <v>0</v>
      </c>
      <c r="P534" s="166"/>
      <c r="Q534" s="495"/>
      <c r="R534" s="495"/>
      <c r="S534" s="495"/>
      <c r="T534" s="495"/>
      <c r="U534" s="495"/>
      <c r="V534" s="495"/>
      <c r="W534" s="495"/>
      <c r="X534" s="495"/>
      <c r="Y534" s="495"/>
      <c r="Z534" s="495"/>
      <c r="AA534" s="495"/>
      <c r="AB534" s="495"/>
      <c r="AC534" s="495"/>
      <c r="AD534" s="495"/>
      <c r="AE534" s="495"/>
      <c r="AF534" s="495"/>
      <c r="AG534" s="495"/>
      <c r="AH534" s="495"/>
      <c r="AI534" s="495"/>
      <c r="AJ534" s="495"/>
      <c r="AK534" s="495"/>
      <c r="AL534" s="495"/>
      <c r="AM534" s="495"/>
      <c r="AN534" s="495"/>
      <c r="AO534" s="495"/>
      <c r="AP534" s="495"/>
      <c r="AQ534" s="495"/>
      <c r="AR534" s="495"/>
      <c r="AS534" s="495"/>
      <c r="AT534" s="495"/>
      <c r="AU534" s="495"/>
    </row>
    <row r="535" spans="2:47">
      <c r="B535" s="973"/>
      <c r="C535" s="171"/>
      <c r="D535" s="171"/>
      <c r="E535" s="171"/>
      <c r="F535" s="171"/>
      <c r="G535" s="171"/>
      <c r="H535" s="171"/>
      <c r="I535" s="171"/>
      <c r="J535" s="171"/>
      <c r="K535" s="171"/>
      <c r="L535" s="171"/>
      <c r="M535" s="171"/>
      <c r="N535" s="171"/>
      <c r="O535" s="171"/>
      <c r="P535" s="495"/>
      <c r="Q535" s="495"/>
      <c r="R535" s="495"/>
      <c r="S535" s="495"/>
      <c r="T535" s="495"/>
      <c r="U535" s="495"/>
      <c r="V535" s="495"/>
      <c r="W535" s="495"/>
      <c r="X535" s="495"/>
      <c r="Y535" s="495"/>
      <c r="Z535" s="495"/>
      <c r="AA535" s="495"/>
      <c r="AB535" s="495"/>
      <c r="AC535" s="495"/>
      <c r="AD535" s="495"/>
      <c r="AE535" s="495"/>
      <c r="AF535" s="495"/>
      <c r="AG535" s="495"/>
      <c r="AH535" s="495"/>
      <c r="AI535" s="495"/>
      <c r="AJ535" s="495"/>
      <c r="AK535" s="495"/>
      <c r="AL535" s="495"/>
      <c r="AM535" s="495"/>
      <c r="AN535" s="495"/>
      <c r="AO535" s="495"/>
      <c r="AP535" s="495"/>
      <c r="AQ535" s="495"/>
      <c r="AR535" s="495"/>
      <c r="AS535" s="495"/>
      <c r="AT535" s="495"/>
      <c r="AU535" s="495"/>
    </row>
    <row r="536" spans="2:47">
      <c r="B536" s="973"/>
      <c r="C536" s="60"/>
      <c r="D536" s="60"/>
      <c r="E536" s="60"/>
      <c r="F536" s="60"/>
      <c r="G536" s="60"/>
      <c r="H536" s="60"/>
      <c r="I536" s="60"/>
      <c r="J536" s="60"/>
      <c r="K536" s="60"/>
      <c r="L536" s="60"/>
      <c r="M536" s="60"/>
      <c r="N536" s="60"/>
      <c r="O536" s="60"/>
      <c r="P536" s="495"/>
      <c r="Q536" s="495"/>
      <c r="R536" s="495"/>
      <c r="S536" s="495"/>
      <c r="T536" s="495"/>
      <c r="U536" s="495"/>
      <c r="V536" s="495"/>
      <c r="W536" s="495"/>
      <c r="X536" s="495"/>
      <c r="Y536" s="495"/>
      <c r="Z536" s="495"/>
      <c r="AA536" s="495"/>
      <c r="AB536" s="495"/>
      <c r="AC536" s="495"/>
      <c r="AD536" s="495"/>
      <c r="AE536" s="495"/>
      <c r="AF536" s="495"/>
      <c r="AG536" s="495"/>
      <c r="AH536" s="495"/>
      <c r="AI536" s="495"/>
      <c r="AJ536" s="495"/>
      <c r="AK536" s="495"/>
      <c r="AL536" s="495"/>
      <c r="AM536" s="495"/>
      <c r="AN536" s="495"/>
      <c r="AO536" s="495"/>
      <c r="AP536" s="495"/>
      <c r="AQ536" s="495"/>
      <c r="AR536" s="495"/>
      <c r="AS536" s="495"/>
      <c r="AT536" s="495"/>
      <c r="AU536" s="495"/>
    </row>
    <row r="537" spans="2:47">
      <c r="B537" s="973"/>
      <c r="C537" s="423"/>
      <c r="E537" s="423"/>
      <c r="F537" s="310"/>
      <c r="G537" s="495"/>
      <c r="H537" s="495"/>
      <c r="I537" s="495"/>
      <c r="J537" s="495"/>
      <c r="K537" s="495"/>
      <c r="L537" s="495"/>
      <c r="M537" s="495"/>
      <c r="N537" s="495"/>
      <c r="O537" s="495"/>
      <c r="P537" s="495"/>
      <c r="Q537" s="495"/>
      <c r="R537" s="495"/>
      <c r="S537" s="495"/>
      <c r="T537" s="495"/>
      <c r="U537" s="495"/>
      <c r="V537" s="495"/>
      <c r="W537" s="495"/>
      <c r="X537" s="495"/>
      <c r="Y537" s="495"/>
      <c r="Z537" s="495"/>
      <c r="AA537" s="495"/>
      <c r="AB537" s="495"/>
      <c r="AC537" s="495"/>
      <c r="AD537" s="495"/>
      <c r="AE537" s="495"/>
      <c r="AF537" s="495"/>
      <c r="AG537" s="495"/>
      <c r="AH537" s="495"/>
      <c r="AI537" s="495"/>
      <c r="AJ537" s="495"/>
      <c r="AK537" s="495"/>
      <c r="AL537" s="495"/>
      <c r="AM537" s="495"/>
      <c r="AN537" s="495"/>
      <c r="AO537" s="495"/>
      <c r="AP537" s="495"/>
      <c r="AQ537" s="495"/>
      <c r="AR537" s="495"/>
      <c r="AS537" s="495"/>
      <c r="AT537" s="495"/>
      <c r="AU537" s="495"/>
    </row>
    <row r="538" spans="2:47">
      <c r="B538" s="973"/>
      <c r="C538" s="423"/>
      <c r="E538" s="423"/>
      <c r="F538" s="310"/>
      <c r="G538" s="310"/>
      <c r="H538" s="310">
        <f>H537</f>
        <v>0</v>
      </c>
      <c r="I538" s="310">
        <f>I537</f>
        <v>0</v>
      </c>
      <c r="J538" s="495"/>
      <c r="K538" s="495"/>
      <c r="L538" s="495"/>
      <c r="M538" s="495"/>
      <c r="N538" s="495"/>
      <c r="O538" s="495"/>
      <c r="P538" s="495"/>
      <c r="Q538" s="495"/>
      <c r="R538" s="495"/>
      <c r="S538" s="495"/>
      <c r="T538" s="495"/>
      <c r="U538" s="495"/>
      <c r="V538" s="495"/>
      <c r="W538" s="495"/>
      <c r="X538" s="495"/>
      <c r="Y538" s="495"/>
      <c r="Z538" s="495"/>
      <c r="AA538" s="495"/>
      <c r="AB538" s="495"/>
      <c r="AC538" s="495"/>
      <c r="AD538" s="495"/>
      <c r="AE538" s="495"/>
      <c r="AF538" s="495"/>
      <c r="AG538" s="495"/>
      <c r="AH538" s="495"/>
      <c r="AI538" s="495"/>
      <c r="AJ538" s="495"/>
      <c r="AK538" s="495"/>
      <c r="AL538" s="495"/>
      <c r="AM538" s="495"/>
      <c r="AN538" s="495"/>
      <c r="AO538" s="495"/>
      <c r="AP538" s="495"/>
      <c r="AQ538" s="495"/>
      <c r="AR538" s="495"/>
      <c r="AS538" s="495"/>
      <c r="AT538" s="495"/>
      <c r="AU538" s="495"/>
    </row>
    <row r="539" spans="2:47">
      <c r="B539" s="427"/>
      <c r="C539" s="423"/>
      <c r="E539" s="423"/>
      <c r="G539" s="495"/>
      <c r="H539" s="495"/>
      <c r="I539" s="495"/>
      <c r="J539" s="495"/>
      <c r="K539" s="495"/>
      <c r="L539" s="495"/>
      <c r="M539" s="495"/>
      <c r="N539" s="495"/>
      <c r="O539" s="495"/>
      <c r="P539" s="429"/>
    </row>
    <row r="543" spans="2:47" ht="18">
      <c r="C543" s="2177" t="s">
        <v>281</v>
      </c>
      <c r="D543" s="425"/>
      <c r="E543" s="425"/>
      <c r="F543" s="425"/>
      <c r="G543" s="425"/>
      <c r="H543" s="425"/>
      <c r="I543" s="425"/>
      <c r="J543" s="425"/>
      <c r="K543" s="425"/>
      <c r="L543" s="425"/>
      <c r="M543" s="425"/>
      <c r="N543" s="425"/>
      <c r="O543" s="425"/>
    </row>
    <row r="544" spans="2:47" ht="14.25">
      <c r="C544" s="186" t="s">
        <v>2078</v>
      </c>
      <c r="D544" s="187"/>
      <c r="E544" s="188"/>
      <c r="F544" s="187"/>
      <c r="G544" s="188"/>
      <c r="H544" s="187"/>
      <c r="I544" s="187"/>
      <c r="J544" s="187"/>
      <c r="K544" s="187"/>
      <c r="L544" s="187"/>
      <c r="M544" s="187"/>
      <c r="N544" s="187"/>
      <c r="O544" s="188" t="s">
        <v>368</v>
      </c>
    </row>
    <row r="545" spans="3:15">
      <c r="C545" s="187"/>
      <c r="D545" s="187"/>
      <c r="E545" s="187"/>
      <c r="F545" s="187"/>
      <c r="G545" s="187"/>
      <c r="H545" s="187"/>
      <c r="I545" s="187"/>
      <c r="J545" s="187"/>
      <c r="K545" s="187"/>
      <c r="L545" s="187"/>
      <c r="M545" s="187"/>
      <c r="N545" s="187"/>
      <c r="O545" s="187"/>
    </row>
    <row r="546" spans="3:15">
      <c r="C546" s="1836" t="s">
        <v>365</v>
      </c>
      <c r="D546" s="1836" t="s">
        <v>337</v>
      </c>
      <c r="E546" s="1836" t="s">
        <v>156</v>
      </c>
      <c r="F546" s="1331" t="s">
        <v>203</v>
      </c>
      <c r="G546" s="1332" t="s">
        <v>712</v>
      </c>
      <c r="H546" s="1332" t="s">
        <v>713</v>
      </c>
      <c r="I546" s="1332" t="s">
        <v>714</v>
      </c>
      <c r="J546" s="1332" t="s">
        <v>715</v>
      </c>
      <c r="K546" s="1332" t="s">
        <v>716</v>
      </c>
      <c r="L546" s="1332" t="s">
        <v>717</v>
      </c>
      <c r="M546" s="1332" t="s">
        <v>718</v>
      </c>
      <c r="N546" s="1332" t="s">
        <v>719</v>
      </c>
      <c r="O546" s="1332" t="s">
        <v>720</v>
      </c>
    </row>
    <row r="547" spans="3:15">
      <c r="C547" s="1829" t="s">
        <v>350</v>
      </c>
      <c r="D547" s="1830" t="s">
        <v>359</v>
      </c>
      <c r="E547" s="189" t="str">
        <f>INDEX(IPCC[Sector_description], MATCH([IPCC Sector], IPCC[Sector_code], 0))</f>
        <v>Fuel Combustion</v>
      </c>
      <c r="F547" s="1832">
        <f t="shared" ref="F547:O547" si="258">F519+F504</f>
        <v>77.534954645582332</v>
      </c>
      <c r="G547" s="1832">
        <f t="shared" si="258"/>
        <v>99.31973559270466</v>
      </c>
      <c r="H547" s="1832">
        <f t="shared" si="258"/>
        <v>101.39868108153772</v>
      </c>
      <c r="I547" s="1832">
        <f t="shared" si="258"/>
        <v>107.68103053617669</v>
      </c>
      <c r="J547" s="1832">
        <f t="shared" si="258"/>
        <v>115.23959381987936</v>
      </c>
      <c r="K547" s="1832">
        <f t="shared" si="258"/>
        <v>118.29377719395299</v>
      </c>
      <c r="L547" s="1832">
        <f t="shared" si="258"/>
        <v>123.40092289762016</v>
      </c>
      <c r="M547" s="1832">
        <f t="shared" si="258"/>
        <v>123.48478410332453</v>
      </c>
      <c r="N547" s="1832">
        <f t="shared" si="258"/>
        <v>130.18585734110525</v>
      </c>
      <c r="O547" s="1832">
        <f t="shared" si="258"/>
        <v>138.66929845093446</v>
      </c>
    </row>
    <row r="548" spans="3:15">
      <c r="C548" s="189" t="s">
        <v>351</v>
      </c>
      <c r="D548" s="196" t="s">
        <v>359</v>
      </c>
      <c r="E548" s="189" t="str">
        <f>INDEX(IPCC[Sector_description], MATCH([IPCC Sector], IPCC[Sector_code], 0))</f>
        <v>Fuel Combustion</v>
      </c>
      <c r="F548" s="1832"/>
      <c r="G548" s="1832"/>
      <c r="H548" s="1832"/>
      <c r="I548" s="1832"/>
      <c r="J548" s="1832"/>
      <c r="K548" s="1832"/>
      <c r="L548" s="1832"/>
      <c r="M548" s="1832"/>
      <c r="N548" s="1832"/>
      <c r="O548" s="1832"/>
    </row>
    <row r="549" spans="3:15">
      <c r="C549" s="189" t="s">
        <v>352</v>
      </c>
      <c r="D549" s="196" t="s">
        <v>359</v>
      </c>
      <c r="E549" s="189" t="str">
        <f>INDEX(IPCC[Sector_description], MATCH([IPCC Sector], IPCC[Sector_code], 0))</f>
        <v>Fuel Combustion</v>
      </c>
      <c r="F549" s="1832"/>
      <c r="G549" s="1832"/>
      <c r="H549" s="1832"/>
      <c r="I549" s="1832"/>
      <c r="J549" s="1832"/>
      <c r="K549" s="1832"/>
      <c r="L549" s="1832"/>
      <c r="M549" s="1832"/>
      <c r="N549" s="1832"/>
      <c r="O549" s="1832"/>
    </row>
    <row r="550" spans="3:15">
      <c r="C550" s="1833" t="s">
        <v>103</v>
      </c>
      <c r="D550" s="1833"/>
      <c r="E550" s="1833"/>
      <c r="F550" s="1834">
        <f>F547+F548+F549</f>
        <v>77.534954645582332</v>
      </c>
      <c r="G550" s="1834">
        <f t="shared" ref="G550:O550" si="259">G547+G548+G549</f>
        <v>99.31973559270466</v>
      </c>
      <c r="H550" s="1834">
        <f t="shared" si="259"/>
        <v>101.39868108153772</v>
      </c>
      <c r="I550" s="1834">
        <f t="shared" si="259"/>
        <v>107.68103053617669</v>
      </c>
      <c r="J550" s="1834">
        <f t="shared" si="259"/>
        <v>115.23959381987936</v>
      </c>
      <c r="K550" s="1834">
        <f t="shared" si="259"/>
        <v>118.29377719395299</v>
      </c>
      <c r="L550" s="1834">
        <f t="shared" si="259"/>
        <v>123.40092289762016</v>
      </c>
      <c r="M550" s="1834">
        <f t="shared" si="259"/>
        <v>123.48478410332453</v>
      </c>
      <c r="N550" s="1834">
        <f t="shared" si="259"/>
        <v>130.18585734110525</v>
      </c>
      <c r="O550" s="1834">
        <f t="shared" si="259"/>
        <v>138.66929845093446</v>
      </c>
    </row>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sheetPr>
    <tabColor theme="9"/>
    <outlinePr summaryBelow="0"/>
    <pageSetUpPr autoPageBreaks="0"/>
  </sheetPr>
  <dimension ref="A1:AU145"/>
  <sheetViews>
    <sheetView showGridLines="0" topLeftCell="A122" zoomScale="85" zoomScaleNormal="85" zoomScalePageLayoutView="85" workbookViewId="0">
      <selection activeCell="G131" sqref="G131"/>
    </sheetView>
  </sheetViews>
  <sheetFormatPr defaultColWidth="8.85546875" defaultRowHeight="12.75"/>
  <cols>
    <col min="1" max="1" width="7.7109375" style="605" customWidth="1"/>
    <col min="2" max="2" width="5.85546875" style="605" customWidth="1"/>
    <col min="3" max="3" width="20.42578125" style="605" customWidth="1"/>
    <col min="4" max="4" width="33.7109375" style="605" customWidth="1"/>
    <col min="5" max="6" width="20.7109375" style="605" customWidth="1"/>
    <col min="7" max="15" width="17.7109375" style="605" customWidth="1"/>
    <col min="16" max="16" width="10.7109375" style="605" customWidth="1"/>
    <col min="17" max="17" width="10.85546875" style="605" customWidth="1"/>
    <col min="18" max="46" width="14.7109375" style="605" bestFit="1" customWidth="1"/>
    <col min="47" max="47" width="11.42578125" style="605" bestFit="1" customWidth="1"/>
    <col min="48" max="51" width="10.42578125" style="605" bestFit="1" customWidth="1"/>
    <col min="52" max="16384" width="8.85546875" style="605"/>
  </cols>
  <sheetData>
    <row r="1" spans="1:16" ht="21">
      <c r="A1" s="77" t="s">
        <v>1096</v>
      </c>
      <c r="B1" s="77" t="str">
        <f>INDEX(Workstreams[Workstream],MATCH($A1,Workstreams[Code]))</f>
        <v>Cooking</v>
      </c>
      <c r="C1" s="77"/>
    </row>
    <row r="2" spans="1:16" s="51" customFormat="1" ht="19.5" customHeight="1">
      <c r="A2" s="6" t="s">
        <v>294</v>
      </c>
      <c r="B2" s="6" t="str">
        <f>INDEX(Modules[Module], MATCH($A2, Modules[Code], 0))</f>
        <v>Domestic freight</v>
      </c>
      <c r="C2" s="6"/>
      <c r="E2" s="404"/>
    </row>
    <row r="4" spans="1:16" ht="22.5">
      <c r="A4" s="420"/>
      <c r="B4" s="206" t="s">
        <v>416</v>
      </c>
      <c r="C4" s="174"/>
      <c r="D4" s="175"/>
      <c r="E4" s="176"/>
      <c r="F4" s="175"/>
      <c r="G4" s="175"/>
      <c r="H4" s="175"/>
      <c r="I4" s="175"/>
      <c r="J4" s="175"/>
      <c r="K4" s="175"/>
      <c r="L4" s="175"/>
      <c r="M4" s="175"/>
      <c r="N4" s="175"/>
      <c r="O4" s="175"/>
      <c r="P4" s="177"/>
    </row>
    <row r="5" spans="1:16">
      <c r="B5" s="164"/>
      <c r="C5" s="165"/>
      <c r="D5" s="166"/>
      <c r="E5" s="167" t="s">
        <v>120</v>
      </c>
      <c r="F5" s="166"/>
      <c r="G5" s="166"/>
      <c r="H5" s="166"/>
      <c r="I5" s="166"/>
      <c r="J5" s="166"/>
      <c r="K5" s="166"/>
      <c r="L5" s="166"/>
      <c r="M5" s="166"/>
      <c r="N5" s="166"/>
      <c r="O5" s="166"/>
      <c r="P5" s="168"/>
    </row>
    <row r="6" spans="1:16" ht="15.75">
      <c r="B6" s="169"/>
      <c r="C6" s="166"/>
      <c r="D6" s="118" t="s">
        <v>274</v>
      </c>
      <c r="E6" s="118" t="s">
        <v>411</v>
      </c>
      <c r="F6" s="166"/>
      <c r="G6" s="166"/>
      <c r="H6" s="166"/>
      <c r="I6" s="166"/>
      <c r="J6" s="166"/>
      <c r="K6" s="166"/>
      <c r="L6" s="166"/>
      <c r="M6" s="166"/>
      <c r="N6" s="166"/>
      <c r="O6" s="166"/>
      <c r="P6" s="168"/>
    </row>
    <row r="7" spans="1:16" ht="15.75">
      <c r="B7" s="169"/>
      <c r="C7" s="166"/>
      <c r="D7" s="127" t="s">
        <v>879</v>
      </c>
      <c r="E7" s="127">
        <f>XIII.b.scenario.fuelsplit</f>
        <v>1</v>
      </c>
      <c r="F7" s="166"/>
      <c r="G7" s="166"/>
      <c r="H7" s="166"/>
      <c r="I7" s="166"/>
      <c r="J7" s="166"/>
      <c r="K7" s="166"/>
      <c r="L7" s="166"/>
      <c r="M7" s="166"/>
      <c r="N7" s="166"/>
      <c r="O7" s="166"/>
      <c r="P7" s="168"/>
    </row>
    <row r="9" spans="1:16">
      <c r="B9" s="207"/>
      <c r="C9" s="172"/>
      <c r="D9" s="172"/>
      <c r="E9" s="172"/>
      <c r="F9" s="172"/>
      <c r="G9" s="172"/>
      <c r="H9" s="172"/>
      <c r="I9" s="172"/>
      <c r="J9" s="172"/>
      <c r="K9" s="172"/>
      <c r="L9" s="172"/>
      <c r="M9" s="172"/>
      <c r="N9" s="172"/>
      <c r="O9" s="172"/>
      <c r="P9" s="173"/>
    </row>
    <row r="10" spans="1:16">
      <c r="B10" s="208"/>
    </row>
    <row r="11" spans="1:16" ht="22.5">
      <c r="A11" s="420"/>
      <c r="B11" s="421" t="s">
        <v>413</v>
      </c>
      <c r="C11" s="159"/>
      <c r="D11" s="159"/>
      <c r="E11" s="159"/>
      <c r="F11" s="159"/>
      <c r="G11" s="159"/>
      <c r="H11" s="159"/>
      <c r="I11" s="159"/>
      <c r="J11" s="159"/>
      <c r="K11" s="159"/>
      <c r="L11" s="159"/>
      <c r="M11" s="159"/>
      <c r="N11" s="159"/>
      <c r="O11" s="159"/>
      <c r="P11" s="160"/>
    </row>
    <row r="12" spans="1:16">
      <c r="B12" s="210"/>
      <c r="C12" s="198"/>
      <c r="D12" s="198"/>
      <c r="E12" s="198"/>
      <c r="F12" s="198"/>
      <c r="G12" s="198"/>
      <c r="H12" s="198"/>
      <c r="I12" s="198"/>
      <c r="J12" s="198"/>
      <c r="K12" s="198"/>
      <c r="L12" s="198"/>
      <c r="M12" s="198"/>
      <c r="N12" s="198"/>
      <c r="O12" s="198"/>
      <c r="P12" s="199"/>
    </row>
    <row r="13" spans="1:16">
      <c r="B13" s="214"/>
      <c r="C13" s="415"/>
      <c r="D13" s="105"/>
      <c r="E13" s="415"/>
      <c r="F13" s="415"/>
      <c r="G13" s="415"/>
      <c r="H13" s="415"/>
      <c r="I13" s="415"/>
      <c r="J13" s="415"/>
      <c r="K13" s="415"/>
      <c r="L13" s="415"/>
      <c r="M13" s="415"/>
      <c r="N13" s="415"/>
      <c r="O13" s="415"/>
      <c r="P13" s="419"/>
    </row>
    <row r="14" spans="1:16">
      <c r="B14" s="211"/>
      <c r="C14" s="416" t="s">
        <v>896</v>
      </c>
      <c r="D14" s="415"/>
      <c r="E14" s="104"/>
      <c r="F14" s="415"/>
      <c r="G14" s="415"/>
      <c r="H14" s="415"/>
      <c r="I14" s="415"/>
      <c r="J14" s="415"/>
      <c r="K14" s="415"/>
      <c r="L14" s="415"/>
      <c r="M14" s="415"/>
      <c r="N14" s="415"/>
      <c r="O14" s="104" t="str">
        <f>preferences.energyunits</f>
        <v>TWh</v>
      </c>
      <c r="P14" s="419"/>
    </row>
    <row r="15" spans="1:16">
      <c r="B15" s="211"/>
      <c r="C15" s="415"/>
      <c r="D15" s="415"/>
      <c r="E15" s="415"/>
      <c r="F15" s="415"/>
      <c r="G15" s="415"/>
      <c r="H15" s="415"/>
      <c r="I15" s="415"/>
      <c r="J15" s="415"/>
      <c r="K15" s="415"/>
      <c r="L15" s="415"/>
      <c r="M15" s="415"/>
      <c r="N15" s="415"/>
      <c r="O15" s="415"/>
      <c r="P15" s="419"/>
    </row>
    <row r="16" spans="1:16" ht="15.75">
      <c r="B16" s="212"/>
      <c r="C16" s="806" t="s">
        <v>411</v>
      </c>
      <c r="D16" s="61" t="s">
        <v>65</v>
      </c>
      <c r="E16" s="61" t="s">
        <v>156</v>
      </c>
      <c r="F16" s="238">
        <v>2007</v>
      </c>
      <c r="G16" s="119">
        <f>F16+5</f>
        <v>2012</v>
      </c>
      <c r="H16" s="119">
        <f t="shared" ref="H16:O16" si="0">G16+5</f>
        <v>2017</v>
      </c>
      <c r="I16" s="119">
        <f t="shared" si="0"/>
        <v>2022</v>
      </c>
      <c r="J16" s="119">
        <f t="shared" si="0"/>
        <v>2027</v>
      </c>
      <c r="K16" s="119">
        <f t="shared" si="0"/>
        <v>2032</v>
      </c>
      <c r="L16" s="119">
        <f t="shared" si="0"/>
        <v>2037</v>
      </c>
      <c r="M16" s="119">
        <f t="shared" si="0"/>
        <v>2042</v>
      </c>
      <c r="N16" s="119">
        <f t="shared" si="0"/>
        <v>2047</v>
      </c>
      <c r="O16" s="119">
        <f t="shared" si="0"/>
        <v>2052</v>
      </c>
      <c r="P16" s="419"/>
    </row>
    <row r="17" spans="2:16" ht="15.75">
      <c r="B17" s="213"/>
      <c r="C17" s="658">
        <v>1</v>
      </c>
      <c r="D17" s="414"/>
      <c r="E17" s="96"/>
      <c r="F17" s="541">
        <f>F$65</f>
        <v>42.636687837081858</v>
      </c>
      <c r="G17" s="541">
        <f>G$65</f>
        <v>64.767224585824962</v>
      </c>
      <c r="H17" s="541">
        <f>H$65*($D$51*$E$51)^5</f>
        <v>96.64390987736526</v>
      </c>
      <c r="I17" s="541">
        <f t="shared" ref="I17:O17" si="1">I$65*($D$51*$E$51)^5</f>
        <v>143.41278923679616</v>
      </c>
      <c r="J17" s="541">
        <f t="shared" si="1"/>
        <v>210.74579320156334</v>
      </c>
      <c r="K17" s="541">
        <f t="shared" si="1"/>
        <v>308.34342741085425</v>
      </c>
      <c r="L17" s="541">
        <f t="shared" si="1"/>
        <v>412.63306124605418</v>
      </c>
      <c r="M17" s="541">
        <f t="shared" si="1"/>
        <v>552.19611672285725</v>
      </c>
      <c r="N17" s="541">
        <f t="shared" si="1"/>
        <v>738.96296724992294</v>
      </c>
      <c r="O17" s="541">
        <f t="shared" si="1"/>
        <v>988.89914367303845</v>
      </c>
      <c r="P17" s="154"/>
    </row>
    <row r="18" spans="2:16" ht="15.75">
      <c r="B18" s="213"/>
      <c r="C18" s="658">
        <v>2</v>
      </c>
      <c r="D18" s="414"/>
      <c r="E18" s="414"/>
      <c r="F18" s="541">
        <f t="shared" ref="F18:G20" si="2">F$65</f>
        <v>42.636687837081858</v>
      </c>
      <c r="G18" s="541">
        <f t="shared" si="2"/>
        <v>64.767224585824962</v>
      </c>
      <c r="H18" s="541">
        <f>G$65*(1+H$62*$D52*$E52)^5</f>
        <v>93.24775532271444</v>
      </c>
      <c r="I18" s="541">
        <f t="shared" ref="I18:O18" si="3">H$65*(1+I$62*$D52*$E52)^5</f>
        <v>138.49364049487272</v>
      </c>
      <c r="J18" s="541">
        <f t="shared" si="3"/>
        <v>203.70489550304407</v>
      </c>
      <c r="K18" s="541">
        <f t="shared" si="3"/>
        <v>298.16484984654005</v>
      </c>
      <c r="L18" s="541">
        <f t="shared" si="3"/>
        <v>402.4208293460685</v>
      </c>
      <c r="M18" s="541">
        <f t="shared" si="3"/>
        <v>538.52984678991368</v>
      </c>
      <c r="N18" s="541">
        <f t="shared" si="3"/>
        <v>720.67441527527205</v>
      </c>
      <c r="O18" s="541">
        <f t="shared" si="3"/>
        <v>964.42493564329357</v>
      </c>
      <c r="P18" s="154"/>
    </row>
    <row r="19" spans="2:16" ht="15.75">
      <c r="B19" s="213"/>
      <c r="C19" s="658">
        <v>3</v>
      </c>
      <c r="D19" s="414"/>
      <c r="E19" s="417"/>
      <c r="F19" s="541">
        <f t="shared" si="2"/>
        <v>42.636687837081858</v>
      </c>
      <c r="G19" s="541">
        <f t="shared" si="2"/>
        <v>64.767224585824962</v>
      </c>
      <c r="H19" s="541">
        <f t="shared" ref="H19:O19" si="4">G$65*(1+H$62*$D53*$E53)^5</f>
        <v>89.642731234440447</v>
      </c>
      <c r="I19" s="541">
        <f t="shared" si="4"/>
        <v>133.25610651282727</v>
      </c>
      <c r="J19" s="541">
        <f t="shared" si="4"/>
        <v>196.18324066210712</v>
      </c>
      <c r="K19" s="541">
        <f t="shared" si="4"/>
        <v>287.27456053788717</v>
      </c>
      <c r="L19" s="541">
        <f t="shared" si="4"/>
        <v>391.04947585135545</v>
      </c>
      <c r="M19" s="541">
        <f t="shared" si="4"/>
        <v>523.31241069135763</v>
      </c>
      <c r="N19" s="541">
        <f t="shared" si="4"/>
        <v>700.31005306269071</v>
      </c>
      <c r="O19" s="541">
        <f t="shared" si="4"/>
        <v>937.1728252589063</v>
      </c>
      <c r="P19" s="575"/>
    </row>
    <row r="20" spans="2:16">
      <c r="B20" s="214"/>
      <c r="C20" s="765">
        <v>4</v>
      </c>
      <c r="D20" s="105"/>
      <c r="E20" s="415"/>
      <c r="F20" s="541">
        <f t="shared" si="2"/>
        <v>42.636687837081858</v>
      </c>
      <c r="G20" s="541">
        <f t="shared" si="2"/>
        <v>64.767224585824962</v>
      </c>
      <c r="H20" s="541">
        <f t="shared" ref="H20:O20" si="5">G$65*(1+H$62*$D54*$E54)^5</f>
        <v>86.15531041254475</v>
      </c>
      <c r="I20" s="541">
        <f t="shared" si="5"/>
        <v>128.18585322661556</v>
      </c>
      <c r="J20" s="541">
        <f t="shared" si="5"/>
        <v>188.89637218804228</v>
      </c>
      <c r="K20" s="541">
        <f t="shared" si="5"/>
        <v>276.72068068022725</v>
      </c>
      <c r="L20" s="541">
        <f t="shared" si="5"/>
        <v>379.95336995080936</v>
      </c>
      <c r="M20" s="541">
        <f t="shared" si="5"/>
        <v>508.46331796348852</v>
      </c>
      <c r="N20" s="541">
        <f t="shared" si="5"/>
        <v>680.43861737010218</v>
      </c>
      <c r="O20" s="541">
        <f t="shared" si="5"/>
        <v>910.58036175145071</v>
      </c>
      <c r="P20" s="419"/>
    </row>
    <row r="21" spans="2:16">
      <c r="B21" s="214"/>
      <c r="C21" s="804" t="s">
        <v>875</v>
      </c>
      <c r="D21" s="805"/>
      <c r="E21" s="804"/>
      <c r="F21" s="807">
        <f t="shared" ref="F21:O21" si="6">(INDEX(F$17:F$20,ROUNDDOWN($E$7,0))*(1-MOD($E$7,1)))+(INDEX(F$17:F$20,ROUNDUP($E$7,0))*MOD($E$7,1))</f>
        <v>42.636687837081858</v>
      </c>
      <c r="G21" s="807">
        <f t="shared" si="6"/>
        <v>64.767224585824962</v>
      </c>
      <c r="H21" s="807">
        <f t="shared" si="6"/>
        <v>96.64390987736526</v>
      </c>
      <c r="I21" s="807">
        <f t="shared" si="6"/>
        <v>143.41278923679616</v>
      </c>
      <c r="J21" s="807">
        <f t="shared" si="6"/>
        <v>210.74579320156334</v>
      </c>
      <c r="K21" s="807">
        <f t="shared" si="6"/>
        <v>308.34342741085425</v>
      </c>
      <c r="L21" s="807">
        <f t="shared" si="6"/>
        <v>412.63306124605418</v>
      </c>
      <c r="M21" s="807">
        <f t="shared" si="6"/>
        <v>552.19611672285725</v>
      </c>
      <c r="N21" s="807">
        <f t="shared" si="6"/>
        <v>738.96296724992294</v>
      </c>
      <c r="O21" s="807">
        <f t="shared" si="6"/>
        <v>988.89914367303845</v>
      </c>
      <c r="P21" s="419"/>
    </row>
    <row r="22" spans="2:16">
      <c r="B22" s="214"/>
      <c r="C22" s="69"/>
      <c r="D22" s="69"/>
      <c r="E22" s="255"/>
      <c r="F22" s="454"/>
      <c r="G22" s="454"/>
      <c r="H22" s="454"/>
      <c r="I22" s="454"/>
      <c r="J22" s="454"/>
      <c r="K22" s="454"/>
      <c r="L22" s="454"/>
      <c r="M22" s="454"/>
      <c r="N22" s="454"/>
      <c r="O22" s="454"/>
      <c r="P22" s="204"/>
    </row>
    <row r="23" spans="2:16">
      <c r="B23" s="214"/>
      <c r="C23" s="69"/>
      <c r="D23" s="69"/>
      <c r="E23" s="255"/>
      <c r="F23" s="454"/>
      <c r="G23" s="454"/>
      <c r="H23" s="454"/>
      <c r="I23" s="454"/>
      <c r="J23" s="454"/>
      <c r="K23" s="454"/>
      <c r="L23" s="454"/>
      <c r="M23" s="454"/>
      <c r="N23" s="454"/>
      <c r="O23" s="454"/>
      <c r="P23" s="204"/>
    </row>
    <row r="24" spans="2:16">
      <c r="B24" s="214"/>
      <c r="C24" s="69"/>
      <c r="D24" s="69"/>
      <c r="E24" s="255"/>
      <c r="F24" s="454"/>
      <c r="G24" s="454"/>
      <c r="H24" s="454"/>
      <c r="I24" s="454"/>
      <c r="J24" s="454"/>
      <c r="K24" s="454"/>
      <c r="L24" s="454"/>
      <c r="M24" s="454"/>
      <c r="N24" s="454"/>
      <c r="O24" s="454"/>
      <c r="P24" s="204"/>
    </row>
    <row r="25" spans="2:16">
      <c r="B25" s="214"/>
      <c r="C25" s="416" t="s">
        <v>898</v>
      </c>
      <c r="D25" s="415"/>
      <c r="E25" s="104"/>
      <c r="F25" s="415"/>
      <c r="G25" s="415"/>
      <c r="H25" s="415"/>
      <c r="I25" s="415"/>
      <c r="J25" s="415"/>
      <c r="K25" s="415"/>
      <c r="L25" s="415"/>
      <c r="M25" s="415"/>
      <c r="N25" s="415"/>
      <c r="O25" s="104"/>
      <c r="P25" s="204"/>
    </row>
    <row r="26" spans="2:16">
      <c r="B26" s="214"/>
      <c r="C26" s="415"/>
      <c r="D26" s="415"/>
      <c r="E26" s="415"/>
      <c r="F26" s="415"/>
      <c r="G26" s="415"/>
      <c r="H26" s="415"/>
      <c r="I26" s="415"/>
      <c r="J26" s="415"/>
      <c r="K26" s="415"/>
      <c r="L26" s="415"/>
      <c r="M26" s="415"/>
      <c r="N26" s="415"/>
      <c r="O26" s="415"/>
      <c r="P26" s="204"/>
    </row>
    <row r="27" spans="2:16">
      <c r="B27" s="214"/>
      <c r="C27" s="806" t="s">
        <v>411</v>
      </c>
      <c r="D27" s="61" t="s">
        <v>65</v>
      </c>
      <c r="E27" s="61" t="s">
        <v>156</v>
      </c>
      <c r="F27" s="238">
        <v>2007</v>
      </c>
      <c r="G27" s="119">
        <f t="shared" ref="G27:O27" si="7">F27+5</f>
        <v>2012</v>
      </c>
      <c r="H27" s="119">
        <f t="shared" si="7"/>
        <v>2017</v>
      </c>
      <c r="I27" s="119">
        <f t="shared" si="7"/>
        <v>2022</v>
      </c>
      <c r="J27" s="119">
        <f t="shared" si="7"/>
        <v>2027</v>
      </c>
      <c r="K27" s="119">
        <f t="shared" si="7"/>
        <v>2032</v>
      </c>
      <c r="L27" s="119">
        <f t="shared" si="7"/>
        <v>2037</v>
      </c>
      <c r="M27" s="119">
        <f t="shared" si="7"/>
        <v>2042</v>
      </c>
      <c r="N27" s="119">
        <f t="shared" si="7"/>
        <v>2047</v>
      </c>
      <c r="O27" s="119">
        <f t="shared" si="7"/>
        <v>2052</v>
      </c>
      <c r="P27" s="204"/>
    </row>
    <row r="28" spans="2:16">
      <c r="B28" s="214"/>
      <c r="C28" s="658">
        <v>1</v>
      </c>
      <c r="D28" s="414"/>
      <c r="E28" s="96"/>
      <c r="F28" s="218">
        <f>$F$63/$F$65</f>
        <v>0.88381927741721078</v>
      </c>
      <c r="G28" s="218">
        <f>$G$63/$G$65</f>
        <v>0.883891765070138</v>
      </c>
      <c r="H28" s="218">
        <f t="shared" ref="H28:O31" si="8">G28*(1+$F51)^5</f>
        <v>0.87958247437615367</v>
      </c>
      <c r="I28" s="218">
        <f t="shared" si="8"/>
        <v>0.87529419302632117</v>
      </c>
      <c r="J28" s="218">
        <f t="shared" si="8"/>
        <v>0.87102681859252096</v>
      </c>
      <c r="K28" s="218">
        <f t="shared" si="8"/>
        <v>0.86678024914600771</v>
      </c>
      <c r="L28" s="218">
        <f t="shared" si="8"/>
        <v>0.86255438325497535</v>
      </c>
      <c r="M28" s="218">
        <f t="shared" si="8"/>
        <v>0.85834911998213437</v>
      </c>
      <c r="N28" s="218">
        <f t="shared" si="8"/>
        <v>0.85416435888230091</v>
      </c>
      <c r="O28" s="218">
        <f t="shared" si="8"/>
        <v>0.84999999999999765</v>
      </c>
      <c r="P28" s="204"/>
    </row>
    <row r="29" spans="2:16">
      <c r="B29" s="214"/>
      <c r="C29" s="658">
        <v>2</v>
      </c>
      <c r="D29" s="414"/>
      <c r="E29" s="414"/>
      <c r="F29" s="218">
        <f>$F$63/$F$65</f>
        <v>0.88381927741721078</v>
      </c>
      <c r="G29" s="218">
        <f>$G$63/$G$65</f>
        <v>0.883891765070138</v>
      </c>
      <c r="H29" s="218">
        <f t="shared" si="8"/>
        <v>0.84210861062126674</v>
      </c>
      <c r="I29" s="218">
        <f t="shared" si="8"/>
        <v>0.80230062107910749</v>
      </c>
      <c r="J29" s="218">
        <f t="shared" si="8"/>
        <v>0.76437442684387369</v>
      </c>
      <c r="K29" s="218">
        <f t="shared" si="8"/>
        <v>0.72824107206479538</v>
      </c>
      <c r="L29" s="218">
        <f t="shared" si="8"/>
        <v>0.69381580599425974</v>
      </c>
      <c r="M29" s="218">
        <f t="shared" si="8"/>
        <v>0.66101788420501684</v>
      </c>
      <c r="N29" s="218">
        <f t="shared" si="8"/>
        <v>0.62977037920420642</v>
      </c>
      <c r="O29" s="218">
        <f t="shared" si="8"/>
        <v>0.59999999999999976</v>
      </c>
      <c r="P29" s="204"/>
    </row>
    <row r="30" spans="2:16">
      <c r="B30" s="214"/>
      <c r="C30" s="658">
        <v>3</v>
      </c>
      <c r="D30" s="414"/>
      <c r="E30" s="417"/>
      <c r="F30" s="218">
        <f>$F$63/$F$65</f>
        <v>0.88381927741721078</v>
      </c>
      <c r="G30" s="218">
        <f>$G$63/$G$65</f>
        <v>0.883891765070138</v>
      </c>
      <c r="H30" s="218">
        <f t="shared" si="8"/>
        <v>0.82313383223093795</v>
      </c>
      <c r="I30" s="218">
        <f t="shared" si="8"/>
        <v>0.7665523455911204</v>
      </c>
      <c r="J30" s="218">
        <f t="shared" si="8"/>
        <v>0.71386021995799964</v>
      </c>
      <c r="K30" s="218">
        <f t="shared" si="8"/>
        <v>0.6647901041193901</v>
      </c>
      <c r="L30" s="218">
        <f t="shared" si="8"/>
        <v>0.6190930243473598</v>
      </c>
      <c r="M30" s="218">
        <f t="shared" si="8"/>
        <v>0.57653712114632771</v>
      </c>
      <c r="N30" s="218">
        <f t="shared" si="8"/>
        <v>0.53690647283597182</v>
      </c>
      <c r="O30" s="218">
        <f t="shared" si="8"/>
        <v>0.50000000000000056</v>
      </c>
      <c r="P30" s="204"/>
    </row>
    <row r="31" spans="2:16">
      <c r="B31" s="214"/>
      <c r="C31" s="765">
        <v>4</v>
      </c>
      <c r="D31" s="105"/>
      <c r="E31" s="415"/>
      <c r="F31" s="218">
        <f>$F$63/$F$65</f>
        <v>0.88381927741721078</v>
      </c>
      <c r="G31" s="218">
        <f>$G$63/$G$65</f>
        <v>0.883891765070138</v>
      </c>
      <c r="H31" s="218">
        <f t="shared" si="8"/>
        <v>0.77221700075716981</v>
      </c>
      <c r="I31" s="218">
        <f t="shared" si="8"/>
        <v>0.67465171622125031</v>
      </c>
      <c r="J31" s="218">
        <f t="shared" si="8"/>
        <v>0.58941325787180621</v>
      </c>
      <c r="K31" s="218">
        <f t="shared" si="8"/>
        <v>0.5149442003955782</v>
      </c>
      <c r="L31" s="218">
        <f t="shared" si="8"/>
        <v>0.44988389042771371</v>
      </c>
      <c r="M31" s="218">
        <f t="shared" si="8"/>
        <v>0.39304358552032559</v>
      </c>
      <c r="N31" s="218">
        <f t="shared" si="8"/>
        <v>0.34338473416285953</v>
      </c>
      <c r="O31" s="218">
        <f t="shared" si="8"/>
        <v>0.30000000000000004</v>
      </c>
      <c r="P31" s="204"/>
    </row>
    <row r="32" spans="2:16">
      <c r="B32" s="214"/>
      <c r="C32" s="804" t="s">
        <v>875</v>
      </c>
      <c r="D32" s="805"/>
      <c r="E32" s="804"/>
      <c r="F32" s="810">
        <f t="shared" ref="F32:O32" si="9">(INDEX(F$28:F$31,ROUNDDOWN($E$7,0))*(1-MOD($E$7,1)))+(INDEX(F$28:F$31,ROUNDUP($E$7,0))*MOD($E$7,1))</f>
        <v>0.88381927741721078</v>
      </c>
      <c r="G32" s="810">
        <f t="shared" si="9"/>
        <v>0.883891765070138</v>
      </c>
      <c r="H32" s="810">
        <f t="shared" si="9"/>
        <v>0.87958247437615367</v>
      </c>
      <c r="I32" s="810">
        <f t="shared" si="9"/>
        <v>0.87529419302632117</v>
      </c>
      <c r="J32" s="810">
        <f t="shared" si="9"/>
        <v>0.87102681859252096</v>
      </c>
      <c r="K32" s="810">
        <f t="shared" si="9"/>
        <v>0.86678024914600771</v>
      </c>
      <c r="L32" s="810">
        <f t="shared" si="9"/>
        <v>0.86255438325497535</v>
      </c>
      <c r="M32" s="810">
        <f t="shared" si="9"/>
        <v>0.85834911998213437</v>
      </c>
      <c r="N32" s="810">
        <f t="shared" si="9"/>
        <v>0.85416435888230091</v>
      </c>
      <c r="O32" s="810">
        <f t="shared" si="9"/>
        <v>0.84999999999999765</v>
      </c>
      <c r="P32" s="204"/>
    </row>
    <row r="33" spans="2:16">
      <c r="B33" s="214"/>
      <c r="C33" s="69"/>
      <c r="D33" s="69"/>
      <c r="E33" s="255"/>
      <c r="F33" s="454"/>
      <c r="G33" s="454"/>
      <c r="H33" s="454"/>
      <c r="I33" s="454"/>
      <c r="J33" s="454"/>
      <c r="K33" s="454"/>
      <c r="L33" s="454"/>
      <c r="M33" s="454"/>
      <c r="N33" s="454"/>
      <c r="O33" s="454"/>
      <c r="P33" s="204"/>
    </row>
    <row r="34" spans="2:16">
      <c r="B34" s="214"/>
      <c r="C34" s="69"/>
      <c r="D34" s="69"/>
      <c r="E34" s="255"/>
      <c r="F34" s="454"/>
      <c r="G34" s="454"/>
      <c r="H34" s="454"/>
      <c r="I34" s="454"/>
      <c r="J34" s="454"/>
      <c r="K34" s="454"/>
      <c r="L34" s="454"/>
      <c r="M34" s="454"/>
      <c r="N34" s="454"/>
      <c r="O34" s="454"/>
      <c r="P34" s="204"/>
    </row>
    <row r="35" spans="2:16">
      <c r="B35" s="214"/>
      <c r="C35" s="416" t="s">
        <v>899</v>
      </c>
      <c r="D35" s="415"/>
      <c r="E35" s="104"/>
      <c r="F35" s="415"/>
      <c r="G35" s="415"/>
      <c r="H35" s="415"/>
      <c r="I35" s="415"/>
      <c r="J35" s="415"/>
      <c r="K35" s="415"/>
      <c r="L35" s="415"/>
      <c r="M35" s="415"/>
      <c r="N35" s="415"/>
      <c r="O35" s="104"/>
      <c r="P35" s="204"/>
    </row>
    <row r="36" spans="2:16">
      <c r="B36" s="214"/>
      <c r="C36" s="415"/>
      <c r="D36" s="415"/>
      <c r="E36" s="415"/>
      <c r="F36" s="415"/>
      <c r="G36" s="415"/>
      <c r="H36" s="415"/>
      <c r="I36" s="415"/>
      <c r="J36" s="415"/>
      <c r="K36" s="415"/>
      <c r="L36" s="415"/>
      <c r="M36" s="415"/>
      <c r="N36" s="415"/>
      <c r="O36" s="415"/>
      <c r="P36" s="204"/>
    </row>
    <row r="37" spans="2:16">
      <c r="B37" s="214"/>
      <c r="C37" s="806" t="s">
        <v>411</v>
      </c>
      <c r="D37" s="61" t="s">
        <v>65</v>
      </c>
      <c r="E37" s="61" t="s">
        <v>156</v>
      </c>
      <c r="F37" s="238">
        <v>2007</v>
      </c>
      <c r="G37" s="119">
        <f t="shared" ref="G37:O37" si="10">F37+5</f>
        <v>2012</v>
      </c>
      <c r="H37" s="119">
        <f t="shared" si="10"/>
        <v>2017</v>
      </c>
      <c r="I37" s="119">
        <f t="shared" si="10"/>
        <v>2022</v>
      </c>
      <c r="J37" s="119">
        <f t="shared" si="10"/>
        <v>2027</v>
      </c>
      <c r="K37" s="119">
        <f t="shared" si="10"/>
        <v>2032</v>
      </c>
      <c r="L37" s="119">
        <f t="shared" si="10"/>
        <v>2037</v>
      </c>
      <c r="M37" s="119">
        <f t="shared" si="10"/>
        <v>2042</v>
      </c>
      <c r="N37" s="119">
        <f t="shared" si="10"/>
        <v>2047</v>
      </c>
      <c r="O37" s="119">
        <f t="shared" si="10"/>
        <v>2052</v>
      </c>
      <c r="P37" s="204"/>
    </row>
    <row r="38" spans="2:16">
      <c r="B38" s="214"/>
      <c r="C38" s="658">
        <v>1</v>
      </c>
      <c r="D38" s="414"/>
      <c r="E38" s="96"/>
      <c r="F38" s="218">
        <f>1-F28</f>
        <v>0.11618072258278922</v>
      </c>
      <c r="G38" s="218">
        <f t="shared" ref="G38:O38" si="11">1-G28</f>
        <v>0.116108234929862</v>
      </c>
      <c r="H38" s="218">
        <f t="shared" si="11"/>
        <v>0.12041752562384633</v>
      </c>
      <c r="I38" s="218">
        <f t="shared" si="11"/>
        <v>0.12470580697367883</v>
      </c>
      <c r="J38" s="218">
        <f t="shared" si="11"/>
        <v>0.12897318140747904</v>
      </c>
      <c r="K38" s="218">
        <f t="shared" si="11"/>
        <v>0.13321975085399229</v>
      </c>
      <c r="L38" s="218">
        <f t="shared" si="11"/>
        <v>0.13744561674502465</v>
      </c>
      <c r="M38" s="218">
        <f t="shared" si="11"/>
        <v>0.14165088001786563</v>
      </c>
      <c r="N38" s="218">
        <f t="shared" si="11"/>
        <v>0.14583564111769909</v>
      </c>
      <c r="O38" s="218">
        <f t="shared" si="11"/>
        <v>0.15000000000000235</v>
      </c>
      <c r="P38" s="204"/>
    </row>
    <row r="39" spans="2:16" ht="21" customHeight="1">
      <c r="B39" s="214"/>
      <c r="C39" s="658">
        <v>2</v>
      </c>
      <c r="D39" s="414"/>
      <c r="E39" s="414"/>
      <c r="F39" s="218">
        <f t="shared" ref="F39:O39" si="12">1-F29</f>
        <v>0.11618072258278922</v>
      </c>
      <c r="G39" s="218">
        <f t="shared" si="12"/>
        <v>0.116108234929862</v>
      </c>
      <c r="H39" s="218">
        <f t="shared" si="12"/>
        <v>0.15789138937873326</v>
      </c>
      <c r="I39" s="218">
        <f t="shared" si="12"/>
        <v>0.19769937892089251</v>
      </c>
      <c r="J39" s="218">
        <f t="shared" si="12"/>
        <v>0.23562557315612631</v>
      </c>
      <c r="K39" s="218">
        <f t="shared" si="12"/>
        <v>0.27175892793520462</v>
      </c>
      <c r="L39" s="218">
        <f t="shared" si="12"/>
        <v>0.30618419400574026</v>
      </c>
      <c r="M39" s="218">
        <f t="shared" si="12"/>
        <v>0.33898211579498316</v>
      </c>
      <c r="N39" s="218">
        <f t="shared" si="12"/>
        <v>0.37022962079579358</v>
      </c>
      <c r="O39" s="218">
        <f t="shared" si="12"/>
        <v>0.40000000000000024</v>
      </c>
      <c r="P39" s="204"/>
    </row>
    <row r="40" spans="2:16">
      <c r="B40" s="415"/>
      <c r="C40" s="658">
        <v>3</v>
      </c>
      <c r="D40" s="414"/>
      <c r="E40" s="417"/>
      <c r="F40" s="218">
        <f t="shared" ref="F40:O40" si="13">1-F30</f>
        <v>0.11618072258278922</v>
      </c>
      <c r="G40" s="218">
        <f t="shared" si="13"/>
        <v>0.116108234929862</v>
      </c>
      <c r="H40" s="218">
        <f t="shared" si="13"/>
        <v>0.17686616776906205</v>
      </c>
      <c r="I40" s="218">
        <f t="shared" si="13"/>
        <v>0.2334476544088796</v>
      </c>
      <c r="J40" s="218">
        <f t="shared" si="13"/>
        <v>0.28613978004200036</v>
      </c>
      <c r="K40" s="218">
        <f t="shared" si="13"/>
        <v>0.3352098958806099</v>
      </c>
      <c r="L40" s="218">
        <f t="shared" si="13"/>
        <v>0.3809069756526402</v>
      </c>
      <c r="M40" s="218">
        <f t="shared" si="13"/>
        <v>0.42346287885367229</v>
      </c>
      <c r="N40" s="218">
        <f t="shared" si="13"/>
        <v>0.46309352716402818</v>
      </c>
      <c r="O40" s="218">
        <f t="shared" si="13"/>
        <v>0.49999999999999944</v>
      </c>
      <c r="P40" s="160"/>
    </row>
    <row r="41" spans="2:16">
      <c r="B41" s="418"/>
      <c r="C41" s="765">
        <v>4</v>
      </c>
      <c r="D41" s="105"/>
      <c r="E41" s="415"/>
      <c r="F41" s="218">
        <f t="shared" ref="F41:O41" si="14">1-F31</f>
        <v>0.11618072258278922</v>
      </c>
      <c r="G41" s="218">
        <f t="shared" si="14"/>
        <v>0.116108234929862</v>
      </c>
      <c r="H41" s="218">
        <f t="shared" si="14"/>
        <v>0.22778299924283019</v>
      </c>
      <c r="I41" s="218">
        <f t="shared" si="14"/>
        <v>0.32534828377874969</v>
      </c>
      <c r="J41" s="218">
        <f t="shared" si="14"/>
        <v>0.41058674212819379</v>
      </c>
      <c r="K41" s="218">
        <f t="shared" si="14"/>
        <v>0.4850557996044218</v>
      </c>
      <c r="L41" s="218">
        <f t="shared" si="14"/>
        <v>0.55011610957228629</v>
      </c>
      <c r="M41" s="218">
        <f t="shared" si="14"/>
        <v>0.60695641447967441</v>
      </c>
      <c r="N41" s="218">
        <f t="shared" si="14"/>
        <v>0.65661526583714047</v>
      </c>
      <c r="O41" s="218">
        <f t="shared" si="14"/>
        <v>0.7</v>
      </c>
      <c r="P41" s="419"/>
    </row>
    <row r="42" spans="2:16">
      <c r="B42" s="418"/>
      <c r="C42" s="804" t="s">
        <v>875</v>
      </c>
      <c r="D42" s="805"/>
      <c r="E42" s="804"/>
      <c r="F42" s="810">
        <f t="shared" ref="F42:O42" si="15">(INDEX(F$38:F$41,ROUNDDOWN($E$7,0))*(1-MOD($E$7,1)))+(INDEX(F$38:F$41,ROUNDUP($E$7,0))*MOD($E$7,1))</f>
        <v>0.11618072258278922</v>
      </c>
      <c r="G42" s="810">
        <f t="shared" si="15"/>
        <v>0.116108234929862</v>
      </c>
      <c r="H42" s="810">
        <f t="shared" si="15"/>
        <v>0.12041752562384633</v>
      </c>
      <c r="I42" s="810">
        <f t="shared" si="15"/>
        <v>0.12470580697367883</v>
      </c>
      <c r="J42" s="810">
        <f t="shared" si="15"/>
        <v>0.12897318140747904</v>
      </c>
      <c r="K42" s="810">
        <f t="shared" si="15"/>
        <v>0.13321975085399229</v>
      </c>
      <c r="L42" s="810">
        <f t="shared" si="15"/>
        <v>0.13744561674502465</v>
      </c>
      <c r="M42" s="810">
        <f t="shared" si="15"/>
        <v>0.14165088001786563</v>
      </c>
      <c r="N42" s="810">
        <f t="shared" si="15"/>
        <v>0.14583564111769909</v>
      </c>
      <c r="O42" s="810">
        <f t="shared" si="15"/>
        <v>0.15000000000000235</v>
      </c>
      <c r="P42" s="419"/>
    </row>
    <row r="43" spans="2:16">
      <c r="B43" s="418"/>
      <c r="C43" s="415"/>
      <c r="D43" s="105"/>
      <c r="E43" s="415"/>
      <c r="F43" s="811"/>
      <c r="G43" s="811"/>
      <c r="H43" s="811"/>
      <c r="I43" s="811"/>
      <c r="J43" s="811"/>
      <c r="K43" s="811"/>
      <c r="L43" s="811"/>
      <c r="M43" s="811"/>
      <c r="N43" s="811"/>
      <c r="O43" s="811"/>
      <c r="P43" s="419"/>
    </row>
    <row r="44" spans="2:16">
      <c r="B44" s="418"/>
      <c r="C44" s="415"/>
      <c r="D44" s="105"/>
      <c r="E44" s="415"/>
      <c r="F44" s="811"/>
      <c r="G44" s="811"/>
      <c r="H44" s="811"/>
      <c r="I44" s="811"/>
      <c r="J44" s="811"/>
      <c r="K44" s="811"/>
      <c r="L44" s="811"/>
      <c r="M44" s="811"/>
      <c r="N44" s="811"/>
      <c r="O44" s="811"/>
      <c r="P44" s="419"/>
    </row>
    <row r="45" spans="2:16" ht="15.75">
      <c r="B45" s="421" t="s">
        <v>900</v>
      </c>
      <c r="C45" s="159"/>
      <c r="D45" s="159"/>
      <c r="E45" s="159"/>
      <c r="F45" s="159"/>
      <c r="G45" s="159"/>
      <c r="H45" s="159"/>
      <c r="I45" s="159"/>
      <c r="J45" s="159"/>
      <c r="K45" s="159"/>
      <c r="L45" s="159"/>
      <c r="M45" s="159"/>
      <c r="N45" s="159"/>
      <c r="O45" s="159"/>
      <c r="P45" s="160"/>
    </row>
    <row r="46" spans="2:16">
      <c r="B46" s="418"/>
      <c r="C46" s="415"/>
      <c r="D46" s="105"/>
      <c r="E46" s="415"/>
      <c r="F46" s="811"/>
      <c r="G46" s="811"/>
      <c r="H46" s="811"/>
      <c r="I46" s="811"/>
      <c r="J46" s="811"/>
      <c r="K46" s="811"/>
      <c r="L46" s="811"/>
      <c r="M46" s="811"/>
      <c r="N46" s="811"/>
      <c r="O46" s="811"/>
      <c r="P46" s="419"/>
    </row>
    <row r="47" spans="2:16">
      <c r="B47" s="418"/>
      <c r="C47" s="415"/>
      <c r="D47" s="105"/>
      <c r="E47" s="415"/>
      <c r="F47" s="811"/>
      <c r="G47" s="811"/>
      <c r="H47" s="811"/>
      <c r="I47" s="811"/>
      <c r="J47" s="811"/>
      <c r="K47" s="811"/>
      <c r="L47" s="811"/>
      <c r="M47" s="811"/>
      <c r="N47" s="811"/>
      <c r="O47" s="811"/>
      <c r="P47" s="419"/>
    </row>
    <row r="48" spans="2:16">
      <c r="B48" s="418"/>
      <c r="C48" s="415"/>
      <c r="D48" s="105"/>
      <c r="E48" s="415"/>
      <c r="F48" s="811"/>
      <c r="G48" s="811"/>
      <c r="H48" s="811"/>
      <c r="I48" s="811"/>
      <c r="J48" s="811"/>
      <c r="K48" s="811"/>
      <c r="L48" s="811"/>
      <c r="M48" s="811"/>
      <c r="N48" s="811"/>
      <c r="O48" s="811"/>
      <c r="P48" s="419"/>
    </row>
    <row r="49" spans="2:16" ht="13.5" thickBot="1">
      <c r="B49" s="418"/>
      <c r="C49" s="415"/>
      <c r="D49" s="415"/>
      <c r="E49" s="415"/>
      <c r="F49" s="415"/>
      <c r="G49" s="415"/>
      <c r="H49" s="415"/>
      <c r="I49" s="415"/>
      <c r="J49" s="415"/>
      <c r="K49" s="415"/>
      <c r="L49" s="415"/>
      <c r="M49" s="415"/>
      <c r="N49" s="415"/>
      <c r="O49" s="415"/>
      <c r="P49" s="419"/>
    </row>
    <row r="50" spans="2:16" ht="13.5" thickBot="1">
      <c r="B50" s="418"/>
      <c r="C50" s="793" t="s">
        <v>884</v>
      </c>
      <c r="D50" s="799" t="s">
        <v>885</v>
      </c>
      <c r="E50" s="796" t="s">
        <v>895</v>
      </c>
      <c r="F50" s="796" t="s">
        <v>897</v>
      </c>
      <c r="G50" s="415"/>
      <c r="H50" s="415"/>
      <c r="I50" s="415"/>
      <c r="J50" s="415"/>
      <c r="K50" s="415"/>
      <c r="L50" s="415"/>
      <c r="M50" s="415"/>
      <c r="N50" s="415"/>
      <c r="O50" s="415"/>
      <c r="P50" s="419"/>
    </row>
    <row r="51" spans="2:16">
      <c r="B51" s="418"/>
      <c r="C51" s="794">
        <v>1</v>
      </c>
      <c r="D51" s="800">
        <v>1</v>
      </c>
      <c r="E51" s="797">
        <v>0.99926130291508997</v>
      </c>
      <c r="F51" s="808">
        <v>-9.7697914365291183E-4</v>
      </c>
      <c r="G51" s="415"/>
      <c r="H51" s="415"/>
      <c r="I51" s="415"/>
      <c r="J51" s="415"/>
      <c r="K51" s="415"/>
      <c r="L51" s="415"/>
      <c r="M51" s="415"/>
      <c r="N51" s="415"/>
      <c r="O51" s="415"/>
      <c r="P51" s="419"/>
    </row>
    <row r="52" spans="2:16">
      <c r="B52" s="418"/>
      <c r="C52" s="794">
        <v>2</v>
      </c>
      <c r="D52" s="800">
        <v>0.9</v>
      </c>
      <c r="E52" s="797">
        <v>0.99854433780240082</v>
      </c>
      <c r="F52" s="808">
        <v>-9.6383742890576718E-3</v>
      </c>
      <c r="G52" s="415"/>
      <c r="H52" s="415"/>
      <c r="I52" s="415"/>
      <c r="J52" s="415"/>
      <c r="K52" s="415"/>
      <c r="L52" s="415"/>
      <c r="M52" s="415"/>
      <c r="N52" s="415"/>
      <c r="O52" s="415"/>
      <c r="P52" s="419"/>
    </row>
    <row r="53" spans="2:16">
      <c r="B53" s="418"/>
      <c r="C53" s="794">
        <v>3</v>
      </c>
      <c r="D53" s="800">
        <v>0.8</v>
      </c>
      <c r="E53" s="797">
        <v>0.99784787673922681</v>
      </c>
      <c r="F53" s="808">
        <v>-1.4142208999293082E-2</v>
      </c>
      <c r="G53" s="415"/>
      <c r="H53" s="415"/>
      <c r="I53" s="415"/>
      <c r="J53" s="415"/>
      <c r="K53" s="415"/>
      <c r="L53" s="415"/>
      <c r="M53" s="415"/>
      <c r="N53" s="415"/>
      <c r="O53" s="415"/>
      <c r="P53" s="419"/>
    </row>
    <row r="54" spans="2:16" ht="13.5" thickBot="1">
      <c r="B54" s="418"/>
      <c r="C54" s="795">
        <v>4</v>
      </c>
      <c r="D54" s="801">
        <v>0.7</v>
      </c>
      <c r="E54" s="798">
        <v>0.99717079263923991</v>
      </c>
      <c r="F54" s="809">
        <v>-2.6652194242523741E-2</v>
      </c>
      <c r="G54" s="415"/>
      <c r="H54" s="415"/>
      <c r="I54" s="415"/>
      <c r="J54" s="415"/>
      <c r="K54" s="415"/>
      <c r="L54" s="415"/>
      <c r="M54" s="415"/>
      <c r="N54" s="415"/>
      <c r="O54" s="415"/>
      <c r="P54" s="419"/>
    </row>
    <row r="55" spans="2:16">
      <c r="B55" s="418"/>
      <c r="C55" s="415"/>
      <c r="D55" s="415"/>
      <c r="E55" s="415"/>
      <c r="F55" s="415"/>
      <c r="G55" s="415"/>
      <c r="H55" s="415"/>
      <c r="I55" s="415"/>
      <c r="J55" s="415"/>
      <c r="K55" s="415"/>
      <c r="L55" s="415"/>
      <c r="M55" s="415"/>
      <c r="N55" s="415"/>
      <c r="O55" s="415"/>
      <c r="P55" s="419"/>
    </row>
    <row r="56" spans="2:16">
      <c r="B56" s="418"/>
      <c r="C56" s="415"/>
      <c r="D56" s="415"/>
      <c r="E56" s="415"/>
      <c r="F56" s="415"/>
      <c r="G56" s="415"/>
      <c r="H56" s="415"/>
      <c r="I56" s="415"/>
      <c r="J56" s="415"/>
      <c r="K56" s="415"/>
      <c r="L56" s="415"/>
      <c r="M56" s="415"/>
      <c r="N56" s="415"/>
      <c r="O56" s="415"/>
      <c r="P56" s="419"/>
    </row>
    <row r="57" spans="2:16">
      <c r="B57" s="418"/>
      <c r="C57" s="415"/>
      <c r="D57" s="415"/>
      <c r="E57" s="415"/>
      <c r="F57" s="415"/>
      <c r="G57" s="415"/>
      <c r="H57" s="415"/>
      <c r="I57" s="415"/>
      <c r="J57" s="415"/>
      <c r="K57" s="415"/>
      <c r="L57" s="415"/>
      <c r="M57" s="415"/>
      <c r="N57" s="415"/>
      <c r="O57" s="415"/>
      <c r="P57" s="419"/>
    </row>
    <row r="58" spans="2:16">
      <c r="B58" s="418"/>
      <c r="C58" s="415"/>
      <c r="D58" s="415"/>
      <c r="E58" s="415"/>
      <c r="F58" s="415"/>
      <c r="G58" s="415"/>
      <c r="H58" s="415"/>
      <c r="I58" s="415"/>
      <c r="J58" s="415"/>
      <c r="K58" s="415"/>
      <c r="L58" s="415"/>
      <c r="M58" s="415"/>
      <c r="N58" s="415"/>
      <c r="O58" s="415"/>
      <c r="P58" s="419"/>
    </row>
    <row r="59" spans="2:16">
      <c r="B59" s="418"/>
      <c r="C59" s="415"/>
      <c r="D59" s="415"/>
      <c r="E59" s="415"/>
      <c r="F59" s="415"/>
      <c r="G59" s="415"/>
      <c r="H59" s="415"/>
      <c r="I59" s="415"/>
      <c r="J59" s="415"/>
      <c r="K59" s="415"/>
      <c r="L59" s="415"/>
      <c r="M59" s="415"/>
      <c r="N59" s="415"/>
      <c r="O59" s="415"/>
      <c r="P59" s="419"/>
    </row>
    <row r="60" spans="2:16">
      <c r="B60" s="418"/>
      <c r="C60" s="415"/>
      <c r="D60" s="415"/>
      <c r="E60" s="415"/>
      <c r="F60" s="415"/>
      <c r="G60" s="415"/>
      <c r="H60" s="415"/>
      <c r="I60" s="415"/>
      <c r="J60" s="415"/>
      <c r="K60" s="415"/>
      <c r="L60" s="415"/>
      <c r="M60" s="415"/>
      <c r="N60" s="415"/>
      <c r="O60" s="415"/>
      <c r="P60" s="419"/>
    </row>
    <row r="61" spans="2:16">
      <c r="B61" s="418"/>
      <c r="C61" s="61" t="s">
        <v>64</v>
      </c>
      <c r="D61" s="61" t="s">
        <v>65</v>
      </c>
      <c r="E61" s="61" t="s">
        <v>71</v>
      </c>
      <c r="F61" s="119">
        <v>2007</v>
      </c>
      <c r="G61" s="120">
        <f t="shared" ref="G61:O61" si="16">F61+5</f>
        <v>2012</v>
      </c>
      <c r="H61" s="120">
        <f t="shared" si="16"/>
        <v>2017</v>
      </c>
      <c r="I61" s="120">
        <f t="shared" si="16"/>
        <v>2022</v>
      </c>
      <c r="J61" s="120">
        <f t="shared" si="16"/>
        <v>2027</v>
      </c>
      <c r="K61" s="120">
        <f t="shared" si="16"/>
        <v>2032</v>
      </c>
      <c r="L61" s="120">
        <f t="shared" si="16"/>
        <v>2037</v>
      </c>
      <c r="M61" s="120">
        <f t="shared" si="16"/>
        <v>2042</v>
      </c>
      <c r="N61" s="120">
        <f t="shared" si="16"/>
        <v>2047</v>
      </c>
      <c r="O61" s="120">
        <f t="shared" si="16"/>
        <v>2052</v>
      </c>
      <c r="P61" s="419"/>
    </row>
    <row r="62" spans="2:16">
      <c r="B62" s="418"/>
      <c r="C62" s="658"/>
      <c r="D62" s="414" t="s">
        <v>880</v>
      </c>
      <c r="E62" s="96" t="s">
        <v>277</v>
      </c>
      <c r="F62" s="600">
        <v>9.6000000000000002E-2</v>
      </c>
      <c r="G62" s="600">
        <v>6.2100000000000002E-2</v>
      </c>
      <c r="H62" s="600">
        <v>8.4138510391610508E-2</v>
      </c>
      <c r="I62" s="600">
        <v>8.2138075532849866E-2</v>
      </c>
      <c r="J62" s="600">
        <v>8.0025989427897945E-2</v>
      </c>
      <c r="K62" s="600">
        <v>7.9083759304765675E-2</v>
      </c>
      <c r="L62" s="600">
        <v>0.06</v>
      </c>
      <c r="M62" s="600">
        <v>0.06</v>
      </c>
      <c r="N62" s="600">
        <v>0.06</v>
      </c>
      <c r="O62" s="600">
        <v>0.06</v>
      </c>
      <c r="P62" s="419"/>
    </row>
    <row r="63" spans="2:16">
      <c r="B63" s="418"/>
      <c r="C63" s="658"/>
      <c r="D63" s="414" t="s">
        <v>886</v>
      </c>
      <c r="E63" s="414" t="str">
        <f>preferences.energyunits</f>
        <v>TWh</v>
      </c>
      <c r="F63" s="535">
        <f>(2939.52883831589*(unit.tlpge))*(1000)</f>
        <v>37.683126635632867</v>
      </c>
      <c r="G63" s="535">
        <f>(4465.65502163146*(unit.tlpge))*(1000)</f>
        <v>57.247216457858862</v>
      </c>
      <c r="H63" s="535">
        <f>G63*(1+H62)^5</f>
        <v>85.738964190104525</v>
      </c>
      <c r="I63" s="535">
        <f t="shared" ref="I63:N63" si="17">H63*(1+I62)^5</f>
        <v>127.23061407986873</v>
      </c>
      <c r="J63" s="535">
        <f t="shared" si="17"/>
        <v>186.96600788867647</v>
      </c>
      <c r="K63" s="535">
        <f t="shared" si="17"/>
        <v>273.55108164166978</v>
      </c>
      <c r="L63" s="535">
        <f t="shared" si="17"/>
        <v>366.07305423302842</v>
      </c>
      <c r="M63" s="535">
        <f t="shared" si="17"/>
        <v>489.88832444479078</v>
      </c>
      <c r="N63" s="535">
        <f t="shared" si="17"/>
        <v>655.58108593962663</v>
      </c>
      <c r="O63" s="535">
        <f>N63*(1+O62)^5</f>
        <v>877.3153773951924</v>
      </c>
      <c r="P63" s="419"/>
    </row>
    <row r="64" spans="2:16">
      <c r="B64" s="418"/>
      <c r="C64" s="658"/>
      <c r="D64" s="414" t="s">
        <v>887</v>
      </c>
      <c r="E64" s="414" t="str">
        <f>preferences.energyunits</f>
        <v>TWh</v>
      </c>
      <c r="F64" s="535">
        <f>525.4374119808*(unit.mmscm)</f>
        <v>4.9535612014489923</v>
      </c>
      <c r="G64" s="535">
        <f>797.66726364*(unit.mmscm)</f>
        <v>7.5200081279660997</v>
      </c>
      <c r="H64" s="535">
        <f>G64*(1+H62)^5</f>
        <v>11.262690965378255</v>
      </c>
      <c r="I64" s="535">
        <f t="shared" ref="I64:O64" si="18">H64*(1+I62)^5</f>
        <v>16.713044078065131</v>
      </c>
      <c r="J64" s="535">
        <f t="shared" si="18"/>
        <v>24.559899781523928</v>
      </c>
      <c r="K64" s="535">
        <f t="shared" si="18"/>
        <v>35.933735902662853</v>
      </c>
      <c r="L64" s="535">
        <f t="shared" si="18"/>
        <v>48.087444483666872</v>
      </c>
      <c r="M64" s="535">
        <f t="shared" si="18"/>
        <v>64.351848169463054</v>
      </c>
      <c r="N64" s="535">
        <f t="shared" si="18"/>
        <v>86.117289186207231</v>
      </c>
      <c r="O64" s="535">
        <f t="shared" si="18"/>
        <v>115.24435906255844</v>
      </c>
      <c r="P64" s="419"/>
    </row>
    <row r="65" spans="1:18">
      <c r="B65" s="418"/>
      <c r="C65" s="658"/>
      <c r="D65" s="414" t="s">
        <v>894</v>
      </c>
      <c r="E65" s="414" t="str">
        <f>preferences.energyunits</f>
        <v>TWh</v>
      </c>
      <c r="F65" s="535">
        <f>SUM(F63:F64)</f>
        <v>42.636687837081858</v>
      </c>
      <c r="G65" s="535">
        <f t="shared" ref="G65:O65" si="19">SUM(G63:G64)</f>
        <v>64.767224585824962</v>
      </c>
      <c r="H65" s="535">
        <f t="shared" si="19"/>
        <v>97.00165515548278</v>
      </c>
      <c r="I65" s="535">
        <f t="shared" si="19"/>
        <v>143.94365815793387</v>
      </c>
      <c r="J65" s="535">
        <f t="shared" si="19"/>
        <v>211.52590767020041</v>
      </c>
      <c r="K65" s="535">
        <f t="shared" si="19"/>
        <v>309.48481754433266</v>
      </c>
      <c r="L65" s="535">
        <f t="shared" si="19"/>
        <v>414.16049871669532</v>
      </c>
      <c r="M65" s="535">
        <f t="shared" si="19"/>
        <v>554.24017261425388</v>
      </c>
      <c r="N65" s="535">
        <f t="shared" si="19"/>
        <v>741.69837512583388</v>
      </c>
      <c r="O65" s="535">
        <f t="shared" si="19"/>
        <v>992.55973645775089</v>
      </c>
      <c r="P65" s="419"/>
    </row>
    <row r="66" spans="1:18">
      <c r="B66" s="418"/>
      <c r="C66" s="802"/>
      <c r="D66" s="664"/>
      <c r="E66" s="664"/>
      <c r="F66" s="803"/>
      <c r="G66" s="803"/>
      <c r="H66" s="803"/>
      <c r="I66" s="803"/>
      <c r="J66" s="803"/>
      <c r="K66" s="803"/>
      <c r="L66" s="803"/>
      <c r="M66" s="803"/>
      <c r="N66" s="803"/>
      <c r="O66" s="803"/>
      <c r="P66" s="419"/>
    </row>
    <row r="67" spans="1:18">
      <c r="B67" s="418"/>
      <c r="C67" s="415"/>
      <c r="D67" s="415"/>
      <c r="E67" s="415"/>
      <c r="F67" s="415"/>
      <c r="G67" s="415"/>
      <c r="H67" s="415"/>
      <c r="I67" s="415"/>
      <c r="J67" s="415"/>
      <c r="K67" s="415"/>
      <c r="L67" s="415"/>
      <c r="M67" s="415"/>
      <c r="N67" s="415"/>
      <c r="O67" s="415"/>
      <c r="P67" s="419"/>
    </row>
    <row r="68" spans="1:18">
      <c r="B68" s="418"/>
      <c r="C68" s="415"/>
      <c r="D68" s="415"/>
      <c r="E68" s="415"/>
      <c r="F68" s="415"/>
      <c r="G68" s="415"/>
      <c r="H68" s="415"/>
      <c r="I68" s="415"/>
      <c r="J68" s="415"/>
      <c r="K68" s="415"/>
      <c r="L68" s="415"/>
      <c r="M68" s="415"/>
      <c r="N68" s="415"/>
      <c r="O68" s="415"/>
      <c r="P68" s="419"/>
    </row>
    <row r="69" spans="1:18">
      <c r="B69" s="418"/>
      <c r="C69" s="415"/>
      <c r="D69" s="415"/>
      <c r="E69" s="415"/>
      <c r="F69" s="415"/>
      <c r="G69" s="415"/>
      <c r="H69" s="415"/>
      <c r="I69" s="415"/>
      <c r="J69" s="415"/>
      <c r="K69" s="415"/>
      <c r="L69" s="415"/>
      <c r="M69" s="415"/>
      <c r="N69" s="415"/>
      <c r="O69" s="415"/>
      <c r="P69" s="419"/>
    </row>
    <row r="70" spans="1:18">
      <c r="B70" s="418"/>
      <c r="C70" s="416" t="s">
        <v>901</v>
      </c>
      <c r="D70" s="416"/>
      <c r="E70" s="416">
        <v>10</v>
      </c>
      <c r="F70" s="416" t="s">
        <v>809</v>
      </c>
      <c r="G70" s="415"/>
      <c r="H70" s="415"/>
      <c r="I70" s="415"/>
      <c r="J70" s="415"/>
      <c r="K70" s="415"/>
      <c r="L70" s="415"/>
      <c r="M70" s="415"/>
      <c r="N70" s="415"/>
      <c r="O70" s="415"/>
      <c r="P70" s="419"/>
    </row>
    <row r="71" spans="1:18">
      <c r="B71" s="418"/>
      <c r="C71" s="415"/>
      <c r="D71" s="415"/>
      <c r="E71" s="415"/>
      <c r="F71" s="415"/>
      <c r="G71" s="415"/>
      <c r="H71" s="415"/>
      <c r="I71" s="415"/>
      <c r="J71" s="415"/>
      <c r="K71" s="415"/>
      <c r="L71" s="415"/>
      <c r="M71" s="415"/>
      <c r="N71" s="415"/>
      <c r="O71" s="415"/>
      <c r="P71" s="419"/>
    </row>
    <row r="72" spans="1:18">
      <c r="B72" s="418"/>
      <c r="C72" s="415"/>
      <c r="D72" s="415"/>
      <c r="E72" s="415"/>
      <c r="F72" s="415"/>
      <c r="G72" s="415"/>
      <c r="H72" s="415"/>
      <c r="I72" s="415"/>
      <c r="J72" s="415"/>
      <c r="K72" s="415"/>
      <c r="L72" s="415"/>
      <c r="M72" s="415"/>
      <c r="N72" s="415"/>
      <c r="O72" s="415"/>
      <c r="P72" s="419"/>
    </row>
    <row r="73" spans="1:18">
      <c r="A73" s="539"/>
      <c r="B73" s="211"/>
      <c r="C73" s="415"/>
      <c r="D73" s="415"/>
      <c r="E73" s="415"/>
      <c r="F73" s="415"/>
      <c r="G73" s="415"/>
      <c r="H73" s="415"/>
      <c r="I73" s="415"/>
      <c r="J73" s="415"/>
      <c r="K73" s="415"/>
      <c r="L73" s="415"/>
      <c r="M73" s="415"/>
      <c r="N73" s="415"/>
      <c r="O73" s="415"/>
      <c r="P73" s="415"/>
      <c r="Q73" s="539"/>
      <c r="R73" s="539"/>
    </row>
    <row r="74" spans="1:18" ht="16.5" customHeight="1">
      <c r="B74" s="461"/>
      <c r="C74" s="402"/>
      <c r="D74" s="402"/>
      <c r="E74" s="402"/>
      <c r="F74" s="402"/>
      <c r="G74" s="402"/>
      <c r="H74" s="402"/>
      <c r="I74" s="402"/>
      <c r="J74" s="402"/>
      <c r="K74" s="402"/>
      <c r="L74" s="402"/>
      <c r="M74" s="402"/>
      <c r="N74" s="402"/>
      <c r="O74" s="402"/>
      <c r="P74" s="402"/>
    </row>
    <row r="75" spans="1:18">
      <c r="B75" s="458"/>
      <c r="C75" s="658"/>
      <c r="D75" s="414"/>
      <c r="E75" s="414"/>
      <c r="F75" s="519"/>
      <c r="G75" s="519"/>
      <c r="H75" s="519"/>
      <c r="I75" s="519"/>
      <c r="J75" s="519"/>
      <c r="K75" s="519"/>
      <c r="L75" s="519"/>
      <c r="M75" s="519"/>
      <c r="N75" s="519"/>
      <c r="O75" s="658"/>
      <c r="P75" s="414"/>
    </row>
    <row r="76" spans="1:18" ht="24.75" customHeight="1">
      <c r="B76" s="458"/>
      <c r="C76" s="161" t="s">
        <v>745</v>
      </c>
      <c r="D76" s="159"/>
      <c r="E76" s="159"/>
      <c r="F76" s="159"/>
      <c r="G76" s="159"/>
      <c r="H76" s="159"/>
      <c r="I76" s="159"/>
      <c r="J76" s="159"/>
      <c r="K76" s="159"/>
      <c r="L76" s="159"/>
      <c r="M76" s="159"/>
      <c r="N76" s="159"/>
      <c r="O76" s="159"/>
      <c r="P76" s="160"/>
    </row>
    <row r="77" spans="1:18">
      <c r="B77" s="460"/>
      <c r="C77" s="198"/>
      <c r="D77" s="198"/>
      <c r="E77" s="198"/>
      <c r="F77" s="198"/>
      <c r="G77" s="198"/>
      <c r="H77" s="198"/>
      <c r="I77" s="198"/>
      <c r="J77" s="198"/>
      <c r="K77" s="198"/>
      <c r="L77" s="198"/>
      <c r="M77" s="198"/>
      <c r="N77" s="198"/>
      <c r="O77" s="198"/>
      <c r="P77" s="199"/>
    </row>
    <row r="78" spans="1:18">
      <c r="B78" s="460"/>
      <c r="C78" s="416" t="s">
        <v>902</v>
      </c>
      <c r="D78" s="415"/>
      <c r="E78" s="104"/>
      <c r="F78" s="415"/>
      <c r="G78" s="415"/>
      <c r="H78" s="415"/>
      <c r="I78" s="415"/>
      <c r="J78" s="415"/>
      <c r="K78" s="415"/>
      <c r="L78" s="415"/>
      <c r="M78" s="415"/>
      <c r="N78" s="415"/>
      <c r="O78" s="104" t="str">
        <f>preferences.energyunits</f>
        <v>TWh</v>
      </c>
      <c r="P78" s="419"/>
    </row>
    <row r="79" spans="1:18" ht="4.5" customHeight="1">
      <c r="A79" s="420"/>
      <c r="B79" s="460"/>
      <c r="C79" s="415"/>
      <c r="D79" s="415"/>
      <c r="E79" s="415"/>
      <c r="F79" s="415"/>
      <c r="G79" s="415"/>
      <c r="H79" s="415"/>
      <c r="I79" s="415"/>
      <c r="J79" s="415"/>
      <c r="K79" s="415"/>
      <c r="L79" s="415"/>
      <c r="M79" s="415"/>
      <c r="N79" s="415"/>
      <c r="O79" s="415"/>
      <c r="P79" s="419"/>
    </row>
    <row r="80" spans="1:18">
      <c r="B80" s="460"/>
      <c r="C80" s="61" t="s">
        <v>227</v>
      </c>
      <c r="D80" s="61" t="s">
        <v>903</v>
      </c>
      <c r="E80" s="540"/>
      <c r="F80" s="119">
        <v>2007</v>
      </c>
      <c r="G80" s="120">
        <f t="shared" ref="G80:O80" si="20">F80+5</f>
        <v>2012</v>
      </c>
      <c r="H80" s="120">
        <f t="shared" si="20"/>
        <v>2017</v>
      </c>
      <c r="I80" s="120">
        <f t="shared" si="20"/>
        <v>2022</v>
      </c>
      <c r="J80" s="120">
        <f t="shared" si="20"/>
        <v>2027</v>
      </c>
      <c r="K80" s="120">
        <f t="shared" si="20"/>
        <v>2032</v>
      </c>
      <c r="L80" s="120">
        <f t="shared" si="20"/>
        <v>2037</v>
      </c>
      <c r="M80" s="120">
        <f t="shared" si="20"/>
        <v>2042</v>
      </c>
      <c r="N80" s="120">
        <f t="shared" si="20"/>
        <v>2047</v>
      </c>
      <c r="O80" s="120">
        <f t="shared" si="20"/>
        <v>2052</v>
      </c>
      <c r="P80" s="419"/>
    </row>
    <row r="81" spans="2:16">
      <c r="B81" s="460"/>
      <c r="C81" s="78" t="s">
        <v>7</v>
      </c>
      <c r="D81" s="79" t="s">
        <v>878</v>
      </c>
      <c r="E81" s="79"/>
      <c r="F81" s="237">
        <f t="shared" ref="F81:O81" si="21">F21</f>
        <v>42.636687837081858</v>
      </c>
      <c r="G81" s="237">
        <f t="shared" si="21"/>
        <v>64.767224585824962</v>
      </c>
      <c r="H81" s="237">
        <f t="shared" si="21"/>
        <v>96.64390987736526</v>
      </c>
      <c r="I81" s="237">
        <f t="shared" si="21"/>
        <v>143.41278923679616</v>
      </c>
      <c r="J81" s="237">
        <f t="shared" si="21"/>
        <v>210.74579320156334</v>
      </c>
      <c r="K81" s="237">
        <f t="shared" si="21"/>
        <v>308.34342741085425</v>
      </c>
      <c r="L81" s="237">
        <f t="shared" si="21"/>
        <v>412.63306124605418</v>
      </c>
      <c r="M81" s="237">
        <f t="shared" si="21"/>
        <v>552.19611672285725</v>
      </c>
      <c r="N81" s="237">
        <f t="shared" si="21"/>
        <v>738.96296724992294</v>
      </c>
      <c r="O81" s="237">
        <f t="shared" si="21"/>
        <v>988.89914367303845</v>
      </c>
      <c r="P81" s="154"/>
    </row>
    <row r="82" spans="2:16">
      <c r="B82" s="460"/>
      <c r="C82" s="413"/>
      <c r="D82" s="414"/>
      <c r="E82" s="414"/>
      <c r="F82" s="98"/>
      <c r="G82" s="98"/>
      <c r="H82" s="98"/>
      <c r="I82" s="98"/>
      <c r="J82" s="98"/>
      <c r="K82" s="98"/>
      <c r="L82" s="98"/>
      <c r="M82" s="98"/>
      <c r="N82" s="98"/>
      <c r="O82" s="98"/>
      <c r="P82" s="154"/>
    </row>
    <row r="83" spans="2:16">
      <c r="B83" s="460"/>
      <c r="C83" s="413"/>
      <c r="D83" s="414"/>
      <c r="E83" s="414"/>
      <c r="F83" s="98"/>
      <c r="G83" s="98"/>
      <c r="H83" s="98"/>
      <c r="I83" s="98"/>
      <c r="J83" s="98"/>
      <c r="K83" s="98"/>
      <c r="L83" s="98"/>
      <c r="M83" s="98"/>
      <c r="N83" s="98"/>
      <c r="O83" s="98"/>
      <c r="P83" s="154"/>
    </row>
    <row r="84" spans="2:16">
      <c r="B84" s="460"/>
      <c r="C84" s="416" t="s">
        <v>904</v>
      </c>
      <c r="D84" s="415"/>
      <c r="E84" s="104"/>
      <c r="F84" s="415"/>
      <c r="G84" s="415"/>
      <c r="H84" s="415"/>
      <c r="I84" s="415"/>
      <c r="J84" s="415"/>
      <c r="K84" s="415"/>
      <c r="L84" s="415"/>
      <c r="M84" s="415"/>
      <c r="N84" s="415"/>
      <c r="O84" s="104"/>
      <c r="P84" s="154"/>
    </row>
    <row r="85" spans="2:16">
      <c r="B85" s="460"/>
      <c r="C85" s="415"/>
      <c r="D85" s="415"/>
      <c r="E85" s="415"/>
      <c r="F85" s="415"/>
      <c r="G85" s="415"/>
      <c r="H85" s="415"/>
      <c r="I85" s="415"/>
      <c r="J85" s="415"/>
      <c r="K85" s="415"/>
      <c r="L85" s="415"/>
      <c r="M85" s="415"/>
      <c r="N85" s="415"/>
      <c r="O85" s="415"/>
      <c r="P85" s="154"/>
    </row>
    <row r="86" spans="2:16">
      <c r="B86" s="460"/>
      <c r="C86" s="61" t="s">
        <v>227</v>
      </c>
      <c r="D86" s="61" t="s">
        <v>903</v>
      </c>
      <c r="E86" s="540"/>
      <c r="F86" s="119">
        <v>2007</v>
      </c>
      <c r="G86" s="120">
        <f t="shared" ref="G86:O86" si="22">F86+5</f>
        <v>2012</v>
      </c>
      <c r="H86" s="120">
        <f t="shared" si="22"/>
        <v>2017</v>
      </c>
      <c r="I86" s="120">
        <f t="shared" si="22"/>
        <v>2022</v>
      </c>
      <c r="J86" s="120">
        <f t="shared" si="22"/>
        <v>2027</v>
      </c>
      <c r="K86" s="120">
        <f t="shared" si="22"/>
        <v>2032</v>
      </c>
      <c r="L86" s="120">
        <f t="shared" si="22"/>
        <v>2037</v>
      </c>
      <c r="M86" s="120">
        <f t="shared" si="22"/>
        <v>2042</v>
      </c>
      <c r="N86" s="120">
        <f t="shared" si="22"/>
        <v>2047</v>
      </c>
      <c r="O86" s="120">
        <f t="shared" si="22"/>
        <v>2052</v>
      </c>
      <c r="P86" s="154"/>
    </row>
    <row r="87" spans="2:16">
      <c r="B87" s="460"/>
      <c r="C87" s="78" t="s">
        <v>7</v>
      </c>
      <c r="D87" s="79" t="s">
        <v>878</v>
      </c>
      <c r="E87" s="79"/>
      <c r="F87" s="812">
        <f t="shared" ref="F87:O87" si="23">F32</f>
        <v>0.88381927741721078</v>
      </c>
      <c r="G87" s="812">
        <f t="shared" si="23"/>
        <v>0.883891765070138</v>
      </c>
      <c r="H87" s="812">
        <f t="shared" si="23"/>
        <v>0.87958247437615367</v>
      </c>
      <c r="I87" s="812">
        <f t="shared" si="23"/>
        <v>0.87529419302632117</v>
      </c>
      <c r="J87" s="812">
        <f t="shared" si="23"/>
        <v>0.87102681859252096</v>
      </c>
      <c r="K87" s="812">
        <f t="shared" si="23"/>
        <v>0.86678024914600771</v>
      </c>
      <c r="L87" s="812">
        <f t="shared" si="23"/>
        <v>0.86255438325497535</v>
      </c>
      <c r="M87" s="812">
        <f t="shared" si="23"/>
        <v>0.85834911998213437</v>
      </c>
      <c r="N87" s="812">
        <f t="shared" si="23"/>
        <v>0.85416435888230091</v>
      </c>
      <c r="O87" s="812">
        <f t="shared" si="23"/>
        <v>0.84999999999999765</v>
      </c>
      <c r="P87" s="154"/>
    </row>
    <row r="88" spans="2:16">
      <c r="B88" s="460"/>
      <c r="C88" s="413"/>
      <c r="D88" s="414"/>
      <c r="E88" s="414"/>
      <c r="F88" s="98"/>
      <c r="G88" s="98"/>
      <c r="H88" s="98"/>
      <c r="I88" s="98"/>
      <c r="J88" s="98"/>
      <c r="K88" s="98"/>
      <c r="L88" s="98"/>
      <c r="M88" s="98"/>
      <c r="N88" s="98"/>
      <c r="O88" s="98"/>
      <c r="P88" s="154"/>
    </row>
    <row r="89" spans="2:16">
      <c r="B89" s="970" t="s">
        <v>241</v>
      </c>
      <c r="C89" s="894"/>
      <c r="D89" s="628"/>
      <c r="E89" s="628"/>
      <c r="F89" s="959"/>
      <c r="G89" s="959"/>
      <c r="H89" s="959"/>
      <c r="I89" s="959"/>
      <c r="J89" s="959"/>
      <c r="K89" s="959"/>
      <c r="L89" s="959"/>
      <c r="M89" s="959"/>
      <c r="N89" s="959"/>
      <c r="O89" s="959"/>
      <c r="P89" s="960"/>
    </row>
    <row r="90" spans="2:16">
      <c r="B90" s="970">
        <v>1</v>
      </c>
      <c r="C90" s="894" t="s">
        <v>1041</v>
      </c>
      <c r="D90" s="628"/>
      <c r="E90" s="628"/>
      <c r="F90" s="959"/>
      <c r="G90" s="959"/>
      <c r="H90" s="959"/>
      <c r="I90" s="959"/>
      <c r="J90" s="959"/>
      <c r="K90" s="959"/>
      <c r="L90" s="959"/>
      <c r="M90" s="959"/>
      <c r="N90" s="959"/>
      <c r="O90" s="959"/>
      <c r="P90" s="960"/>
    </row>
    <row r="91" spans="2:16">
      <c r="B91" s="970">
        <v>2</v>
      </c>
      <c r="C91" s="894" t="s">
        <v>1057</v>
      </c>
      <c r="D91" s="628"/>
      <c r="E91" s="628"/>
      <c r="F91" s="959"/>
      <c r="G91" s="959"/>
      <c r="H91" s="959"/>
      <c r="I91" s="959"/>
      <c r="J91" s="959"/>
      <c r="K91" s="959"/>
      <c r="L91" s="959"/>
      <c r="M91" s="959"/>
      <c r="N91" s="959"/>
      <c r="O91" s="959"/>
      <c r="P91" s="960"/>
    </row>
    <row r="92" spans="2:16">
      <c r="B92" s="970"/>
      <c r="C92" s="894"/>
      <c r="D92" s="628"/>
      <c r="E92" s="628"/>
      <c r="F92" s="959"/>
      <c r="G92" s="959"/>
      <c r="H92" s="959"/>
      <c r="I92" s="959"/>
      <c r="J92" s="959"/>
      <c r="K92" s="959"/>
      <c r="L92" s="959"/>
      <c r="M92" s="959"/>
      <c r="N92" s="959"/>
      <c r="O92" s="959"/>
      <c r="P92" s="960"/>
    </row>
    <row r="93" spans="2:16">
      <c r="B93" s="970">
        <v>1</v>
      </c>
      <c r="C93" s="961" t="s">
        <v>902</v>
      </c>
      <c r="D93" s="624"/>
      <c r="E93" s="962"/>
      <c r="F93" s="624"/>
      <c r="G93" s="624"/>
      <c r="H93" s="624"/>
      <c r="I93" s="624"/>
      <c r="J93" s="624"/>
      <c r="K93" s="624"/>
      <c r="L93" s="624"/>
      <c r="M93" s="624"/>
      <c r="N93" s="624"/>
      <c r="O93" s="962" t="str">
        <f>preferences.energyunits</f>
        <v>TWh</v>
      </c>
      <c r="P93" s="960"/>
    </row>
    <row r="94" spans="2:16">
      <c r="B94" s="958"/>
      <c r="C94" s="624"/>
      <c r="D94" s="624"/>
      <c r="E94" s="624"/>
      <c r="F94" s="624"/>
      <c r="G94" s="624"/>
      <c r="H94" s="624"/>
      <c r="I94" s="624"/>
      <c r="J94" s="624"/>
      <c r="K94" s="624"/>
      <c r="L94" s="624"/>
      <c r="M94" s="624"/>
      <c r="N94" s="624"/>
      <c r="O94" s="624"/>
      <c r="P94" s="960"/>
    </row>
    <row r="95" spans="2:16">
      <c r="B95" s="958"/>
      <c r="C95" s="893" t="s">
        <v>227</v>
      </c>
      <c r="D95" s="893" t="s">
        <v>903</v>
      </c>
      <c r="E95" s="963" t="s">
        <v>404</v>
      </c>
      <c r="F95" s="641">
        <v>2007</v>
      </c>
      <c r="G95" s="642">
        <f t="shared" ref="G95:O95" si="24">F95+5</f>
        <v>2012</v>
      </c>
      <c r="H95" s="642">
        <f t="shared" si="24"/>
        <v>2017</v>
      </c>
      <c r="I95" s="642">
        <f t="shared" si="24"/>
        <v>2022</v>
      </c>
      <c r="J95" s="642">
        <f t="shared" si="24"/>
        <v>2027</v>
      </c>
      <c r="K95" s="642">
        <f t="shared" si="24"/>
        <v>2032</v>
      </c>
      <c r="L95" s="642">
        <f t="shared" si="24"/>
        <v>2037</v>
      </c>
      <c r="M95" s="642">
        <f t="shared" si="24"/>
        <v>2042</v>
      </c>
      <c r="N95" s="642">
        <f t="shared" si="24"/>
        <v>2047</v>
      </c>
      <c r="O95" s="642">
        <f t="shared" si="24"/>
        <v>2052</v>
      </c>
      <c r="P95" s="960"/>
    </row>
    <row r="96" spans="2:16">
      <c r="B96" s="958"/>
      <c r="C96" s="964"/>
      <c r="D96" s="964" t="s">
        <v>905</v>
      </c>
      <c r="E96" s="964" t="str">
        <f>preferences.energyunits</f>
        <v>TWh</v>
      </c>
      <c r="F96" s="965">
        <f>F81*F87</f>
        <v>37.683126635632867</v>
      </c>
      <c r="G96" s="965">
        <f t="shared" ref="G96:O96" si="25">G81*G87</f>
        <v>57.247216457858862</v>
      </c>
      <c r="H96" s="965">
        <f t="shared" si="25"/>
        <v>85.006289383318929</v>
      </c>
      <c r="I96" s="965">
        <f t="shared" si="25"/>
        <v>125.52838162467538</v>
      </c>
      <c r="J96" s="965">
        <f t="shared" si="25"/>
        <v>183.56523778411506</v>
      </c>
      <c r="K96" s="965">
        <f t="shared" si="25"/>
        <v>267.26599283371417</v>
      </c>
      <c r="L96" s="965">
        <f t="shared" si="25"/>
        <v>355.91845565370272</v>
      </c>
      <c r="M96" s="965">
        <f t="shared" si="25"/>
        <v>473.97705084661646</v>
      </c>
      <c r="N96" s="965">
        <f t="shared" si="25"/>
        <v>631.19582915879312</v>
      </c>
      <c r="O96" s="965">
        <f t="shared" si="25"/>
        <v>840.56427212208041</v>
      </c>
      <c r="P96" s="960"/>
    </row>
    <row r="97" spans="2:47">
      <c r="B97" s="958"/>
      <c r="C97" s="966"/>
      <c r="D97" s="967" t="s">
        <v>906</v>
      </c>
      <c r="E97" s="971" t="str">
        <f>preferences.energyunits</f>
        <v>TWh</v>
      </c>
      <c r="F97" s="968">
        <f>F81-F96</f>
        <v>4.9535612014489914</v>
      </c>
      <c r="G97" s="968">
        <f t="shared" ref="G97:O97" si="26">G81-G96</f>
        <v>7.5200081279661006</v>
      </c>
      <c r="H97" s="968">
        <f t="shared" si="26"/>
        <v>11.637620494046331</v>
      </c>
      <c r="I97" s="968">
        <f t="shared" si="26"/>
        <v>17.884407612120782</v>
      </c>
      <c r="J97" s="968">
        <f t="shared" si="26"/>
        <v>27.180555417448289</v>
      </c>
      <c r="K97" s="968">
        <f t="shared" si="26"/>
        <v>41.077434577140082</v>
      </c>
      <c r="L97" s="968">
        <f t="shared" si="26"/>
        <v>56.714605592351461</v>
      </c>
      <c r="M97" s="968">
        <f t="shared" si="26"/>
        <v>78.219065876240791</v>
      </c>
      <c r="N97" s="968">
        <f t="shared" si="26"/>
        <v>107.76713809112982</v>
      </c>
      <c r="O97" s="968">
        <f t="shared" si="26"/>
        <v>148.33487155095804</v>
      </c>
      <c r="P97" s="960"/>
    </row>
    <row r="98" spans="2:47">
      <c r="B98" s="958"/>
      <c r="C98" s="894"/>
      <c r="D98" s="628"/>
      <c r="E98" s="628"/>
      <c r="F98" s="959"/>
      <c r="G98" s="959"/>
      <c r="H98" s="959"/>
      <c r="I98" s="959"/>
      <c r="J98" s="959"/>
      <c r="K98" s="959"/>
      <c r="L98" s="959"/>
      <c r="M98" s="959"/>
      <c r="N98" s="959"/>
      <c r="O98" s="959"/>
      <c r="P98" s="960"/>
    </row>
    <row r="99" spans="2:47">
      <c r="B99" s="970">
        <v>2</v>
      </c>
      <c r="C99" s="943" t="s">
        <v>907</v>
      </c>
      <c r="D99" s="628"/>
      <c r="E99" s="944" t="s">
        <v>913</v>
      </c>
      <c r="F99" s="959">
        <f>F81*10/46.15</f>
        <v>9.2387189246114545</v>
      </c>
      <c r="G99" s="959">
        <f t="shared" ref="G99:O99" si="27">G81*10/46.15</f>
        <v>14.034068165942571</v>
      </c>
      <c r="H99" s="959">
        <f t="shared" si="27"/>
        <v>20.941258911671781</v>
      </c>
      <c r="I99" s="959">
        <f t="shared" si="27"/>
        <v>31.075360614690393</v>
      </c>
      <c r="J99" s="959">
        <f t="shared" si="27"/>
        <v>45.665393976503438</v>
      </c>
      <c r="K99" s="959">
        <f t="shared" si="27"/>
        <v>66.813310381550224</v>
      </c>
      <c r="L99" s="959">
        <f t="shared" si="27"/>
        <v>89.411280876718124</v>
      </c>
      <c r="M99" s="959">
        <f t="shared" si="27"/>
        <v>119.65246299520201</v>
      </c>
      <c r="N99" s="959">
        <f t="shared" si="27"/>
        <v>160.1219864030169</v>
      </c>
      <c r="O99" s="959">
        <f t="shared" si="27"/>
        <v>214.27933774063672</v>
      </c>
      <c r="P99" s="960"/>
    </row>
    <row r="100" spans="2:47">
      <c r="B100" s="970">
        <v>3</v>
      </c>
      <c r="C100" s="943" t="s">
        <v>1059</v>
      </c>
      <c r="D100" s="628"/>
      <c r="E100" s="944" t="s">
        <v>277</v>
      </c>
      <c r="F100" s="959"/>
      <c r="G100" s="959"/>
      <c r="H100" s="972">
        <f>(H99/G99)^0.2-1</f>
        <v>8.3337660434345651E-2</v>
      </c>
      <c r="I100" s="972">
        <f t="shared" ref="I100:O100" si="28">(I99/H99)^0.2-1</f>
        <v>8.2138075532849797E-2</v>
      </c>
      <c r="J100" s="972">
        <f t="shared" si="28"/>
        <v>8.0025989427897848E-2</v>
      </c>
      <c r="K100" s="972">
        <f t="shared" si="28"/>
        <v>7.9083759304765744E-2</v>
      </c>
      <c r="L100" s="972">
        <f t="shared" si="28"/>
        <v>6.0000000000000053E-2</v>
      </c>
      <c r="M100" s="972">
        <f t="shared" si="28"/>
        <v>6.0000000000000053E-2</v>
      </c>
      <c r="N100" s="972">
        <f t="shared" si="28"/>
        <v>6.0000000000000053E-2</v>
      </c>
      <c r="O100" s="972">
        <f t="shared" si="28"/>
        <v>6.0000000000000053E-2</v>
      </c>
      <c r="P100" s="960"/>
    </row>
    <row r="101" spans="2:47">
      <c r="B101" s="958"/>
      <c r="C101" s="624"/>
      <c r="D101" s="946"/>
      <c r="E101" s="624"/>
      <c r="F101" s="624"/>
      <c r="G101" s="624"/>
      <c r="H101" s="624"/>
      <c r="I101" s="624"/>
      <c r="J101" s="624"/>
      <c r="K101" s="624"/>
      <c r="L101" s="624"/>
      <c r="M101" s="624"/>
      <c r="N101" s="624"/>
      <c r="O101" s="624"/>
      <c r="P101" s="969"/>
    </row>
    <row r="102" spans="2:47">
      <c r="B102" s="973"/>
    </row>
    <row r="103" spans="2:47">
      <c r="F103" s="641">
        <v>2007</v>
      </c>
      <c r="G103" s="642">
        <v>2012</v>
      </c>
      <c r="H103" s="642">
        <f t="shared" ref="H103:AU103" si="29">G103+1</f>
        <v>2013</v>
      </c>
      <c r="I103" s="642">
        <f t="shared" si="29"/>
        <v>2014</v>
      </c>
      <c r="J103" s="642">
        <f t="shared" si="29"/>
        <v>2015</v>
      </c>
      <c r="K103" s="642">
        <f t="shared" si="29"/>
        <v>2016</v>
      </c>
      <c r="L103" s="642">
        <f t="shared" si="29"/>
        <v>2017</v>
      </c>
      <c r="M103" s="642">
        <f t="shared" si="29"/>
        <v>2018</v>
      </c>
      <c r="N103" s="642">
        <f t="shared" si="29"/>
        <v>2019</v>
      </c>
      <c r="O103" s="642">
        <f t="shared" si="29"/>
        <v>2020</v>
      </c>
      <c r="P103" s="642">
        <f t="shared" si="29"/>
        <v>2021</v>
      </c>
      <c r="Q103" s="642">
        <f t="shared" si="29"/>
        <v>2022</v>
      </c>
      <c r="R103" s="642">
        <f t="shared" si="29"/>
        <v>2023</v>
      </c>
      <c r="S103" s="642">
        <f t="shared" si="29"/>
        <v>2024</v>
      </c>
      <c r="T103" s="642">
        <f t="shared" si="29"/>
        <v>2025</v>
      </c>
      <c r="U103" s="642">
        <f t="shared" si="29"/>
        <v>2026</v>
      </c>
      <c r="V103" s="642">
        <f t="shared" si="29"/>
        <v>2027</v>
      </c>
      <c r="W103" s="642">
        <f t="shared" si="29"/>
        <v>2028</v>
      </c>
      <c r="X103" s="642">
        <f t="shared" si="29"/>
        <v>2029</v>
      </c>
      <c r="Y103" s="642">
        <f t="shared" si="29"/>
        <v>2030</v>
      </c>
      <c r="Z103" s="642">
        <f t="shared" si="29"/>
        <v>2031</v>
      </c>
      <c r="AA103" s="642">
        <f t="shared" si="29"/>
        <v>2032</v>
      </c>
      <c r="AB103" s="642">
        <f t="shared" si="29"/>
        <v>2033</v>
      </c>
      <c r="AC103" s="642">
        <f t="shared" si="29"/>
        <v>2034</v>
      </c>
      <c r="AD103" s="642">
        <f t="shared" si="29"/>
        <v>2035</v>
      </c>
      <c r="AE103" s="642">
        <f t="shared" si="29"/>
        <v>2036</v>
      </c>
      <c r="AF103" s="642">
        <f t="shared" si="29"/>
        <v>2037</v>
      </c>
      <c r="AG103" s="642">
        <f t="shared" si="29"/>
        <v>2038</v>
      </c>
      <c r="AH103" s="642">
        <f t="shared" si="29"/>
        <v>2039</v>
      </c>
      <c r="AI103" s="642">
        <f t="shared" si="29"/>
        <v>2040</v>
      </c>
      <c r="AJ103" s="642">
        <f t="shared" si="29"/>
        <v>2041</v>
      </c>
      <c r="AK103" s="642">
        <f t="shared" si="29"/>
        <v>2042</v>
      </c>
      <c r="AL103" s="642">
        <f t="shared" si="29"/>
        <v>2043</v>
      </c>
      <c r="AM103" s="642">
        <f t="shared" si="29"/>
        <v>2044</v>
      </c>
      <c r="AN103" s="642">
        <f t="shared" si="29"/>
        <v>2045</v>
      </c>
      <c r="AO103" s="642">
        <f t="shared" si="29"/>
        <v>2046</v>
      </c>
      <c r="AP103" s="642">
        <f t="shared" si="29"/>
        <v>2047</v>
      </c>
      <c r="AQ103" s="642">
        <f t="shared" si="29"/>
        <v>2048</v>
      </c>
      <c r="AR103" s="642">
        <f t="shared" si="29"/>
        <v>2049</v>
      </c>
      <c r="AS103" s="642">
        <f t="shared" si="29"/>
        <v>2050</v>
      </c>
      <c r="AT103" s="642">
        <f t="shared" si="29"/>
        <v>2051</v>
      </c>
      <c r="AU103" s="642">
        <f t="shared" si="29"/>
        <v>2052</v>
      </c>
    </row>
    <row r="104" spans="2:47">
      <c r="B104" s="970">
        <v>4</v>
      </c>
      <c r="C104" s="423" t="s">
        <v>1058</v>
      </c>
      <c r="E104" s="944" t="s">
        <v>913</v>
      </c>
      <c r="G104" s="975">
        <f>G99</f>
        <v>14.034068165942571</v>
      </c>
      <c r="H104" s="359">
        <f>G104*(1+$H100)</f>
        <v>15.203634573268353</v>
      </c>
      <c r="I104" s="359">
        <f>H104*(1+$H100)</f>
        <v>16.470669908703268</v>
      </c>
      <c r="J104" s="359">
        <f>I104*(1+$H100)</f>
        <v>17.843297004680977</v>
      </c>
      <c r="K104" s="359">
        <f>J104*(1+$H100)</f>
        <v>19.330315631486258</v>
      </c>
      <c r="L104" s="359">
        <f>K104*(1+$H100)</f>
        <v>20.941258911671785</v>
      </c>
      <c r="M104" s="359">
        <f>L104*(1+$I100)</f>
        <v>22.661333617911644</v>
      </c>
      <c r="N104" s="359">
        <f>M104*(1+$I100)</f>
        <v>24.522691950294778</v>
      </c>
      <c r="O104" s="359">
        <f>N104*(1+$I100)</f>
        <v>26.536938673976898</v>
      </c>
      <c r="P104" s="359">
        <f>O104*(1+$I100)</f>
        <v>28.716631747190615</v>
      </c>
      <c r="Q104" s="359">
        <f>P104*(1+$I100)</f>
        <v>31.075360614690389</v>
      </c>
      <c r="R104" s="359">
        <f>Q104*(1+$J100)</f>
        <v>33.562197094709717</v>
      </c>
      <c r="S104" s="359">
        <f>R104*(1+$J100)</f>
        <v>36.248045124587982</v>
      </c>
      <c r="T104" s="359">
        <f>S104*(1+$J100)</f>
        <v>39.148830800510225</v>
      </c>
      <c r="U104" s="359">
        <f>T104*(1+$J100)</f>
        <v>42.28175472026642</v>
      </c>
      <c r="V104" s="359">
        <f>U104*(1+$J100)</f>
        <v>45.665393976503431</v>
      </c>
      <c r="W104" s="359">
        <f>V104*(1+$K100)</f>
        <v>49.276785002298524</v>
      </c>
      <c r="X104" s="359">
        <f>W104*(1+$K100)</f>
        <v>53.173778406732993</v>
      </c>
      <c r="Y104" s="359">
        <f>X104*(1+$K100)</f>
        <v>57.378960699576012</v>
      </c>
      <c r="Z104" s="359">
        <f>Y104*(1+$K100)</f>
        <v>61.916704616698894</v>
      </c>
      <c r="AA104" s="359">
        <f>Z104*(1+$K100)</f>
        <v>66.813310381550181</v>
      </c>
      <c r="AB104" s="359">
        <f>AA104*(1+$L100)</f>
        <v>70.822109004443192</v>
      </c>
      <c r="AC104" s="359">
        <f>AB104*(1+$L100)</f>
        <v>75.071435544709786</v>
      </c>
      <c r="AD104" s="359">
        <f>AC104*(1+$L100)</f>
        <v>79.57572167739238</v>
      </c>
      <c r="AE104" s="359">
        <f>AD104*(1+$L100)</f>
        <v>84.350264978035923</v>
      </c>
      <c r="AF104" s="359">
        <f>AE104*(1+$L100)</f>
        <v>89.411280876718081</v>
      </c>
      <c r="AG104" s="359">
        <f>AF104*(1+$M100)</f>
        <v>94.775957729321163</v>
      </c>
      <c r="AH104" s="359">
        <f>AG104*(1+$M100)</f>
        <v>100.46251519308043</v>
      </c>
      <c r="AI104" s="359">
        <f>AH104*(1+$M100)</f>
        <v>106.49026610466527</v>
      </c>
      <c r="AJ104" s="359">
        <f>AI104*(1+$M100)</f>
        <v>112.87968207094519</v>
      </c>
      <c r="AK104" s="359">
        <f>AJ104*(1+$M100)</f>
        <v>119.65246299520192</v>
      </c>
      <c r="AL104" s="359">
        <f>AK104*(1+$N100)</f>
        <v>126.83161077491404</v>
      </c>
      <c r="AM104" s="359">
        <f>AL104*(1+$N100)</f>
        <v>134.44150742140889</v>
      </c>
      <c r="AN104" s="359">
        <f>AM104*(1+$N100)</f>
        <v>142.50799786669342</v>
      </c>
      <c r="AO104" s="359">
        <f>AN104*(1+$N100)</f>
        <v>151.05847773869502</v>
      </c>
      <c r="AP104" s="359">
        <f>AO104*(1+$N100)</f>
        <v>160.12198640301673</v>
      </c>
      <c r="AQ104" s="359">
        <f>AP104*(1+$O100)</f>
        <v>169.72930558719776</v>
      </c>
      <c r="AR104" s="359">
        <f>AQ104*(1+$O100)</f>
        <v>179.91306392242964</v>
      </c>
      <c r="AS104" s="359">
        <f>AR104*(1+$O100)</f>
        <v>190.70784775777543</v>
      </c>
      <c r="AT104" s="359">
        <f>AS104*(1+$O100)</f>
        <v>202.15031862324196</v>
      </c>
      <c r="AU104" s="359">
        <f>AT104*(1+$O100)</f>
        <v>214.27933774063649</v>
      </c>
    </row>
    <row r="105" spans="2:47">
      <c r="B105" s="970">
        <v>5</v>
      </c>
      <c r="C105" s="423" t="s">
        <v>1060</v>
      </c>
      <c r="E105" s="944" t="s">
        <v>913</v>
      </c>
      <c r="G105" s="359">
        <f>G104</f>
        <v>14.034068165942571</v>
      </c>
      <c r="H105" s="359">
        <f>H104-G104</f>
        <v>1.1695664073257817</v>
      </c>
      <c r="I105" s="359">
        <f t="shared" ref="I105:AU105" si="30">I104-H104</f>
        <v>1.2670353354349153</v>
      </c>
      <c r="J105" s="359">
        <f t="shared" si="30"/>
        <v>1.3726270959777089</v>
      </c>
      <c r="K105" s="359">
        <f t="shared" si="30"/>
        <v>1.4870186268052805</v>
      </c>
      <c r="L105" s="359">
        <f t="shared" si="30"/>
        <v>1.610943280185527</v>
      </c>
      <c r="M105" s="359">
        <f t="shared" si="30"/>
        <v>1.7200747062398598</v>
      </c>
      <c r="N105" s="359">
        <f t="shared" si="30"/>
        <v>1.8613583323831335</v>
      </c>
      <c r="O105" s="359">
        <f t="shared" si="30"/>
        <v>2.0142467236821204</v>
      </c>
      <c r="P105" s="359">
        <f t="shared" si="30"/>
        <v>2.1796930732137163</v>
      </c>
      <c r="Q105" s="359">
        <f t="shared" si="30"/>
        <v>2.3587288674997744</v>
      </c>
      <c r="R105" s="359">
        <f t="shared" si="30"/>
        <v>2.4868364800193277</v>
      </c>
      <c r="S105" s="359">
        <f t="shared" si="30"/>
        <v>2.6858480298782652</v>
      </c>
      <c r="T105" s="359">
        <f t="shared" si="30"/>
        <v>2.9007856759222435</v>
      </c>
      <c r="U105" s="359">
        <f t="shared" si="30"/>
        <v>3.1329239197561947</v>
      </c>
      <c r="V105" s="359">
        <f t="shared" si="30"/>
        <v>3.3836392562370108</v>
      </c>
      <c r="W105" s="359">
        <f t="shared" si="30"/>
        <v>3.6113910257950934</v>
      </c>
      <c r="X105" s="359">
        <f t="shared" si="30"/>
        <v>3.8969934044344683</v>
      </c>
      <c r="Y105" s="359">
        <f t="shared" si="30"/>
        <v>4.2051822928430198</v>
      </c>
      <c r="Z105" s="359">
        <f t="shared" si="30"/>
        <v>4.5377439171228815</v>
      </c>
      <c r="AA105" s="359">
        <f t="shared" si="30"/>
        <v>4.8966057648512873</v>
      </c>
      <c r="AB105" s="359">
        <f t="shared" si="30"/>
        <v>4.0087986228930106</v>
      </c>
      <c r="AC105" s="359">
        <f t="shared" si="30"/>
        <v>4.2493265402665941</v>
      </c>
      <c r="AD105" s="359">
        <f t="shared" si="30"/>
        <v>4.5042861326825943</v>
      </c>
      <c r="AE105" s="359">
        <f t="shared" si="30"/>
        <v>4.7745433006435434</v>
      </c>
      <c r="AF105" s="359">
        <f t="shared" si="30"/>
        <v>5.0610158986821574</v>
      </c>
      <c r="AG105" s="359">
        <f t="shared" si="30"/>
        <v>5.3646768526030826</v>
      </c>
      <c r="AH105" s="359">
        <f t="shared" si="30"/>
        <v>5.6865574637592715</v>
      </c>
      <c r="AI105" s="359">
        <f t="shared" si="30"/>
        <v>6.0277509115848318</v>
      </c>
      <c r="AJ105" s="359">
        <f t="shared" si="30"/>
        <v>6.3894159662799268</v>
      </c>
      <c r="AK105" s="359">
        <f t="shared" si="30"/>
        <v>6.7727809242567218</v>
      </c>
      <c r="AL105" s="359">
        <f t="shared" si="30"/>
        <v>7.1791477797121246</v>
      </c>
      <c r="AM105" s="359">
        <f t="shared" si="30"/>
        <v>7.6098966464948461</v>
      </c>
      <c r="AN105" s="359">
        <f t="shared" si="30"/>
        <v>8.0664904452845292</v>
      </c>
      <c r="AO105" s="359">
        <f t="shared" si="30"/>
        <v>8.5504798720016026</v>
      </c>
      <c r="AP105" s="359">
        <f t="shared" si="30"/>
        <v>9.0635086643217164</v>
      </c>
      <c r="AQ105" s="359">
        <f t="shared" si="30"/>
        <v>9.6073191841810228</v>
      </c>
      <c r="AR105" s="359">
        <f t="shared" si="30"/>
        <v>10.183758335231886</v>
      </c>
      <c r="AS105" s="359">
        <f t="shared" si="30"/>
        <v>10.794783835345783</v>
      </c>
      <c r="AT105" s="359">
        <f t="shared" si="30"/>
        <v>11.442470865466532</v>
      </c>
      <c r="AU105" s="359">
        <f t="shared" si="30"/>
        <v>12.129019117394535</v>
      </c>
    </row>
    <row r="106" spans="2:47">
      <c r="B106" s="970">
        <v>6</v>
      </c>
      <c r="C106" s="423" t="s">
        <v>606</v>
      </c>
      <c r="E106" s="944" t="s">
        <v>913</v>
      </c>
      <c r="G106" s="359">
        <f>G105</f>
        <v>14.034068165942571</v>
      </c>
      <c r="H106" s="976">
        <f>$G105/$E$70+H105</f>
        <v>2.5729732239200387</v>
      </c>
      <c r="I106" s="495">
        <f t="shared" ref="I106:P106" si="31">$G105/$E$70+I105</f>
        <v>2.6704421520291723</v>
      </c>
      <c r="J106" s="495">
        <f t="shared" si="31"/>
        <v>2.776033912571966</v>
      </c>
      <c r="K106" s="495">
        <f t="shared" si="31"/>
        <v>2.8904254433995376</v>
      </c>
      <c r="L106" s="495">
        <f t="shared" si="31"/>
        <v>3.014350096779784</v>
      </c>
      <c r="M106" s="495">
        <f t="shared" si="31"/>
        <v>3.1234815228341168</v>
      </c>
      <c r="N106" s="495">
        <f t="shared" si="31"/>
        <v>3.2647651489773906</v>
      </c>
      <c r="O106" s="495">
        <f t="shared" si="31"/>
        <v>3.4176535402763775</v>
      </c>
      <c r="P106" s="495">
        <f t="shared" si="31"/>
        <v>3.5830998898079733</v>
      </c>
      <c r="Q106" s="495">
        <f>Q105+H106</f>
        <v>4.9317020914198135</v>
      </c>
      <c r="R106" s="495">
        <f t="shared" ref="R106:AU106" si="32">R105+I106</f>
        <v>5.1572786320485005</v>
      </c>
      <c r="S106" s="495">
        <f t="shared" si="32"/>
        <v>5.4618819424502316</v>
      </c>
      <c r="T106" s="495">
        <f t="shared" si="32"/>
        <v>5.7912111193217815</v>
      </c>
      <c r="U106" s="495">
        <f t="shared" si="32"/>
        <v>6.1472740165359792</v>
      </c>
      <c r="V106" s="495">
        <f t="shared" si="32"/>
        <v>6.5071207790711281</v>
      </c>
      <c r="W106" s="495">
        <f t="shared" si="32"/>
        <v>6.8761561747724844</v>
      </c>
      <c r="X106" s="495">
        <f t="shared" si="32"/>
        <v>7.3146469447108462</v>
      </c>
      <c r="Y106" s="495">
        <f t="shared" si="32"/>
        <v>7.7882821826509936</v>
      </c>
      <c r="Z106" s="495">
        <f t="shared" si="32"/>
        <v>9.469446008542695</v>
      </c>
      <c r="AA106" s="495">
        <f t="shared" si="32"/>
        <v>10.053884396899788</v>
      </c>
      <c r="AB106" s="495">
        <f t="shared" si="32"/>
        <v>9.4706805653432422</v>
      </c>
      <c r="AC106" s="495">
        <f t="shared" si="32"/>
        <v>10.040537659588376</v>
      </c>
      <c r="AD106" s="495">
        <f t="shared" si="32"/>
        <v>10.651560149218573</v>
      </c>
      <c r="AE106" s="495">
        <f t="shared" si="32"/>
        <v>11.281664079714671</v>
      </c>
      <c r="AF106" s="495">
        <f t="shared" si="32"/>
        <v>11.937172073454642</v>
      </c>
      <c r="AG106" s="495">
        <f t="shared" si="32"/>
        <v>12.679323797313929</v>
      </c>
      <c r="AH106" s="495">
        <f t="shared" si="32"/>
        <v>13.474839646410265</v>
      </c>
      <c r="AI106" s="495">
        <f t="shared" si="32"/>
        <v>15.497196920127527</v>
      </c>
      <c r="AJ106" s="495">
        <f t="shared" si="32"/>
        <v>16.443300363179716</v>
      </c>
      <c r="AK106" s="495">
        <f t="shared" si="32"/>
        <v>16.243461489599966</v>
      </c>
      <c r="AL106" s="495">
        <f t="shared" si="32"/>
        <v>17.219685439300498</v>
      </c>
      <c r="AM106" s="495">
        <f t="shared" si="32"/>
        <v>18.261456795713421</v>
      </c>
      <c r="AN106" s="495">
        <f t="shared" si="32"/>
        <v>19.348154524999202</v>
      </c>
      <c r="AO106" s="495">
        <f t="shared" si="32"/>
        <v>20.487651945456243</v>
      </c>
      <c r="AP106" s="495">
        <f t="shared" si="32"/>
        <v>21.742832461635643</v>
      </c>
      <c r="AQ106" s="495">
        <f t="shared" si="32"/>
        <v>23.08215883059129</v>
      </c>
      <c r="AR106" s="495">
        <f t="shared" si="32"/>
        <v>25.680955255359414</v>
      </c>
      <c r="AS106" s="495">
        <f t="shared" si="32"/>
        <v>27.238084198525499</v>
      </c>
      <c r="AT106" s="495">
        <f t="shared" si="32"/>
        <v>27.685932355066498</v>
      </c>
      <c r="AU106" s="495">
        <f t="shared" si="32"/>
        <v>29.348704556695033</v>
      </c>
    </row>
    <row r="107" spans="2:47">
      <c r="B107" s="973"/>
    </row>
    <row r="108" spans="2:47">
      <c r="B108" s="973"/>
    </row>
    <row r="109" spans="2:47">
      <c r="B109" s="973"/>
    </row>
    <row r="110" spans="2:47">
      <c r="B110" s="859">
        <v>9</v>
      </c>
      <c r="C110" s="1825" t="s">
        <v>1738</v>
      </c>
      <c r="D110" s="19"/>
      <c r="E110" s="423"/>
      <c r="F110" s="19"/>
      <c r="G110" s="1668"/>
      <c r="H110" s="1668"/>
      <c r="I110" s="1668"/>
      <c r="J110" s="1668"/>
      <c r="K110" s="1668"/>
      <c r="L110" s="1668"/>
      <c r="M110" s="1668"/>
      <c r="N110" s="1668"/>
      <c r="O110" s="1668"/>
    </row>
    <row r="111" spans="2:47">
      <c r="B111" s="859" t="s">
        <v>64</v>
      </c>
      <c r="C111" s="233" t="s">
        <v>1529</v>
      </c>
      <c r="D111" s="51"/>
      <c r="E111" s="859" t="s">
        <v>1530</v>
      </c>
      <c r="F111" s="641">
        <v>2007</v>
      </c>
      <c r="G111" s="642">
        <f t="shared" ref="G111:O111" si="33">F111+5</f>
        <v>2012</v>
      </c>
      <c r="H111" s="642">
        <f t="shared" si="33"/>
        <v>2017</v>
      </c>
      <c r="I111" s="642">
        <f t="shared" si="33"/>
        <v>2022</v>
      </c>
      <c r="J111" s="642">
        <f t="shared" si="33"/>
        <v>2027</v>
      </c>
      <c r="K111" s="642">
        <f t="shared" si="33"/>
        <v>2032</v>
      </c>
      <c r="L111" s="642">
        <f t="shared" si="33"/>
        <v>2037</v>
      </c>
      <c r="M111" s="642">
        <f t="shared" si="33"/>
        <v>2042</v>
      </c>
      <c r="N111" s="642">
        <f t="shared" si="33"/>
        <v>2047</v>
      </c>
      <c r="O111" s="642">
        <f t="shared" si="33"/>
        <v>2052</v>
      </c>
    </row>
    <row r="112" spans="2:47">
      <c r="B112" s="859"/>
      <c r="C112" s="423"/>
      <c r="D112" s="51"/>
      <c r="E112" s="51"/>
      <c r="F112" s="73"/>
      <c r="G112" s="73"/>
      <c r="H112" s="73"/>
      <c r="I112" s="73"/>
      <c r="J112" s="73"/>
      <c r="K112" s="73"/>
      <c r="L112" s="73"/>
      <c r="M112" s="73"/>
      <c r="N112" s="73"/>
      <c r="O112" s="73"/>
    </row>
    <row r="113" spans="1:16">
      <c r="B113" s="226" t="s">
        <v>38</v>
      </c>
      <c r="C113" s="19" t="str">
        <f>INDEX(Vectors[Description], MATCH(B113, Vectors[Code], 0))</f>
        <v>Liquid hydrocarbons</v>
      </c>
      <c r="D113" s="51"/>
      <c r="E113" s="51" t="str">
        <f>preferences.energyunits</f>
        <v>TWh</v>
      </c>
      <c r="F113" s="73">
        <f>0.87*F96</f>
        <v>32.784320173000594</v>
      </c>
      <c r="G113" s="73">
        <f t="shared" ref="G113:O113" si="34">0.87*G96</f>
        <v>49.805078318337209</v>
      </c>
      <c r="H113" s="73">
        <f t="shared" si="34"/>
        <v>73.955471763487466</v>
      </c>
      <c r="I113" s="73">
        <f t="shared" si="34"/>
        <v>109.20969201346757</v>
      </c>
      <c r="J113" s="73">
        <f t="shared" si="34"/>
        <v>159.70175687218008</v>
      </c>
      <c r="K113" s="73">
        <f t="shared" si="34"/>
        <v>232.52141376533132</v>
      </c>
      <c r="L113" s="73">
        <f t="shared" si="34"/>
        <v>309.64905641872139</v>
      </c>
      <c r="M113" s="73">
        <f t="shared" si="34"/>
        <v>412.36003423655632</v>
      </c>
      <c r="N113" s="73">
        <f t="shared" si="34"/>
        <v>549.14037136815</v>
      </c>
      <c r="O113" s="73">
        <f t="shared" si="34"/>
        <v>731.29091674620997</v>
      </c>
      <c r="P113" s="141"/>
    </row>
    <row r="114" spans="1:16">
      <c r="A114" s="37"/>
      <c r="B114" s="17" t="s">
        <v>39</v>
      </c>
      <c r="C114" s="19" t="str">
        <f>INDEX(Vectors[Description], MATCH(B114, Vectors[Code], 0))</f>
        <v>Gaseous hydrocarbons</v>
      </c>
      <c r="D114" s="51"/>
      <c r="E114" s="51" t="str">
        <f>preferences.energyunits</f>
        <v>TWh</v>
      </c>
      <c r="F114" s="73">
        <f>F97+0.13*F96</f>
        <v>9.8523676640812639</v>
      </c>
      <c r="G114" s="73">
        <f t="shared" ref="G114:O114" si="35">G97+0.13*G96</f>
        <v>14.962146267487753</v>
      </c>
      <c r="H114" s="73">
        <f t="shared" si="35"/>
        <v>22.688438113877794</v>
      </c>
      <c r="I114" s="73">
        <f t="shared" si="35"/>
        <v>34.203097223328584</v>
      </c>
      <c r="J114" s="73">
        <f t="shared" si="35"/>
        <v>51.044036329383246</v>
      </c>
      <c r="K114" s="73">
        <f t="shared" si="35"/>
        <v>75.822013645522929</v>
      </c>
      <c r="L114" s="73">
        <f t="shared" si="35"/>
        <v>102.98400482733283</v>
      </c>
      <c r="M114" s="73">
        <f t="shared" si="35"/>
        <v>139.83608248630094</v>
      </c>
      <c r="N114" s="73">
        <f t="shared" si="35"/>
        <v>189.82259588177294</v>
      </c>
      <c r="O114" s="73">
        <f t="shared" si="35"/>
        <v>257.60822692682848</v>
      </c>
      <c r="P114" s="37"/>
    </row>
    <row r="115" spans="1:16" ht="14.25" customHeight="1">
      <c r="A115" s="37"/>
      <c r="B115" s="859"/>
      <c r="C115" s="423"/>
      <c r="D115" s="51"/>
      <c r="E115" s="51"/>
      <c r="F115" s="73"/>
      <c r="G115" s="73"/>
      <c r="H115" s="73"/>
      <c r="I115" s="73"/>
      <c r="J115" s="73"/>
      <c r="K115" s="73"/>
      <c r="L115" s="73"/>
      <c r="M115" s="73"/>
      <c r="N115" s="73"/>
      <c r="O115" s="73"/>
    </row>
    <row r="116" spans="1:16">
      <c r="B116" s="859">
        <v>10</v>
      </c>
      <c r="C116" s="423" t="s">
        <v>2077</v>
      </c>
      <c r="D116" s="51"/>
      <c r="E116" s="51"/>
      <c r="F116" s="73"/>
      <c r="G116" s="73"/>
      <c r="H116" s="73"/>
      <c r="I116" s="73"/>
      <c r="J116" s="73"/>
      <c r="K116" s="73"/>
      <c r="L116" s="73"/>
      <c r="M116" s="73"/>
      <c r="N116" s="73"/>
      <c r="O116" s="73"/>
      <c r="P116" s="310"/>
    </row>
    <row r="117" spans="1:16">
      <c r="B117" s="423"/>
      <c r="D117" s="51"/>
      <c r="E117" s="51"/>
      <c r="F117" s="90"/>
      <c r="G117" s="90"/>
      <c r="H117" s="90"/>
      <c r="I117" s="90"/>
      <c r="J117" s="90"/>
      <c r="K117" s="90"/>
      <c r="L117" s="90"/>
      <c r="M117" s="90"/>
      <c r="N117" s="90"/>
      <c r="O117" s="90"/>
    </row>
    <row r="118" spans="1:16">
      <c r="B118" s="423"/>
      <c r="C118" s="423" t="s">
        <v>846</v>
      </c>
      <c r="D118" s="51"/>
      <c r="E118" s="51"/>
      <c r="F118" s="73"/>
      <c r="G118" s="73"/>
      <c r="H118" s="73"/>
      <c r="I118" s="73"/>
      <c r="J118" s="73"/>
      <c r="K118" s="73"/>
      <c r="L118" s="73"/>
      <c r="M118" s="73"/>
      <c r="N118" s="73"/>
      <c r="O118" s="73"/>
      <c r="P118" s="310"/>
    </row>
    <row r="119" spans="1:16" ht="14.25">
      <c r="B119" s="423"/>
      <c r="C119" s="605" t="s">
        <v>350</v>
      </c>
      <c r="D119" s="51"/>
      <c r="E119" s="51" t="s">
        <v>368</v>
      </c>
      <c r="F119" s="90">
        <f>F$113*INDEX(EF[CO2], MATCH("V.04", EF[Vector], 0))+F$114*INDEX(EF[CO2], MATCH("V.05", EF[Vector], 0))</f>
        <v>10.704467295035755</v>
      </c>
      <c r="G119" s="90">
        <f>G$113*INDEX(EF[CO2], MATCH("V.04", EF[Vector], 0))+G$114*INDEX(EF[CO2], MATCH("V.05", EF[Vector], 0))</f>
        <v>16.260888821331829</v>
      </c>
      <c r="H119" s="90">
        <f>H$113*INDEX(EF[CO2], MATCH("V.04", EF[Vector], 0))+H$114*INDEX(EF[CO2], MATCH("V.05", EF[Vector], 0))</f>
        <v>24.239503543901211</v>
      </c>
      <c r="I119" s="90">
        <f>I$113*INDEX(EF[CO2], MATCH("V.04", EF[Vector], 0))+I$114*INDEX(EF[CO2], MATCH("V.05", EF[Vector], 0))</f>
        <v>35.933460950189563</v>
      </c>
      <c r="J119" s="90">
        <f>J$113*INDEX(EF[CO2], MATCH("V.04", EF[Vector], 0))+J$114*INDEX(EF[CO2], MATCH("V.05", EF[Vector], 0))</f>
        <v>52.751366453469238</v>
      </c>
      <c r="K119" s="90">
        <f>K$113*INDEX(EF[CO2], MATCH("V.04", EF[Vector], 0))+K$114*INDEX(EF[CO2], MATCH("V.05", EF[Vector], 0))</f>
        <v>77.10362924911702</v>
      </c>
      <c r="L119" s="90">
        <f>L$113*INDEX(EF[CO2], MATCH("V.04", EF[Vector], 0))+L$114*INDEX(EF[CO2], MATCH("V.05", EF[Vector], 0))</f>
        <v>103.07922847908272</v>
      </c>
      <c r="M119" s="90">
        <f>M$113*INDEX(EF[CO2], MATCH("V.04", EF[Vector], 0))+M$114*INDEX(EF[CO2], MATCH("V.05", EF[Vector], 0))</f>
        <v>137.80633413788036</v>
      </c>
      <c r="N119" s="90">
        <f>N$113*INDEX(EF[CO2], MATCH("V.04", EF[Vector], 0))+N$114*INDEX(EF[CO2], MATCH("V.05", EF[Vector], 0))</f>
        <v>184.23361666422136</v>
      </c>
      <c r="O119" s="90">
        <f>O$113*INDEX(EF[CO2], MATCH("V.04", EF[Vector], 0))+O$114*INDEX(EF[CO2], MATCH("V.05", EF[Vector], 0))</f>
        <v>246.3033097633579</v>
      </c>
    </row>
    <row r="120" spans="1:16" ht="14.25">
      <c r="B120" s="423"/>
      <c r="C120" s="605" t="s">
        <v>351</v>
      </c>
      <c r="D120" s="51"/>
      <c r="E120" s="51" t="s">
        <v>368</v>
      </c>
      <c r="F120" s="90">
        <f>F$113*INDEX(EF[CH4], MATCH("V.04", EF[Vector], 0))+F$114*INDEX(EF[CH4], MATCH("V.05", EF[Vector], 0))</f>
        <v>0</v>
      </c>
      <c r="G120" s="90">
        <f>G$113*INDEX(EF[CH4], MATCH("V.04", EF[Vector], 0))+G$114*INDEX(EF[CH4], MATCH("V.05", EF[Vector], 0))</f>
        <v>0</v>
      </c>
      <c r="H120" s="90">
        <f>H$113*INDEX(EF[CH4], MATCH("V.04", EF[Vector], 0))+H$114*INDEX(EF[CH4], MATCH("V.05", EF[Vector], 0))</f>
        <v>0</v>
      </c>
      <c r="I120" s="90">
        <f>I$113*INDEX(EF[CH4], MATCH("V.04", EF[Vector], 0))+I$114*INDEX(EF[CH4], MATCH("V.05", EF[Vector], 0))</f>
        <v>0</v>
      </c>
      <c r="J120" s="90">
        <f>J$113*INDEX(EF[CH4], MATCH("V.04", EF[Vector], 0))+J$114*INDEX(EF[CH4], MATCH("V.05", EF[Vector], 0))</f>
        <v>0</v>
      </c>
      <c r="K120" s="90">
        <f>K$113*INDEX(EF[CH4], MATCH("V.04", EF[Vector], 0))+K$114*INDEX(EF[CH4], MATCH("V.05", EF[Vector], 0))</f>
        <v>0</v>
      </c>
      <c r="L120" s="90">
        <f>L$113*INDEX(EF[CH4], MATCH("V.04", EF[Vector], 0))+L$114*INDEX(EF[CH4], MATCH("V.05", EF[Vector], 0))</f>
        <v>0</v>
      </c>
      <c r="M120" s="90">
        <f>M$113*INDEX(EF[CH4], MATCH("V.04", EF[Vector], 0))+M$114*INDEX(EF[CH4], MATCH("V.05", EF[Vector], 0))</f>
        <v>0</v>
      </c>
      <c r="N120" s="90">
        <f>N$113*INDEX(EF[CH4], MATCH("V.04", EF[Vector], 0))+N$114*INDEX(EF[CH4], MATCH("V.05", EF[Vector], 0))</f>
        <v>0</v>
      </c>
      <c r="O120" s="90">
        <f>O$113*INDEX(EF[CH4], MATCH("V.04", EF[Vector], 0))+O$114*INDEX(EF[CH4], MATCH("V.05", EF[Vector], 0))</f>
        <v>0</v>
      </c>
      <c r="P120" s="359"/>
    </row>
    <row r="121" spans="1:16" ht="14.25">
      <c r="B121" s="423"/>
      <c r="C121" s="605" t="s">
        <v>352</v>
      </c>
      <c r="D121" s="51"/>
      <c r="E121" s="51" t="s">
        <v>368</v>
      </c>
      <c r="F121" s="90">
        <f>F$113*INDEX(EF[N2O], MATCH("V.04", EF[Vector], 0))+F$114*INDEX(EF[N2O], MATCH("V.05", EF[Vector], 0))</f>
        <v>0</v>
      </c>
      <c r="G121" s="90">
        <f>G$113*INDEX(EF[N2O], MATCH("V.04", EF[Vector], 0))+G$114*INDEX(EF[N2O], MATCH("V.05", EF[Vector], 0))</f>
        <v>0</v>
      </c>
      <c r="H121" s="90">
        <f>H$113*INDEX(EF[N2O], MATCH("V.04", EF[Vector], 0))+H$114*INDEX(EF[N2O], MATCH("V.05", EF[Vector], 0))</f>
        <v>0</v>
      </c>
      <c r="I121" s="90">
        <f>I$113*INDEX(EF[N2O], MATCH("V.04", EF[Vector], 0))+I$114*INDEX(EF[N2O], MATCH("V.05", EF[Vector], 0))</f>
        <v>0</v>
      </c>
      <c r="J121" s="90">
        <f>J$113*INDEX(EF[N2O], MATCH("V.04", EF[Vector], 0))+J$114*INDEX(EF[N2O], MATCH("V.05", EF[Vector], 0))</f>
        <v>0</v>
      </c>
      <c r="K121" s="90">
        <f>K$113*INDEX(EF[N2O], MATCH("V.04", EF[Vector], 0))+K$114*INDEX(EF[N2O], MATCH("V.05", EF[Vector], 0))</f>
        <v>0</v>
      </c>
      <c r="L121" s="90">
        <f>L$113*INDEX(EF[N2O], MATCH("V.04", EF[Vector], 0))+L$114*INDEX(EF[N2O], MATCH("V.05", EF[Vector], 0))</f>
        <v>0</v>
      </c>
      <c r="M121" s="90">
        <f>M$113*INDEX(EF[N2O], MATCH("V.04", EF[Vector], 0))+M$114*INDEX(EF[N2O], MATCH("V.05", EF[Vector], 0))</f>
        <v>0</v>
      </c>
      <c r="N121" s="90">
        <f>N$113*INDEX(EF[N2O], MATCH("V.04", EF[Vector], 0))+N$114*INDEX(EF[N2O], MATCH("V.05", EF[Vector], 0))</f>
        <v>0</v>
      </c>
      <c r="O121" s="90">
        <f>O$113*INDEX(EF[N2O], MATCH("V.04", EF[Vector], 0))+O$114*INDEX(EF[N2O], MATCH("V.05", EF[Vector], 0))</f>
        <v>0</v>
      </c>
    </row>
    <row r="122" spans="1:16">
      <c r="C122" s="175"/>
      <c r="D122" s="175"/>
      <c r="E122" s="175"/>
      <c r="F122" s="175"/>
      <c r="G122" s="175"/>
      <c r="H122" s="175"/>
      <c r="I122" s="175"/>
      <c r="J122" s="175"/>
      <c r="K122" s="175"/>
      <c r="L122" s="175"/>
      <c r="M122" s="175"/>
      <c r="N122" s="175"/>
      <c r="O122" s="175"/>
      <c r="P122" s="177"/>
    </row>
    <row r="123" spans="1:16">
      <c r="C123" s="166"/>
      <c r="D123" s="166"/>
      <c r="E123" s="166"/>
      <c r="F123" s="166"/>
      <c r="G123" s="166"/>
      <c r="H123" s="166"/>
      <c r="I123" s="166"/>
      <c r="J123" s="166"/>
      <c r="K123" s="166"/>
      <c r="L123" s="166"/>
      <c r="M123" s="166"/>
      <c r="N123" s="166"/>
      <c r="O123" s="166"/>
      <c r="P123" s="168"/>
    </row>
    <row r="124" spans="1:16">
      <c r="C124" s="178" t="s">
        <v>239</v>
      </c>
      <c r="D124" s="166"/>
      <c r="E124" s="167"/>
      <c r="F124" s="166"/>
      <c r="G124" s="167"/>
      <c r="H124" s="166"/>
      <c r="I124" s="166"/>
      <c r="J124" s="166"/>
      <c r="K124" s="166"/>
      <c r="L124" s="166"/>
      <c r="M124" s="166"/>
      <c r="N124" s="166"/>
      <c r="O124" s="167" t="str">
        <f>preferences.energyunits</f>
        <v>TWh</v>
      </c>
      <c r="P124" s="168"/>
    </row>
    <row r="125" spans="1:16" ht="22.5">
      <c r="A125" s="420"/>
      <c r="C125" s="166"/>
      <c r="D125" s="166"/>
      <c r="E125" s="166"/>
      <c r="F125" s="166"/>
      <c r="G125" s="166"/>
      <c r="H125" s="166"/>
      <c r="I125" s="166"/>
      <c r="J125" s="166"/>
      <c r="K125" s="166"/>
      <c r="L125" s="166"/>
      <c r="M125" s="166"/>
      <c r="N125" s="166"/>
      <c r="O125" s="166"/>
      <c r="P125" s="168"/>
    </row>
    <row r="126" spans="1:16">
      <c r="C126" s="180" t="s">
        <v>64</v>
      </c>
      <c r="D126" s="180" t="s">
        <v>137</v>
      </c>
      <c r="E126" s="180" t="s">
        <v>156</v>
      </c>
      <c r="F126" s="230" t="s">
        <v>203</v>
      </c>
      <c r="G126" s="566" t="s">
        <v>712</v>
      </c>
      <c r="H126" s="566" t="s">
        <v>713</v>
      </c>
      <c r="I126" s="566" t="s">
        <v>714</v>
      </c>
      <c r="J126" s="566" t="s">
        <v>715</v>
      </c>
      <c r="K126" s="566" t="s">
        <v>716</v>
      </c>
      <c r="L126" s="566" t="s">
        <v>717</v>
      </c>
      <c r="M126" s="566" t="s">
        <v>718</v>
      </c>
      <c r="N126" s="566" t="s">
        <v>719</v>
      </c>
      <c r="O126" s="566" t="s">
        <v>720</v>
      </c>
      <c r="P126" s="168"/>
    </row>
    <row r="127" spans="1:16">
      <c r="C127" s="60" t="s">
        <v>1090</v>
      </c>
      <c r="D127" s="60" t="str">
        <f>INDEX(Vectors[Description], MATCH([Vector], Vectors[Code], 0))</f>
        <v>Commercial Cooking Energy Demand</v>
      </c>
      <c r="E127" s="60"/>
      <c r="F127" s="129">
        <f t="shared" ref="F127:O127" si="36">F96+F97</f>
        <v>42.636687837081858</v>
      </c>
      <c r="G127" s="129">
        <f t="shared" si="36"/>
        <v>64.767224585824962</v>
      </c>
      <c r="H127" s="129">
        <f t="shared" si="36"/>
        <v>96.64390987736526</v>
      </c>
      <c r="I127" s="129">
        <f t="shared" si="36"/>
        <v>143.41278923679616</v>
      </c>
      <c r="J127" s="129">
        <f t="shared" si="36"/>
        <v>210.74579320156334</v>
      </c>
      <c r="K127" s="129">
        <f t="shared" si="36"/>
        <v>308.34342741085425</v>
      </c>
      <c r="L127" s="129">
        <f t="shared" si="36"/>
        <v>412.63306124605418</v>
      </c>
      <c r="M127" s="129">
        <f t="shared" si="36"/>
        <v>552.19611672285725</v>
      </c>
      <c r="N127" s="129">
        <f t="shared" si="36"/>
        <v>738.96296724992294</v>
      </c>
      <c r="O127" s="129">
        <f t="shared" si="36"/>
        <v>988.89914367303845</v>
      </c>
      <c r="P127" s="168"/>
    </row>
    <row r="128" spans="1:16">
      <c r="C128" s="60" t="s">
        <v>34</v>
      </c>
      <c r="D128" s="60" t="str">
        <f>INDEX(Vectors[Description], MATCH([Vector], Vectors[Code], 0))</f>
        <v>Electricity (delivered to end user)</v>
      </c>
      <c r="E128" s="60"/>
      <c r="F128" s="129"/>
      <c r="G128" s="129"/>
      <c r="H128" s="129"/>
      <c r="I128" s="129"/>
      <c r="J128" s="129"/>
      <c r="K128" s="129"/>
      <c r="L128" s="129"/>
      <c r="M128" s="129"/>
      <c r="N128" s="129"/>
      <c r="O128" s="129"/>
      <c r="P128" s="168"/>
    </row>
    <row r="129" spans="1:16" ht="15.75">
      <c r="A129" s="3"/>
      <c r="C129" s="60" t="s">
        <v>36</v>
      </c>
      <c r="D129" s="60" t="str">
        <f>INDEX(Vectors[Description], MATCH([Vector], Vectors[Code], 0))</f>
        <v>Solid hydrocarbons</v>
      </c>
      <c r="E129" s="60"/>
      <c r="F129" s="129"/>
      <c r="G129" s="129"/>
      <c r="H129" s="129"/>
      <c r="I129" s="129"/>
      <c r="J129" s="129"/>
      <c r="K129" s="129"/>
      <c r="L129" s="129"/>
      <c r="M129" s="129"/>
      <c r="N129" s="129"/>
      <c r="O129" s="129"/>
      <c r="P129" s="168"/>
    </row>
    <row r="130" spans="1:16" ht="15.75">
      <c r="A130" s="3"/>
      <c r="C130" s="60" t="s">
        <v>38</v>
      </c>
      <c r="D130" s="60" t="str">
        <f>INDEX(Vectors[Description], MATCH([Vector], Vectors[Code], 0))</f>
        <v>Liquid hydrocarbons</v>
      </c>
      <c r="E130" s="60"/>
      <c r="F130" s="129">
        <f>-F113</f>
        <v>-32.784320173000594</v>
      </c>
      <c r="G130" s="129">
        <f t="shared" ref="G130:O130" si="37">-G113</f>
        <v>-49.805078318337209</v>
      </c>
      <c r="H130" s="129">
        <f t="shared" si="37"/>
        <v>-73.955471763487466</v>
      </c>
      <c r="I130" s="129">
        <f t="shared" si="37"/>
        <v>-109.20969201346757</v>
      </c>
      <c r="J130" s="129">
        <f t="shared" si="37"/>
        <v>-159.70175687218008</v>
      </c>
      <c r="K130" s="129">
        <f t="shared" si="37"/>
        <v>-232.52141376533132</v>
      </c>
      <c r="L130" s="129">
        <f t="shared" si="37"/>
        <v>-309.64905641872139</v>
      </c>
      <c r="M130" s="129">
        <f t="shared" si="37"/>
        <v>-412.36003423655632</v>
      </c>
      <c r="N130" s="129">
        <f t="shared" si="37"/>
        <v>-549.14037136815</v>
      </c>
      <c r="O130" s="129">
        <f t="shared" si="37"/>
        <v>-731.29091674620997</v>
      </c>
      <c r="P130" s="168"/>
    </row>
    <row r="131" spans="1:16" ht="15.75">
      <c r="A131" s="3"/>
      <c r="C131" s="60" t="s">
        <v>39</v>
      </c>
      <c r="D131" s="60" t="str">
        <f>INDEX(Vectors[Description], MATCH([Vector], Vectors[Code], 0))</f>
        <v>Gaseous hydrocarbons</v>
      </c>
      <c r="E131" s="60"/>
      <c r="F131" s="129">
        <f>-F114</f>
        <v>-9.8523676640812639</v>
      </c>
      <c r="G131" s="129">
        <f t="shared" ref="G131:O131" si="38">-G114</f>
        <v>-14.962146267487753</v>
      </c>
      <c r="H131" s="129">
        <f t="shared" si="38"/>
        <v>-22.688438113877794</v>
      </c>
      <c r="I131" s="129">
        <f t="shared" si="38"/>
        <v>-34.203097223328584</v>
      </c>
      <c r="J131" s="129">
        <f t="shared" si="38"/>
        <v>-51.044036329383246</v>
      </c>
      <c r="K131" s="129">
        <f t="shared" si="38"/>
        <v>-75.822013645522929</v>
      </c>
      <c r="L131" s="129">
        <f t="shared" si="38"/>
        <v>-102.98400482733283</v>
      </c>
      <c r="M131" s="129">
        <f t="shared" si="38"/>
        <v>-139.83608248630094</v>
      </c>
      <c r="N131" s="129">
        <f t="shared" si="38"/>
        <v>-189.82259588177294</v>
      </c>
      <c r="O131" s="129">
        <f t="shared" si="38"/>
        <v>-257.60822692682848</v>
      </c>
      <c r="P131" s="168"/>
    </row>
    <row r="132" spans="1:16" ht="15.75">
      <c r="A132" s="3"/>
      <c r="C132" s="60" t="s">
        <v>103</v>
      </c>
      <c r="D132" s="60"/>
      <c r="E132" s="60"/>
      <c r="F132" s="2907">
        <f>SUBTOTAL(109,[2007])</f>
        <v>0</v>
      </c>
      <c r="G132" s="2907">
        <f>SUBTOTAL(109,[2012])</f>
        <v>0</v>
      </c>
      <c r="H132" s="2907">
        <f>SUBTOTAL(109,[2017])</f>
        <v>0</v>
      </c>
      <c r="I132" s="2907">
        <f>SUBTOTAL(109,[2022])</f>
        <v>0</v>
      </c>
      <c r="J132" s="2907">
        <f>SUBTOTAL(109,[2027])</f>
        <v>0</v>
      </c>
      <c r="K132" s="2907">
        <f>SUBTOTAL(109,[2032])</f>
        <v>0</v>
      </c>
      <c r="L132" s="2907">
        <f>SUBTOTAL(109,[2037])</f>
        <v>0</v>
      </c>
      <c r="M132" s="2907">
        <f>SUBTOTAL(109,[2042])</f>
        <v>0</v>
      </c>
      <c r="N132" s="2907">
        <f>SUBTOTAL(109,[2047])</f>
        <v>0</v>
      </c>
      <c r="O132" s="2907">
        <f>SUBTOTAL(109,[2052])</f>
        <v>0</v>
      </c>
      <c r="P132" s="168"/>
    </row>
    <row r="133" spans="1:16" ht="15.75">
      <c r="A133" s="3"/>
      <c r="C133" s="171"/>
      <c r="D133" s="171"/>
      <c r="E133" s="171"/>
      <c r="F133" s="171"/>
      <c r="G133" s="171"/>
      <c r="H133" s="171"/>
      <c r="I133" s="171"/>
      <c r="J133" s="171"/>
      <c r="K133" s="171"/>
      <c r="L133" s="171"/>
      <c r="M133" s="171"/>
      <c r="N133" s="171"/>
      <c r="O133" s="171"/>
      <c r="P133" s="173"/>
    </row>
    <row r="134" spans="1:16" ht="15.75">
      <c r="A134" s="3"/>
      <c r="C134" s="60"/>
      <c r="D134" s="60"/>
      <c r="E134" s="60"/>
      <c r="F134" s="60"/>
      <c r="G134" s="60"/>
      <c r="H134" s="60"/>
      <c r="I134" s="60"/>
      <c r="J134" s="60"/>
      <c r="K134" s="60"/>
      <c r="L134" s="60"/>
      <c r="M134" s="60"/>
      <c r="N134" s="60"/>
      <c r="O134" s="60"/>
      <c r="P134" s="166"/>
    </row>
    <row r="138" spans="1:16" ht="18">
      <c r="C138" s="2177" t="s">
        <v>281</v>
      </c>
      <c r="D138" s="425"/>
      <c r="E138" s="425"/>
      <c r="F138" s="425"/>
      <c r="G138" s="425"/>
      <c r="H138" s="425"/>
      <c r="I138" s="425"/>
      <c r="J138" s="425"/>
      <c r="K138" s="425"/>
      <c r="L138" s="425"/>
      <c r="M138" s="425"/>
      <c r="N138" s="425"/>
      <c r="O138" s="425"/>
    </row>
    <row r="139" spans="1:16" ht="14.25">
      <c r="C139" s="186" t="s">
        <v>1739</v>
      </c>
      <c r="D139" s="187"/>
      <c r="E139" s="188"/>
      <c r="F139" s="187"/>
      <c r="G139" s="188"/>
      <c r="H139" s="187"/>
      <c r="I139" s="187"/>
      <c r="J139" s="187"/>
      <c r="K139" s="187"/>
      <c r="L139" s="187"/>
      <c r="M139" s="187"/>
      <c r="N139" s="187"/>
      <c r="O139" s="188" t="s">
        <v>368</v>
      </c>
    </row>
    <row r="140" spans="1:16">
      <c r="C140" s="187"/>
      <c r="D140" s="187"/>
      <c r="E140" s="187"/>
      <c r="F140" s="187"/>
      <c r="G140" s="187"/>
      <c r="H140" s="187"/>
      <c r="I140" s="187"/>
      <c r="J140" s="187"/>
      <c r="K140" s="187"/>
      <c r="L140" s="187"/>
      <c r="M140" s="187"/>
      <c r="N140" s="187"/>
      <c r="O140" s="187"/>
    </row>
    <row r="141" spans="1:16">
      <c r="C141" s="1836" t="s">
        <v>365</v>
      </c>
      <c r="D141" s="1836" t="s">
        <v>337</v>
      </c>
      <c r="E141" s="1836" t="s">
        <v>156</v>
      </c>
      <c r="F141" s="1331" t="s">
        <v>203</v>
      </c>
      <c r="G141" s="1332" t="s">
        <v>712</v>
      </c>
      <c r="H141" s="1332" t="s">
        <v>713</v>
      </c>
      <c r="I141" s="1332" t="s">
        <v>714</v>
      </c>
      <c r="J141" s="1332" t="s">
        <v>715</v>
      </c>
      <c r="K141" s="1332" t="s">
        <v>716</v>
      </c>
      <c r="L141" s="1332" t="s">
        <v>717</v>
      </c>
      <c r="M141" s="1332" t="s">
        <v>718</v>
      </c>
      <c r="N141" s="1332" t="s">
        <v>719</v>
      </c>
      <c r="O141" s="1332" t="s">
        <v>720</v>
      </c>
    </row>
    <row r="142" spans="1:16">
      <c r="C142" s="1829" t="s">
        <v>350</v>
      </c>
      <c r="D142" s="1830" t="s">
        <v>359</v>
      </c>
      <c r="E142" s="189" t="str">
        <f>INDEX(IPCC[Sector_description], MATCH([IPCC Sector], IPCC[Sector_code], 0))</f>
        <v>Fuel Combustion</v>
      </c>
      <c r="F142" s="1832">
        <f>F119</f>
        <v>10.704467295035755</v>
      </c>
      <c r="G142" s="1832">
        <f t="shared" ref="G142:O142" si="39">G119</f>
        <v>16.260888821331829</v>
      </c>
      <c r="H142" s="1832">
        <f t="shared" si="39"/>
        <v>24.239503543901211</v>
      </c>
      <c r="I142" s="1832">
        <f t="shared" si="39"/>
        <v>35.933460950189563</v>
      </c>
      <c r="J142" s="1832">
        <f t="shared" si="39"/>
        <v>52.751366453469238</v>
      </c>
      <c r="K142" s="1832">
        <f t="shared" si="39"/>
        <v>77.10362924911702</v>
      </c>
      <c r="L142" s="1832">
        <f t="shared" si="39"/>
        <v>103.07922847908272</v>
      </c>
      <c r="M142" s="1832">
        <f t="shared" si="39"/>
        <v>137.80633413788036</v>
      </c>
      <c r="N142" s="1832">
        <f t="shared" si="39"/>
        <v>184.23361666422136</v>
      </c>
      <c r="O142" s="1832">
        <f t="shared" si="39"/>
        <v>246.3033097633579</v>
      </c>
    </row>
    <row r="143" spans="1:16">
      <c r="C143" s="189" t="s">
        <v>351</v>
      </c>
      <c r="D143" s="196" t="s">
        <v>359</v>
      </c>
      <c r="E143" s="189" t="str">
        <f>INDEX(IPCC[Sector_description], MATCH([IPCC Sector], IPCC[Sector_code], 0))</f>
        <v>Fuel Combustion</v>
      </c>
      <c r="F143" s="1832">
        <f t="shared" ref="F143:O143" si="40">F120</f>
        <v>0</v>
      </c>
      <c r="G143" s="1832">
        <f t="shared" si="40"/>
        <v>0</v>
      </c>
      <c r="H143" s="1832">
        <f t="shared" si="40"/>
        <v>0</v>
      </c>
      <c r="I143" s="1832">
        <f t="shared" si="40"/>
        <v>0</v>
      </c>
      <c r="J143" s="1832">
        <f t="shared" si="40"/>
        <v>0</v>
      </c>
      <c r="K143" s="1832">
        <f t="shared" si="40"/>
        <v>0</v>
      </c>
      <c r="L143" s="1832">
        <f t="shared" si="40"/>
        <v>0</v>
      </c>
      <c r="M143" s="1832">
        <f t="shared" si="40"/>
        <v>0</v>
      </c>
      <c r="N143" s="1832">
        <f t="shared" si="40"/>
        <v>0</v>
      </c>
      <c r="O143" s="1832">
        <f t="shared" si="40"/>
        <v>0</v>
      </c>
    </row>
    <row r="144" spans="1:16">
      <c r="C144" s="189" t="s">
        <v>352</v>
      </c>
      <c r="D144" s="196" t="s">
        <v>359</v>
      </c>
      <c r="E144" s="189" t="str">
        <f>INDEX(IPCC[Sector_description], MATCH([IPCC Sector], IPCC[Sector_code], 0))</f>
        <v>Fuel Combustion</v>
      </c>
      <c r="F144" s="1832">
        <f t="shared" ref="F144:O144" si="41">F121</f>
        <v>0</v>
      </c>
      <c r="G144" s="1832">
        <f t="shared" si="41"/>
        <v>0</v>
      </c>
      <c r="H144" s="1832">
        <f t="shared" si="41"/>
        <v>0</v>
      </c>
      <c r="I144" s="1832">
        <f t="shared" si="41"/>
        <v>0</v>
      </c>
      <c r="J144" s="1832">
        <f t="shared" si="41"/>
        <v>0</v>
      </c>
      <c r="K144" s="1832">
        <f t="shared" si="41"/>
        <v>0</v>
      </c>
      <c r="L144" s="1832">
        <f t="shared" si="41"/>
        <v>0</v>
      </c>
      <c r="M144" s="1832">
        <f t="shared" si="41"/>
        <v>0</v>
      </c>
      <c r="N144" s="1832">
        <f t="shared" si="41"/>
        <v>0</v>
      </c>
      <c r="O144" s="1832">
        <f t="shared" si="41"/>
        <v>0</v>
      </c>
    </row>
    <row r="145" spans="3:15">
      <c r="C145" s="1833" t="s">
        <v>103</v>
      </c>
      <c r="D145" s="1833"/>
      <c r="E145" s="1833"/>
      <c r="F145" s="1834"/>
      <c r="G145" s="1834"/>
      <c r="H145" s="1834"/>
      <c r="I145" s="1834"/>
      <c r="J145" s="1834"/>
      <c r="K145" s="1834"/>
      <c r="L145" s="1834"/>
      <c r="M145" s="1834"/>
      <c r="N145" s="1834"/>
      <c r="O145" s="1834"/>
    </row>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sheetPr>
    <tabColor theme="9"/>
    <outlinePr summaryBelow="0"/>
    <pageSetUpPr autoPageBreaks="0"/>
  </sheetPr>
  <dimension ref="A1:AG249"/>
  <sheetViews>
    <sheetView showGridLines="0" topLeftCell="C193" workbookViewId="0">
      <selection activeCell="G215" sqref="G215"/>
    </sheetView>
  </sheetViews>
  <sheetFormatPr defaultColWidth="8.85546875" defaultRowHeight="12.75"/>
  <cols>
    <col min="1" max="1" width="7.7109375" style="605" customWidth="1"/>
    <col min="2" max="2" width="5.85546875" style="605" customWidth="1"/>
    <col min="3" max="3" width="23.42578125" style="605" customWidth="1"/>
    <col min="4" max="4" width="30.7109375" style="605" customWidth="1"/>
    <col min="5" max="5" width="20.7109375" style="605" customWidth="1"/>
    <col min="6" max="15" width="17.7109375" style="605" customWidth="1"/>
    <col min="16" max="16" width="8.42578125" style="605" customWidth="1"/>
    <col min="17" max="17" width="10.85546875" style="605" customWidth="1"/>
    <col min="18" max="18" width="5.140625" style="605" bestFit="1" customWidth="1"/>
    <col min="19" max="27" width="5" style="605" bestFit="1" customWidth="1"/>
    <col min="28" max="28" width="8.7109375" style="605" bestFit="1" customWidth="1"/>
    <col min="29" max="16384" width="8.85546875" style="605"/>
  </cols>
  <sheetData>
    <row r="1" spans="1:32" ht="23.25">
      <c r="A1" s="834" t="s">
        <v>194</v>
      </c>
      <c r="B1" s="77" t="str">
        <f>INDEX(Workstreams[Workstream],MATCH($A1,Workstreams[Code]))</f>
        <v>Agriculture</v>
      </c>
      <c r="C1" s="835"/>
    </row>
    <row r="2" spans="1:32" s="51" customFormat="1" ht="19.5" customHeight="1">
      <c r="A2" s="6"/>
      <c r="B2" s="6"/>
      <c r="C2" s="6"/>
      <c r="E2" s="404"/>
    </row>
    <row r="4" spans="1:32" ht="22.5" collapsed="1">
      <c r="A4" s="420"/>
      <c r="B4" s="206" t="s">
        <v>412</v>
      </c>
      <c r="C4" s="175"/>
      <c r="D4" s="175"/>
      <c r="E4" s="175"/>
      <c r="F4" s="175"/>
      <c r="G4" s="175"/>
      <c r="H4" s="175"/>
      <c r="I4" s="175"/>
      <c r="J4" s="175"/>
      <c r="K4" s="175"/>
      <c r="L4" s="175"/>
      <c r="M4" s="175"/>
      <c r="N4" s="175"/>
      <c r="O4" s="175"/>
      <c r="P4" s="177"/>
      <c r="R4" s="423"/>
    </row>
    <row r="5" spans="1:32">
      <c r="B5" s="164"/>
      <c r="C5" s="166"/>
      <c r="D5" s="166"/>
      <c r="E5" s="166"/>
      <c r="F5" s="166"/>
      <c r="G5" s="166"/>
      <c r="H5" s="166"/>
      <c r="I5" s="166"/>
      <c r="J5" s="166"/>
      <c r="K5" s="166"/>
      <c r="L5" s="166"/>
      <c r="M5" s="166"/>
      <c r="N5" s="166"/>
      <c r="O5" s="166"/>
      <c r="P5" s="168"/>
    </row>
    <row r="6" spans="1:32" ht="5.25" customHeight="1">
      <c r="B6" s="164"/>
      <c r="C6" s="165"/>
      <c r="D6" s="166"/>
      <c r="E6" s="167"/>
      <c r="F6" s="166"/>
      <c r="G6" s="166"/>
      <c r="H6" s="166"/>
      <c r="I6" s="166"/>
      <c r="J6" s="166"/>
      <c r="K6" s="166"/>
      <c r="L6" s="166"/>
      <c r="M6" s="166"/>
      <c r="N6" s="166"/>
      <c r="O6" s="166"/>
      <c r="P6" s="168"/>
    </row>
    <row r="7" spans="1:32" ht="15.75">
      <c r="B7" s="169"/>
      <c r="C7" s="166"/>
      <c r="D7" s="118" t="s">
        <v>274</v>
      </c>
      <c r="E7" s="118" t="s">
        <v>411</v>
      </c>
      <c r="F7" s="166"/>
      <c r="G7" s="166"/>
      <c r="H7" s="166"/>
      <c r="I7" s="166"/>
      <c r="J7" s="166"/>
      <c r="K7" s="166"/>
      <c r="L7" s="166"/>
      <c r="M7" s="166"/>
      <c r="N7" s="166"/>
      <c r="O7" s="166"/>
      <c r="P7" s="168"/>
    </row>
    <row r="8" spans="1:32" ht="15.75">
      <c r="B8" s="169"/>
      <c r="C8" s="166"/>
      <c r="D8" s="1838" t="s">
        <v>831</v>
      </c>
      <c r="E8" s="1838">
        <f>XIV.scenario</f>
        <v>1</v>
      </c>
      <c r="F8" s="166"/>
      <c r="G8" s="166"/>
      <c r="H8" s="166"/>
      <c r="I8" s="166"/>
      <c r="J8" s="166"/>
      <c r="K8" s="166"/>
      <c r="L8" s="166"/>
      <c r="M8" s="166"/>
      <c r="N8" s="166"/>
      <c r="O8" s="166"/>
      <c r="P8" s="168"/>
    </row>
    <row r="9" spans="1:32" ht="15.75">
      <c r="B9" s="169"/>
      <c r="C9" s="166"/>
      <c r="D9" s="1839" t="s">
        <v>1552</v>
      </c>
      <c r="E9" s="1839">
        <f>XIV.scenario.fuelsplit</f>
        <v>1</v>
      </c>
      <c r="F9" s="166"/>
      <c r="G9" s="166"/>
      <c r="H9" s="166"/>
      <c r="I9" s="166"/>
      <c r="J9" s="166"/>
      <c r="K9" s="166"/>
      <c r="L9" s="166"/>
      <c r="M9" s="166"/>
      <c r="N9" s="166"/>
      <c r="O9" s="166"/>
      <c r="P9" s="168"/>
    </row>
    <row r="10" spans="1:32" ht="15.75">
      <c r="B10" s="169"/>
      <c r="C10" s="166"/>
      <c r="D10" s="60"/>
      <c r="E10" s="60"/>
      <c r="F10" s="166"/>
      <c r="G10" s="166"/>
      <c r="H10" s="166"/>
      <c r="I10" s="166"/>
      <c r="J10" s="166"/>
      <c r="K10" s="166"/>
      <c r="L10" s="166"/>
      <c r="M10" s="166"/>
      <c r="N10" s="166"/>
      <c r="O10" s="166"/>
      <c r="P10" s="168"/>
    </row>
    <row r="11" spans="1:32" ht="15.75">
      <c r="B11" s="169"/>
      <c r="C11" s="178" t="s">
        <v>179</v>
      </c>
      <c r="D11" s="60" t="s">
        <v>1536</v>
      </c>
      <c r="E11" s="60"/>
      <c r="F11" s="166"/>
      <c r="G11" s="166"/>
      <c r="H11" s="166"/>
      <c r="I11" s="166"/>
      <c r="J11" s="166"/>
      <c r="K11" s="166"/>
      <c r="L11" s="166"/>
      <c r="M11" s="166"/>
      <c r="N11" s="166"/>
      <c r="O11" s="166"/>
      <c r="P11" s="168"/>
    </row>
    <row r="12" spans="1:32">
      <c r="B12" s="182"/>
      <c r="C12" s="172"/>
      <c r="D12" s="172"/>
      <c r="E12" s="172"/>
      <c r="F12" s="172"/>
      <c r="G12" s="172"/>
      <c r="H12" s="172"/>
      <c r="I12" s="172"/>
      <c r="J12" s="172"/>
      <c r="K12" s="172"/>
      <c r="L12" s="172"/>
      <c r="M12" s="172"/>
      <c r="N12" s="172"/>
      <c r="O12" s="172"/>
      <c r="P12" s="173"/>
    </row>
    <row r="14" spans="1:32" s="51" customFormat="1" ht="22.5" collapsed="1">
      <c r="A14" s="162"/>
      <c r="B14" s="421" t="s">
        <v>413</v>
      </c>
      <c r="C14" s="159"/>
      <c r="D14" s="159"/>
      <c r="E14" s="159"/>
      <c r="F14" s="159"/>
      <c r="G14" s="159"/>
      <c r="H14" s="159"/>
      <c r="I14" s="159"/>
      <c r="J14" s="159"/>
      <c r="K14" s="159"/>
      <c r="L14" s="159"/>
      <c r="M14" s="159"/>
      <c r="N14" s="159"/>
      <c r="O14" s="159"/>
      <c r="P14" s="160"/>
      <c r="T14" s="605"/>
    </row>
    <row r="15" spans="1:32">
      <c r="B15" s="418"/>
      <c r="C15" s="415"/>
      <c r="D15" s="415"/>
      <c r="E15" s="415"/>
      <c r="F15" s="415"/>
      <c r="G15" s="415"/>
      <c r="H15" s="415"/>
      <c r="I15" s="415"/>
      <c r="J15" s="415"/>
      <c r="K15" s="415"/>
      <c r="L15" s="415"/>
      <c r="M15" s="415"/>
      <c r="N15" s="415"/>
      <c r="O15" s="415"/>
      <c r="P15" s="419"/>
      <c r="Q15" s="51"/>
      <c r="R15" s="51"/>
      <c r="S15" s="51"/>
      <c r="U15" s="51"/>
      <c r="V15" s="51"/>
      <c r="W15" s="51"/>
      <c r="X15" s="51"/>
      <c r="Y15" s="51"/>
      <c r="Z15" s="51"/>
      <c r="AA15" s="51"/>
      <c r="AB15" s="51"/>
      <c r="AC15" s="51"/>
      <c r="AD15" s="51"/>
      <c r="AE15" s="51"/>
      <c r="AF15" s="51"/>
    </row>
    <row r="16" spans="1:32">
      <c r="B16" s="418"/>
      <c r="C16" s="416" t="s">
        <v>1563</v>
      </c>
      <c r="D16" s="415"/>
      <c r="E16" s="1449"/>
      <c r="F16" s="415"/>
      <c r="G16" s="415"/>
      <c r="H16" s="415"/>
      <c r="I16" s="415"/>
      <c r="J16" s="415"/>
      <c r="K16" s="415"/>
      <c r="L16" s="415"/>
      <c r="M16" s="415"/>
      <c r="N16" s="415"/>
      <c r="O16" s="104"/>
      <c r="P16" s="419"/>
      <c r="Q16" s="51"/>
      <c r="R16" s="51"/>
      <c r="S16" s="51"/>
      <c r="U16" s="51"/>
      <c r="V16" s="51"/>
      <c r="W16" s="51"/>
      <c r="X16" s="51"/>
      <c r="Y16" s="51"/>
      <c r="Z16" s="51"/>
      <c r="AA16" s="51"/>
      <c r="AB16" s="51"/>
      <c r="AC16" s="51"/>
      <c r="AD16" s="51"/>
      <c r="AE16" s="51"/>
      <c r="AF16" s="51"/>
    </row>
    <row r="17" spans="2:32" ht="5.25" customHeight="1">
      <c r="B17" s="418"/>
      <c r="C17" s="415"/>
      <c r="D17" s="415"/>
      <c r="E17" s="415"/>
      <c r="F17" s="415"/>
      <c r="G17" s="415"/>
      <c r="H17" s="415"/>
      <c r="I17" s="415"/>
      <c r="J17" s="415"/>
      <c r="K17" s="415"/>
      <c r="L17" s="415"/>
      <c r="M17" s="415"/>
      <c r="N17" s="415"/>
      <c r="O17" s="415"/>
      <c r="P17" s="419"/>
      <c r="Q17" s="51"/>
      <c r="R17" s="51"/>
      <c r="S17" s="51"/>
      <c r="U17" s="51"/>
      <c r="V17" s="51"/>
      <c r="W17" s="51"/>
      <c r="X17" s="51"/>
      <c r="Y17" s="51"/>
      <c r="Z17" s="51"/>
      <c r="AA17" s="51"/>
      <c r="AB17" s="51"/>
      <c r="AC17" s="51"/>
      <c r="AD17" s="51"/>
      <c r="AE17" s="51"/>
      <c r="AF17" s="51"/>
    </row>
    <row r="18" spans="2:32">
      <c r="B18" s="418"/>
      <c r="C18" s="61" t="s">
        <v>411</v>
      </c>
      <c r="D18" s="61" t="s">
        <v>65</v>
      </c>
      <c r="E18" s="61" t="s">
        <v>1545</v>
      </c>
      <c r="F18" s="234">
        <v>2007</v>
      </c>
      <c r="G18" s="122">
        <f>F18+5</f>
        <v>2012</v>
      </c>
      <c r="H18" s="122">
        <f t="shared" ref="H18:O18" si="0">G18+5</f>
        <v>2017</v>
      </c>
      <c r="I18" s="122">
        <f t="shared" si="0"/>
        <v>2022</v>
      </c>
      <c r="J18" s="122">
        <f t="shared" si="0"/>
        <v>2027</v>
      </c>
      <c r="K18" s="122">
        <f t="shared" si="0"/>
        <v>2032</v>
      </c>
      <c r="L18" s="122">
        <f t="shared" si="0"/>
        <v>2037</v>
      </c>
      <c r="M18" s="122">
        <f t="shared" si="0"/>
        <v>2042</v>
      </c>
      <c r="N18" s="122">
        <f t="shared" si="0"/>
        <v>2047</v>
      </c>
      <c r="O18" s="122">
        <f t="shared" si="0"/>
        <v>2052</v>
      </c>
      <c r="P18" s="419"/>
      <c r="Q18" s="51"/>
      <c r="R18" s="51"/>
      <c r="S18" s="51"/>
      <c r="U18" s="51"/>
      <c r="V18" s="51"/>
      <c r="W18" s="51"/>
      <c r="X18" s="51"/>
      <c r="Y18" s="51"/>
      <c r="Z18" s="51"/>
      <c r="AA18" s="51"/>
      <c r="AB18" s="51"/>
      <c r="AC18" s="51"/>
      <c r="AD18" s="51"/>
      <c r="AE18" s="51"/>
      <c r="AF18" s="51"/>
    </row>
    <row r="19" spans="2:32" ht="15.75">
      <c r="B19" s="152"/>
      <c r="C19" s="781">
        <v>1</v>
      </c>
      <c r="D19" s="96" t="s">
        <v>1017</v>
      </c>
      <c r="E19" s="251">
        <v>0.06</v>
      </c>
      <c r="F19" s="1879">
        <f>G19*(1-E19)^5</f>
        <v>4131400.6269565793</v>
      </c>
      <c r="G19" s="1877">
        <f>$E$86*(1+$E19)</f>
        <v>5629347.3000000007</v>
      </c>
      <c r="H19" s="1877">
        <f t="shared" ref="H19:O22" si="1">MIN(G19*(1+$E19)^5,$E$106)</f>
        <v>7533336.5420535039</v>
      </c>
      <c r="I19" s="1877">
        <f t="shared" si="1"/>
        <v>10081303.64524474</v>
      </c>
      <c r="J19" s="1877">
        <f t="shared" si="1"/>
        <v>13491058.393618632</v>
      </c>
      <c r="K19" s="1877">
        <f t="shared" si="1"/>
        <v>16500000</v>
      </c>
      <c r="L19" s="1877">
        <f t="shared" si="1"/>
        <v>16500000</v>
      </c>
      <c r="M19" s="1877">
        <f t="shared" si="1"/>
        <v>16500000</v>
      </c>
      <c r="N19" s="1877">
        <f t="shared" si="1"/>
        <v>16500000</v>
      </c>
      <c r="O19" s="1877">
        <f t="shared" si="1"/>
        <v>16500000</v>
      </c>
      <c r="P19" s="419"/>
      <c r="Q19" s="51"/>
      <c r="R19" s="51"/>
      <c r="S19" s="51"/>
      <c r="U19" s="51"/>
      <c r="V19" s="51"/>
      <c r="W19" s="51"/>
      <c r="X19" s="51"/>
      <c r="Y19" s="51"/>
      <c r="Z19" s="51"/>
      <c r="AA19" s="51"/>
      <c r="AB19" s="51"/>
      <c r="AC19" s="51"/>
      <c r="AD19" s="51"/>
      <c r="AE19" s="51"/>
      <c r="AF19" s="51"/>
    </row>
    <row r="20" spans="2:32" ht="15.75">
      <c r="B20" s="152"/>
      <c r="C20" s="413">
        <v>2</v>
      </c>
      <c r="D20" s="414" t="s">
        <v>811</v>
      </c>
      <c r="E20" s="251">
        <v>0.06</v>
      </c>
      <c r="F20" s="1887">
        <f>F19</f>
        <v>4131400.6269565793</v>
      </c>
      <c r="G20" s="1886">
        <f>$E$86*(1+$E20)</f>
        <v>5629347.3000000007</v>
      </c>
      <c r="H20" s="1886">
        <f t="shared" si="1"/>
        <v>7533336.5420535039</v>
      </c>
      <c r="I20" s="1886">
        <f t="shared" si="1"/>
        <v>10081303.64524474</v>
      </c>
      <c r="J20" s="1886">
        <f t="shared" si="1"/>
        <v>13491058.393618632</v>
      </c>
      <c r="K20" s="1886">
        <f t="shared" si="1"/>
        <v>16500000</v>
      </c>
      <c r="L20" s="1886">
        <f t="shared" si="1"/>
        <v>16500000</v>
      </c>
      <c r="M20" s="1886">
        <f t="shared" si="1"/>
        <v>16500000</v>
      </c>
      <c r="N20" s="1886">
        <f t="shared" si="1"/>
        <v>16500000</v>
      </c>
      <c r="O20" s="1886">
        <f t="shared" si="1"/>
        <v>16500000</v>
      </c>
      <c r="P20" s="419"/>
      <c r="Q20" s="51"/>
      <c r="R20" s="51"/>
      <c r="S20" s="51"/>
      <c r="U20" s="51"/>
      <c r="V20" s="51"/>
      <c r="W20" s="51"/>
      <c r="X20" s="51"/>
      <c r="Y20" s="51"/>
      <c r="Z20" s="51"/>
      <c r="AA20" s="51"/>
      <c r="AB20" s="51"/>
      <c r="AC20" s="51"/>
      <c r="AD20" s="51"/>
      <c r="AE20" s="51"/>
      <c r="AF20" s="51"/>
    </row>
    <row r="21" spans="2:32" ht="15.75">
      <c r="B21" s="152"/>
      <c r="C21" s="413">
        <v>3</v>
      </c>
      <c r="D21" s="414" t="s">
        <v>1018</v>
      </c>
      <c r="E21" s="251">
        <v>0.06</v>
      </c>
      <c r="F21" s="1887">
        <f>F20</f>
        <v>4131400.6269565793</v>
      </c>
      <c r="G21" s="1886">
        <f>$E$86*(1+$E21)</f>
        <v>5629347.3000000007</v>
      </c>
      <c r="H21" s="1886">
        <f t="shared" si="1"/>
        <v>7533336.5420535039</v>
      </c>
      <c r="I21" s="1886">
        <f t="shared" si="1"/>
        <v>10081303.64524474</v>
      </c>
      <c r="J21" s="1886">
        <f t="shared" si="1"/>
        <v>13491058.393618632</v>
      </c>
      <c r="K21" s="1886">
        <f t="shared" si="1"/>
        <v>16500000</v>
      </c>
      <c r="L21" s="1886">
        <f t="shared" si="1"/>
        <v>16500000</v>
      </c>
      <c r="M21" s="1886">
        <f t="shared" si="1"/>
        <v>16500000</v>
      </c>
      <c r="N21" s="1886">
        <f t="shared" si="1"/>
        <v>16500000</v>
      </c>
      <c r="O21" s="1886">
        <f t="shared" si="1"/>
        <v>16500000</v>
      </c>
      <c r="P21" s="419"/>
      <c r="Q21" s="51"/>
      <c r="R21" s="51"/>
      <c r="S21" s="51"/>
      <c r="U21" s="51"/>
      <c r="V21" s="51"/>
      <c r="W21" s="51"/>
      <c r="X21" s="51"/>
      <c r="Y21" s="51"/>
      <c r="Z21" s="51"/>
      <c r="AA21" s="51"/>
      <c r="AB21" s="51"/>
      <c r="AC21" s="51"/>
      <c r="AD21" s="51"/>
      <c r="AE21" s="51"/>
      <c r="AF21" s="51"/>
    </row>
    <row r="22" spans="2:32" ht="15.75">
      <c r="B22" s="152"/>
      <c r="C22" s="413">
        <v>4</v>
      </c>
      <c r="D22" s="414" t="s">
        <v>1019</v>
      </c>
      <c r="E22" s="251">
        <v>0.06</v>
      </c>
      <c r="F22" s="1880">
        <f>F21</f>
        <v>4131400.6269565793</v>
      </c>
      <c r="G22" s="1886">
        <f>$E$86*(1+$E22)</f>
        <v>5629347.3000000007</v>
      </c>
      <c r="H22" s="1886">
        <f t="shared" si="1"/>
        <v>7533336.5420535039</v>
      </c>
      <c r="I22" s="1886">
        <f t="shared" si="1"/>
        <v>10081303.64524474</v>
      </c>
      <c r="J22" s="1886">
        <f t="shared" si="1"/>
        <v>13491058.393618632</v>
      </c>
      <c r="K22" s="1886">
        <f t="shared" si="1"/>
        <v>16500000</v>
      </c>
      <c r="L22" s="1886">
        <f t="shared" si="1"/>
        <v>16500000</v>
      </c>
      <c r="M22" s="1886">
        <f t="shared" si="1"/>
        <v>16500000</v>
      </c>
      <c r="N22" s="1886">
        <f t="shared" si="1"/>
        <v>16500000</v>
      </c>
      <c r="O22" s="1886">
        <f t="shared" si="1"/>
        <v>16500000</v>
      </c>
      <c r="P22" s="419"/>
      <c r="Q22" s="51"/>
      <c r="R22" s="51"/>
      <c r="S22" s="51"/>
      <c r="U22" s="51"/>
      <c r="V22" s="51"/>
      <c r="W22" s="51"/>
      <c r="X22" s="51"/>
      <c r="Y22" s="51"/>
      <c r="Z22" s="51"/>
      <c r="AA22" s="51"/>
      <c r="AB22" s="51"/>
      <c r="AC22" s="51"/>
      <c r="AD22" s="51"/>
      <c r="AE22" s="51"/>
      <c r="AF22" s="51"/>
    </row>
    <row r="23" spans="2:32" ht="15.75">
      <c r="B23" s="152"/>
      <c r="C23" s="1432"/>
      <c r="D23" s="1840" t="s">
        <v>406</v>
      </c>
      <c r="E23" s="1654"/>
      <c r="F23" s="1841">
        <f>(INDEX(F$19:F$22,ROUNDDOWN($E$8,0))*(1-MOD($E$8,1)))+(INDEX(F$19:F$22,ROUNDUP($E$8,0))*MOD($E$8,1))</f>
        <v>4131400.6269565793</v>
      </c>
      <c r="G23" s="1878">
        <f t="shared" ref="G23:O23" si="2">(INDEX(G$19:G$22,ROUNDDOWN($E$8,0))*(1-MOD($E$8,1)))+(INDEX(G$19:G$22,ROUNDUP($E$8,0))*MOD($E$8,1))</f>
        <v>5629347.3000000007</v>
      </c>
      <c r="H23" s="1878">
        <f t="shared" si="2"/>
        <v>7533336.5420535039</v>
      </c>
      <c r="I23" s="1878">
        <f t="shared" si="2"/>
        <v>10081303.64524474</v>
      </c>
      <c r="J23" s="1878">
        <f t="shared" si="2"/>
        <v>13491058.393618632</v>
      </c>
      <c r="K23" s="1878">
        <f t="shared" si="2"/>
        <v>16500000</v>
      </c>
      <c r="L23" s="1878">
        <f t="shared" si="2"/>
        <v>16500000</v>
      </c>
      <c r="M23" s="1878">
        <f t="shared" si="2"/>
        <v>16500000</v>
      </c>
      <c r="N23" s="1878">
        <f t="shared" si="2"/>
        <v>16500000</v>
      </c>
      <c r="O23" s="1878">
        <f t="shared" si="2"/>
        <v>16500000</v>
      </c>
      <c r="P23" s="419"/>
      <c r="Q23" s="51"/>
      <c r="R23" s="51"/>
      <c r="S23" s="51"/>
      <c r="U23" s="51"/>
      <c r="V23" s="51"/>
      <c r="W23" s="51"/>
      <c r="X23" s="51"/>
      <c r="Y23" s="51"/>
      <c r="Z23" s="51"/>
      <c r="AA23" s="51"/>
      <c r="AB23" s="51"/>
      <c r="AC23" s="51"/>
      <c r="AD23" s="51"/>
      <c r="AE23" s="51"/>
      <c r="AF23" s="51"/>
    </row>
    <row r="24" spans="2:32" ht="15.75">
      <c r="B24" s="152"/>
      <c r="C24" s="413"/>
      <c r="D24" s="414"/>
      <c r="E24" s="218"/>
      <c r="F24" s="677"/>
      <c r="G24" s="843"/>
      <c r="H24" s="843"/>
      <c r="I24" s="843"/>
      <c r="J24" s="843"/>
      <c r="K24" s="843"/>
      <c r="L24" s="843"/>
      <c r="M24" s="843"/>
      <c r="N24" s="843"/>
      <c r="O24" s="843"/>
      <c r="P24" s="419"/>
      <c r="Q24" s="51"/>
      <c r="R24" s="51"/>
      <c r="S24" s="51"/>
      <c r="U24" s="51"/>
      <c r="V24" s="51"/>
      <c r="W24" s="51"/>
      <c r="X24" s="51"/>
      <c r="Y24" s="51"/>
      <c r="Z24" s="51"/>
      <c r="AA24" s="51"/>
      <c r="AB24" s="51"/>
      <c r="AC24" s="51"/>
      <c r="AD24" s="51"/>
      <c r="AE24" s="51"/>
      <c r="AF24" s="51"/>
    </row>
    <row r="25" spans="2:32" ht="15.75">
      <c r="B25" s="152"/>
      <c r="C25" s="413"/>
      <c r="D25" s="417"/>
      <c r="E25" s="218"/>
      <c r="F25" s="1885"/>
      <c r="G25" s="1885"/>
      <c r="H25" s="1885"/>
      <c r="I25" s="1885"/>
      <c r="J25" s="1885"/>
      <c r="K25" s="1885"/>
      <c r="L25" s="1885"/>
      <c r="M25" s="1885"/>
      <c r="N25" s="1885"/>
      <c r="O25" s="1885"/>
      <c r="P25" s="419"/>
      <c r="Q25" s="51"/>
      <c r="R25" s="51"/>
      <c r="S25" s="51"/>
      <c r="U25" s="51"/>
      <c r="V25" s="51"/>
      <c r="W25" s="51"/>
      <c r="X25" s="51"/>
      <c r="Y25" s="51"/>
      <c r="Z25" s="51"/>
      <c r="AA25" s="51"/>
      <c r="AB25" s="51"/>
      <c r="AC25" s="51"/>
      <c r="AD25" s="51"/>
      <c r="AE25" s="51"/>
      <c r="AF25" s="51"/>
    </row>
    <row r="26" spans="2:32" s="685" customFormat="1" ht="15.75">
      <c r="B26" s="3104"/>
      <c r="C26" s="3105" t="s">
        <v>1570</v>
      </c>
      <c r="D26" s="3106"/>
      <c r="E26" s="2917"/>
      <c r="F26" s="3107"/>
      <c r="G26" s="3107"/>
      <c r="H26" s="3107"/>
      <c r="I26" s="3107"/>
      <c r="J26" s="3107"/>
      <c r="K26" s="3107"/>
      <c r="L26" s="3107"/>
      <c r="M26" s="3107"/>
      <c r="N26" s="3107"/>
      <c r="O26" s="3107"/>
      <c r="P26" s="3108"/>
      <c r="Q26" s="3060"/>
      <c r="R26" s="3060"/>
      <c r="S26" s="3060"/>
      <c r="U26" s="3060"/>
      <c r="V26" s="3060"/>
      <c r="W26" s="3060"/>
      <c r="X26" s="3060"/>
      <c r="Y26" s="3060"/>
      <c r="Z26" s="3060"/>
      <c r="AA26" s="3060"/>
      <c r="AB26" s="3060"/>
      <c r="AC26" s="3060"/>
      <c r="AD26" s="3060"/>
      <c r="AE26" s="3060"/>
      <c r="AF26" s="3060"/>
    </row>
    <row r="27" spans="2:32" s="685" customFormat="1" ht="15.75">
      <c r="B27" s="3104"/>
      <c r="C27" s="3109" t="s">
        <v>1553</v>
      </c>
      <c r="D27" s="3110" t="s">
        <v>1571</v>
      </c>
      <c r="E27" s="3111" t="s">
        <v>1573</v>
      </c>
      <c r="F27" s="3112" t="s">
        <v>1574</v>
      </c>
      <c r="G27" s="3113" t="s">
        <v>1572</v>
      </c>
      <c r="H27" s="3107"/>
      <c r="I27" s="3107"/>
      <c r="J27" s="3107"/>
      <c r="K27" s="3107"/>
      <c r="L27" s="3107"/>
      <c r="M27" s="3107"/>
      <c r="N27" s="3107"/>
      <c r="O27" s="3107"/>
      <c r="P27" s="3108"/>
      <c r="Q27" s="3060"/>
      <c r="R27" s="3060"/>
      <c r="S27" s="3060"/>
      <c r="U27" s="3060"/>
      <c r="V27" s="3060"/>
      <c r="W27" s="3060"/>
      <c r="X27" s="3060"/>
      <c r="Y27" s="3060"/>
      <c r="Z27" s="3060"/>
      <c r="AA27" s="3060"/>
      <c r="AB27" s="3060"/>
      <c r="AC27" s="3060"/>
      <c r="AD27" s="3060"/>
      <c r="AE27" s="3060"/>
      <c r="AF27" s="3060"/>
    </row>
    <row r="28" spans="2:32" s="685" customFormat="1" ht="15.75">
      <c r="B28" s="3104"/>
      <c r="C28" s="3114" t="s">
        <v>1017</v>
      </c>
      <c r="D28" s="3115">
        <v>7.2499999999999995E-2</v>
      </c>
      <c r="E28" s="3115">
        <v>5.5E-2</v>
      </c>
      <c r="F28" s="3115">
        <v>3.5000000000000003E-2</v>
      </c>
      <c r="G28" s="3116">
        <v>0.02</v>
      </c>
      <c r="H28" s="3107"/>
      <c r="I28" s="3107"/>
      <c r="J28" s="3107"/>
      <c r="K28" s="3107"/>
      <c r="L28" s="3107"/>
      <c r="M28" s="3107"/>
      <c r="N28" s="3107"/>
      <c r="O28" s="3107"/>
      <c r="P28" s="3108"/>
      <c r="Q28" s="3060"/>
      <c r="R28" s="3060"/>
      <c r="S28" s="3060"/>
      <c r="U28" s="3060"/>
      <c r="V28" s="3060"/>
      <c r="W28" s="3060"/>
      <c r="X28" s="3060"/>
      <c r="Y28" s="3060"/>
      <c r="Z28" s="3060"/>
      <c r="AA28" s="3060"/>
      <c r="AB28" s="3060"/>
      <c r="AC28" s="3060"/>
      <c r="AD28" s="3060"/>
      <c r="AE28" s="3060"/>
      <c r="AF28" s="3060"/>
    </row>
    <row r="29" spans="2:32" s="685" customFormat="1" ht="15.75">
      <c r="B29" s="3104"/>
      <c r="C29" s="3114" t="s">
        <v>811</v>
      </c>
      <c r="D29" s="3117">
        <v>7.0000000000000007E-2</v>
      </c>
      <c r="E29" s="3117">
        <v>0.05</v>
      </c>
      <c r="F29" s="3117">
        <v>2.5000000000000001E-2</v>
      </c>
      <c r="G29" s="3118">
        <v>1.4999999999999999E-2</v>
      </c>
      <c r="H29" s="3107"/>
      <c r="I29" s="3107"/>
      <c r="J29" s="3107"/>
      <c r="K29" s="3107"/>
      <c r="L29" s="3107"/>
      <c r="M29" s="3107"/>
      <c r="N29" s="3107"/>
      <c r="O29" s="3107"/>
      <c r="P29" s="3108"/>
      <c r="Q29" s="3060"/>
      <c r="R29" s="3060"/>
      <c r="S29" s="3060"/>
      <c r="U29" s="3060"/>
      <c r="V29" s="3060"/>
      <c r="W29" s="3060"/>
      <c r="X29" s="3060"/>
      <c r="Y29" s="3060"/>
      <c r="Z29" s="3060"/>
      <c r="AA29" s="3060"/>
      <c r="AB29" s="3060"/>
      <c r="AC29" s="3060"/>
      <c r="AD29" s="3060"/>
      <c r="AE29" s="3060"/>
      <c r="AF29" s="3060"/>
    </row>
    <row r="30" spans="2:32" s="685" customFormat="1" ht="15.75">
      <c r="B30" s="3104"/>
      <c r="C30" s="3114" t="s">
        <v>1018</v>
      </c>
      <c r="D30" s="3117">
        <v>6.5000000000000002E-2</v>
      </c>
      <c r="E30" s="3117">
        <v>4.4999999999999998E-2</v>
      </c>
      <c r="F30" s="3117">
        <v>2.2499999999999999E-2</v>
      </c>
      <c r="G30" s="3118">
        <v>0.01</v>
      </c>
      <c r="H30" s="3107"/>
      <c r="I30" s="3107"/>
      <c r="J30" s="3107"/>
      <c r="K30" s="3107"/>
      <c r="L30" s="3107"/>
      <c r="M30" s="3107"/>
      <c r="N30" s="3107"/>
      <c r="O30" s="3107"/>
      <c r="P30" s="3108"/>
      <c r="Q30" s="3060"/>
      <c r="R30" s="3060"/>
      <c r="S30" s="3060"/>
      <c r="U30" s="3060"/>
      <c r="V30" s="3060"/>
      <c r="W30" s="3060"/>
      <c r="X30" s="3060"/>
      <c r="Y30" s="3060"/>
      <c r="Z30" s="3060"/>
      <c r="AA30" s="3060"/>
      <c r="AB30" s="3060"/>
      <c r="AC30" s="3060"/>
      <c r="AD30" s="3060"/>
      <c r="AE30" s="3060"/>
      <c r="AF30" s="3060"/>
    </row>
    <row r="31" spans="2:32" s="685" customFormat="1" ht="15.75">
      <c r="B31" s="3104"/>
      <c r="C31" s="3114" t="s">
        <v>1019</v>
      </c>
      <c r="D31" s="3117">
        <v>0.06</v>
      </c>
      <c r="E31" s="3117">
        <v>0.04</v>
      </c>
      <c r="F31" s="3117">
        <v>0.02</v>
      </c>
      <c r="G31" s="3118">
        <v>7.4999999999999997E-3</v>
      </c>
      <c r="H31" s="3107"/>
      <c r="I31" s="3107"/>
      <c r="J31" s="3107"/>
      <c r="K31" s="3107"/>
      <c r="L31" s="3107"/>
      <c r="M31" s="3107"/>
      <c r="N31" s="3107"/>
      <c r="O31" s="3107"/>
      <c r="P31" s="3108"/>
      <c r="Q31" s="3060"/>
      <c r="R31" s="3060"/>
      <c r="S31" s="3060"/>
      <c r="U31" s="3060"/>
      <c r="V31" s="3060"/>
      <c r="W31" s="3060"/>
      <c r="X31" s="3060"/>
      <c r="Y31" s="3060"/>
      <c r="Z31" s="3060"/>
      <c r="AA31" s="3060"/>
      <c r="AB31" s="3060"/>
      <c r="AC31" s="3060"/>
      <c r="AD31" s="3060"/>
      <c r="AE31" s="3060"/>
      <c r="AF31" s="3060"/>
    </row>
    <row r="32" spans="2:32" s="685" customFormat="1" ht="15.75">
      <c r="B32" s="3104"/>
      <c r="C32" s="3119" t="s">
        <v>406</v>
      </c>
      <c r="D32" s="3120">
        <f>(INDEX(D$28:D$31,ROUNDDOWN($E$8,0))*(1-MOD($E$8,1)))+(INDEX(D$28:D$31,ROUNDUP($E$8,0))*MOD($E$8,1))</f>
        <v>7.2499999999999995E-2</v>
      </c>
      <c r="E32" s="3120">
        <f>(INDEX(E$28:E$31,ROUNDDOWN($E$8,0))*(1-MOD($E$8,1)))+(INDEX(E$28:E$31,ROUNDUP($E$8,0))*MOD($E$8,1))</f>
        <v>5.5E-2</v>
      </c>
      <c r="F32" s="3120">
        <f>(INDEX(F$28:F$31,ROUNDDOWN($E$8,0))*(1-MOD($E$8,1)))+(INDEX(F$28:F$31,ROUNDUP($E$8,0))*MOD($E$8,1))</f>
        <v>3.5000000000000003E-2</v>
      </c>
      <c r="G32" s="3121">
        <f>(INDEX(G$28:G$31,ROUNDDOWN($E$8,0))*(1-MOD($E$8,1)))+(INDEX(G$28:G$31,ROUNDUP($E$8,0))*MOD($E$8,1))</f>
        <v>0.02</v>
      </c>
      <c r="H32" s="3107"/>
      <c r="I32" s="3107"/>
      <c r="J32" s="3107"/>
      <c r="K32" s="3107"/>
      <c r="L32" s="3107"/>
      <c r="M32" s="3107"/>
      <c r="N32" s="3107"/>
      <c r="O32" s="3107"/>
      <c r="P32" s="3108"/>
      <c r="Q32" s="3060"/>
      <c r="R32" s="3060"/>
      <c r="S32" s="3060"/>
      <c r="U32" s="3060"/>
      <c r="V32" s="3060"/>
      <c r="W32" s="3060"/>
      <c r="X32" s="3060"/>
      <c r="Y32" s="3060"/>
      <c r="Z32" s="3060"/>
      <c r="AA32" s="3060"/>
      <c r="AB32" s="3060"/>
      <c r="AC32" s="3060"/>
      <c r="AD32" s="3060"/>
      <c r="AE32" s="3060"/>
      <c r="AF32" s="3060"/>
    </row>
    <row r="33" spans="2:32" s="685" customFormat="1" ht="15.75">
      <c r="B33" s="3104"/>
      <c r="C33" s="3122"/>
      <c r="D33" s="3106"/>
      <c r="E33" s="2917"/>
      <c r="F33" s="3107"/>
      <c r="G33" s="3107"/>
      <c r="H33" s="3107"/>
      <c r="I33" s="3107"/>
      <c r="J33" s="3107"/>
      <c r="K33" s="3107"/>
      <c r="L33" s="3107"/>
      <c r="M33" s="3107"/>
      <c r="N33" s="3107"/>
      <c r="O33" s="3107"/>
      <c r="P33" s="3108"/>
      <c r="Q33" s="3060"/>
      <c r="R33" s="3060"/>
      <c r="S33" s="3060"/>
      <c r="U33" s="3060"/>
      <c r="V33" s="3060"/>
      <c r="W33" s="3060"/>
      <c r="X33" s="3060"/>
      <c r="Y33" s="3060"/>
      <c r="Z33" s="3060"/>
      <c r="AA33" s="3060"/>
      <c r="AB33" s="3060"/>
      <c r="AC33" s="3060"/>
      <c r="AD33" s="3060"/>
      <c r="AE33" s="3060"/>
      <c r="AF33" s="3060"/>
    </row>
    <row r="34" spans="2:32" ht="15.75">
      <c r="B34" s="152"/>
      <c r="C34" s="413"/>
      <c r="D34" s="413"/>
      <c r="E34" s="413"/>
      <c r="F34" s="677"/>
      <c r="G34" s="677"/>
      <c r="H34" s="677"/>
      <c r="I34" s="677"/>
      <c r="J34" s="677"/>
      <c r="K34" s="677"/>
      <c r="L34" s="677"/>
      <c r="M34" s="677"/>
      <c r="N34" s="677"/>
      <c r="O34" s="677"/>
      <c r="P34" s="419"/>
      <c r="Q34" s="51"/>
      <c r="R34" s="51"/>
      <c r="S34" s="51"/>
      <c r="U34" s="51"/>
      <c r="V34" s="51"/>
      <c r="W34" s="51"/>
      <c r="X34" s="51"/>
      <c r="Y34" s="51"/>
      <c r="Z34" s="51"/>
      <c r="AA34" s="51"/>
      <c r="AB34" s="51"/>
      <c r="AC34" s="51"/>
      <c r="AD34" s="51"/>
      <c r="AE34" s="51"/>
      <c r="AF34" s="51"/>
    </row>
    <row r="35" spans="2:32" ht="15.75">
      <c r="B35" s="152"/>
      <c r="C35" s="663" t="s">
        <v>1580</v>
      </c>
      <c r="D35" s="413"/>
      <c r="E35" s="413"/>
      <c r="F35" s="677"/>
      <c r="G35" s="677"/>
      <c r="H35" s="677"/>
      <c r="I35" s="677"/>
      <c r="J35" s="677"/>
      <c r="K35" s="677"/>
      <c r="L35" s="677"/>
      <c r="M35" s="677"/>
      <c r="N35" s="677"/>
      <c r="O35" s="677"/>
      <c r="P35" s="419"/>
      <c r="Q35" s="51"/>
      <c r="R35" s="51"/>
      <c r="S35" s="51"/>
      <c r="U35" s="51"/>
      <c r="V35" s="51"/>
      <c r="W35" s="51"/>
      <c r="X35" s="51"/>
      <c r="Y35" s="51"/>
      <c r="Z35" s="51"/>
      <c r="AA35" s="51"/>
      <c r="AB35" s="51"/>
      <c r="AC35" s="51"/>
      <c r="AD35" s="51"/>
      <c r="AE35" s="51"/>
      <c r="AF35" s="51"/>
    </row>
    <row r="36" spans="2:32" ht="15.75">
      <c r="B36" s="152"/>
      <c r="C36" s="663"/>
      <c r="D36" s="413"/>
      <c r="E36" s="413"/>
      <c r="F36" s="677"/>
      <c r="G36" s="3378">
        <v>2052</v>
      </c>
      <c r="H36" s="3379"/>
      <c r="I36" s="3379"/>
      <c r="J36" s="3379"/>
      <c r="K36" s="3380"/>
      <c r="L36" s="677"/>
      <c r="M36" s="677"/>
      <c r="N36" s="677"/>
      <c r="O36" s="677"/>
      <c r="P36" s="419"/>
      <c r="Q36" s="51"/>
      <c r="R36" s="51"/>
      <c r="S36" s="51"/>
      <c r="U36" s="51"/>
      <c r="V36" s="51"/>
      <c r="W36" s="51"/>
      <c r="X36" s="51"/>
      <c r="Y36" s="51"/>
      <c r="Z36" s="51"/>
      <c r="AA36" s="51"/>
      <c r="AB36" s="51"/>
      <c r="AC36" s="51"/>
      <c r="AD36" s="51"/>
      <c r="AE36" s="51"/>
      <c r="AF36" s="51"/>
    </row>
    <row r="37" spans="2:32" s="423" customFormat="1" ht="15.75">
      <c r="B37" s="1565"/>
      <c r="C37" s="663"/>
      <c r="D37" s="1842" t="s">
        <v>227</v>
      </c>
      <c r="E37" s="1843">
        <v>2007</v>
      </c>
      <c r="F37" s="1843">
        <v>2012</v>
      </c>
      <c r="G37" s="1891" t="s">
        <v>1537</v>
      </c>
      <c r="H37" s="1843" t="s">
        <v>1538</v>
      </c>
      <c r="I37" s="1892" t="s">
        <v>1539</v>
      </c>
      <c r="J37" s="1892" t="s">
        <v>1540</v>
      </c>
      <c r="K37" s="1893" t="s">
        <v>406</v>
      </c>
      <c r="L37" s="580"/>
      <c r="M37" s="580"/>
      <c r="N37" s="580"/>
      <c r="O37" s="580"/>
      <c r="P37" s="570"/>
      <c r="Q37" s="859"/>
      <c r="R37" s="859"/>
      <c r="S37" s="859"/>
      <c r="U37" s="859"/>
      <c r="V37" s="859"/>
      <c r="W37" s="859"/>
      <c r="X37" s="859"/>
      <c r="Y37" s="859"/>
      <c r="Z37" s="859"/>
      <c r="AA37" s="859"/>
      <c r="AB37" s="859"/>
      <c r="AC37" s="859"/>
      <c r="AD37" s="859"/>
      <c r="AE37" s="859"/>
      <c r="AF37" s="859"/>
    </row>
    <row r="38" spans="2:32" ht="15.75">
      <c r="B38" s="152"/>
      <c r="C38" s="402"/>
      <c r="D38" s="413" t="s">
        <v>161</v>
      </c>
      <c r="E38" s="218">
        <v>0.19</v>
      </c>
      <c r="F38" s="218">
        <v>0.17</v>
      </c>
      <c r="G38" s="218">
        <v>0.2</v>
      </c>
      <c r="H38" s="218">
        <v>0.1</v>
      </c>
      <c r="I38" s="1895">
        <v>0.05</v>
      </c>
      <c r="J38" s="1895">
        <v>0</v>
      </c>
      <c r="K38" s="1896">
        <f>(INDEX($G38:$J38,ROUNDDOWN($E$9,0))*(1-MOD($E$9,1)))+(INDEX($G38:$J38,ROUNDUP($E$9,0))*MOD($E$9,1))</f>
        <v>0.2</v>
      </c>
      <c r="L38" s="677"/>
      <c r="M38" s="677"/>
      <c r="N38" s="677"/>
      <c r="O38" s="677"/>
      <c r="P38" s="419"/>
      <c r="Q38" s="51"/>
      <c r="R38" s="51"/>
      <c r="S38" s="51"/>
      <c r="U38" s="51"/>
      <c r="V38" s="51"/>
      <c r="W38" s="51"/>
      <c r="X38" s="51"/>
      <c r="Y38" s="51"/>
      <c r="Z38" s="51"/>
      <c r="AA38" s="51"/>
      <c r="AB38" s="51"/>
      <c r="AC38" s="51"/>
      <c r="AD38" s="51"/>
      <c r="AE38" s="51"/>
      <c r="AF38" s="51"/>
    </row>
    <row r="39" spans="2:32" ht="15.75">
      <c r="B39" s="152"/>
      <c r="C39" s="402"/>
      <c r="D39" s="413" t="s">
        <v>5</v>
      </c>
      <c r="E39" s="218">
        <v>0.81</v>
      </c>
      <c r="F39" s="218">
        <v>0.83</v>
      </c>
      <c r="G39" s="218">
        <v>0.8</v>
      </c>
      <c r="H39" s="218">
        <v>0.85</v>
      </c>
      <c r="I39" s="869">
        <v>0.8</v>
      </c>
      <c r="J39" s="869">
        <v>0.75</v>
      </c>
      <c r="K39" s="1897">
        <f>(INDEX($G39:$J39,ROUNDDOWN($E$9,0))*(1-MOD($E$9,1)))+(INDEX($G39:$J39,ROUNDUP($E$9,0))*MOD($E$9,1))</f>
        <v>0.8</v>
      </c>
      <c r="L39" s="677"/>
      <c r="M39" s="677"/>
      <c r="N39" s="677"/>
      <c r="O39" s="677"/>
      <c r="P39" s="419"/>
      <c r="Q39" s="51"/>
      <c r="R39" s="51"/>
      <c r="S39" s="51"/>
      <c r="U39" s="51"/>
      <c r="V39" s="51"/>
      <c r="W39" s="51"/>
      <c r="X39" s="51"/>
      <c r="Y39" s="51"/>
      <c r="Z39" s="51"/>
      <c r="AA39" s="51"/>
      <c r="AB39" s="51"/>
      <c r="AC39" s="51"/>
      <c r="AD39" s="51"/>
      <c r="AE39" s="51"/>
      <c r="AF39" s="51"/>
    </row>
    <row r="40" spans="2:32" ht="15.75">
      <c r="B40" s="152"/>
      <c r="C40" s="402"/>
      <c r="D40" s="111" t="s">
        <v>15</v>
      </c>
      <c r="E40" s="844">
        <f t="shared" ref="E40:J40" si="3">100%-SUM(E38:E39)</f>
        <v>0</v>
      </c>
      <c r="F40" s="844">
        <f t="shared" si="3"/>
        <v>0</v>
      </c>
      <c r="G40" s="844">
        <f t="shared" si="3"/>
        <v>0</v>
      </c>
      <c r="H40" s="844">
        <f t="shared" si="3"/>
        <v>5.0000000000000044E-2</v>
      </c>
      <c r="I40" s="844">
        <f t="shared" si="3"/>
        <v>0.14999999999999991</v>
      </c>
      <c r="J40" s="844">
        <f t="shared" si="3"/>
        <v>0.25</v>
      </c>
      <c r="K40" s="1894">
        <f>(INDEX($G40:$J40,ROUNDDOWN($E$9,0))*(1-MOD($E$9,1)))+(INDEX($G40:$J40,ROUNDUP($E$9,0))*MOD($E$9,1))</f>
        <v>0</v>
      </c>
      <c r="L40" s="677"/>
      <c r="M40" s="677"/>
      <c r="N40" s="677"/>
      <c r="O40" s="677"/>
      <c r="P40" s="419"/>
      <c r="Q40" s="51"/>
      <c r="R40" s="51"/>
      <c r="S40" s="51"/>
      <c r="U40" s="51"/>
      <c r="V40" s="51"/>
      <c r="W40" s="51"/>
      <c r="X40" s="51"/>
      <c r="Y40" s="51"/>
      <c r="Z40" s="51"/>
      <c r="AA40" s="51"/>
      <c r="AB40" s="51"/>
      <c r="AC40" s="51"/>
      <c r="AD40" s="51"/>
      <c r="AE40" s="51"/>
      <c r="AF40" s="51"/>
    </row>
    <row r="41" spans="2:32" ht="15.75">
      <c r="B41" s="152"/>
      <c r="C41" s="402"/>
      <c r="D41" s="413"/>
      <c r="E41" s="218"/>
      <c r="F41" s="218"/>
      <c r="G41" s="218"/>
      <c r="H41" s="218"/>
      <c r="I41" s="869"/>
      <c r="J41" s="677"/>
      <c r="K41" s="677"/>
      <c r="L41" s="677"/>
      <c r="M41" s="677"/>
      <c r="N41" s="677"/>
      <c r="O41" s="677"/>
      <c r="P41" s="419"/>
      <c r="Q41" s="51"/>
      <c r="R41" s="51"/>
      <c r="S41" s="51"/>
      <c r="U41" s="51"/>
      <c r="V41" s="51"/>
      <c r="W41" s="51"/>
      <c r="X41" s="51"/>
      <c r="Y41" s="51"/>
      <c r="Z41" s="51"/>
      <c r="AA41" s="51"/>
      <c r="AB41" s="51"/>
      <c r="AC41" s="51"/>
      <c r="AD41" s="51"/>
      <c r="AE41" s="51"/>
      <c r="AF41" s="51"/>
    </row>
    <row r="42" spans="2:32" ht="15.75">
      <c r="B42" s="152"/>
      <c r="C42" s="402"/>
      <c r="D42" s="413"/>
      <c r="E42" s="218"/>
      <c r="F42" s="218"/>
      <c r="G42" s="218"/>
      <c r="H42" s="218"/>
      <c r="I42" s="869"/>
      <c r="J42" s="677"/>
      <c r="K42" s="677"/>
      <c r="L42" s="677"/>
      <c r="M42" s="677"/>
      <c r="N42" s="677"/>
      <c r="O42" s="677"/>
      <c r="P42" s="419"/>
      <c r="Q42" s="51"/>
      <c r="R42" s="51"/>
      <c r="S42" s="51"/>
      <c r="U42" s="51"/>
      <c r="V42" s="51"/>
      <c r="W42" s="51"/>
      <c r="X42" s="51"/>
      <c r="Y42" s="51"/>
      <c r="Z42" s="51"/>
      <c r="AA42" s="51"/>
      <c r="AB42" s="51"/>
      <c r="AC42" s="51"/>
      <c r="AD42" s="51"/>
      <c r="AE42" s="51"/>
      <c r="AF42" s="51"/>
    </row>
    <row r="43" spans="2:32" ht="15.75">
      <c r="B43" s="152"/>
      <c r="C43" s="663" t="s">
        <v>1575</v>
      </c>
      <c r="D43" s="413"/>
      <c r="E43" s="218"/>
      <c r="F43" s="218"/>
      <c r="G43" s="218"/>
      <c r="H43" s="218"/>
      <c r="I43" s="869"/>
      <c r="J43" s="677"/>
      <c r="K43" s="677"/>
      <c r="L43" s="677"/>
      <c r="M43" s="677"/>
      <c r="N43" s="677"/>
      <c r="O43" s="678" t="str">
        <f>Preferences.PowerUnits</f>
        <v>GW</v>
      </c>
      <c r="P43" s="419"/>
      <c r="Q43" s="51"/>
      <c r="R43" s="51"/>
      <c r="S43" s="51"/>
      <c r="U43" s="51"/>
      <c r="V43" s="51"/>
      <c r="W43" s="51"/>
      <c r="X43" s="51"/>
      <c r="Y43" s="51"/>
      <c r="Z43" s="51"/>
      <c r="AA43" s="51"/>
      <c r="AB43" s="51"/>
      <c r="AC43" s="51"/>
      <c r="AD43" s="51"/>
      <c r="AE43" s="51"/>
      <c r="AF43" s="51"/>
    </row>
    <row r="44" spans="2:32" ht="15.75">
      <c r="B44" s="152"/>
      <c r="C44" s="402"/>
      <c r="D44" s="413"/>
      <c r="E44" s="218"/>
      <c r="F44" s="218"/>
      <c r="G44" s="218"/>
      <c r="H44" s="218"/>
      <c r="I44" s="869"/>
      <c r="J44" s="677"/>
      <c r="K44" s="677"/>
      <c r="L44" s="677"/>
      <c r="M44" s="677"/>
      <c r="N44" s="677"/>
      <c r="O44" s="677"/>
      <c r="P44" s="419"/>
      <c r="Q44" s="51"/>
      <c r="R44" s="51"/>
      <c r="S44" s="51"/>
      <c r="U44" s="51"/>
      <c r="V44" s="51"/>
      <c r="W44" s="51"/>
      <c r="X44" s="51"/>
      <c r="Y44" s="51"/>
      <c r="Z44" s="51"/>
      <c r="AA44" s="51"/>
      <c r="AB44" s="51"/>
      <c r="AC44" s="51"/>
      <c r="AD44" s="51"/>
      <c r="AE44" s="51"/>
      <c r="AF44" s="51"/>
    </row>
    <row r="45" spans="2:32" ht="15.75">
      <c r="B45" s="152"/>
      <c r="C45" s="924" t="s">
        <v>411</v>
      </c>
      <c r="D45" s="924" t="s">
        <v>65</v>
      </c>
      <c r="E45" s="924" t="s">
        <v>1576</v>
      </c>
      <c r="F45" s="1888">
        <v>2007</v>
      </c>
      <c r="G45" s="923">
        <f t="shared" ref="G45:O45" si="4">F45+5</f>
        <v>2012</v>
      </c>
      <c r="H45" s="923">
        <f t="shared" si="4"/>
        <v>2017</v>
      </c>
      <c r="I45" s="923">
        <f t="shared" si="4"/>
        <v>2022</v>
      </c>
      <c r="J45" s="923">
        <f t="shared" si="4"/>
        <v>2027</v>
      </c>
      <c r="K45" s="923">
        <f t="shared" si="4"/>
        <v>2032</v>
      </c>
      <c r="L45" s="923">
        <f t="shared" si="4"/>
        <v>2037</v>
      </c>
      <c r="M45" s="923">
        <f t="shared" si="4"/>
        <v>2042</v>
      </c>
      <c r="N45" s="923">
        <f t="shared" si="4"/>
        <v>2047</v>
      </c>
      <c r="O45" s="923">
        <f t="shared" si="4"/>
        <v>2052</v>
      </c>
      <c r="P45" s="419"/>
      <c r="Q45" s="51"/>
      <c r="R45" s="51"/>
      <c r="S45" s="51"/>
      <c r="U45" s="51"/>
      <c r="V45" s="51"/>
      <c r="W45" s="51"/>
      <c r="X45" s="51"/>
      <c r="Y45" s="51"/>
      <c r="Z45" s="51"/>
      <c r="AA45" s="51"/>
      <c r="AB45" s="51"/>
      <c r="AC45" s="51"/>
      <c r="AD45" s="51"/>
      <c r="AE45" s="51"/>
      <c r="AF45" s="51"/>
    </row>
    <row r="46" spans="2:32" ht="15.75">
      <c r="B46" s="152"/>
      <c r="C46" s="413">
        <v>1</v>
      </c>
      <c r="D46" s="414" t="s">
        <v>1017</v>
      </c>
      <c r="E46" s="218">
        <f>(K46/G46-1)^1/20</f>
        <v>-3.2710280373831726E-3</v>
      </c>
      <c r="F46" s="413">
        <f>G46</f>
        <v>6.4199999999999995E-6</v>
      </c>
      <c r="G46" s="413">
        <f>(6.42)*(Unit.kW)</f>
        <v>6.4199999999999995E-6</v>
      </c>
      <c r="H46" s="1889">
        <f t="shared" ref="H46:J49" si="5">G46*(1+$E46)^5</f>
        <v>6.315684672639187E-6</v>
      </c>
      <c r="I46" s="1889">
        <f t="shared" si="5"/>
        <v>6.2130643121821739E-6</v>
      </c>
      <c r="J46" s="1889">
        <f t="shared" si="5"/>
        <v>6.1121113779704808E-6</v>
      </c>
      <c r="K46" s="413">
        <f>6*(Unit.kW)</f>
        <v>6.0000000000000002E-6</v>
      </c>
      <c r="L46" s="413">
        <f>6*(Unit.kW)</f>
        <v>6.0000000000000002E-6</v>
      </c>
      <c r="M46" s="413">
        <f>6*(Unit.kW)</f>
        <v>6.0000000000000002E-6</v>
      </c>
      <c r="N46" s="413">
        <f>6*(Unit.kW)</f>
        <v>6.0000000000000002E-6</v>
      </c>
      <c r="O46" s="413">
        <f>6*(Unit.kW)</f>
        <v>6.0000000000000002E-6</v>
      </c>
      <c r="P46" s="419"/>
      <c r="Q46" s="51"/>
      <c r="R46" s="51"/>
      <c r="S46" s="51"/>
      <c r="U46" s="51"/>
      <c r="V46" s="51"/>
      <c r="W46" s="51"/>
      <c r="X46" s="51"/>
      <c r="Y46" s="51"/>
      <c r="Z46" s="51"/>
      <c r="AA46" s="51"/>
      <c r="AB46" s="51"/>
      <c r="AC46" s="51"/>
      <c r="AD46" s="51"/>
      <c r="AE46" s="51"/>
      <c r="AF46" s="51"/>
    </row>
    <row r="47" spans="2:32" ht="15.75">
      <c r="B47" s="152"/>
      <c r="C47" s="413">
        <v>2</v>
      </c>
      <c r="D47" s="414" t="s">
        <v>811</v>
      </c>
      <c r="E47" s="132">
        <f>(K47/G47-1)^1/20</f>
        <v>-9.1121495327102786E-3</v>
      </c>
      <c r="F47" s="413">
        <f>G47</f>
        <v>6.4199999999999995E-6</v>
      </c>
      <c r="G47" s="413">
        <f>(6.42)*(Unit.kW)</f>
        <v>6.4199999999999995E-6</v>
      </c>
      <c r="H47" s="1889">
        <f t="shared" si="5"/>
        <v>6.1327822550844522E-6</v>
      </c>
      <c r="I47" s="1889">
        <f t="shared" si="5"/>
        <v>5.8584140480184956E-6</v>
      </c>
      <c r="J47" s="1889">
        <f t="shared" si="5"/>
        <v>5.5963205166083031E-6</v>
      </c>
      <c r="K47" s="413">
        <f>5.25*(Unit.kW)</f>
        <v>5.2499999999999997E-6</v>
      </c>
      <c r="L47" s="413">
        <f>5.25*(Unit.kW)</f>
        <v>5.2499999999999997E-6</v>
      </c>
      <c r="M47" s="413">
        <f>5.25*(Unit.kW)</f>
        <v>5.2499999999999997E-6</v>
      </c>
      <c r="N47" s="413">
        <f>5.25*(Unit.kW)</f>
        <v>5.2499999999999997E-6</v>
      </c>
      <c r="O47" s="413">
        <f>5.25*(Unit.kW)</f>
        <v>5.2499999999999997E-6</v>
      </c>
      <c r="P47" s="419"/>
      <c r="Q47" s="51"/>
      <c r="R47" s="51"/>
      <c r="S47" s="51"/>
      <c r="U47" s="51"/>
      <c r="V47" s="51"/>
      <c r="W47" s="51"/>
      <c r="X47" s="51"/>
      <c r="Y47" s="51"/>
      <c r="Z47" s="51"/>
      <c r="AA47" s="51"/>
      <c r="AB47" s="51"/>
      <c r="AC47" s="51"/>
      <c r="AD47" s="51"/>
      <c r="AE47" s="51"/>
      <c r="AF47" s="51"/>
    </row>
    <row r="48" spans="2:32" ht="15.75">
      <c r="B48" s="152"/>
      <c r="C48" s="413">
        <v>3</v>
      </c>
      <c r="D48" s="414" t="s">
        <v>1018</v>
      </c>
      <c r="E48" s="218">
        <f>(K48/G48-1)^1/20</f>
        <v>-1.4953271028037379E-2</v>
      </c>
      <c r="F48" s="413">
        <f>G48</f>
        <v>6.4199999999999995E-6</v>
      </c>
      <c r="G48" s="413">
        <f>(6.42)*(Unit.kW)</f>
        <v>6.4199999999999995E-6</v>
      </c>
      <c r="H48" s="1889">
        <f t="shared" si="5"/>
        <v>5.9541420839922641E-6</v>
      </c>
      <c r="I48" s="1889">
        <f t="shared" si="5"/>
        <v>5.5220884667239475E-6</v>
      </c>
      <c r="J48" s="1889">
        <f t="shared" si="5"/>
        <v>5.121386188668127E-6</v>
      </c>
      <c r="K48" s="413">
        <f>4.5*(Unit.kW)</f>
        <v>4.5000000000000001E-6</v>
      </c>
      <c r="L48" s="413">
        <f>4.5*(Unit.kW)</f>
        <v>4.5000000000000001E-6</v>
      </c>
      <c r="M48" s="413">
        <f>4.5*(Unit.kW)</f>
        <v>4.5000000000000001E-6</v>
      </c>
      <c r="N48" s="413">
        <f>4.5*(Unit.kW)</f>
        <v>4.5000000000000001E-6</v>
      </c>
      <c r="O48" s="413">
        <f>4.5*(Unit.kW)</f>
        <v>4.5000000000000001E-6</v>
      </c>
      <c r="P48" s="419"/>
      <c r="Q48" s="51"/>
      <c r="R48" s="51"/>
      <c r="S48" s="51"/>
      <c r="U48" s="51"/>
      <c r="V48" s="51"/>
      <c r="W48" s="51"/>
      <c r="X48" s="51"/>
      <c r="Y48" s="51"/>
      <c r="Z48" s="51"/>
      <c r="AA48" s="51"/>
      <c r="AB48" s="51"/>
      <c r="AC48" s="51"/>
      <c r="AD48" s="51"/>
      <c r="AE48" s="51"/>
      <c r="AF48" s="51"/>
    </row>
    <row r="49" spans="2:32" ht="15.75">
      <c r="B49" s="152"/>
      <c r="C49" s="413">
        <v>4</v>
      </c>
      <c r="D49" s="414" t="s">
        <v>1019</v>
      </c>
      <c r="E49" s="132">
        <f>(K49/G49-1)^1/20</f>
        <v>-1.8847352024922114E-2</v>
      </c>
      <c r="F49" s="413">
        <f>G49</f>
        <v>6.4199999999999995E-6</v>
      </c>
      <c r="G49" s="413">
        <f>(6.42)*(Unit.kW)</f>
        <v>6.4199999999999995E-6</v>
      </c>
      <c r="H49" s="1889">
        <f t="shared" si="5"/>
        <v>5.8373795117203415E-6</v>
      </c>
      <c r="I49" s="1889">
        <f t="shared" si="5"/>
        <v>5.307632330818133E-6</v>
      </c>
      <c r="J49" s="1889">
        <f t="shared" si="5"/>
        <v>4.8259601594489487E-6</v>
      </c>
      <c r="K49" s="413">
        <f>4*(Unit.kW)</f>
        <v>3.9999999999999998E-6</v>
      </c>
      <c r="L49" s="413">
        <f>4*(Unit.kW)</f>
        <v>3.9999999999999998E-6</v>
      </c>
      <c r="M49" s="413">
        <f>4*(Unit.kW)</f>
        <v>3.9999999999999998E-6</v>
      </c>
      <c r="N49" s="413">
        <f>4*(Unit.kW)</f>
        <v>3.9999999999999998E-6</v>
      </c>
      <c r="O49" s="413">
        <f>4*(Unit.kW)</f>
        <v>3.9999999999999998E-6</v>
      </c>
      <c r="P49" s="419"/>
      <c r="Q49" s="51"/>
      <c r="R49" s="51"/>
      <c r="S49" s="51"/>
      <c r="U49" s="51"/>
      <c r="V49" s="51"/>
      <c r="W49" s="51"/>
      <c r="X49" s="51"/>
      <c r="Y49" s="51"/>
      <c r="Z49" s="51"/>
      <c r="AA49" s="51"/>
      <c r="AB49" s="51"/>
      <c r="AC49" s="51"/>
      <c r="AD49" s="51"/>
      <c r="AE49" s="51"/>
      <c r="AF49" s="51"/>
    </row>
    <row r="50" spans="2:32" ht="15.75">
      <c r="B50" s="152"/>
      <c r="C50" s="1432"/>
      <c r="D50" s="1840" t="s">
        <v>406</v>
      </c>
      <c r="E50" s="1654"/>
      <c r="F50" s="1841">
        <f>(INDEX(F$46:F$49,ROUNDDOWN($E$8,0))*(1-MOD($E$8,1)))+(INDEX(F$46:F$49,ROUNDUP($E$8,0))*MOD($E$8,1))</f>
        <v>6.4199999999999995E-6</v>
      </c>
      <c r="G50" s="1841">
        <f t="shared" ref="G50:O50" si="6">(INDEX(G$46:G$49,ROUNDDOWN($E$8,0))*(1-MOD($E$8,1)))+(INDEX(G$46:G$49,ROUNDUP($E$8,0))*MOD($E$8,1))</f>
        <v>6.4199999999999995E-6</v>
      </c>
      <c r="H50" s="1841">
        <f t="shared" si="6"/>
        <v>6.315684672639187E-6</v>
      </c>
      <c r="I50" s="1841">
        <f t="shared" si="6"/>
        <v>6.2130643121821739E-6</v>
      </c>
      <c r="J50" s="1841">
        <f t="shared" si="6"/>
        <v>6.1121113779704808E-6</v>
      </c>
      <c r="K50" s="1841">
        <f t="shared" si="6"/>
        <v>6.0000000000000002E-6</v>
      </c>
      <c r="L50" s="1841">
        <f t="shared" si="6"/>
        <v>6.0000000000000002E-6</v>
      </c>
      <c r="M50" s="1841">
        <f t="shared" si="6"/>
        <v>6.0000000000000002E-6</v>
      </c>
      <c r="N50" s="1841">
        <f t="shared" si="6"/>
        <v>6.0000000000000002E-6</v>
      </c>
      <c r="O50" s="1841">
        <f t="shared" si="6"/>
        <v>6.0000000000000002E-6</v>
      </c>
      <c r="P50" s="419"/>
      <c r="Q50" s="51"/>
      <c r="R50" s="51"/>
      <c r="S50" s="51"/>
      <c r="U50" s="51"/>
      <c r="V50" s="51"/>
      <c r="W50" s="51"/>
      <c r="X50" s="51"/>
      <c r="Y50" s="51"/>
      <c r="Z50" s="51"/>
      <c r="AA50" s="51"/>
      <c r="AB50" s="51"/>
      <c r="AC50" s="51"/>
      <c r="AD50" s="51"/>
      <c r="AE50" s="51"/>
      <c r="AF50" s="51"/>
    </row>
    <row r="51" spans="2:32" ht="15.75">
      <c r="B51" s="152"/>
      <c r="C51" s="402"/>
      <c r="D51" s="413"/>
      <c r="E51" s="218"/>
      <c r="F51" s="218"/>
      <c r="G51" s="218"/>
      <c r="H51" s="218"/>
      <c r="I51" s="869"/>
      <c r="J51" s="677"/>
      <c r="K51" s="677"/>
      <c r="L51" s="677"/>
      <c r="M51" s="677"/>
      <c r="N51" s="677"/>
      <c r="O51" s="677"/>
      <c r="P51" s="419"/>
      <c r="Q51" s="51"/>
      <c r="R51" s="51"/>
      <c r="S51" s="51"/>
      <c r="U51" s="51"/>
      <c r="V51" s="51"/>
      <c r="W51" s="51"/>
      <c r="X51" s="51"/>
      <c r="Y51" s="51"/>
      <c r="Z51" s="51"/>
      <c r="AA51" s="51"/>
      <c r="AB51" s="51"/>
      <c r="AC51" s="51"/>
      <c r="AD51" s="51"/>
      <c r="AE51" s="51"/>
      <c r="AF51" s="51"/>
    </row>
    <row r="52" spans="2:32" ht="15.75">
      <c r="B52" s="152"/>
      <c r="C52" s="663" t="s">
        <v>1577</v>
      </c>
      <c r="D52" s="413"/>
      <c r="E52" s="218"/>
      <c r="F52" s="413"/>
      <c r="G52" s="218"/>
      <c r="H52" s="218"/>
      <c r="I52" s="869"/>
      <c r="J52" s="677"/>
      <c r="K52" s="677"/>
      <c r="L52" s="677"/>
      <c r="M52" s="677"/>
      <c r="N52" s="677"/>
      <c r="O52" s="678" t="str">
        <f>preferences.energyunits</f>
        <v>TWh</v>
      </c>
      <c r="P52" s="419"/>
      <c r="Q52" s="51"/>
      <c r="R52" s="51"/>
      <c r="S52" s="51"/>
      <c r="U52" s="51"/>
      <c r="V52" s="51"/>
      <c r="W52" s="51"/>
      <c r="X52" s="51"/>
      <c r="Y52" s="51"/>
      <c r="Z52" s="51"/>
      <c r="AA52" s="51"/>
      <c r="AB52" s="51"/>
      <c r="AC52" s="51"/>
      <c r="AD52" s="51"/>
      <c r="AE52" s="51"/>
      <c r="AF52" s="51"/>
    </row>
    <row r="53" spans="2:32" ht="15.75">
      <c r="B53" s="152"/>
      <c r="C53" s="402"/>
      <c r="D53" s="413"/>
      <c r="E53" s="218"/>
      <c r="F53" s="218"/>
      <c r="G53" s="218"/>
      <c r="H53" s="218"/>
      <c r="I53" s="869"/>
      <c r="J53" s="677"/>
      <c r="K53" s="677"/>
      <c r="L53" s="677"/>
      <c r="M53" s="677"/>
      <c r="N53" s="677"/>
      <c r="O53" s="677"/>
      <c r="P53" s="419"/>
      <c r="Q53" s="51"/>
      <c r="R53" s="51"/>
      <c r="S53" s="51"/>
      <c r="U53" s="51"/>
      <c r="V53" s="51"/>
      <c r="W53" s="51"/>
      <c r="X53" s="51"/>
      <c r="Y53" s="51"/>
      <c r="Z53" s="51"/>
      <c r="AA53" s="51"/>
      <c r="AB53" s="51"/>
      <c r="AC53" s="51"/>
      <c r="AD53" s="51"/>
      <c r="AE53" s="51"/>
      <c r="AF53" s="51"/>
    </row>
    <row r="54" spans="2:32" ht="15.75">
      <c r="B54" s="152"/>
      <c r="C54" s="924" t="s">
        <v>411</v>
      </c>
      <c r="D54" s="924" t="s">
        <v>65</v>
      </c>
      <c r="E54" s="924" t="s">
        <v>1576</v>
      </c>
      <c r="F54" s="1888">
        <v>2007</v>
      </c>
      <c r="G54" s="923">
        <f t="shared" ref="G54:O54" si="7">F54+5</f>
        <v>2012</v>
      </c>
      <c r="H54" s="923">
        <f t="shared" si="7"/>
        <v>2017</v>
      </c>
      <c r="I54" s="923">
        <f t="shared" si="7"/>
        <v>2022</v>
      </c>
      <c r="J54" s="923">
        <f t="shared" si="7"/>
        <v>2027</v>
      </c>
      <c r="K54" s="923">
        <f t="shared" si="7"/>
        <v>2032</v>
      </c>
      <c r="L54" s="923">
        <f t="shared" si="7"/>
        <v>2037</v>
      </c>
      <c r="M54" s="923">
        <f t="shared" si="7"/>
        <v>2042</v>
      </c>
      <c r="N54" s="923">
        <f t="shared" si="7"/>
        <v>2047</v>
      </c>
      <c r="O54" s="923">
        <f t="shared" si="7"/>
        <v>2052</v>
      </c>
      <c r="P54" s="419"/>
      <c r="Q54" s="51"/>
      <c r="R54" s="51"/>
      <c r="S54" s="51"/>
      <c r="U54" s="51"/>
      <c r="V54" s="51"/>
      <c r="W54" s="51"/>
      <c r="X54" s="51"/>
      <c r="Y54" s="51"/>
      <c r="Z54" s="51"/>
      <c r="AA54" s="51"/>
      <c r="AB54" s="51"/>
      <c r="AC54" s="51"/>
      <c r="AD54" s="51"/>
      <c r="AE54" s="51"/>
      <c r="AF54" s="51"/>
    </row>
    <row r="55" spans="2:32" ht="15.75">
      <c r="B55" s="152"/>
      <c r="C55" s="413">
        <v>1</v>
      </c>
      <c r="D55" s="414" t="s">
        <v>1017</v>
      </c>
      <c r="E55" s="218">
        <f>(K55/G55-1)^1/20</f>
        <v>0</v>
      </c>
      <c r="F55" s="413">
        <f t="shared" ref="F55:G58" si="8">1.2*(unit.lde)</f>
        <v>1.1699999999999999E-8</v>
      </c>
      <c r="G55" s="413">
        <f t="shared" si="8"/>
        <v>1.1699999999999999E-8</v>
      </c>
      <c r="H55" s="1889">
        <f t="shared" ref="H55:J58" si="9">G55*(1+$E55)^5</f>
        <v>1.1699999999999999E-8</v>
      </c>
      <c r="I55" s="1889">
        <f t="shared" si="9"/>
        <v>1.1699999999999999E-8</v>
      </c>
      <c r="J55" s="1889">
        <f t="shared" si="9"/>
        <v>1.1699999999999999E-8</v>
      </c>
      <c r="K55" s="413">
        <f>1.2*(unit.lde)</f>
        <v>1.1699999999999999E-8</v>
      </c>
      <c r="L55" s="413">
        <f>1.2*(unit.lde)</f>
        <v>1.1699999999999999E-8</v>
      </c>
      <c r="M55" s="413">
        <f>1.2*(unit.lde)</f>
        <v>1.1699999999999999E-8</v>
      </c>
      <c r="N55" s="413">
        <f>1.2*(unit.lde)</f>
        <v>1.1699999999999999E-8</v>
      </c>
      <c r="O55" s="413">
        <f>1.2*(unit.lde)</f>
        <v>1.1699999999999999E-8</v>
      </c>
      <c r="P55" s="419"/>
      <c r="Q55" s="51"/>
      <c r="R55" s="51"/>
      <c r="S55" s="51"/>
      <c r="U55" s="51"/>
      <c r="V55" s="51"/>
      <c r="W55" s="51"/>
      <c r="X55" s="51"/>
      <c r="Y55" s="51"/>
      <c r="Z55" s="51"/>
      <c r="AA55" s="51"/>
      <c r="AB55" s="51"/>
      <c r="AC55" s="51"/>
      <c r="AD55" s="51"/>
      <c r="AE55" s="51"/>
      <c r="AF55" s="51"/>
    </row>
    <row r="56" spans="2:32" ht="15.75">
      <c r="B56" s="152"/>
      <c r="C56" s="413">
        <v>2</v>
      </c>
      <c r="D56" s="414" t="s">
        <v>811</v>
      </c>
      <c r="E56" s="132">
        <f>(K56/G56-1)^1/20</f>
        <v>-4.1666666666666631E-3</v>
      </c>
      <c r="F56" s="413">
        <f t="shared" si="8"/>
        <v>1.1699999999999999E-8</v>
      </c>
      <c r="G56" s="413">
        <f t="shared" si="8"/>
        <v>1.1699999999999999E-8</v>
      </c>
      <c r="H56" s="1889">
        <f t="shared" si="9"/>
        <v>1.1458272804076017E-8</v>
      </c>
      <c r="I56" s="1889">
        <f t="shared" si="9"/>
        <v>1.1221539799369922E-8</v>
      </c>
      <c r="J56" s="1889">
        <f t="shared" si="9"/>
        <v>1.098969780367325E-8</v>
      </c>
      <c r="K56" s="413">
        <f>1.1*(unit.lde)</f>
        <v>1.0725E-8</v>
      </c>
      <c r="L56" s="413">
        <f>1.1*(unit.lde)</f>
        <v>1.0725E-8</v>
      </c>
      <c r="M56" s="413">
        <f>1.1*(unit.lde)</f>
        <v>1.0725E-8</v>
      </c>
      <c r="N56" s="413">
        <f>1.1*(unit.lde)</f>
        <v>1.0725E-8</v>
      </c>
      <c r="O56" s="413">
        <f>1.1*(unit.lde)</f>
        <v>1.0725E-8</v>
      </c>
      <c r="P56" s="419"/>
      <c r="Q56" s="51"/>
      <c r="R56" s="51"/>
      <c r="S56" s="51"/>
      <c r="U56" s="51"/>
      <c r="V56" s="51"/>
      <c r="W56" s="51"/>
      <c r="X56" s="51"/>
      <c r="Y56" s="51"/>
      <c r="Z56" s="51"/>
      <c r="AA56" s="51"/>
      <c r="AB56" s="51"/>
      <c r="AC56" s="51"/>
      <c r="AD56" s="51"/>
      <c r="AE56" s="51"/>
      <c r="AF56" s="51"/>
    </row>
    <row r="57" spans="2:32" ht="15.75">
      <c r="B57" s="152"/>
      <c r="C57" s="413">
        <v>3</v>
      </c>
      <c r="D57" s="414" t="s">
        <v>1018</v>
      </c>
      <c r="E57" s="218">
        <f>(K57/G57-1)^1/20</f>
        <v>-1.0416666666666708E-2</v>
      </c>
      <c r="F57" s="413">
        <f t="shared" si="8"/>
        <v>1.1699999999999999E-8</v>
      </c>
      <c r="G57" s="413">
        <f t="shared" si="8"/>
        <v>1.1699999999999999E-8</v>
      </c>
      <c r="H57" s="1889">
        <f t="shared" si="9"/>
        <v>1.1103188756991311E-8</v>
      </c>
      <c r="I57" s="1889">
        <f t="shared" si="9"/>
        <v>1.0536820561827201E-8</v>
      </c>
      <c r="J57" s="1889">
        <f t="shared" si="9"/>
        <v>9.9993425296166368E-9</v>
      </c>
      <c r="K57" s="413">
        <f>0.949999999999999*(unit.lde)</f>
        <v>9.2624999999999895E-9</v>
      </c>
      <c r="L57" s="413">
        <f>0.949999999999999*(unit.lde)</f>
        <v>9.2624999999999895E-9</v>
      </c>
      <c r="M57" s="413">
        <f>0.949999999999999*(unit.lde)</f>
        <v>9.2624999999999895E-9</v>
      </c>
      <c r="N57" s="413">
        <f>0.949999999999999*(unit.lde)</f>
        <v>9.2624999999999895E-9</v>
      </c>
      <c r="O57" s="413">
        <f>0.949999999999999*(unit.lde)</f>
        <v>9.2624999999999895E-9</v>
      </c>
      <c r="P57" s="419"/>
      <c r="Q57" s="51"/>
      <c r="R57" s="51"/>
      <c r="S57" s="51"/>
      <c r="U57" s="51"/>
      <c r="V57" s="51"/>
      <c r="W57" s="51"/>
      <c r="X57" s="51"/>
      <c r="Y57" s="51"/>
      <c r="Z57" s="51"/>
      <c r="AA57" s="51"/>
      <c r="AB57" s="51"/>
      <c r="AC57" s="51"/>
      <c r="AD57" s="51"/>
      <c r="AE57" s="51"/>
      <c r="AF57" s="51"/>
    </row>
    <row r="58" spans="2:32" ht="15.75">
      <c r="B58" s="152"/>
      <c r="C58" s="413">
        <v>4</v>
      </c>
      <c r="D58" s="414" t="s">
        <v>1019</v>
      </c>
      <c r="E58" s="132">
        <f>(K58/G58-1)^1/20</f>
        <v>-1.4583333333333375E-2</v>
      </c>
      <c r="F58" s="413">
        <f t="shared" si="8"/>
        <v>1.1699999999999999E-8</v>
      </c>
      <c r="G58" s="413">
        <f t="shared" si="8"/>
        <v>1.1699999999999999E-8</v>
      </c>
      <c r="H58" s="1889">
        <f t="shared" si="9"/>
        <v>1.0871397576392452E-8</v>
      </c>
      <c r="I58" s="1889">
        <f t="shared" si="9"/>
        <v>1.0101477372990742E-8</v>
      </c>
      <c r="J58" s="1889">
        <f t="shared" si="9"/>
        <v>9.3860834727106637E-9</v>
      </c>
      <c r="K58" s="413">
        <f>0.849999999999999*(unit.lde)</f>
        <v>8.287499999999989E-9</v>
      </c>
      <c r="L58" s="413">
        <f>0.849999999999999*(unit.lde)</f>
        <v>8.287499999999989E-9</v>
      </c>
      <c r="M58" s="413">
        <f>0.849999999999999*(unit.lde)</f>
        <v>8.287499999999989E-9</v>
      </c>
      <c r="N58" s="413">
        <f>0.849999999999999*(unit.lde)</f>
        <v>8.287499999999989E-9</v>
      </c>
      <c r="O58" s="413">
        <f>0.849999999999999*(unit.lde)</f>
        <v>8.287499999999989E-9</v>
      </c>
      <c r="P58" s="419"/>
      <c r="Q58" s="51"/>
      <c r="R58" s="51"/>
      <c r="S58" s="51"/>
      <c r="U58" s="51"/>
      <c r="V58" s="51"/>
      <c r="W58" s="51"/>
      <c r="X58" s="51"/>
      <c r="Y58" s="51"/>
      <c r="Z58" s="51"/>
      <c r="AA58" s="51"/>
      <c r="AB58" s="51"/>
      <c r="AC58" s="51"/>
      <c r="AD58" s="51"/>
      <c r="AE58" s="51"/>
      <c r="AF58" s="51"/>
    </row>
    <row r="59" spans="2:32" ht="15.75">
      <c r="B59" s="152"/>
      <c r="C59" s="1432"/>
      <c r="D59" s="1840" t="s">
        <v>406</v>
      </c>
      <c r="E59" s="1654"/>
      <c r="F59" s="1841">
        <f>(INDEX(F$55:F$58,ROUNDDOWN($E$8,0))*(1-MOD($E$8,1)))+(INDEX(F$55:F$58,ROUNDUP($E$8,0))*MOD($E$8,1))</f>
        <v>1.1699999999999999E-8</v>
      </c>
      <c r="G59" s="1841">
        <f t="shared" ref="G59:O59" si="10">(INDEX(G$55:G$58,ROUNDDOWN($E$8,0))*(1-MOD($E$8,1)))+(INDEX(G$55:G$58,ROUNDUP($E$8,0))*MOD($E$8,1))</f>
        <v>1.1699999999999999E-8</v>
      </c>
      <c r="H59" s="1841">
        <f t="shared" si="10"/>
        <v>1.1699999999999999E-8</v>
      </c>
      <c r="I59" s="1841">
        <f t="shared" si="10"/>
        <v>1.1699999999999999E-8</v>
      </c>
      <c r="J59" s="1841">
        <f t="shared" si="10"/>
        <v>1.1699999999999999E-8</v>
      </c>
      <c r="K59" s="1841">
        <f t="shared" si="10"/>
        <v>1.1699999999999999E-8</v>
      </c>
      <c r="L59" s="1841">
        <f t="shared" si="10"/>
        <v>1.1699999999999999E-8</v>
      </c>
      <c r="M59" s="1841">
        <f t="shared" si="10"/>
        <v>1.1699999999999999E-8</v>
      </c>
      <c r="N59" s="1841">
        <f t="shared" si="10"/>
        <v>1.1699999999999999E-8</v>
      </c>
      <c r="O59" s="1841">
        <f t="shared" si="10"/>
        <v>1.1699999999999999E-8</v>
      </c>
      <c r="P59" s="419"/>
      <c r="Q59" s="51"/>
      <c r="R59" s="51"/>
      <c r="S59" s="51"/>
      <c r="U59" s="51"/>
      <c r="V59" s="51"/>
      <c r="W59" s="51"/>
      <c r="X59" s="51"/>
      <c r="Y59" s="51"/>
      <c r="Z59" s="51"/>
      <c r="AA59" s="51"/>
      <c r="AB59" s="51"/>
      <c r="AC59" s="51"/>
      <c r="AD59" s="51"/>
      <c r="AE59" s="51"/>
      <c r="AF59" s="51"/>
    </row>
    <row r="60" spans="2:32" ht="15.75">
      <c r="B60" s="152"/>
      <c r="C60" s="402"/>
      <c r="D60" s="413"/>
      <c r="E60" s="218"/>
      <c r="F60" s="218"/>
      <c r="G60" s="218"/>
      <c r="H60" s="218"/>
      <c r="I60" s="869"/>
      <c r="J60" s="677"/>
      <c r="K60" s="677"/>
      <c r="L60" s="677"/>
      <c r="M60" s="677"/>
      <c r="N60" s="677"/>
      <c r="O60" s="677"/>
      <c r="P60" s="419"/>
      <c r="Q60" s="51"/>
      <c r="R60" s="51"/>
      <c r="S60" s="51"/>
      <c r="U60" s="51"/>
      <c r="V60" s="51"/>
      <c r="W60" s="51"/>
      <c r="X60" s="51"/>
      <c r="Y60" s="51"/>
      <c r="Z60" s="51"/>
      <c r="AA60" s="51"/>
      <c r="AB60" s="51"/>
      <c r="AC60" s="51"/>
      <c r="AD60" s="51"/>
      <c r="AE60" s="51"/>
      <c r="AF60" s="51"/>
    </row>
    <row r="61" spans="2:32" ht="15.75">
      <c r="B61" s="152"/>
      <c r="C61" s="413"/>
      <c r="D61" s="413"/>
      <c r="E61" s="413"/>
      <c r="F61" s="677"/>
      <c r="G61" s="677"/>
      <c r="H61" s="677"/>
      <c r="I61" s="677"/>
      <c r="J61" s="677"/>
      <c r="K61" s="677"/>
      <c r="L61" s="677"/>
      <c r="M61" s="677"/>
      <c r="N61" s="677"/>
      <c r="O61" s="677"/>
      <c r="P61" s="419"/>
      <c r="Q61" s="51"/>
      <c r="R61" s="51"/>
      <c r="S61" s="51"/>
      <c r="U61" s="51"/>
      <c r="V61" s="51"/>
      <c r="W61" s="51"/>
      <c r="X61" s="51"/>
      <c r="Y61" s="51"/>
      <c r="Z61" s="51"/>
      <c r="AA61" s="51"/>
      <c r="AB61" s="51"/>
      <c r="AC61" s="51"/>
      <c r="AD61" s="51"/>
      <c r="AE61" s="51"/>
      <c r="AF61" s="51"/>
    </row>
    <row r="62" spans="2:32" ht="15.75">
      <c r="B62" s="152"/>
      <c r="C62" s="417" t="s">
        <v>1565</v>
      </c>
      <c r="D62" s="413"/>
      <c r="E62" s="413"/>
      <c r="F62" s="677"/>
      <c r="G62" s="677"/>
      <c r="H62" s="677"/>
      <c r="I62" s="677"/>
      <c r="J62" s="677"/>
      <c r="K62" s="677"/>
      <c r="L62" s="677"/>
      <c r="M62" s="677"/>
      <c r="N62" s="677"/>
      <c r="O62" s="677"/>
      <c r="P62" s="419"/>
      <c r="Q62" s="51"/>
      <c r="R62" s="51"/>
      <c r="S62" s="51"/>
      <c r="U62" s="51"/>
      <c r="V62" s="51"/>
      <c r="W62" s="51"/>
      <c r="X62" s="51"/>
      <c r="Y62" s="51"/>
      <c r="Z62" s="51"/>
      <c r="AA62" s="51"/>
      <c r="AB62" s="51"/>
      <c r="AC62" s="51"/>
      <c r="AD62" s="51"/>
      <c r="AE62" s="51"/>
      <c r="AF62" s="51"/>
    </row>
    <row r="63" spans="2:32" ht="14.25" customHeight="1">
      <c r="B63" s="155"/>
      <c r="C63" s="414"/>
      <c r="D63" s="1845"/>
      <c r="E63" s="255"/>
      <c r="F63" s="1844"/>
      <c r="G63" s="1844"/>
      <c r="H63" s="1844"/>
      <c r="I63" s="1844"/>
      <c r="J63" s="1844"/>
      <c r="K63" s="1844"/>
      <c r="L63" s="1844"/>
      <c r="M63" s="1844"/>
      <c r="N63" s="1844"/>
      <c r="O63" s="1844"/>
      <c r="P63" s="415"/>
      <c r="Q63" s="51"/>
      <c r="R63" s="51"/>
      <c r="S63" s="51"/>
      <c r="U63" s="51"/>
      <c r="V63" s="51"/>
      <c r="W63" s="51"/>
      <c r="X63" s="51"/>
      <c r="Y63" s="51"/>
      <c r="Z63" s="51"/>
      <c r="AA63" s="51"/>
      <c r="AB63" s="51"/>
      <c r="AC63" s="51"/>
      <c r="AD63" s="51"/>
      <c r="AE63" s="51"/>
      <c r="AF63" s="51"/>
    </row>
    <row r="64" spans="2:32" ht="15.75">
      <c r="B64" s="152"/>
      <c r="C64" s="1873" t="s">
        <v>1553</v>
      </c>
      <c r="D64" s="1874" t="s">
        <v>1554</v>
      </c>
      <c r="E64" s="1875" t="str">
        <f>"Fuel Consumed in "&amp;preferences.energyunits&amp;"/hour"</f>
        <v>Fuel Consumed in TWh/hour</v>
      </c>
      <c r="F64" s="617" t="s">
        <v>1566</v>
      </c>
      <c r="G64" s="227"/>
      <c r="H64" s="227"/>
      <c r="I64" s="227"/>
      <c r="J64" s="227"/>
      <c r="K64" s="227"/>
      <c r="L64" s="227"/>
      <c r="M64" s="227"/>
      <c r="N64" s="227"/>
      <c r="O64" s="227"/>
      <c r="P64" s="415"/>
      <c r="Q64" s="51"/>
      <c r="R64" s="51"/>
      <c r="S64" s="51"/>
      <c r="U64" s="51"/>
      <c r="V64" s="51"/>
      <c r="W64" s="51"/>
      <c r="X64" s="51"/>
      <c r="Y64" s="51"/>
      <c r="Z64" s="51"/>
      <c r="AA64" s="51"/>
      <c r="AB64" s="51"/>
      <c r="AC64" s="51"/>
      <c r="AD64" s="51"/>
      <c r="AE64" s="51"/>
      <c r="AF64" s="51"/>
    </row>
    <row r="65" spans="1:32" ht="15.75">
      <c r="B65" s="152"/>
      <c r="C65" s="1869" t="s">
        <v>1017</v>
      </c>
      <c r="D65" s="1872">
        <v>500</v>
      </c>
      <c r="E65" s="1844">
        <f>4.5*(unit.lde)</f>
        <v>4.3875000000000001E-8</v>
      </c>
      <c r="F65" s="1881">
        <v>2032</v>
      </c>
      <c r="G65" s="612"/>
      <c r="H65" s="612"/>
      <c r="I65" s="612"/>
      <c r="J65" s="612"/>
      <c r="K65" s="612"/>
      <c r="L65" s="612"/>
      <c r="M65" s="612"/>
      <c r="N65" s="612"/>
      <c r="O65" s="612"/>
      <c r="P65" s="415"/>
      <c r="Q65" s="51"/>
      <c r="R65" s="51"/>
      <c r="S65" s="51"/>
      <c r="U65" s="51"/>
      <c r="V65" s="51"/>
      <c r="W65" s="51"/>
      <c r="X65" s="51"/>
      <c r="Y65" s="51"/>
      <c r="Z65" s="51"/>
      <c r="AA65" s="51"/>
      <c r="AB65" s="51"/>
      <c r="AC65" s="51"/>
      <c r="AD65" s="51"/>
      <c r="AE65" s="51"/>
      <c r="AF65" s="51"/>
    </row>
    <row r="66" spans="1:32" ht="15.75">
      <c r="B66" s="152"/>
      <c r="C66" s="1870" t="s">
        <v>811</v>
      </c>
      <c r="D66" s="751">
        <v>500</v>
      </c>
      <c r="E66" s="1844">
        <f>4*(unit.lde)</f>
        <v>3.8999999999999998E-8</v>
      </c>
      <c r="F66" s="1881">
        <v>2037</v>
      </c>
      <c r="G66" s="612"/>
      <c r="H66" s="612"/>
      <c r="I66" s="612"/>
      <c r="J66" s="612"/>
      <c r="K66" s="612"/>
      <c r="L66" s="612"/>
      <c r="M66" s="612"/>
      <c r="N66" s="612"/>
      <c r="O66" s="612"/>
      <c r="P66" s="415"/>
      <c r="Q66" s="51"/>
      <c r="R66" s="51"/>
      <c r="S66" s="51"/>
      <c r="U66" s="51"/>
      <c r="V66" s="51"/>
      <c r="W66" s="51"/>
      <c r="X66" s="51"/>
      <c r="Y66" s="51"/>
      <c r="Z66" s="51"/>
      <c r="AA66" s="51"/>
      <c r="AB66" s="51"/>
      <c r="AC66" s="51"/>
      <c r="AD66" s="51"/>
      <c r="AE66" s="51"/>
      <c r="AF66" s="51"/>
    </row>
    <row r="67" spans="1:32" ht="15.75">
      <c r="B67" s="152"/>
      <c r="C67" s="1870" t="s">
        <v>1018</v>
      </c>
      <c r="D67" s="751">
        <v>500</v>
      </c>
      <c r="E67" s="1844">
        <f>3.5*(unit.lde)</f>
        <v>3.4124999999999996E-8</v>
      </c>
      <c r="F67" s="1881">
        <v>2037</v>
      </c>
      <c r="G67" s="612"/>
      <c r="H67" s="612"/>
      <c r="I67" s="612"/>
      <c r="J67" s="612"/>
      <c r="K67" s="612"/>
      <c r="L67" s="612"/>
      <c r="M67" s="612"/>
      <c r="N67" s="612"/>
      <c r="O67" s="612"/>
      <c r="P67" s="415"/>
      <c r="Q67" s="51"/>
      <c r="R67" s="51"/>
      <c r="S67" s="51"/>
      <c r="U67" s="51"/>
      <c r="V67" s="51"/>
      <c r="W67" s="51"/>
      <c r="X67" s="51"/>
      <c r="Y67" s="51"/>
      <c r="Z67" s="51"/>
      <c r="AA67" s="51"/>
      <c r="AB67" s="51"/>
      <c r="AC67" s="51"/>
      <c r="AD67" s="51"/>
      <c r="AE67" s="51"/>
      <c r="AF67" s="51"/>
    </row>
    <row r="68" spans="1:32" ht="15.75">
      <c r="B68" s="152"/>
      <c r="C68" s="1870" t="s">
        <v>1019</v>
      </c>
      <c r="D68" s="751">
        <v>500</v>
      </c>
      <c r="E68" s="1844">
        <f>3*(unit.lde)</f>
        <v>2.9250000000000001E-8</v>
      </c>
      <c r="F68" s="1881">
        <v>2037</v>
      </c>
      <c r="G68" s="1846"/>
      <c r="H68" s="1846"/>
      <c r="I68" s="1846"/>
      <c r="J68" s="1846"/>
      <c r="K68" s="1846"/>
      <c r="L68" s="1846"/>
      <c r="M68" s="1846"/>
      <c r="N68" s="1846"/>
      <c r="O68" s="1846"/>
      <c r="P68" s="415"/>
      <c r="Q68" s="51"/>
      <c r="R68" s="51"/>
      <c r="S68" s="51"/>
      <c r="U68" s="51"/>
      <c r="V68" s="51"/>
      <c r="W68" s="51"/>
      <c r="X68" s="51"/>
      <c r="Y68" s="51"/>
      <c r="Z68" s="51"/>
      <c r="AA68" s="51"/>
      <c r="AB68" s="51"/>
      <c r="AC68" s="51"/>
      <c r="AD68" s="51"/>
      <c r="AE68" s="51"/>
      <c r="AF68" s="51"/>
    </row>
    <row r="69" spans="1:32">
      <c r="B69" s="155"/>
      <c r="C69" s="1871" t="s">
        <v>406</v>
      </c>
      <c r="D69" s="1842">
        <f>(INDEX(D$65:D$68,ROUNDDOWN($E$8,0))*(1-MOD($E$8,1)))+(INDEX(D$65:D$68,ROUNDUP($E$8,0))*MOD($E$8,1))</f>
        <v>500</v>
      </c>
      <c r="E69" s="1868">
        <f>(INDEX(E$65:E$68,ROUNDDOWN($E$8,0))*(1-MOD($E$8,1)))+(INDEX(E$65:E$68,ROUNDUP($E$8,0))*MOD($E$8,1))</f>
        <v>4.3875000000000001E-8</v>
      </c>
      <c r="F69" s="1882">
        <f>(INDEX(F$65:F$68,ROUNDDOWN($E$8,0))*(1-MOD($E$8,1)))+(INDEX(F$65:F$68,ROUNDUP($E$8,0))*MOD($E$8,1))</f>
        <v>2032</v>
      </c>
      <c r="G69" s="415"/>
      <c r="H69" s="415"/>
      <c r="I69" s="415"/>
      <c r="J69" s="415"/>
      <c r="K69" s="415"/>
      <c r="L69" s="415"/>
      <c r="M69" s="415"/>
      <c r="N69" s="415"/>
      <c r="O69" s="415"/>
      <c r="P69" s="415"/>
      <c r="Q69" s="51"/>
      <c r="R69" s="51"/>
      <c r="S69" s="51"/>
      <c r="U69" s="51"/>
      <c r="V69" s="51"/>
      <c r="W69" s="51"/>
      <c r="X69" s="51"/>
      <c r="Y69" s="51"/>
      <c r="Z69" s="51"/>
      <c r="AA69" s="51"/>
      <c r="AB69" s="51"/>
      <c r="AC69" s="51"/>
      <c r="AD69" s="51"/>
      <c r="AE69" s="51"/>
      <c r="AF69" s="51"/>
    </row>
    <row r="70" spans="1:32">
      <c r="B70" s="155"/>
      <c r="C70" s="416"/>
      <c r="D70" s="1847"/>
      <c r="E70" s="415"/>
      <c r="F70" s="415"/>
      <c r="G70" s="415"/>
      <c r="H70" s="415"/>
      <c r="I70" s="415"/>
      <c r="J70" s="415"/>
      <c r="K70" s="415"/>
      <c r="L70" s="415"/>
      <c r="M70" s="415"/>
      <c r="N70" s="415"/>
      <c r="O70" s="104"/>
      <c r="P70" s="415"/>
      <c r="Q70" s="51"/>
      <c r="R70" s="51"/>
      <c r="S70" s="51"/>
      <c r="U70" s="51"/>
      <c r="V70" s="51"/>
      <c r="W70" s="51"/>
      <c r="X70" s="51"/>
      <c r="Y70" s="51"/>
      <c r="Z70" s="51"/>
      <c r="AA70" s="51"/>
      <c r="AB70" s="51"/>
      <c r="AC70" s="51"/>
      <c r="AD70" s="51"/>
      <c r="AE70" s="51"/>
      <c r="AF70" s="51"/>
    </row>
    <row r="71" spans="1:32" ht="5.25" customHeight="1">
      <c r="B71" s="155"/>
      <c r="C71" s="415"/>
      <c r="D71" s="1847"/>
      <c r="E71" s="415"/>
      <c r="F71" s="415"/>
      <c r="G71" s="415"/>
      <c r="H71" s="415"/>
      <c r="I71" s="415"/>
      <c r="J71" s="415"/>
      <c r="K71" s="415"/>
      <c r="L71" s="415"/>
      <c r="M71" s="415"/>
      <c r="N71" s="415"/>
      <c r="O71" s="415"/>
      <c r="P71" s="415"/>
      <c r="Q71" s="51"/>
      <c r="R71" s="51"/>
      <c r="S71" s="51"/>
      <c r="U71" s="51"/>
      <c r="V71" s="51"/>
      <c r="W71" s="51"/>
      <c r="X71" s="51"/>
      <c r="Y71" s="51"/>
      <c r="Z71" s="51"/>
      <c r="AA71" s="51"/>
      <c r="AB71" s="51"/>
      <c r="AC71" s="51"/>
      <c r="AD71" s="51"/>
      <c r="AE71" s="51"/>
      <c r="AF71" s="51"/>
    </row>
    <row r="72" spans="1:32" ht="15.75">
      <c r="B72" s="152"/>
      <c r="C72" s="412"/>
      <c r="D72" s="412"/>
      <c r="E72" s="412"/>
      <c r="F72" s="779"/>
      <c r="G72" s="227"/>
      <c r="H72" s="227"/>
      <c r="I72" s="227"/>
      <c r="J72" s="227"/>
      <c r="K72" s="227"/>
      <c r="L72" s="227"/>
      <c r="M72" s="227"/>
      <c r="N72" s="227"/>
      <c r="O72" s="227"/>
      <c r="P72" s="415"/>
      <c r="Q72" s="51"/>
      <c r="R72" s="51"/>
      <c r="S72" s="51"/>
      <c r="U72" s="51"/>
      <c r="V72" s="51"/>
      <c r="W72" s="51"/>
      <c r="X72" s="51"/>
      <c r="Y72" s="51"/>
      <c r="Z72" s="51"/>
      <c r="AA72" s="51"/>
      <c r="AB72" s="51"/>
      <c r="AC72" s="51"/>
      <c r="AD72" s="51"/>
      <c r="AE72" s="51"/>
      <c r="AF72" s="51"/>
    </row>
    <row r="73" spans="1:32" ht="15.75">
      <c r="B73" s="152"/>
      <c r="C73" s="413"/>
      <c r="D73" s="414"/>
      <c r="E73" s="1409"/>
      <c r="F73" s="222"/>
      <c r="G73" s="222"/>
      <c r="H73" s="222"/>
      <c r="I73" s="222"/>
      <c r="J73" s="222"/>
      <c r="K73" s="222"/>
      <c r="L73" s="222"/>
      <c r="M73" s="222"/>
      <c r="N73" s="222"/>
      <c r="O73" s="222"/>
      <c r="P73" s="415"/>
      <c r="Q73" s="51"/>
      <c r="R73" s="51"/>
      <c r="S73" s="51"/>
      <c r="U73" s="51"/>
      <c r="V73" s="51"/>
      <c r="W73" s="51"/>
      <c r="X73" s="51"/>
      <c r="Y73" s="51"/>
      <c r="Z73" s="51"/>
      <c r="AA73" s="51"/>
      <c r="AB73" s="51"/>
      <c r="AC73" s="51"/>
      <c r="AD73" s="51"/>
      <c r="AE73" s="51"/>
      <c r="AF73" s="51"/>
    </row>
    <row r="74" spans="1:32" ht="15.75">
      <c r="B74" s="152"/>
      <c r="C74" s="413"/>
      <c r="D74" s="414"/>
      <c r="E74" s="414"/>
      <c r="F74" s="222"/>
      <c r="G74" s="222"/>
      <c r="H74" s="222"/>
      <c r="I74" s="222"/>
      <c r="J74" s="222"/>
      <c r="K74" s="222"/>
      <c r="L74" s="222"/>
      <c r="M74" s="222"/>
      <c r="N74" s="222"/>
      <c r="O74" s="222"/>
      <c r="P74" s="415"/>
      <c r="Q74" s="51"/>
      <c r="R74" s="51"/>
      <c r="S74" s="51"/>
      <c r="U74" s="51"/>
      <c r="V74" s="51"/>
      <c r="W74" s="51"/>
      <c r="X74" s="51"/>
      <c r="Y74" s="51"/>
      <c r="Z74" s="51"/>
      <c r="AA74" s="51"/>
      <c r="AB74" s="51"/>
      <c r="AC74" s="51"/>
      <c r="AD74" s="51"/>
      <c r="AE74" s="51"/>
      <c r="AF74" s="51"/>
    </row>
    <row r="75" spans="1:32" ht="15.75">
      <c r="B75" s="152"/>
      <c r="C75" s="413"/>
      <c r="D75" s="414"/>
      <c r="E75" s="414"/>
      <c r="F75" s="222"/>
      <c r="G75" s="222"/>
      <c r="H75" s="222"/>
      <c r="I75" s="222"/>
      <c r="J75" s="222"/>
      <c r="K75" s="222"/>
      <c r="L75" s="222"/>
      <c r="M75" s="222"/>
      <c r="N75" s="222"/>
      <c r="O75" s="222"/>
      <c r="P75" s="415"/>
      <c r="Q75" s="51"/>
      <c r="R75" s="51"/>
      <c r="S75" s="51"/>
      <c r="U75" s="51"/>
      <c r="V75" s="51"/>
      <c r="W75" s="51"/>
      <c r="X75" s="51"/>
      <c r="Y75" s="51"/>
      <c r="Z75" s="51"/>
      <c r="AA75" s="51"/>
      <c r="AB75" s="51"/>
      <c r="AC75" s="51"/>
      <c r="AD75" s="51"/>
      <c r="AE75" s="51"/>
      <c r="AF75" s="51"/>
    </row>
    <row r="76" spans="1:32" ht="15.75">
      <c r="B76" s="152"/>
      <c r="C76" s="413"/>
      <c r="D76" s="414"/>
      <c r="E76" s="414"/>
      <c r="F76" s="222"/>
      <c r="G76" s="695"/>
      <c r="H76" s="695"/>
      <c r="I76" s="695"/>
      <c r="J76" s="695"/>
      <c r="K76" s="695"/>
      <c r="L76" s="695"/>
      <c r="M76" s="695"/>
      <c r="N76" s="695"/>
      <c r="O76" s="695"/>
      <c r="P76" s="415"/>
      <c r="Q76" s="51"/>
      <c r="R76" s="51"/>
      <c r="S76" s="51"/>
      <c r="U76" s="51"/>
      <c r="V76" s="51"/>
      <c r="W76" s="51"/>
      <c r="X76" s="51"/>
      <c r="Y76" s="51"/>
      <c r="Z76" s="51"/>
      <c r="AA76" s="51"/>
      <c r="AB76" s="51"/>
      <c r="AC76" s="51"/>
      <c r="AD76" s="51"/>
      <c r="AE76" s="51"/>
      <c r="AF76" s="51"/>
    </row>
    <row r="77" spans="1:32">
      <c r="B77" s="155"/>
      <c r="C77" s="415"/>
      <c r="D77" s="1847"/>
      <c r="E77" s="415"/>
      <c r="F77" s="415"/>
      <c r="G77" s="415"/>
      <c r="H77" s="415"/>
      <c r="I77" s="415"/>
      <c r="J77" s="415"/>
      <c r="K77" s="415"/>
      <c r="L77" s="415"/>
      <c r="M77" s="415"/>
      <c r="N77" s="415"/>
      <c r="O77" s="415"/>
      <c r="P77" s="415"/>
      <c r="Q77" s="51"/>
      <c r="R77" s="51"/>
      <c r="S77" s="51"/>
      <c r="U77" s="51"/>
      <c r="V77" s="51"/>
      <c r="W77" s="51"/>
      <c r="X77" s="51"/>
      <c r="Y77" s="51"/>
      <c r="Z77" s="51"/>
      <c r="AA77" s="51"/>
      <c r="AB77" s="51"/>
      <c r="AC77" s="51"/>
      <c r="AD77" s="51"/>
      <c r="AE77" s="51"/>
      <c r="AF77" s="51"/>
    </row>
    <row r="78" spans="1:32">
      <c r="Q78" s="51"/>
      <c r="R78" s="51"/>
      <c r="S78" s="51"/>
      <c r="U78" s="51"/>
      <c r="V78" s="51"/>
      <c r="W78" s="51"/>
      <c r="X78" s="51"/>
      <c r="Y78" s="51"/>
      <c r="Z78" s="51"/>
      <c r="AA78" s="51"/>
      <c r="AB78" s="51"/>
      <c r="AC78" s="51"/>
      <c r="AD78" s="51"/>
      <c r="AE78" s="51"/>
      <c r="AF78" s="51"/>
    </row>
    <row r="79" spans="1:32" s="51" customFormat="1" ht="22.5" collapsed="1">
      <c r="A79" s="162"/>
      <c r="B79" s="1848" t="s">
        <v>265</v>
      </c>
      <c r="C79" s="1849"/>
      <c r="D79" s="1849"/>
      <c r="E79" s="1849"/>
      <c r="F79" s="1849"/>
      <c r="G79" s="1849"/>
      <c r="H79" s="1849"/>
      <c r="I79" s="1849"/>
      <c r="J79" s="1849"/>
      <c r="K79" s="1849"/>
      <c r="L79" s="1849"/>
      <c r="M79" s="1849"/>
      <c r="N79" s="1849"/>
      <c r="O79" s="1849"/>
      <c r="P79" s="1850"/>
      <c r="T79" s="605"/>
    </row>
    <row r="80" spans="1:32">
      <c r="B80" s="415"/>
      <c r="C80" s="415"/>
      <c r="D80" s="415"/>
      <c r="E80" s="415"/>
      <c r="F80" s="415"/>
      <c r="G80" s="415"/>
      <c r="H80" s="415"/>
      <c r="I80" s="415"/>
      <c r="J80" s="415"/>
      <c r="K80" s="415"/>
      <c r="L80" s="415"/>
      <c r="M80" s="415"/>
      <c r="N80" s="415"/>
      <c r="O80" s="415"/>
      <c r="P80" s="415"/>
      <c r="Q80" s="539"/>
    </row>
    <row r="81" spans="2:17" ht="14.25">
      <c r="B81" s="416">
        <v>1</v>
      </c>
      <c r="C81" s="920" t="s">
        <v>1558</v>
      </c>
      <c r="D81" s="415"/>
      <c r="E81" s="1449"/>
      <c r="F81" s="104"/>
      <c r="G81" s="415"/>
      <c r="H81" s="415"/>
      <c r="I81" s="415"/>
      <c r="J81" s="415"/>
      <c r="K81" s="415"/>
      <c r="L81" s="415"/>
      <c r="M81" s="415"/>
      <c r="N81" s="415"/>
      <c r="O81" s="415"/>
      <c r="P81" s="415"/>
      <c r="Q81" s="539"/>
    </row>
    <row r="82" spans="2:17" ht="13.5" customHeight="1">
      <c r="B82" s="415"/>
      <c r="C82" s="415"/>
      <c r="D82" s="415"/>
      <c r="E82" s="415"/>
      <c r="F82" s="415"/>
      <c r="G82" s="415"/>
      <c r="H82" s="415"/>
      <c r="I82" s="415"/>
      <c r="J82" s="415"/>
      <c r="K82" s="415"/>
      <c r="L82" s="415"/>
      <c r="M82" s="415"/>
      <c r="N82" s="415"/>
      <c r="O82" s="415"/>
      <c r="P82" s="415"/>
      <c r="Q82" s="539"/>
    </row>
    <row r="83" spans="2:17" ht="15.75">
      <c r="B83" s="316" t="s">
        <v>1559</v>
      </c>
      <c r="C83" s="412" t="s">
        <v>1541</v>
      </c>
      <c r="D83" s="412"/>
      <c r="E83" s="412"/>
      <c r="F83" s="779"/>
      <c r="G83" s="415"/>
      <c r="H83" s="415"/>
      <c r="I83" s="415"/>
      <c r="J83" s="415"/>
      <c r="K83" s="415"/>
      <c r="L83" s="415"/>
      <c r="M83" s="415"/>
      <c r="N83" s="415"/>
      <c r="O83" s="415"/>
      <c r="P83" s="415"/>
      <c r="Q83" s="539"/>
    </row>
    <row r="84" spans="2:17" ht="5.25" customHeight="1">
      <c r="B84" s="316"/>
      <c r="C84" s="412"/>
      <c r="D84" s="412"/>
      <c r="E84" s="412"/>
      <c r="F84" s="779"/>
      <c r="G84" s="415"/>
      <c r="H84" s="415"/>
      <c r="I84" s="415"/>
      <c r="J84" s="415"/>
      <c r="K84" s="415"/>
      <c r="L84" s="415"/>
      <c r="M84" s="415"/>
      <c r="N84" s="415"/>
      <c r="O84" s="415"/>
      <c r="P84" s="415"/>
      <c r="Q84" s="539"/>
    </row>
    <row r="85" spans="2:17" ht="15.75">
      <c r="B85" s="316"/>
      <c r="C85" s="1842" t="s">
        <v>225</v>
      </c>
      <c r="D85" s="1840" t="s">
        <v>204</v>
      </c>
      <c r="E85" s="1851" t="s">
        <v>1542</v>
      </c>
      <c r="F85" s="415"/>
      <c r="G85" s="415"/>
      <c r="H85" s="415"/>
      <c r="I85" s="415"/>
      <c r="J85" s="415"/>
      <c r="K85" s="415"/>
      <c r="L85" s="415"/>
      <c r="M85" s="415"/>
      <c r="N85" s="415"/>
      <c r="O85" s="415"/>
      <c r="P85" s="415"/>
      <c r="Q85" s="539"/>
    </row>
    <row r="86" spans="2:17" ht="15.75">
      <c r="B86" s="316"/>
      <c r="C86" s="815" t="s">
        <v>1543</v>
      </c>
      <c r="D86" s="112">
        <v>5005201</v>
      </c>
      <c r="E86" s="112">
        <v>5310705</v>
      </c>
      <c r="F86" s="415"/>
      <c r="G86" s="415"/>
      <c r="H86" s="415"/>
      <c r="I86" s="415"/>
      <c r="J86" s="415"/>
      <c r="K86" s="415"/>
      <c r="L86" s="415"/>
      <c r="M86" s="415"/>
      <c r="N86" s="415"/>
      <c r="O86" s="415"/>
      <c r="P86" s="415"/>
      <c r="Q86" s="539"/>
    </row>
    <row r="87" spans="2:17" ht="15.75">
      <c r="B87" s="316"/>
      <c r="C87" s="106"/>
      <c r="D87" s="414"/>
      <c r="E87" s="414"/>
      <c r="F87" s="415"/>
      <c r="G87" s="415"/>
      <c r="H87" s="415"/>
      <c r="I87" s="415"/>
      <c r="J87" s="415"/>
      <c r="K87" s="415"/>
      <c r="L87" s="415"/>
      <c r="M87" s="415"/>
      <c r="N87" s="415"/>
      <c r="O87" s="415"/>
      <c r="P87" s="415"/>
      <c r="Q87" s="539"/>
    </row>
    <row r="88" spans="2:17" ht="15.75">
      <c r="B88" s="316"/>
      <c r="C88" s="106"/>
      <c r="D88" s="414"/>
      <c r="E88" s="414"/>
      <c r="F88" s="415"/>
      <c r="G88" s="415"/>
      <c r="H88" s="415"/>
      <c r="I88" s="415"/>
      <c r="J88" s="415"/>
      <c r="K88" s="415"/>
      <c r="L88" s="415"/>
      <c r="M88" s="415"/>
      <c r="N88" s="415"/>
      <c r="O88" s="415"/>
      <c r="P88" s="415"/>
      <c r="Q88" s="539"/>
    </row>
    <row r="89" spans="2:17" ht="15.75">
      <c r="B89" s="316"/>
      <c r="C89" s="416"/>
      <c r="D89" s="293"/>
      <c r="E89" s="415"/>
      <c r="F89" s="415"/>
      <c r="G89" s="415"/>
      <c r="H89" s="415"/>
      <c r="I89" s="415"/>
      <c r="J89" s="415"/>
      <c r="K89" s="415"/>
      <c r="L89" s="415"/>
      <c r="M89" s="415"/>
      <c r="N89" s="415"/>
      <c r="O89" s="415"/>
      <c r="P89" s="415"/>
      <c r="Q89" s="539"/>
    </row>
    <row r="90" spans="2:17" ht="15.75">
      <c r="B90" s="316"/>
      <c r="C90" s="106"/>
      <c r="D90" s="414"/>
      <c r="E90" s="414"/>
      <c r="F90" s="415"/>
      <c r="G90" s="415"/>
      <c r="H90" s="415"/>
      <c r="I90" s="415"/>
      <c r="J90" s="415"/>
      <c r="K90" s="415"/>
      <c r="L90" s="415"/>
      <c r="M90" s="415"/>
      <c r="N90" s="415"/>
      <c r="O90" s="415"/>
      <c r="P90" s="415"/>
      <c r="Q90" s="539"/>
    </row>
    <row r="91" spans="2:17" ht="15.75">
      <c r="B91" s="316" t="s">
        <v>1556</v>
      </c>
      <c r="C91" s="106" t="s">
        <v>1564</v>
      </c>
      <c r="D91" s="218">
        <v>0.6</v>
      </c>
      <c r="E91" s="414"/>
      <c r="F91" s="415"/>
      <c r="G91" s="415"/>
      <c r="H91" s="415"/>
      <c r="I91" s="415"/>
      <c r="J91" s="415"/>
      <c r="K91" s="415"/>
      <c r="L91" s="415"/>
      <c r="M91" s="415"/>
      <c r="N91" s="415"/>
      <c r="O91" s="415"/>
      <c r="P91" s="415"/>
      <c r="Q91" s="539"/>
    </row>
    <row r="92" spans="2:17" ht="15.75">
      <c r="B92" s="316"/>
      <c r="C92" s="106"/>
      <c r="D92" s="414"/>
      <c r="E92" s="414"/>
      <c r="F92" s="415"/>
      <c r="G92" s="415"/>
      <c r="H92" s="415"/>
      <c r="I92" s="415"/>
      <c r="J92" s="415"/>
      <c r="K92" s="415"/>
      <c r="L92" s="415"/>
      <c r="M92" s="415"/>
      <c r="N92" s="415"/>
      <c r="O92" s="415"/>
      <c r="P92" s="415"/>
      <c r="Q92" s="539"/>
    </row>
    <row r="93" spans="2:17" ht="15.75">
      <c r="B93" s="316" t="s">
        <v>1557</v>
      </c>
      <c r="C93" s="1842"/>
      <c r="D93" s="1840">
        <v>2010</v>
      </c>
      <c r="E93" s="1840">
        <v>2011</v>
      </c>
      <c r="F93" s="415"/>
      <c r="G93" s="415"/>
      <c r="H93" s="415"/>
      <c r="I93" s="415"/>
      <c r="J93" s="415"/>
      <c r="K93" s="415"/>
      <c r="L93" s="415"/>
      <c r="M93" s="415"/>
      <c r="N93" s="415"/>
      <c r="O93" s="415"/>
      <c r="P93" s="415"/>
      <c r="Q93" s="539"/>
    </row>
    <row r="94" spans="2:17" ht="15.75">
      <c r="B94" s="316"/>
      <c r="C94" s="106" t="s">
        <v>1555</v>
      </c>
      <c r="D94" s="414">
        <v>500</v>
      </c>
      <c r="E94" s="414">
        <v>500</v>
      </c>
      <c r="F94" s="415"/>
      <c r="G94" s="415"/>
      <c r="H94" s="415"/>
      <c r="I94" s="415"/>
      <c r="J94" s="415"/>
      <c r="K94" s="415"/>
      <c r="L94" s="415"/>
      <c r="M94" s="415"/>
      <c r="N94" s="415"/>
      <c r="O94" s="415"/>
      <c r="P94" s="415"/>
      <c r="Q94" s="539"/>
    </row>
    <row r="95" spans="2:17" ht="15.75">
      <c r="B95" s="316"/>
      <c r="C95" s="1876" t="str">
        <f>"Fuel Consumed in "&amp;preferences.energyunits&amp;"/hour"</f>
        <v>Fuel Consumed in TWh/hour</v>
      </c>
      <c r="D95" s="112">
        <f>4.5*unit.lde</f>
        <v>4.3875000000000001E-8</v>
      </c>
      <c r="E95" s="112">
        <f>4.5*unit.lde</f>
        <v>4.3875000000000001E-8</v>
      </c>
      <c r="F95" s="415"/>
      <c r="G95" s="415"/>
      <c r="H95" s="415"/>
      <c r="I95" s="415"/>
      <c r="J95" s="415"/>
      <c r="K95" s="415"/>
      <c r="L95" s="415"/>
      <c r="M95" s="415"/>
      <c r="N95" s="415"/>
      <c r="O95" s="415"/>
      <c r="P95" s="415"/>
      <c r="Q95" s="539"/>
    </row>
    <row r="96" spans="2:17" ht="15.75">
      <c r="B96" s="316"/>
      <c r="C96" s="106"/>
      <c r="D96" s="414"/>
      <c r="E96" s="414"/>
      <c r="F96" s="415"/>
      <c r="G96" s="415"/>
      <c r="H96" s="415"/>
      <c r="I96" s="415"/>
      <c r="J96" s="415"/>
      <c r="K96" s="415"/>
      <c r="L96" s="415"/>
      <c r="M96" s="415"/>
      <c r="N96" s="415"/>
      <c r="O96" s="415"/>
      <c r="P96" s="415"/>
      <c r="Q96" s="539"/>
    </row>
    <row r="97" spans="2:17" ht="15.75">
      <c r="B97" s="316"/>
      <c r="C97" s="106"/>
      <c r="D97" s="414"/>
      <c r="E97" s="414"/>
      <c r="F97" s="415"/>
      <c r="G97" s="415"/>
      <c r="H97" s="415"/>
      <c r="I97" s="415"/>
      <c r="J97" s="415"/>
      <c r="K97" s="415"/>
      <c r="L97" s="415"/>
      <c r="M97" s="415"/>
      <c r="N97" s="415"/>
      <c r="O97" s="415"/>
      <c r="P97" s="415"/>
      <c r="Q97" s="539"/>
    </row>
    <row r="98" spans="2:17" ht="15.75">
      <c r="B98" s="316"/>
      <c r="C98" s="413"/>
      <c r="D98" s="414"/>
      <c r="E98" s="414"/>
      <c r="F98" s="415"/>
      <c r="G98" s="415"/>
      <c r="H98" s="415"/>
      <c r="I98" s="415"/>
      <c r="J98" s="415"/>
      <c r="K98" s="415"/>
      <c r="L98" s="415"/>
      <c r="M98" s="415"/>
      <c r="N98" s="415"/>
      <c r="O98" s="415"/>
      <c r="P98" s="415"/>
      <c r="Q98" s="539"/>
    </row>
    <row r="99" spans="2:17">
      <c r="B99" s="415" t="s">
        <v>1560</v>
      </c>
      <c r="C99" s="416" t="s">
        <v>1544</v>
      </c>
      <c r="D99" s="415"/>
      <c r="E99" s="415"/>
      <c r="F99" s="415"/>
      <c r="G99" s="415"/>
      <c r="H99" s="415"/>
      <c r="I99" s="415"/>
      <c r="J99" s="415"/>
      <c r="K99" s="415"/>
      <c r="L99" s="415"/>
      <c r="M99" s="415"/>
      <c r="N99" s="415"/>
      <c r="O99" s="415"/>
      <c r="P99" s="415"/>
      <c r="Q99" s="539"/>
    </row>
    <row r="100" spans="2:17">
      <c r="B100" s="415"/>
      <c r="C100" s="415"/>
      <c r="D100" s="415"/>
      <c r="E100" s="415"/>
      <c r="F100" s="415"/>
      <c r="G100" s="415"/>
      <c r="H100" s="415"/>
      <c r="I100" s="415"/>
      <c r="J100" s="415"/>
      <c r="K100" s="415"/>
      <c r="L100" s="415"/>
      <c r="M100" s="415"/>
      <c r="N100" s="415"/>
      <c r="O100" s="415"/>
      <c r="P100" s="415"/>
      <c r="Q100" s="539"/>
    </row>
    <row r="101" spans="2:17">
      <c r="B101" s="415"/>
      <c r="C101" s="1386" t="s">
        <v>225</v>
      </c>
      <c r="D101" s="1645" t="s">
        <v>204</v>
      </c>
      <c r="E101" s="1645" t="s">
        <v>1542</v>
      </c>
      <c r="F101" s="415"/>
      <c r="G101" s="415"/>
      <c r="H101" s="415"/>
      <c r="I101" s="415"/>
      <c r="J101" s="415"/>
      <c r="K101" s="415"/>
      <c r="L101" s="415"/>
      <c r="M101" s="415"/>
      <c r="N101" s="415"/>
      <c r="O101" s="415"/>
      <c r="P101" s="415"/>
      <c r="Q101" s="539"/>
    </row>
    <row r="102" spans="2:17" ht="14.25" customHeight="1">
      <c r="B102" s="415"/>
      <c r="C102" s="415" t="str">
        <f>"Diesel Consumption in "&amp;preferences.energyunits</f>
        <v>Diesel Consumption in TWh</v>
      </c>
      <c r="D102" s="535">
        <f>D86*D91*D94*D95</f>
        <v>65.880958162500008</v>
      </c>
      <c r="E102" s="535">
        <f>E86*D91*E94*E95</f>
        <v>69.902154562500002</v>
      </c>
      <c r="F102" s="415"/>
      <c r="G102" s="415"/>
      <c r="H102" s="415"/>
      <c r="I102" s="415"/>
      <c r="J102" s="415"/>
      <c r="K102" s="415"/>
      <c r="L102" s="415"/>
      <c r="M102" s="415"/>
      <c r="N102" s="415"/>
      <c r="O102" s="415"/>
      <c r="P102" s="415"/>
      <c r="Q102" s="539"/>
    </row>
    <row r="103" spans="2:17" ht="15.75">
      <c r="B103" s="316"/>
      <c r="C103" s="111"/>
      <c r="D103" s="112"/>
      <c r="E103" s="844"/>
      <c r="F103" s="115"/>
      <c r="G103" s="415"/>
      <c r="H103" s="415"/>
      <c r="I103" s="415"/>
      <c r="J103" s="415"/>
      <c r="K103" s="415"/>
      <c r="L103" s="415"/>
      <c r="M103" s="415"/>
      <c r="N103" s="415"/>
      <c r="O103" s="415"/>
      <c r="P103" s="415"/>
      <c r="Q103" s="539"/>
    </row>
    <row r="104" spans="2:17" ht="15.75">
      <c r="B104" s="316"/>
      <c r="C104" s="402" t="s">
        <v>229</v>
      </c>
      <c r="D104" s="402"/>
      <c r="E104" s="218"/>
      <c r="F104" s="115"/>
      <c r="G104" s="415"/>
      <c r="H104" s="415"/>
      <c r="I104" s="415"/>
      <c r="J104" s="415"/>
      <c r="K104" s="415"/>
      <c r="L104" s="415"/>
      <c r="M104" s="415"/>
      <c r="N104" s="415"/>
      <c r="O104" s="415"/>
      <c r="P104" s="415"/>
      <c r="Q104" s="539"/>
    </row>
    <row r="105" spans="2:17" ht="15.75">
      <c r="B105" s="316"/>
      <c r="C105" s="126"/>
      <c r="D105" s="414"/>
      <c r="E105" s="414" t="s">
        <v>120</v>
      </c>
      <c r="F105" s="677"/>
      <c r="G105" s="415"/>
      <c r="H105" s="415"/>
      <c r="I105" s="415"/>
      <c r="J105" s="415"/>
      <c r="K105" s="415"/>
      <c r="L105" s="415"/>
      <c r="M105" s="415"/>
      <c r="N105" s="415"/>
      <c r="O105" s="415"/>
      <c r="P105" s="415"/>
      <c r="Q105" s="539"/>
    </row>
    <row r="106" spans="2:17" ht="15.75">
      <c r="B106" s="316" t="s">
        <v>1561</v>
      </c>
      <c r="C106" s="104" t="s">
        <v>1562</v>
      </c>
      <c r="D106" s="415"/>
      <c r="E106" s="414">
        <f>16500000</f>
        <v>16500000</v>
      </c>
      <c r="F106" s="1852"/>
      <c r="G106" s="415"/>
      <c r="H106" s="415"/>
      <c r="I106" s="415"/>
      <c r="J106" s="415"/>
      <c r="K106" s="415"/>
      <c r="L106" s="415"/>
      <c r="M106" s="415"/>
      <c r="N106" s="415"/>
      <c r="O106" s="415"/>
      <c r="P106" s="415"/>
      <c r="Q106" s="539"/>
    </row>
    <row r="107" spans="2:17" ht="15.75">
      <c r="B107" s="316" t="s">
        <v>1568</v>
      </c>
      <c r="C107" s="104" t="s">
        <v>1569</v>
      </c>
      <c r="D107" s="415"/>
      <c r="E107" s="414">
        <f>12</f>
        <v>12</v>
      </c>
      <c r="F107" s="1852" t="s">
        <v>809</v>
      </c>
      <c r="G107" s="415"/>
      <c r="H107" s="415"/>
      <c r="I107" s="415"/>
      <c r="J107" s="415"/>
      <c r="K107" s="415"/>
      <c r="L107" s="415"/>
      <c r="M107" s="415"/>
      <c r="N107" s="415"/>
      <c r="O107" s="415"/>
      <c r="P107" s="415"/>
      <c r="Q107" s="539"/>
    </row>
    <row r="108" spans="2:17" ht="15.75">
      <c r="B108" s="316"/>
      <c r="C108" s="104"/>
      <c r="D108" s="104"/>
      <c r="E108" s="1853"/>
      <c r="F108" s="1852"/>
      <c r="G108" s="415"/>
      <c r="H108" s="415"/>
      <c r="I108" s="415"/>
      <c r="J108" s="415"/>
      <c r="K108" s="415"/>
      <c r="L108" s="415"/>
      <c r="M108" s="415"/>
      <c r="N108" s="415"/>
      <c r="O108" s="415"/>
      <c r="P108" s="415"/>
      <c r="Q108" s="539"/>
    </row>
    <row r="109" spans="2:17" ht="15.75">
      <c r="B109" s="316"/>
      <c r="C109" s="415"/>
      <c r="D109" s="415"/>
      <c r="E109" s="415"/>
      <c r="F109" s="1852"/>
      <c r="G109" s="415"/>
      <c r="H109" s="415"/>
      <c r="I109" s="415"/>
      <c r="J109" s="415"/>
      <c r="K109" s="415"/>
      <c r="L109" s="415"/>
      <c r="M109" s="415"/>
      <c r="N109" s="415"/>
      <c r="O109" s="415"/>
      <c r="P109" s="415"/>
      <c r="Q109" s="539"/>
    </row>
    <row r="110" spans="2:17" ht="14.25">
      <c r="B110" s="416">
        <v>2</v>
      </c>
      <c r="C110" s="920" t="s">
        <v>1578</v>
      </c>
      <c r="D110" s="415"/>
      <c r="E110" s="415"/>
      <c r="F110" s="665"/>
      <c r="G110" s="415"/>
      <c r="H110" s="415"/>
      <c r="I110" s="415"/>
      <c r="J110" s="415"/>
      <c r="K110" s="415"/>
      <c r="L110" s="415"/>
      <c r="M110" s="415"/>
      <c r="N110" s="415"/>
      <c r="O110" s="415"/>
      <c r="P110" s="415"/>
      <c r="Q110" s="539"/>
    </row>
    <row r="111" spans="2:17" ht="12" customHeight="1">
      <c r="B111" s="316"/>
      <c r="C111" s="1908"/>
      <c r="D111" s="1384"/>
      <c r="E111" s="1386">
        <v>2007</v>
      </c>
      <c r="F111" s="1909">
        <v>2012</v>
      </c>
      <c r="G111" s="415"/>
      <c r="H111" s="415"/>
      <c r="I111" s="415"/>
      <c r="J111" s="415"/>
      <c r="K111" s="415"/>
      <c r="L111" s="415"/>
      <c r="M111" s="415"/>
      <c r="N111" s="415"/>
      <c r="O111" s="415"/>
      <c r="P111" s="415"/>
      <c r="Q111" s="539"/>
    </row>
    <row r="112" spans="2:17">
      <c r="B112" s="415" t="s">
        <v>1579</v>
      </c>
      <c r="C112" s="1910" t="str">
        <f xml:space="preserve"> "Base level Pumping Demand in  "&amp;preferences.energyunits</f>
        <v>Base level Pumping Demand in  TWh</v>
      </c>
      <c r="D112" s="415"/>
      <c r="E112" s="1890">
        <f>122.9*Unit.TWh</f>
        <v>122.9</v>
      </c>
      <c r="F112" s="1905">
        <f>163.667*Unit.TWh</f>
        <v>163.667</v>
      </c>
      <c r="G112" s="415"/>
      <c r="H112" s="415"/>
      <c r="I112" s="415"/>
      <c r="J112" s="415"/>
      <c r="K112" s="415"/>
      <c r="L112" s="415"/>
      <c r="M112" s="415"/>
      <c r="N112" s="415"/>
      <c r="O112" s="415"/>
      <c r="P112" s="415"/>
      <c r="Q112" s="539"/>
    </row>
    <row r="113" spans="2:33" ht="15.75">
      <c r="B113" s="316"/>
      <c r="C113" s="1910" t="str">
        <f xml:space="preserve"> "Base level Electricity  Pumping Demand in  "&amp;preferences.energyunits</f>
        <v>Base level Electricity  Pumping Demand in  TWh</v>
      </c>
      <c r="D113" s="414"/>
      <c r="E113" s="413">
        <f>99*Unit.TWh</f>
        <v>99</v>
      </c>
      <c r="F113" s="1906">
        <f>136.4*Unit.TWh</f>
        <v>136.4</v>
      </c>
      <c r="G113" s="415"/>
      <c r="H113" s="415"/>
      <c r="I113" s="415"/>
      <c r="J113" s="415"/>
      <c r="K113" s="415"/>
      <c r="L113" s="415"/>
      <c r="M113" s="415"/>
      <c r="N113" s="415"/>
      <c r="O113" s="415"/>
      <c r="P113" s="415"/>
      <c r="Q113" s="539"/>
    </row>
    <row r="114" spans="2:33">
      <c r="B114" s="415"/>
      <c r="C114" s="1911" t="str">
        <f xml:space="preserve"> "Base level Diesel Pumping Demand in  "&amp;preferences.energyunits</f>
        <v>Base level Diesel Pumping Demand in  TWh</v>
      </c>
      <c r="D114" s="228"/>
      <c r="E114" s="532">
        <f>E112-E113</f>
        <v>23.900000000000006</v>
      </c>
      <c r="F114" s="1907">
        <f>F112-F113</f>
        <v>27.266999999999996</v>
      </c>
      <c r="G114" s="415"/>
      <c r="H114" s="415"/>
      <c r="I114" s="415"/>
      <c r="J114" s="415"/>
      <c r="K114" s="415"/>
      <c r="L114" s="415"/>
      <c r="M114" s="415"/>
      <c r="N114" s="415"/>
      <c r="O114" s="415"/>
      <c r="P114" s="415"/>
      <c r="Q114" s="539"/>
    </row>
    <row r="115" spans="2:33">
      <c r="B115" s="415"/>
      <c r="C115" s="416"/>
      <c r="D115" s="415"/>
      <c r="E115" s="415"/>
      <c r="F115" s="104"/>
      <c r="G115" s="415"/>
      <c r="H115" s="415"/>
      <c r="I115" s="415"/>
      <c r="J115" s="415"/>
      <c r="K115" s="415"/>
      <c r="L115" s="415"/>
      <c r="M115" s="415"/>
      <c r="N115" s="415"/>
      <c r="O115" s="415"/>
      <c r="P115" s="415"/>
      <c r="Q115" s="539"/>
    </row>
    <row r="116" spans="2:33" ht="15.75">
      <c r="B116" s="316" t="s">
        <v>1587</v>
      </c>
      <c r="C116" s="412" t="s">
        <v>1588</v>
      </c>
      <c r="D116" s="412"/>
      <c r="E116" s="412"/>
      <c r="F116" s="779"/>
      <c r="G116" s="415"/>
      <c r="H116" s="415"/>
      <c r="I116" s="415"/>
      <c r="J116" s="415"/>
      <c r="K116" s="415"/>
      <c r="L116" s="415"/>
      <c r="M116" s="415"/>
      <c r="N116" s="415"/>
      <c r="O116" s="415"/>
      <c r="P116" s="415"/>
      <c r="Q116" s="539"/>
    </row>
    <row r="117" spans="2:33" ht="15.75">
      <c r="B117" s="316"/>
      <c r="C117" s="69" t="s">
        <v>5</v>
      </c>
      <c r="D117" s="412"/>
      <c r="E117" s="69">
        <v>7</v>
      </c>
      <c r="F117" s="1912" t="s">
        <v>809</v>
      </c>
      <c r="G117" s="415"/>
      <c r="H117" s="415"/>
      <c r="I117" s="415"/>
      <c r="J117" s="415"/>
      <c r="K117" s="415"/>
      <c r="L117" s="415"/>
      <c r="M117" s="415"/>
      <c r="N117" s="415"/>
      <c r="O117" s="415"/>
      <c r="P117" s="415"/>
      <c r="Q117" s="539"/>
    </row>
    <row r="118" spans="2:33" ht="15.75">
      <c r="B118" s="316"/>
      <c r="C118" s="69" t="s">
        <v>161</v>
      </c>
      <c r="D118" s="412"/>
      <c r="E118" s="69">
        <v>5</v>
      </c>
      <c r="F118" s="1912" t="s">
        <v>809</v>
      </c>
      <c r="G118" s="415"/>
      <c r="H118" s="415"/>
      <c r="I118" s="415"/>
      <c r="J118" s="415"/>
      <c r="K118" s="415"/>
      <c r="L118" s="415"/>
      <c r="M118" s="415"/>
      <c r="N118" s="415"/>
      <c r="O118" s="415"/>
      <c r="P118" s="415"/>
      <c r="Q118" s="539"/>
    </row>
    <row r="119" spans="2:33" ht="15.75">
      <c r="B119" s="316"/>
      <c r="C119" s="69" t="s">
        <v>15</v>
      </c>
      <c r="D119" s="412"/>
      <c r="E119" s="69">
        <v>10</v>
      </c>
      <c r="F119" s="1912" t="s">
        <v>809</v>
      </c>
      <c r="G119" s="415"/>
      <c r="H119" s="415"/>
      <c r="I119" s="415"/>
      <c r="J119" s="415"/>
      <c r="K119" s="415"/>
      <c r="L119" s="415"/>
      <c r="M119" s="415"/>
      <c r="N119" s="415"/>
      <c r="O119" s="415"/>
      <c r="P119" s="415"/>
      <c r="Q119" s="539"/>
    </row>
    <row r="120" spans="2:33" ht="15.75">
      <c r="B120" s="316" t="s">
        <v>1589</v>
      </c>
      <c r="C120" s="412" t="s">
        <v>1590</v>
      </c>
      <c r="D120" s="412"/>
      <c r="E120" s="412"/>
      <c r="F120" s="779"/>
      <c r="G120" s="415"/>
      <c r="H120" s="415"/>
      <c r="I120" s="415"/>
      <c r="J120" s="415"/>
      <c r="K120" s="415"/>
      <c r="L120" s="415"/>
      <c r="M120" s="415"/>
      <c r="N120" s="415"/>
      <c r="O120" s="415"/>
      <c r="P120" s="415"/>
      <c r="Q120" s="539"/>
    </row>
    <row r="121" spans="2:33" ht="15.75">
      <c r="B121" s="316"/>
      <c r="C121" s="69" t="s">
        <v>5</v>
      </c>
      <c r="D121" s="412"/>
      <c r="E121" s="69">
        <v>1000</v>
      </c>
      <c r="F121" s="1912" t="s">
        <v>1567</v>
      </c>
      <c r="G121" s="415"/>
      <c r="H121" s="415"/>
      <c r="I121" s="415"/>
      <c r="J121" s="415"/>
      <c r="K121" s="415"/>
      <c r="L121" s="415"/>
      <c r="M121" s="415"/>
      <c r="N121" s="415"/>
      <c r="O121" s="415"/>
      <c r="P121" s="415"/>
      <c r="Q121" s="539"/>
    </row>
    <row r="122" spans="2:33" ht="15.75">
      <c r="B122" s="316"/>
      <c r="C122" s="69" t="s">
        <v>161</v>
      </c>
      <c r="D122" s="412"/>
      <c r="E122" s="69">
        <v>1000</v>
      </c>
      <c r="F122" s="1912" t="s">
        <v>1567</v>
      </c>
      <c r="G122" s="415"/>
      <c r="H122" s="415"/>
      <c r="I122" s="415"/>
      <c r="J122" s="415"/>
      <c r="K122" s="415"/>
      <c r="L122" s="415"/>
      <c r="M122" s="415"/>
      <c r="N122" s="415"/>
      <c r="O122" s="415"/>
      <c r="P122" s="415"/>
      <c r="Q122" s="539"/>
    </row>
    <row r="123" spans="2:33" ht="15.75">
      <c r="B123" s="316"/>
      <c r="C123" s="69" t="s">
        <v>15</v>
      </c>
      <c r="D123" s="412"/>
      <c r="E123" s="69">
        <v>1000</v>
      </c>
      <c r="F123" s="1912" t="s">
        <v>1567</v>
      </c>
      <c r="G123" s="415"/>
      <c r="H123" s="415"/>
      <c r="I123" s="415"/>
      <c r="J123" s="415"/>
      <c r="K123" s="415"/>
      <c r="L123" s="415"/>
      <c r="M123" s="415"/>
      <c r="N123" s="415"/>
      <c r="O123" s="415"/>
      <c r="P123" s="415"/>
      <c r="Q123" s="539"/>
    </row>
    <row r="124" spans="2:33" ht="15.75">
      <c r="B124" s="316"/>
      <c r="C124" s="412"/>
      <c r="D124" s="412"/>
      <c r="E124" s="412"/>
      <c r="F124" s="779"/>
      <c r="G124" s="415"/>
      <c r="H124" s="415"/>
      <c r="I124" s="415"/>
      <c r="J124" s="415"/>
      <c r="K124" s="415"/>
      <c r="L124" s="415"/>
      <c r="M124" s="415"/>
      <c r="N124" s="415"/>
      <c r="O124" s="415"/>
      <c r="P124" s="415"/>
      <c r="Q124" s="539"/>
    </row>
    <row r="125" spans="2:33" ht="12.75" customHeight="1">
      <c r="B125" s="415"/>
      <c r="C125" s="415"/>
      <c r="D125" s="415"/>
      <c r="E125" s="415"/>
      <c r="F125" s="415"/>
      <c r="G125" s="415"/>
      <c r="H125" s="415"/>
      <c r="I125" s="415"/>
      <c r="J125" s="415"/>
      <c r="K125" s="415"/>
      <c r="L125" s="415"/>
      <c r="M125" s="415"/>
      <c r="N125" s="415"/>
      <c r="O125" s="415"/>
      <c r="P125" s="415"/>
      <c r="Q125" s="539"/>
    </row>
    <row r="126" spans="2:33" ht="15.75">
      <c r="B126" s="316"/>
      <c r="C126" s="412"/>
      <c r="D126" s="412"/>
      <c r="E126" s="412"/>
      <c r="F126" s="779"/>
      <c r="G126" s="415"/>
      <c r="H126" s="415"/>
      <c r="I126" s="415"/>
      <c r="J126" s="415"/>
      <c r="K126" s="415"/>
      <c r="L126" s="415"/>
      <c r="M126" s="415"/>
      <c r="N126" s="415"/>
      <c r="O126" s="415"/>
      <c r="P126" s="415"/>
      <c r="Q126" s="539"/>
    </row>
    <row r="127" spans="2:33">
      <c r="B127" s="383"/>
      <c r="C127" s="35"/>
      <c r="D127" s="1858"/>
      <c r="E127" s="35"/>
      <c r="F127" s="35"/>
      <c r="G127" s="35"/>
      <c r="H127" s="35"/>
      <c r="I127" s="35"/>
      <c r="J127" s="35"/>
      <c r="K127" s="35"/>
      <c r="L127" s="35"/>
      <c r="M127" s="35"/>
      <c r="N127" s="35"/>
      <c r="O127" s="35"/>
      <c r="P127" s="35"/>
      <c r="Q127" s="539"/>
      <c r="R127" s="1859"/>
      <c r="V127" s="709"/>
      <c r="W127" s="510"/>
      <c r="X127" s="1858"/>
      <c r="Y127" s="35"/>
      <c r="Z127" s="35"/>
      <c r="AA127" s="1862"/>
      <c r="AB127" s="543"/>
      <c r="AC127" s="1862"/>
      <c r="AD127" s="1862"/>
      <c r="AE127" s="510"/>
      <c r="AF127" s="35"/>
      <c r="AG127" s="35"/>
    </row>
    <row r="128" spans="2:33" ht="15.75" customHeight="1">
      <c r="B128" s="653"/>
      <c r="C128" s="126"/>
      <c r="D128" s="413"/>
      <c r="E128" s="414"/>
      <c r="F128" s="107"/>
      <c r="G128" s="677"/>
      <c r="H128" s="677"/>
      <c r="I128" s="651"/>
      <c r="J128" s="651"/>
      <c r="K128" s="651"/>
      <c r="L128" s="651"/>
      <c r="M128" s="651"/>
      <c r="N128" s="651"/>
      <c r="O128" s="651"/>
      <c r="P128" s="677"/>
      <c r="Q128" s="677"/>
    </row>
    <row r="129" spans="2:17" ht="15.75" customHeight="1">
      <c r="B129" s="653"/>
      <c r="C129" s="126"/>
      <c r="D129" s="413"/>
      <c r="E129" s="414"/>
      <c r="F129" s="107"/>
      <c r="G129" s="677"/>
      <c r="H129" s="677"/>
      <c r="I129" s="651"/>
      <c r="J129" s="651"/>
      <c r="K129" s="651"/>
      <c r="L129" s="651"/>
      <c r="M129" s="651"/>
      <c r="N129" s="651"/>
      <c r="O129" s="651"/>
      <c r="P129" s="677"/>
      <c r="Q129" s="677"/>
    </row>
    <row r="130" spans="2:17" ht="15.75" customHeight="1">
      <c r="B130" s="1860" t="s">
        <v>745</v>
      </c>
      <c r="C130" s="521"/>
      <c r="D130" s="521"/>
      <c r="E130" s="521"/>
      <c r="F130" s="521"/>
      <c r="G130" s="521"/>
      <c r="H130" s="521"/>
      <c r="I130" s="521"/>
      <c r="J130" s="521"/>
      <c r="K130" s="521"/>
      <c r="L130" s="521"/>
      <c r="M130" s="521"/>
      <c r="N130" s="521"/>
      <c r="O130" s="521"/>
      <c r="P130" s="521"/>
      <c r="Q130" s="521"/>
    </row>
    <row r="131" spans="2:17" ht="15.75" customHeight="1">
      <c r="B131" s="653"/>
      <c r="C131" s="126"/>
      <c r="D131" s="413"/>
      <c r="E131" s="414"/>
      <c r="F131" s="107"/>
      <c r="G131" s="677"/>
      <c r="H131" s="677"/>
      <c r="I131" s="651"/>
      <c r="J131" s="651"/>
      <c r="K131" s="651"/>
      <c r="L131" s="651"/>
      <c r="M131" s="651"/>
      <c r="N131" s="651"/>
      <c r="O131" s="651"/>
      <c r="P131" s="677"/>
      <c r="Q131" s="677"/>
    </row>
    <row r="132" spans="2:17" ht="15.75" customHeight="1">
      <c r="B132" s="653"/>
      <c r="C132" s="877" t="s">
        <v>1581</v>
      </c>
      <c r="D132" s="413"/>
      <c r="E132" s="414"/>
      <c r="F132" s="107"/>
      <c r="G132" s="677"/>
      <c r="H132" s="677"/>
      <c r="I132" s="651"/>
      <c r="J132" s="651"/>
      <c r="K132" s="651"/>
      <c r="L132" s="651"/>
      <c r="M132" s="651"/>
      <c r="N132" s="651"/>
      <c r="O132" s="651"/>
      <c r="P132" s="677"/>
      <c r="Q132" s="677"/>
    </row>
    <row r="133" spans="2:17" ht="15.75" customHeight="1">
      <c r="B133" s="653"/>
      <c r="C133" s="1842" t="s">
        <v>64</v>
      </c>
      <c r="D133" s="1898" t="s">
        <v>227</v>
      </c>
      <c r="E133" s="1842" t="s">
        <v>533</v>
      </c>
      <c r="F133" s="1888">
        <v>2007</v>
      </c>
      <c r="G133" s="923">
        <f t="shared" ref="G133:O133" si="11">F133+5</f>
        <v>2012</v>
      </c>
      <c r="H133" s="923">
        <f t="shared" si="11"/>
        <v>2017</v>
      </c>
      <c r="I133" s="923">
        <f t="shared" si="11"/>
        <v>2022</v>
      </c>
      <c r="J133" s="923">
        <f t="shared" si="11"/>
        <v>2027</v>
      </c>
      <c r="K133" s="923">
        <f t="shared" si="11"/>
        <v>2032</v>
      </c>
      <c r="L133" s="923">
        <f t="shared" si="11"/>
        <v>2037</v>
      </c>
      <c r="M133" s="923">
        <f t="shared" si="11"/>
        <v>2042</v>
      </c>
      <c r="N133" s="923">
        <f t="shared" si="11"/>
        <v>2047</v>
      </c>
      <c r="O133" s="923">
        <f t="shared" si="11"/>
        <v>2052</v>
      </c>
      <c r="P133" s="677"/>
      <c r="Q133" s="677"/>
    </row>
    <row r="134" spans="2:17" ht="15.75" customHeight="1">
      <c r="B134" s="653"/>
      <c r="C134" s="751"/>
      <c r="D134" s="1855" t="s">
        <v>161</v>
      </c>
      <c r="E134" s="1845">
        <f>(O134-G134)/40</f>
        <v>7.5000000000000002E-4</v>
      </c>
      <c r="F134" s="218">
        <f t="shared" ref="F134:G136" si="12">E38</f>
        <v>0.19</v>
      </c>
      <c r="G134" s="218">
        <f t="shared" si="12"/>
        <v>0.17</v>
      </c>
      <c r="H134" s="1899">
        <f>G134+5*$E134</f>
        <v>0.17375000000000002</v>
      </c>
      <c r="I134" s="1899">
        <f t="shared" ref="I134:N134" si="13">H134+5*$E134</f>
        <v>0.17750000000000002</v>
      </c>
      <c r="J134" s="1899">
        <f t="shared" si="13"/>
        <v>0.18125000000000002</v>
      </c>
      <c r="K134" s="1899">
        <f t="shared" si="13"/>
        <v>0.18500000000000003</v>
      </c>
      <c r="L134" s="1899">
        <f t="shared" si="13"/>
        <v>0.18875000000000003</v>
      </c>
      <c r="M134" s="1899">
        <f t="shared" si="13"/>
        <v>0.19250000000000003</v>
      </c>
      <c r="N134" s="1899">
        <f t="shared" si="13"/>
        <v>0.19625000000000004</v>
      </c>
      <c r="O134" s="1900">
        <f>K38</f>
        <v>0.2</v>
      </c>
      <c r="P134" s="677"/>
      <c r="Q134" s="677"/>
    </row>
    <row r="135" spans="2:17" ht="15.75" customHeight="1">
      <c r="B135" s="653"/>
      <c r="C135" s="239"/>
      <c r="D135" s="1856" t="s">
        <v>5</v>
      </c>
      <c r="E135" s="1845">
        <f>(O135-G135)/40</f>
        <v>-7.4999999999999785E-4</v>
      </c>
      <c r="F135" s="218">
        <f t="shared" si="12"/>
        <v>0.81</v>
      </c>
      <c r="G135" s="218">
        <f t="shared" si="12"/>
        <v>0.83</v>
      </c>
      <c r="H135" s="1899">
        <f>G135+5*$E135</f>
        <v>0.82624999999999993</v>
      </c>
      <c r="I135" s="1899">
        <f t="shared" ref="I135:N135" si="14">H135+5*$E135</f>
        <v>0.8224999999999999</v>
      </c>
      <c r="J135" s="1899">
        <f t="shared" si="14"/>
        <v>0.81874999999999987</v>
      </c>
      <c r="K135" s="1899">
        <f t="shared" si="14"/>
        <v>0.81499999999999984</v>
      </c>
      <c r="L135" s="1899">
        <f t="shared" si="14"/>
        <v>0.8112499999999998</v>
      </c>
      <c r="M135" s="1899">
        <f t="shared" si="14"/>
        <v>0.80749999999999977</v>
      </c>
      <c r="N135" s="1899">
        <f t="shared" si="14"/>
        <v>0.80374999999999974</v>
      </c>
      <c r="O135" s="1900">
        <f>K39</f>
        <v>0.8</v>
      </c>
      <c r="P135" s="677"/>
      <c r="Q135" s="677"/>
    </row>
    <row r="136" spans="2:17" ht="15.75" customHeight="1">
      <c r="B136" s="653"/>
      <c r="C136" s="1854"/>
      <c r="D136" s="1857" t="s">
        <v>15</v>
      </c>
      <c r="E136" s="1901">
        <f>(O136-G136)/40</f>
        <v>0</v>
      </c>
      <c r="F136" s="844">
        <f t="shared" si="12"/>
        <v>0</v>
      </c>
      <c r="G136" s="844">
        <f t="shared" si="12"/>
        <v>0</v>
      </c>
      <c r="H136" s="1902">
        <f>G136+5*$E136</f>
        <v>0</v>
      </c>
      <c r="I136" s="1902">
        <f t="shared" ref="I136:N136" si="15">H136+5*$E136</f>
        <v>0</v>
      </c>
      <c r="J136" s="1902">
        <f t="shared" si="15"/>
        <v>0</v>
      </c>
      <c r="K136" s="1902">
        <f t="shared" si="15"/>
        <v>0</v>
      </c>
      <c r="L136" s="1902">
        <f t="shared" si="15"/>
        <v>0</v>
      </c>
      <c r="M136" s="1902">
        <f t="shared" si="15"/>
        <v>0</v>
      </c>
      <c r="N136" s="1902">
        <f t="shared" si="15"/>
        <v>0</v>
      </c>
      <c r="O136" s="1903">
        <f>K40</f>
        <v>0</v>
      </c>
      <c r="P136" s="677"/>
      <c r="Q136" s="677"/>
    </row>
    <row r="137" spans="2:17" ht="15.75" customHeight="1">
      <c r="B137" s="653"/>
      <c r="C137" s="126"/>
      <c r="D137" s="413"/>
      <c r="E137" s="414"/>
      <c r="F137" s="107"/>
      <c r="G137" s="677"/>
      <c r="H137" s="677"/>
      <c r="I137" s="651"/>
      <c r="J137" s="651"/>
      <c r="K137" s="651"/>
      <c r="L137" s="651"/>
      <c r="M137" s="651"/>
      <c r="N137" s="651"/>
      <c r="O137" s="651"/>
      <c r="P137" s="677"/>
      <c r="Q137" s="677"/>
    </row>
    <row r="138" spans="2:17" ht="15.75" customHeight="1">
      <c r="B138" s="1913"/>
      <c r="C138" s="1922" t="s">
        <v>1591</v>
      </c>
      <c r="D138" s="1432"/>
      <c r="E138" s="1842" t="str">
        <f>"Rating in KW"</f>
        <v>Rating in KW</v>
      </c>
      <c r="F138" s="1840" t="str">
        <f>"Energy Consumed in "&amp;preferences.energyunits</f>
        <v>Energy Consumed in TWh</v>
      </c>
      <c r="G138" s="1923"/>
      <c r="H138" s="677"/>
      <c r="I138" s="651"/>
      <c r="J138" s="651"/>
      <c r="K138" s="651"/>
      <c r="L138" s="651"/>
      <c r="M138" s="651"/>
      <c r="N138" s="651"/>
      <c r="O138" s="651"/>
      <c r="P138" s="677"/>
      <c r="Q138" s="677"/>
    </row>
    <row r="139" spans="2:17" ht="15.75" customHeight="1">
      <c r="B139" s="653"/>
      <c r="C139" s="1916" t="s">
        <v>5</v>
      </c>
      <c r="D139" s="413"/>
      <c r="E139" s="1914">
        <f>5*0.746</f>
        <v>3.73</v>
      </c>
      <c r="F139" s="1915">
        <f>E139*E121*Unit.kWh</f>
        <v>3.7300000000000003E-6</v>
      </c>
      <c r="G139" s="1917"/>
      <c r="H139" s="677"/>
      <c r="I139" s="651"/>
      <c r="J139" s="651"/>
      <c r="K139" s="651"/>
      <c r="L139" s="651"/>
      <c r="M139" s="651"/>
      <c r="N139" s="651"/>
      <c r="O139" s="651"/>
      <c r="P139" s="677"/>
      <c r="Q139" s="677"/>
    </row>
    <row r="140" spans="2:17" ht="15.75" customHeight="1">
      <c r="B140" s="653"/>
      <c r="C140" s="1916" t="s">
        <v>161</v>
      </c>
      <c r="D140" s="413"/>
      <c r="E140" s="1914">
        <f>5*0.746</f>
        <v>3.73</v>
      </c>
      <c r="F140" s="1915">
        <f>E140*E122*Unit.kWh</f>
        <v>3.7300000000000003E-6</v>
      </c>
      <c r="G140" s="1917"/>
      <c r="H140" s="677"/>
      <c r="I140" s="651"/>
      <c r="J140" s="651"/>
      <c r="K140" s="651"/>
      <c r="L140" s="651"/>
      <c r="M140" s="651"/>
      <c r="N140" s="651"/>
      <c r="O140" s="651"/>
      <c r="P140" s="677"/>
      <c r="Q140" s="677"/>
    </row>
    <row r="141" spans="2:17" ht="15.75" customHeight="1">
      <c r="B141" s="653"/>
      <c r="C141" s="1918" t="s">
        <v>15</v>
      </c>
      <c r="D141" s="111"/>
      <c r="E141" s="1919">
        <f>3*0.746</f>
        <v>2.238</v>
      </c>
      <c r="F141" s="1920">
        <f>E141*E123*Unit.kWh</f>
        <v>2.238E-6</v>
      </c>
      <c r="G141" s="1921"/>
      <c r="H141" s="677"/>
      <c r="I141" s="651"/>
      <c r="J141" s="651"/>
      <c r="K141" s="651"/>
      <c r="L141" s="651"/>
      <c r="M141" s="651"/>
      <c r="N141" s="651"/>
      <c r="O141" s="651"/>
      <c r="P141" s="677"/>
      <c r="Q141" s="677"/>
    </row>
    <row r="142" spans="2:17" ht="15.75" customHeight="1">
      <c r="B142" s="653"/>
      <c r="C142" s="126"/>
      <c r="D142" s="413"/>
      <c r="E142" s="414"/>
      <c r="F142" s="107"/>
      <c r="G142" s="677"/>
      <c r="H142" s="677"/>
      <c r="I142" s="651"/>
      <c r="J142" s="651"/>
      <c r="K142" s="651"/>
      <c r="L142" s="651"/>
      <c r="M142" s="651"/>
      <c r="N142" s="651"/>
      <c r="O142" s="651"/>
      <c r="P142" s="677"/>
      <c r="Q142" s="677"/>
    </row>
    <row r="143" spans="2:17">
      <c r="Q143" s="35"/>
    </row>
    <row r="145" spans="1:25" ht="15.75">
      <c r="B145" s="89" t="s">
        <v>241</v>
      </c>
    </row>
    <row r="147" spans="1:25">
      <c r="B147" s="423">
        <v>1.1000000000000001</v>
      </c>
      <c r="C147" s="423" t="s">
        <v>1546</v>
      </c>
      <c r="E147" s="423" t="s">
        <v>1530</v>
      </c>
      <c r="F147" s="1658">
        <v>2007</v>
      </c>
      <c r="G147" s="1658">
        <f>F147+5</f>
        <v>2012</v>
      </c>
      <c r="H147" s="1658">
        <f t="shared" ref="H147:O147" si="16">G147+5</f>
        <v>2017</v>
      </c>
      <c r="I147" s="1658">
        <f t="shared" si="16"/>
        <v>2022</v>
      </c>
      <c r="J147" s="1658">
        <f t="shared" si="16"/>
        <v>2027</v>
      </c>
      <c r="K147" s="1658">
        <f t="shared" si="16"/>
        <v>2032</v>
      </c>
      <c r="L147" s="1658">
        <f t="shared" si="16"/>
        <v>2037</v>
      </c>
      <c r="M147" s="1658">
        <f t="shared" si="16"/>
        <v>2042</v>
      </c>
      <c r="N147" s="1658">
        <f t="shared" si="16"/>
        <v>2047</v>
      </c>
      <c r="O147" s="1658">
        <f t="shared" si="16"/>
        <v>2052</v>
      </c>
    </row>
    <row r="148" spans="1:25">
      <c r="U148" s="37"/>
      <c r="V148" s="37"/>
      <c r="W148" s="37"/>
      <c r="X148" s="37"/>
      <c r="Y148" s="37"/>
    </row>
    <row r="149" spans="1:25" s="37" customFormat="1">
      <c r="A149" s="605"/>
      <c r="B149" s="605"/>
      <c r="C149" s="605" t="s">
        <v>1547</v>
      </c>
      <c r="D149" s="605"/>
      <c r="E149" s="605"/>
      <c r="F149" s="1668">
        <f t="shared" ref="F149:O149" si="17">F23</f>
        <v>4131400.6269565793</v>
      </c>
      <c r="G149" s="1668">
        <f t="shared" si="17"/>
        <v>5629347.3000000007</v>
      </c>
      <c r="H149" s="1668">
        <f t="shared" si="17"/>
        <v>7533336.5420535039</v>
      </c>
      <c r="I149" s="1668">
        <f t="shared" si="17"/>
        <v>10081303.64524474</v>
      </c>
      <c r="J149" s="1668">
        <f t="shared" si="17"/>
        <v>13491058.393618632</v>
      </c>
      <c r="K149" s="1668">
        <f t="shared" si="17"/>
        <v>16500000</v>
      </c>
      <c r="L149" s="1668">
        <f t="shared" si="17"/>
        <v>16500000</v>
      </c>
      <c r="M149" s="1668">
        <f t="shared" si="17"/>
        <v>16500000</v>
      </c>
      <c r="N149" s="1668">
        <f t="shared" si="17"/>
        <v>16500000</v>
      </c>
      <c r="O149" s="1668">
        <f t="shared" si="17"/>
        <v>16500000</v>
      </c>
      <c r="P149" s="605"/>
      <c r="Q149" s="605"/>
      <c r="R149" s="605"/>
      <c r="U149" s="605"/>
      <c r="V149" s="605"/>
      <c r="W149" s="605"/>
      <c r="X149" s="605"/>
      <c r="Y149" s="605"/>
    </row>
    <row r="150" spans="1:25" s="37" customFormat="1">
      <c r="A150" s="605"/>
      <c r="B150" s="422" t="s">
        <v>1311</v>
      </c>
      <c r="C150" s="605" t="s">
        <v>1548</v>
      </c>
      <c r="D150" s="605"/>
      <c r="E150" s="605"/>
      <c r="F150" s="1863">
        <f>$D$91</f>
        <v>0.6</v>
      </c>
      <c r="G150" s="1863">
        <f t="shared" ref="G150:O150" si="18">$D$91</f>
        <v>0.6</v>
      </c>
      <c r="H150" s="1863">
        <f t="shared" si="18"/>
        <v>0.6</v>
      </c>
      <c r="I150" s="1863">
        <f t="shared" si="18"/>
        <v>0.6</v>
      </c>
      <c r="J150" s="1863">
        <f t="shared" si="18"/>
        <v>0.6</v>
      </c>
      <c r="K150" s="1863">
        <f t="shared" si="18"/>
        <v>0.6</v>
      </c>
      <c r="L150" s="1863">
        <f t="shared" si="18"/>
        <v>0.6</v>
      </c>
      <c r="M150" s="1863">
        <f t="shared" si="18"/>
        <v>0.6</v>
      </c>
      <c r="N150" s="1863">
        <f t="shared" si="18"/>
        <v>0.6</v>
      </c>
      <c r="O150" s="1863">
        <f t="shared" si="18"/>
        <v>0.6</v>
      </c>
      <c r="P150" s="605"/>
      <c r="Q150" s="605"/>
      <c r="R150" s="605"/>
      <c r="U150" s="605"/>
      <c r="V150" s="605"/>
      <c r="W150" s="605"/>
      <c r="X150" s="605"/>
      <c r="Y150" s="605"/>
    </row>
    <row r="151" spans="1:25">
      <c r="B151" s="1400" t="s">
        <v>796</v>
      </c>
      <c r="C151" s="2876" t="s">
        <v>1549</v>
      </c>
      <c r="D151" s="37"/>
      <c r="E151" s="37" t="str">
        <f>preferences.energyunits</f>
        <v>TWh</v>
      </c>
      <c r="F151" s="1864">
        <f>$E65</f>
        <v>4.3875000000000001E-8</v>
      </c>
      <c r="G151" s="1864">
        <f>$E65</f>
        <v>4.3875000000000001E-8</v>
      </c>
      <c r="H151" s="1883">
        <f>IF(H149=$E$106,$E$69,$E$65*($E$69/$E$65)^((H147-$G$147)/($F$69-$G$147)))</f>
        <v>4.3875000000000001E-8</v>
      </c>
      <c r="I151" s="1883">
        <f>IF(I149=$E$106,$E$69,$E$65*($E$69/$E$65)^((I147-$G$147)/($F$69-$G$147)))</f>
        <v>4.3875000000000001E-8</v>
      </c>
      <c r="J151" s="1883">
        <f>IF(J149=$E$106,$E$69,$E$65*($E$69/$E$65)^((J147-$G$147)/($F$69-$G$147)))</f>
        <v>4.3875000000000001E-8</v>
      </c>
      <c r="K151" s="1883">
        <f>IF(K149=$E$106,$E$69,$E$65*($E$69/$E$65)^((K147-$G$147)/($F$69-$G$147)))</f>
        <v>4.3875000000000001E-8</v>
      </c>
      <c r="L151" s="1883">
        <f>IF(L149=$E$106,$E$69,$E$69*($E$69/$E$65)^((L147-$G$147)/($F$69-$G$147)))</f>
        <v>4.3875000000000001E-8</v>
      </c>
      <c r="M151" s="1883">
        <f>IF(M149=$E$106,$E$69,$E$69*($E$69/$E$65)^((M147-$G$147)/($F$69-$G$147)))</f>
        <v>4.3875000000000001E-8</v>
      </c>
      <c r="N151" s="1883">
        <f>IF(N149=$E$106,$E$69,$E$69*($E$69/$E$65)^((N147-$G$147)/($F$69-$G$147)))</f>
        <v>4.3875000000000001E-8</v>
      </c>
      <c r="O151" s="1883">
        <f>IF(O149=$E$106,$E$69,$E$69*($E$69/$E$65)^((O147-$G$147)/($F$69-$G$147)))</f>
        <v>4.3875000000000001E-8</v>
      </c>
      <c r="P151" s="37"/>
      <c r="Q151" s="37"/>
      <c r="R151" s="37"/>
    </row>
    <row r="152" spans="1:25">
      <c r="B152" s="1400" t="s">
        <v>1311</v>
      </c>
      <c r="C152" s="37" t="s">
        <v>1550</v>
      </c>
      <c r="D152" s="37"/>
      <c r="E152" s="37" t="s">
        <v>1567</v>
      </c>
      <c r="F152" s="1864">
        <f>$D65</f>
        <v>500</v>
      </c>
      <c r="G152" s="1864">
        <f>$D65</f>
        <v>500</v>
      </c>
      <c r="H152" s="1883">
        <f t="shared" ref="H152:O152" si="19">IF(H149=$E$106,$D$69,$D$65*($D$69/$D$65)^((H147-$G$147)/($F$69-$G$147)))</f>
        <v>500</v>
      </c>
      <c r="I152" s="1883">
        <f t="shared" si="19"/>
        <v>500</v>
      </c>
      <c r="J152" s="1883">
        <f t="shared" si="19"/>
        <v>500</v>
      </c>
      <c r="K152" s="1883">
        <f t="shared" si="19"/>
        <v>500</v>
      </c>
      <c r="L152" s="1883">
        <f t="shared" si="19"/>
        <v>500</v>
      </c>
      <c r="M152" s="1883">
        <f t="shared" si="19"/>
        <v>500</v>
      </c>
      <c r="N152" s="1883">
        <f t="shared" si="19"/>
        <v>500</v>
      </c>
      <c r="O152" s="1883">
        <f t="shared" si="19"/>
        <v>500</v>
      </c>
      <c r="P152" s="37"/>
      <c r="Q152" s="37"/>
      <c r="R152" s="37"/>
    </row>
    <row r="153" spans="1:25">
      <c r="B153" s="1865" t="s">
        <v>276</v>
      </c>
      <c r="C153" s="423" t="s">
        <v>1551</v>
      </c>
      <c r="E153" s="423" t="str">
        <f>preferences.energyunits</f>
        <v>TWh</v>
      </c>
      <c r="F153" s="858">
        <f>F149*F150*F151*F152</f>
        <v>54.379560752315975</v>
      </c>
      <c r="G153" s="858">
        <f t="shared" ref="G153:O153" si="20">G149*G150*G151*G152</f>
        <v>74.096283836250009</v>
      </c>
      <c r="H153" s="858">
        <f t="shared" si="20"/>
        <v>99.157542234779243</v>
      </c>
      <c r="I153" s="858">
        <f t="shared" si="20"/>
        <v>132.69515923053387</v>
      </c>
      <c r="J153" s="858">
        <f t="shared" si="20"/>
        <v>177.57605610600524</v>
      </c>
      <c r="K153" s="858">
        <f t="shared" si="20"/>
        <v>217.18125000000001</v>
      </c>
      <c r="L153" s="858">
        <f t="shared" si="20"/>
        <v>217.18125000000001</v>
      </c>
      <c r="M153" s="858">
        <f t="shared" si="20"/>
        <v>217.18125000000001</v>
      </c>
      <c r="N153" s="858">
        <f t="shared" si="20"/>
        <v>217.18125000000001</v>
      </c>
      <c r="O153" s="858">
        <f t="shared" si="20"/>
        <v>217.18125000000001</v>
      </c>
    </row>
    <row r="154" spans="1:25">
      <c r="B154" s="1865"/>
      <c r="C154" s="423"/>
      <c r="E154" s="423"/>
      <c r="F154" s="858"/>
      <c r="G154" s="858"/>
      <c r="H154" s="858"/>
      <c r="I154" s="858"/>
      <c r="J154" s="858"/>
      <c r="K154" s="858"/>
      <c r="L154" s="858"/>
      <c r="M154" s="858"/>
      <c r="N154" s="858"/>
      <c r="O154" s="858"/>
    </row>
    <row r="155" spans="1:25">
      <c r="B155" s="1865"/>
      <c r="C155" s="423"/>
      <c r="E155" s="423"/>
      <c r="F155" s="858"/>
      <c r="G155" s="858"/>
      <c r="H155" s="858"/>
      <c r="I155" s="858"/>
      <c r="J155" s="858"/>
      <c r="K155" s="858"/>
      <c r="L155" s="858"/>
      <c r="M155" s="858"/>
      <c r="N155" s="858"/>
      <c r="O155" s="858"/>
    </row>
    <row r="156" spans="1:25">
      <c r="B156" s="1865"/>
      <c r="C156" s="423"/>
      <c r="E156" s="423"/>
      <c r="F156" s="858"/>
      <c r="G156" s="858"/>
      <c r="H156" s="858"/>
      <c r="I156" s="858"/>
      <c r="J156" s="858"/>
      <c r="K156" s="858"/>
      <c r="L156" s="858"/>
      <c r="M156" s="858"/>
      <c r="N156" s="858"/>
      <c r="O156" s="858"/>
    </row>
    <row r="157" spans="1:25">
      <c r="B157" s="859">
        <v>1.3</v>
      </c>
      <c r="C157" s="1825" t="s">
        <v>1531</v>
      </c>
      <c r="D157" s="19"/>
      <c r="E157" s="423"/>
      <c r="F157" s="19"/>
      <c r="G157" s="1668"/>
      <c r="H157" s="1668"/>
      <c r="I157" s="1668"/>
      <c r="J157" s="1668"/>
      <c r="K157" s="1668"/>
      <c r="L157" s="1668"/>
      <c r="M157" s="1668"/>
      <c r="N157" s="1668"/>
      <c r="O157" s="1668"/>
    </row>
    <row r="158" spans="1:25">
      <c r="B158" s="859"/>
      <c r="C158" s="233"/>
      <c r="D158" s="51"/>
      <c r="E158" s="233" t="s">
        <v>1530</v>
      </c>
      <c r="F158" s="641">
        <v>2007</v>
      </c>
      <c r="G158" s="642">
        <f t="shared" ref="G158:O158" si="21">F158+5</f>
        <v>2012</v>
      </c>
      <c r="H158" s="642">
        <f t="shared" si="21"/>
        <v>2017</v>
      </c>
      <c r="I158" s="642">
        <f t="shared" si="21"/>
        <v>2022</v>
      </c>
      <c r="J158" s="642">
        <f t="shared" si="21"/>
        <v>2027</v>
      </c>
      <c r="K158" s="642">
        <f t="shared" si="21"/>
        <v>2032</v>
      </c>
      <c r="L158" s="642">
        <f t="shared" si="21"/>
        <v>2037</v>
      </c>
      <c r="M158" s="642">
        <f t="shared" si="21"/>
        <v>2042</v>
      </c>
      <c r="N158" s="642">
        <f t="shared" si="21"/>
        <v>2047</v>
      </c>
      <c r="O158" s="642">
        <f t="shared" si="21"/>
        <v>2052</v>
      </c>
    </row>
    <row r="159" spans="1:25">
      <c r="B159" s="859"/>
      <c r="C159" s="423"/>
      <c r="D159" s="51"/>
      <c r="E159" s="99"/>
      <c r="F159" s="73"/>
      <c r="G159" s="73"/>
      <c r="H159" s="73"/>
      <c r="I159" s="73"/>
      <c r="J159" s="73"/>
      <c r="K159" s="73"/>
      <c r="L159" s="73"/>
      <c r="M159" s="73"/>
      <c r="N159" s="73"/>
      <c r="O159" s="73"/>
    </row>
    <row r="160" spans="1:25">
      <c r="B160" s="60" t="s">
        <v>38</v>
      </c>
      <c r="C160" s="19" t="str">
        <f>INDEX(Vectors[Description], MATCH(B160, Vectors[Code], 0))</f>
        <v>Liquid hydrocarbons</v>
      </c>
      <c r="D160" s="51"/>
      <c r="E160" s="99" t="str">
        <f>preferences.energyunits</f>
        <v>TWh</v>
      </c>
      <c r="F160" s="90">
        <f t="shared" ref="F160:O160" si="22">F153</f>
        <v>54.379560752315975</v>
      </c>
      <c r="G160" s="90">
        <f t="shared" si="22"/>
        <v>74.096283836250009</v>
      </c>
      <c r="H160" s="90">
        <f t="shared" si="22"/>
        <v>99.157542234779243</v>
      </c>
      <c r="I160" s="90">
        <f t="shared" si="22"/>
        <v>132.69515923053387</v>
      </c>
      <c r="J160" s="90">
        <f t="shared" si="22"/>
        <v>177.57605610600524</v>
      </c>
      <c r="K160" s="90">
        <f t="shared" si="22"/>
        <v>217.18125000000001</v>
      </c>
      <c r="L160" s="90">
        <f t="shared" si="22"/>
        <v>217.18125000000001</v>
      </c>
      <c r="M160" s="90">
        <f t="shared" si="22"/>
        <v>217.18125000000001</v>
      </c>
      <c r="N160" s="90">
        <f t="shared" si="22"/>
        <v>217.18125000000001</v>
      </c>
      <c r="O160" s="90">
        <f t="shared" si="22"/>
        <v>217.18125000000001</v>
      </c>
    </row>
    <row r="161" spans="1:25">
      <c r="B161" s="1865"/>
      <c r="C161" s="423"/>
      <c r="E161" s="423"/>
      <c r="F161" s="858"/>
      <c r="G161" s="858"/>
      <c r="H161" s="858"/>
      <c r="I161" s="858"/>
      <c r="J161" s="858"/>
      <c r="K161" s="858"/>
      <c r="L161" s="858"/>
      <c r="M161" s="858"/>
      <c r="N161" s="858"/>
      <c r="O161" s="858"/>
    </row>
    <row r="162" spans="1:25">
      <c r="B162" s="859">
        <v>1.4</v>
      </c>
      <c r="C162" s="423" t="s">
        <v>1532</v>
      </c>
      <c r="D162" s="51"/>
      <c r="E162" s="51"/>
      <c r="F162" s="73"/>
      <c r="G162" s="73"/>
      <c r="H162" s="73"/>
      <c r="I162" s="73"/>
      <c r="J162" s="73"/>
      <c r="K162" s="73"/>
      <c r="L162" s="73"/>
      <c r="M162" s="73"/>
      <c r="N162" s="73"/>
      <c r="O162" s="73"/>
    </row>
    <row r="163" spans="1:25">
      <c r="B163" s="423"/>
      <c r="D163" s="51"/>
      <c r="E163" s="51"/>
      <c r="F163" s="90"/>
      <c r="G163" s="90"/>
      <c r="H163" s="90"/>
      <c r="I163" s="90"/>
      <c r="J163" s="90"/>
      <c r="K163" s="90"/>
      <c r="L163" s="90"/>
      <c r="M163" s="90"/>
      <c r="N163" s="90"/>
      <c r="O163" s="90"/>
    </row>
    <row r="164" spans="1:25">
      <c r="B164" s="423"/>
      <c r="C164" s="423" t="s">
        <v>846</v>
      </c>
      <c r="D164" s="51"/>
      <c r="E164" s="51"/>
      <c r="F164" s="73"/>
      <c r="G164" s="73"/>
      <c r="H164" s="73"/>
      <c r="I164" s="73"/>
      <c r="J164" s="73"/>
      <c r="K164" s="73"/>
      <c r="L164" s="73"/>
      <c r="M164" s="73"/>
      <c r="N164" s="73"/>
      <c r="O164" s="73"/>
    </row>
    <row r="165" spans="1:25" ht="14.25">
      <c r="B165" s="423"/>
      <c r="C165" s="605" t="s">
        <v>350</v>
      </c>
      <c r="D165" s="51"/>
      <c r="E165" s="99" t="s">
        <v>368</v>
      </c>
      <c r="F165" s="90">
        <f>F$160*INDEX(EF[CO2], MATCH("V.04", EF[Vector], 0))</f>
        <v>14.504333401004654</v>
      </c>
      <c r="G165" s="90">
        <f>G$160*INDEX(EF[CO2], MATCH("V.04", EF[Vector], 0))</f>
        <v>19.763256445403911</v>
      </c>
      <c r="H165" s="90">
        <f>H$160*INDEX(EF[CO2], MATCH("V.04", EF[Vector], 0))</f>
        <v>26.44769527190758</v>
      </c>
      <c r="I165" s="90">
        <f>I$160*INDEX(EF[CO2], MATCH("V.04", EF[Vector], 0))</f>
        <v>35.39298228143732</v>
      </c>
      <c r="J165" s="90">
        <f>J$160*INDEX(EF[CO2], MATCH("V.04", EF[Vector], 0))</f>
        <v>47.363794156563046</v>
      </c>
      <c r="K165" s="90">
        <f>K$160*INDEX(EF[CO2], MATCH("V.04", EF[Vector], 0))</f>
        <v>57.927449484092854</v>
      </c>
      <c r="L165" s="90">
        <f>L$160*INDEX(EF[CO2], MATCH("V.04", EF[Vector], 0))</f>
        <v>57.927449484092854</v>
      </c>
      <c r="M165" s="90">
        <f>M$160*INDEX(EF[CO2], MATCH("V.04", EF[Vector], 0))</f>
        <v>57.927449484092854</v>
      </c>
      <c r="N165" s="90">
        <f>N$160*INDEX(EF[CO2], MATCH("V.04", EF[Vector], 0))</f>
        <v>57.927449484092854</v>
      </c>
      <c r="O165" s="90">
        <f>O$160*INDEX(EF[CO2], MATCH("V.04", EF[Vector], 0))</f>
        <v>57.927449484092854</v>
      </c>
    </row>
    <row r="166" spans="1:25" ht="14.25">
      <c r="B166" s="423"/>
      <c r="C166" s="605" t="s">
        <v>351</v>
      </c>
      <c r="D166" s="51"/>
      <c r="E166" s="99" t="s">
        <v>368</v>
      </c>
      <c r="F166" s="90">
        <f>F$160*INDEX(EF[CH4], MATCH("V.04", EF[Vector], 0))</f>
        <v>0</v>
      </c>
      <c r="G166" s="90">
        <f>G$160*INDEX(EF[CH4], MATCH("V.04", EF[Vector], 0))</f>
        <v>0</v>
      </c>
      <c r="H166" s="90">
        <f>H$160*INDEX(EF[CH4], MATCH("V.04", EF[Vector], 0))</f>
        <v>0</v>
      </c>
      <c r="I166" s="90">
        <f>I$160*INDEX(EF[CH4], MATCH("V.04", EF[Vector], 0))</f>
        <v>0</v>
      </c>
      <c r="J166" s="90">
        <f>J$160*INDEX(EF[CH4], MATCH("V.04", EF[Vector], 0))</f>
        <v>0</v>
      </c>
      <c r="K166" s="90">
        <f>K$160*INDEX(EF[CH4], MATCH("V.04", EF[Vector], 0))</f>
        <v>0</v>
      </c>
      <c r="L166" s="90">
        <f>L$160*INDEX(EF[CH4], MATCH("V.04", EF[Vector], 0))</f>
        <v>0</v>
      </c>
      <c r="M166" s="90">
        <f>M$160*INDEX(EF[CH4], MATCH("V.04", EF[Vector], 0))</f>
        <v>0</v>
      </c>
      <c r="N166" s="90">
        <f>N$160*INDEX(EF[CH4], MATCH("V.04", EF[Vector], 0))</f>
        <v>0</v>
      </c>
      <c r="O166" s="90">
        <f>O$160*INDEX(EF[CH4], MATCH("V.04", EF[Vector], 0))</f>
        <v>0</v>
      </c>
    </row>
    <row r="167" spans="1:25" ht="14.25">
      <c r="B167" s="423"/>
      <c r="C167" s="605" t="s">
        <v>352</v>
      </c>
      <c r="D167" s="51"/>
      <c r="E167" s="99" t="s">
        <v>368</v>
      </c>
      <c r="F167" s="90">
        <f>F$160*INDEX(EF[N2O], MATCH("V.04", EF[Vector], 0))</f>
        <v>0</v>
      </c>
      <c r="G167" s="90">
        <f>G$160*INDEX(EF[N2O], MATCH("V.04", EF[Vector], 0))</f>
        <v>0</v>
      </c>
      <c r="H167" s="90">
        <f>H$160*INDEX(EF[N2O], MATCH("V.04", EF[Vector], 0))</f>
        <v>0</v>
      </c>
      <c r="I167" s="90">
        <f>I$160*INDEX(EF[N2O], MATCH("V.04", EF[Vector], 0))</f>
        <v>0</v>
      </c>
      <c r="J167" s="90">
        <f>J$160*INDEX(EF[N2O], MATCH("V.04", EF[Vector], 0))</f>
        <v>0</v>
      </c>
      <c r="K167" s="90">
        <f>K$160*INDEX(EF[N2O], MATCH("V.04", EF[Vector], 0))</f>
        <v>0</v>
      </c>
      <c r="L167" s="90">
        <f>L$160*INDEX(EF[N2O], MATCH("V.04", EF[Vector], 0))</f>
        <v>0</v>
      </c>
      <c r="M167" s="90">
        <f>M$160*INDEX(EF[N2O], MATCH("V.04", EF[Vector], 0))</f>
        <v>0</v>
      </c>
      <c r="N167" s="90">
        <f>N$160*INDEX(EF[N2O], MATCH("V.04", EF[Vector], 0))</f>
        <v>0</v>
      </c>
      <c r="O167" s="90">
        <f>O$160*INDEX(EF[N2O], MATCH("V.04", EF[Vector], 0))</f>
        <v>0</v>
      </c>
    </row>
    <row r="168" spans="1:25" s="241" customFormat="1">
      <c r="B168" s="897"/>
      <c r="D168" s="27"/>
      <c r="E168" s="1924"/>
      <c r="F168" s="1925"/>
      <c r="G168" s="1925"/>
      <c r="H168" s="1925"/>
      <c r="I168" s="1925"/>
      <c r="J168" s="1925"/>
      <c r="K168" s="1925"/>
      <c r="L168" s="1925"/>
      <c r="M168" s="1925"/>
      <c r="N168" s="1925"/>
      <c r="O168" s="1925"/>
    </row>
    <row r="169" spans="1:25" ht="18">
      <c r="A169" s="62"/>
      <c r="B169" s="423">
        <v>2</v>
      </c>
      <c r="C169" s="423" t="s">
        <v>1582</v>
      </c>
      <c r="E169" s="423" t="s">
        <v>404</v>
      </c>
      <c r="F169" s="1658">
        <v>2007</v>
      </c>
      <c r="G169" s="1658">
        <f>F169+5</f>
        <v>2012</v>
      </c>
      <c r="H169" s="1658">
        <f t="shared" ref="H169:O169" si="23">G169+5</f>
        <v>2017</v>
      </c>
      <c r="I169" s="1658">
        <f t="shared" si="23"/>
        <v>2022</v>
      </c>
      <c r="J169" s="1658">
        <f t="shared" si="23"/>
        <v>2027</v>
      </c>
      <c r="K169" s="1658">
        <f t="shared" si="23"/>
        <v>2032</v>
      </c>
      <c r="L169" s="1658">
        <f t="shared" si="23"/>
        <v>2037</v>
      </c>
      <c r="M169" s="1658">
        <f t="shared" si="23"/>
        <v>2042</v>
      </c>
      <c r="N169" s="1658">
        <f t="shared" si="23"/>
        <v>2047</v>
      </c>
      <c r="O169" s="1658">
        <f t="shared" si="23"/>
        <v>2052</v>
      </c>
      <c r="U169" s="37"/>
      <c r="V169" s="37"/>
      <c r="W169" s="37"/>
      <c r="X169" s="37"/>
      <c r="Y169" s="37"/>
    </row>
    <row r="170" spans="1:25">
      <c r="A170" s="19"/>
      <c r="F170" s="1668"/>
      <c r="G170" s="1668"/>
      <c r="H170" s="1668"/>
      <c r="I170" s="1668"/>
      <c r="J170" s="1668"/>
      <c r="K170" s="1668"/>
      <c r="L170" s="1668"/>
      <c r="M170" s="1668"/>
      <c r="N170" s="1668"/>
      <c r="O170" s="1668"/>
      <c r="U170" s="37"/>
      <c r="V170" s="37"/>
      <c r="W170" s="37"/>
      <c r="X170" s="37"/>
      <c r="Y170" s="37"/>
    </row>
    <row r="171" spans="1:25">
      <c r="A171" s="19"/>
      <c r="C171" s="605" t="s">
        <v>1583</v>
      </c>
      <c r="E171" s="605" t="str">
        <f>preferences.energyunits</f>
        <v>TWh</v>
      </c>
      <c r="F171" s="1866">
        <f>E112</f>
        <v>122.9</v>
      </c>
      <c r="G171" s="1866">
        <f>F112</f>
        <v>163.667</v>
      </c>
      <c r="H171" s="1866">
        <f>G171*(1+$D32)^5</f>
        <v>232.2456702478396</v>
      </c>
      <c r="I171" s="1866">
        <f>H171*(1+$D32)^5</f>
        <v>329.55972400586705</v>
      </c>
      <c r="J171" s="1866">
        <f>I171*(1+$E32)^5</f>
        <v>430.72137899897979</v>
      </c>
      <c r="K171" s="1866">
        <f>J171*(1+$E32)^5</f>
        <v>562.93561625716131</v>
      </c>
      <c r="L171" s="1866">
        <f>K171*(1+$F32)^5</f>
        <v>668.5909223895145</v>
      </c>
      <c r="M171" s="1866">
        <f>L171*(1+$F32)^5</f>
        <v>794.07628260183867</v>
      </c>
      <c r="N171" s="1866">
        <f>M171*(1+$G32)^5</f>
        <v>876.72437989710829</v>
      </c>
      <c r="O171" s="1866">
        <f>N171*(1+$G32)^5</f>
        <v>967.97455754182124</v>
      </c>
      <c r="S171" s="37"/>
      <c r="T171" s="37"/>
    </row>
    <row r="172" spans="1:25">
      <c r="A172" s="19"/>
      <c r="B172" s="1401" t="s">
        <v>796</v>
      </c>
      <c r="C172" s="19" t="s">
        <v>1584</v>
      </c>
      <c r="D172" s="37"/>
      <c r="E172" s="19" t="s">
        <v>277</v>
      </c>
      <c r="F172" s="1904">
        <f t="shared" ref="F172:O172" si="24">F134</f>
        <v>0.19</v>
      </c>
      <c r="G172" s="1904">
        <f t="shared" si="24"/>
        <v>0.17</v>
      </c>
      <c r="H172" s="1904">
        <f t="shared" si="24"/>
        <v>0.17375000000000002</v>
      </c>
      <c r="I172" s="1904">
        <f t="shared" si="24"/>
        <v>0.17750000000000002</v>
      </c>
      <c r="J172" s="1904">
        <f t="shared" si="24"/>
        <v>0.18125000000000002</v>
      </c>
      <c r="K172" s="1904">
        <f t="shared" si="24"/>
        <v>0.18500000000000003</v>
      </c>
      <c r="L172" s="1904">
        <f t="shared" si="24"/>
        <v>0.18875000000000003</v>
      </c>
      <c r="M172" s="1904">
        <f t="shared" si="24"/>
        <v>0.19250000000000003</v>
      </c>
      <c r="N172" s="1904">
        <f t="shared" si="24"/>
        <v>0.19625000000000004</v>
      </c>
      <c r="O172" s="1904">
        <f t="shared" si="24"/>
        <v>0.2</v>
      </c>
      <c r="P172" s="37"/>
      <c r="Q172" s="37"/>
      <c r="R172" s="37"/>
    </row>
    <row r="173" spans="1:25">
      <c r="A173" s="19"/>
      <c r="B173" s="1401" t="s">
        <v>1311</v>
      </c>
      <c r="C173" s="19" t="s">
        <v>1585</v>
      </c>
      <c r="D173" s="37"/>
      <c r="E173" s="19" t="s">
        <v>277</v>
      </c>
      <c r="F173" s="1867">
        <v>1</v>
      </c>
      <c r="G173" s="1867">
        <f t="shared" ref="G173:O173" si="25">G59/$G59</f>
        <v>1</v>
      </c>
      <c r="H173" s="1867">
        <f t="shared" si="25"/>
        <v>1</v>
      </c>
      <c r="I173" s="1867">
        <f t="shared" si="25"/>
        <v>1</v>
      </c>
      <c r="J173" s="1867">
        <f t="shared" si="25"/>
        <v>1</v>
      </c>
      <c r="K173" s="1867">
        <f t="shared" si="25"/>
        <v>1</v>
      </c>
      <c r="L173" s="1867">
        <f t="shared" si="25"/>
        <v>1</v>
      </c>
      <c r="M173" s="1867">
        <f t="shared" si="25"/>
        <v>1</v>
      </c>
      <c r="N173" s="1867">
        <f t="shared" si="25"/>
        <v>1</v>
      </c>
      <c r="O173" s="1867">
        <f t="shared" si="25"/>
        <v>1</v>
      </c>
      <c r="P173" s="37"/>
      <c r="Q173" s="37"/>
      <c r="R173" s="37"/>
    </row>
    <row r="174" spans="1:25">
      <c r="A174" s="19"/>
      <c r="B174" s="1401" t="s">
        <v>276</v>
      </c>
      <c r="C174" s="423" t="s">
        <v>1586</v>
      </c>
      <c r="D174" s="145"/>
      <c r="E174" s="423" t="str">
        <f>preferences.energyunits</f>
        <v>TWh</v>
      </c>
      <c r="F174" s="1867">
        <f>E114</f>
        <v>23.900000000000006</v>
      </c>
      <c r="G174" s="1867">
        <f>F114</f>
        <v>27.266999999999996</v>
      </c>
      <c r="H174" s="1867">
        <f t="shared" ref="H174:O174" si="26">H171*H172*H173</f>
        <v>40.352685205562132</v>
      </c>
      <c r="I174" s="1867">
        <f t="shared" si="26"/>
        <v>58.496851011041407</v>
      </c>
      <c r="J174" s="1867">
        <f t="shared" si="26"/>
        <v>78.068249943565093</v>
      </c>
      <c r="K174" s="1867">
        <f t="shared" si="26"/>
        <v>104.14308900757486</v>
      </c>
      <c r="L174" s="1867">
        <f t="shared" si="26"/>
        <v>126.19653660102088</v>
      </c>
      <c r="M174" s="1867">
        <f t="shared" si="26"/>
        <v>152.85968440085398</v>
      </c>
      <c r="N174" s="1867">
        <f t="shared" si="26"/>
        <v>172.05715955480753</v>
      </c>
      <c r="O174" s="1867">
        <f t="shared" si="26"/>
        <v>193.59491150836425</v>
      </c>
      <c r="P174" s="37"/>
      <c r="Q174" s="37"/>
      <c r="R174" s="37"/>
    </row>
    <row r="175" spans="1:25">
      <c r="A175" s="19"/>
      <c r="B175" s="60" t="s">
        <v>38</v>
      </c>
      <c r="C175" s="19" t="str">
        <f>INDEX(Vectors[Description], MATCH(B175, Vectors[Code], 0))</f>
        <v>Liquid hydrocarbons</v>
      </c>
      <c r="D175" s="51"/>
      <c r="E175" s="508" t="str">
        <f>preferences.energyunits</f>
        <v>TWh</v>
      </c>
      <c r="F175" s="1867">
        <f>F174</f>
        <v>23.900000000000006</v>
      </c>
      <c r="G175" s="1867">
        <f t="shared" ref="G175:O175" si="27">G174</f>
        <v>27.266999999999996</v>
      </c>
      <c r="H175" s="1867">
        <f t="shared" si="27"/>
        <v>40.352685205562132</v>
      </c>
      <c r="I175" s="1867">
        <f t="shared" si="27"/>
        <v>58.496851011041407</v>
      </c>
      <c r="J175" s="1867">
        <f t="shared" si="27"/>
        <v>78.068249943565093</v>
      </c>
      <c r="K175" s="1867">
        <f t="shared" si="27"/>
        <v>104.14308900757486</v>
      </c>
      <c r="L175" s="1867">
        <f t="shared" si="27"/>
        <v>126.19653660102088</v>
      </c>
      <c r="M175" s="1867">
        <f t="shared" si="27"/>
        <v>152.85968440085398</v>
      </c>
      <c r="N175" s="1867">
        <f t="shared" si="27"/>
        <v>172.05715955480753</v>
      </c>
      <c r="O175" s="1867">
        <f t="shared" si="27"/>
        <v>193.59491150836425</v>
      </c>
      <c r="P175" s="37"/>
      <c r="Q175" s="37"/>
      <c r="R175" s="37"/>
    </row>
    <row r="176" spans="1:25">
      <c r="A176" s="19"/>
      <c r="B176" s="60"/>
      <c r="C176" s="19"/>
      <c r="D176" s="51"/>
      <c r="E176" s="99"/>
      <c r="F176" s="1867"/>
      <c r="G176" s="1867"/>
      <c r="H176" s="1867"/>
      <c r="I176" s="1867"/>
      <c r="J176" s="1867"/>
      <c r="K176" s="1867"/>
      <c r="L176" s="1867"/>
      <c r="M176" s="1867"/>
      <c r="N176" s="1867"/>
      <c r="O176" s="1867"/>
      <c r="P176" s="37"/>
      <c r="Q176" s="37"/>
      <c r="R176" s="37"/>
    </row>
    <row r="177" spans="1:25">
      <c r="A177" s="19"/>
      <c r="B177" s="1865"/>
      <c r="C177" s="423"/>
      <c r="E177" s="423"/>
      <c r="F177" s="858"/>
      <c r="G177" s="858"/>
      <c r="H177" s="858"/>
      <c r="I177" s="858"/>
      <c r="J177" s="858"/>
      <c r="K177" s="858"/>
      <c r="L177" s="858"/>
      <c r="M177" s="858"/>
      <c r="N177" s="858"/>
      <c r="O177" s="858"/>
      <c r="P177" s="37"/>
      <c r="Q177" s="37"/>
      <c r="R177" s="37"/>
    </row>
    <row r="178" spans="1:25">
      <c r="A178" s="19"/>
      <c r="B178" s="859">
        <v>2.2000000000000002</v>
      </c>
      <c r="C178" s="423" t="s">
        <v>1532</v>
      </c>
      <c r="D178" s="51"/>
      <c r="E178" s="51"/>
      <c r="F178" s="73"/>
      <c r="G178" s="73"/>
      <c r="H178" s="73"/>
      <c r="I178" s="73"/>
      <c r="J178" s="73"/>
      <c r="K178" s="73"/>
      <c r="L178" s="73"/>
      <c r="M178" s="73"/>
      <c r="N178" s="73"/>
      <c r="O178" s="73"/>
      <c r="P178" s="37"/>
      <c r="Q178" s="37"/>
      <c r="R178" s="37"/>
    </row>
    <row r="179" spans="1:25">
      <c r="A179" s="19"/>
      <c r="B179" s="423"/>
      <c r="D179" s="51"/>
      <c r="E179" s="51"/>
      <c r="F179" s="90"/>
      <c r="G179" s="90"/>
      <c r="H179" s="90"/>
      <c r="I179" s="90"/>
      <c r="J179" s="90"/>
      <c r="K179" s="90"/>
      <c r="L179" s="90"/>
      <c r="M179" s="90"/>
      <c r="N179" s="90"/>
      <c r="O179" s="90"/>
      <c r="P179" s="37"/>
      <c r="Q179" s="37"/>
      <c r="R179" s="37"/>
    </row>
    <row r="180" spans="1:25">
      <c r="A180" s="19"/>
      <c r="B180" s="423"/>
      <c r="C180" s="423" t="s">
        <v>846</v>
      </c>
      <c r="D180" s="51"/>
      <c r="E180" s="51"/>
      <c r="F180" s="73"/>
      <c r="G180" s="73"/>
      <c r="H180" s="73"/>
      <c r="I180" s="73"/>
      <c r="J180" s="73"/>
      <c r="K180" s="73"/>
      <c r="L180" s="73"/>
      <c r="M180" s="73"/>
      <c r="N180" s="73"/>
      <c r="O180" s="73"/>
      <c r="P180" s="37"/>
      <c r="Q180" s="37"/>
      <c r="R180" s="37"/>
    </row>
    <row r="181" spans="1:25" ht="14.25">
      <c r="A181" s="19"/>
      <c r="B181" s="423"/>
      <c r="C181" s="605" t="s">
        <v>350</v>
      </c>
      <c r="D181" s="51"/>
      <c r="E181" s="99" t="s">
        <v>368</v>
      </c>
      <c r="F181" s="90">
        <f>F$175*INDEX(EF[CO2], MATCH("V.04", EF[Vector], 0))</f>
        <v>6.3747033533963897</v>
      </c>
      <c r="G181" s="90">
        <f>G$175*INDEX(EF[CO2], MATCH("V.04", EF[Vector], 0))</f>
        <v>7.2727630266552001</v>
      </c>
      <c r="H181" s="90">
        <f>H$175*INDEX(EF[CO2], MATCH("V.04", EF[Vector], 0))</f>
        <v>10.763029192403588</v>
      </c>
      <c r="I181" s="90">
        <f>I$175*INDEX(EF[CO2], MATCH("V.04", EF[Vector], 0))</f>
        <v>15.602513485490148</v>
      </c>
      <c r="J181" s="90">
        <f>J$175*INDEX(EF[CO2], MATCH("V.04", EF[Vector], 0))</f>
        <v>20.822675092428106</v>
      </c>
      <c r="K181" s="90">
        <f>K$175*INDEX(EF[CO2], MATCH("V.04", EF[Vector], 0))</f>
        <v>27.777460197893134</v>
      </c>
      <c r="L181" s="90">
        <f>L$175*INDEX(EF[CO2], MATCH("V.04", EF[Vector], 0))</f>
        <v>33.65964372625681</v>
      </c>
      <c r="M181" s="90">
        <f>M$175*INDEX(EF[CO2], MATCH("V.04", EF[Vector], 0))</f>
        <v>40.771344884905332</v>
      </c>
      <c r="N181" s="90">
        <f>N$175*INDEX(EF[CO2], MATCH("V.04", EF[Vector], 0))</f>
        <v>45.891772049786148</v>
      </c>
      <c r="O181" s="90">
        <f>O$175*INDEX(EF[CO2], MATCH("V.04", EF[Vector], 0))</f>
        <v>51.636407179617009</v>
      </c>
      <c r="P181" s="37"/>
      <c r="Q181" s="37"/>
      <c r="R181" s="37"/>
    </row>
    <row r="182" spans="1:25" ht="14.25">
      <c r="A182" s="19"/>
      <c r="B182" s="423"/>
      <c r="C182" s="605" t="s">
        <v>351</v>
      </c>
      <c r="D182" s="51"/>
      <c r="E182" s="99" t="s">
        <v>368</v>
      </c>
      <c r="F182" s="90">
        <f>F$175*INDEX(EF[CH4], MATCH("V.04", EF[Vector], 0))</f>
        <v>0</v>
      </c>
      <c r="G182" s="90">
        <f>G$175*INDEX(EF[CH4], MATCH("V.04", EF[Vector], 0))</f>
        <v>0</v>
      </c>
      <c r="H182" s="90">
        <f>H$175*INDEX(EF[CH4], MATCH("V.04", EF[Vector], 0))</f>
        <v>0</v>
      </c>
      <c r="I182" s="90">
        <f>I$175*INDEX(EF[CH4], MATCH("V.04", EF[Vector], 0))</f>
        <v>0</v>
      </c>
      <c r="J182" s="90">
        <f>J$175*INDEX(EF[CH4], MATCH("V.04", EF[Vector], 0))</f>
        <v>0</v>
      </c>
      <c r="K182" s="90">
        <f>K$175*INDEX(EF[CH4], MATCH("V.04", EF[Vector], 0))</f>
        <v>0</v>
      </c>
      <c r="L182" s="90">
        <f>L$175*INDEX(EF[CH4], MATCH("V.04", EF[Vector], 0))</f>
        <v>0</v>
      </c>
      <c r="M182" s="90">
        <f>M$175*INDEX(EF[CH4], MATCH("V.04", EF[Vector], 0))</f>
        <v>0</v>
      </c>
      <c r="N182" s="90">
        <f>N$175*INDEX(EF[CH4], MATCH("V.04", EF[Vector], 0))</f>
        <v>0</v>
      </c>
      <c r="O182" s="90">
        <f>O$160*INDEX(EF[CH4], MATCH("V.04", EF[Vector], 0))</f>
        <v>0</v>
      </c>
      <c r="P182" s="37"/>
      <c r="Q182" s="37"/>
      <c r="R182" s="37"/>
    </row>
    <row r="183" spans="1:25" ht="14.25">
      <c r="A183" s="19"/>
      <c r="B183" s="423"/>
      <c r="C183" s="605" t="s">
        <v>352</v>
      </c>
      <c r="D183" s="51"/>
      <c r="E183" s="99" t="s">
        <v>368</v>
      </c>
      <c r="F183" s="90">
        <f>F$175*INDEX(EF[N2O], MATCH("V.04", EF[Vector], 0))</f>
        <v>0</v>
      </c>
      <c r="G183" s="90">
        <f>G$175*INDEX(EF[N2O], MATCH("V.04", EF[Vector], 0))</f>
        <v>0</v>
      </c>
      <c r="H183" s="90">
        <f>H$175*INDEX(EF[N2O], MATCH("V.04", EF[Vector], 0))</f>
        <v>0</v>
      </c>
      <c r="I183" s="90">
        <f>I$175*INDEX(EF[N2O], MATCH("V.04", EF[Vector], 0))</f>
        <v>0</v>
      </c>
      <c r="J183" s="90">
        <f>J$175*INDEX(EF[N2O], MATCH("V.04", EF[Vector], 0))</f>
        <v>0</v>
      </c>
      <c r="K183" s="90">
        <f>K$175*INDEX(EF[N2O], MATCH("V.04", EF[Vector], 0))</f>
        <v>0</v>
      </c>
      <c r="L183" s="90">
        <f>L$175*INDEX(EF[N2O], MATCH("V.04", EF[Vector], 0))</f>
        <v>0</v>
      </c>
      <c r="M183" s="90">
        <f>M$175*INDEX(EF[N2O], MATCH("V.04", EF[Vector], 0))</f>
        <v>0</v>
      </c>
      <c r="N183" s="90">
        <f>N$175*INDEX(EF[N2O], MATCH("V.04", EF[Vector], 0))</f>
        <v>0</v>
      </c>
      <c r="O183" s="90">
        <f>O$175*INDEX(EF[N2O], MATCH("V.04", EF[Vector], 0))</f>
        <v>0</v>
      </c>
      <c r="P183" s="37"/>
      <c r="Q183" s="37"/>
      <c r="R183" s="37"/>
    </row>
    <row r="184" spans="1:25" s="241" customFormat="1">
      <c r="A184" s="1926"/>
      <c r="B184" s="1927"/>
      <c r="E184" s="1927"/>
      <c r="F184" s="1928"/>
      <c r="G184" s="1928"/>
      <c r="H184" s="1928"/>
      <c r="I184" s="1928"/>
      <c r="J184" s="1928"/>
      <c r="K184" s="1928"/>
      <c r="L184" s="1928"/>
      <c r="M184" s="1928"/>
      <c r="N184" s="1928"/>
      <c r="O184" s="1928"/>
    </row>
    <row r="185" spans="1:25">
      <c r="B185" s="856"/>
      <c r="C185" s="423"/>
      <c r="E185" s="422"/>
      <c r="F185" s="1658"/>
      <c r="G185" s="1658"/>
      <c r="H185" s="1658"/>
      <c r="I185" s="1658"/>
      <c r="J185" s="1658"/>
      <c r="K185" s="1658"/>
      <c r="L185" s="1658"/>
      <c r="M185" s="1658"/>
      <c r="N185" s="1658"/>
      <c r="O185" s="1658"/>
    </row>
    <row r="186" spans="1:25">
      <c r="B186" s="423">
        <v>3</v>
      </c>
      <c r="C186" s="423" t="s">
        <v>1592</v>
      </c>
      <c r="E186" s="423" t="s">
        <v>404</v>
      </c>
      <c r="F186" s="1658">
        <v>2007</v>
      </c>
      <c r="G186" s="1658">
        <f t="shared" ref="G186:O186" si="28">F186+5</f>
        <v>2012</v>
      </c>
      <c r="H186" s="1658">
        <f t="shared" si="28"/>
        <v>2017</v>
      </c>
      <c r="I186" s="1658">
        <f t="shared" si="28"/>
        <v>2022</v>
      </c>
      <c r="J186" s="1658">
        <f t="shared" si="28"/>
        <v>2027</v>
      </c>
      <c r="K186" s="1658">
        <f t="shared" si="28"/>
        <v>2032</v>
      </c>
      <c r="L186" s="1658">
        <f t="shared" si="28"/>
        <v>2037</v>
      </c>
      <c r="M186" s="1658">
        <f t="shared" si="28"/>
        <v>2042</v>
      </c>
      <c r="N186" s="1658">
        <f t="shared" si="28"/>
        <v>2047</v>
      </c>
      <c r="O186" s="1658">
        <f t="shared" si="28"/>
        <v>2052</v>
      </c>
    </row>
    <row r="187" spans="1:25">
      <c r="F187" s="1668"/>
      <c r="G187" s="1668"/>
      <c r="H187" s="1668"/>
      <c r="I187" s="1668"/>
      <c r="J187" s="1668"/>
      <c r="K187" s="1668"/>
      <c r="L187" s="1668"/>
      <c r="M187" s="1668"/>
      <c r="N187" s="1668"/>
      <c r="O187" s="1668"/>
      <c r="S187" s="37"/>
      <c r="T187" s="37"/>
    </row>
    <row r="188" spans="1:25">
      <c r="C188" s="605" t="s">
        <v>1583</v>
      </c>
      <c r="E188" s="605" t="str">
        <f>preferences.energyunits</f>
        <v>TWh</v>
      </c>
      <c r="F188" s="1866">
        <f t="shared" ref="F188:O188" si="29">F171</f>
        <v>122.9</v>
      </c>
      <c r="G188" s="1866">
        <f t="shared" si="29"/>
        <v>163.667</v>
      </c>
      <c r="H188" s="1866">
        <f t="shared" si="29"/>
        <v>232.2456702478396</v>
      </c>
      <c r="I188" s="1866">
        <f t="shared" si="29"/>
        <v>329.55972400586705</v>
      </c>
      <c r="J188" s="1866">
        <f t="shared" si="29"/>
        <v>430.72137899897979</v>
      </c>
      <c r="K188" s="1866">
        <f t="shared" si="29"/>
        <v>562.93561625716131</v>
      </c>
      <c r="L188" s="1866">
        <f t="shared" si="29"/>
        <v>668.5909223895145</v>
      </c>
      <c r="M188" s="1866">
        <f t="shared" si="29"/>
        <v>794.07628260183867</v>
      </c>
      <c r="N188" s="1866">
        <f t="shared" si="29"/>
        <v>876.72437989710829</v>
      </c>
      <c r="O188" s="1866">
        <f t="shared" si="29"/>
        <v>967.97455754182124</v>
      </c>
      <c r="P188" s="37"/>
      <c r="Q188" s="37"/>
      <c r="R188" s="37"/>
    </row>
    <row r="189" spans="1:25">
      <c r="B189" s="1401" t="s">
        <v>796</v>
      </c>
      <c r="C189" s="19" t="s">
        <v>1593</v>
      </c>
      <c r="D189" s="37"/>
      <c r="E189" s="19" t="s">
        <v>277</v>
      </c>
      <c r="F189" s="1904">
        <f t="shared" ref="F189:O189" si="30">F135</f>
        <v>0.81</v>
      </c>
      <c r="G189" s="1904">
        <f t="shared" si="30"/>
        <v>0.83</v>
      </c>
      <c r="H189" s="1904">
        <f t="shared" si="30"/>
        <v>0.82624999999999993</v>
      </c>
      <c r="I189" s="1904">
        <f t="shared" si="30"/>
        <v>0.8224999999999999</v>
      </c>
      <c r="J189" s="1904">
        <f t="shared" si="30"/>
        <v>0.81874999999999987</v>
      </c>
      <c r="K189" s="1904">
        <f t="shared" si="30"/>
        <v>0.81499999999999984</v>
      </c>
      <c r="L189" s="1904">
        <f t="shared" si="30"/>
        <v>0.8112499999999998</v>
      </c>
      <c r="M189" s="1904">
        <f t="shared" si="30"/>
        <v>0.80749999999999977</v>
      </c>
      <c r="N189" s="1904">
        <f t="shared" si="30"/>
        <v>0.80374999999999974</v>
      </c>
      <c r="O189" s="1904">
        <f t="shared" si="30"/>
        <v>0.8</v>
      </c>
    </row>
    <row r="190" spans="1:25">
      <c r="B190" s="1401" t="s">
        <v>1311</v>
      </c>
      <c r="C190" s="19" t="s">
        <v>1585</v>
      </c>
      <c r="D190" s="37"/>
      <c r="E190" s="19" t="s">
        <v>277</v>
      </c>
      <c r="F190" s="1904">
        <v>1</v>
      </c>
      <c r="G190" s="1904">
        <f t="shared" ref="G190:O190" si="31">G50/$G$50</f>
        <v>1</v>
      </c>
      <c r="H190" s="1904">
        <f t="shared" si="31"/>
        <v>0.98375150664161803</v>
      </c>
      <c r="I190" s="1904">
        <f t="shared" si="31"/>
        <v>0.96776702681965332</v>
      </c>
      <c r="J190" s="1904">
        <f t="shared" si="31"/>
        <v>0.95204227071191294</v>
      </c>
      <c r="K190" s="1904">
        <f t="shared" si="31"/>
        <v>0.93457943925233655</v>
      </c>
      <c r="L190" s="1904">
        <f t="shared" si="31"/>
        <v>0.93457943925233655</v>
      </c>
      <c r="M190" s="1904">
        <f t="shared" si="31"/>
        <v>0.93457943925233655</v>
      </c>
      <c r="N190" s="1904">
        <f t="shared" si="31"/>
        <v>0.93457943925233655</v>
      </c>
      <c r="O190" s="1904">
        <f t="shared" si="31"/>
        <v>0.93457943925233655</v>
      </c>
    </row>
    <row r="191" spans="1:25">
      <c r="B191" s="1401" t="s">
        <v>276</v>
      </c>
      <c r="C191" s="423" t="s">
        <v>1594</v>
      </c>
      <c r="D191" s="145"/>
      <c r="E191" s="423" t="str">
        <f>preferences.energyunits</f>
        <v>TWh</v>
      </c>
      <c r="F191" s="1867">
        <f>F188*F189*F190</f>
        <v>99.549000000000007</v>
      </c>
      <c r="G191" s="1867">
        <f t="shared" ref="G191:O191" si="32">G188*G189*G190</f>
        <v>135.84360999999998</v>
      </c>
      <c r="H191" s="1867">
        <f t="shared" si="32"/>
        <v>188.77501314929791</v>
      </c>
      <c r="I191" s="1867">
        <f t="shared" si="32"/>
        <v>262.32571067939568</v>
      </c>
      <c r="J191" s="1867">
        <f t="shared" si="32"/>
        <v>335.74068575957824</v>
      </c>
      <c r="K191" s="1867">
        <f t="shared" si="32"/>
        <v>428.7780628500808</v>
      </c>
      <c r="L191" s="1867">
        <f t="shared" si="32"/>
        <v>506.91064092382578</v>
      </c>
      <c r="M191" s="1867">
        <f t="shared" si="32"/>
        <v>599.26784878596698</v>
      </c>
      <c r="N191" s="1867">
        <f t="shared" si="32"/>
        <v>658.56749564700988</v>
      </c>
      <c r="O191" s="1867">
        <f t="shared" si="32"/>
        <v>723.71929535837114</v>
      </c>
    </row>
    <row r="192" spans="1:25" s="37" customFormat="1">
      <c r="A192" s="605"/>
      <c r="B192" s="60" t="s">
        <v>34</v>
      </c>
      <c r="C192" s="19" t="str">
        <f>INDEX(Vectors[Description], MATCH(B192, Vectors[Code], 0))</f>
        <v>Electricity (delivered to end user)</v>
      </c>
      <c r="D192" s="51"/>
      <c r="E192" s="508" t="str">
        <f>preferences.energyunits</f>
        <v>TWh</v>
      </c>
      <c r="F192" s="1867">
        <f t="shared" ref="F192:O192" si="33">F191</f>
        <v>99.549000000000007</v>
      </c>
      <c r="G192" s="1867">
        <f t="shared" si="33"/>
        <v>135.84360999999998</v>
      </c>
      <c r="H192" s="1867">
        <f t="shared" si="33"/>
        <v>188.77501314929791</v>
      </c>
      <c r="I192" s="1867">
        <f t="shared" si="33"/>
        <v>262.32571067939568</v>
      </c>
      <c r="J192" s="1867">
        <f t="shared" si="33"/>
        <v>335.74068575957824</v>
      </c>
      <c r="K192" s="1867">
        <f t="shared" si="33"/>
        <v>428.7780628500808</v>
      </c>
      <c r="L192" s="1867">
        <f t="shared" si="33"/>
        <v>506.91064092382578</v>
      </c>
      <c r="M192" s="1867">
        <f t="shared" si="33"/>
        <v>599.26784878596698</v>
      </c>
      <c r="N192" s="1867">
        <f t="shared" si="33"/>
        <v>658.56749564700988</v>
      </c>
      <c r="O192" s="1867">
        <f t="shared" si="33"/>
        <v>723.71929535837114</v>
      </c>
      <c r="P192" s="605"/>
      <c r="Q192" s="605"/>
      <c r="R192" s="605"/>
      <c r="S192" s="605"/>
      <c r="T192" s="605"/>
      <c r="U192" s="605"/>
      <c r="V192" s="605"/>
      <c r="W192" s="605"/>
      <c r="X192" s="605"/>
      <c r="Y192" s="605"/>
    </row>
    <row r="193" spans="1:33" s="37" customFormat="1">
      <c r="A193" s="605"/>
      <c r="B193" s="60"/>
      <c r="C193" s="19"/>
      <c r="D193" s="51"/>
      <c r="E193" s="99"/>
      <c r="F193" s="1867"/>
      <c r="G193" s="1867"/>
      <c r="H193" s="1867"/>
      <c r="I193" s="1867"/>
      <c r="J193" s="1867"/>
      <c r="K193" s="1867"/>
      <c r="L193" s="1867"/>
      <c r="M193" s="1867"/>
      <c r="N193" s="1867"/>
      <c r="O193" s="1867"/>
      <c r="P193" s="605"/>
      <c r="Q193" s="605"/>
      <c r="R193" s="605"/>
      <c r="U193" s="605"/>
      <c r="V193" s="605"/>
      <c r="W193" s="605"/>
      <c r="X193" s="605"/>
      <c r="Y193" s="605"/>
    </row>
    <row r="194" spans="1:33" ht="6.75" customHeight="1">
      <c r="B194" s="1865"/>
      <c r="C194" s="423"/>
      <c r="E194" s="423"/>
      <c r="F194" s="858"/>
      <c r="G194" s="858"/>
      <c r="H194" s="858"/>
      <c r="I194" s="858"/>
      <c r="J194" s="858"/>
      <c r="K194" s="858"/>
      <c r="L194" s="858"/>
      <c r="M194" s="858"/>
      <c r="N194" s="858"/>
      <c r="O194" s="858"/>
      <c r="P194" s="173"/>
      <c r="R194" s="51"/>
      <c r="S194" s="22"/>
      <c r="T194" s="51"/>
      <c r="U194" s="51"/>
      <c r="V194" s="51"/>
      <c r="W194" s="51"/>
      <c r="X194" s="51"/>
      <c r="Y194" s="51"/>
      <c r="Z194" s="51"/>
      <c r="AA194" s="51"/>
      <c r="AB194" s="51"/>
      <c r="AC194" s="51"/>
      <c r="AD194" s="51"/>
      <c r="AE194" s="51"/>
      <c r="AF194" s="51"/>
      <c r="AG194" s="51"/>
    </row>
    <row r="195" spans="1:33" ht="13.5" thickBot="1">
      <c r="A195" s="1929"/>
      <c r="B195" s="1930"/>
      <c r="C195" s="1931"/>
      <c r="D195" s="1932"/>
      <c r="E195" s="1932"/>
      <c r="F195" s="1933"/>
      <c r="G195" s="1933"/>
      <c r="H195" s="1933"/>
      <c r="I195" s="1933"/>
      <c r="J195" s="1933"/>
      <c r="K195" s="1933"/>
      <c r="L195" s="1933"/>
      <c r="M195" s="1933"/>
      <c r="N195" s="1933"/>
      <c r="O195" s="1933"/>
      <c r="P195" s="1929"/>
      <c r="Q195" s="1929"/>
      <c r="R195" s="1932"/>
      <c r="S195" s="22"/>
      <c r="T195" s="51"/>
      <c r="W195" s="51"/>
      <c r="Z195" s="51"/>
      <c r="AA195" s="51"/>
      <c r="AB195" s="51"/>
      <c r="AC195" s="51"/>
      <c r="AD195" s="51"/>
      <c r="AE195" s="51"/>
      <c r="AF195" s="51"/>
      <c r="AG195" s="51"/>
    </row>
    <row r="196" spans="1:33">
      <c r="B196" s="423"/>
      <c r="D196" s="51"/>
      <c r="E196" s="51"/>
      <c r="F196" s="90"/>
      <c r="G196" s="90"/>
      <c r="H196" s="90"/>
      <c r="I196" s="90"/>
      <c r="J196" s="90"/>
      <c r="K196" s="90"/>
      <c r="L196" s="90"/>
      <c r="M196" s="90"/>
      <c r="N196" s="90"/>
      <c r="O196" s="90"/>
    </row>
    <row r="197" spans="1:33">
      <c r="B197" s="423"/>
      <c r="C197" s="423"/>
      <c r="D197" s="51"/>
      <c r="E197" s="51"/>
      <c r="F197" s="73"/>
      <c r="G197" s="73"/>
      <c r="H197" s="73"/>
      <c r="I197" s="73"/>
      <c r="J197" s="73"/>
      <c r="K197" s="73"/>
      <c r="L197" s="73"/>
      <c r="M197" s="73"/>
      <c r="N197" s="73"/>
      <c r="O197" s="73"/>
    </row>
    <row r="198" spans="1:33">
      <c r="B198" s="423">
        <v>4</v>
      </c>
      <c r="C198" s="423" t="s">
        <v>1595</v>
      </c>
      <c r="E198" s="423" t="s">
        <v>404</v>
      </c>
      <c r="F198" s="1658">
        <v>2007</v>
      </c>
      <c r="G198" s="1658">
        <f t="shared" ref="G198:O198" si="34">F198+5</f>
        <v>2012</v>
      </c>
      <c r="H198" s="1658">
        <f t="shared" si="34"/>
        <v>2017</v>
      </c>
      <c r="I198" s="1658">
        <f t="shared" si="34"/>
        <v>2022</v>
      </c>
      <c r="J198" s="1658">
        <f t="shared" si="34"/>
        <v>2027</v>
      </c>
      <c r="K198" s="1658">
        <f t="shared" si="34"/>
        <v>2032</v>
      </c>
      <c r="L198" s="1658">
        <f t="shared" si="34"/>
        <v>2037</v>
      </c>
      <c r="M198" s="1658">
        <f t="shared" si="34"/>
        <v>2042</v>
      </c>
      <c r="N198" s="1658">
        <f t="shared" si="34"/>
        <v>2047</v>
      </c>
      <c r="O198" s="1658">
        <f t="shared" si="34"/>
        <v>2052</v>
      </c>
    </row>
    <row r="199" spans="1:33">
      <c r="F199" s="1668"/>
      <c r="G199" s="1668"/>
      <c r="H199" s="1668"/>
      <c r="I199" s="1668"/>
      <c r="J199" s="1668"/>
      <c r="K199" s="1668"/>
      <c r="L199" s="1668"/>
      <c r="M199" s="1668"/>
      <c r="N199" s="1668"/>
      <c r="O199" s="1668"/>
    </row>
    <row r="200" spans="1:33">
      <c r="C200" s="605" t="s">
        <v>1583</v>
      </c>
      <c r="E200" s="605" t="str">
        <f>preferences.energyunits</f>
        <v>TWh</v>
      </c>
      <c r="F200" s="1866">
        <f t="shared" ref="F200:O200" si="35">F188</f>
        <v>122.9</v>
      </c>
      <c r="G200" s="1866">
        <f t="shared" si="35"/>
        <v>163.667</v>
      </c>
      <c r="H200" s="1866">
        <f t="shared" si="35"/>
        <v>232.2456702478396</v>
      </c>
      <c r="I200" s="1866">
        <f t="shared" si="35"/>
        <v>329.55972400586705</v>
      </c>
      <c r="J200" s="1866">
        <f t="shared" si="35"/>
        <v>430.72137899897979</v>
      </c>
      <c r="K200" s="1866">
        <f t="shared" si="35"/>
        <v>562.93561625716131</v>
      </c>
      <c r="L200" s="1866">
        <f t="shared" si="35"/>
        <v>668.5909223895145</v>
      </c>
      <c r="M200" s="1866">
        <f t="shared" si="35"/>
        <v>794.07628260183867</v>
      </c>
      <c r="N200" s="1866">
        <f t="shared" si="35"/>
        <v>876.72437989710829</v>
      </c>
      <c r="O200" s="1866">
        <f t="shared" si="35"/>
        <v>967.97455754182124</v>
      </c>
    </row>
    <row r="201" spans="1:33">
      <c r="B201" s="1401" t="s">
        <v>796</v>
      </c>
      <c r="C201" s="19" t="s">
        <v>1596</v>
      </c>
      <c r="D201" s="37"/>
      <c r="E201" s="19" t="s">
        <v>277</v>
      </c>
      <c r="F201" s="1904">
        <f t="shared" ref="F201:O201" si="36">F136</f>
        <v>0</v>
      </c>
      <c r="G201" s="1904">
        <f t="shared" si="36"/>
        <v>0</v>
      </c>
      <c r="H201" s="1904">
        <f t="shared" si="36"/>
        <v>0</v>
      </c>
      <c r="I201" s="1904">
        <f t="shared" si="36"/>
        <v>0</v>
      </c>
      <c r="J201" s="1904">
        <f t="shared" si="36"/>
        <v>0</v>
      </c>
      <c r="K201" s="1904">
        <f t="shared" si="36"/>
        <v>0</v>
      </c>
      <c r="L201" s="1904">
        <f t="shared" si="36"/>
        <v>0</v>
      </c>
      <c r="M201" s="1904">
        <f t="shared" si="36"/>
        <v>0</v>
      </c>
      <c r="N201" s="1904">
        <f t="shared" si="36"/>
        <v>0</v>
      </c>
      <c r="O201" s="1904">
        <f t="shared" si="36"/>
        <v>0</v>
      </c>
    </row>
    <row r="202" spans="1:33">
      <c r="B202" s="1401" t="s">
        <v>276</v>
      </c>
      <c r="C202" s="423" t="s">
        <v>1597</v>
      </c>
      <c r="D202" s="145"/>
      <c r="E202" s="423" t="str">
        <f>preferences.energyunits</f>
        <v>TWh</v>
      </c>
      <c r="F202" s="1867">
        <f>F200*F201</f>
        <v>0</v>
      </c>
      <c r="G202" s="1867">
        <f t="shared" ref="G202:O202" si="37">G200*G201</f>
        <v>0</v>
      </c>
      <c r="H202" s="1867">
        <f t="shared" si="37"/>
        <v>0</v>
      </c>
      <c r="I202" s="1867">
        <f t="shared" si="37"/>
        <v>0</v>
      </c>
      <c r="J202" s="1867">
        <f t="shared" si="37"/>
        <v>0</v>
      </c>
      <c r="K202" s="1867">
        <f t="shared" si="37"/>
        <v>0</v>
      </c>
      <c r="L202" s="1867">
        <f t="shared" si="37"/>
        <v>0</v>
      </c>
      <c r="M202" s="1867">
        <f t="shared" si="37"/>
        <v>0</v>
      </c>
      <c r="N202" s="1867">
        <f t="shared" si="37"/>
        <v>0</v>
      </c>
      <c r="O202" s="1867">
        <f t="shared" si="37"/>
        <v>0</v>
      </c>
    </row>
    <row r="203" spans="1:33">
      <c r="B203" s="60" t="s">
        <v>408</v>
      </c>
      <c r="C203" s="19" t="str">
        <f>INDEX(Vectors[Description], MATCH(B203, Vectors[Code], 0))</f>
        <v>Off Grid Renewables</v>
      </c>
      <c r="D203" s="51"/>
      <c r="E203" s="508" t="str">
        <f>preferences.energyunits</f>
        <v>TWh</v>
      </c>
      <c r="F203" s="1867">
        <f t="shared" ref="F203:O203" si="38">F202</f>
        <v>0</v>
      </c>
      <c r="G203" s="1867">
        <f t="shared" si="38"/>
        <v>0</v>
      </c>
      <c r="H203" s="1867">
        <f t="shared" si="38"/>
        <v>0</v>
      </c>
      <c r="I203" s="1867">
        <f t="shared" si="38"/>
        <v>0</v>
      </c>
      <c r="J203" s="1867">
        <f t="shared" si="38"/>
        <v>0</v>
      </c>
      <c r="K203" s="1867">
        <f t="shared" si="38"/>
        <v>0</v>
      </c>
      <c r="L203" s="1867">
        <f t="shared" si="38"/>
        <v>0</v>
      </c>
      <c r="M203" s="1867">
        <f t="shared" si="38"/>
        <v>0</v>
      </c>
      <c r="N203" s="1867">
        <f t="shared" si="38"/>
        <v>0</v>
      </c>
      <c r="O203" s="1867">
        <f t="shared" si="38"/>
        <v>0</v>
      </c>
    </row>
    <row r="204" spans="1:33">
      <c r="B204" s="60"/>
      <c r="C204" s="19"/>
      <c r="D204" s="51"/>
      <c r="E204" s="99"/>
      <c r="F204" s="1867"/>
      <c r="G204" s="1867"/>
      <c r="H204" s="1867"/>
      <c r="I204" s="1867"/>
      <c r="J204" s="1867"/>
      <c r="K204" s="1867"/>
      <c r="L204" s="1867"/>
      <c r="M204" s="1867"/>
      <c r="N204" s="1867"/>
      <c r="O204" s="1867"/>
    </row>
    <row r="205" spans="1:33">
      <c r="B205" s="1865"/>
      <c r="C205" s="423"/>
      <c r="E205" s="423"/>
      <c r="F205" s="858"/>
      <c r="G205" s="858"/>
      <c r="H205" s="858"/>
      <c r="I205" s="858"/>
      <c r="J205" s="858"/>
      <c r="K205" s="858"/>
      <c r="L205" s="858"/>
      <c r="M205" s="858"/>
      <c r="N205" s="858"/>
      <c r="O205" s="858"/>
    </row>
    <row r="206" spans="1:33" ht="13.5" thickBot="1">
      <c r="B206" s="1930"/>
      <c r="C206" s="1931"/>
      <c r="D206" s="1932"/>
      <c r="E206" s="1932"/>
      <c r="F206" s="1933"/>
      <c r="G206" s="1933"/>
      <c r="H206" s="1933"/>
      <c r="I206" s="1933"/>
      <c r="J206" s="1933"/>
      <c r="K206" s="1933"/>
      <c r="L206" s="1933"/>
      <c r="M206" s="1933"/>
      <c r="N206" s="1933"/>
      <c r="O206" s="1933"/>
    </row>
    <row r="209" spans="2:16" ht="15.75">
      <c r="B209" s="206" t="s">
        <v>202</v>
      </c>
      <c r="C209" s="175"/>
      <c r="D209" s="175"/>
      <c r="E209" s="175"/>
      <c r="F209" s="175"/>
      <c r="G209" s="175"/>
      <c r="H209" s="175"/>
      <c r="I209" s="175"/>
      <c r="J209" s="175"/>
      <c r="K209" s="175"/>
      <c r="L209" s="175"/>
      <c r="M209" s="175"/>
      <c r="N209" s="175"/>
      <c r="O209" s="175"/>
      <c r="P209" s="177"/>
    </row>
    <row r="210" spans="2:16">
      <c r="B210" s="164"/>
      <c r="C210" s="166"/>
      <c r="D210" s="166"/>
      <c r="E210" s="166"/>
      <c r="F210" s="166"/>
      <c r="G210" s="166"/>
      <c r="H210" s="166"/>
      <c r="I210" s="166"/>
      <c r="J210" s="166"/>
      <c r="K210" s="166"/>
      <c r="L210" s="166"/>
      <c r="M210" s="166"/>
      <c r="N210" s="166"/>
      <c r="O210" s="166"/>
      <c r="P210" s="168"/>
    </row>
    <row r="211" spans="2:16">
      <c r="B211" s="164"/>
      <c r="C211" s="178" t="s">
        <v>1598</v>
      </c>
      <c r="D211" s="166"/>
      <c r="E211" s="167"/>
      <c r="F211" s="903"/>
      <c r="G211" s="167"/>
      <c r="H211" s="166"/>
      <c r="I211" s="166"/>
      <c r="J211" s="166"/>
      <c r="K211" s="166"/>
      <c r="L211" s="166"/>
      <c r="M211" s="166"/>
      <c r="N211" s="166"/>
      <c r="O211" s="167" t="str">
        <f>preferences.energyunits</f>
        <v>TWh</v>
      </c>
      <c r="P211" s="168"/>
    </row>
    <row r="212" spans="2:16">
      <c r="B212" s="164"/>
      <c r="C212" s="166"/>
      <c r="D212" s="166"/>
      <c r="E212" s="166"/>
      <c r="F212" s="166"/>
      <c r="G212" s="166"/>
      <c r="H212" s="166"/>
      <c r="I212" s="166"/>
      <c r="J212" s="166"/>
      <c r="K212" s="166"/>
      <c r="L212" s="166"/>
      <c r="M212" s="166"/>
      <c r="N212" s="166"/>
      <c r="O212" s="166"/>
      <c r="P212" s="168"/>
    </row>
    <row r="213" spans="2:16" ht="15.75">
      <c r="B213" s="169"/>
      <c r="C213" s="180" t="s">
        <v>64</v>
      </c>
      <c r="D213" s="180" t="s">
        <v>137</v>
      </c>
      <c r="E213" s="180" t="s">
        <v>156</v>
      </c>
      <c r="F213" s="901" t="s">
        <v>203</v>
      </c>
      <c r="G213" s="902" t="s">
        <v>712</v>
      </c>
      <c r="H213" s="902" t="s">
        <v>713</v>
      </c>
      <c r="I213" s="902" t="s">
        <v>714</v>
      </c>
      <c r="J213" s="902" t="s">
        <v>715</v>
      </c>
      <c r="K213" s="902" t="s">
        <v>716</v>
      </c>
      <c r="L213" s="902" t="s">
        <v>717</v>
      </c>
      <c r="M213" s="902" t="s">
        <v>718</v>
      </c>
      <c r="N213" s="902" t="s">
        <v>719</v>
      </c>
      <c r="O213" s="902" t="s">
        <v>720</v>
      </c>
      <c r="P213" s="168"/>
    </row>
    <row r="214" spans="2:16" ht="15.75">
      <c r="B214" s="169"/>
      <c r="C214" s="60" t="s">
        <v>1218</v>
      </c>
      <c r="D214" s="60" t="str">
        <f>INDEX(Vectors[Description], MATCH([Vector], Vectors[Code], 0))</f>
        <v>Pumps&amp; Tractors</v>
      </c>
      <c r="E214" s="60"/>
      <c r="F214" s="892">
        <f t="shared" ref="F214:O214" si="39">F202+F191+F174+F153</f>
        <v>177.82856075231598</v>
      </c>
      <c r="G214" s="892">
        <f t="shared" si="39"/>
        <v>237.20689383625</v>
      </c>
      <c r="H214" s="892">
        <f t="shared" si="39"/>
        <v>328.28524058963927</v>
      </c>
      <c r="I214" s="892">
        <f t="shared" si="39"/>
        <v>453.51772092097099</v>
      </c>
      <c r="J214" s="892">
        <f t="shared" si="39"/>
        <v>591.38499180914857</v>
      </c>
      <c r="K214" s="892">
        <f t="shared" si="39"/>
        <v>750.10240185765565</v>
      </c>
      <c r="L214" s="892">
        <f t="shared" si="39"/>
        <v>850.28842752484661</v>
      </c>
      <c r="M214" s="892">
        <f t="shared" si="39"/>
        <v>969.30878318682096</v>
      </c>
      <c r="N214" s="892">
        <f t="shared" si="39"/>
        <v>1047.8059052018175</v>
      </c>
      <c r="O214" s="892">
        <f t="shared" si="39"/>
        <v>1134.4954568667354</v>
      </c>
      <c r="P214" s="168"/>
    </row>
    <row r="215" spans="2:16" ht="15.75">
      <c r="B215" s="169"/>
      <c r="C215" s="60" t="s">
        <v>34</v>
      </c>
      <c r="D215" s="60" t="str">
        <f>INDEX(Vectors[Description], MATCH([Vector], Vectors[Code], 0))</f>
        <v>Electricity (delivered to end user)</v>
      </c>
      <c r="E215" s="60"/>
      <c r="F215" s="892">
        <f t="shared" ref="F215:O215" si="40">-(F192)</f>
        <v>-99.549000000000007</v>
      </c>
      <c r="G215" s="892">
        <f t="shared" si="40"/>
        <v>-135.84360999999998</v>
      </c>
      <c r="H215" s="892">
        <f t="shared" si="40"/>
        <v>-188.77501314929791</v>
      </c>
      <c r="I215" s="892">
        <f t="shared" si="40"/>
        <v>-262.32571067939568</v>
      </c>
      <c r="J215" s="892">
        <f t="shared" si="40"/>
        <v>-335.74068575957824</v>
      </c>
      <c r="K215" s="892">
        <f t="shared" si="40"/>
        <v>-428.7780628500808</v>
      </c>
      <c r="L215" s="892">
        <f t="shared" si="40"/>
        <v>-506.91064092382578</v>
      </c>
      <c r="M215" s="892">
        <f t="shared" si="40"/>
        <v>-599.26784878596698</v>
      </c>
      <c r="N215" s="892">
        <f t="shared" si="40"/>
        <v>-658.56749564700988</v>
      </c>
      <c r="O215" s="892">
        <f t="shared" si="40"/>
        <v>-723.71929535837114</v>
      </c>
      <c r="P215" s="904"/>
    </row>
    <row r="216" spans="2:16" ht="15.75">
      <c r="B216" s="169"/>
      <c r="C216" s="60" t="s">
        <v>38</v>
      </c>
      <c r="D216" s="60" t="str">
        <f>INDEX(Vectors[Description], MATCH([Vector], Vectors[Code], 0))</f>
        <v>Liquid hydrocarbons</v>
      </c>
      <c r="E216" s="60"/>
      <c r="F216" s="892">
        <f t="shared" ref="F216:N216" si="41">-(F175+F160)</f>
        <v>-78.279560752315973</v>
      </c>
      <c r="G216" s="892">
        <f t="shared" si="41"/>
        <v>-101.36328383625001</v>
      </c>
      <c r="H216" s="892">
        <f t="shared" si="41"/>
        <v>-139.51022744034137</v>
      </c>
      <c r="I216" s="892">
        <f t="shared" si="41"/>
        <v>-191.19201024157528</v>
      </c>
      <c r="J216" s="892">
        <f t="shared" si="41"/>
        <v>-255.64430604957033</v>
      </c>
      <c r="K216" s="892">
        <f t="shared" si="41"/>
        <v>-321.32433900757485</v>
      </c>
      <c r="L216" s="892">
        <f t="shared" si="41"/>
        <v>-343.37778660102089</v>
      </c>
      <c r="M216" s="892">
        <f t="shared" si="41"/>
        <v>-370.04093440085398</v>
      </c>
      <c r="N216" s="892">
        <f t="shared" si="41"/>
        <v>-389.2384095548075</v>
      </c>
      <c r="O216" s="892">
        <f>-(O175+O160)</f>
        <v>-410.77616150836423</v>
      </c>
      <c r="P216" s="168"/>
    </row>
    <row r="217" spans="2:16" ht="15.75">
      <c r="B217" s="169"/>
      <c r="C217" s="226" t="s">
        <v>408</v>
      </c>
      <c r="D217" s="60" t="str">
        <f>INDEX(Vectors[Description], MATCH([Vector], Vectors[Code], 0))</f>
        <v>Off Grid Renewables</v>
      </c>
      <c r="E217" s="226"/>
      <c r="F217" s="939">
        <f t="shared" ref="F217:O217" si="42">-F203</f>
        <v>0</v>
      </c>
      <c r="G217" s="939">
        <f t="shared" si="42"/>
        <v>0</v>
      </c>
      <c r="H217" s="939">
        <f t="shared" si="42"/>
        <v>0</v>
      </c>
      <c r="I217" s="939">
        <f t="shared" si="42"/>
        <v>0</v>
      </c>
      <c r="J217" s="939">
        <f t="shared" si="42"/>
        <v>0</v>
      </c>
      <c r="K217" s="939">
        <f t="shared" si="42"/>
        <v>0</v>
      </c>
      <c r="L217" s="939">
        <f t="shared" si="42"/>
        <v>0</v>
      </c>
      <c r="M217" s="939">
        <f t="shared" si="42"/>
        <v>0</v>
      </c>
      <c r="N217" s="939">
        <f t="shared" si="42"/>
        <v>0</v>
      </c>
      <c r="O217" s="939">
        <f t="shared" si="42"/>
        <v>0</v>
      </c>
      <c r="P217" s="168"/>
    </row>
    <row r="218" spans="2:16" ht="15.75">
      <c r="B218" s="169"/>
      <c r="C218" s="60" t="s">
        <v>103</v>
      </c>
      <c r="D218" s="60"/>
      <c r="E218" s="60"/>
      <c r="F218" s="1812">
        <f>SUBTOTAL(109,[2007])</f>
        <v>0</v>
      </c>
      <c r="G218" s="1812">
        <f>SUBTOTAL(109,[2012])</f>
        <v>1.4210854715202004E-14</v>
      </c>
      <c r="H218" s="1812">
        <f>SUBTOTAL(109,[2017])</f>
        <v>0</v>
      </c>
      <c r="I218" s="1812">
        <f>SUBTOTAL(109,[2022])</f>
        <v>2.8421709430404007E-14</v>
      </c>
      <c r="J218" s="1812">
        <f>SUBTOTAL(109,[2027])</f>
        <v>0</v>
      </c>
      <c r="K218" s="1812">
        <f>SUBTOTAL(109,[2032])</f>
        <v>0</v>
      </c>
      <c r="L218" s="1812">
        <f>SUBTOTAL(109,[2037])</f>
        <v>-5.6843418860808015E-14</v>
      </c>
      <c r="M218" s="1812">
        <f>SUBTOTAL(109,[2042])</f>
        <v>0</v>
      </c>
      <c r="N218" s="1812">
        <f>SUBTOTAL(109,[2047])</f>
        <v>1.1368683772161603E-13</v>
      </c>
      <c r="O218" s="1812">
        <f>SUBTOTAL(109,[2052])</f>
        <v>0</v>
      </c>
      <c r="P218" s="168"/>
    </row>
    <row r="219" spans="2:16" ht="15.75">
      <c r="B219" s="169"/>
      <c r="C219" s="60"/>
      <c r="D219" s="60"/>
      <c r="E219" s="60"/>
      <c r="F219" s="231"/>
      <c r="G219" s="231"/>
      <c r="H219" s="231"/>
      <c r="I219" s="231"/>
      <c r="J219" s="231"/>
      <c r="K219" s="231"/>
      <c r="L219" s="231"/>
      <c r="M219" s="231"/>
      <c r="N219" s="231"/>
      <c r="O219" s="231"/>
      <c r="P219" s="168"/>
    </row>
    <row r="220" spans="2:16" ht="15.75">
      <c r="B220" s="169"/>
      <c r="C220" s="60"/>
      <c r="D220" s="60"/>
      <c r="E220" s="60"/>
      <c r="F220" s="231"/>
      <c r="G220" s="231"/>
      <c r="H220" s="231"/>
      <c r="I220" s="231"/>
      <c r="J220" s="231"/>
      <c r="K220" s="231"/>
      <c r="L220" s="231"/>
      <c r="M220" s="231"/>
      <c r="N220" s="231"/>
      <c r="O220" s="231"/>
      <c r="P220" s="168"/>
    </row>
    <row r="221" spans="2:16" ht="15.75">
      <c r="B221" s="170"/>
      <c r="C221" s="171"/>
      <c r="D221" s="171"/>
      <c r="E221" s="171"/>
      <c r="F221" s="171"/>
      <c r="G221" s="171"/>
      <c r="H221" s="171"/>
      <c r="I221" s="171"/>
      <c r="J221" s="171"/>
      <c r="K221" s="171"/>
      <c r="L221" s="171"/>
      <c r="M221" s="171"/>
      <c r="N221" s="171"/>
      <c r="O221" s="171"/>
      <c r="P221" s="173"/>
    </row>
    <row r="223" spans="2:16" ht="15.75">
      <c r="B223" s="216" t="s">
        <v>281</v>
      </c>
      <c r="C223" s="183"/>
      <c r="D223" s="184"/>
      <c r="E223" s="184"/>
      <c r="F223" s="184"/>
      <c r="G223" s="184"/>
      <c r="H223" s="184"/>
      <c r="I223" s="184"/>
      <c r="J223" s="184"/>
      <c r="K223" s="184"/>
      <c r="L223" s="184"/>
      <c r="M223" s="184"/>
      <c r="N223" s="184"/>
      <c r="O223" s="184"/>
      <c r="P223" s="185"/>
    </row>
    <row r="224" spans="2:16">
      <c r="B224" s="190"/>
      <c r="C224" s="191"/>
      <c r="D224" s="191"/>
      <c r="E224" s="191"/>
      <c r="F224" s="191"/>
      <c r="G224" s="191"/>
      <c r="H224" s="191"/>
      <c r="I224" s="191"/>
      <c r="J224" s="191"/>
      <c r="K224" s="191"/>
      <c r="L224" s="191"/>
      <c r="M224" s="191"/>
      <c r="N224" s="191"/>
      <c r="O224" s="191"/>
      <c r="P224" s="192"/>
    </row>
    <row r="225" spans="2:16" ht="14.25">
      <c r="B225" s="193"/>
      <c r="C225" s="186" t="s">
        <v>1599</v>
      </c>
      <c r="D225" s="187"/>
      <c r="E225" s="188"/>
      <c r="F225" s="187"/>
      <c r="G225" s="188"/>
      <c r="H225" s="187"/>
      <c r="I225" s="187"/>
      <c r="J225" s="187"/>
      <c r="K225" s="187"/>
      <c r="L225" s="187"/>
      <c r="M225" s="187"/>
      <c r="N225" s="187"/>
      <c r="O225" s="188" t="s">
        <v>368</v>
      </c>
      <c r="P225" s="194"/>
    </row>
    <row r="226" spans="2:16">
      <c r="B226" s="193"/>
      <c r="C226" s="187"/>
      <c r="D226" s="187"/>
      <c r="E226" s="187"/>
      <c r="F226" s="187"/>
      <c r="G226" s="187"/>
      <c r="H226" s="187"/>
      <c r="I226" s="187"/>
      <c r="J226" s="187"/>
      <c r="K226" s="187"/>
      <c r="L226" s="187"/>
      <c r="M226" s="187"/>
      <c r="N226" s="187"/>
      <c r="O226" s="187"/>
      <c r="P226" s="194"/>
    </row>
    <row r="227" spans="2:16" ht="15.75">
      <c r="B227" s="195"/>
      <c r="C227" s="221" t="s">
        <v>365</v>
      </c>
      <c r="D227" s="221" t="s">
        <v>337</v>
      </c>
      <c r="E227" s="221" t="s">
        <v>156</v>
      </c>
      <c r="F227" s="901" t="s">
        <v>203</v>
      </c>
      <c r="G227" s="902" t="s">
        <v>712</v>
      </c>
      <c r="H227" s="902" t="s">
        <v>713</v>
      </c>
      <c r="I227" s="902" t="s">
        <v>714</v>
      </c>
      <c r="J227" s="902" t="s">
        <v>715</v>
      </c>
      <c r="K227" s="902" t="s">
        <v>716</v>
      </c>
      <c r="L227" s="902" t="s">
        <v>717</v>
      </c>
      <c r="M227" s="902" t="s">
        <v>718</v>
      </c>
      <c r="N227" s="902" t="s">
        <v>719</v>
      </c>
      <c r="O227" s="902" t="s">
        <v>720</v>
      </c>
      <c r="P227" s="194"/>
    </row>
    <row r="228" spans="2:16" ht="15.75">
      <c r="B228" s="195"/>
      <c r="C228" s="189" t="s">
        <v>350</v>
      </c>
      <c r="D228" s="196" t="s">
        <v>359</v>
      </c>
      <c r="E228" s="189" t="str">
        <f>INDEX(IPCC[Sector_description], MATCH([IPCC Sector], IPCC[Sector_code], 0))</f>
        <v>Fuel Combustion</v>
      </c>
      <c r="F228" s="197">
        <f t="shared" ref="F228:O228" si="43">F165</f>
        <v>14.504333401004654</v>
      </c>
      <c r="G228" s="197">
        <f t="shared" si="43"/>
        <v>19.763256445403911</v>
      </c>
      <c r="H228" s="197">
        <f t="shared" si="43"/>
        <v>26.44769527190758</v>
      </c>
      <c r="I228" s="197">
        <f t="shared" si="43"/>
        <v>35.39298228143732</v>
      </c>
      <c r="J228" s="197">
        <f t="shared" si="43"/>
        <v>47.363794156563046</v>
      </c>
      <c r="K228" s="197">
        <f t="shared" si="43"/>
        <v>57.927449484092854</v>
      </c>
      <c r="L228" s="197">
        <f t="shared" si="43"/>
        <v>57.927449484092854</v>
      </c>
      <c r="M228" s="197">
        <f t="shared" si="43"/>
        <v>57.927449484092854</v>
      </c>
      <c r="N228" s="197">
        <f t="shared" si="43"/>
        <v>57.927449484092854</v>
      </c>
      <c r="O228" s="197">
        <f t="shared" si="43"/>
        <v>57.927449484092854</v>
      </c>
      <c r="P228" s="194"/>
    </row>
    <row r="229" spans="2:16" ht="15.75">
      <c r="B229" s="195"/>
      <c r="C229" s="189" t="s">
        <v>351</v>
      </c>
      <c r="D229" s="196" t="s">
        <v>359</v>
      </c>
      <c r="E229" s="189" t="str">
        <f>INDEX(IPCC[Sector_description], MATCH([IPCC Sector], IPCC[Sector_code], 0))</f>
        <v>Fuel Combustion</v>
      </c>
      <c r="F229" s="197">
        <f t="shared" ref="F229:O229" si="44">F166</f>
        <v>0</v>
      </c>
      <c r="G229" s="197">
        <f t="shared" si="44"/>
        <v>0</v>
      </c>
      <c r="H229" s="197">
        <f t="shared" si="44"/>
        <v>0</v>
      </c>
      <c r="I229" s="197">
        <f t="shared" si="44"/>
        <v>0</v>
      </c>
      <c r="J229" s="197">
        <f t="shared" si="44"/>
        <v>0</v>
      </c>
      <c r="K229" s="197">
        <f t="shared" si="44"/>
        <v>0</v>
      </c>
      <c r="L229" s="197">
        <f t="shared" si="44"/>
        <v>0</v>
      </c>
      <c r="M229" s="197">
        <f t="shared" si="44"/>
        <v>0</v>
      </c>
      <c r="N229" s="197">
        <f t="shared" si="44"/>
        <v>0</v>
      </c>
      <c r="O229" s="197">
        <f t="shared" si="44"/>
        <v>0</v>
      </c>
      <c r="P229" s="194"/>
    </row>
    <row r="230" spans="2:16" ht="15.75">
      <c r="B230" s="195"/>
      <c r="C230" s="189" t="s">
        <v>352</v>
      </c>
      <c r="D230" s="196" t="s">
        <v>359</v>
      </c>
      <c r="E230" s="189" t="str">
        <f>INDEX(IPCC[Sector_description], MATCH([IPCC Sector], IPCC[Sector_code], 0))</f>
        <v>Fuel Combustion</v>
      </c>
      <c r="F230" s="197">
        <f t="shared" ref="F230:O230" si="45">F167</f>
        <v>0</v>
      </c>
      <c r="G230" s="197">
        <f t="shared" si="45"/>
        <v>0</v>
      </c>
      <c r="H230" s="197">
        <f t="shared" si="45"/>
        <v>0</v>
      </c>
      <c r="I230" s="197">
        <f t="shared" si="45"/>
        <v>0</v>
      </c>
      <c r="J230" s="197">
        <f t="shared" si="45"/>
        <v>0</v>
      </c>
      <c r="K230" s="197">
        <f t="shared" si="45"/>
        <v>0</v>
      </c>
      <c r="L230" s="197">
        <f t="shared" si="45"/>
        <v>0</v>
      </c>
      <c r="M230" s="197">
        <f t="shared" si="45"/>
        <v>0</v>
      </c>
      <c r="N230" s="197">
        <f t="shared" si="45"/>
        <v>0</v>
      </c>
      <c r="O230" s="197">
        <f t="shared" si="45"/>
        <v>0</v>
      </c>
      <c r="P230" s="194"/>
    </row>
    <row r="231" spans="2:16" ht="15.75">
      <c r="B231" s="195"/>
      <c r="C231" s="189" t="s">
        <v>103</v>
      </c>
      <c r="D231" s="189"/>
      <c r="E231" s="189"/>
      <c r="F231" s="1826">
        <f>SUBTOTAL(109,[2007])</f>
        <v>14.504333401004654</v>
      </c>
      <c r="G231" s="1826">
        <f>SUBTOTAL(109,[2012])</f>
        <v>19.763256445403911</v>
      </c>
      <c r="H231" s="1826">
        <f>SUBTOTAL(109,[2017])</f>
        <v>26.44769527190758</v>
      </c>
      <c r="I231" s="1826">
        <f>SUBTOTAL(109,[2022])</f>
        <v>35.39298228143732</v>
      </c>
      <c r="J231" s="1826">
        <f>SUBTOTAL(109,[2027])</f>
        <v>47.363794156563046</v>
      </c>
      <c r="K231" s="1826">
        <f>SUBTOTAL(109,[2032])</f>
        <v>57.927449484092854</v>
      </c>
      <c r="L231" s="1826">
        <f>SUBTOTAL(109,[2037])</f>
        <v>57.927449484092854</v>
      </c>
      <c r="M231" s="1826">
        <f>SUBTOTAL(109,[2042])</f>
        <v>57.927449484092854</v>
      </c>
      <c r="N231" s="1826">
        <f>SUBTOTAL(109,[2047])</f>
        <v>57.927449484092854</v>
      </c>
      <c r="O231" s="1826">
        <f>SUBTOTAL(109,[2052])</f>
        <v>57.927449484092854</v>
      </c>
      <c r="P231" s="194"/>
    </row>
    <row r="232" spans="2:16" ht="15.75">
      <c r="B232" s="195"/>
      <c r="C232" s="189"/>
      <c r="D232" s="189"/>
      <c r="E232" s="189"/>
      <c r="F232" s="223"/>
      <c r="G232" s="223"/>
      <c r="H232" s="223"/>
      <c r="I232" s="223"/>
      <c r="J232" s="223"/>
      <c r="K232" s="223"/>
      <c r="L232" s="223"/>
      <c r="M232" s="223"/>
      <c r="N232" s="223"/>
      <c r="O232" s="223"/>
      <c r="P232" s="194"/>
    </row>
    <row r="233" spans="2:16" ht="15.75">
      <c r="B233" s="195"/>
      <c r="C233" s="186" t="s">
        <v>1600</v>
      </c>
      <c r="D233" s="187"/>
      <c r="E233" s="188"/>
      <c r="F233" s="187"/>
      <c r="G233" s="188"/>
      <c r="H233" s="187"/>
      <c r="I233" s="187"/>
      <c r="J233" s="187"/>
      <c r="K233" s="187"/>
      <c r="L233" s="187"/>
      <c r="M233" s="187"/>
      <c r="N233" s="187"/>
      <c r="O233" s="188" t="s">
        <v>368</v>
      </c>
      <c r="P233" s="194"/>
    </row>
    <row r="234" spans="2:16" ht="15.75">
      <c r="B234" s="195"/>
      <c r="C234" s="187"/>
      <c r="D234" s="187"/>
      <c r="E234" s="187"/>
      <c r="F234" s="187"/>
      <c r="G234" s="187"/>
      <c r="H234" s="187"/>
      <c r="I234" s="187"/>
      <c r="J234" s="187"/>
      <c r="K234" s="187"/>
      <c r="L234" s="187"/>
      <c r="M234" s="187"/>
      <c r="N234" s="187"/>
      <c r="O234" s="187"/>
      <c r="P234" s="194"/>
    </row>
    <row r="235" spans="2:16" ht="15.75">
      <c r="B235" s="195"/>
      <c r="C235" s="1836" t="s">
        <v>365</v>
      </c>
      <c r="D235" s="1836" t="s">
        <v>337</v>
      </c>
      <c r="E235" s="1836" t="s">
        <v>156</v>
      </c>
      <c r="F235" s="1331" t="s">
        <v>203</v>
      </c>
      <c r="G235" s="1332" t="s">
        <v>712</v>
      </c>
      <c r="H235" s="1332" t="s">
        <v>713</v>
      </c>
      <c r="I235" s="1332" t="s">
        <v>714</v>
      </c>
      <c r="J235" s="1332" t="s">
        <v>715</v>
      </c>
      <c r="K235" s="1332" t="s">
        <v>716</v>
      </c>
      <c r="L235" s="1332" t="s">
        <v>717</v>
      </c>
      <c r="M235" s="1332" t="s">
        <v>718</v>
      </c>
      <c r="N235" s="1332" t="s">
        <v>719</v>
      </c>
      <c r="O235" s="1332" t="s">
        <v>720</v>
      </c>
      <c r="P235" s="194"/>
    </row>
    <row r="236" spans="2:16" ht="15.75">
      <c r="B236" s="195"/>
      <c r="C236" s="1829" t="s">
        <v>350</v>
      </c>
      <c r="D236" s="1830" t="s">
        <v>359</v>
      </c>
      <c r="E236" s="189" t="str">
        <f>INDEX(IPCC[Sector_description], MATCH([IPCC Sector], IPCC[Sector_code], 0))</f>
        <v>Fuel Combustion</v>
      </c>
      <c r="F236" s="1934">
        <f t="shared" ref="F236:O236" si="46">F181</f>
        <v>6.3747033533963897</v>
      </c>
      <c r="G236" s="1934">
        <f t="shared" si="46"/>
        <v>7.2727630266552001</v>
      </c>
      <c r="H236" s="1934">
        <f t="shared" si="46"/>
        <v>10.763029192403588</v>
      </c>
      <c r="I236" s="1934">
        <f t="shared" si="46"/>
        <v>15.602513485490148</v>
      </c>
      <c r="J236" s="1934">
        <f t="shared" si="46"/>
        <v>20.822675092428106</v>
      </c>
      <c r="K236" s="1934">
        <f t="shared" si="46"/>
        <v>27.777460197893134</v>
      </c>
      <c r="L236" s="1934">
        <f t="shared" si="46"/>
        <v>33.65964372625681</v>
      </c>
      <c r="M236" s="1934">
        <f t="shared" si="46"/>
        <v>40.771344884905332</v>
      </c>
      <c r="N236" s="1934">
        <f t="shared" si="46"/>
        <v>45.891772049786148</v>
      </c>
      <c r="O236" s="1934">
        <f t="shared" si="46"/>
        <v>51.636407179617009</v>
      </c>
      <c r="P236" s="194"/>
    </row>
    <row r="237" spans="2:16" ht="15.75">
      <c r="B237" s="195"/>
      <c r="C237" s="189" t="s">
        <v>351</v>
      </c>
      <c r="D237" s="196" t="s">
        <v>359</v>
      </c>
      <c r="E237" s="189" t="str">
        <f>INDEX(IPCC[Sector_description], MATCH([IPCC Sector], IPCC[Sector_code], 0))</f>
        <v>Fuel Combustion</v>
      </c>
      <c r="F237" s="1934">
        <f t="shared" ref="F237:O237" si="47">F182</f>
        <v>0</v>
      </c>
      <c r="G237" s="1934">
        <f t="shared" si="47"/>
        <v>0</v>
      </c>
      <c r="H237" s="1934">
        <f t="shared" si="47"/>
        <v>0</v>
      </c>
      <c r="I237" s="1934">
        <f t="shared" si="47"/>
        <v>0</v>
      </c>
      <c r="J237" s="1934">
        <f t="shared" si="47"/>
        <v>0</v>
      </c>
      <c r="K237" s="1934">
        <f t="shared" si="47"/>
        <v>0</v>
      </c>
      <c r="L237" s="1934">
        <f t="shared" si="47"/>
        <v>0</v>
      </c>
      <c r="M237" s="1934">
        <f t="shared" si="47"/>
        <v>0</v>
      </c>
      <c r="N237" s="1934">
        <f t="shared" si="47"/>
        <v>0</v>
      </c>
      <c r="O237" s="1934">
        <f t="shared" si="47"/>
        <v>0</v>
      </c>
      <c r="P237" s="194"/>
    </row>
    <row r="238" spans="2:16" ht="15.75">
      <c r="B238" s="195"/>
      <c r="C238" s="189" t="s">
        <v>352</v>
      </c>
      <c r="D238" s="196" t="s">
        <v>359</v>
      </c>
      <c r="E238" s="189" t="str">
        <f>INDEX(IPCC[Sector_description], MATCH([IPCC Sector], IPCC[Sector_code], 0))</f>
        <v>Fuel Combustion</v>
      </c>
      <c r="F238" s="1934">
        <f t="shared" ref="F238:O238" si="48">F183</f>
        <v>0</v>
      </c>
      <c r="G238" s="1934">
        <f t="shared" si="48"/>
        <v>0</v>
      </c>
      <c r="H238" s="1934">
        <f t="shared" si="48"/>
        <v>0</v>
      </c>
      <c r="I238" s="1934">
        <f t="shared" si="48"/>
        <v>0</v>
      </c>
      <c r="J238" s="1934">
        <f t="shared" si="48"/>
        <v>0</v>
      </c>
      <c r="K238" s="1934">
        <f t="shared" si="48"/>
        <v>0</v>
      </c>
      <c r="L238" s="1934">
        <f t="shared" si="48"/>
        <v>0</v>
      </c>
      <c r="M238" s="1934">
        <f t="shared" si="48"/>
        <v>0</v>
      </c>
      <c r="N238" s="1934">
        <f t="shared" si="48"/>
        <v>0</v>
      </c>
      <c r="O238" s="1934">
        <f t="shared" si="48"/>
        <v>0</v>
      </c>
      <c r="P238" s="194"/>
    </row>
    <row r="239" spans="2:16" ht="15.75">
      <c r="B239" s="195"/>
      <c r="C239" s="1935" t="s">
        <v>103</v>
      </c>
      <c r="D239" s="1935"/>
      <c r="E239" s="1935"/>
      <c r="F239" s="1826">
        <f>SUBTOTAL(109,[2007])</f>
        <v>6.3747033533963897</v>
      </c>
      <c r="G239" s="1826">
        <f>SUBTOTAL(109,[2007])</f>
        <v>6.3747033533963897</v>
      </c>
      <c r="H239" s="1826">
        <f>SUBTOTAL(109,[2007])</f>
        <v>6.3747033533963897</v>
      </c>
      <c r="I239" s="1826">
        <f>SUBTOTAL(109,[2007])</f>
        <v>6.3747033533963897</v>
      </c>
      <c r="J239" s="1826">
        <f>SUBTOTAL(109,[2007])</f>
        <v>6.3747033533963897</v>
      </c>
      <c r="K239" s="1826">
        <f>SUBTOTAL(109,[2007])</f>
        <v>6.3747033533963897</v>
      </c>
      <c r="L239" s="1826">
        <f>SUBTOTAL(109,[2007])</f>
        <v>6.3747033533963897</v>
      </c>
      <c r="M239" s="1826">
        <f>SUBTOTAL(109,[2007])</f>
        <v>6.3747033533963897</v>
      </c>
      <c r="N239" s="1826">
        <f>SUBTOTAL(109,[2007])</f>
        <v>6.3747033533963897</v>
      </c>
      <c r="O239" s="1826">
        <f>SUBTOTAL(109,[2007])</f>
        <v>6.3747033533963897</v>
      </c>
      <c r="P239" s="194"/>
    </row>
    <row r="240" spans="2:16" ht="15.75">
      <c r="B240" s="195"/>
      <c r="C240" s="189"/>
      <c r="D240" s="189"/>
      <c r="E240" s="189"/>
      <c r="F240" s="223"/>
      <c r="G240" s="223"/>
      <c r="H240" s="223"/>
      <c r="I240" s="223"/>
      <c r="J240" s="223"/>
      <c r="K240" s="223"/>
      <c r="L240" s="223"/>
      <c r="M240" s="223"/>
      <c r="N240" s="223"/>
      <c r="O240" s="223"/>
      <c r="P240" s="194"/>
    </row>
    <row r="241" spans="2:16" ht="15.75">
      <c r="B241" s="195"/>
      <c r="C241" s="189"/>
      <c r="D241" s="189"/>
      <c r="E241" s="189"/>
      <c r="F241" s="223"/>
      <c r="G241" s="223"/>
      <c r="H241" s="223"/>
      <c r="I241" s="223"/>
      <c r="J241" s="223"/>
      <c r="K241" s="223"/>
      <c r="L241" s="223"/>
      <c r="M241" s="223"/>
      <c r="N241" s="223"/>
      <c r="O241" s="223"/>
      <c r="P241" s="194"/>
    </row>
    <row r="242" spans="2:16" ht="15.75">
      <c r="B242" s="195"/>
      <c r="C242" s="186" t="s">
        <v>1601</v>
      </c>
      <c r="D242" s="187"/>
      <c r="E242" s="188"/>
      <c r="F242" s="187"/>
      <c r="G242" s="188"/>
      <c r="H242" s="187"/>
      <c r="I242" s="187"/>
      <c r="J242" s="187"/>
      <c r="K242" s="187"/>
      <c r="L242" s="187"/>
      <c r="M242" s="187"/>
      <c r="N242" s="187"/>
      <c r="O242" s="188" t="s">
        <v>368</v>
      </c>
      <c r="P242" s="194"/>
    </row>
    <row r="243" spans="2:16" ht="15.75">
      <c r="B243" s="195"/>
      <c r="C243" s="187"/>
      <c r="D243" s="187"/>
      <c r="E243" s="187"/>
      <c r="F243" s="187"/>
      <c r="G243" s="187"/>
      <c r="H243" s="187"/>
      <c r="I243" s="187"/>
      <c r="J243" s="187"/>
      <c r="K243" s="187"/>
      <c r="L243" s="187"/>
      <c r="M243" s="187"/>
      <c r="N243" s="187"/>
      <c r="O243" s="187"/>
      <c r="P243" s="194"/>
    </row>
    <row r="244" spans="2:16" ht="15.75">
      <c r="B244" s="195"/>
      <c r="C244" s="1836" t="s">
        <v>365</v>
      </c>
      <c r="D244" s="1836" t="s">
        <v>337</v>
      </c>
      <c r="E244" s="1836" t="s">
        <v>156</v>
      </c>
      <c r="F244" s="1331" t="s">
        <v>203</v>
      </c>
      <c r="G244" s="1332" t="s">
        <v>712</v>
      </c>
      <c r="H244" s="1332" t="s">
        <v>713</v>
      </c>
      <c r="I244" s="1332" t="s">
        <v>714</v>
      </c>
      <c r="J244" s="1332" t="s">
        <v>715</v>
      </c>
      <c r="K244" s="1332" t="s">
        <v>716</v>
      </c>
      <c r="L244" s="1332" t="s">
        <v>717</v>
      </c>
      <c r="M244" s="1332" t="s">
        <v>718</v>
      </c>
      <c r="N244" s="1332" t="s">
        <v>719</v>
      </c>
      <c r="O244" s="1332" t="s">
        <v>720</v>
      </c>
      <c r="P244" s="194"/>
    </row>
    <row r="245" spans="2:16" ht="15.75">
      <c r="B245" s="195"/>
      <c r="C245" s="1829" t="s">
        <v>350</v>
      </c>
      <c r="D245" s="1830" t="s">
        <v>359</v>
      </c>
      <c r="E245" s="189" t="str">
        <f>INDEX(IPCC[Sector_description], MATCH([IPCC Sector], IPCC[Sector_code], 0))</f>
        <v>Fuel Combustion</v>
      </c>
      <c r="F245" s="1832">
        <f>F236+F228</f>
        <v>20.879036754401042</v>
      </c>
      <c r="G245" s="1832">
        <f t="shared" ref="G245:O245" si="49">G236+G228</f>
        <v>27.03601947205911</v>
      </c>
      <c r="H245" s="1832">
        <f t="shared" si="49"/>
        <v>37.21072446431117</v>
      </c>
      <c r="I245" s="1832">
        <f t="shared" si="49"/>
        <v>50.995495766927469</v>
      </c>
      <c r="J245" s="1832">
        <f t="shared" si="49"/>
        <v>68.186469248991159</v>
      </c>
      <c r="K245" s="1832">
        <f t="shared" si="49"/>
        <v>85.704909681985981</v>
      </c>
      <c r="L245" s="1832">
        <f t="shared" si="49"/>
        <v>91.587093210349664</v>
      </c>
      <c r="M245" s="1832">
        <f t="shared" si="49"/>
        <v>98.698794368998193</v>
      </c>
      <c r="N245" s="1832">
        <f t="shared" si="49"/>
        <v>103.819221533879</v>
      </c>
      <c r="O245" s="1832">
        <f t="shared" si="49"/>
        <v>109.56385666370986</v>
      </c>
      <c r="P245" s="194"/>
    </row>
    <row r="246" spans="2:16" ht="15.75">
      <c r="B246" s="195"/>
      <c r="C246" s="189" t="s">
        <v>351</v>
      </c>
      <c r="D246" s="196" t="s">
        <v>359</v>
      </c>
      <c r="E246" s="189" t="str">
        <f>INDEX(IPCC[Sector_description], MATCH([IPCC Sector], IPCC[Sector_code], 0))</f>
        <v>Fuel Combustion</v>
      </c>
      <c r="F246" s="1832">
        <f t="shared" ref="F246:O246" si="50">F237+F229</f>
        <v>0</v>
      </c>
      <c r="G246" s="1832">
        <f t="shared" si="50"/>
        <v>0</v>
      </c>
      <c r="H246" s="1832">
        <f t="shared" si="50"/>
        <v>0</v>
      </c>
      <c r="I246" s="1832">
        <f t="shared" si="50"/>
        <v>0</v>
      </c>
      <c r="J246" s="1832">
        <f t="shared" si="50"/>
        <v>0</v>
      </c>
      <c r="K246" s="1832">
        <f t="shared" si="50"/>
        <v>0</v>
      </c>
      <c r="L246" s="1832">
        <f t="shared" si="50"/>
        <v>0</v>
      </c>
      <c r="M246" s="1832">
        <f t="shared" si="50"/>
        <v>0</v>
      </c>
      <c r="N246" s="1832">
        <f t="shared" si="50"/>
        <v>0</v>
      </c>
      <c r="O246" s="1832">
        <f t="shared" si="50"/>
        <v>0</v>
      </c>
      <c r="P246" s="194"/>
    </row>
    <row r="247" spans="2:16" ht="15.75">
      <c r="B247" s="195"/>
      <c r="C247" s="189" t="s">
        <v>352</v>
      </c>
      <c r="D247" s="196" t="s">
        <v>359</v>
      </c>
      <c r="E247" s="189" t="str">
        <f>INDEX(IPCC[Sector_description], MATCH([IPCC Sector], IPCC[Sector_code], 0))</f>
        <v>Fuel Combustion</v>
      </c>
      <c r="F247" s="1832">
        <f t="shared" ref="F247:O247" si="51">F238+F230</f>
        <v>0</v>
      </c>
      <c r="G247" s="1832">
        <f t="shared" si="51"/>
        <v>0</v>
      </c>
      <c r="H247" s="1832">
        <f t="shared" si="51"/>
        <v>0</v>
      </c>
      <c r="I247" s="1832">
        <f t="shared" si="51"/>
        <v>0</v>
      </c>
      <c r="J247" s="1832">
        <f t="shared" si="51"/>
        <v>0</v>
      </c>
      <c r="K247" s="1832">
        <f t="shared" si="51"/>
        <v>0</v>
      </c>
      <c r="L247" s="1832">
        <f t="shared" si="51"/>
        <v>0</v>
      </c>
      <c r="M247" s="1832">
        <f t="shared" si="51"/>
        <v>0</v>
      </c>
      <c r="N247" s="1832">
        <f t="shared" si="51"/>
        <v>0</v>
      </c>
      <c r="O247" s="1832">
        <f t="shared" si="51"/>
        <v>0</v>
      </c>
      <c r="P247" s="194"/>
    </row>
    <row r="248" spans="2:16">
      <c r="C248" s="1935" t="s">
        <v>103</v>
      </c>
      <c r="D248" s="1935"/>
      <c r="E248" s="1935"/>
      <c r="F248" s="1826">
        <f>SUBTOTAL(109,[2007])</f>
        <v>20.879036754401042</v>
      </c>
      <c r="G248" s="1826">
        <f>SUBTOTAL(109,[2007])</f>
        <v>20.879036754401042</v>
      </c>
      <c r="H248" s="1826">
        <f>SUBTOTAL(109,[2007])</f>
        <v>20.879036754401042</v>
      </c>
      <c r="I248" s="1826">
        <f>SUBTOTAL(109,[2007])</f>
        <v>20.879036754401042</v>
      </c>
      <c r="J248" s="1826">
        <f>SUBTOTAL(109,[2007])</f>
        <v>20.879036754401042</v>
      </c>
      <c r="K248" s="1826">
        <f>SUBTOTAL(109,[2007])</f>
        <v>20.879036754401042</v>
      </c>
      <c r="L248" s="1826">
        <f>SUBTOTAL(109,[2007])</f>
        <v>20.879036754401042</v>
      </c>
      <c r="M248" s="1826">
        <f>SUBTOTAL(109,[2007])</f>
        <v>20.879036754401042</v>
      </c>
      <c r="N248" s="1826">
        <f>SUBTOTAL(109,[2007])</f>
        <v>20.879036754401042</v>
      </c>
      <c r="O248" s="1826">
        <f>SUBTOTAL(109,[2007])</f>
        <v>20.879036754401042</v>
      </c>
    </row>
    <row r="249" spans="2:16">
      <c r="C249" s="187"/>
      <c r="D249" s="187"/>
      <c r="E249" s="187"/>
      <c r="F249" s="187"/>
      <c r="G249" s="187"/>
      <c r="H249" s="187"/>
      <c r="I249" s="187"/>
      <c r="J249" s="187"/>
      <c r="K249" s="187"/>
      <c r="L249" s="187"/>
      <c r="M249" s="187"/>
      <c r="N249" s="187"/>
      <c r="O249" s="187"/>
    </row>
  </sheetData>
  <mergeCells count="1">
    <mergeCell ref="G36:K36"/>
  </mergeCells>
  <pageMargins left="0.7" right="0.7" top="0.75" bottom="0.75" header="0.3" footer="0.3"/>
  <pageSetup paperSize="9" orientation="portrait"/>
  <legacyDrawing r:id="rId1"/>
  <tableParts count="4">
    <tablePart r:id="rId2"/>
    <tablePart r:id="rId3"/>
    <tablePart r:id="rId4"/>
    <tablePart r:id="rId5"/>
  </tableParts>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sheetPr>
    <tabColor theme="9"/>
  </sheetPr>
  <dimension ref="A1:P228"/>
  <sheetViews>
    <sheetView showGridLines="0" topLeftCell="D33" zoomScale="90" zoomScaleNormal="90" zoomScalePageLayoutView="82" workbookViewId="0">
      <selection activeCell="H46" sqref="H46"/>
    </sheetView>
  </sheetViews>
  <sheetFormatPr defaultColWidth="8.85546875" defaultRowHeight="12.75"/>
  <cols>
    <col min="1" max="1" width="7.7109375" style="623" customWidth="1"/>
    <col min="2" max="2" width="5.85546875" style="605" customWidth="1"/>
    <col min="3" max="3" width="20.42578125" style="605" customWidth="1"/>
    <col min="4" max="4" width="30.7109375" style="605" customWidth="1"/>
    <col min="5" max="5" width="25.42578125" style="605" customWidth="1"/>
    <col min="6" max="15" width="17.7109375" style="605" customWidth="1"/>
    <col min="16" max="16" width="10.7109375" style="605" customWidth="1"/>
    <col min="17" max="17" width="10.85546875" style="605" customWidth="1"/>
    <col min="18" max="16384" width="8.85546875" style="605"/>
  </cols>
  <sheetData>
    <row r="1" spans="1:16" ht="21">
      <c r="A1" s="743" t="s">
        <v>308</v>
      </c>
      <c r="B1" s="77" t="str">
        <f>INDEX(Workstreams[Workstream], MATCH($A1, Workstreams[Code], 0))</f>
        <v>Fossil fuel production</v>
      </c>
      <c r="C1" s="77"/>
    </row>
    <row r="2" spans="1:16" s="51" customFormat="1" ht="15.75">
      <c r="A2" s="744" t="s">
        <v>310</v>
      </c>
      <c r="B2" s="6" t="str">
        <f>INDEX(Modules[Module], MATCH($A2, Modules[Code], 0))</f>
        <v>Domestic Gas Production</v>
      </c>
      <c r="C2" s="660"/>
      <c r="E2" s="404"/>
    </row>
    <row r="4" spans="1:16" ht="22.5">
      <c r="A4" s="745"/>
      <c r="B4" s="206" t="s">
        <v>416</v>
      </c>
      <c r="C4" s="174"/>
      <c r="D4" s="175"/>
      <c r="E4" s="176"/>
      <c r="F4" s="175"/>
      <c r="G4" s="175"/>
      <c r="H4" s="175"/>
      <c r="I4" s="175"/>
      <c r="J4" s="175"/>
      <c r="K4" s="175"/>
      <c r="L4" s="175"/>
      <c r="M4" s="175"/>
      <c r="N4" s="175"/>
      <c r="O4" s="175"/>
      <c r="P4" s="177"/>
    </row>
    <row r="5" spans="1:16">
      <c r="B5" s="164"/>
      <c r="C5" s="165"/>
      <c r="D5" s="166"/>
      <c r="E5" s="167"/>
      <c r="F5" s="166"/>
      <c r="G5" s="166"/>
      <c r="H5" s="166"/>
      <c r="I5" s="166"/>
      <c r="J5" s="166"/>
      <c r="K5" s="166"/>
      <c r="L5" s="166"/>
      <c r="M5" s="166"/>
      <c r="N5" s="166"/>
      <c r="O5" s="166"/>
      <c r="P5" s="168"/>
    </row>
    <row r="6" spans="1:16" ht="15.75">
      <c r="B6" s="169"/>
      <c r="C6" s="166"/>
      <c r="D6" s="118" t="s">
        <v>274</v>
      </c>
      <c r="E6" s="118" t="s">
        <v>411</v>
      </c>
      <c r="F6" s="166"/>
      <c r="G6" s="166"/>
      <c r="H6" s="166"/>
      <c r="I6" s="166"/>
      <c r="J6" s="166"/>
      <c r="K6" s="166"/>
      <c r="L6" s="166"/>
      <c r="M6" s="166"/>
      <c r="N6" s="166"/>
      <c r="O6" s="166"/>
      <c r="P6" s="168"/>
    </row>
    <row r="7" spans="1:16" ht="15.75">
      <c r="B7" s="169"/>
      <c r="C7" s="166"/>
      <c r="D7" s="127" t="s">
        <v>411</v>
      </c>
      <c r="E7" s="127">
        <f>xv.a.scenario</f>
        <v>1</v>
      </c>
      <c r="F7" s="166"/>
      <c r="G7" s="166"/>
      <c r="H7" s="166"/>
      <c r="I7" s="166"/>
      <c r="J7" s="166"/>
      <c r="K7" s="166"/>
      <c r="L7" s="166"/>
      <c r="M7" s="166"/>
      <c r="N7" s="166"/>
      <c r="O7" s="166"/>
      <c r="P7" s="168"/>
    </row>
    <row r="8" spans="1:16" ht="15.75">
      <c r="B8" s="170"/>
      <c r="C8" s="171"/>
      <c r="D8" s="171"/>
      <c r="E8" s="171"/>
      <c r="F8" s="172"/>
      <c r="G8" s="172"/>
      <c r="H8" s="172"/>
      <c r="I8" s="172"/>
      <c r="J8" s="172"/>
      <c r="K8" s="172"/>
      <c r="L8" s="172"/>
      <c r="M8" s="172"/>
      <c r="N8" s="172"/>
      <c r="O8" s="172"/>
      <c r="P8" s="173"/>
    </row>
    <row r="9" spans="1:16" s="3125" customFormat="1" ht="15.75" hidden="1">
      <c r="A9" s="623"/>
      <c r="B9" s="1942"/>
      <c r="C9" s="60" t="s">
        <v>2400</v>
      </c>
      <c r="D9" s="60"/>
      <c r="E9" s="60"/>
      <c r="F9" s="166"/>
      <c r="G9" s="1974"/>
      <c r="H9" s="535"/>
      <c r="I9" s="535"/>
      <c r="J9" s="166"/>
      <c r="K9" s="166"/>
      <c r="L9" s="166"/>
      <c r="M9" s="166"/>
      <c r="N9" s="166"/>
      <c r="O9" s="166"/>
      <c r="P9" s="166"/>
    </row>
    <row r="10" spans="1:16" s="3125" customFormat="1" ht="15.75" hidden="1">
      <c r="A10" s="623"/>
      <c r="B10" s="1942"/>
      <c r="C10" s="60"/>
      <c r="D10" s="60"/>
      <c r="E10" s="60"/>
      <c r="F10" s="166"/>
      <c r="G10" s="1974"/>
      <c r="H10" s="2640"/>
      <c r="I10" s="535"/>
      <c r="J10" s="166"/>
      <c r="K10" s="166"/>
      <c r="L10" s="166"/>
      <c r="M10" s="166"/>
      <c r="N10" s="166"/>
      <c r="O10" s="166"/>
      <c r="P10" s="166"/>
    </row>
    <row r="11" spans="1:16" s="3125" customFormat="1" ht="15.75" hidden="1">
      <c r="A11" s="623"/>
      <c r="B11" s="1942"/>
      <c r="C11" s="60"/>
      <c r="D11" s="60"/>
      <c r="E11" s="60"/>
      <c r="F11" s="166"/>
      <c r="G11" s="1974"/>
      <c r="H11" s="2640"/>
      <c r="I11" s="535"/>
      <c r="J11" s="166"/>
      <c r="K11" s="166"/>
      <c r="L11" s="166"/>
      <c r="M11" s="166"/>
      <c r="N11" s="166"/>
      <c r="O11" s="166"/>
      <c r="P11" s="166"/>
    </row>
    <row r="12" spans="1:16" s="3125" customFormat="1" ht="15.75" hidden="1">
      <c r="A12" s="623"/>
      <c r="B12" s="1942"/>
      <c r="C12" s="60"/>
      <c r="D12" s="60"/>
      <c r="E12" s="60"/>
      <c r="F12" s="166"/>
      <c r="G12" s="1974"/>
      <c r="H12" s="2640"/>
      <c r="I12" s="535"/>
      <c r="J12" s="166"/>
      <c r="K12" s="166"/>
      <c r="L12" s="166"/>
      <c r="M12" s="166"/>
      <c r="N12" s="166"/>
      <c r="O12" s="166"/>
      <c r="P12" s="166"/>
    </row>
    <row r="13" spans="1:16" s="3125" customFormat="1" ht="15.75" hidden="1">
      <c r="A13" s="623"/>
      <c r="B13" s="1942"/>
      <c r="C13" s="60"/>
      <c r="D13" s="60"/>
      <c r="E13" s="60"/>
      <c r="F13" s="166"/>
      <c r="G13" s="166"/>
      <c r="H13" s="166"/>
      <c r="I13" s="166"/>
      <c r="J13" s="166"/>
      <c r="K13" s="166"/>
      <c r="L13" s="166"/>
      <c r="M13" s="166"/>
      <c r="N13" s="166"/>
      <c r="O13" s="166"/>
      <c r="P13" s="166"/>
    </row>
    <row r="14" spans="1:16" s="3125" customFormat="1" ht="15.75" hidden="1">
      <c r="A14" s="623"/>
      <c r="B14" s="1942"/>
      <c r="C14" s="60"/>
      <c r="D14" s="60"/>
      <c r="E14" s="60"/>
      <c r="F14" s="166"/>
      <c r="G14" s="1974"/>
      <c r="H14" s="1974"/>
      <c r="I14" s="535"/>
      <c r="J14" s="166"/>
      <c r="K14" s="166"/>
      <c r="L14" s="166"/>
      <c r="M14" s="166"/>
      <c r="N14" s="166"/>
      <c r="O14" s="166"/>
      <c r="P14" s="166"/>
    </row>
    <row r="15" spans="1:16" s="3125" customFormat="1" ht="15.75" hidden="1">
      <c r="A15" s="623"/>
      <c r="B15" s="1942"/>
      <c r="C15" s="60"/>
      <c r="D15" s="60"/>
      <c r="E15" s="60"/>
      <c r="F15" s="166"/>
      <c r="G15" s="1974"/>
      <c r="H15" s="1974"/>
      <c r="I15" s="535"/>
      <c r="J15" s="166"/>
      <c r="K15" s="166"/>
      <c r="L15" s="166"/>
      <c r="M15" s="166"/>
      <c r="N15" s="166"/>
      <c r="O15" s="166"/>
      <c r="P15" s="166"/>
    </row>
    <row r="16" spans="1:16" s="3125" customFormat="1" ht="15.75" hidden="1">
      <c r="A16" s="623"/>
      <c r="B16" s="1942"/>
      <c r="C16" s="60"/>
      <c r="D16" s="60"/>
      <c r="E16" s="60"/>
      <c r="F16" s="166"/>
      <c r="G16" s="1974"/>
      <c r="H16" s="1974"/>
      <c r="I16" s="535"/>
      <c r="J16" s="166"/>
      <c r="K16" s="166"/>
      <c r="L16" s="166"/>
      <c r="M16" s="166"/>
      <c r="N16" s="166"/>
      <c r="O16" s="166"/>
      <c r="P16" s="166"/>
    </row>
    <row r="17" spans="1:16" s="3125" customFormat="1" ht="15.75" hidden="1">
      <c r="A17" s="623"/>
      <c r="B17" s="1942"/>
      <c r="C17" s="60"/>
      <c r="D17" s="60"/>
      <c r="E17" s="60"/>
      <c r="F17" s="166"/>
      <c r="G17" s="1974"/>
      <c r="H17" s="1974"/>
      <c r="I17" s="535"/>
      <c r="J17" s="166"/>
      <c r="K17" s="166"/>
      <c r="L17" s="166"/>
      <c r="M17" s="166"/>
      <c r="N17" s="166"/>
      <c r="O17" s="166"/>
      <c r="P17" s="166"/>
    </row>
    <row r="18" spans="1:16" s="3125" customFormat="1" ht="15.75" hidden="1">
      <c r="A18" s="623"/>
      <c r="B18" s="1942"/>
      <c r="C18" s="60"/>
      <c r="D18" s="60"/>
      <c r="E18" s="60"/>
      <c r="F18" s="166"/>
      <c r="G18" s="166"/>
      <c r="H18" s="166"/>
      <c r="I18" s="166"/>
      <c r="J18" s="166"/>
      <c r="K18" s="166"/>
      <c r="L18" s="166"/>
      <c r="M18" s="166"/>
      <c r="N18" s="166"/>
      <c r="O18" s="166"/>
      <c r="P18" s="166"/>
    </row>
    <row r="19" spans="1:16" s="3125" customFormat="1" ht="15.75" hidden="1">
      <c r="A19" s="623"/>
      <c r="B19" s="1942"/>
      <c r="C19" s="60"/>
      <c r="D19" s="60"/>
      <c r="E19" s="60"/>
      <c r="F19" s="166"/>
      <c r="G19" s="2848"/>
      <c r="H19" s="2848"/>
      <c r="I19" s="669"/>
      <c r="J19" s="166"/>
      <c r="K19" s="166"/>
      <c r="L19" s="166"/>
      <c r="M19" s="166"/>
      <c r="N19" s="166"/>
      <c r="O19" s="166"/>
      <c r="P19" s="166"/>
    </row>
    <row r="20" spans="1:16" s="3125" customFormat="1" ht="15.75" hidden="1">
      <c r="A20" s="623"/>
      <c r="B20" s="1942"/>
      <c r="C20" s="60"/>
      <c r="D20" s="60"/>
      <c r="E20" s="60"/>
      <c r="F20" s="166"/>
      <c r="G20" s="2848"/>
      <c r="H20" s="2848"/>
      <c r="I20" s="669"/>
      <c r="J20" s="166"/>
      <c r="K20" s="166"/>
      <c r="L20" s="166"/>
      <c r="M20" s="166"/>
      <c r="N20" s="166"/>
      <c r="O20" s="166"/>
      <c r="P20" s="166"/>
    </row>
    <row r="21" spans="1:16" s="3125" customFormat="1" ht="15.75" hidden="1">
      <c r="A21" s="623"/>
      <c r="B21" s="1942"/>
      <c r="C21" s="60"/>
      <c r="D21" s="60"/>
      <c r="E21" s="60"/>
      <c r="F21" s="166"/>
      <c r="G21" s="2848"/>
      <c r="H21" s="2848"/>
      <c r="I21" s="669"/>
      <c r="J21" s="166"/>
      <c r="K21" s="166"/>
      <c r="L21" s="166"/>
      <c r="M21" s="166"/>
      <c r="N21" s="166"/>
      <c r="O21" s="166"/>
      <c r="P21" s="166"/>
    </row>
    <row r="22" spans="1:16" s="3125" customFormat="1" ht="15.75" hidden="1">
      <c r="A22" s="623"/>
      <c r="B22" s="1942"/>
      <c r="C22" s="60"/>
      <c r="D22" s="60"/>
      <c r="E22" s="60"/>
      <c r="F22" s="166"/>
      <c r="G22" s="2848"/>
      <c r="H22" s="2848"/>
      <c r="I22" s="669"/>
      <c r="J22" s="166"/>
      <c r="K22" s="166"/>
      <c r="L22" s="166"/>
      <c r="M22" s="166"/>
      <c r="N22" s="166"/>
      <c r="O22" s="166"/>
      <c r="P22" s="166"/>
    </row>
    <row r="23" spans="1:16" s="3125" customFormat="1" ht="15.75" hidden="1">
      <c r="A23" s="623"/>
      <c r="B23" s="1942"/>
      <c r="C23" s="60"/>
      <c r="D23" s="60"/>
      <c r="E23" s="60"/>
      <c r="F23" s="166"/>
      <c r="G23" s="166"/>
      <c r="H23" s="166"/>
      <c r="I23" s="166"/>
      <c r="J23" s="166"/>
      <c r="K23" s="166"/>
      <c r="L23" s="166"/>
      <c r="M23" s="166"/>
      <c r="N23" s="166"/>
      <c r="O23" s="166"/>
      <c r="P23" s="166"/>
    </row>
    <row r="25" spans="1:16" ht="22.5">
      <c r="A25" s="745"/>
      <c r="B25" s="421" t="s">
        <v>413</v>
      </c>
      <c r="C25" s="159"/>
      <c r="D25" s="159"/>
      <c r="E25" s="159"/>
      <c r="F25" s="159"/>
      <c r="G25" s="159"/>
      <c r="H25" s="159"/>
      <c r="I25" s="159"/>
      <c r="J25" s="159"/>
      <c r="K25" s="159"/>
      <c r="L25" s="159"/>
      <c r="M25" s="159"/>
      <c r="N25" s="159"/>
      <c r="O25" s="159"/>
      <c r="P25" s="160"/>
    </row>
    <row r="26" spans="1:16">
      <c r="B26" s="210"/>
      <c r="C26" s="198"/>
      <c r="D26" s="198"/>
      <c r="E26" s="198"/>
      <c r="F26" s="198"/>
      <c r="G26" s="198"/>
      <c r="H26" s="198">
        <f>unit.bcm</f>
        <v>9.4275000000000002</v>
      </c>
      <c r="I26" s="198"/>
      <c r="J26" s="198"/>
      <c r="K26" s="198"/>
      <c r="L26" s="198"/>
      <c r="M26" s="198"/>
      <c r="N26" s="198"/>
      <c r="O26" s="198"/>
      <c r="P26" s="199"/>
    </row>
    <row r="27" spans="1:16">
      <c r="B27" s="211"/>
      <c r="C27" s="416" t="s">
        <v>808</v>
      </c>
      <c r="D27" s="415"/>
      <c r="E27" s="104"/>
      <c r="F27" s="415"/>
      <c r="G27" s="415"/>
      <c r="H27" s="415"/>
      <c r="I27" s="415"/>
      <c r="J27" s="415"/>
      <c r="K27" s="415"/>
      <c r="L27" s="415"/>
      <c r="M27" s="415"/>
      <c r="N27" s="415"/>
      <c r="O27" s="104" t="str">
        <f>preferences.energyunits</f>
        <v>TWh</v>
      </c>
      <c r="P27" s="419"/>
    </row>
    <row r="28" spans="1:16" ht="15.75">
      <c r="B28" s="212"/>
      <c r="C28" s="61" t="s">
        <v>411</v>
      </c>
      <c r="D28" s="61" t="s">
        <v>65</v>
      </c>
      <c r="E28" s="61" t="s">
        <v>156</v>
      </c>
      <c r="F28" s="238">
        <v>2007</v>
      </c>
      <c r="G28" s="119">
        <v>2012</v>
      </c>
      <c r="H28" s="119">
        <v>2017</v>
      </c>
      <c r="I28" s="119">
        <v>2022</v>
      </c>
      <c r="J28" s="119">
        <v>2027</v>
      </c>
      <c r="K28" s="119">
        <v>2032</v>
      </c>
      <c r="L28" s="119">
        <v>2037</v>
      </c>
      <c r="M28" s="119">
        <v>2042</v>
      </c>
      <c r="N28" s="119">
        <v>2047</v>
      </c>
      <c r="O28" s="119">
        <v>2052</v>
      </c>
      <c r="P28" s="419"/>
    </row>
    <row r="29" spans="1:16" ht="15.75">
      <c r="B29" s="213"/>
      <c r="C29" s="413">
        <v>1</v>
      </c>
      <c r="D29" s="414"/>
      <c r="E29" s="96"/>
      <c r="F29" s="3150">
        <f>22.33*(unit.bcm)</f>
        <v>210.516075</v>
      </c>
      <c r="G29" s="3150">
        <f>23.32*(unit.bcm)</f>
        <v>219.8493</v>
      </c>
      <c r="H29" s="3150">
        <f>25.46*(unit.bcm)</f>
        <v>240.02415000000002</v>
      </c>
      <c r="I29" s="3150">
        <f>26.73*(unit.bcm)</f>
        <v>251.99707500000002</v>
      </c>
      <c r="J29" s="3150">
        <f>28.06*(unit.bcm)</f>
        <v>264.53564999999998</v>
      </c>
      <c r="K29" s="3150">
        <f>29.47*(unit.bcm)</f>
        <v>277.82842499999998</v>
      </c>
      <c r="L29" s="3150">
        <f>30.9383743098192*(unit.bcm)</f>
        <v>291.67152380582053</v>
      </c>
      <c r="M29" s="3150">
        <f>32.4843604848166*(unit.bcm)</f>
        <v>306.24630847060848</v>
      </c>
      <c r="N29" s="3150">
        <f>34.1075993696477*(unit.bcm)</f>
        <v>321.54939305735371</v>
      </c>
      <c r="O29" s="3150">
        <f>34.1*(unit.bcm)</f>
        <v>321.47775000000001</v>
      </c>
      <c r="P29" s="154"/>
    </row>
    <row r="30" spans="1:16" ht="15.75">
      <c r="B30" s="212"/>
      <c r="C30" s="413">
        <v>2</v>
      </c>
      <c r="D30" s="414"/>
      <c r="E30" s="414"/>
      <c r="F30" s="3150">
        <f>22.33*(unit.bcm)</f>
        <v>210.516075</v>
      </c>
      <c r="G30" s="3150">
        <f>23.32*(unit.bcm)</f>
        <v>219.8493</v>
      </c>
      <c r="H30" s="3150">
        <f>29*(unit.bcm)</f>
        <v>273.39749999999998</v>
      </c>
      <c r="I30" s="3150">
        <f>33.29*(unit.bcm)</f>
        <v>313.841475</v>
      </c>
      <c r="J30" s="3150">
        <f>38.22*(unit.bcm)</f>
        <v>360.31905</v>
      </c>
      <c r="K30" s="3150">
        <f>43.88*(unit.bcm)</f>
        <v>413.67870000000005</v>
      </c>
      <c r="L30" s="3150">
        <f>50.38*(unit.bcm)</f>
        <v>474.95745000000005</v>
      </c>
      <c r="M30" s="3150">
        <f>57.84*(unit.bcm)</f>
        <v>545.28660000000002</v>
      </c>
      <c r="N30" s="3150">
        <f>56.4*(unit.bcm)</f>
        <v>531.71100000000001</v>
      </c>
      <c r="O30" s="3150">
        <f>70*(unit.bcm)</f>
        <v>659.92500000000007</v>
      </c>
      <c r="P30" s="419"/>
    </row>
    <row r="31" spans="1:16" ht="15.75">
      <c r="B31" s="212"/>
      <c r="C31" s="413">
        <v>3</v>
      </c>
      <c r="D31" s="414"/>
      <c r="E31" s="414"/>
      <c r="F31" s="3150">
        <f>22.33*(unit.bcm)</f>
        <v>210.516075</v>
      </c>
      <c r="G31" s="3150">
        <f>23.32*(unit.bcm)</f>
        <v>219.8493</v>
      </c>
      <c r="H31" s="3150">
        <f>30*(unit.bcm)</f>
        <v>282.82499999999999</v>
      </c>
      <c r="I31" s="3150">
        <f>35.63*(unit.bcm)</f>
        <v>335.90182500000003</v>
      </c>
      <c r="J31" s="3150">
        <f>42.32*(unit.bcm)</f>
        <v>398.97180000000003</v>
      </c>
      <c r="K31" s="3150">
        <f>50.26*(unit.bcm)</f>
        <v>473.82614999999998</v>
      </c>
      <c r="L31" s="3150">
        <f>59.69*(unit.bcm)</f>
        <v>562.72747500000003</v>
      </c>
      <c r="M31" s="3150">
        <f>70.9*(unit.bcm)</f>
        <v>668.40975000000003</v>
      </c>
      <c r="N31" s="3150">
        <f>84.2*(unit.bcm)</f>
        <v>793.79550000000006</v>
      </c>
      <c r="O31" s="3150">
        <f>95*(unit.bcm)</f>
        <v>895.61250000000007</v>
      </c>
      <c r="P31" s="419"/>
    </row>
    <row r="32" spans="1:16" ht="15.75">
      <c r="B32" s="212"/>
      <c r="C32" s="411">
        <v>4</v>
      </c>
      <c r="D32" s="65"/>
      <c r="E32" s="65"/>
      <c r="F32" s="3150">
        <f>22.33*(unit.bcm)</f>
        <v>210.516075</v>
      </c>
      <c r="G32" s="3150">
        <f>23.32*(unit.bcm)</f>
        <v>219.8493</v>
      </c>
      <c r="H32" s="3150">
        <f>32*(unit.bcm)</f>
        <v>301.68</v>
      </c>
      <c r="I32" s="3150">
        <f>38.93*(unit.bcm)</f>
        <v>367.01257500000003</v>
      </c>
      <c r="J32" s="3150">
        <f>47.37*(unit.bcm)</f>
        <v>446.58067499999999</v>
      </c>
      <c r="K32" s="3150">
        <f>57.63*(unit.bcm)</f>
        <v>543.306825</v>
      </c>
      <c r="L32" s="3150">
        <f>70.12*(unit.bcm)</f>
        <v>661.05630000000008</v>
      </c>
      <c r="M32" s="3150">
        <f>85.31*(unit.bcm)</f>
        <v>804.26002500000004</v>
      </c>
      <c r="N32" s="3150">
        <f>103.79*(unit.bcm)</f>
        <v>978.48022500000013</v>
      </c>
      <c r="O32" s="3150">
        <f>112*(unit.bcm)</f>
        <v>1055.8800000000001</v>
      </c>
      <c r="P32" s="419"/>
    </row>
    <row r="33" spans="2:16" ht="15.75">
      <c r="B33" s="152"/>
      <c r="C33" s="542" t="s">
        <v>406</v>
      </c>
      <c r="D33" s="407"/>
      <c r="E33" s="407"/>
      <c r="F33" s="1456">
        <f t="shared" ref="F33:O33" si="0">(INDEX(F$29:F$32,ROUNDDOWN($E$7,0))*(1-MOD($E$7,1)))+(INDEX(F$29:F$32,ROUNDUP($E$7,0))*MOD($E$7,1))</f>
        <v>210.516075</v>
      </c>
      <c r="G33" s="1457">
        <f t="shared" si="0"/>
        <v>219.8493</v>
      </c>
      <c r="H33" s="1456">
        <f t="shared" si="0"/>
        <v>240.02415000000002</v>
      </c>
      <c r="I33" s="1456">
        <f t="shared" si="0"/>
        <v>251.99707500000002</v>
      </c>
      <c r="J33" s="1456">
        <f t="shared" si="0"/>
        <v>264.53564999999998</v>
      </c>
      <c r="K33" s="1456">
        <f t="shared" si="0"/>
        <v>277.82842499999998</v>
      </c>
      <c r="L33" s="1456">
        <f t="shared" si="0"/>
        <v>291.67152380582053</v>
      </c>
      <c r="M33" s="1456">
        <f t="shared" si="0"/>
        <v>306.24630847060848</v>
      </c>
      <c r="N33" s="1456">
        <f t="shared" si="0"/>
        <v>321.54939305735371</v>
      </c>
      <c r="O33" s="2166">
        <f t="shared" si="0"/>
        <v>321.47775000000001</v>
      </c>
      <c r="P33" s="419"/>
    </row>
    <row r="34" spans="2:16">
      <c r="B34" s="214"/>
      <c r="C34" s="415"/>
      <c r="D34" s="105"/>
      <c r="E34" s="415"/>
      <c r="F34" s="415"/>
      <c r="G34" s="415"/>
      <c r="H34" s="415"/>
      <c r="I34" s="415"/>
      <c r="J34" s="415"/>
      <c r="K34" s="415"/>
      <c r="L34" s="415"/>
      <c r="M34" s="415"/>
      <c r="N34" s="415"/>
      <c r="O34" s="415"/>
      <c r="P34" s="419"/>
    </row>
    <row r="35" spans="2:16">
      <c r="B35" s="214"/>
      <c r="C35" s="416" t="s">
        <v>807</v>
      </c>
      <c r="D35" s="415"/>
      <c r="E35" s="104"/>
      <c r="F35" s="415"/>
      <c r="G35" s="415"/>
      <c r="H35" s="415"/>
      <c r="I35" s="415"/>
      <c r="J35" s="415"/>
      <c r="K35" s="415"/>
      <c r="L35" s="415"/>
      <c r="M35" s="415"/>
      <c r="N35" s="415"/>
      <c r="O35" s="104" t="str">
        <f>preferences.energyunits</f>
        <v>TWh</v>
      </c>
      <c r="P35" s="419"/>
    </row>
    <row r="36" spans="2:16" ht="15.75">
      <c r="B36" s="212"/>
      <c r="C36" s="61" t="s">
        <v>411</v>
      </c>
      <c r="D36" s="61" t="s">
        <v>65</v>
      </c>
      <c r="E36" s="61" t="s">
        <v>156</v>
      </c>
      <c r="F36" s="238">
        <v>2007</v>
      </c>
      <c r="G36" s="119">
        <v>2012</v>
      </c>
      <c r="H36" s="119">
        <v>2017</v>
      </c>
      <c r="I36" s="119">
        <v>2022</v>
      </c>
      <c r="J36" s="119">
        <v>2027</v>
      </c>
      <c r="K36" s="119">
        <v>2032</v>
      </c>
      <c r="L36" s="119">
        <v>2037</v>
      </c>
      <c r="M36" s="119">
        <v>2042</v>
      </c>
      <c r="N36" s="119">
        <v>2047</v>
      </c>
      <c r="O36" s="119">
        <v>2052</v>
      </c>
      <c r="P36" s="419"/>
    </row>
    <row r="37" spans="2:16" ht="15.75">
      <c r="B37" s="212"/>
      <c r="C37" s="413">
        <v>1</v>
      </c>
      <c r="D37" s="414"/>
      <c r="E37" s="96"/>
      <c r="F37" s="3150">
        <f>2.265*(unit.bcm)</f>
        <v>21.3532875</v>
      </c>
      <c r="G37" s="3150">
        <f>2.633*(unit.bcm)</f>
        <v>24.8226075</v>
      </c>
      <c r="H37" s="3150">
        <f>4.45*(unit.bcm)</f>
        <v>41.952375000000004</v>
      </c>
      <c r="I37" s="3150">
        <f>5.21*(unit.bcm)</f>
        <v>49.117274999999999</v>
      </c>
      <c r="J37" s="3150">
        <f>6.09868510302339*(unit.bcm)</f>
        <v>57.495353808753016</v>
      </c>
      <c r="K37" s="3150">
        <f>7.13895585140872*(unit.bcm)</f>
        <v>67.302506289155701</v>
      </c>
      <c r="L37" s="3150">
        <f>8.35666865683839*(unit.bcm)</f>
        <v>78.782493762343933</v>
      </c>
      <c r="M37" s="3150">
        <f>9.78209033557827*(unit.bcm)</f>
        <v>92.220656638664138</v>
      </c>
      <c r="N37" s="3150">
        <f>11.4506504042265*(unit.bcm)</f>
        <v>107.95100668584534</v>
      </c>
      <c r="O37" s="3150">
        <f>13.2*(unit.bcm)</f>
        <v>124.443</v>
      </c>
      <c r="P37" s="419"/>
    </row>
    <row r="38" spans="2:16" ht="15.75">
      <c r="B38" s="212"/>
      <c r="C38" s="413">
        <v>2</v>
      </c>
      <c r="D38" s="414"/>
      <c r="E38" s="414"/>
      <c r="F38" s="3150">
        <f>2.265*(unit.bcm)</f>
        <v>21.3532875</v>
      </c>
      <c r="G38" s="3150">
        <f>2.633*(unit.bcm)</f>
        <v>24.8226075</v>
      </c>
      <c r="H38" s="3150">
        <f>4.45*(unit.bcm)</f>
        <v>41.952375000000004</v>
      </c>
      <c r="I38" s="3150">
        <f>5.21*(unit.bcm)</f>
        <v>49.117274999999999</v>
      </c>
      <c r="J38" s="3150">
        <f>6.34*(unit.bcm)</f>
        <v>59.770350000000001</v>
      </c>
      <c r="K38" s="3150">
        <f>7.71*(unit.bcm)</f>
        <v>72.686025000000001</v>
      </c>
      <c r="L38" s="3150">
        <f>9.38*(unit.bcm)</f>
        <v>88.429950000000005</v>
      </c>
      <c r="M38" s="3150">
        <f>11.42*(unit.bcm)</f>
        <v>107.66205000000001</v>
      </c>
      <c r="N38" s="3150">
        <f>13.89*(unit.bcm)</f>
        <v>130.94797500000001</v>
      </c>
      <c r="O38" s="3150">
        <f>16.4*(unit.bcm)</f>
        <v>154.61099999999999</v>
      </c>
      <c r="P38" s="419"/>
    </row>
    <row r="39" spans="2:16" ht="15.75">
      <c r="B39" s="212"/>
      <c r="C39" s="413">
        <v>3</v>
      </c>
      <c r="D39" s="414"/>
      <c r="E39" s="414"/>
      <c r="F39" s="3150">
        <f>2.265*(unit.bcm)</f>
        <v>21.3532875</v>
      </c>
      <c r="G39" s="3150">
        <f>2.633*(unit.bcm)</f>
        <v>24.8226075</v>
      </c>
      <c r="H39" s="3150">
        <f>4.45*(unit.bcm)</f>
        <v>41.952375000000004</v>
      </c>
      <c r="I39" s="3150">
        <f>5.41*(unit.bcm)</f>
        <v>51.002775</v>
      </c>
      <c r="J39" s="3150">
        <f>6.71*(unit.bcm)</f>
        <v>63.258524999999999</v>
      </c>
      <c r="K39" s="3150">
        <f>8.41*(unit.bcm)</f>
        <v>79.285274999999999</v>
      </c>
      <c r="L39" s="3150">
        <f>10.48*(unit.bcm)</f>
        <v>98.800200000000004</v>
      </c>
      <c r="M39" s="3150">
        <f>13.06*(unit.bcm)</f>
        <v>123.12315000000001</v>
      </c>
      <c r="N39" s="3150">
        <f>16.27*(unit.bcm)</f>
        <v>153.385425</v>
      </c>
      <c r="O39" s="3150">
        <f>19.5*(unit.bcm)</f>
        <v>183.83625000000001</v>
      </c>
      <c r="P39" s="419"/>
    </row>
    <row r="40" spans="2:16" ht="15.75">
      <c r="B40" s="212"/>
      <c r="C40" s="411">
        <v>4</v>
      </c>
      <c r="D40" s="65"/>
      <c r="E40" s="65"/>
      <c r="F40" s="3150">
        <f>2.265*(unit.bcm)</f>
        <v>21.3532875</v>
      </c>
      <c r="G40" s="3150">
        <f>2.633*(unit.bcm)</f>
        <v>24.8226075</v>
      </c>
      <c r="H40" s="3150">
        <f>4.45*(unit.bcm)</f>
        <v>41.952375000000004</v>
      </c>
      <c r="I40" s="3150">
        <f>5.55*(unit.bcm)</f>
        <v>52.322625000000002</v>
      </c>
      <c r="J40" s="3150">
        <f>7.08*(unit.bcm)</f>
        <v>66.746700000000004</v>
      </c>
      <c r="K40" s="3150">
        <f>9.03*(unit.bcm)</f>
        <v>85.130324999999999</v>
      </c>
      <c r="L40" s="3150">
        <f>11.53*(unit.bcm)</f>
        <v>108.69907499999999</v>
      </c>
      <c r="M40" s="3150">
        <f>14.71*(unit.bcm)</f>
        <v>138.67852500000001</v>
      </c>
      <c r="N40" s="3150">
        <f>18.78*(unit.bcm)</f>
        <v>177.04845</v>
      </c>
      <c r="O40" s="3150">
        <f>22.9*(unit.bcm)</f>
        <v>215.88974999999999</v>
      </c>
      <c r="P40" s="419"/>
    </row>
    <row r="41" spans="2:16" ht="15.75">
      <c r="B41" s="152"/>
      <c r="C41" s="542" t="s">
        <v>406</v>
      </c>
      <c r="D41" s="407"/>
      <c r="E41" s="407"/>
      <c r="F41" s="2167">
        <f t="shared" ref="F41:O41" si="1">(INDEX(F$37:F$40,ROUNDDOWN($E$7,0))*(1-MOD($E$7,1)))+(INDEX(F$37:F$40,ROUNDUP($E$7,0))*MOD($E$7,1))</f>
        <v>21.3532875</v>
      </c>
      <c r="G41" s="2167">
        <f t="shared" si="1"/>
        <v>24.8226075</v>
      </c>
      <c r="H41" s="2167">
        <f t="shared" si="1"/>
        <v>41.952375000000004</v>
      </c>
      <c r="I41" s="2167">
        <f t="shared" si="1"/>
        <v>49.117274999999999</v>
      </c>
      <c r="J41" s="2167">
        <f t="shared" si="1"/>
        <v>57.495353808753016</v>
      </c>
      <c r="K41" s="2167">
        <f t="shared" si="1"/>
        <v>67.302506289155701</v>
      </c>
      <c r="L41" s="2167">
        <f t="shared" si="1"/>
        <v>78.782493762343933</v>
      </c>
      <c r="M41" s="2167">
        <f t="shared" si="1"/>
        <v>92.220656638664138</v>
      </c>
      <c r="N41" s="2167">
        <f t="shared" si="1"/>
        <v>107.95100668584534</v>
      </c>
      <c r="O41" s="2167">
        <f t="shared" si="1"/>
        <v>124.443</v>
      </c>
      <c r="P41" s="419"/>
    </row>
    <row r="42" spans="2:16" ht="15.75">
      <c r="B42" s="152"/>
      <c r="C42" s="126"/>
      <c r="D42" s="414"/>
      <c r="E42" s="414"/>
      <c r="F42" s="222"/>
      <c r="G42" s="222"/>
      <c r="H42" s="222"/>
      <c r="I42" s="222"/>
      <c r="J42" s="222"/>
      <c r="K42" s="222"/>
      <c r="L42" s="222"/>
      <c r="M42" s="222"/>
      <c r="N42" s="222"/>
      <c r="O42" s="137"/>
      <c r="P42" s="419"/>
    </row>
    <row r="43" spans="2:16" ht="15.75">
      <c r="B43" s="152"/>
      <c r="C43" s="416" t="s">
        <v>2103</v>
      </c>
      <c r="D43" s="415"/>
      <c r="E43" s="104"/>
      <c r="F43" s="415"/>
      <c r="G43" s="415"/>
      <c r="H43" s="2848"/>
      <c r="I43" s="415"/>
      <c r="J43" s="415"/>
      <c r="K43" s="415"/>
      <c r="L43" s="415"/>
      <c r="M43" s="415"/>
      <c r="N43" s="415"/>
      <c r="O43" s="104" t="str">
        <f>preferences.energyunits</f>
        <v>TWh</v>
      </c>
      <c r="P43" s="419"/>
    </row>
    <row r="44" spans="2:16" ht="15.75">
      <c r="B44" s="152"/>
      <c r="C44" s="61" t="s">
        <v>411</v>
      </c>
      <c r="D44" s="61" t="s">
        <v>65</v>
      </c>
      <c r="E44" s="61" t="s">
        <v>156</v>
      </c>
      <c r="F44" s="238">
        <v>2007</v>
      </c>
      <c r="G44" s="119">
        <v>2012</v>
      </c>
      <c r="H44" s="119">
        <v>2017</v>
      </c>
      <c r="I44" s="119">
        <v>2022</v>
      </c>
      <c r="J44" s="119">
        <v>2027</v>
      </c>
      <c r="K44" s="119">
        <v>2032</v>
      </c>
      <c r="L44" s="119">
        <v>2037</v>
      </c>
      <c r="M44" s="119">
        <v>2042</v>
      </c>
      <c r="N44" s="119">
        <v>2047</v>
      </c>
      <c r="O44" s="119">
        <v>2052</v>
      </c>
      <c r="P44" s="419"/>
    </row>
    <row r="45" spans="2:16" ht="15.75">
      <c r="B45" s="152"/>
      <c r="C45" s="413">
        <v>1</v>
      </c>
      <c r="D45" s="414"/>
      <c r="E45" s="96"/>
      <c r="F45" s="3150">
        <f>6.86*(unit.bcm)</f>
        <v>64.672650000000004</v>
      </c>
      <c r="G45" s="3150">
        <f>21.61*(unit.bcm)</f>
        <v>203.728275</v>
      </c>
      <c r="H45" s="3150">
        <f>AVERAGE(G45,I45)</f>
        <v>223.23058600499999</v>
      </c>
      <c r="I45" s="3150">
        <f>25.747324*(unit.bcm)</f>
        <v>242.73289700999999</v>
      </c>
      <c r="J45" s="3150">
        <f>27.0606962871809*(unit.bcm)</f>
        <v>255.11471424739793</v>
      </c>
      <c r="K45" s="3150">
        <f>28.4410637605309*(unit.bcm)</f>
        <v>268.12812860240507</v>
      </c>
      <c r="L45" s="3150">
        <f>29.8918438478529*(unit.bcm)</f>
        <v>281.80535787563321</v>
      </c>
      <c r="M45" s="3150">
        <f>31.4166283001132*(unit.bcm)</f>
        <v>296.18026329931718</v>
      </c>
      <c r="N45" s="3150">
        <f>33.0191920836751*(unit.bcm)</f>
        <v>311.288433368847</v>
      </c>
      <c r="O45" s="3150">
        <f>34.9*(unit.bcm)</f>
        <v>329.01974999999999</v>
      </c>
      <c r="P45" s="419"/>
    </row>
    <row r="46" spans="2:16" ht="15.75">
      <c r="B46" s="152"/>
      <c r="C46" s="413">
        <v>2</v>
      </c>
      <c r="D46" s="414"/>
      <c r="E46" s="414"/>
      <c r="F46" s="3150">
        <f>7.039*(unit.bcm)</f>
        <v>66.360172500000004</v>
      </c>
      <c r="G46" s="3150">
        <f>21.61*(unit.bcm)</f>
        <v>203.728275</v>
      </c>
      <c r="H46" s="3150">
        <f t="shared" ref="H46:H48" si="2">AVERAGE(G46,I46)</f>
        <v>226.87278750000002</v>
      </c>
      <c r="I46" s="3150">
        <f>26.52*(unit.bcm)</f>
        <v>250.01730000000001</v>
      </c>
      <c r="J46" s="3150">
        <f>30*(unit.bcm)</f>
        <v>282.82499999999999</v>
      </c>
      <c r="K46" s="3150">
        <f>33.94*(unit.bcm)</f>
        <v>319.96934999999996</v>
      </c>
      <c r="L46" s="3150">
        <f>38.41*(unit.bcm)</f>
        <v>362.110275</v>
      </c>
      <c r="M46" s="3150">
        <f>43.45*(unit.bcm)</f>
        <v>409.62487500000003</v>
      </c>
      <c r="N46" s="3150">
        <f>49.16*(unit.bcm)</f>
        <v>463.45589999999999</v>
      </c>
      <c r="O46" s="3150">
        <f>55*(unit.bcm)</f>
        <v>518.51250000000005</v>
      </c>
      <c r="P46" s="419"/>
    </row>
    <row r="47" spans="2:16" ht="15.75">
      <c r="B47" s="152"/>
      <c r="C47" s="413">
        <v>3</v>
      </c>
      <c r="D47" s="414"/>
      <c r="E47" s="414"/>
      <c r="F47" s="3150">
        <f>7.039*(unit.bcm)</f>
        <v>66.360172500000004</v>
      </c>
      <c r="G47" s="3150">
        <f>21.61*(unit.bcm)</f>
        <v>203.728275</v>
      </c>
      <c r="H47" s="3150">
        <f t="shared" si="2"/>
        <v>228.084768045</v>
      </c>
      <c r="I47" s="3150">
        <f>26.777116*(unit.bcm)</f>
        <v>252.44126109000001</v>
      </c>
      <c r="J47" s="3150">
        <f>31.0420163633237*(unit.bcm)</f>
        <v>292.6486092652342</v>
      </c>
      <c r="K47" s="3150">
        <f>35.9862047839976*(unit.bcm)</f>
        <v>339.25994560113736</v>
      </c>
      <c r="L47" s="3150">
        <f>41.717874238539*(unit.bcm)</f>
        <v>393.29525938382642</v>
      </c>
      <c r="M47" s="3150">
        <f>48.3624500396461*(unit.bcm)</f>
        <v>455.93699774876359</v>
      </c>
      <c r="N47" s="3150">
        <f>56.0653345005907*(unit.bcm)</f>
        <v>528.55594100431881</v>
      </c>
      <c r="O47" s="3150">
        <f>64*(unit.bcm)</f>
        <v>603.36</v>
      </c>
      <c r="P47" s="419"/>
    </row>
    <row r="48" spans="2:16" ht="15.75">
      <c r="B48" s="152"/>
      <c r="C48" s="411">
        <v>4</v>
      </c>
      <c r="D48" s="65"/>
      <c r="E48" s="65"/>
      <c r="F48" s="3150">
        <f>7.039*(unit.bcm)</f>
        <v>66.360172500000004</v>
      </c>
      <c r="G48" s="3150">
        <f>21.61*(unit.bcm)</f>
        <v>203.728275</v>
      </c>
      <c r="H48" s="3150">
        <f t="shared" si="2"/>
        <v>230.54951249999999</v>
      </c>
      <c r="I48" s="3150">
        <f>27.3*(unit.bcm)</f>
        <v>257.37074999999999</v>
      </c>
      <c r="J48" s="3150">
        <f>33.21*(unit.bcm)</f>
        <v>313.08727500000003</v>
      </c>
      <c r="K48" s="3150">
        <f>40.41*(unit.bcm)</f>
        <v>380.96527499999996</v>
      </c>
      <c r="L48" s="3150">
        <f>49.17*(unit.bcm)</f>
        <v>463.55017500000002</v>
      </c>
      <c r="M48" s="3150">
        <f>59.82*(unit.bcm)</f>
        <v>563.95304999999996</v>
      </c>
      <c r="N48" s="3150">
        <f>72.78*(unit.bcm)</f>
        <v>686.13345000000004</v>
      </c>
      <c r="O48" s="3150">
        <f>81*(unit.bcm)</f>
        <v>763.62750000000005</v>
      </c>
      <c r="P48" s="419"/>
    </row>
    <row r="49" spans="2:16" ht="15.75">
      <c r="B49" s="152"/>
      <c r="C49" s="542" t="s">
        <v>406</v>
      </c>
      <c r="D49" s="407"/>
      <c r="E49" s="407"/>
      <c r="F49" s="408">
        <f>(INDEX(F$45:F$48,ROUNDDOWN($E$7,0))*(1-MOD($E$7,1)))+(INDEX(F$37:F$40,ROUNDUP($E$7,0))*MOD($E$7,1))</f>
        <v>64.672650000000004</v>
      </c>
      <c r="G49" s="408">
        <f>(INDEX(G$45:G$48,ROUNDDOWN($E$7,0))*(1-MOD($E$7,1)))+(INDEX(G$45:G$48,ROUNDUP($E$7,0))*MOD($E$7,1))</f>
        <v>203.728275</v>
      </c>
      <c r="H49" s="408">
        <f t="shared" ref="H49:O49" si="3">(INDEX(H$45:H$48,ROUNDDOWN($E$7,0))*(1-MOD($E$7,1)))+(INDEX(H$45:H$48,ROUNDUP($E$7,0))*MOD($E$7,1))</f>
        <v>223.23058600499999</v>
      </c>
      <c r="I49" s="408">
        <f t="shared" si="3"/>
        <v>242.73289700999999</v>
      </c>
      <c r="J49" s="408">
        <f t="shared" si="3"/>
        <v>255.11471424739793</v>
      </c>
      <c r="K49" s="408">
        <f t="shared" si="3"/>
        <v>268.12812860240507</v>
      </c>
      <c r="L49" s="408">
        <f t="shared" si="3"/>
        <v>281.80535787563321</v>
      </c>
      <c r="M49" s="408">
        <f t="shared" si="3"/>
        <v>296.18026329931718</v>
      </c>
      <c r="N49" s="408">
        <f t="shared" si="3"/>
        <v>311.288433368847</v>
      </c>
      <c r="O49" s="408">
        <f t="shared" si="3"/>
        <v>329.01974999999999</v>
      </c>
      <c r="P49" s="419"/>
    </row>
    <row r="50" spans="2:16" ht="15.75">
      <c r="B50" s="152"/>
      <c r="C50" s="126"/>
      <c r="D50" s="414"/>
      <c r="E50" s="414"/>
      <c r="F50" s="222"/>
      <c r="G50" s="222"/>
      <c r="H50" s="222"/>
      <c r="I50" s="222"/>
      <c r="J50" s="222"/>
      <c r="K50" s="222"/>
      <c r="L50" s="222"/>
      <c r="M50" s="222"/>
      <c r="N50" s="222"/>
      <c r="O50" s="137"/>
      <c r="P50" s="419"/>
    </row>
    <row r="51" spans="2:16" ht="15.75">
      <c r="B51" s="152"/>
      <c r="C51" s="416" t="s">
        <v>806</v>
      </c>
      <c r="D51" s="415"/>
      <c r="E51" s="104"/>
      <c r="F51" s="415"/>
      <c r="G51" s="415"/>
      <c r="H51" s="415"/>
      <c r="I51" s="415"/>
      <c r="J51" s="415"/>
      <c r="K51" s="415"/>
      <c r="L51" s="415"/>
      <c r="M51" s="415"/>
      <c r="N51" s="415"/>
      <c r="O51" s="104" t="str">
        <f>preferences.energyunits</f>
        <v>TWh</v>
      </c>
      <c r="P51" s="419"/>
    </row>
    <row r="52" spans="2:16" ht="15.75">
      <c r="B52" s="152"/>
      <c r="C52" s="61" t="s">
        <v>411</v>
      </c>
      <c r="D52" s="61" t="s">
        <v>65</v>
      </c>
      <c r="E52" s="61" t="s">
        <v>156</v>
      </c>
      <c r="F52" s="238">
        <v>2007</v>
      </c>
      <c r="G52" s="119">
        <v>2012</v>
      </c>
      <c r="H52" s="119">
        <v>2017</v>
      </c>
      <c r="I52" s="119">
        <v>2022</v>
      </c>
      <c r="J52" s="119">
        <v>2027</v>
      </c>
      <c r="K52" s="119">
        <v>2032</v>
      </c>
      <c r="L52" s="119">
        <v>2037</v>
      </c>
      <c r="M52" s="119">
        <v>2042</v>
      </c>
      <c r="N52" s="119">
        <v>2047</v>
      </c>
      <c r="O52" s="119">
        <v>2052</v>
      </c>
      <c r="P52" s="419"/>
    </row>
    <row r="53" spans="2:16" ht="15.75">
      <c r="B53" s="152"/>
      <c r="C53" s="413">
        <v>1</v>
      </c>
      <c r="D53" s="414"/>
      <c r="E53" s="96"/>
      <c r="F53" s="222">
        <f>0*(unit.bcm)</f>
        <v>0</v>
      </c>
      <c r="G53" s="222">
        <f>0.084*(unit.bcm)</f>
        <v>0.79191000000000011</v>
      </c>
      <c r="H53" s="222">
        <f>0.2*(unit.bcm)</f>
        <v>1.8855000000000002</v>
      </c>
      <c r="I53" s="222">
        <f>0.5*(unit.bcm)</f>
        <v>4.7137500000000001</v>
      </c>
      <c r="J53" s="222">
        <f>1*(unit.bcm)</f>
        <v>9.4275000000000002</v>
      </c>
      <c r="K53" s="222">
        <f>3*(unit.bcm)</f>
        <v>28.282499999999999</v>
      </c>
      <c r="L53" s="222">
        <f>3*(unit.bcm)</f>
        <v>28.282499999999999</v>
      </c>
      <c r="M53" s="222">
        <f>3*(unit.bcm)</f>
        <v>28.282499999999999</v>
      </c>
      <c r="N53" s="222">
        <f>3*(unit.bcm)</f>
        <v>28.282499999999999</v>
      </c>
      <c r="O53" s="222">
        <f>3*(unit.bcm)</f>
        <v>28.282499999999999</v>
      </c>
      <c r="P53" s="419"/>
    </row>
    <row r="54" spans="2:16" ht="15.75">
      <c r="B54" s="152"/>
      <c r="C54" s="413">
        <v>2</v>
      </c>
      <c r="D54" s="414"/>
      <c r="E54" s="414"/>
      <c r="F54" s="222">
        <f>0*(unit.bcm)</f>
        <v>0</v>
      </c>
      <c r="G54" s="222">
        <f>0.084*(unit.bcm)</f>
        <v>0.79191000000000011</v>
      </c>
      <c r="H54" s="222">
        <f>0.2*(unit.bcm)</f>
        <v>1.8855000000000002</v>
      </c>
      <c r="I54" s="222">
        <f>2*(unit.bcm)</f>
        <v>18.855</v>
      </c>
      <c r="J54" s="222">
        <f>3*(unit.bcm)</f>
        <v>28.282499999999999</v>
      </c>
      <c r="K54" s="222">
        <f>5*(unit.bcm)</f>
        <v>47.137500000000003</v>
      </c>
      <c r="L54" s="222">
        <f>5*(unit.bcm)</f>
        <v>47.137500000000003</v>
      </c>
      <c r="M54" s="222">
        <f>5*(unit.bcm)</f>
        <v>47.137500000000003</v>
      </c>
      <c r="N54" s="222">
        <f>5*(unit.bcm)</f>
        <v>47.137500000000003</v>
      </c>
      <c r="O54" s="222">
        <f>5*(unit.bcm)</f>
        <v>47.137500000000003</v>
      </c>
      <c r="P54" s="419"/>
    </row>
    <row r="55" spans="2:16" ht="15.75">
      <c r="B55" s="152"/>
      <c r="C55" s="413">
        <v>3</v>
      </c>
      <c r="D55" s="414"/>
      <c r="E55" s="414"/>
      <c r="F55" s="222">
        <f>0*(unit.bcm)</f>
        <v>0</v>
      </c>
      <c r="G55" s="222">
        <f>0.084*(unit.bcm)</f>
        <v>0.79191000000000011</v>
      </c>
      <c r="H55" s="222">
        <f>0.3*(unit.bcm)</f>
        <v>2.8282500000000002</v>
      </c>
      <c r="I55" s="222">
        <f>2*(unit.bcm)</f>
        <v>18.855</v>
      </c>
      <c r="J55" s="222">
        <f>3*(unit.bcm)</f>
        <v>28.282499999999999</v>
      </c>
      <c r="K55" s="222">
        <f>5*(unit.bcm)</f>
        <v>47.137500000000003</v>
      </c>
      <c r="L55" s="222">
        <f>8*(unit.bcm)</f>
        <v>75.42</v>
      </c>
      <c r="M55" s="222">
        <f>8*(unit.bcm)</f>
        <v>75.42</v>
      </c>
      <c r="N55" s="222">
        <f>8*(unit.bcm)</f>
        <v>75.42</v>
      </c>
      <c r="O55" s="222">
        <f>8*(unit.bcm)</f>
        <v>75.42</v>
      </c>
      <c r="P55" s="419"/>
    </row>
    <row r="56" spans="2:16" ht="15.75">
      <c r="B56" s="152"/>
      <c r="C56" s="411">
        <v>4</v>
      </c>
      <c r="D56" s="65"/>
      <c r="E56" s="65"/>
      <c r="F56" s="222">
        <f>0*(unit.bcm)</f>
        <v>0</v>
      </c>
      <c r="G56" s="222">
        <f>0.084*(unit.bcm)</f>
        <v>0.79191000000000011</v>
      </c>
      <c r="H56" s="222">
        <f>0.3*(unit.bcm)</f>
        <v>2.8282500000000002</v>
      </c>
      <c r="I56" s="222">
        <f>4*(unit.bcm)</f>
        <v>37.71</v>
      </c>
      <c r="J56" s="222">
        <f>5*(unit.bcm)</f>
        <v>47.137500000000003</v>
      </c>
      <c r="K56" s="222">
        <f>6*(unit.bcm)</f>
        <v>56.564999999999998</v>
      </c>
      <c r="L56" s="222">
        <f>8*(unit.bcm)</f>
        <v>75.42</v>
      </c>
      <c r="M56" s="222">
        <f>8*(unit.bcm)</f>
        <v>75.42</v>
      </c>
      <c r="N56" s="222">
        <f>10*(unit.bcm)</f>
        <v>94.275000000000006</v>
      </c>
      <c r="O56" s="222">
        <f>10*(unit.bcm)</f>
        <v>94.275000000000006</v>
      </c>
      <c r="P56" s="419"/>
    </row>
    <row r="57" spans="2:16" ht="15.75">
      <c r="B57" s="152"/>
      <c r="C57" s="542" t="s">
        <v>406</v>
      </c>
      <c r="D57" s="407"/>
      <c r="E57" s="407"/>
      <c r="F57" s="408">
        <f>(INDEX(F$53:F$56,ROUNDDOWN($E$7,0))*(1-MOD($E$7,1)))+(INDEX(F$37:F$40,ROUNDUP($E$7,0))*MOD($E$7,1))</f>
        <v>0</v>
      </c>
      <c r="G57" s="408">
        <f>(INDEX(G$53:G$56,ROUNDDOWN($E$7,0))*(1-MOD($E$7,1)))+(INDEX(G$53:G$56,ROUNDUP($E$7,0))*MOD($E$7,1))</f>
        <v>0.79191000000000011</v>
      </c>
      <c r="H57" s="408">
        <f t="shared" ref="H57:O57" si="4">(INDEX(H$53:H$56,ROUNDDOWN($E$7,0))*(1-MOD($E$7,1)))+(INDEX(H$53:H$56,ROUNDUP($E$7,0))*MOD($E$7,1))</f>
        <v>1.8855000000000002</v>
      </c>
      <c r="I57" s="408">
        <f t="shared" si="4"/>
        <v>4.7137500000000001</v>
      </c>
      <c r="J57" s="408">
        <f t="shared" si="4"/>
        <v>9.4275000000000002</v>
      </c>
      <c r="K57" s="408">
        <f t="shared" si="4"/>
        <v>28.282499999999999</v>
      </c>
      <c r="L57" s="408">
        <f t="shared" si="4"/>
        <v>28.282499999999999</v>
      </c>
      <c r="M57" s="408">
        <f t="shared" si="4"/>
        <v>28.282499999999999</v>
      </c>
      <c r="N57" s="408">
        <f t="shared" si="4"/>
        <v>28.282499999999999</v>
      </c>
      <c r="O57" s="408">
        <f t="shared" si="4"/>
        <v>28.282499999999999</v>
      </c>
      <c r="P57" s="419"/>
    </row>
    <row r="58" spans="2:16" ht="15.75">
      <c r="B58" s="152"/>
      <c r="C58" s="126"/>
      <c r="D58" s="414"/>
      <c r="E58" s="414"/>
      <c r="F58" s="222"/>
      <c r="G58" s="222"/>
      <c r="H58" s="222"/>
      <c r="I58" s="222"/>
      <c r="J58" s="222"/>
      <c r="K58" s="222"/>
      <c r="L58" s="222"/>
      <c r="M58" s="222"/>
      <c r="N58" s="222"/>
      <c r="O58" s="137"/>
      <c r="P58" s="419"/>
    </row>
    <row r="59" spans="2:16" ht="15.75">
      <c r="B59" s="152"/>
      <c r="C59" s="416" t="s">
        <v>805</v>
      </c>
      <c r="D59" s="415"/>
      <c r="E59" s="104"/>
      <c r="F59" s="415"/>
      <c r="G59" s="415">
        <f>unit.bcm</f>
        <v>9.4275000000000002</v>
      </c>
      <c r="H59" s="415"/>
      <c r="I59" s="415"/>
      <c r="J59" s="415"/>
      <c r="K59" s="415"/>
      <c r="L59" s="415"/>
      <c r="M59" s="415"/>
      <c r="N59" s="415"/>
      <c r="O59" s="104" t="str">
        <f>preferences.energyunits</f>
        <v>TWh</v>
      </c>
      <c r="P59" s="419"/>
    </row>
    <row r="60" spans="2:16" ht="15.75">
      <c r="B60" s="152"/>
      <c r="C60" s="61" t="s">
        <v>411</v>
      </c>
      <c r="D60" s="61" t="s">
        <v>65</v>
      </c>
      <c r="E60" s="61" t="s">
        <v>156</v>
      </c>
      <c r="F60" s="238">
        <v>2007</v>
      </c>
      <c r="G60" s="119">
        <v>2012</v>
      </c>
      <c r="H60" s="119">
        <v>2017</v>
      </c>
      <c r="I60" s="119">
        <v>2022</v>
      </c>
      <c r="J60" s="119">
        <v>2027</v>
      </c>
      <c r="K60" s="119">
        <v>2032</v>
      </c>
      <c r="L60" s="119">
        <v>2037</v>
      </c>
      <c r="M60" s="119">
        <v>2042</v>
      </c>
      <c r="N60" s="119">
        <v>2047</v>
      </c>
      <c r="O60" s="119">
        <v>2052</v>
      </c>
      <c r="P60" s="419"/>
    </row>
    <row r="61" spans="2:16" ht="15.75">
      <c r="B61" s="152"/>
      <c r="C61" s="413">
        <v>1</v>
      </c>
      <c r="D61" s="414"/>
      <c r="E61" s="96"/>
      <c r="F61" s="415">
        <f t="shared" ref="F61:O61" si="5">0*(unit.bcm)</f>
        <v>0</v>
      </c>
      <c r="G61" s="415">
        <f t="shared" si="5"/>
        <v>0</v>
      </c>
      <c r="H61" s="415">
        <f t="shared" si="5"/>
        <v>0</v>
      </c>
      <c r="I61" s="415">
        <f t="shared" si="5"/>
        <v>0</v>
      </c>
      <c r="J61" s="415">
        <f t="shared" si="5"/>
        <v>0</v>
      </c>
      <c r="K61" s="415">
        <f t="shared" si="5"/>
        <v>0</v>
      </c>
      <c r="L61" s="415">
        <f t="shared" si="5"/>
        <v>0</v>
      </c>
      <c r="M61" s="415">
        <f t="shared" si="5"/>
        <v>0</v>
      </c>
      <c r="N61" s="415">
        <f t="shared" si="5"/>
        <v>0</v>
      </c>
      <c r="O61" s="415">
        <f t="shared" si="5"/>
        <v>0</v>
      </c>
      <c r="P61" s="419"/>
    </row>
    <row r="62" spans="2:16" ht="15.75">
      <c r="B62" s="152"/>
      <c r="C62" s="413">
        <v>2</v>
      </c>
      <c r="D62" s="414"/>
      <c r="E62" s="414"/>
      <c r="F62" s="415">
        <f t="shared" ref="F62:H63" si="6">0*(unit.bcm)</f>
        <v>0</v>
      </c>
      <c r="G62" s="415">
        <f t="shared" si="6"/>
        <v>0</v>
      </c>
      <c r="H62" s="415">
        <f t="shared" si="6"/>
        <v>0</v>
      </c>
      <c r="I62" s="415">
        <f>1*(unit.bcm)</f>
        <v>9.4275000000000002</v>
      </c>
      <c r="J62" s="415">
        <f>2*(unit.bcm)</f>
        <v>18.855</v>
      </c>
      <c r="K62" s="415">
        <f>3*(unit.bcm)</f>
        <v>28.282499999999999</v>
      </c>
      <c r="L62" s="415">
        <f>3*(unit.bcm)</f>
        <v>28.282499999999999</v>
      </c>
      <c r="M62" s="415">
        <f>3*(unit.bcm)</f>
        <v>28.282499999999999</v>
      </c>
      <c r="N62" s="415">
        <f>3*(unit.bcm)</f>
        <v>28.282499999999999</v>
      </c>
      <c r="O62" s="415">
        <f>3*(unit.bcm)</f>
        <v>28.282499999999999</v>
      </c>
      <c r="P62" s="419"/>
    </row>
    <row r="63" spans="2:16" ht="15.75">
      <c r="B63" s="152"/>
      <c r="C63" s="413">
        <v>3</v>
      </c>
      <c r="D63" s="414"/>
      <c r="E63" s="414"/>
      <c r="F63" s="415">
        <f t="shared" si="6"/>
        <v>0</v>
      </c>
      <c r="G63" s="415">
        <f t="shared" si="6"/>
        <v>0</v>
      </c>
      <c r="H63" s="415">
        <f t="shared" si="6"/>
        <v>0</v>
      </c>
      <c r="I63" s="415">
        <f>1*(unit.bcm)</f>
        <v>9.4275000000000002</v>
      </c>
      <c r="J63" s="415">
        <f>2*(unit.bcm)</f>
        <v>18.855</v>
      </c>
      <c r="K63" s="415">
        <f>3*(unit.bcm)</f>
        <v>28.282499999999999</v>
      </c>
      <c r="L63" s="415">
        <f>4*(unit.bcm)</f>
        <v>37.71</v>
      </c>
      <c r="M63" s="415">
        <f>4*(unit.bcm)</f>
        <v>37.71</v>
      </c>
      <c r="N63" s="415">
        <f>4*(unit.bcm)</f>
        <v>37.71</v>
      </c>
      <c r="O63" s="415">
        <f>4*(unit.bcm)</f>
        <v>37.71</v>
      </c>
      <c r="P63" s="419"/>
    </row>
    <row r="64" spans="2:16" ht="15.75">
      <c r="B64" s="152"/>
      <c r="C64" s="411">
        <v>4</v>
      </c>
      <c r="D64" s="65"/>
      <c r="E64" s="65"/>
      <c r="F64" s="415">
        <f>0*(unit.bcm)</f>
        <v>0</v>
      </c>
      <c r="G64" s="415">
        <f>0*(unit.bcm)</f>
        <v>0</v>
      </c>
      <c r="H64" s="415">
        <f>0.5*(unit.bcm)</f>
        <v>4.7137500000000001</v>
      </c>
      <c r="I64" s="415">
        <f>3*(unit.bcm)</f>
        <v>28.282499999999999</v>
      </c>
      <c r="J64" s="415">
        <f>4*(unit.bcm)</f>
        <v>37.71</v>
      </c>
      <c r="K64" s="415">
        <f>6*(unit.bcm)</f>
        <v>56.564999999999998</v>
      </c>
      <c r="L64" s="415">
        <f>7*(unit.bcm)</f>
        <v>65.992500000000007</v>
      </c>
      <c r="M64" s="415">
        <f>8*(unit.bcm)</f>
        <v>75.42</v>
      </c>
      <c r="N64" s="415">
        <f>9*(unit.bcm)</f>
        <v>84.847499999999997</v>
      </c>
      <c r="O64" s="415">
        <f>10*(unit.bcm)</f>
        <v>94.275000000000006</v>
      </c>
      <c r="P64" s="419"/>
    </row>
    <row r="65" spans="2:16" ht="15.75">
      <c r="B65" s="152"/>
      <c r="C65" s="542" t="s">
        <v>406</v>
      </c>
      <c r="D65" s="407"/>
      <c r="E65" s="407"/>
      <c r="F65" s="408">
        <f>(INDEX(F$61:F$64,ROUNDDOWN($E$7,0))*(1-MOD($E$7,1)))+(INDEX(F$61:F$64,ROUNDUP($E$7,0))*MOD($E$7,1))</f>
        <v>0</v>
      </c>
      <c r="G65" s="408">
        <f t="shared" ref="G65:O65" si="7">(INDEX(G$61:G$64,ROUNDDOWN($E$7,0))*(1-MOD($E$7,1)))+(INDEX(G$61:G$64,ROUNDUP($E$7,0))*MOD($E$7,1))</f>
        <v>0</v>
      </c>
      <c r="H65" s="408">
        <f t="shared" si="7"/>
        <v>0</v>
      </c>
      <c r="I65" s="408">
        <f t="shared" si="7"/>
        <v>0</v>
      </c>
      <c r="J65" s="408">
        <f t="shared" si="7"/>
        <v>0</v>
      </c>
      <c r="K65" s="408">
        <f t="shared" si="7"/>
        <v>0</v>
      </c>
      <c r="L65" s="408">
        <f t="shared" si="7"/>
        <v>0</v>
      </c>
      <c r="M65" s="408">
        <f t="shared" si="7"/>
        <v>0</v>
      </c>
      <c r="N65" s="408">
        <f t="shared" si="7"/>
        <v>0</v>
      </c>
      <c r="O65" s="408">
        <f t="shared" si="7"/>
        <v>0</v>
      </c>
      <c r="P65" s="419"/>
    </row>
    <row r="66" spans="2:16" ht="15.75">
      <c r="B66" s="152"/>
      <c r="C66" s="126"/>
      <c r="D66" s="414"/>
      <c r="E66" s="414"/>
      <c r="F66" s="222"/>
      <c r="G66" s="222"/>
      <c r="H66" s="222"/>
      <c r="I66" s="222"/>
      <c r="J66" s="222"/>
      <c r="K66" s="222"/>
      <c r="L66" s="222"/>
      <c r="M66" s="222"/>
      <c r="N66" s="222"/>
      <c r="O66" s="137"/>
      <c r="P66" s="419"/>
    </row>
    <row r="67" spans="2:16" ht="15.75">
      <c r="B67" s="152"/>
      <c r="C67" s="416" t="s">
        <v>804</v>
      </c>
      <c r="D67" s="415"/>
      <c r="E67" s="104"/>
      <c r="F67" s="415"/>
      <c r="G67" s="415"/>
      <c r="H67" s="415"/>
      <c r="I67" s="415"/>
      <c r="J67" s="415"/>
      <c r="K67" s="415"/>
      <c r="L67" s="415"/>
      <c r="M67" s="415"/>
      <c r="N67" s="415"/>
      <c r="O67" s="104" t="str">
        <f>preferences.energyunits</f>
        <v>TWh</v>
      </c>
      <c r="P67" s="419"/>
    </row>
    <row r="68" spans="2:16" ht="15.75">
      <c r="B68" s="152"/>
      <c r="C68" s="61" t="s">
        <v>411</v>
      </c>
      <c r="D68" s="61" t="s">
        <v>65</v>
      </c>
      <c r="E68" s="61" t="s">
        <v>156</v>
      </c>
      <c r="F68" s="238">
        <v>2007</v>
      </c>
      <c r="G68" s="119">
        <v>2012</v>
      </c>
      <c r="H68" s="119">
        <v>2017</v>
      </c>
      <c r="I68" s="119">
        <v>2022</v>
      </c>
      <c r="J68" s="119">
        <v>2027</v>
      </c>
      <c r="K68" s="119">
        <v>2032</v>
      </c>
      <c r="L68" s="119">
        <v>2037</v>
      </c>
      <c r="M68" s="119">
        <v>2042</v>
      </c>
      <c r="N68" s="119">
        <v>2047</v>
      </c>
      <c r="O68" s="119">
        <v>2052</v>
      </c>
      <c r="P68" s="419"/>
    </row>
    <row r="69" spans="2:16" ht="15.75">
      <c r="B69" s="152"/>
      <c r="C69" s="3382">
        <v>1</v>
      </c>
      <c r="D69" s="412"/>
      <c r="E69" s="69" t="s">
        <v>803</v>
      </c>
      <c r="F69" s="1974">
        <f t="shared" ref="F69:O70" si="8">0*(unit.bcm)</f>
        <v>0</v>
      </c>
      <c r="G69" s="1974">
        <f t="shared" si="8"/>
        <v>0</v>
      </c>
      <c r="H69" s="1974">
        <f t="shared" si="8"/>
        <v>0</v>
      </c>
      <c r="I69" s="1974">
        <f t="shared" si="8"/>
        <v>0</v>
      </c>
      <c r="J69" s="1974">
        <f t="shared" si="8"/>
        <v>0</v>
      </c>
      <c r="K69" s="1974">
        <f t="shared" si="8"/>
        <v>0</v>
      </c>
      <c r="L69" s="1974">
        <f t="shared" si="8"/>
        <v>0</v>
      </c>
      <c r="M69" s="1974">
        <f t="shared" si="8"/>
        <v>0</v>
      </c>
      <c r="N69" s="1974">
        <f t="shared" si="8"/>
        <v>0</v>
      </c>
      <c r="O69" s="1974">
        <f t="shared" si="8"/>
        <v>0</v>
      </c>
      <c r="P69" s="419"/>
    </row>
    <row r="70" spans="2:16" ht="15.75">
      <c r="B70" s="152"/>
      <c r="C70" s="3383"/>
      <c r="D70" s="414"/>
      <c r="E70" s="96" t="s">
        <v>802</v>
      </c>
      <c r="F70" s="1974">
        <f t="shared" si="8"/>
        <v>0</v>
      </c>
      <c r="G70" s="1974">
        <f t="shared" si="8"/>
        <v>0</v>
      </c>
      <c r="H70" s="1974">
        <f t="shared" si="8"/>
        <v>0</v>
      </c>
      <c r="I70" s="1974">
        <f t="shared" si="8"/>
        <v>0</v>
      </c>
      <c r="J70" s="1974">
        <f t="shared" si="8"/>
        <v>0</v>
      </c>
      <c r="K70" s="1974">
        <f t="shared" si="8"/>
        <v>0</v>
      </c>
      <c r="L70" s="1974">
        <f t="shared" si="8"/>
        <v>0</v>
      </c>
      <c r="M70" s="1974">
        <f t="shared" si="8"/>
        <v>0</v>
      </c>
      <c r="N70" s="1974">
        <f t="shared" si="8"/>
        <v>0</v>
      </c>
      <c r="O70" s="1974">
        <f t="shared" si="8"/>
        <v>0</v>
      </c>
      <c r="P70" s="419"/>
    </row>
    <row r="71" spans="2:16" ht="15.75">
      <c r="B71" s="152"/>
      <c r="C71" s="3383"/>
      <c r="D71" s="414"/>
      <c r="E71" s="414" t="s">
        <v>103</v>
      </c>
      <c r="F71" s="1974">
        <f>(F69+F70)</f>
        <v>0</v>
      </c>
      <c r="G71" s="1974">
        <f t="shared" ref="G71:P71" si="9">(G69+G70)</f>
        <v>0</v>
      </c>
      <c r="H71" s="1974">
        <f t="shared" si="9"/>
        <v>0</v>
      </c>
      <c r="I71" s="1974">
        <f t="shared" si="9"/>
        <v>0</v>
      </c>
      <c r="J71" s="1974">
        <f t="shared" si="9"/>
        <v>0</v>
      </c>
      <c r="K71" s="1974">
        <f t="shared" si="9"/>
        <v>0</v>
      </c>
      <c r="L71" s="1974">
        <f t="shared" si="9"/>
        <v>0</v>
      </c>
      <c r="M71" s="1974">
        <f t="shared" si="9"/>
        <v>0</v>
      </c>
      <c r="N71" s="1974">
        <f t="shared" si="9"/>
        <v>0</v>
      </c>
      <c r="O71" s="1974">
        <f t="shared" si="9"/>
        <v>0</v>
      </c>
      <c r="P71" s="2626">
        <f t="shared" si="9"/>
        <v>0</v>
      </c>
    </row>
    <row r="72" spans="2:16" ht="15.75">
      <c r="B72" s="152"/>
      <c r="C72" s="3383">
        <v>2</v>
      </c>
      <c r="D72" s="414"/>
      <c r="E72" s="69" t="s">
        <v>803</v>
      </c>
      <c r="F72" s="1974">
        <f t="shared" ref="F72:O73" si="10">0*(unit.bcm)</f>
        <v>0</v>
      </c>
      <c r="G72" s="1974">
        <f t="shared" si="10"/>
        <v>0</v>
      </c>
      <c r="H72" s="1974">
        <f t="shared" si="10"/>
        <v>0</v>
      </c>
      <c r="I72" s="1974">
        <f t="shared" si="10"/>
        <v>0</v>
      </c>
      <c r="J72" s="1974">
        <f t="shared" si="10"/>
        <v>0</v>
      </c>
      <c r="K72" s="1974">
        <f t="shared" si="10"/>
        <v>0</v>
      </c>
      <c r="L72" s="1974">
        <f t="shared" si="10"/>
        <v>0</v>
      </c>
      <c r="M72" s="1974">
        <f t="shared" si="10"/>
        <v>0</v>
      </c>
      <c r="N72" s="1974">
        <f t="shared" si="10"/>
        <v>0</v>
      </c>
      <c r="O72" s="1974">
        <f t="shared" si="10"/>
        <v>0</v>
      </c>
      <c r="P72" s="419"/>
    </row>
    <row r="73" spans="2:16" ht="15.75">
      <c r="B73" s="152"/>
      <c r="C73" s="3383"/>
      <c r="D73" s="414"/>
      <c r="E73" s="96" t="s">
        <v>802</v>
      </c>
      <c r="F73" s="1974">
        <f t="shared" si="10"/>
        <v>0</v>
      </c>
      <c r="G73" s="1974">
        <f t="shared" si="10"/>
        <v>0</v>
      </c>
      <c r="H73" s="1974">
        <f t="shared" si="10"/>
        <v>0</v>
      </c>
      <c r="I73" s="1974">
        <f t="shared" si="10"/>
        <v>0</v>
      </c>
      <c r="J73" s="1974">
        <f t="shared" si="10"/>
        <v>0</v>
      </c>
      <c r="K73" s="1974">
        <f t="shared" si="10"/>
        <v>0</v>
      </c>
      <c r="L73" s="1974">
        <f t="shared" si="10"/>
        <v>0</v>
      </c>
      <c r="M73" s="1974">
        <f t="shared" si="10"/>
        <v>0</v>
      </c>
      <c r="N73" s="1974">
        <f t="shared" si="10"/>
        <v>0</v>
      </c>
      <c r="O73" s="1974">
        <f t="shared" si="10"/>
        <v>0</v>
      </c>
      <c r="P73" s="419"/>
    </row>
    <row r="74" spans="2:16" ht="15.75">
      <c r="B74" s="152"/>
      <c r="C74" s="3383"/>
      <c r="D74" s="414"/>
      <c r="E74" s="414" t="s">
        <v>103</v>
      </c>
      <c r="F74" s="1974">
        <f>(F72+F73)</f>
        <v>0</v>
      </c>
      <c r="G74" s="1974">
        <f t="shared" ref="G74:O74" si="11">(G72+G73)</f>
        <v>0</v>
      </c>
      <c r="H74" s="1974">
        <f t="shared" si="11"/>
        <v>0</v>
      </c>
      <c r="I74" s="1974">
        <f t="shared" si="11"/>
        <v>0</v>
      </c>
      <c r="J74" s="1974">
        <f t="shared" si="11"/>
        <v>0</v>
      </c>
      <c r="K74" s="1974">
        <f t="shared" si="11"/>
        <v>0</v>
      </c>
      <c r="L74" s="1974">
        <f t="shared" si="11"/>
        <v>0</v>
      </c>
      <c r="M74" s="1974">
        <f t="shared" si="11"/>
        <v>0</v>
      </c>
      <c r="N74" s="1974">
        <f t="shared" si="11"/>
        <v>0</v>
      </c>
      <c r="O74" s="1974">
        <f t="shared" si="11"/>
        <v>0</v>
      </c>
      <c r="P74" s="419"/>
    </row>
    <row r="75" spans="2:16" ht="15.75">
      <c r="B75" s="152"/>
      <c r="C75" s="3383">
        <v>3</v>
      </c>
      <c r="D75" s="414"/>
      <c r="E75" s="69" t="s">
        <v>803</v>
      </c>
      <c r="F75" s="1974">
        <f t="shared" ref="F75:I76" si="12">0*(unit.bcm)</f>
        <v>0</v>
      </c>
      <c r="G75" s="1974">
        <f t="shared" si="12"/>
        <v>0</v>
      </c>
      <c r="H75" s="1974">
        <f t="shared" si="12"/>
        <v>0</v>
      </c>
      <c r="I75" s="1974">
        <f t="shared" si="12"/>
        <v>0</v>
      </c>
      <c r="J75" s="1974"/>
      <c r="K75" s="1974"/>
      <c r="L75" s="1974"/>
      <c r="M75" s="1974"/>
      <c r="N75" s="1974"/>
      <c r="O75" s="1974"/>
      <c r="P75" s="419"/>
    </row>
    <row r="76" spans="2:16" ht="15.75">
      <c r="B76" s="152"/>
      <c r="C76" s="3383"/>
      <c r="D76" s="414"/>
      <c r="E76" s="96" t="s">
        <v>802</v>
      </c>
      <c r="F76" s="1974">
        <f t="shared" si="12"/>
        <v>0</v>
      </c>
      <c r="G76" s="1974">
        <f t="shared" si="12"/>
        <v>0</v>
      </c>
      <c r="H76" s="1974">
        <f t="shared" si="12"/>
        <v>0</v>
      </c>
      <c r="I76" s="1974">
        <f t="shared" si="12"/>
        <v>0</v>
      </c>
      <c r="J76" s="1974"/>
      <c r="K76" s="1974"/>
      <c r="L76" s="1974"/>
      <c r="M76" s="1974"/>
      <c r="N76" s="1974"/>
      <c r="O76" s="1974"/>
      <c r="P76" s="419"/>
    </row>
    <row r="77" spans="2:16" ht="15.75">
      <c r="B77" s="152"/>
      <c r="C77" s="2152"/>
      <c r="D77" s="414"/>
      <c r="E77" s="414" t="s">
        <v>103</v>
      </c>
      <c r="F77" s="1974">
        <f>(F75+F76)</f>
        <v>0</v>
      </c>
      <c r="G77" s="1974">
        <f t="shared" ref="G77:I77" si="13">(G75+G76)</f>
        <v>0</v>
      </c>
      <c r="H77" s="1974">
        <f t="shared" si="13"/>
        <v>0</v>
      </c>
      <c r="I77" s="1974">
        <f t="shared" si="13"/>
        <v>0</v>
      </c>
      <c r="J77" s="1974"/>
      <c r="K77" s="1974"/>
      <c r="L77" s="1974"/>
      <c r="M77" s="1974"/>
      <c r="N77" s="1974"/>
      <c r="O77" s="1974"/>
      <c r="P77" s="419"/>
    </row>
    <row r="78" spans="2:16" ht="15.75">
      <c r="B78" s="152"/>
      <c r="C78" s="3383">
        <v>4</v>
      </c>
      <c r="D78" s="414"/>
      <c r="E78" s="69" t="s">
        <v>803</v>
      </c>
      <c r="F78" s="1974">
        <f t="shared" ref="F78:I79" si="14">0*(unit.bcm)</f>
        <v>0</v>
      </c>
      <c r="G78" s="1974">
        <f t="shared" si="14"/>
        <v>0</v>
      </c>
      <c r="H78" s="1974">
        <f t="shared" si="14"/>
        <v>0</v>
      </c>
      <c r="I78" s="1974">
        <f t="shared" si="14"/>
        <v>0</v>
      </c>
      <c r="J78" s="1974"/>
      <c r="K78" s="1974"/>
      <c r="L78" s="1974"/>
      <c r="M78" s="1974"/>
      <c r="N78" s="1974"/>
      <c r="O78" s="1974"/>
      <c r="P78" s="419"/>
    </row>
    <row r="79" spans="2:16" ht="15.75">
      <c r="B79" s="152"/>
      <c r="C79" s="3384"/>
      <c r="D79" s="65"/>
      <c r="E79" s="96" t="s">
        <v>802</v>
      </c>
      <c r="F79" s="1974">
        <f t="shared" si="14"/>
        <v>0</v>
      </c>
      <c r="G79" s="1974">
        <f t="shared" si="14"/>
        <v>0</v>
      </c>
      <c r="H79" s="1974">
        <f t="shared" si="14"/>
        <v>0</v>
      </c>
      <c r="I79" s="1974">
        <f t="shared" si="14"/>
        <v>0</v>
      </c>
      <c r="J79" s="1974"/>
      <c r="K79" s="1974"/>
      <c r="L79" s="1974"/>
      <c r="M79" s="1974"/>
      <c r="N79" s="1974"/>
      <c r="O79" s="1974"/>
      <c r="P79" s="419"/>
    </row>
    <row r="80" spans="2:16" ht="15.75">
      <c r="B80" s="152"/>
      <c r="C80" s="2152"/>
      <c r="D80" s="414"/>
      <c r="E80" s="414" t="s">
        <v>103</v>
      </c>
      <c r="F80" s="2849">
        <f t="shared" ref="F80:I80" si="15">F78+F79</f>
        <v>0</v>
      </c>
      <c r="G80" s="2849">
        <f t="shared" si="15"/>
        <v>0</v>
      </c>
      <c r="H80" s="2849">
        <f t="shared" si="15"/>
        <v>0</v>
      </c>
      <c r="I80" s="2849">
        <f t="shared" si="15"/>
        <v>0</v>
      </c>
      <c r="J80" s="2849"/>
      <c r="K80" s="2849"/>
      <c r="L80" s="2849"/>
      <c r="M80" s="2849"/>
      <c r="N80" s="2849"/>
      <c r="O80" s="2849"/>
      <c r="P80" s="419"/>
    </row>
    <row r="81" spans="2:16">
      <c r="B81" s="214"/>
      <c r="C81" s="542" t="s">
        <v>406</v>
      </c>
      <c r="D81" s="407"/>
      <c r="E81" s="407"/>
      <c r="F81" s="2173">
        <f t="shared" ref="F81:O81" si="16">(INDEX(F$69:F$80,ROUNDDOWN(3*$E$7,0))*(1-MOD(3*$E$7,1)))+(INDEX(F$69:F$80,ROUNDUP(3*$E$7,0))*MOD(3*$E$7,1))</f>
        <v>0</v>
      </c>
      <c r="G81" s="2173">
        <f t="shared" si="16"/>
        <v>0</v>
      </c>
      <c r="H81" s="2173">
        <f t="shared" si="16"/>
        <v>0</v>
      </c>
      <c r="I81" s="2173">
        <f t="shared" si="16"/>
        <v>0</v>
      </c>
      <c r="J81" s="2173">
        <f t="shared" si="16"/>
        <v>0</v>
      </c>
      <c r="K81" s="2173">
        <f t="shared" si="16"/>
        <v>0</v>
      </c>
      <c r="L81" s="2173">
        <f t="shared" si="16"/>
        <v>0</v>
      </c>
      <c r="M81" s="2173">
        <f t="shared" si="16"/>
        <v>0</v>
      </c>
      <c r="N81" s="2173">
        <f t="shared" si="16"/>
        <v>0</v>
      </c>
      <c r="O81" s="2173">
        <f t="shared" si="16"/>
        <v>0</v>
      </c>
      <c r="P81" s="419"/>
    </row>
    <row r="82" spans="2:16">
      <c r="B82" s="653"/>
      <c r="C82" s="126"/>
      <c r="D82" s="414"/>
      <c r="E82" s="414"/>
      <c r="F82" s="2642"/>
      <c r="G82" s="2642"/>
      <c r="H82" s="2642"/>
      <c r="I82" s="2642"/>
      <c r="J82" s="2642"/>
      <c r="K82" s="2642"/>
      <c r="L82" s="2642"/>
      <c r="M82" s="2642"/>
      <c r="N82" s="2642"/>
      <c r="O82" s="2641"/>
      <c r="P82" s="415"/>
    </row>
    <row r="83" spans="2:16">
      <c r="B83" s="653"/>
      <c r="C83" s="416" t="s">
        <v>801</v>
      </c>
      <c r="D83" s="415"/>
      <c r="E83" s="104"/>
      <c r="F83" s="415"/>
      <c r="G83" s="415"/>
      <c r="H83" s="415"/>
      <c r="I83" s="415"/>
      <c r="J83" s="415"/>
      <c r="K83" s="415"/>
      <c r="L83" s="415"/>
      <c r="M83" s="415"/>
      <c r="N83" s="415"/>
      <c r="O83" s="104" t="str">
        <f>preferences.energyunits</f>
        <v>TWh</v>
      </c>
      <c r="P83" s="415"/>
    </row>
    <row r="84" spans="2:16">
      <c r="B84" s="653"/>
      <c r="C84" s="61" t="s">
        <v>411</v>
      </c>
      <c r="D84" s="61" t="s">
        <v>65</v>
      </c>
      <c r="E84" s="61" t="s">
        <v>156</v>
      </c>
      <c r="F84" s="238">
        <v>2007</v>
      </c>
      <c r="G84" s="119">
        <v>2012</v>
      </c>
      <c r="H84" s="119">
        <v>2017</v>
      </c>
      <c r="I84" s="119">
        <v>2022</v>
      </c>
      <c r="J84" s="119">
        <v>2027</v>
      </c>
      <c r="K84" s="119">
        <v>2032</v>
      </c>
      <c r="L84" s="119">
        <v>2037</v>
      </c>
      <c r="M84" s="119">
        <v>2042</v>
      </c>
      <c r="N84" s="119">
        <v>2047</v>
      </c>
      <c r="O84" s="119">
        <v>2052</v>
      </c>
      <c r="P84" s="415"/>
    </row>
    <row r="85" spans="2:16">
      <c r="B85" s="653"/>
      <c r="C85" s="413">
        <v>1</v>
      </c>
      <c r="D85" s="414"/>
      <c r="E85" s="96"/>
      <c r="F85" s="198">
        <f t="shared" ref="F85:O86" si="17">0*(unit.bcm)</f>
        <v>0</v>
      </c>
      <c r="G85" s="198">
        <f t="shared" si="17"/>
        <v>0</v>
      </c>
      <c r="H85" s="198">
        <f t="shared" si="17"/>
        <v>0</v>
      </c>
      <c r="I85" s="198">
        <f t="shared" si="17"/>
        <v>0</v>
      </c>
      <c r="J85" s="198">
        <f t="shared" si="17"/>
        <v>0</v>
      </c>
      <c r="K85" s="198">
        <f t="shared" si="17"/>
        <v>0</v>
      </c>
      <c r="L85" s="198">
        <f t="shared" si="17"/>
        <v>0</v>
      </c>
      <c r="M85" s="198">
        <f t="shared" si="17"/>
        <v>0</v>
      </c>
      <c r="N85" s="198">
        <f t="shared" si="17"/>
        <v>0</v>
      </c>
      <c r="O85" s="198">
        <f t="shared" si="17"/>
        <v>0</v>
      </c>
      <c r="P85" s="415"/>
    </row>
    <row r="86" spans="2:16">
      <c r="B86" s="653"/>
      <c r="C86" s="413">
        <v>2</v>
      </c>
      <c r="D86" s="414"/>
      <c r="E86" s="414"/>
      <c r="F86" s="198">
        <f t="shared" si="17"/>
        <v>0</v>
      </c>
      <c r="G86" s="198">
        <f t="shared" si="17"/>
        <v>0</v>
      </c>
      <c r="H86" s="198">
        <f t="shared" si="17"/>
        <v>0</v>
      </c>
      <c r="I86" s="198">
        <f t="shared" si="17"/>
        <v>0</v>
      </c>
      <c r="J86" s="198">
        <f t="shared" si="17"/>
        <v>0</v>
      </c>
      <c r="K86" s="198">
        <f t="shared" si="17"/>
        <v>0</v>
      </c>
      <c r="L86" s="198">
        <f t="shared" si="17"/>
        <v>0</v>
      </c>
      <c r="M86" s="198">
        <f t="shared" si="17"/>
        <v>0</v>
      </c>
      <c r="N86" s="198">
        <f t="shared" si="17"/>
        <v>0</v>
      </c>
      <c r="O86" s="198">
        <f t="shared" si="17"/>
        <v>0</v>
      </c>
      <c r="P86" s="415"/>
    </row>
    <row r="87" spans="2:16">
      <c r="B87" s="653"/>
      <c r="C87" s="413">
        <v>3</v>
      </c>
      <c r="D87" s="414"/>
      <c r="E87" s="414"/>
      <c r="F87" s="198">
        <f t="shared" ref="F87:I88" si="18">0*(unit.bcm)</f>
        <v>0</v>
      </c>
      <c r="G87" s="198">
        <f t="shared" si="18"/>
        <v>0</v>
      </c>
      <c r="H87" s="198">
        <f t="shared" si="18"/>
        <v>0</v>
      </c>
      <c r="I87" s="198">
        <f t="shared" si="18"/>
        <v>0</v>
      </c>
      <c r="J87" s="198">
        <f t="shared" ref="J87:O87" si="19">2*(unit.bcm)</f>
        <v>18.855</v>
      </c>
      <c r="K87" s="198">
        <f t="shared" si="19"/>
        <v>18.855</v>
      </c>
      <c r="L87" s="198">
        <f t="shared" si="19"/>
        <v>18.855</v>
      </c>
      <c r="M87" s="198">
        <f t="shared" si="19"/>
        <v>18.855</v>
      </c>
      <c r="N87" s="198">
        <f t="shared" si="19"/>
        <v>18.855</v>
      </c>
      <c r="O87" s="198">
        <f t="shared" si="19"/>
        <v>18.855</v>
      </c>
      <c r="P87" s="415"/>
    </row>
    <row r="88" spans="2:16">
      <c r="B88" s="653"/>
      <c r="C88" s="411">
        <v>4</v>
      </c>
      <c r="D88" s="65"/>
      <c r="E88" s="65"/>
      <c r="F88" s="198">
        <f t="shared" si="18"/>
        <v>0</v>
      </c>
      <c r="G88" s="198">
        <f t="shared" si="18"/>
        <v>0</v>
      </c>
      <c r="H88" s="198">
        <f t="shared" si="18"/>
        <v>0</v>
      </c>
      <c r="I88" s="198">
        <f t="shared" si="18"/>
        <v>0</v>
      </c>
      <c r="J88" s="198">
        <f>2*(unit.bcm)</f>
        <v>18.855</v>
      </c>
      <c r="K88" s="198">
        <f>3*(unit.bcm)</f>
        <v>28.282499999999999</v>
      </c>
      <c r="L88" s="198">
        <f>4*(unit.bcm)</f>
        <v>37.71</v>
      </c>
      <c r="M88" s="198">
        <f>5*(unit.bcm)</f>
        <v>47.137500000000003</v>
      </c>
      <c r="N88" s="198">
        <f>5*(unit.bcm)</f>
        <v>47.137500000000003</v>
      </c>
      <c r="O88" s="198">
        <f>5*(unit.bcm)</f>
        <v>47.137500000000003</v>
      </c>
      <c r="P88" s="415"/>
    </row>
    <row r="89" spans="2:16">
      <c r="B89" s="653"/>
      <c r="C89" s="542" t="s">
        <v>406</v>
      </c>
      <c r="D89" s="407"/>
      <c r="E89" s="407"/>
      <c r="F89" s="408">
        <f>(INDEX(F$85:F$88,ROUNDDOWN($E$7,0))*(1-MOD($E$7,1)))+(INDEX(F$85:F$88,ROUNDUP($E$7,0))*MOD($E$7,1))</f>
        <v>0</v>
      </c>
      <c r="G89" s="408">
        <f t="shared" ref="G89:O89" si="20">(INDEX(G$85:G$88,ROUNDDOWN($E$7,0))*(1-MOD($E$7,1)))+(INDEX(G$85:G$88,ROUNDUP($E$7,0))*MOD($E$7,1))</f>
        <v>0</v>
      </c>
      <c r="H89" s="408">
        <f t="shared" si="20"/>
        <v>0</v>
      </c>
      <c r="I89" s="408">
        <f t="shared" si="20"/>
        <v>0</v>
      </c>
      <c r="J89" s="408">
        <f t="shared" si="20"/>
        <v>0</v>
      </c>
      <c r="K89" s="408">
        <f t="shared" si="20"/>
        <v>0</v>
      </c>
      <c r="L89" s="408">
        <f t="shared" si="20"/>
        <v>0</v>
      </c>
      <c r="M89" s="408">
        <f t="shared" si="20"/>
        <v>0</v>
      </c>
      <c r="N89" s="408">
        <f t="shared" si="20"/>
        <v>0</v>
      </c>
      <c r="O89" s="408">
        <f t="shared" si="20"/>
        <v>0</v>
      </c>
      <c r="P89" s="415"/>
    </row>
    <row r="90" spans="2:16">
      <c r="B90" s="653"/>
      <c r="C90" s="126"/>
      <c r="D90" s="414"/>
      <c r="E90" s="414"/>
      <c r="F90" s="222"/>
      <c r="G90" s="222"/>
      <c r="H90" s="222"/>
      <c r="I90" s="222"/>
      <c r="J90" s="222"/>
      <c r="K90" s="222"/>
      <c r="L90" s="222"/>
      <c r="M90" s="222"/>
      <c r="N90" s="222"/>
      <c r="O90" s="137"/>
      <c r="P90" s="415"/>
    </row>
    <row r="91" spans="2:16">
      <c r="B91" s="653"/>
      <c r="C91" s="416" t="s">
        <v>800</v>
      </c>
      <c r="D91" s="415"/>
      <c r="E91" s="104"/>
      <c r="F91" s="415"/>
      <c r="G91" s="415"/>
      <c r="H91" s="415"/>
      <c r="I91" s="415"/>
      <c r="J91" s="415"/>
      <c r="K91" s="415"/>
      <c r="L91" s="415"/>
      <c r="M91" s="415"/>
      <c r="N91" s="415"/>
      <c r="O91" s="104" t="str">
        <f>preferences.energyunits</f>
        <v>TWh</v>
      </c>
      <c r="P91" s="415"/>
    </row>
    <row r="92" spans="2:16">
      <c r="B92" s="653"/>
      <c r="C92" s="61" t="s">
        <v>411</v>
      </c>
      <c r="D92" s="61" t="s">
        <v>65</v>
      </c>
      <c r="E92" s="61" t="s">
        <v>156</v>
      </c>
      <c r="F92" s="238">
        <v>2007</v>
      </c>
      <c r="G92" s="119">
        <v>2012</v>
      </c>
      <c r="H92" s="119">
        <v>2017</v>
      </c>
      <c r="I92" s="119">
        <v>2022</v>
      </c>
      <c r="J92" s="119">
        <v>2027</v>
      </c>
      <c r="K92" s="119">
        <v>2032</v>
      </c>
      <c r="L92" s="119">
        <v>2037</v>
      </c>
      <c r="M92" s="119">
        <v>2042</v>
      </c>
      <c r="N92" s="119">
        <v>2047</v>
      </c>
      <c r="O92" s="119">
        <v>2052</v>
      </c>
      <c r="P92" s="415"/>
    </row>
    <row r="93" spans="2:16">
      <c r="B93" s="653"/>
      <c r="C93" s="413">
        <v>1</v>
      </c>
      <c r="D93" s="414"/>
      <c r="E93" s="96"/>
      <c r="F93" s="198">
        <f t="shared" ref="F93:O95" si="21">0*(unit.bcm)</f>
        <v>0</v>
      </c>
      <c r="G93" s="198">
        <f t="shared" si="21"/>
        <v>0</v>
      </c>
      <c r="H93" s="198">
        <f t="shared" si="21"/>
        <v>0</v>
      </c>
      <c r="I93" s="198">
        <f t="shared" si="21"/>
        <v>0</v>
      </c>
      <c r="J93" s="198">
        <f t="shared" si="21"/>
        <v>0</v>
      </c>
      <c r="K93" s="198">
        <f t="shared" si="21"/>
        <v>0</v>
      </c>
      <c r="L93" s="198">
        <f t="shared" si="21"/>
        <v>0</v>
      </c>
      <c r="M93" s="198">
        <f t="shared" si="21"/>
        <v>0</v>
      </c>
      <c r="N93" s="198">
        <f t="shared" si="21"/>
        <v>0</v>
      </c>
      <c r="O93" s="198">
        <f t="shared" si="21"/>
        <v>0</v>
      </c>
      <c r="P93" s="415"/>
    </row>
    <row r="94" spans="2:16">
      <c r="B94" s="653"/>
      <c r="C94" s="413">
        <v>2</v>
      </c>
      <c r="D94" s="414"/>
      <c r="E94" s="414"/>
      <c r="F94" s="198">
        <f t="shared" si="21"/>
        <v>0</v>
      </c>
      <c r="G94" s="198">
        <f t="shared" si="21"/>
        <v>0</v>
      </c>
      <c r="H94" s="198">
        <f t="shared" si="21"/>
        <v>0</v>
      </c>
      <c r="I94" s="198">
        <f t="shared" si="21"/>
        <v>0</v>
      </c>
      <c r="J94" s="198">
        <f t="shared" si="21"/>
        <v>0</v>
      </c>
      <c r="K94" s="198">
        <f t="shared" si="21"/>
        <v>0</v>
      </c>
      <c r="L94" s="198">
        <f t="shared" si="21"/>
        <v>0</v>
      </c>
      <c r="M94" s="198">
        <f t="shared" si="21"/>
        <v>0</v>
      </c>
      <c r="N94" s="198">
        <f t="shared" si="21"/>
        <v>0</v>
      </c>
      <c r="O94" s="198">
        <f t="shared" si="21"/>
        <v>0</v>
      </c>
      <c r="P94" s="415"/>
    </row>
    <row r="95" spans="2:16">
      <c r="B95" s="653"/>
      <c r="C95" s="413">
        <v>3</v>
      </c>
      <c r="D95" s="414"/>
      <c r="E95" s="414"/>
      <c r="F95" s="198">
        <f t="shared" si="21"/>
        <v>0</v>
      </c>
      <c r="G95" s="198">
        <f t="shared" si="21"/>
        <v>0</v>
      </c>
      <c r="H95" s="198">
        <f t="shared" si="21"/>
        <v>0</v>
      </c>
      <c r="I95" s="198">
        <f t="shared" si="21"/>
        <v>0</v>
      </c>
      <c r="J95" s="198">
        <f t="shared" si="21"/>
        <v>0</v>
      </c>
      <c r="K95" s="198">
        <f t="shared" si="21"/>
        <v>0</v>
      </c>
      <c r="L95" s="198">
        <f t="shared" si="21"/>
        <v>0</v>
      </c>
      <c r="M95" s="198">
        <f t="shared" si="21"/>
        <v>0</v>
      </c>
      <c r="N95" s="198">
        <f t="shared" si="21"/>
        <v>0</v>
      </c>
      <c r="O95" s="198">
        <f t="shared" si="21"/>
        <v>0</v>
      </c>
      <c r="P95" s="415"/>
    </row>
    <row r="96" spans="2:16">
      <c r="B96" s="653"/>
      <c r="C96" s="411">
        <v>4</v>
      </c>
      <c r="D96" s="65"/>
      <c r="E96" s="65"/>
      <c r="F96" s="198">
        <f>0*(unit.bcm)</f>
        <v>0</v>
      </c>
      <c r="G96" s="198">
        <f>0*(unit.bcm)</f>
        <v>0</v>
      </c>
      <c r="H96" s="198">
        <f>0*(unit.bcm)</f>
        <v>0</v>
      </c>
      <c r="I96" s="198">
        <f>0*(unit.bcm)</f>
        <v>0</v>
      </c>
      <c r="J96" s="198">
        <f>0*(unit.bcm)</f>
        <v>0</v>
      </c>
      <c r="K96" s="198">
        <f>2*(unit.bcm)</f>
        <v>18.855</v>
      </c>
      <c r="L96" s="198">
        <f>4*(unit.bcm)</f>
        <v>37.71</v>
      </c>
      <c r="M96" s="198">
        <f>5*(unit.bcm)</f>
        <v>47.137500000000003</v>
      </c>
      <c r="N96" s="198">
        <f>5*(unit.bcm)</f>
        <v>47.137500000000003</v>
      </c>
      <c r="O96" s="198">
        <f>6*(unit.bcm)</f>
        <v>56.564999999999998</v>
      </c>
      <c r="P96" s="415"/>
    </row>
    <row r="97" spans="1:16">
      <c r="B97" s="653"/>
      <c r="C97" s="542" t="s">
        <v>406</v>
      </c>
      <c r="D97" s="407"/>
      <c r="E97" s="407"/>
      <c r="F97" s="408">
        <f>(INDEX(F$93:F$96,ROUNDDOWN($E$7,0))*(1-MOD($E$7,1)))+(INDEX(F$93:F$96,ROUNDUP($E$7,0))*MOD($E$7,1))</f>
        <v>0</v>
      </c>
      <c r="G97" s="408">
        <f t="shared" ref="G97:O97" si="22">(INDEX(G$93:G$96,ROUNDDOWN($E$7,0))*(1-MOD($E$7,1)))+(INDEX(G$93:G$96,ROUNDUP($E$7,0))*MOD($E$7,1))</f>
        <v>0</v>
      </c>
      <c r="H97" s="408">
        <f t="shared" si="22"/>
        <v>0</v>
      </c>
      <c r="I97" s="408">
        <f t="shared" si="22"/>
        <v>0</v>
      </c>
      <c r="J97" s="408">
        <f t="shared" si="22"/>
        <v>0</v>
      </c>
      <c r="K97" s="408">
        <f t="shared" si="22"/>
        <v>0</v>
      </c>
      <c r="L97" s="408">
        <f t="shared" si="22"/>
        <v>0</v>
      </c>
      <c r="M97" s="408">
        <f t="shared" si="22"/>
        <v>0</v>
      </c>
      <c r="N97" s="408">
        <f t="shared" si="22"/>
        <v>0</v>
      </c>
      <c r="O97" s="408">
        <f t="shared" si="22"/>
        <v>0</v>
      </c>
      <c r="P97" s="415"/>
    </row>
    <row r="98" spans="1:16" s="2558" customFormat="1">
      <c r="A98" s="623"/>
      <c r="B98" s="653"/>
      <c r="C98" s="126"/>
      <c r="D98" s="414"/>
      <c r="E98" s="414"/>
      <c r="F98" s="222"/>
      <c r="G98" s="222"/>
      <c r="H98" s="222"/>
      <c r="I98" s="222"/>
      <c r="J98" s="222"/>
      <c r="K98" s="222"/>
      <c r="L98" s="222"/>
      <c r="M98" s="222"/>
      <c r="N98" s="222"/>
      <c r="O98" s="137"/>
      <c r="P98" s="415"/>
    </row>
    <row r="99" spans="1:16" s="2558" customFormat="1">
      <c r="A99" s="623"/>
      <c r="B99" s="653"/>
      <c r="C99" s="416"/>
      <c r="D99" s="415"/>
      <c r="E99" s="104"/>
      <c r="F99" s="415"/>
      <c r="G99" s="415"/>
      <c r="H99" s="415"/>
      <c r="I99" s="415"/>
      <c r="J99" s="415"/>
      <c r="K99" s="415"/>
      <c r="L99" s="415"/>
      <c r="M99" s="415"/>
      <c r="N99" s="415"/>
      <c r="O99" s="104"/>
      <c r="P99" s="415"/>
    </row>
    <row r="100" spans="1:16" s="2558" customFormat="1">
      <c r="A100" s="623"/>
      <c r="B100" s="653"/>
      <c r="C100" s="61"/>
      <c r="D100" s="61"/>
      <c r="E100" s="61"/>
      <c r="F100" s="238"/>
      <c r="G100" s="119"/>
      <c r="H100" s="119"/>
      <c r="I100" s="119"/>
      <c r="J100" s="119"/>
      <c r="K100" s="119"/>
      <c r="L100" s="119"/>
      <c r="M100" s="119"/>
      <c r="N100" s="119"/>
      <c r="O100" s="119"/>
      <c r="P100" s="415"/>
    </row>
    <row r="101" spans="1:16" s="2558" customFormat="1">
      <c r="A101" s="623"/>
      <c r="B101" s="653"/>
      <c r="C101" s="413"/>
      <c r="D101" s="414"/>
      <c r="E101" s="96"/>
      <c r="F101" s="1974"/>
      <c r="G101" s="1974"/>
      <c r="H101" s="1974"/>
      <c r="I101" s="1974"/>
      <c r="J101" s="1974"/>
      <c r="K101" s="1974"/>
      <c r="L101" s="1974"/>
      <c r="M101" s="1974"/>
      <c r="N101" s="1974"/>
      <c r="O101" s="1974"/>
      <c r="P101" s="415"/>
    </row>
    <row r="102" spans="1:16" s="2558" customFormat="1">
      <c r="A102" s="623"/>
      <c r="B102" s="653"/>
      <c r="C102" s="413"/>
      <c r="D102" s="414"/>
      <c r="E102" s="414"/>
      <c r="F102" s="1974"/>
      <c r="G102" s="1974"/>
      <c r="H102" s="1974"/>
      <c r="I102" s="1974"/>
      <c r="J102" s="1974"/>
      <c r="K102" s="1974"/>
      <c r="L102" s="1974"/>
      <c r="M102" s="1974"/>
      <c r="N102" s="1974"/>
      <c r="O102" s="1974"/>
      <c r="P102" s="415"/>
    </row>
    <row r="103" spans="1:16" s="2558" customFormat="1">
      <c r="A103" s="623"/>
      <c r="B103" s="653"/>
      <c r="C103" s="413"/>
      <c r="D103" s="414"/>
      <c r="E103" s="414"/>
      <c r="F103" s="1974"/>
      <c r="G103" s="1974"/>
      <c r="H103" s="1974"/>
      <c r="I103" s="1974"/>
      <c r="J103" s="1974"/>
      <c r="K103" s="1974"/>
      <c r="L103" s="1974"/>
      <c r="M103" s="1974"/>
      <c r="N103" s="1974"/>
      <c r="O103" s="1974"/>
      <c r="P103" s="415"/>
    </row>
    <row r="104" spans="1:16" s="2558" customFormat="1">
      <c r="A104" s="623"/>
      <c r="B104" s="653"/>
      <c r="C104" s="411"/>
      <c r="D104" s="65"/>
      <c r="E104" s="65"/>
      <c r="F104" s="1974"/>
      <c r="G104" s="1974"/>
      <c r="H104" s="1974"/>
      <c r="I104" s="1974"/>
      <c r="J104" s="1974"/>
      <c r="K104" s="1974"/>
      <c r="L104" s="1974"/>
      <c r="M104" s="1974"/>
      <c r="N104" s="1974"/>
      <c r="O104" s="1974"/>
      <c r="P104" s="415"/>
    </row>
    <row r="105" spans="1:16" s="2558" customFormat="1">
      <c r="A105" s="623"/>
      <c r="B105" s="653"/>
      <c r="C105" s="542"/>
      <c r="D105" s="407"/>
      <c r="E105" s="407"/>
      <c r="F105" s="408"/>
      <c r="G105" s="408"/>
      <c r="H105" s="408"/>
      <c r="I105" s="408"/>
      <c r="J105" s="408"/>
      <c r="K105" s="408"/>
      <c r="L105" s="408"/>
      <c r="M105" s="408"/>
      <c r="N105" s="408"/>
      <c r="O105" s="408"/>
      <c r="P105" s="415"/>
    </row>
    <row r="106" spans="1:16">
      <c r="B106" s="653"/>
      <c r="C106" s="126"/>
      <c r="D106" s="414"/>
      <c r="E106" s="414"/>
      <c r="F106" s="222"/>
      <c r="G106" s="222"/>
      <c r="H106" s="222"/>
      <c r="I106" s="222"/>
      <c r="J106" s="222"/>
      <c r="K106" s="222"/>
      <c r="L106" s="222"/>
      <c r="M106" s="222"/>
      <c r="N106" s="222"/>
      <c r="O106" s="137"/>
      <c r="P106" s="415"/>
    </row>
    <row r="107" spans="1:16">
      <c r="B107" s="653"/>
      <c r="C107" s="416" t="s">
        <v>1731</v>
      </c>
      <c r="D107" s="415"/>
      <c r="E107" s="104"/>
      <c r="F107" s="415"/>
      <c r="G107" s="415"/>
      <c r="H107" s="415"/>
      <c r="I107" s="415"/>
      <c r="J107" s="415"/>
      <c r="K107" s="415"/>
      <c r="L107" s="415"/>
      <c r="M107" s="415"/>
      <c r="N107" s="415"/>
      <c r="O107" s="104" t="str">
        <f>preferences.energyunits</f>
        <v>TWh</v>
      </c>
      <c r="P107" s="415"/>
    </row>
    <row r="108" spans="1:16">
      <c r="B108" s="653"/>
      <c r="C108" s="61" t="s">
        <v>411</v>
      </c>
      <c r="D108" s="61" t="s">
        <v>65</v>
      </c>
      <c r="E108" s="61" t="s">
        <v>156</v>
      </c>
      <c r="F108" s="238">
        <v>2007</v>
      </c>
      <c r="G108" s="119">
        <v>2012</v>
      </c>
      <c r="H108" s="119">
        <v>2017</v>
      </c>
      <c r="I108" s="119">
        <v>2022</v>
      </c>
      <c r="J108" s="119">
        <v>2027</v>
      </c>
      <c r="K108" s="119">
        <v>2032</v>
      </c>
      <c r="L108" s="119">
        <v>2037</v>
      </c>
      <c r="M108" s="119">
        <v>2042</v>
      </c>
      <c r="N108" s="119">
        <v>2047</v>
      </c>
      <c r="O108" s="119">
        <v>2052</v>
      </c>
      <c r="P108" s="415"/>
    </row>
    <row r="109" spans="1:16">
      <c r="B109" s="653"/>
      <c r="C109" s="413">
        <v>1</v>
      </c>
      <c r="D109" s="414"/>
      <c r="E109" s="96"/>
      <c r="F109" s="2639">
        <f>SUM(F29,F37,F45,F53,F61,F71,F85,F93,F101)</f>
        <v>296.5420125</v>
      </c>
      <c r="G109" s="2639">
        <f t="shared" ref="G109:O109" si="23">SUM(G29,G37,G45,G53,G61,G71,G85,G93,G101)</f>
        <v>449.1920925</v>
      </c>
      <c r="H109" s="2639">
        <f t="shared" si="23"/>
        <v>507.09261100499998</v>
      </c>
      <c r="I109" s="2639">
        <f t="shared" si="23"/>
        <v>548.56099701000005</v>
      </c>
      <c r="J109" s="2639">
        <f t="shared" si="23"/>
        <v>586.57321805615095</v>
      </c>
      <c r="K109" s="2639">
        <f t="shared" si="23"/>
        <v>641.54155989156084</v>
      </c>
      <c r="L109" s="2639">
        <f t="shared" si="23"/>
        <v>680.54187544379761</v>
      </c>
      <c r="M109" s="2639">
        <f t="shared" si="23"/>
        <v>722.92972840858988</v>
      </c>
      <c r="N109" s="2639">
        <f t="shared" si="23"/>
        <v>769.07133311204609</v>
      </c>
      <c r="O109" s="2639">
        <f t="shared" si="23"/>
        <v>803.22299999999996</v>
      </c>
      <c r="P109" s="415"/>
    </row>
    <row r="110" spans="1:16">
      <c r="B110" s="653"/>
      <c r="C110" s="413">
        <v>2</v>
      </c>
      <c r="D110" s="414"/>
      <c r="E110" s="414"/>
      <c r="F110" s="2639">
        <f>SUM(F30,F38,F46,F54,F62,F74,F86,F94,F102)</f>
        <v>298.229535</v>
      </c>
      <c r="G110" s="2639">
        <f t="shared" ref="G110:O110" si="24">SUM(G30,G38,G46,G54,G62,G74,G86,G94,G102)</f>
        <v>449.1920925</v>
      </c>
      <c r="H110" s="2639">
        <f t="shared" si="24"/>
        <v>544.10816250000005</v>
      </c>
      <c r="I110" s="2639">
        <f t="shared" si="24"/>
        <v>641.25855000000001</v>
      </c>
      <c r="J110" s="2639">
        <f t="shared" si="24"/>
        <v>750.05190000000005</v>
      </c>
      <c r="K110" s="2639">
        <f t="shared" si="24"/>
        <v>881.75407500000006</v>
      </c>
      <c r="L110" s="2639">
        <f t="shared" si="24"/>
        <v>1000.9176750000001</v>
      </c>
      <c r="M110" s="2639">
        <f t="shared" si="24"/>
        <v>1137.9935250000001</v>
      </c>
      <c r="N110" s="2639">
        <f t="shared" si="24"/>
        <v>1201.5348750000001</v>
      </c>
      <c r="O110" s="2639">
        <f t="shared" si="24"/>
        <v>1408.4685000000002</v>
      </c>
      <c r="P110" s="415"/>
    </row>
    <row r="111" spans="1:16">
      <c r="B111" s="653"/>
      <c r="C111" s="413">
        <v>3</v>
      </c>
      <c r="D111" s="414"/>
      <c r="E111" s="414"/>
      <c r="F111" s="2639">
        <f>SUM(F31,F39,F47,F55,F63,F77,F87,F95,F103)</f>
        <v>298.229535</v>
      </c>
      <c r="G111" s="2639">
        <f t="shared" ref="G111:O111" si="25">SUM(G31,G39,G47,G55,G63,G77,G87,G95,G103)</f>
        <v>449.1920925</v>
      </c>
      <c r="H111" s="2639">
        <f t="shared" si="25"/>
        <v>555.69039304500006</v>
      </c>
      <c r="I111" s="2639">
        <f t="shared" si="25"/>
        <v>667.62836109</v>
      </c>
      <c r="J111" s="2639">
        <f t="shared" si="25"/>
        <v>820.87143426523426</v>
      </c>
      <c r="K111" s="2639">
        <f t="shared" si="25"/>
        <v>986.64637060113739</v>
      </c>
      <c r="L111" s="2639">
        <f t="shared" si="25"/>
        <v>1186.8079343838267</v>
      </c>
      <c r="M111" s="2639">
        <f t="shared" si="25"/>
        <v>1379.4548977487639</v>
      </c>
      <c r="N111" s="2639">
        <f t="shared" si="25"/>
        <v>1607.7218660043191</v>
      </c>
      <c r="O111" s="2639">
        <f t="shared" si="25"/>
        <v>1814.7937500000003</v>
      </c>
      <c r="P111" s="415"/>
    </row>
    <row r="112" spans="1:16">
      <c r="B112" s="653"/>
      <c r="C112" s="411">
        <v>4</v>
      </c>
      <c r="D112" s="65"/>
      <c r="E112" s="65"/>
      <c r="F112" s="2639">
        <f>SUM(F32,F40,F48,F56,F64,F80,F88,F96,F104)</f>
        <v>298.229535</v>
      </c>
      <c r="G112" s="2639">
        <f t="shared" ref="G112:O112" si="26">SUM(G32,G40,G48,G56,G64,G80,G88,G96,G104)</f>
        <v>449.1920925</v>
      </c>
      <c r="H112" s="2639">
        <f t="shared" si="26"/>
        <v>581.72388750000005</v>
      </c>
      <c r="I112" s="2639">
        <f t="shared" si="26"/>
        <v>742.69845000000009</v>
      </c>
      <c r="J112" s="2639">
        <f t="shared" si="26"/>
        <v>930.11715000000004</v>
      </c>
      <c r="K112" s="2639">
        <f t="shared" si="26"/>
        <v>1169.6699250000001</v>
      </c>
      <c r="L112" s="2639">
        <f t="shared" si="26"/>
        <v>1450.1380500000002</v>
      </c>
      <c r="M112" s="2639">
        <f t="shared" si="26"/>
        <v>1752.0066000000002</v>
      </c>
      <c r="N112" s="2639">
        <f t="shared" si="26"/>
        <v>2115.0596249999999</v>
      </c>
      <c r="O112" s="2639">
        <f t="shared" si="26"/>
        <v>2327.64975</v>
      </c>
      <c r="P112" s="415"/>
    </row>
    <row r="113" spans="1:16">
      <c r="B113" s="653"/>
      <c r="C113" s="542" t="s">
        <v>406</v>
      </c>
      <c r="D113" s="407"/>
      <c r="E113" s="407"/>
      <c r="F113" s="408">
        <f t="shared" ref="F113:O113" si="27">(INDEX(F$109:F$112,ROUNDDOWN($E$7,0))*(1-MOD($E$7,1)))+(INDEX(F$37:F$40,ROUNDUP($E$7,0))*MOD($E$7,1))</f>
        <v>296.5420125</v>
      </c>
      <c r="G113" s="408">
        <f t="shared" si="27"/>
        <v>449.1920925</v>
      </c>
      <c r="H113" s="408">
        <f t="shared" si="27"/>
        <v>507.09261100499998</v>
      </c>
      <c r="I113" s="408">
        <f t="shared" si="27"/>
        <v>548.56099701000005</v>
      </c>
      <c r="J113" s="408">
        <f t="shared" si="27"/>
        <v>586.57321805615095</v>
      </c>
      <c r="K113" s="408">
        <f t="shared" si="27"/>
        <v>641.54155989156084</v>
      </c>
      <c r="L113" s="408">
        <f t="shared" si="27"/>
        <v>680.54187544379761</v>
      </c>
      <c r="M113" s="408">
        <f t="shared" si="27"/>
        <v>722.92972840858988</v>
      </c>
      <c r="N113" s="408">
        <f t="shared" si="27"/>
        <v>769.07133311204609</v>
      </c>
      <c r="O113" s="408">
        <f t="shared" si="27"/>
        <v>803.22299999999996</v>
      </c>
      <c r="P113" s="415"/>
    </row>
    <row r="114" spans="1:16">
      <c r="B114" s="653"/>
      <c r="C114" s="126"/>
      <c r="D114" s="414"/>
      <c r="E114" s="414"/>
      <c r="F114" s="222"/>
      <c r="G114" s="222"/>
      <c r="H114" s="222"/>
      <c r="I114" s="222"/>
      <c r="J114" s="222"/>
      <c r="K114" s="222"/>
      <c r="L114" s="222"/>
      <c r="M114" s="222"/>
      <c r="N114" s="222"/>
      <c r="O114" s="137"/>
      <c r="P114" s="415"/>
    </row>
    <row r="115" spans="1:16">
      <c r="B115" s="653"/>
      <c r="C115" s="416"/>
      <c r="D115" s="415"/>
      <c r="E115" s="104"/>
      <c r="F115" s="415"/>
      <c r="G115" s="415"/>
      <c r="H115" s="415"/>
      <c r="I115" s="415"/>
      <c r="J115" s="415"/>
      <c r="K115" s="415"/>
      <c r="L115" s="415"/>
      <c r="M115" s="415"/>
      <c r="N115" s="415"/>
      <c r="O115" s="104"/>
      <c r="P115" s="415"/>
    </row>
    <row r="116" spans="1:16">
      <c r="B116" s="653"/>
      <c r="C116" s="412"/>
      <c r="D116" s="412"/>
      <c r="E116" s="412"/>
      <c r="F116" s="227"/>
      <c r="G116" s="227"/>
      <c r="H116" s="227"/>
      <c r="I116" s="227"/>
      <c r="J116" s="227"/>
      <c r="K116" s="227"/>
      <c r="L116" s="227"/>
      <c r="M116" s="227"/>
      <c r="N116" s="227"/>
      <c r="O116" s="227"/>
      <c r="P116" s="415"/>
    </row>
    <row r="117" spans="1:16">
      <c r="B117" s="653"/>
      <c r="C117" s="413"/>
      <c r="D117" s="414"/>
      <c r="E117" s="414"/>
      <c r="F117" s="98"/>
      <c r="G117" s="98"/>
      <c r="H117" s="98"/>
      <c r="I117" s="98"/>
      <c r="J117" s="98"/>
      <c r="K117" s="98"/>
      <c r="L117" s="98"/>
      <c r="M117" s="98"/>
      <c r="N117" s="98"/>
      <c r="O117" s="98"/>
      <c r="P117" s="415"/>
    </row>
    <row r="118" spans="1:16">
      <c r="B118" s="653"/>
      <c r="C118" s="413"/>
      <c r="D118" s="414"/>
      <c r="E118" s="414"/>
      <c r="F118" s="137"/>
      <c r="G118" s="137"/>
      <c r="H118" s="137"/>
      <c r="I118" s="137"/>
      <c r="J118" s="137"/>
      <c r="K118" s="137"/>
      <c r="L118" s="137"/>
      <c r="M118" s="137"/>
      <c r="N118" s="137"/>
      <c r="O118" s="137"/>
      <c r="P118" s="415"/>
    </row>
    <row r="119" spans="1:16">
      <c r="B119" s="653"/>
      <c r="C119" s="413"/>
      <c r="D119" s="414"/>
      <c r="E119" s="414"/>
      <c r="F119" s="137"/>
      <c r="G119" s="137"/>
      <c r="H119" s="137"/>
      <c r="I119" s="137"/>
      <c r="J119" s="137"/>
      <c r="K119" s="137"/>
      <c r="L119" s="137"/>
      <c r="M119" s="137"/>
      <c r="N119" s="137"/>
      <c r="O119" s="137"/>
      <c r="P119" s="415"/>
    </row>
    <row r="120" spans="1:16">
      <c r="B120" s="653"/>
      <c r="C120" s="413"/>
      <c r="D120" s="414"/>
      <c r="E120" s="414"/>
      <c r="F120" s="137"/>
      <c r="G120" s="137"/>
      <c r="H120" s="137"/>
      <c r="I120" s="137"/>
      <c r="J120" s="137"/>
      <c r="K120" s="137"/>
      <c r="L120" s="137"/>
      <c r="M120" s="137"/>
      <c r="N120" s="137"/>
      <c r="O120" s="137"/>
      <c r="P120" s="415"/>
    </row>
    <row r="121" spans="1:16">
      <c r="B121" s="653"/>
      <c r="C121" s="126"/>
      <c r="D121" s="414"/>
      <c r="E121" s="414"/>
      <c r="F121" s="222"/>
      <c r="G121" s="222"/>
      <c r="H121" s="222"/>
      <c r="I121" s="222"/>
      <c r="J121" s="222"/>
      <c r="K121" s="222"/>
      <c r="L121" s="222"/>
      <c r="M121" s="222"/>
      <c r="N121" s="222"/>
      <c r="O121" s="137"/>
      <c r="P121" s="415"/>
    </row>
    <row r="122" spans="1:16" s="623" customFormat="1">
      <c r="B122" s="746"/>
      <c r="C122" s="747"/>
      <c r="D122" s="628"/>
      <c r="E122" s="628"/>
      <c r="F122" s="748"/>
      <c r="G122" s="748"/>
      <c r="H122" s="748"/>
      <c r="I122" s="748"/>
      <c r="J122" s="748"/>
      <c r="K122" s="748"/>
      <c r="L122" s="748"/>
      <c r="M122" s="748"/>
      <c r="N122" s="748"/>
      <c r="O122" s="749"/>
      <c r="P122" s="624"/>
    </row>
    <row r="123" spans="1:16" s="51" customFormat="1" ht="22.5">
      <c r="A123" s="162"/>
      <c r="B123" s="421" t="s">
        <v>270</v>
      </c>
      <c r="C123" s="159"/>
      <c r="D123" s="159"/>
      <c r="E123" s="159"/>
      <c r="F123" s="159"/>
      <c r="G123" s="159"/>
      <c r="H123" s="159"/>
      <c r="I123" s="159"/>
      <c r="J123" s="159"/>
      <c r="K123" s="159"/>
      <c r="L123" s="159"/>
      <c r="M123" s="159"/>
      <c r="N123" s="159"/>
      <c r="O123" s="159"/>
      <c r="P123" s="160"/>
    </row>
    <row r="124" spans="1:16">
      <c r="B124" s="653"/>
      <c r="C124" s="126"/>
      <c r="D124" s="414"/>
      <c r="E124" s="414"/>
      <c r="F124" s="222"/>
      <c r="G124" s="222"/>
      <c r="H124" s="222"/>
      <c r="I124" s="222"/>
      <c r="J124" s="222"/>
      <c r="K124" s="222"/>
      <c r="L124" s="222"/>
      <c r="M124" s="222"/>
      <c r="N124" s="222"/>
      <c r="O124" s="137"/>
      <c r="P124" s="415"/>
    </row>
    <row r="125" spans="1:16">
      <c r="B125" s="653"/>
      <c r="C125" s="416" t="s">
        <v>2238</v>
      </c>
      <c r="D125" s="415"/>
      <c r="E125" s="104"/>
      <c r="F125" s="415"/>
      <c r="G125" s="415"/>
      <c r="H125" s="415"/>
      <c r="I125" s="415"/>
      <c r="J125" s="415"/>
      <c r="K125" s="415"/>
      <c r="L125" s="415"/>
      <c r="M125" s="415"/>
      <c r="N125" s="415"/>
      <c r="O125" s="104" t="str">
        <f>preferences.energyunits</f>
        <v>TWh</v>
      </c>
      <c r="P125" s="415"/>
    </row>
    <row r="126" spans="1:16">
      <c r="B126" s="653"/>
      <c r="C126" s="415"/>
      <c r="D126" s="415"/>
      <c r="E126" s="415"/>
      <c r="F126" s="415"/>
      <c r="G126" s="415"/>
      <c r="H126" s="415"/>
      <c r="I126" s="415"/>
      <c r="J126" s="415"/>
      <c r="K126" s="415"/>
      <c r="L126" s="415"/>
      <c r="M126" s="415"/>
      <c r="N126" s="415"/>
      <c r="O126" s="415"/>
      <c r="P126" s="415"/>
    </row>
    <row r="127" spans="1:16">
      <c r="B127" s="653"/>
      <c r="C127" s="61" t="s">
        <v>64</v>
      </c>
      <c r="D127" s="61" t="s">
        <v>137</v>
      </c>
      <c r="E127" s="61" t="s">
        <v>156</v>
      </c>
      <c r="F127" s="119">
        <v>2007</v>
      </c>
      <c r="G127" s="120">
        <v>2012</v>
      </c>
      <c r="H127" s="119">
        <v>2017</v>
      </c>
      <c r="I127" s="119">
        <v>2022</v>
      </c>
      <c r="J127" s="119">
        <v>2027</v>
      </c>
      <c r="K127" s="119">
        <v>2032</v>
      </c>
      <c r="L127" s="119">
        <v>2037</v>
      </c>
      <c r="M127" s="119">
        <v>2042</v>
      </c>
      <c r="N127" s="119">
        <v>2047</v>
      </c>
      <c r="O127" s="119">
        <v>2052</v>
      </c>
      <c r="P127" s="415"/>
    </row>
    <row r="128" spans="1:16" s="402" customFormat="1">
      <c r="A128" s="623"/>
      <c r="B128" s="750"/>
      <c r="C128" s="133" t="s">
        <v>53</v>
      </c>
      <c r="D128" s="134" t="str">
        <f>INDEX(Vectors[Description], MATCH($C128, Vectors[Code], 0))</f>
        <v>Natural gas</v>
      </c>
      <c r="E128" s="134"/>
      <c r="F128" s="342">
        <f t="shared" ref="F128:O128" si="28">F113</f>
        <v>296.5420125</v>
      </c>
      <c r="G128" s="342">
        <f t="shared" si="28"/>
        <v>449.1920925</v>
      </c>
      <c r="H128" s="342">
        <f t="shared" si="28"/>
        <v>507.09261100499998</v>
      </c>
      <c r="I128" s="342">
        <f t="shared" si="28"/>
        <v>548.56099701000005</v>
      </c>
      <c r="J128" s="342">
        <f t="shared" si="28"/>
        <v>586.57321805615095</v>
      </c>
      <c r="K128" s="342">
        <f t="shared" si="28"/>
        <v>641.54155989156084</v>
      </c>
      <c r="L128" s="342">
        <f t="shared" si="28"/>
        <v>680.54187544379761</v>
      </c>
      <c r="M128" s="342">
        <f t="shared" si="28"/>
        <v>722.92972840858988</v>
      </c>
      <c r="N128" s="342">
        <f t="shared" si="28"/>
        <v>769.07133311204609</v>
      </c>
      <c r="O128" s="342">
        <f t="shared" si="28"/>
        <v>803.22299999999996</v>
      </c>
    </row>
    <row r="129" spans="1:16" s="402" customFormat="1">
      <c r="A129" s="623"/>
      <c r="B129" s="750"/>
      <c r="C129" s="751"/>
      <c r="D129" s="135"/>
      <c r="E129" s="135"/>
      <c r="F129" s="137"/>
      <c r="G129" s="137"/>
      <c r="H129" s="137"/>
      <c r="I129" s="137"/>
      <c r="J129" s="137"/>
      <c r="K129" s="137"/>
      <c r="L129" s="137"/>
      <c r="M129" s="137"/>
      <c r="N129" s="137"/>
      <c r="O129" s="137"/>
    </row>
    <row r="130" spans="1:16" s="51" customFormat="1" ht="22.5">
      <c r="A130" s="752"/>
      <c r="B130" s="539"/>
      <c r="C130" s="539"/>
      <c r="D130" s="539"/>
      <c r="E130" s="539"/>
      <c r="F130" s="539"/>
      <c r="G130" s="539"/>
      <c r="H130" s="539"/>
      <c r="I130" s="539"/>
      <c r="J130" s="539"/>
      <c r="K130" s="539"/>
      <c r="L130" s="539"/>
      <c r="M130" s="539"/>
      <c r="N130" s="539"/>
      <c r="O130" s="539"/>
      <c r="P130" s="539"/>
    </row>
    <row r="131" spans="1:16" ht="15.75">
      <c r="B131" s="421" t="s">
        <v>265</v>
      </c>
      <c r="C131" s="159"/>
      <c r="D131" s="159"/>
      <c r="E131" s="159"/>
      <c r="F131" s="159"/>
      <c r="G131" s="159"/>
      <c r="H131" s="159"/>
      <c r="I131" s="159"/>
      <c r="J131" s="159"/>
      <c r="K131" s="159"/>
      <c r="L131" s="159"/>
      <c r="M131" s="159"/>
      <c r="N131" s="159"/>
      <c r="O131" s="159"/>
      <c r="P131" s="160"/>
    </row>
    <row r="132" spans="1:16">
      <c r="B132" s="418"/>
      <c r="C132" s="415"/>
      <c r="D132" s="415"/>
      <c r="E132" s="415"/>
      <c r="F132" s="415"/>
      <c r="G132" s="415"/>
      <c r="H132" s="415"/>
      <c r="I132" s="415"/>
      <c r="J132" s="415"/>
      <c r="K132" s="415"/>
      <c r="L132" s="415"/>
      <c r="M132" s="415"/>
      <c r="N132" s="415"/>
      <c r="O132" s="415"/>
      <c r="P132" s="419"/>
    </row>
    <row r="133" spans="1:16">
      <c r="B133" s="155"/>
      <c r="C133" s="413"/>
      <c r="D133" s="414"/>
      <c r="E133" s="414"/>
      <c r="F133" s="116"/>
      <c r="G133" s="132"/>
      <c r="H133" s="116"/>
      <c r="I133" s="116"/>
      <c r="J133" s="116"/>
      <c r="K133" s="116"/>
      <c r="L133" s="116"/>
      <c r="M133" s="116"/>
      <c r="N133" s="116"/>
      <c r="O133" s="116"/>
      <c r="P133" s="419"/>
    </row>
    <row r="134" spans="1:16" s="51" customFormat="1">
      <c r="A134" s="630"/>
      <c r="B134" s="155"/>
      <c r="C134" s="416" t="s">
        <v>839</v>
      </c>
      <c r="D134" s="415"/>
      <c r="E134" s="104"/>
      <c r="F134" s="415"/>
      <c r="G134" s="415"/>
      <c r="H134" s="415"/>
      <c r="I134" s="415"/>
      <c r="J134" s="415"/>
      <c r="K134" s="415"/>
      <c r="L134" s="415"/>
      <c r="M134" s="415"/>
      <c r="N134" s="415"/>
      <c r="O134" s="104" t="s">
        <v>428</v>
      </c>
      <c r="P134" s="419"/>
    </row>
    <row r="135" spans="1:16">
      <c r="B135" s="155"/>
      <c r="C135" s="415"/>
      <c r="D135" s="415"/>
      <c r="E135" s="415"/>
      <c r="F135" s="415"/>
      <c r="G135" s="415"/>
      <c r="H135" s="415"/>
      <c r="I135" s="415"/>
      <c r="J135" s="415"/>
      <c r="K135" s="415"/>
      <c r="L135" s="415"/>
      <c r="M135" s="415"/>
      <c r="N135" s="415"/>
      <c r="O135" s="415"/>
      <c r="P135" s="419"/>
    </row>
    <row r="136" spans="1:16" ht="15.75">
      <c r="B136" s="152"/>
      <c r="C136" s="61" t="s">
        <v>64</v>
      </c>
      <c r="D136" s="61" t="s">
        <v>137</v>
      </c>
      <c r="E136" s="61" t="s">
        <v>156</v>
      </c>
      <c r="F136" s="66" t="s">
        <v>203</v>
      </c>
      <c r="G136" s="120">
        <v>2012</v>
      </c>
      <c r="H136" s="119">
        <v>2017</v>
      </c>
      <c r="I136" s="119">
        <v>2022</v>
      </c>
      <c r="J136" s="119">
        <v>2027</v>
      </c>
      <c r="K136" s="119">
        <v>2032</v>
      </c>
      <c r="L136" s="119">
        <v>2037</v>
      </c>
      <c r="M136" s="119">
        <v>2042</v>
      </c>
      <c r="N136" s="119">
        <v>2047</v>
      </c>
      <c r="O136" s="119">
        <v>2052</v>
      </c>
      <c r="P136" s="419"/>
    </row>
    <row r="137" spans="1:16" ht="15.75">
      <c r="B137" s="152"/>
      <c r="C137" s="135" t="s">
        <v>34</v>
      </c>
      <c r="D137" s="135" t="str">
        <f>INDEX(Vectors[Description], MATCH($C137, Vectors[Code], 0))</f>
        <v>Electricity (delivered to end user)</v>
      </c>
      <c r="E137" s="135" t="s">
        <v>99</v>
      </c>
      <c r="F137" s="136">
        <v>0</v>
      </c>
      <c r="G137" s="136">
        <v>0</v>
      </c>
      <c r="H137" s="136">
        <v>0</v>
      </c>
      <c r="I137" s="136">
        <v>0</v>
      </c>
      <c r="J137" s="136">
        <v>0</v>
      </c>
      <c r="K137" s="136">
        <v>0</v>
      </c>
      <c r="L137" s="136">
        <v>0</v>
      </c>
      <c r="M137" s="136">
        <v>0</v>
      </c>
      <c r="N137" s="136">
        <v>0</v>
      </c>
      <c r="O137" s="136">
        <v>0</v>
      </c>
      <c r="P137" s="419"/>
    </row>
    <row r="138" spans="1:16" ht="15.75">
      <c r="B138" s="152"/>
      <c r="C138" s="133" t="s">
        <v>39</v>
      </c>
      <c r="D138" s="135" t="str">
        <f>INDEX(Vectors[Description], MATCH($C138, Vectors[Code], 0))</f>
        <v>Gaseous hydrocarbons</v>
      </c>
      <c r="E138" s="134" t="s">
        <v>99</v>
      </c>
      <c r="F138" s="71">
        <v>0</v>
      </c>
      <c r="G138" s="71">
        <v>0</v>
      </c>
      <c r="H138" s="71">
        <v>0</v>
      </c>
      <c r="I138" s="71">
        <v>0</v>
      </c>
      <c r="J138" s="71">
        <v>0</v>
      </c>
      <c r="K138" s="71">
        <v>0</v>
      </c>
      <c r="L138" s="71">
        <v>0</v>
      </c>
      <c r="M138" s="71">
        <v>0</v>
      </c>
      <c r="N138" s="71">
        <v>0</v>
      </c>
      <c r="O138" s="71">
        <v>0</v>
      </c>
      <c r="P138" s="419"/>
    </row>
    <row r="139" spans="1:16" ht="15.75">
      <c r="B139" s="152"/>
      <c r="C139" s="413"/>
      <c r="D139" s="414"/>
      <c r="E139" s="414"/>
      <c r="F139" s="116"/>
      <c r="G139" s="132"/>
      <c r="H139" s="116"/>
      <c r="I139" s="116"/>
      <c r="J139" s="116"/>
      <c r="K139" s="116"/>
      <c r="L139" s="116"/>
      <c r="M139" s="116"/>
      <c r="N139" s="116"/>
      <c r="O139" s="116"/>
      <c r="P139" s="419"/>
    </row>
    <row r="140" spans="1:16" ht="15.75" customHeight="1"/>
    <row r="141" spans="1:16">
      <c r="B141" s="242"/>
      <c r="C141" s="242"/>
      <c r="D141" s="242"/>
      <c r="E141" s="242"/>
      <c r="F141" s="242"/>
      <c r="G141" s="242"/>
      <c r="H141" s="242"/>
      <c r="I141" s="242"/>
      <c r="J141" s="242"/>
      <c r="K141" s="242"/>
      <c r="L141" s="242"/>
      <c r="M141" s="242"/>
      <c r="N141" s="242"/>
      <c r="O141" s="242"/>
      <c r="P141" s="242"/>
    </row>
    <row r="142" spans="1:16">
      <c r="B142" s="242"/>
      <c r="C142" s="242"/>
      <c r="D142" s="242"/>
      <c r="E142" s="242"/>
      <c r="F142" s="242"/>
      <c r="G142" s="242"/>
      <c r="H142" s="242"/>
      <c r="I142" s="242"/>
      <c r="J142" s="242"/>
      <c r="K142" s="242"/>
      <c r="L142" s="242"/>
      <c r="M142" s="242"/>
      <c r="N142" s="242"/>
      <c r="O142" s="242"/>
      <c r="P142" s="242"/>
    </row>
    <row r="143" spans="1:16">
      <c r="B143" s="242"/>
      <c r="C143" s="242"/>
      <c r="D143" s="242"/>
      <c r="E143" s="242"/>
      <c r="F143" s="242"/>
      <c r="G143" s="242"/>
      <c r="H143" s="242"/>
      <c r="I143" s="242"/>
      <c r="J143" s="242"/>
      <c r="K143" s="242"/>
      <c r="L143" s="242"/>
      <c r="M143" s="242"/>
      <c r="N143" s="242"/>
      <c r="O143" s="242"/>
      <c r="P143" s="242"/>
    </row>
    <row r="144" spans="1:16" ht="15.75">
      <c r="B144" s="89" t="s">
        <v>241</v>
      </c>
      <c r="F144" s="605">
        <v>2007</v>
      </c>
      <c r="G144" s="605">
        <f>F144+5</f>
        <v>2012</v>
      </c>
      <c r="H144" s="605">
        <f t="shared" ref="H144:O144" si="29">G144+5</f>
        <v>2017</v>
      </c>
      <c r="I144" s="605">
        <f t="shared" si="29"/>
        <v>2022</v>
      </c>
      <c r="J144" s="605">
        <f t="shared" si="29"/>
        <v>2027</v>
      </c>
      <c r="K144" s="605">
        <f t="shared" si="29"/>
        <v>2032</v>
      </c>
      <c r="L144" s="605">
        <f t="shared" si="29"/>
        <v>2037</v>
      </c>
      <c r="M144" s="605">
        <f t="shared" si="29"/>
        <v>2042</v>
      </c>
      <c r="N144" s="605">
        <f t="shared" si="29"/>
        <v>2047</v>
      </c>
      <c r="O144" s="605">
        <f t="shared" si="29"/>
        <v>2052</v>
      </c>
    </row>
    <row r="145" spans="1:16">
      <c r="A145" s="754"/>
      <c r="B145" s="140"/>
    </row>
    <row r="146" spans="1:16">
      <c r="F146" s="91"/>
      <c r="G146" s="91"/>
      <c r="H146" s="91"/>
      <c r="I146" s="91"/>
      <c r="J146" s="91"/>
      <c r="K146" s="91"/>
      <c r="L146" s="91"/>
      <c r="M146" s="91"/>
      <c r="N146" s="91"/>
      <c r="O146" s="91"/>
    </row>
    <row r="147" spans="1:16">
      <c r="B147" s="605">
        <v>2</v>
      </c>
      <c r="C147" s="19" t="s">
        <v>841</v>
      </c>
      <c r="F147" s="755"/>
      <c r="G147" s="755"/>
      <c r="H147" s="755"/>
      <c r="I147" s="755"/>
      <c r="J147" s="755"/>
      <c r="K147" s="755"/>
      <c r="L147" s="755"/>
      <c r="M147" s="755"/>
      <c r="N147" s="755"/>
      <c r="O147" s="755"/>
    </row>
    <row r="148" spans="1:16" s="37" customFormat="1">
      <c r="A148" s="754"/>
      <c r="B148" s="605"/>
      <c r="C148" s="423" t="s">
        <v>825</v>
      </c>
      <c r="D148" s="605"/>
      <c r="E148" s="605"/>
      <c r="F148" s="73">
        <v>0</v>
      </c>
      <c r="G148" s="73">
        <v>0</v>
      </c>
      <c r="H148" s="73">
        <v>0</v>
      </c>
      <c r="I148" s="73">
        <v>0</v>
      </c>
      <c r="J148" s="73">
        <v>0</v>
      </c>
      <c r="K148" s="73">
        <v>0</v>
      </c>
      <c r="L148" s="73">
        <v>0</v>
      </c>
      <c r="M148" s="73">
        <v>0</v>
      </c>
      <c r="N148" s="73">
        <v>0</v>
      </c>
      <c r="O148" s="73">
        <v>0</v>
      </c>
      <c r="P148" s="605"/>
    </row>
    <row r="149" spans="1:16" s="37" customFormat="1">
      <c r="A149" s="754"/>
      <c r="B149" s="605"/>
      <c r="C149" s="423" t="s">
        <v>842</v>
      </c>
      <c r="D149" s="605"/>
      <c r="E149" s="605" t="s">
        <v>543</v>
      </c>
      <c r="F149" s="73">
        <f t="shared" ref="F149:O149" si="30">F$113</f>
        <v>296.5420125</v>
      </c>
      <c r="G149" s="73">
        <f t="shared" si="30"/>
        <v>449.1920925</v>
      </c>
      <c r="H149" s="73">
        <f t="shared" si="30"/>
        <v>507.09261100499998</v>
      </c>
      <c r="I149" s="73">
        <f t="shared" si="30"/>
        <v>548.56099701000005</v>
      </c>
      <c r="J149" s="73">
        <f t="shared" si="30"/>
        <v>586.57321805615095</v>
      </c>
      <c r="K149" s="73">
        <f t="shared" si="30"/>
        <v>641.54155989156084</v>
      </c>
      <c r="L149" s="73">
        <f t="shared" si="30"/>
        <v>680.54187544379761</v>
      </c>
      <c r="M149" s="73">
        <f t="shared" si="30"/>
        <v>722.92972840858988</v>
      </c>
      <c r="N149" s="73">
        <f t="shared" si="30"/>
        <v>769.07133311204609</v>
      </c>
      <c r="O149" s="73">
        <f t="shared" si="30"/>
        <v>803.22299999999996</v>
      </c>
      <c r="P149" s="605"/>
    </row>
    <row r="150" spans="1:16">
      <c r="C150" s="605" t="s">
        <v>327</v>
      </c>
      <c r="F150" s="90">
        <v>0</v>
      </c>
      <c r="G150" s="90">
        <v>0</v>
      </c>
      <c r="H150" s="90">
        <v>0</v>
      </c>
      <c r="I150" s="90">
        <v>0</v>
      </c>
      <c r="J150" s="90">
        <v>0</v>
      </c>
      <c r="K150" s="90">
        <v>0</v>
      </c>
      <c r="L150" s="90">
        <v>0</v>
      </c>
      <c r="M150" s="90">
        <v>0</v>
      </c>
      <c r="N150" s="90">
        <v>0</v>
      </c>
      <c r="O150" s="90">
        <v>0</v>
      </c>
    </row>
    <row r="151" spans="1:16">
      <c r="C151" s="605" t="s">
        <v>328</v>
      </c>
      <c r="F151" s="90">
        <v>0</v>
      </c>
      <c r="G151" s="90">
        <v>0</v>
      </c>
      <c r="H151" s="90">
        <v>0</v>
      </c>
      <c r="I151" s="90">
        <v>0</v>
      </c>
      <c r="J151" s="90">
        <v>0</v>
      </c>
      <c r="K151" s="90">
        <v>0</v>
      </c>
      <c r="L151" s="90">
        <v>0</v>
      </c>
      <c r="M151" s="90">
        <v>0</v>
      </c>
      <c r="N151" s="90">
        <v>0</v>
      </c>
      <c r="O151" s="90">
        <v>0</v>
      </c>
    </row>
    <row r="152" spans="1:16">
      <c r="D152" s="2976" t="s">
        <v>2324</v>
      </c>
      <c r="F152" s="90"/>
      <c r="G152" s="90"/>
      <c r="H152" s="90"/>
      <c r="I152" s="90"/>
      <c r="J152" s="90"/>
      <c r="K152" s="90"/>
      <c r="L152" s="90"/>
      <c r="M152" s="90"/>
      <c r="N152" s="90"/>
      <c r="O152" s="90"/>
    </row>
    <row r="153" spans="1:16">
      <c r="B153" s="605" t="s">
        <v>648</v>
      </c>
      <c r="C153" s="605" t="s">
        <v>677</v>
      </c>
      <c r="F153" s="90"/>
      <c r="G153" s="90"/>
      <c r="H153" s="90"/>
      <c r="I153" s="90"/>
      <c r="J153" s="90"/>
      <c r="K153" s="90"/>
      <c r="L153" s="90"/>
      <c r="M153" s="90"/>
      <c r="N153" s="90"/>
      <c r="O153" s="90"/>
    </row>
    <row r="154" spans="1:16" ht="14.25">
      <c r="C154" s="605" t="s">
        <v>399</v>
      </c>
      <c r="E154" s="605" t="s">
        <v>368</v>
      </c>
      <c r="F154" s="90">
        <v>0</v>
      </c>
      <c r="G154" s="90">
        <v>0</v>
      </c>
      <c r="H154" s="90">
        <v>0</v>
      </c>
      <c r="I154" s="90">
        <v>0</v>
      </c>
      <c r="J154" s="90">
        <v>0</v>
      </c>
      <c r="K154" s="90">
        <v>0</v>
      </c>
      <c r="L154" s="90">
        <v>0</v>
      </c>
      <c r="M154" s="90">
        <v>0</v>
      </c>
      <c r="N154" s="90">
        <v>0</v>
      </c>
      <c r="O154" s="90">
        <v>0</v>
      </c>
    </row>
    <row r="155" spans="1:16">
      <c r="C155" s="605" t="s">
        <v>843</v>
      </c>
      <c r="E155" s="605" t="s">
        <v>367</v>
      </c>
      <c r="F155" s="90">
        <v>0</v>
      </c>
      <c r="G155" s="90">
        <v>0</v>
      </c>
      <c r="H155" s="90">
        <v>0</v>
      </c>
      <c r="I155" s="90">
        <v>0</v>
      </c>
      <c r="J155" s="90">
        <v>0</v>
      </c>
      <c r="K155" s="90">
        <v>0</v>
      </c>
      <c r="L155" s="90">
        <v>0</v>
      </c>
      <c r="M155" s="90">
        <v>0</v>
      </c>
      <c r="N155" s="90">
        <v>0</v>
      </c>
      <c r="O155" s="90">
        <v>0</v>
      </c>
    </row>
    <row r="156" spans="1:16">
      <c r="C156" s="605" t="s">
        <v>400</v>
      </c>
      <c r="F156" s="90"/>
      <c r="G156" s="90"/>
      <c r="H156" s="90"/>
      <c r="I156" s="90"/>
      <c r="J156" s="90"/>
      <c r="K156" s="90"/>
      <c r="L156" s="90"/>
      <c r="M156" s="90"/>
      <c r="N156" s="90"/>
      <c r="O156" s="90"/>
    </row>
    <row r="157" spans="1:16">
      <c r="D157" s="605" t="s">
        <v>350</v>
      </c>
      <c r="E157" s="605" t="s">
        <v>367</v>
      </c>
      <c r="F157" s="90">
        <v>0</v>
      </c>
      <c r="G157" s="90">
        <v>0</v>
      </c>
      <c r="H157" s="90">
        <v>0</v>
      </c>
      <c r="I157" s="90">
        <v>0</v>
      </c>
      <c r="J157" s="90">
        <v>0</v>
      </c>
      <c r="K157" s="90">
        <v>0</v>
      </c>
      <c r="L157" s="90">
        <v>0</v>
      </c>
      <c r="M157" s="90">
        <v>0</v>
      </c>
      <c r="N157" s="90">
        <v>0</v>
      </c>
      <c r="O157" s="90">
        <v>0</v>
      </c>
    </row>
    <row r="158" spans="1:16">
      <c r="D158" s="605" t="s">
        <v>351</v>
      </c>
      <c r="F158" s="90">
        <v>0</v>
      </c>
      <c r="G158" s="90">
        <v>0</v>
      </c>
      <c r="H158" s="90">
        <v>0</v>
      </c>
      <c r="I158" s="90">
        <v>0</v>
      </c>
      <c r="J158" s="90">
        <v>0</v>
      </c>
      <c r="K158" s="90">
        <v>0</v>
      </c>
      <c r="L158" s="90">
        <v>0</v>
      </c>
      <c r="M158" s="90">
        <v>0</v>
      </c>
      <c r="N158" s="90">
        <v>0</v>
      </c>
      <c r="O158" s="90">
        <v>0</v>
      </c>
    </row>
    <row r="159" spans="1:16">
      <c r="D159" s="605" t="s">
        <v>352</v>
      </c>
      <c r="F159" s="90">
        <v>0</v>
      </c>
      <c r="G159" s="90">
        <v>0</v>
      </c>
      <c r="H159" s="90">
        <v>0</v>
      </c>
      <c r="I159" s="90">
        <v>0</v>
      </c>
      <c r="J159" s="90">
        <v>0</v>
      </c>
      <c r="K159" s="90">
        <v>0</v>
      </c>
      <c r="L159" s="90">
        <v>0</v>
      </c>
      <c r="M159" s="90">
        <v>0</v>
      </c>
      <c r="N159" s="90">
        <v>0</v>
      </c>
      <c r="O159" s="90">
        <v>0</v>
      </c>
    </row>
    <row r="161" spans="1:16">
      <c r="B161" s="605" t="s">
        <v>844</v>
      </c>
      <c r="C161" s="605" t="s">
        <v>845</v>
      </c>
    </row>
    <row r="162" spans="1:16">
      <c r="A162" s="623" t="s">
        <v>647</v>
      </c>
      <c r="C162" s="605" t="s">
        <v>846</v>
      </c>
    </row>
    <row r="163" spans="1:16">
      <c r="G163" s="3381"/>
      <c r="H163" s="3381"/>
      <c r="I163" s="3381"/>
    </row>
    <row r="164" spans="1:16">
      <c r="C164" s="140" t="s">
        <v>64</v>
      </c>
      <c r="D164" s="140" t="s">
        <v>249</v>
      </c>
      <c r="F164" s="756">
        <v>2007</v>
      </c>
      <c r="G164" s="756">
        <f>F164+5</f>
        <v>2012</v>
      </c>
      <c r="H164" s="756">
        <f t="shared" ref="H164:O164" si="31">G164+5</f>
        <v>2017</v>
      </c>
      <c r="I164" s="756">
        <f t="shared" si="31"/>
        <v>2022</v>
      </c>
      <c r="J164" s="756">
        <f t="shared" si="31"/>
        <v>2027</v>
      </c>
      <c r="K164" s="756">
        <f t="shared" si="31"/>
        <v>2032</v>
      </c>
      <c r="L164" s="756">
        <f t="shared" si="31"/>
        <v>2037</v>
      </c>
      <c r="M164" s="756">
        <f t="shared" si="31"/>
        <v>2042</v>
      </c>
      <c r="N164" s="756">
        <f t="shared" si="31"/>
        <v>2047</v>
      </c>
      <c r="O164" s="756">
        <f t="shared" si="31"/>
        <v>2052</v>
      </c>
    </row>
    <row r="165" spans="1:16">
      <c r="C165" s="605" t="s">
        <v>662</v>
      </c>
      <c r="D165" s="605" t="str">
        <f>INDEX(AirQualityVectors[Description],MATCH(C165,AirQualityVectors[Code],0))</f>
        <v>PM10</v>
      </c>
      <c r="E165" s="422" t="s">
        <v>847</v>
      </c>
      <c r="F165" s="757"/>
      <c r="G165" s="757"/>
      <c r="H165" s="757"/>
      <c r="I165" s="757"/>
      <c r="J165" s="757"/>
      <c r="K165" s="757"/>
      <c r="L165" s="757"/>
      <c r="M165" s="757"/>
      <c r="N165" s="757"/>
      <c r="O165" s="757"/>
    </row>
    <row r="166" spans="1:16">
      <c r="C166" s="605" t="s">
        <v>663</v>
      </c>
      <c r="D166" s="2645" t="str">
        <f>INDEX(AirQualityVectors[Description],MATCH(C166,AirQualityVectors[Code],0))</f>
        <v>NOX</v>
      </c>
      <c r="F166" s="757"/>
      <c r="G166" s="757"/>
      <c r="H166" s="757"/>
      <c r="I166" s="757"/>
      <c r="J166" s="757"/>
      <c r="K166" s="757"/>
      <c r="L166" s="757"/>
      <c r="M166" s="757"/>
      <c r="N166" s="757"/>
      <c r="O166" s="757"/>
    </row>
    <row r="167" spans="1:16">
      <c r="C167" s="605" t="s">
        <v>664</v>
      </c>
      <c r="D167" s="2645" t="str">
        <f>INDEX(AirQualityVectors[Description],MATCH(C167,AirQualityVectors[Code],0))</f>
        <v>SO2</v>
      </c>
      <c r="F167" s="757"/>
      <c r="G167" s="757"/>
      <c r="H167" s="757"/>
      <c r="I167" s="757"/>
      <c r="J167" s="757"/>
      <c r="K167" s="757"/>
      <c r="L167" s="757"/>
      <c r="M167" s="757"/>
      <c r="N167" s="757"/>
      <c r="O167" s="757"/>
    </row>
    <row r="168" spans="1:16" ht="22.5">
      <c r="A168" s="745"/>
      <c r="C168" s="605" t="s">
        <v>665</v>
      </c>
      <c r="D168" s="2645" t="str">
        <f>INDEX(AirQualityVectors[Description],MATCH(C168,AirQualityVectors[Code],0))</f>
        <v>NMVOC</v>
      </c>
      <c r="F168" s="757"/>
      <c r="G168" s="757"/>
      <c r="H168" s="757"/>
      <c r="I168" s="757"/>
      <c r="J168" s="757"/>
      <c r="K168" s="757"/>
      <c r="L168" s="757"/>
      <c r="M168" s="757"/>
      <c r="N168" s="757"/>
      <c r="O168" s="757"/>
      <c r="P168" s="757"/>
    </row>
    <row r="170" spans="1:16">
      <c r="C170" s="605" t="s">
        <v>848</v>
      </c>
      <c r="G170" s="3381" t="s">
        <v>849</v>
      </c>
      <c r="H170" s="3381"/>
      <c r="I170" s="3381"/>
    </row>
    <row r="171" spans="1:16">
      <c r="G171" s="3381"/>
      <c r="H171" s="3381"/>
      <c r="I171" s="3381"/>
    </row>
    <row r="172" spans="1:16" ht="15.75">
      <c r="A172" s="758"/>
      <c r="C172" s="140" t="s">
        <v>64</v>
      </c>
      <c r="D172" s="140" t="s">
        <v>249</v>
      </c>
      <c r="F172" s="140">
        <v>2007</v>
      </c>
      <c r="G172" s="759">
        <f>F172+5</f>
        <v>2012</v>
      </c>
      <c r="H172" s="759">
        <f t="shared" ref="H172:N172" si="32">G172+5</f>
        <v>2017</v>
      </c>
      <c r="I172" s="759">
        <f t="shared" si="32"/>
        <v>2022</v>
      </c>
      <c r="J172" s="759">
        <f t="shared" si="32"/>
        <v>2027</v>
      </c>
      <c r="K172" s="759">
        <f t="shared" si="32"/>
        <v>2032</v>
      </c>
      <c r="L172" s="759">
        <f t="shared" si="32"/>
        <v>2037</v>
      </c>
      <c r="M172" s="759">
        <f t="shared" si="32"/>
        <v>2042</v>
      </c>
      <c r="N172" s="759">
        <f t="shared" si="32"/>
        <v>2047</v>
      </c>
      <c r="O172" s="759">
        <f>N172+5</f>
        <v>2052</v>
      </c>
    </row>
    <row r="173" spans="1:16" ht="15.75">
      <c r="A173" s="758"/>
      <c r="C173" s="605" t="s">
        <v>662</v>
      </c>
      <c r="D173" s="605" t="str">
        <f>INDEX(AirQualityVectors[Description],MATCH(C173,AirQualityVectors[Code],0))</f>
        <v>PM10</v>
      </c>
      <c r="E173" s="422" t="s">
        <v>847</v>
      </c>
      <c r="F173" s="497">
        <v>0</v>
      </c>
      <c r="G173" s="497">
        <v>0</v>
      </c>
      <c r="H173" s="497">
        <v>0</v>
      </c>
      <c r="I173" s="497">
        <v>0</v>
      </c>
      <c r="J173" s="497">
        <v>0</v>
      </c>
      <c r="K173" s="497">
        <v>0</v>
      </c>
      <c r="L173" s="497">
        <v>0</v>
      </c>
      <c r="M173" s="497">
        <v>0</v>
      </c>
      <c r="N173" s="497">
        <v>0</v>
      </c>
      <c r="O173" s="497">
        <v>0</v>
      </c>
    </row>
    <row r="174" spans="1:16" ht="15.75">
      <c r="A174" s="758"/>
      <c r="C174" s="605" t="s">
        <v>663</v>
      </c>
      <c r="D174" s="2645" t="str">
        <f>INDEX(AirQualityVectors[Description],MATCH(C174,AirQualityVectors[Code],0))</f>
        <v>NOX</v>
      </c>
      <c r="F174" s="497">
        <v>0</v>
      </c>
      <c r="G174" s="497">
        <v>0</v>
      </c>
      <c r="H174" s="497">
        <v>0</v>
      </c>
      <c r="I174" s="497">
        <v>0</v>
      </c>
      <c r="J174" s="497">
        <v>0</v>
      </c>
      <c r="K174" s="497">
        <v>0</v>
      </c>
      <c r="L174" s="497">
        <v>0</v>
      </c>
      <c r="M174" s="497">
        <v>0</v>
      </c>
      <c r="N174" s="497">
        <v>0</v>
      </c>
      <c r="O174" s="497">
        <v>0</v>
      </c>
    </row>
    <row r="175" spans="1:16" ht="15.75">
      <c r="A175" s="758"/>
      <c r="C175" s="605" t="s">
        <v>664</v>
      </c>
      <c r="D175" s="2645" t="str">
        <f>INDEX(AirQualityVectors[Description],MATCH(C175,AirQualityVectors[Code],0))</f>
        <v>SO2</v>
      </c>
      <c r="F175" s="497">
        <v>0</v>
      </c>
      <c r="G175" s="497">
        <v>0</v>
      </c>
      <c r="H175" s="497">
        <v>0</v>
      </c>
      <c r="I175" s="497">
        <v>0</v>
      </c>
      <c r="J175" s="497">
        <v>0</v>
      </c>
      <c r="K175" s="497">
        <v>0</v>
      </c>
      <c r="L175" s="497">
        <v>0</v>
      </c>
      <c r="M175" s="497">
        <v>0</v>
      </c>
      <c r="N175" s="497">
        <v>0</v>
      </c>
      <c r="O175" s="497">
        <v>0</v>
      </c>
    </row>
    <row r="176" spans="1:16" ht="15.75">
      <c r="A176" s="758"/>
      <c r="C176" s="605" t="s">
        <v>665</v>
      </c>
      <c r="D176" s="2645" t="str">
        <f>INDEX(AirQualityVectors[Description],MATCH(C176,AirQualityVectors[Code],0))</f>
        <v>NMVOC</v>
      </c>
      <c r="F176" s="497">
        <v>0</v>
      </c>
      <c r="G176" s="497">
        <v>0</v>
      </c>
      <c r="H176" s="497">
        <v>0</v>
      </c>
      <c r="I176" s="497">
        <v>0</v>
      </c>
      <c r="J176" s="497">
        <v>0</v>
      </c>
      <c r="K176" s="497">
        <v>0</v>
      </c>
      <c r="L176" s="497">
        <v>0</v>
      </c>
      <c r="M176" s="497">
        <v>0</v>
      </c>
      <c r="N176" s="497">
        <v>0</v>
      </c>
      <c r="O176" s="497">
        <v>0</v>
      </c>
    </row>
    <row r="177" spans="1:16" ht="15.75">
      <c r="A177" s="758"/>
    </row>
    <row r="178" spans="1:16" ht="15.75">
      <c r="A178" s="758"/>
    </row>
    <row r="179" spans="1:16" ht="15.75">
      <c r="B179" s="206" t="s">
        <v>202</v>
      </c>
      <c r="C179" s="175"/>
      <c r="D179" s="175"/>
      <c r="E179" s="175"/>
      <c r="F179" s="175"/>
      <c r="G179" s="175"/>
      <c r="H179" s="175"/>
      <c r="I179" s="175"/>
      <c r="J179" s="175"/>
      <c r="K179" s="175"/>
      <c r="L179" s="175"/>
      <c r="M179" s="175"/>
      <c r="N179" s="175"/>
      <c r="O179" s="175"/>
      <c r="P179" s="177"/>
    </row>
    <row r="180" spans="1:16">
      <c r="B180" s="164"/>
      <c r="C180" s="166"/>
      <c r="D180" s="166"/>
      <c r="E180" s="166"/>
      <c r="F180" s="166"/>
      <c r="G180" s="166"/>
      <c r="H180" s="166"/>
      <c r="I180" s="166"/>
      <c r="J180" s="166"/>
      <c r="K180" s="166"/>
      <c r="L180" s="166"/>
      <c r="M180" s="166"/>
      <c r="N180" s="166"/>
      <c r="O180" s="166"/>
      <c r="P180" s="168"/>
    </row>
    <row r="181" spans="1:16">
      <c r="B181" s="164"/>
      <c r="C181" s="178" t="s">
        <v>674</v>
      </c>
      <c r="D181" s="166"/>
      <c r="E181" s="167"/>
      <c r="F181" s="166"/>
      <c r="G181" s="167"/>
      <c r="H181" s="166"/>
      <c r="I181" s="166"/>
      <c r="J181" s="166"/>
      <c r="K181" s="166"/>
      <c r="L181" s="166"/>
      <c r="M181" s="166"/>
      <c r="N181" s="166"/>
      <c r="O181" s="167" t="str">
        <f>preferences.energyunits</f>
        <v>TWh</v>
      </c>
      <c r="P181" s="168"/>
    </row>
    <row r="182" spans="1:16">
      <c r="B182" s="164"/>
      <c r="C182" s="166"/>
      <c r="D182" s="166"/>
      <c r="E182" s="166"/>
      <c r="F182" s="166"/>
      <c r="G182" s="166"/>
      <c r="H182" s="166"/>
      <c r="I182" s="166"/>
      <c r="J182" s="166"/>
      <c r="K182" s="166"/>
      <c r="L182" s="166"/>
      <c r="M182" s="166"/>
      <c r="N182" s="166"/>
      <c r="O182" s="166"/>
      <c r="P182" s="168"/>
    </row>
    <row r="183" spans="1:16" ht="15.75">
      <c r="A183" s="623" t="s">
        <v>120</v>
      </c>
      <c r="B183" s="169"/>
      <c r="C183" s="180" t="s">
        <v>64</v>
      </c>
      <c r="D183" s="180" t="s">
        <v>137</v>
      </c>
      <c r="E183" s="180" t="s">
        <v>156</v>
      </c>
      <c r="F183" s="180" t="s">
        <v>203</v>
      </c>
      <c r="G183" s="180" t="s">
        <v>712</v>
      </c>
      <c r="H183" s="180" t="s">
        <v>713</v>
      </c>
      <c r="I183" s="180" t="s">
        <v>714</v>
      </c>
      <c r="J183" s="180" t="s">
        <v>715</v>
      </c>
      <c r="K183" s="180" t="s">
        <v>716</v>
      </c>
      <c r="L183" s="180" t="s">
        <v>717</v>
      </c>
      <c r="M183" s="180" t="s">
        <v>718</v>
      </c>
      <c r="N183" s="180" t="s">
        <v>719</v>
      </c>
      <c r="O183" s="180" t="s">
        <v>720</v>
      </c>
      <c r="P183" s="168"/>
    </row>
    <row r="184" spans="1:16" ht="15.75">
      <c r="B184" s="169"/>
      <c r="C184" s="180" t="s">
        <v>13</v>
      </c>
      <c r="D184" s="180" t="str">
        <f>INDEX(Vectors[Description], MATCH([Vector],Vectors[Code], 0))</f>
        <v>Industry</v>
      </c>
      <c r="E184" s="180"/>
      <c r="F184" s="220">
        <f>0</f>
        <v>0</v>
      </c>
      <c r="G184" s="220">
        <f>0</f>
        <v>0</v>
      </c>
      <c r="H184" s="220">
        <f>0</f>
        <v>0</v>
      </c>
      <c r="I184" s="220">
        <f>0</f>
        <v>0</v>
      </c>
      <c r="J184" s="220">
        <f>0</f>
        <v>0</v>
      </c>
      <c r="K184" s="220">
        <f>0</f>
        <v>0</v>
      </c>
      <c r="L184" s="220">
        <f>0</f>
        <v>0</v>
      </c>
      <c r="M184" s="220">
        <f>0</f>
        <v>0</v>
      </c>
      <c r="N184" s="220">
        <f>0</f>
        <v>0</v>
      </c>
      <c r="O184" s="220">
        <f>0</f>
        <v>0</v>
      </c>
      <c r="P184" s="168"/>
    </row>
    <row r="185" spans="1:16" ht="15.75">
      <c r="B185" s="169"/>
      <c r="C185" s="60" t="s">
        <v>34</v>
      </c>
      <c r="D185" s="180" t="str">
        <f>INDEX(Vectors[Description], MATCH([Vector],Vectors[Code], 0))</f>
        <v>Electricity (delivered to end user)</v>
      </c>
      <c r="E185" s="60"/>
      <c r="F185" s="129">
        <f>0</f>
        <v>0</v>
      </c>
      <c r="G185" s="129">
        <f>0</f>
        <v>0</v>
      </c>
      <c r="H185" s="129">
        <f>0</f>
        <v>0</v>
      </c>
      <c r="I185" s="129">
        <f>0</f>
        <v>0</v>
      </c>
      <c r="J185" s="129">
        <f>0</f>
        <v>0</v>
      </c>
      <c r="K185" s="129">
        <f>0</f>
        <v>0</v>
      </c>
      <c r="L185" s="129">
        <f>0</f>
        <v>0</v>
      </c>
      <c r="M185" s="129">
        <f>0</f>
        <v>0</v>
      </c>
      <c r="N185" s="129">
        <f>0</f>
        <v>0</v>
      </c>
      <c r="O185" s="129">
        <f>0</f>
        <v>0</v>
      </c>
      <c r="P185" s="168"/>
    </row>
    <row r="186" spans="1:16" ht="15.75">
      <c r="B186" s="169"/>
      <c r="C186" s="60" t="s">
        <v>36</v>
      </c>
      <c r="D186" s="180" t="str">
        <f>INDEX(Vectors[Description], MATCH([Vector],Vectors[Code], 0))</f>
        <v>Solid hydrocarbons</v>
      </c>
      <c r="E186" s="60"/>
      <c r="F186" s="129">
        <f>0</f>
        <v>0</v>
      </c>
      <c r="G186" s="129">
        <f>0</f>
        <v>0</v>
      </c>
      <c r="H186" s="129">
        <f>0</f>
        <v>0</v>
      </c>
      <c r="I186" s="129">
        <f>0</f>
        <v>0</v>
      </c>
      <c r="J186" s="129">
        <f>0</f>
        <v>0</v>
      </c>
      <c r="K186" s="129">
        <f>0</f>
        <v>0</v>
      </c>
      <c r="L186" s="129">
        <f>0</f>
        <v>0</v>
      </c>
      <c r="M186" s="129">
        <f>0</f>
        <v>0</v>
      </c>
      <c r="N186" s="129">
        <f>0</f>
        <v>0</v>
      </c>
      <c r="O186" s="129">
        <f>0</f>
        <v>0</v>
      </c>
      <c r="P186" s="168"/>
    </row>
    <row r="187" spans="1:16" ht="15.75">
      <c r="B187" s="169"/>
      <c r="C187" s="60" t="s">
        <v>39</v>
      </c>
      <c r="D187" s="180" t="str">
        <f>INDEX(Vectors[Description], MATCH([Vector],Vectors[Code], 0))</f>
        <v>Gaseous hydrocarbons</v>
      </c>
      <c r="E187" s="60"/>
      <c r="F187" s="129">
        <f>0</f>
        <v>0</v>
      </c>
      <c r="G187" s="129">
        <f>0</f>
        <v>0</v>
      </c>
      <c r="H187" s="129">
        <f>0</f>
        <v>0</v>
      </c>
      <c r="I187" s="129">
        <f>0</f>
        <v>0</v>
      </c>
      <c r="J187" s="129">
        <f>0</f>
        <v>0</v>
      </c>
      <c r="K187" s="129">
        <f>0</f>
        <v>0</v>
      </c>
      <c r="L187" s="129">
        <f>0</f>
        <v>0</v>
      </c>
      <c r="M187" s="129">
        <f>0</f>
        <v>0</v>
      </c>
      <c r="N187" s="129">
        <f>0</f>
        <v>0</v>
      </c>
      <c r="O187" s="129">
        <f>0</f>
        <v>0</v>
      </c>
      <c r="P187" s="168"/>
    </row>
    <row r="188" spans="1:16" ht="15.75">
      <c r="B188" s="169"/>
      <c r="C188" s="60" t="s">
        <v>53</v>
      </c>
      <c r="D188" s="180" t="str">
        <f>INDEX(Vectors[Description], MATCH([Vector],Vectors[Code], 0))</f>
        <v>Natural gas</v>
      </c>
      <c r="E188" s="60"/>
      <c r="F188" s="129">
        <f>F149</f>
        <v>296.5420125</v>
      </c>
      <c r="G188" s="129">
        <f t="shared" ref="G188:O188" si="33">G149</f>
        <v>449.1920925</v>
      </c>
      <c r="H188" s="129">
        <f t="shared" si="33"/>
        <v>507.09261100499998</v>
      </c>
      <c r="I188" s="129">
        <f t="shared" si="33"/>
        <v>548.56099701000005</v>
      </c>
      <c r="J188" s="129">
        <f t="shared" si="33"/>
        <v>586.57321805615095</v>
      </c>
      <c r="K188" s="129">
        <f t="shared" si="33"/>
        <v>641.54155989156084</v>
      </c>
      <c r="L188" s="129">
        <f t="shared" si="33"/>
        <v>680.54187544379761</v>
      </c>
      <c r="M188" s="129">
        <f t="shared" si="33"/>
        <v>722.92972840858988</v>
      </c>
      <c r="N188" s="129">
        <f t="shared" si="33"/>
        <v>769.07133311204609</v>
      </c>
      <c r="O188" s="129">
        <f t="shared" si="33"/>
        <v>803.22299999999996</v>
      </c>
      <c r="P188" s="168"/>
    </row>
    <row r="189" spans="1:16" ht="15.75">
      <c r="B189" s="169"/>
      <c r="C189" s="60" t="s">
        <v>322</v>
      </c>
      <c r="D189" s="180" t="str">
        <f>INDEX(Vectors[Description], MATCH([Vector],Vectors[Code], 0))</f>
        <v>Gas reserves</v>
      </c>
      <c r="E189" s="60"/>
      <c r="F189" s="129">
        <f>-F149</f>
        <v>-296.5420125</v>
      </c>
      <c r="G189" s="129">
        <f t="shared" ref="G189:O189" si="34">-G149</f>
        <v>-449.1920925</v>
      </c>
      <c r="H189" s="129">
        <f t="shared" si="34"/>
        <v>-507.09261100499998</v>
      </c>
      <c r="I189" s="129">
        <f t="shared" si="34"/>
        <v>-548.56099701000005</v>
      </c>
      <c r="J189" s="129">
        <f t="shared" si="34"/>
        <v>-586.57321805615095</v>
      </c>
      <c r="K189" s="129">
        <f t="shared" si="34"/>
        <v>-641.54155989156084</v>
      </c>
      <c r="L189" s="129">
        <f t="shared" si="34"/>
        <v>-680.54187544379761</v>
      </c>
      <c r="M189" s="129">
        <f t="shared" si="34"/>
        <v>-722.92972840858988</v>
      </c>
      <c r="N189" s="129">
        <f t="shared" si="34"/>
        <v>-769.07133311204609</v>
      </c>
      <c r="O189" s="129">
        <f t="shared" si="34"/>
        <v>-803.22299999999996</v>
      </c>
      <c r="P189" s="168"/>
    </row>
    <row r="190" spans="1:16" ht="15.75">
      <c r="B190" s="169"/>
      <c r="C190" s="60"/>
      <c r="D190" s="180"/>
      <c r="E190" s="60"/>
      <c r="F190" s="129"/>
      <c r="G190" s="129"/>
      <c r="H190" s="129"/>
      <c r="I190" s="129"/>
      <c r="J190" s="129"/>
      <c r="K190" s="129"/>
      <c r="L190" s="129"/>
      <c r="M190" s="129"/>
      <c r="N190" s="129"/>
      <c r="O190" s="129"/>
      <c r="P190" s="168"/>
    </row>
    <row r="191" spans="1:16" ht="15.75">
      <c r="B191" s="169"/>
      <c r="C191" s="60"/>
      <c r="D191" s="180"/>
      <c r="E191" s="60"/>
      <c r="F191" s="129"/>
      <c r="G191" s="129"/>
      <c r="H191" s="129"/>
      <c r="I191" s="129"/>
      <c r="J191" s="129"/>
      <c r="K191" s="129"/>
      <c r="L191" s="129"/>
      <c r="M191" s="129"/>
      <c r="N191" s="129"/>
      <c r="O191" s="129"/>
      <c r="P191" s="168"/>
    </row>
    <row r="192" spans="1:16" ht="15.75">
      <c r="B192" s="169"/>
      <c r="C192" s="60"/>
      <c r="D192" s="180"/>
      <c r="E192" s="60"/>
      <c r="F192" s="129"/>
      <c r="G192" s="129"/>
      <c r="H192" s="129"/>
      <c r="I192" s="129"/>
      <c r="J192" s="129"/>
      <c r="K192" s="129"/>
      <c r="L192" s="129"/>
      <c r="M192" s="129"/>
      <c r="N192" s="129"/>
      <c r="O192" s="129"/>
      <c r="P192" s="168"/>
    </row>
    <row r="193" spans="2:16" ht="15.75">
      <c r="B193" s="169"/>
      <c r="C193" s="60"/>
      <c r="D193" s="180"/>
      <c r="E193" s="60"/>
      <c r="F193" s="129"/>
      <c r="G193" s="129"/>
      <c r="H193" s="129"/>
      <c r="I193" s="129"/>
      <c r="J193" s="129"/>
      <c r="K193" s="129"/>
      <c r="L193" s="129"/>
      <c r="M193" s="129"/>
      <c r="N193" s="129"/>
      <c r="O193" s="129"/>
      <c r="P193" s="168"/>
    </row>
    <row r="194" spans="2:16" ht="15.75">
      <c r="B194" s="169"/>
      <c r="C194" s="60" t="s">
        <v>103</v>
      </c>
      <c r="D194" s="60"/>
      <c r="E194" s="60"/>
      <c r="F194" s="231">
        <f>SUBTOTAL(109,[2007])</f>
        <v>0</v>
      </c>
      <c r="G194" s="231">
        <f>SUBTOTAL(109,[2012])</f>
        <v>0</v>
      </c>
      <c r="H194" s="231">
        <f>SUBTOTAL(109,[2017])</f>
        <v>0</v>
      </c>
      <c r="I194" s="231">
        <f>SUBTOTAL(109,[2022])</f>
        <v>0</v>
      </c>
      <c r="J194" s="231">
        <f>SUBTOTAL(109,[2027])</f>
        <v>0</v>
      </c>
      <c r="K194" s="231">
        <f>SUBTOTAL(109,[2032])</f>
        <v>0</v>
      </c>
      <c r="L194" s="231">
        <f>SUBTOTAL(109,[2037])</f>
        <v>0</v>
      </c>
      <c r="M194" s="231">
        <f>SUBTOTAL(109,[2042])</f>
        <v>0</v>
      </c>
      <c r="N194" s="231">
        <f>SUBTOTAL(109,[2047])</f>
        <v>0</v>
      </c>
      <c r="O194" s="231">
        <f>SUBTOTAL(109,[2052])</f>
        <v>0</v>
      </c>
      <c r="P194" s="168"/>
    </row>
    <row r="195" spans="2:16" ht="15.75">
      <c r="B195" s="170"/>
      <c r="C195" s="224"/>
      <c r="D195" s="225"/>
      <c r="E195" s="225"/>
      <c r="F195" s="225"/>
      <c r="G195" s="225"/>
      <c r="H195" s="225"/>
      <c r="I195" s="225"/>
      <c r="J195" s="225"/>
      <c r="K195" s="225"/>
      <c r="L195" s="225"/>
      <c r="M195" s="225"/>
      <c r="N195" s="225"/>
      <c r="O195" s="225"/>
      <c r="P195" s="173"/>
    </row>
    <row r="197" spans="2:16" ht="15.75">
      <c r="B197" s="216" t="s">
        <v>281</v>
      </c>
      <c r="C197" s="183"/>
      <c r="D197" s="184"/>
      <c r="E197" s="184"/>
      <c r="F197" s="184"/>
      <c r="G197" s="184"/>
      <c r="H197" s="184"/>
      <c r="I197" s="184"/>
      <c r="J197" s="184"/>
      <c r="K197" s="184"/>
      <c r="L197" s="184"/>
      <c r="M197" s="184"/>
      <c r="N197" s="184"/>
      <c r="O197" s="184"/>
      <c r="P197" s="185"/>
    </row>
    <row r="198" spans="2:16">
      <c r="B198" s="190"/>
      <c r="C198" s="191"/>
      <c r="D198" s="191"/>
      <c r="E198" s="191"/>
      <c r="F198" s="191"/>
      <c r="G198" s="191"/>
      <c r="H198" s="191"/>
      <c r="I198" s="191"/>
      <c r="J198" s="191"/>
      <c r="K198" s="191"/>
      <c r="L198" s="191"/>
      <c r="M198" s="191"/>
      <c r="N198" s="191"/>
      <c r="O198" s="191"/>
      <c r="P198" s="192"/>
    </row>
    <row r="199" spans="2:16" ht="14.25">
      <c r="B199" s="193"/>
      <c r="C199" s="186" t="s">
        <v>366</v>
      </c>
      <c r="D199" s="187"/>
      <c r="E199" s="2977" t="s">
        <v>2325</v>
      </c>
      <c r="F199" s="187"/>
      <c r="G199" s="188"/>
      <c r="H199" s="187"/>
      <c r="I199" s="187"/>
      <c r="J199" s="187"/>
      <c r="K199" s="187"/>
      <c r="L199" s="187"/>
      <c r="M199" s="187"/>
      <c r="N199" s="187"/>
      <c r="O199" s="188" t="s">
        <v>368</v>
      </c>
      <c r="P199" s="194"/>
    </row>
    <row r="200" spans="2:16">
      <c r="B200" s="193"/>
      <c r="C200" s="187"/>
      <c r="D200" s="187"/>
      <c r="E200" s="187"/>
      <c r="F200" s="187"/>
      <c r="G200" s="187"/>
      <c r="H200" s="187"/>
      <c r="I200" s="187"/>
      <c r="J200" s="187"/>
      <c r="K200" s="187"/>
      <c r="L200" s="187"/>
      <c r="M200" s="187"/>
      <c r="N200" s="187"/>
      <c r="O200" s="187"/>
      <c r="P200" s="194"/>
    </row>
    <row r="201" spans="2:16" ht="15.75">
      <c r="B201" s="195"/>
      <c r="C201" s="221" t="s">
        <v>365</v>
      </c>
      <c r="D201" s="221" t="s">
        <v>337</v>
      </c>
      <c r="E201" s="221" t="s">
        <v>156</v>
      </c>
      <c r="F201" s="221" t="s">
        <v>203</v>
      </c>
      <c r="G201" s="221" t="s">
        <v>712</v>
      </c>
      <c r="H201" s="221" t="s">
        <v>713</v>
      </c>
      <c r="I201" s="221" t="s">
        <v>714</v>
      </c>
      <c r="J201" s="221" t="s">
        <v>715</v>
      </c>
      <c r="K201" s="221" t="s">
        <v>716</v>
      </c>
      <c r="L201" s="221" t="s">
        <v>717</v>
      </c>
      <c r="M201" s="221" t="s">
        <v>718</v>
      </c>
      <c r="N201" s="221" t="s">
        <v>719</v>
      </c>
      <c r="O201" s="221" t="s">
        <v>720</v>
      </c>
      <c r="P201" s="194"/>
    </row>
    <row r="202" spans="2:16" ht="15.75">
      <c r="B202" s="195"/>
      <c r="C202" s="189" t="s">
        <v>350</v>
      </c>
      <c r="D202" s="196" t="s">
        <v>358</v>
      </c>
      <c r="E202" s="189" t="str">
        <f>INDEX(IPCC[Sector_description], MATCH([IPCC Sector], IPCC[Sector_code], 0))</f>
        <v>Fugitive Emissions from Fuels</v>
      </c>
      <c r="F202" s="197">
        <f>0</f>
        <v>0</v>
      </c>
      <c r="G202" s="197">
        <f>0</f>
        <v>0</v>
      </c>
      <c r="H202" s="197">
        <f>0</f>
        <v>0</v>
      </c>
      <c r="I202" s="197">
        <f>0</f>
        <v>0</v>
      </c>
      <c r="J202" s="197">
        <f>0</f>
        <v>0</v>
      </c>
      <c r="K202" s="197">
        <f>0</f>
        <v>0</v>
      </c>
      <c r="L202" s="197">
        <f>0</f>
        <v>0</v>
      </c>
      <c r="M202" s="197">
        <f>0</f>
        <v>0</v>
      </c>
      <c r="N202" s="197">
        <f>0</f>
        <v>0</v>
      </c>
      <c r="O202" s="197">
        <f>0</f>
        <v>0</v>
      </c>
      <c r="P202" s="194"/>
    </row>
    <row r="203" spans="2:16" ht="15.75">
      <c r="B203" s="195"/>
      <c r="C203" s="189" t="s">
        <v>351</v>
      </c>
      <c r="D203" s="196" t="s">
        <v>358</v>
      </c>
      <c r="E203" s="189" t="str">
        <f>INDEX(IPCC[Sector_description], MATCH([IPCC Sector], IPCC[Sector_code], 0))</f>
        <v>Fugitive Emissions from Fuels</v>
      </c>
      <c r="F203" s="197">
        <f>0</f>
        <v>0</v>
      </c>
      <c r="G203" s="197">
        <f>0</f>
        <v>0</v>
      </c>
      <c r="H203" s="197">
        <f>0</f>
        <v>0</v>
      </c>
      <c r="I203" s="197">
        <f>0</f>
        <v>0</v>
      </c>
      <c r="J203" s="197">
        <f>0</f>
        <v>0</v>
      </c>
      <c r="K203" s="197">
        <f>0</f>
        <v>0</v>
      </c>
      <c r="L203" s="197">
        <f>0</f>
        <v>0</v>
      </c>
      <c r="M203" s="197">
        <f>0</f>
        <v>0</v>
      </c>
      <c r="N203" s="197">
        <f>0</f>
        <v>0</v>
      </c>
      <c r="O203" s="197">
        <f>0</f>
        <v>0</v>
      </c>
      <c r="P203" s="194"/>
    </row>
    <row r="204" spans="2:16" ht="15.75">
      <c r="B204" s="195"/>
      <c r="C204" s="189" t="s">
        <v>350</v>
      </c>
      <c r="D204" s="196" t="s">
        <v>359</v>
      </c>
      <c r="E204" s="189" t="str">
        <f>INDEX(IPCC[Sector_description], MATCH([IPCC Sector], IPCC[Sector_code], 0))</f>
        <v>Fuel Combustion</v>
      </c>
      <c r="F204" s="197">
        <f>0</f>
        <v>0</v>
      </c>
      <c r="G204" s="197">
        <f>0</f>
        <v>0</v>
      </c>
      <c r="H204" s="197">
        <f>0</f>
        <v>0</v>
      </c>
      <c r="I204" s="197">
        <f>0</f>
        <v>0</v>
      </c>
      <c r="J204" s="197">
        <f>0</f>
        <v>0</v>
      </c>
      <c r="K204" s="197">
        <f>0</f>
        <v>0</v>
      </c>
      <c r="L204" s="197">
        <f>0</f>
        <v>0</v>
      </c>
      <c r="M204" s="197">
        <f>0</f>
        <v>0</v>
      </c>
      <c r="N204" s="197">
        <f>0</f>
        <v>0</v>
      </c>
      <c r="O204" s="197">
        <f>0</f>
        <v>0</v>
      </c>
      <c r="P204" s="194"/>
    </row>
    <row r="205" spans="2:16" ht="15.75">
      <c r="B205" s="195"/>
      <c r="C205" s="189" t="s">
        <v>351</v>
      </c>
      <c r="D205" s="196" t="s">
        <v>359</v>
      </c>
      <c r="E205" s="189" t="str">
        <f>INDEX(IPCC[Sector_description], MATCH([IPCC Sector], IPCC[Sector_code], 0))</f>
        <v>Fuel Combustion</v>
      </c>
      <c r="F205" s="197">
        <f>0</f>
        <v>0</v>
      </c>
      <c r="G205" s="197">
        <f>0</f>
        <v>0</v>
      </c>
      <c r="H205" s="197">
        <f>0</f>
        <v>0</v>
      </c>
      <c r="I205" s="197">
        <f>0</f>
        <v>0</v>
      </c>
      <c r="J205" s="197">
        <f>0</f>
        <v>0</v>
      </c>
      <c r="K205" s="197">
        <f>0</f>
        <v>0</v>
      </c>
      <c r="L205" s="197">
        <f>0</f>
        <v>0</v>
      </c>
      <c r="M205" s="197">
        <f>0</f>
        <v>0</v>
      </c>
      <c r="N205" s="197">
        <f>0</f>
        <v>0</v>
      </c>
      <c r="O205" s="197">
        <f>0</f>
        <v>0</v>
      </c>
      <c r="P205" s="194"/>
    </row>
    <row r="206" spans="2:16" ht="15.75">
      <c r="B206" s="195"/>
      <c r="C206" s="189" t="s">
        <v>352</v>
      </c>
      <c r="D206" s="196" t="s">
        <v>359</v>
      </c>
      <c r="E206" s="189" t="str">
        <f>INDEX(IPCC[Sector_description], MATCH([IPCC Sector], IPCC[Sector_code], 0))</f>
        <v>Fuel Combustion</v>
      </c>
      <c r="F206" s="197">
        <f>0</f>
        <v>0</v>
      </c>
      <c r="G206" s="197">
        <f>0</f>
        <v>0</v>
      </c>
      <c r="H206" s="197">
        <f>0</f>
        <v>0</v>
      </c>
      <c r="I206" s="197">
        <f>0</f>
        <v>0</v>
      </c>
      <c r="J206" s="197">
        <f>0</f>
        <v>0</v>
      </c>
      <c r="K206" s="197">
        <f>0</f>
        <v>0</v>
      </c>
      <c r="L206" s="197">
        <f>0</f>
        <v>0</v>
      </c>
      <c r="M206" s="197">
        <f>0</f>
        <v>0</v>
      </c>
      <c r="N206" s="197">
        <f>0</f>
        <v>0</v>
      </c>
      <c r="O206" s="197">
        <f>0</f>
        <v>0</v>
      </c>
      <c r="P206" s="194"/>
    </row>
    <row r="207" spans="2:16" ht="15.75">
      <c r="B207" s="195"/>
      <c r="C207" s="189" t="s">
        <v>103</v>
      </c>
      <c r="D207" s="189"/>
      <c r="E207" s="189"/>
      <c r="F207" s="223">
        <f>SUBTOTAL(109,[2007])</f>
        <v>0</v>
      </c>
      <c r="G207" s="223">
        <f>SUBTOTAL(109,[2012])</f>
        <v>0</v>
      </c>
      <c r="H207" s="223">
        <f>SUBTOTAL(109,[2017])</f>
        <v>0</v>
      </c>
      <c r="I207" s="223">
        <f>SUBTOTAL(109,[2022])</f>
        <v>0</v>
      </c>
      <c r="J207" s="223">
        <f>SUBTOTAL(109,[2027])</f>
        <v>0</v>
      </c>
      <c r="K207" s="223">
        <f>SUBTOTAL(109,[2032])</f>
        <v>0</v>
      </c>
      <c r="L207" s="223">
        <f>SUBTOTAL(109,[2037])</f>
        <v>0</v>
      </c>
      <c r="M207" s="223">
        <f>SUBTOTAL(109,[2042])</f>
        <v>0</v>
      </c>
      <c r="N207" s="223">
        <f>SUBTOTAL(109,[2047])</f>
        <v>0</v>
      </c>
      <c r="O207" s="223">
        <f>SUBTOTAL(109,[2052])</f>
        <v>0</v>
      </c>
      <c r="P207" s="194"/>
    </row>
    <row r="208" spans="2:16" ht="15.75">
      <c r="B208" s="195"/>
      <c r="C208" s="187"/>
      <c r="D208" s="187"/>
      <c r="E208" s="187"/>
      <c r="F208" s="187"/>
      <c r="G208" s="187"/>
      <c r="H208" s="187"/>
      <c r="I208" s="187"/>
      <c r="J208" s="187"/>
      <c r="K208" s="187"/>
      <c r="L208" s="187"/>
      <c r="M208" s="187"/>
      <c r="N208" s="187"/>
      <c r="O208" s="187"/>
      <c r="P208" s="194"/>
    </row>
    <row r="211" spans="2:16" ht="15.75">
      <c r="B211" s="424" t="s">
        <v>501</v>
      </c>
      <c r="C211" s="346"/>
      <c r="D211" s="425"/>
      <c r="E211" s="425"/>
      <c r="F211" s="425"/>
      <c r="G211" s="425"/>
      <c r="H211" s="425"/>
      <c r="I211" s="425"/>
      <c r="J211" s="425"/>
      <c r="K211" s="425"/>
      <c r="L211" s="425"/>
      <c r="M211" s="425"/>
      <c r="N211" s="425"/>
      <c r="O211" s="425"/>
      <c r="P211" s="426"/>
    </row>
    <row r="212" spans="2:16">
      <c r="B212" s="347"/>
      <c r="C212" s="348"/>
      <c r="D212" s="348"/>
      <c r="E212" s="348"/>
      <c r="F212" s="348"/>
      <c r="G212" s="348"/>
      <c r="H212" s="348"/>
      <c r="I212" s="348"/>
      <c r="J212" s="348"/>
      <c r="K212" s="348"/>
      <c r="L212" s="348"/>
      <c r="M212" s="348"/>
      <c r="N212" s="348"/>
      <c r="O212" s="348"/>
      <c r="P212" s="349"/>
    </row>
    <row r="213" spans="2:16">
      <c r="B213" s="427"/>
      <c r="C213" s="350" t="s">
        <v>506</v>
      </c>
      <c r="D213" s="428"/>
      <c r="E213" s="351"/>
      <c r="F213" s="428"/>
      <c r="G213" s="351"/>
      <c r="H213" s="428"/>
      <c r="I213" s="428"/>
      <c r="J213" s="428"/>
      <c r="K213" s="428"/>
      <c r="L213" s="428"/>
      <c r="M213" s="428"/>
      <c r="N213" s="428"/>
      <c r="O213" s="351"/>
      <c r="P213" s="429"/>
    </row>
    <row r="214" spans="2:16">
      <c r="B214" s="427"/>
      <c r="C214" s="428"/>
      <c r="D214" s="428"/>
      <c r="E214" s="428"/>
      <c r="F214" s="428"/>
      <c r="G214" s="428"/>
      <c r="H214" s="428"/>
      <c r="I214" s="428"/>
      <c r="J214" s="428"/>
      <c r="K214" s="428"/>
      <c r="L214" s="428"/>
      <c r="M214" s="428"/>
      <c r="N214" s="428"/>
      <c r="O214" s="428"/>
      <c r="P214" s="429"/>
    </row>
    <row r="215" spans="2:16" ht="15.75">
      <c r="B215" s="430"/>
      <c r="C215" s="431" t="s">
        <v>64</v>
      </c>
      <c r="D215" s="431" t="s">
        <v>502</v>
      </c>
      <c r="E215" s="431" t="s">
        <v>156</v>
      </c>
      <c r="F215" s="431" t="s">
        <v>203</v>
      </c>
      <c r="G215" s="431" t="s">
        <v>712</v>
      </c>
      <c r="H215" s="431" t="s">
        <v>713</v>
      </c>
      <c r="I215" s="431" t="s">
        <v>714</v>
      </c>
      <c r="J215" s="431" t="s">
        <v>715</v>
      </c>
      <c r="K215" s="431" t="s">
        <v>716</v>
      </c>
      <c r="L215" s="431" t="s">
        <v>717</v>
      </c>
      <c r="M215" s="431" t="s">
        <v>718</v>
      </c>
      <c r="N215" s="431" t="s">
        <v>719</v>
      </c>
      <c r="O215" s="431" t="s">
        <v>720</v>
      </c>
      <c r="P215" s="429"/>
    </row>
    <row r="216" spans="2:16" ht="15.75">
      <c r="B216" s="430"/>
      <c r="C216" s="432" t="s">
        <v>503</v>
      </c>
      <c r="D216" s="433" t="str">
        <f>INDEX(Vectors[Description], MATCH([Vector], Vectors[Code], 0))</f>
        <v>India Land area</v>
      </c>
      <c r="E216" s="433"/>
      <c r="F216" s="354"/>
      <c r="G216" s="354"/>
      <c r="H216" s="354"/>
      <c r="I216" s="354"/>
      <c r="J216" s="354"/>
      <c r="K216" s="354"/>
      <c r="L216" s="354"/>
      <c r="M216" s="354"/>
      <c r="N216" s="354"/>
      <c r="O216" s="354"/>
      <c r="P216" s="429"/>
    </row>
    <row r="217" spans="2:16" ht="15.75">
      <c r="B217" s="430"/>
      <c r="C217" s="432" t="s">
        <v>508</v>
      </c>
      <c r="D217" s="433" t="str">
        <f>INDEX(Vectors[Description], MATCH([Vector], Vectors[Code], 0))</f>
        <v xml:space="preserve">Installed Capacity </v>
      </c>
      <c r="E217" s="433"/>
      <c r="F217" s="354"/>
      <c r="G217" s="354"/>
      <c r="H217" s="354"/>
      <c r="I217" s="354"/>
      <c r="J217" s="354"/>
      <c r="K217" s="354"/>
      <c r="L217" s="354"/>
      <c r="M217" s="354"/>
      <c r="N217" s="354"/>
      <c r="O217" s="354"/>
      <c r="P217" s="429"/>
    </row>
    <row r="218" spans="2:16" ht="15.75">
      <c r="B218" s="355"/>
      <c r="C218" s="434"/>
      <c r="D218" s="434"/>
      <c r="E218" s="434"/>
      <c r="F218" s="434"/>
      <c r="G218" s="434"/>
      <c r="H218" s="434"/>
      <c r="I218" s="434"/>
      <c r="J218" s="434"/>
      <c r="K218" s="434"/>
      <c r="L218" s="434"/>
      <c r="M218" s="434"/>
      <c r="N218" s="434"/>
      <c r="O218" s="434"/>
      <c r="P218" s="352"/>
    </row>
    <row r="221" spans="2:16" s="624" customFormat="1" ht="15.75">
      <c r="B221" s="2653"/>
    </row>
    <row r="222" spans="2:16" s="624" customFormat="1"/>
    <row r="223" spans="2:16" s="624" customFormat="1">
      <c r="C223" s="2655"/>
      <c r="D223" s="2655"/>
      <c r="E223" s="2655"/>
      <c r="F223" s="2655"/>
      <c r="G223" s="2655"/>
      <c r="H223" s="2655"/>
      <c r="I223" s="2655"/>
      <c r="J223" s="2655"/>
      <c r="K223" s="2655"/>
      <c r="L223" s="2655"/>
      <c r="M223" s="2655"/>
      <c r="N223" s="2655"/>
      <c r="O223" s="2655"/>
    </row>
    <row r="224" spans="2:16" s="624" customFormat="1">
      <c r="D224" s="946"/>
      <c r="F224" s="2654"/>
      <c r="G224" s="2654"/>
      <c r="H224" s="2654"/>
      <c r="I224" s="2654"/>
      <c r="J224" s="2654"/>
      <c r="K224" s="2654"/>
      <c r="L224" s="2654"/>
      <c r="M224" s="2654"/>
      <c r="N224" s="2654"/>
      <c r="O224" s="2654"/>
    </row>
    <row r="225" spans="4:15" s="624" customFormat="1">
      <c r="D225" s="946"/>
      <c r="F225" s="2654"/>
      <c r="G225" s="2654"/>
      <c r="H225" s="2654"/>
      <c r="I225" s="2654"/>
      <c r="J225" s="2654"/>
      <c r="K225" s="2654"/>
      <c r="L225" s="2654"/>
      <c r="M225" s="2654"/>
      <c r="N225" s="2654"/>
      <c r="O225" s="2654"/>
    </row>
    <row r="226" spans="4:15" s="624" customFormat="1">
      <c r="D226" s="946"/>
      <c r="F226" s="2654"/>
      <c r="G226" s="2654"/>
      <c r="H226" s="2654"/>
      <c r="I226" s="2654"/>
      <c r="J226" s="2654"/>
      <c r="K226" s="2654"/>
      <c r="L226" s="2654"/>
      <c r="M226" s="2654"/>
      <c r="N226" s="2654"/>
      <c r="O226" s="2654"/>
    </row>
    <row r="227" spans="4:15" s="624" customFormat="1">
      <c r="D227" s="946"/>
      <c r="F227" s="2654"/>
      <c r="G227" s="2654"/>
      <c r="H227" s="2654"/>
      <c r="I227" s="2654"/>
      <c r="J227" s="2654"/>
      <c r="K227" s="2654"/>
      <c r="L227" s="2654"/>
      <c r="M227" s="2654"/>
      <c r="N227" s="2654"/>
      <c r="O227" s="2654"/>
    </row>
    <row r="228" spans="4:15" s="624" customFormat="1">
      <c r="D228" s="946"/>
      <c r="F228" s="2654"/>
      <c r="G228" s="2654"/>
      <c r="H228" s="2654"/>
      <c r="I228" s="2654"/>
      <c r="J228" s="2654"/>
      <c r="K228" s="2654"/>
      <c r="L228" s="2654"/>
      <c r="M228" s="2654"/>
      <c r="N228" s="2654"/>
      <c r="O228" s="2654"/>
    </row>
  </sheetData>
  <mergeCells count="7">
    <mergeCell ref="G171:I171"/>
    <mergeCell ref="C69:C71"/>
    <mergeCell ref="C72:C74"/>
    <mergeCell ref="C75:C76"/>
    <mergeCell ref="C78:C79"/>
    <mergeCell ref="G163:I163"/>
    <mergeCell ref="G170:I170"/>
  </mergeCells>
  <pageMargins left="0.7" right="0.7" top="0.75" bottom="0.75" header="0.3" footer="0.3"/>
  <pageSetup paperSize="9" orientation="portrait"/>
  <legacyDrawing r:id="rId1"/>
  <tableParts count="3">
    <tablePart r:id="rId2"/>
    <tablePart r:id="rId3"/>
    <tablePart r:id="rId4"/>
  </tableParts>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sheetPr codeName="Sheet50">
    <tabColor theme="9"/>
    <outlinePr summaryBelow="0"/>
    <pageSetUpPr autoPageBreaks="0"/>
  </sheetPr>
  <dimension ref="A1:X618"/>
  <sheetViews>
    <sheetView showGridLines="0" zoomScale="85" zoomScaleNormal="85" zoomScalePageLayoutView="85" workbookViewId="0">
      <selection activeCell="D14" sqref="D14"/>
    </sheetView>
  </sheetViews>
  <sheetFormatPr defaultColWidth="8.85546875" defaultRowHeight="12.75"/>
  <cols>
    <col min="1" max="1" width="7.7109375" style="36" customWidth="1"/>
    <col min="2" max="2" width="5.85546875" style="36" customWidth="1"/>
    <col min="3" max="3" width="20.42578125" style="36" customWidth="1"/>
    <col min="4" max="4" width="30.7109375" style="36" customWidth="1"/>
    <col min="5" max="5" width="20.7109375" style="36" customWidth="1"/>
    <col min="6" max="6" width="17.7109375" style="36" customWidth="1"/>
    <col min="7" max="7" width="19.85546875" style="36" customWidth="1"/>
    <col min="8" max="15" width="17.7109375" style="36" customWidth="1"/>
    <col min="16" max="16" width="2" style="36" customWidth="1"/>
    <col min="17" max="17" width="10.85546875" style="36" customWidth="1"/>
    <col min="18" max="16384" width="8.85546875" style="36"/>
  </cols>
  <sheetData>
    <row r="1" spans="1:16" ht="21">
      <c r="A1" s="77" t="s">
        <v>308</v>
      </c>
      <c r="B1" s="77" t="str">
        <f>INDEX(Workstreams[Workstream], MATCH($A1, Workstreams[Code], 0))</f>
        <v>Fossil fuel production</v>
      </c>
      <c r="C1" s="77"/>
    </row>
    <row r="2" spans="1:16" s="51" customFormat="1" ht="19.5" customHeight="1">
      <c r="A2" s="6" t="s">
        <v>314</v>
      </c>
      <c r="B2" s="6" t="str">
        <f>INDEX(Modules[Module], MATCH($A2, Modules[Code], 0))</f>
        <v>Domestic Coal Production</v>
      </c>
      <c r="C2" s="6"/>
      <c r="E2" s="404"/>
    </row>
    <row r="3" spans="1:16" s="464" customFormat="1"/>
    <row r="4" spans="1:16" s="464" customFormat="1" ht="22.5" collapsed="1">
      <c r="A4" s="420"/>
      <c r="B4" s="206" t="s">
        <v>412</v>
      </c>
      <c r="C4" s="175"/>
      <c r="D4" s="175"/>
      <c r="E4" s="175"/>
      <c r="F4" s="175"/>
      <c r="G4" s="175"/>
      <c r="H4" s="175"/>
      <c r="I4" s="175"/>
      <c r="J4" s="175"/>
      <c r="K4" s="175"/>
      <c r="L4" s="175"/>
      <c r="M4" s="175"/>
      <c r="N4" s="175"/>
      <c r="O4" s="175"/>
      <c r="P4" s="177"/>
    </row>
    <row r="5" spans="1:16" s="464" customFormat="1">
      <c r="B5" s="164"/>
      <c r="C5" s="166"/>
      <c r="D5" s="166"/>
      <c r="E5" s="166"/>
      <c r="F5" s="166"/>
      <c r="G5" s="166"/>
      <c r="H5" s="166"/>
      <c r="I5" s="166"/>
      <c r="J5" s="166"/>
      <c r="K5" s="166"/>
      <c r="L5" s="166"/>
      <c r="M5" s="166"/>
      <c r="N5" s="166"/>
      <c r="O5" s="166"/>
      <c r="P5" s="168"/>
    </row>
    <row r="6" spans="1:16" s="464" customFormat="1" ht="5.25" customHeight="1">
      <c r="B6" s="164"/>
      <c r="C6" s="165"/>
      <c r="D6" s="166"/>
      <c r="E6" s="167"/>
      <c r="F6" s="166"/>
      <c r="G6" s="166"/>
      <c r="H6" s="166"/>
      <c r="I6" s="166"/>
      <c r="J6" s="166"/>
      <c r="K6" s="166"/>
      <c r="L6" s="166"/>
      <c r="M6" s="166"/>
      <c r="N6" s="166"/>
      <c r="O6" s="166"/>
      <c r="P6" s="168"/>
    </row>
    <row r="7" spans="1:16" s="464" customFormat="1" ht="15.75">
      <c r="B7" s="169"/>
      <c r="C7" s="166"/>
      <c r="D7" s="118" t="s">
        <v>274</v>
      </c>
      <c r="E7" s="118" t="s">
        <v>411</v>
      </c>
      <c r="F7" s="166"/>
      <c r="G7" s="166"/>
      <c r="H7" s="166"/>
      <c r="I7" s="166"/>
      <c r="J7" s="166"/>
      <c r="K7" s="166"/>
      <c r="L7" s="166"/>
      <c r="M7" s="166"/>
      <c r="N7" s="166"/>
      <c r="O7" s="166"/>
      <c r="P7" s="168"/>
    </row>
    <row r="8" spans="1:16" s="464" customFormat="1" ht="15.75">
      <c r="B8" s="169"/>
      <c r="C8" s="166"/>
      <c r="D8" s="127" t="s">
        <v>414</v>
      </c>
      <c r="E8" s="127">
        <f>xv.b.scenario</f>
        <v>1</v>
      </c>
      <c r="F8" s="166"/>
      <c r="G8" s="166"/>
      <c r="H8" s="166"/>
      <c r="I8" s="166"/>
      <c r="J8" s="166"/>
      <c r="K8" s="166"/>
      <c r="L8" s="166"/>
      <c r="M8" s="166"/>
      <c r="N8" s="166"/>
      <c r="O8" s="166"/>
      <c r="P8" s="168"/>
    </row>
    <row r="9" spans="1:16" s="464" customFormat="1">
      <c r="B9" s="182"/>
      <c r="C9" s="172"/>
      <c r="D9" s="172"/>
      <c r="E9" s="172"/>
      <c r="F9" s="172"/>
      <c r="G9" s="172"/>
      <c r="H9" s="172"/>
      <c r="I9" s="172"/>
      <c r="J9" s="172"/>
      <c r="K9" s="172"/>
      <c r="L9" s="172"/>
      <c r="M9" s="172"/>
      <c r="N9" s="172"/>
      <c r="O9" s="172"/>
      <c r="P9" s="173"/>
    </row>
    <row r="10" spans="1:16" s="452" customFormat="1"/>
    <row r="11" spans="1:16" s="51" customFormat="1" ht="22.5" collapsed="1">
      <c r="A11" s="162"/>
      <c r="B11" s="421" t="s">
        <v>413</v>
      </c>
      <c r="C11" s="159"/>
      <c r="D11" s="159"/>
      <c r="E11" s="159"/>
      <c r="F11" s="159"/>
      <c r="G11" s="159"/>
      <c r="H11" s="159"/>
      <c r="I11" s="159"/>
      <c r="J11" s="159"/>
      <c r="K11" s="159"/>
      <c r="L11" s="159"/>
      <c r="M11" s="159"/>
      <c r="N11" s="159"/>
      <c r="O11" s="159"/>
      <c r="P11" s="160"/>
    </row>
    <row r="12" spans="1:16" s="452" customFormat="1">
      <c r="B12" s="418"/>
      <c r="C12" s="415"/>
      <c r="D12" s="415"/>
      <c r="E12" s="415"/>
      <c r="F12" s="415"/>
      <c r="G12" s="415"/>
      <c r="H12" s="415"/>
      <c r="I12" s="415"/>
      <c r="J12" s="415"/>
      <c r="K12" s="415"/>
      <c r="L12" s="415"/>
      <c r="M12" s="415"/>
      <c r="N12" s="415"/>
      <c r="O12" s="415"/>
      <c r="P12" s="419"/>
    </row>
    <row r="13" spans="1:16" s="464" customFormat="1">
      <c r="B13" s="155"/>
      <c r="C13" s="417" t="s">
        <v>757</v>
      </c>
      <c r="D13" s="415"/>
      <c r="E13" s="104"/>
      <c r="F13" s="415"/>
      <c r="G13" s="415"/>
      <c r="H13" s="415"/>
      <c r="I13" s="415"/>
      <c r="J13" s="415"/>
      <c r="K13" s="415"/>
      <c r="L13" s="415"/>
      <c r="M13" s="415"/>
      <c r="N13" s="415"/>
      <c r="O13" s="104" t="str">
        <f>preferences.energyunits</f>
        <v>TWh</v>
      </c>
      <c r="P13" s="419"/>
    </row>
    <row r="14" spans="1:16" s="464" customFormat="1" ht="15.75">
      <c r="B14" s="152"/>
      <c r="C14" s="61" t="s">
        <v>411</v>
      </c>
      <c r="D14" s="61" t="s">
        <v>65</v>
      </c>
      <c r="E14" s="61" t="s">
        <v>156</v>
      </c>
      <c r="F14" s="119">
        <v>2007</v>
      </c>
      <c r="G14" s="120">
        <f>F14+5</f>
        <v>2012</v>
      </c>
      <c r="H14" s="120">
        <f t="shared" ref="H14:O14" si="0">G14+5</f>
        <v>2017</v>
      </c>
      <c r="I14" s="120">
        <f t="shared" si="0"/>
        <v>2022</v>
      </c>
      <c r="J14" s="120">
        <f t="shared" si="0"/>
        <v>2027</v>
      </c>
      <c r="K14" s="120">
        <f t="shared" si="0"/>
        <v>2032</v>
      </c>
      <c r="L14" s="120">
        <f t="shared" si="0"/>
        <v>2037</v>
      </c>
      <c r="M14" s="120">
        <f t="shared" si="0"/>
        <v>2042</v>
      </c>
      <c r="N14" s="120">
        <f t="shared" si="0"/>
        <v>2047</v>
      </c>
      <c r="O14" s="120">
        <f t="shared" si="0"/>
        <v>2052</v>
      </c>
      <c r="P14" s="419"/>
    </row>
    <row r="15" spans="1:16" s="464" customFormat="1" ht="15.75">
      <c r="B15" s="152"/>
      <c r="C15" s="413">
        <v>1</v>
      </c>
      <c r="D15" s="414"/>
      <c r="E15" s="96"/>
      <c r="F15" s="519">
        <f t="shared" ref="F15:O15" si="1">(118145)*(Unit.Mtce)</f>
        <v>549374.25</v>
      </c>
      <c r="G15" s="519">
        <f t="shared" si="1"/>
        <v>549374.25</v>
      </c>
      <c r="H15" s="519">
        <f t="shared" si="1"/>
        <v>549374.25</v>
      </c>
      <c r="I15" s="519">
        <f t="shared" si="1"/>
        <v>549374.25</v>
      </c>
      <c r="J15" s="519">
        <f t="shared" si="1"/>
        <v>549374.25</v>
      </c>
      <c r="K15" s="519">
        <f t="shared" si="1"/>
        <v>549374.25</v>
      </c>
      <c r="L15" s="519">
        <f t="shared" si="1"/>
        <v>549374.25</v>
      </c>
      <c r="M15" s="519">
        <f t="shared" si="1"/>
        <v>549374.25</v>
      </c>
      <c r="N15" s="519">
        <f t="shared" si="1"/>
        <v>549374.25</v>
      </c>
      <c r="O15" s="519">
        <f t="shared" si="1"/>
        <v>549374.25</v>
      </c>
      <c r="P15" s="419"/>
    </row>
    <row r="16" spans="1:16" s="464" customFormat="1" ht="15.75">
      <c r="B16" s="152"/>
      <c r="C16" s="413">
        <v>2</v>
      </c>
      <c r="D16" s="414"/>
      <c r="E16" s="414"/>
      <c r="F16" s="519">
        <f t="shared" ref="F16:G18" si="2">(F15)</f>
        <v>549374.25</v>
      </c>
      <c r="G16" s="519">
        <f t="shared" si="2"/>
        <v>549374.25</v>
      </c>
      <c r="H16" s="519">
        <f>(G16*(1.01)^5)</f>
        <v>577397.85801614984</v>
      </c>
      <c r="I16" s="519">
        <f t="shared" ref="I16:O16" si="3">(H16*(1.01)^5)</f>
        <v>606850.95168118633</v>
      </c>
      <c r="J16" s="519">
        <f t="shared" si="3"/>
        <v>637806.44912967633</v>
      </c>
      <c r="K16" s="519">
        <f t="shared" si="3"/>
        <v>670340.98805388412</v>
      </c>
      <c r="L16" s="519">
        <f t="shared" si="3"/>
        <v>704535.11543859623</v>
      </c>
      <c r="M16" s="519">
        <f t="shared" si="3"/>
        <v>740473.48697432829</v>
      </c>
      <c r="N16" s="519">
        <f t="shared" si="3"/>
        <v>778245.07664261037</v>
      </c>
      <c r="O16" s="519">
        <f t="shared" si="3"/>
        <v>817943.39699222823</v>
      </c>
      <c r="P16" s="419"/>
    </row>
    <row r="17" spans="2:16" s="464" customFormat="1">
      <c r="B17" s="418"/>
      <c r="C17" s="413">
        <v>3</v>
      </c>
      <c r="D17" s="414"/>
      <c r="E17" s="414"/>
      <c r="F17" s="519">
        <f t="shared" si="2"/>
        <v>549374.25</v>
      </c>
      <c r="G17" s="519">
        <f t="shared" si="2"/>
        <v>549374.25</v>
      </c>
      <c r="H17" s="519">
        <f>(G17*(1.013)^5)</f>
        <v>586024.16714214091</v>
      </c>
      <c r="I17" s="519">
        <f t="shared" ref="I17:O17" si="4">(H17*(1.013)^5)</f>
        <v>625119.07770457002</v>
      </c>
      <c r="J17" s="519">
        <f t="shared" si="4"/>
        <v>666822.09236505697</v>
      </c>
      <c r="K17" s="519">
        <f t="shared" si="4"/>
        <v>711307.20325936691</v>
      </c>
      <c r="L17" s="519">
        <f t="shared" si="4"/>
        <v>758760.00990631804</v>
      </c>
      <c r="M17" s="519">
        <f t="shared" si="4"/>
        <v>809378.49356083327</v>
      </c>
      <c r="N17" s="519">
        <f t="shared" si="4"/>
        <v>863373.8432257208</v>
      </c>
      <c r="O17" s="519">
        <f t="shared" si="4"/>
        <v>920971.33676844591</v>
      </c>
      <c r="P17" s="415"/>
    </row>
    <row r="18" spans="2:16" s="464" customFormat="1">
      <c r="B18" s="155"/>
      <c r="C18" s="411">
        <v>4</v>
      </c>
      <c r="D18" s="65"/>
      <c r="E18" s="65"/>
      <c r="F18" s="519">
        <f t="shared" si="2"/>
        <v>549374.25</v>
      </c>
      <c r="G18" s="519">
        <f t="shared" si="2"/>
        <v>549374.25</v>
      </c>
      <c r="H18" s="519">
        <f>(G18*(1.015)^5)</f>
        <v>591832.09167097521</v>
      </c>
      <c r="I18" s="519">
        <f t="shared" ref="I18:O18" si="5">(H18*(1.015)^5)</f>
        <v>637571.24534257222</v>
      </c>
      <c r="J18" s="519">
        <f t="shared" si="5"/>
        <v>686845.30394419294</v>
      </c>
      <c r="K18" s="519">
        <f t="shared" si="5"/>
        <v>739927.45908218017</v>
      </c>
      <c r="L18" s="519">
        <f t="shared" si="5"/>
        <v>797112.01570404263</v>
      </c>
      <c r="M18" s="519">
        <f t="shared" si="5"/>
        <v>858716.02382199524</v>
      </c>
      <c r="N18" s="519">
        <f t="shared" si="5"/>
        <v>925081.03634262877</v>
      </c>
      <c r="O18" s="519">
        <f t="shared" si="5"/>
        <v>996575.00274869346</v>
      </c>
      <c r="P18" s="519"/>
    </row>
    <row r="19" spans="2:16" s="464" customFormat="1" ht="19.5" customHeight="1">
      <c r="B19" s="155"/>
      <c r="C19" s="406" t="s">
        <v>406</v>
      </c>
      <c r="D19" s="407"/>
      <c r="E19" s="407"/>
      <c r="F19" s="586">
        <f>(INDEX(F$15:F$18,ROUNDDOWN($E$8,0))*(1-MOD($E$8,1)))+(INDEX(F$15:F$18,ROUNDUP($E$8,0))*MOD($E$8,1))</f>
        <v>549374.25</v>
      </c>
      <c r="G19" s="586">
        <f t="shared" ref="G19:O19" si="6">(INDEX(G$15:G$18,ROUNDDOWN($E$8,0))*(1-MOD($E$8,1)))+(INDEX(G$15:G$18,ROUNDUP($E$8,0))*MOD($E$8,1))</f>
        <v>549374.25</v>
      </c>
      <c r="H19" s="586">
        <f t="shared" si="6"/>
        <v>549374.25</v>
      </c>
      <c r="I19" s="586">
        <f t="shared" si="6"/>
        <v>549374.25</v>
      </c>
      <c r="J19" s="586">
        <f t="shared" si="6"/>
        <v>549374.25</v>
      </c>
      <c r="K19" s="586">
        <f t="shared" si="6"/>
        <v>549374.25</v>
      </c>
      <c r="L19" s="586">
        <f t="shared" si="6"/>
        <v>549374.25</v>
      </c>
      <c r="M19" s="586">
        <f t="shared" si="6"/>
        <v>549374.25</v>
      </c>
      <c r="N19" s="586">
        <f t="shared" si="6"/>
        <v>549374.25</v>
      </c>
      <c r="O19" s="586">
        <f t="shared" si="6"/>
        <v>549374.25</v>
      </c>
      <c r="P19" s="408"/>
    </row>
    <row r="20" spans="2:16" s="464" customFormat="1">
      <c r="B20" s="418"/>
      <c r="C20" s="415"/>
      <c r="D20" s="415"/>
      <c r="E20" s="415"/>
      <c r="F20" s="415"/>
      <c r="G20" s="415"/>
      <c r="H20" s="415"/>
      <c r="I20" s="415"/>
      <c r="J20" s="415"/>
      <c r="K20" s="415"/>
      <c r="L20" s="415"/>
      <c r="M20" s="415"/>
      <c r="N20" s="415"/>
      <c r="O20" s="415"/>
      <c r="P20" s="419"/>
    </row>
    <row r="21" spans="2:16" s="577" customFormat="1">
      <c r="B21" s="418"/>
      <c r="C21" s="417" t="s">
        <v>758</v>
      </c>
      <c r="D21" s="415"/>
      <c r="E21" s="104"/>
      <c r="F21" s="415"/>
      <c r="G21" s="415">
        <f>46*2.8</f>
        <v>128.79999999999998</v>
      </c>
      <c r="H21" s="415"/>
      <c r="I21" s="415"/>
      <c r="J21" s="415"/>
      <c r="K21" s="415"/>
      <c r="L21" s="415"/>
      <c r="M21" s="415"/>
      <c r="N21" s="415"/>
      <c r="O21" s="104" t="str">
        <f>preferences.energyunits</f>
        <v>TWh</v>
      </c>
      <c r="P21" s="419"/>
    </row>
    <row r="22" spans="2:16" s="577" customFormat="1">
      <c r="B22" s="418"/>
      <c r="C22" s="61"/>
      <c r="D22" s="61" t="s">
        <v>65</v>
      </c>
      <c r="E22" s="61" t="s">
        <v>156</v>
      </c>
      <c r="F22" s="119">
        <v>2007</v>
      </c>
      <c r="G22" s="120">
        <f t="shared" ref="G22:O22" si="7">F22+5</f>
        <v>2012</v>
      </c>
      <c r="H22" s="120">
        <f t="shared" si="7"/>
        <v>2017</v>
      </c>
      <c r="I22" s="120">
        <f t="shared" si="7"/>
        <v>2022</v>
      </c>
      <c r="J22" s="120">
        <f t="shared" si="7"/>
        <v>2027</v>
      </c>
      <c r="K22" s="120">
        <f t="shared" si="7"/>
        <v>2032</v>
      </c>
      <c r="L22" s="120">
        <f t="shared" si="7"/>
        <v>2037</v>
      </c>
      <c r="M22" s="120">
        <f t="shared" si="7"/>
        <v>2042</v>
      </c>
      <c r="N22" s="120">
        <f t="shared" si="7"/>
        <v>2047</v>
      </c>
      <c r="O22" s="120">
        <f t="shared" si="7"/>
        <v>2052</v>
      </c>
      <c r="P22" s="419"/>
    </row>
    <row r="23" spans="2:16" s="577" customFormat="1">
      <c r="B23" s="418"/>
      <c r="C23" s="413"/>
      <c r="D23" s="414"/>
      <c r="E23" s="96"/>
      <c r="F23" s="519">
        <f t="shared" ref="F23:O23" si="8">6146*unit.mtle</f>
        <v>20478.441269999999</v>
      </c>
      <c r="G23" s="519">
        <f t="shared" si="8"/>
        <v>20478.441269999999</v>
      </c>
      <c r="H23" s="519">
        <f t="shared" si="8"/>
        <v>20478.441269999999</v>
      </c>
      <c r="I23" s="519">
        <f t="shared" si="8"/>
        <v>20478.441269999999</v>
      </c>
      <c r="J23" s="519">
        <f t="shared" si="8"/>
        <v>20478.441269999999</v>
      </c>
      <c r="K23" s="519">
        <f t="shared" si="8"/>
        <v>20478.441269999999</v>
      </c>
      <c r="L23" s="519">
        <f t="shared" si="8"/>
        <v>20478.441269999999</v>
      </c>
      <c r="M23" s="519">
        <f t="shared" si="8"/>
        <v>20478.441269999999</v>
      </c>
      <c r="N23" s="519">
        <f t="shared" si="8"/>
        <v>20478.441269999999</v>
      </c>
      <c r="O23" s="519">
        <f t="shared" si="8"/>
        <v>20478.441269999999</v>
      </c>
      <c r="P23" s="419"/>
    </row>
    <row r="24" spans="2:16" s="577" customFormat="1">
      <c r="B24" s="418"/>
      <c r="C24" s="228"/>
      <c r="D24" s="228"/>
      <c r="E24" s="228"/>
      <c r="F24" s="228"/>
      <c r="G24" s="228"/>
      <c r="H24" s="228"/>
      <c r="I24" s="228"/>
      <c r="J24" s="228"/>
      <c r="K24" s="228"/>
      <c r="L24" s="228"/>
      <c r="M24" s="228"/>
      <c r="N24" s="228"/>
      <c r="O24" s="228"/>
      <c r="P24" s="419"/>
    </row>
    <row r="25" spans="2:16" s="577" customFormat="1">
      <c r="B25" s="418"/>
      <c r="C25" s="415"/>
      <c r="D25" s="415"/>
      <c r="E25" s="415"/>
      <c r="F25" s="415"/>
      <c r="G25" s="415"/>
      <c r="H25" s="415"/>
      <c r="I25" s="415"/>
      <c r="J25" s="415"/>
      <c r="K25" s="415"/>
      <c r="L25" s="415"/>
      <c r="M25" s="415"/>
      <c r="N25" s="415"/>
      <c r="O25" s="415"/>
      <c r="P25" s="419"/>
    </row>
    <row r="26" spans="2:16" s="577" customFormat="1">
      <c r="B26" s="418"/>
      <c r="C26" s="415"/>
      <c r="D26" s="415"/>
      <c r="E26" s="415"/>
      <c r="F26" s="415"/>
      <c r="G26" s="415"/>
      <c r="H26" s="415"/>
      <c r="I26" s="415"/>
      <c r="J26" s="415"/>
      <c r="K26" s="415"/>
      <c r="L26" s="415"/>
      <c r="M26" s="415"/>
      <c r="N26" s="415"/>
      <c r="O26" s="415"/>
      <c r="P26" s="419"/>
    </row>
    <row r="27" spans="2:16" s="577" customFormat="1">
      <c r="B27" s="418"/>
      <c r="C27" s="417" t="s">
        <v>759</v>
      </c>
      <c r="D27" s="415"/>
      <c r="E27" s="104"/>
      <c r="F27" s="415"/>
      <c r="G27" s="415"/>
      <c r="H27" s="415"/>
      <c r="I27" s="415"/>
      <c r="J27" s="415"/>
      <c r="K27" s="415"/>
      <c r="L27" s="415"/>
      <c r="M27" s="415"/>
      <c r="N27" s="415"/>
      <c r="O27" s="104" t="str">
        <f>preferences.energyunits</f>
        <v>TWh</v>
      </c>
      <c r="P27" s="419"/>
    </row>
    <row r="28" spans="2:16" s="577" customFormat="1">
      <c r="B28" s="418"/>
      <c r="C28" s="61" t="s">
        <v>411</v>
      </c>
      <c r="D28" s="61" t="s">
        <v>65</v>
      </c>
      <c r="E28" s="61" t="s">
        <v>156</v>
      </c>
      <c r="F28" s="119">
        <v>2007</v>
      </c>
      <c r="G28" s="120">
        <f t="shared" ref="G28:O28" si="9">F28+5</f>
        <v>2012</v>
      </c>
      <c r="H28" s="120">
        <f t="shared" si="9"/>
        <v>2017</v>
      </c>
      <c r="I28" s="120">
        <f t="shared" si="9"/>
        <v>2022</v>
      </c>
      <c r="J28" s="120">
        <f t="shared" si="9"/>
        <v>2027</v>
      </c>
      <c r="K28" s="120">
        <f t="shared" si="9"/>
        <v>2032</v>
      </c>
      <c r="L28" s="120">
        <f t="shared" si="9"/>
        <v>2037</v>
      </c>
      <c r="M28" s="120">
        <f t="shared" si="9"/>
        <v>2042</v>
      </c>
      <c r="N28" s="120">
        <f t="shared" si="9"/>
        <v>2047</v>
      </c>
      <c r="O28" s="120">
        <f t="shared" si="9"/>
        <v>2052</v>
      </c>
      <c r="P28" s="419"/>
    </row>
    <row r="29" spans="2:16" s="577" customFormat="1">
      <c r="B29" s="418"/>
      <c r="C29" s="413">
        <v>1</v>
      </c>
      <c r="D29" s="414"/>
      <c r="E29" s="96"/>
      <c r="F29" s="541">
        <f>F$23+F15</f>
        <v>569852.69126999995</v>
      </c>
      <c r="G29" s="590">
        <f t="shared" ref="G29:O29" si="10">G$23+G15</f>
        <v>569852.69126999995</v>
      </c>
      <c r="H29" s="541">
        <f t="shared" si="10"/>
        <v>569852.69126999995</v>
      </c>
      <c r="I29" s="590">
        <f t="shared" si="10"/>
        <v>569852.69126999995</v>
      </c>
      <c r="J29" s="541">
        <f t="shared" si="10"/>
        <v>569852.69126999995</v>
      </c>
      <c r="K29" s="590">
        <f t="shared" si="10"/>
        <v>569852.69126999995</v>
      </c>
      <c r="L29" s="541">
        <f t="shared" si="10"/>
        <v>569852.69126999995</v>
      </c>
      <c r="M29" s="590">
        <f t="shared" si="10"/>
        <v>569852.69126999995</v>
      </c>
      <c r="N29" s="541">
        <f t="shared" si="10"/>
        <v>569852.69126999995</v>
      </c>
      <c r="O29" s="590">
        <f t="shared" si="10"/>
        <v>569852.69126999995</v>
      </c>
      <c r="P29" s="419"/>
    </row>
    <row r="30" spans="2:16" s="577" customFormat="1">
      <c r="B30" s="418"/>
      <c r="C30" s="413">
        <v>2</v>
      </c>
      <c r="D30" s="414"/>
      <c r="E30" s="414"/>
      <c r="F30" s="541">
        <f t="shared" ref="F30:O30" si="11">F$23+F16</f>
        <v>569852.69126999995</v>
      </c>
      <c r="G30" s="541">
        <f t="shared" si="11"/>
        <v>569852.69126999995</v>
      </c>
      <c r="H30" s="541">
        <f t="shared" si="11"/>
        <v>597876.29928614979</v>
      </c>
      <c r="I30" s="541">
        <f t="shared" si="11"/>
        <v>627329.39295118628</v>
      </c>
      <c r="J30" s="541">
        <f t="shared" si="11"/>
        <v>658284.89039967628</v>
      </c>
      <c r="K30" s="541">
        <f t="shared" si="11"/>
        <v>690819.42932388408</v>
      </c>
      <c r="L30" s="541">
        <f t="shared" si="11"/>
        <v>725013.55670859618</v>
      </c>
      <c r="M30" s="541">
        <f t="shared" si="11"/>
        <v>760951.92824432824</v>
      </c>
      <c r="N30" s="541">
        <f t="shared" si="11"/>
        <v>798723.51791261032</v>
      </c>
      <c r="O30" s="541">
        <f t="shared" si="11"/>
        <v>838421.83826222818</v>
      </c>
      <c r="P30" s="419"/>
    </row>
    <row r="31" spans="2:16" s="577" customFormat="1">
      <c r="B31" s="418"/>
      <c r="C31" s="413">
        <v>3</v>
      </c>
      <c r="D31" s="414"/>
      <c r="E31" s="414"/>
      <c r="F31" s="541">
        <f t="shared" ref="F31:O31" si="12">F$23+F17</f>
        <v>569852.69126999995</v>
      </c>
      <c r="G31" s="590">
        <f t="shared" si="12"/>
        <v>569852.69126999995</v>
      </c>
      <c r="H31" s="541">
        <f t="shared" si="12"/>
        <v>606502.60841214086</v>
      </c>
      <c r="I31" s="590">
        <f t="shared" si="12"/>
        <v>645597.51897456998</v>
      </c>
      <c r="J31" s="541">
        <f t="shared" si="12"/>
        <v>687300.53363505693</v>
      </c>
      <c r="K31" s="590">
        <f t="shared" si="12"/>
        <v>731785.64452936687</v>
      </c>
      <c r="L31" s="541">
        <f t="shared" si="12"/>
        <v>779238.45117631799</v>
      </c>
      <c r="M31" s="590">
        <f t="shared" si="12"/>
        <v>829856.93483083323</v>
      </c>
      <c r="N31" s="541">
        <f t="shared" si="12"/>
        <v>883852.28449572076</v>
      </c>
      <c r="O31" s="590">
        <f t="shared" si="12"/>
        <v>941449.77803844586</v>
      </c>
      <c r="P31" s="419"/>
    </row>
    <row r="32" spans="2:16" s="577" customFormat="1">
      <c r="B32" s="418"/>
      <c r="C32" s="411">
        <v>4</v>
      </c>
      <c r="D32" s="65"/>
      <c r="E32" s="65"/>
      <c r="F32" s="541">
        <f t="shared" ref="F32:O32" si="13">F$23+F18</f>
        <v>569852.69126999995</v>
      </c>
      <c r="G32" s="541">
        <f t="shared" si="13"/>
        <v>569852.69126999995</v>
      </c>
      <c r="H32" s="541">
        <f t="shared" si="13"/>
        <v>612310.53294097516</v>
      </c>
      <c r="I32" s="541">
        <f t="shared" si="13"/>
        <v>658049.68661257217</v>
      </c>
      <c r="J32" s="541">
        <f t="shared" si="13"/>
        <v>707323.7452141929</v>
      </c>
      <c r="K32" s="541">
        <f t="shared" si="13"/>
        <v>760405.90035218012</v>
      </c>
      <c r="L32" s="541">
        <f t="shared" si="13"/>
        <v>817590.45697404258</v>
      </c>
      <c r="M32" s="541">
        <f t="shared" si="13"/>
        <v>879194.4650919952</v>
      </c>
      <c r="N32" s="541">
        <f t="shared" si="13"/>
        <v>945559.47761262872</v>
      </c>
      <c r="O32" s="541">
        <f t="shared" si="13"/>
        <v>1017053.4440186934</v>
      </c>
      <c r="P32" s="419"/>
    </row>
    <row r="33" spans="2:16" s="577" customFormat="1">
      <c r="B33" s="418"/>
      <c r="C33" s="406" t="s">
        <v>406</v>
      </c>
      <c r="D33" s="407"/>
      <c r="E33" s="407"/>
      <c r="F33" s="592">
        <f>(INDEX(F$29:F$32,ROUNDDOWN($E$8,0))*(1-MOD($E$8,1)))+(INDEX(F$29:F$32,ROUNDUP($E$8,0))*MOD($E$8,1))</f>
        <v>569852.69126999995</v>
      </c>
      <c r="G33" s="592">
        <f t="shared" ref="G33:O33" si="14">(INDEX(G$29:G$32,ROUNDDOWN($E$8,0))*(1-MOD($E$8,1)))+(INDEX(G$29:G$32,ROUNDUP($E$8,0))*MOD($E$8,1))</f>
        <v>569852.69126999995</v>
      </c>
      <c r="H33" s="592">
        <f t="shared" si="14"/>
        <v>569852.69126999995</v>
      </c>
      <c r="I33" s="592">
        <f t="shared" si="14"/>
        <v>569852.69126999995</v>
      </c>
      <c r="J33" s="592">
        <f t="shared" si="14"/>
        <v>569852.69126999995</v>
      </c>
      <c r="K33" s="592">
        <f t="shared" si="14"/>
        <v>569852.69126999995</v>
      </c>
      <c r="L33" s="592">
        <f t="shared" si="14"/>
        <v>569852.69126999995</v>
      </c>
      <c r="M33" s="592">
        <f t="shared" si="14"/>
        <v>569852.69126999995</v>
      </c>
      <c r="N33" s="592">
        <f t="shared" si="14"/>
        <v>569852.69126999995</v>
      </c>
      <c r="O33" s="592">
        <f t="shared" si="14"/>
        <v>569852.69126999995</v>
      </c>
      <c r="P33" s="419"/>
    </row>
    <row r="34" spans="2:16" s="577" customFormat="1">
      <c r="B34" s="418"/>
      <c r="C34" s="415"/>
      <c r="D34" s="415"/>
      <c r="E34" s="415"/>
      <c r="F34" s="415"/>
      <c r="G34" s="415"/>
      <c r="H34" s="415"/>
      <c r="I34" s="415"/>
      <c r="J34" s="415"/>
      <c r="K34" s="415"/>
      <c r="L34" s="415"/>
      <c r="M34" s="415"/>
      <c r="N34" s="415"/>
      <c r="O34" s="415"/>
      <c r="P34" s="419"/>
    </row>
    <row r="35" spans="2:16" s="577" customFormat="1">
      <c r="B35" s="418"/>
      <c r="C35" s="415"/>
      <c r="D35" s="415"/>
      <c r="E35" s="415"/>
      <c r="F35" s="415"/>
      <c r="G35" s="415"/>
      <c r="H35" s="415"/>
      <c r="I35" s="415"/>
      <c r="J35" s="415"/>
      <c r="K35" s="415"/>
      <c r="L35" s="415"/>
      <c r="M35" s="415"/>
      <c r="N35" s="415"/>
      <c r="O35" s="415"/>
      <c r="P35" s="419"/>
    </row>
    <row r="36" spans="2:16" s="577" customFormat="1">
      <c r="B36" s="418"/>
      <c r="C36" s="1884" t="s">
        <v>760</v>
      </c>
      <c r="D36" s="415"/>
      <c r="E36" s="415"/>
      <c r="F36" s="415"/>
      <c r="G36" s="415"/>
      <c r="H36" s="415"/>
      <c r="I36" s="415"/>
      <c r="J36" s="415"/>
      <c r="K36" s="415"/>
      <c r="L36" s="415"/>
      <c r="M36" s="415"/>
      <c r="N36" s="415"/>
      <c r="O36" s="415"/>
      <c r="P36" s="419"/>
    </row>
    <row r="37" spans="2:16" s="577" customFormat="1">
      <c r="B37" s="418"/>
      <c r="C37" s="415"/>
      <c r="D37" s="415"/>
      <c r="E37" s="415"/>
      <c r="F37" s="415"/>
      <c r="G37" s="415"/>
      <c r="H37" s="415"/>
      <c r="I37" s="415"/>
      <c r="J37" s="415"/>
      <c r="K37" s="415"/>
      <c r="L37" s="415"/>
      <c r="M37" s="415"/>
      <c r="N37" s="415"/>
      <c r="O37" s="415"/>
      <c r="P37" s="419"/>
    </row>
    <row r="38" spans="2:16" s="577" customFormat="1">
      <c r="B38" s="418"/>
      <c r="C38" s="61" t="s">
        <v>411</v>
      </c>
      <c r="D38" s="61" t="s">
        <v>65</v>
      </c>
      <c r="E38" s="61" t="s">
        <v>156</v>
      </c>
      <c r="F38" s="119">
        <v>2007</v>
      </c>
      <c r="G38" s="120">
        <f t="shared" ref="G38:O38" si="15">F38+5</f>
        <v>2012</v>
      </c>
      <c r="H38" s="120">
        <f t="shared" si="15"/>
        <v>2017</v>
      </c>
      <c r="I38" s="120">
        <f t="shared" si="15"/>
        <v>2022</v>
      </c>
      <c r="J38" s="120">
        <f t="shared" si="15"/>
        <v>2027</v>
      </c>
      <c r="K38" s="120">
        <f t="shared" si="15"/>
        <v>2032</v>
      </c>
      <c r="L38" s="120">
        <f t="shared" si="15"/>
        <v>2037</v>
      </c>
      <c r="M38" s="122">
        <f t="shared" si="15"/>
        <v>2042</v>
      </c>
      <c r="N38" s="122">
        <f t="shared" si="15"/>
        <v>2047</v>
      </c>
      <c r="O38" s="120">
        <f t="shared" si="15"/>
        <v>2052</v>
      </c>
      <c r="P38" s="419"/>
    </row>
    <row r="39" spans="2:16" s="577" customFormat="1">
      <c r="B39" s="418"/>
      <c r="C39" s="413">
        <v>1</v>
      </c>
      <c r="D39" s="414"/>
      <c r="E39" s="96"/>
      <c r="F39" s="218">
        <v>0.34604213451071442</v>
      </c>
      <c r="G39" s="251">
        <v>0.34604213451071442</v>
      </c>
      <c r="H39" s="218">
        <f>G39*(($N39/$G39)^(1/35))</f>
        <v>0.34604206382410435</v>
      </c>
      <c r="I39" s="218">
        <f>H39*(($N39/$G39)^(1/35))</f>
        <v>0.34604199313750872</v>
      </c>
      <c r="J39" s="218">
        <f>I39*(($N39/$G39)^(1/35))</f>
        <v>0.34604192245092752</v>
      </c>
      <c r="K39" s="218">
        <f>J39*(($N39/$G39)^(1/35))</f>
        <v>0.34604185176436081</v>
      </c>
      <c r="L39" s="218">
        <f>K39*(($N39/$G39)^(1/35))</f>
        <v>0.34604178107780853</v>
      </c>
      <c r="M39" s="2818">
        <v>0.34604213451071442</v>
      </c>
      <c r="N39" s="2819">
        <v>0.34603966048795343</v>
      </c>
      <c r="O39" s="2916">
        <v>0.34604213451071442</v>
      </c>
      <c r="P39" s="419"/>
    </row>
    <row r="40" spans="2:16" s="577" customFormat="1">
      <c r="B40" s="418"/>
      <c r="C40" s="413">
        <v>2</v>
      </c>
      <c r="D40" s="414"/>
      <c r="E40" s="414"/>
      <c r="F40" s="218">
        <v>0.34604213451071442</v>
      </c>
      <c r="G40" s="218">
        <v>0.34604213451071442</v>
      </c>
      <c r="H40" s="218">
        <f t="shared" ref="H40:M42" si="16">G40*(($N40/$G40)^(1/35))</f>
        <v>0.3474788040201397</v>
      </c>
      <c r="I40" s="218">
        <f t="shared" si="16"/>
        <v>0.3489214381768535</v>
      </c>
      <c r="J40" s="218">
        <f t="shared" si="16"/>
        <v>0.35037006174439189</v>
      </c>
      <c r="K40" s="218">
        <f t="shared" si="16"/>
        <v>0.35182469958910223</v>
      </c>
      <c r="L40" s="218">
        <f t="shared" si="16"/>
        <v>0.35328537668056992</v>
      </c>
      <c r="M40" s="218">
        <f t="shared" si="16"/>
        <v>0.35475211809204704</v>
      </c>
      <c r="N40" s="600">
        <v>0.40004213451071441</v>
      </c>
      <c r="O40" s="2917">
        <f>37.1%</f>
        <v>0.371</v>
      </c>
      <c r="P40" s="419"/>
    </row>
    <row r="41" spans="2:16" s="577" customFormat="1">
      <c r="B41" s="418"/>
      <c r="C41" s="413">
        <v>3</v>
      </c>
      <c r="D41" s="414"/>
      <c r="E41" s="414"/>
      <c r="F41" s="218">
        <v>0.34604213451071442</v>
      </c>
      <c r="G41" s="251">
        <v>0.34604213451071442</v>
      </c>
      <c r="H41" s="218">
        <f t="shared" si="16"/>
        <v>0.34865000316385547</v>
      </c>
      <c r="I41" s="218">
        <f t="shared" si="16"/>
        <v>0.35127752543207336</v>
      </c>
      <c r="J41" s="218">
        <f t="shared" si="16"/>
        <v>0.35392484943041413</v>
      </c>
      <c r="K41" s="218">
        <f t="shared" si="16"/>
        <v>0.35659212439015947</v>
      </c>
      <c r="L41" s="218">
        <f t="shared" si="16"/>
        <v>0.35927950066723907</v>
      </c>
      <c r="M41" s="218">
        <f t="shared" si="16"/>
        <v>0.36198712975070624</v>
      </c>
      <c r="N41" s="600">
        <v>0.4500421345107144</v>
      </c>
      <c r="O41" s="2916">
        <v>0.39604213451071441</v>
      </c>
      <c r="P41" s="419"/>
    </row>
    <row r="42" spans="2:16" s="577" customFormat="1">
      <c r="B42" s="418"/>
      <c r="C42" s="411">
        <v>4</v>
      </c>
      <c r="D42" s="65"/>
      <c r="E42" s="414"/>
      <c r="F42" s="218">
        <v>0.34604213451071442</v>
      </c>
      <c r="G42" s="218">
        <v>0.34604213451071442</v>
      </c>
      <c r="H42" s="218">
        <f t="shared" si="16"/>
        <v>0.34970103218399412</v>
      </c>
      <c r="I42" s="218">
        <f t="shared" si="16"/>
        <v>0.35339861743560141</v>
      </c>
      <c r="J42" s="218">
        <f t="shared" si="16"/>
        <v>0.3571352993310119</v>
      </c>
      <c r="K42" s="218">
        <f t="shared" si="16"/>
        <v>0.36091149126097999</v>
      </c>
      <c r="L42" s="218">
        <f t="shared" si="16"/>
        <v>0.36472761098727252</v>
      </c>
      <c r="M42" s="844">
        <f t="shared" si="16"/>
        <v>0.36858408068888593</v>
      </c>
      <c r="N42" s="2820">
        <v>0.50004213451071444</v>
      </c>
      <c r="O42" s="2917">
        <v>0.42104213451071443</v>
      </c>
      <c r="P42" s="419"/>
    </row>
    <row r="43" spans="2:16" s="577" customFormat="1">
      <c r="B43" s="418"/>
      <c r="C43" s="406" t="s">
        <v>406</v>
      </c>
      <c r="D43" s="407"/>
      <c r="E43" s="516"/>
      <c r="F43" s="591">
        <f>(INDEX(F$39:F$42,ROUNDDOWN($E$8,0))*(1-MOD($E$8,1)))+(INDEX(F$39:F$42,ROUNDUP($E$8,0))*MOD($E$8,1))</f>
        <v>0.34604213451071442</v>
      </c>
      <c r="G43" s="591">
        <f t="shared" ref="G43:O43" si="17">(INDEX(G$39:G$42,ROUNDDOWN($E$8,0))*(1-MOD($E$8,1)))+(INDEX(G$39:G$42,ROUNDUP($E$8,0))*MOD($E$8,1))</f>
        <v>0.34604213451071442</v>
      </c>
      <c r="H43" s="591">
        <f t="shared" si="17"/>
        <v>0.34604206382410435</v>
      </c>
      <c r="I43" s="591">
        <f t="shared" si="17"/>
        <v>0.34604199313750872</v>
      </c>
      <c r="J43" s="591">
        <f t="shared" si="17"/>
        <v>0.34604192245092752</v>
      </c>
      <c r="K43" s="591">
        <f t="shared" si="17"/>
        <v>0.34604185176436081</v>
      </c>
      <c r="L43" s="591">
        <f t="shared" si="17"/>
        <v>0.34604178107780853</v>
      </c>
      <c r="M43" s="844">
        <f t="shared" si="17"/>
        <v>0.34604213451071442</v>
      </c>
      <c r="N43" s="844">
        <f t="shared" si="17"/>
        <v>0.34603966048795343</v>
      </c>
      <c r="O43" s="591">
        <f t="shared" si="17"/>
        <v>0.34604213451071442</v>
      </c>
      <c r="P43" s="419"/>
    </row>
    <row r="44" spans="2:16" s="577" customFormat="1">
      <c r="B44" s="418"/>
      <c r="C44" s="415"/>
      <c r="D44" s="415"/>
      <c r="E44" s="415"/>
      <c r="F44" s="415"/>
      <c r="G44" s="415"/>
      <c r="H44" s="415"/>
      <c r="I44" s="415"/>
      <c r="J44" s="415"/>
      <c r="K44" s="415"/>
      <c r="L44" s="415"/>
      <c r="M44" s="415"/>
      <c r="N44" s="415"/>
      <c r="O44" s="415"/>
      <c r="P44" s="419"/>
    </row>
    <row r="45" spans="2:16" s="577" customFormat="1">
      <c r="B45" s="418"/>
      <c r="C45" s="417" t="s">
        <v>761</v>
      </c>
      <c r="D45" s="415"/>
      <c r="E45" s="415"/>
      <c r="F45" s="415"/>
      <c r="G45" s="415"/>
      <c r="H45" s="415"/>
      <c r="I45" s="415"/>
      <c r="J45" s="415"/>
      <c r="K45" s="415"/>
      <c r="L45" s="415"/>
      <c r="M45" s="415"/>
      <c r="N45" s="415"/>
      <c r="O45" s="415"/>
      <c r="P45" s="419"/>
    </row>
    <row r="46" spans="2:16" s="577" customFormat="1">
      <c r="B46" s="418"/>
      <c r="C46" s="202"/>
      <c r="D46" s="105"/>
      <c r="E46" s="104"/>
      <c r="F46" s="415"/>
      <c r="G46" s="415"/>
      <c r="H46" s="415"/>
      <c r="I46" s="415"/>
      <c r="J46" s="415"/>
      <c r="K46" s="415"/>
      <c r="L46" s="415"/>
      <c r="M46" s="415"/>
      <c r="N46" s="415"/>
      <c r="O46" s="104" t="str">
        <f>preferences.energyunits&amp;"/year"</f>
        <v>TWh/year</v>
      </c>
      <c r="P46" s="419"/>
    </row>
    <row r="47" spans="2:16" s="577" customFormat="1">
      <c r="B47" s="418"/>
      <c r="C47" s="61" t="s">
        <v>411</v>
      </c>
      <c r="D47" s="61" t="s">
        <v>65</v>
      </c>
      <c r="E47" s="61" t="s">
        <v>156</v>
      </c>
      <c r="F47" s="119">
        <v>2007</v>
      </c>
      <c r="G47" s="120">
        <f t="shared" ref="G47:O47" si="18">F47+5</f>
        <v>2012</v>
      </c>
      <c r="H47" s="120">
        <f t="shared" si="18"/>
        <v>2017</v>
      </c>
      <c r="I47" s="120">
        <f t="shared" si="18"/>
        <v>2022</v>
      </c>
      <c r="J47" s="120">
        <f t="shared" si="18"/>
        <v>2027</v>
      </c>
      <c r="K47" s="120">
        <f t="shared" si="18"/>
        <v>2032</v>
      </c>
      <c r="L47" s="120">
        <f t="shared" si="18"/>
        <v>2037</v>
      </c>
      <c r="M47" s="120">
        <f t="shared" si="18"/>
        <v>2042</v>
      </c>
      <c r="N47" s="120">
        <f t="shared" si="18"/>
        <v>2047</v>
      </c>
      <c r="O47" s="120">
        <f t="shared" si="18"/>
        <v>2052</v>
      </c>
      <c r="P47" s="419"/>
    </row>
    <row r="48" spans="2:16" s="577" customFormat="1">
      <c r="B48" s="418"/>
      <c r="C48" s="413">
        <v>1</v>
      </c>
      <c r="D48" s="414"/>
      <c r="E48" s="96"/>
      <c r="F48" s="519">
        <f>430.832*(Unit.Mtce)</f>
        <v>2003.3688000000002</v>
      </c>
      <c r="G48" s="519">
        <f>581.59*(Unit.Mtce)</f>
        <v>2704.3935000000001</v>
      </c>
      <c r="H48" s="519">
        <f>675.955142673705*(Unit.Mtce)</f>
        <v>3143.1914134327285</v>
      </c>
      <c r="I48" s="519">
        <f>770.785110515766*(Unit.Mtce)</f>
        <v>3584.1507638983121</v>
      </c>
      <c r="J48" s="519">
        <f>833.226866233047*(Unit.Mtce)</f>
        <v>3874.5049279836685</v>
      </c>
      <c r="K48" s="519">
        <f>851.286549410635*(Unit.Mtce)</f>
        <v>3958.482454759453</v>
      </c>
      <c r="L48" s="519">
        <f>865.714297029134*(Unit.Mtce)</f>
        <v>4025.5714811854732</v>
      </c>
      <c r="M48" s="519">
        <f>732.602625202521*(Unit.Mtce)</f>
        <v>3406.6022071917232</v>
      </c>
      <c r="N48" s="519">
        <f>618.981436494623*(Unit.Mtce)</f>
        <v>2878.2636796999973</v>
      </c>
      <c r="O48" s="519">
        <f>523.679963184517*(Unit.Mtce)</f>
        <v>2435.1118288080042</v>
      </c>
      <c r="P48" s="419"/>
    </row>
    <row r="49" spans="1:16" s="577" customFormat="1">
      <c r="B49" s="418"/>
      <c r="C49" s="413">
        <v>2</v>
      </c>
      <c r="D49" s="414"/>
      <c r="E49" s="414"/>
      <c r="F49" s="519">
        <f>430.832*(Unit.Mtce)</f>
        <v>2003.3688000000002</v>
      </c>
      <c r="G49" s="519">
        <f>581.59*(Unit.Mtce)</f>
        <v>2704.3935000000001</v>
      </c>
      <c r="H49" s="519">
        <f>733.6*(Unit.Mtce)</f>
        <v>3411.2400000000002</v>
      </c>
      <c r="I49" s="519">
        <f>904.55*(Unit.Mtce)</f>
        <v>4206.1575000000003</v>
      </c>
      <c r="J49" s="519">
        <f>1062.87344969574*(Unit.Mtce)</f>
        <v>4942.3615410851908</v>
      </c>
      <c r="K49" s="519">
        <f>1160.81002906895*(Unit.Mtce)</f>
        <v>5397.7666351706175</v>
      </c>
      <c r="L49" s="519">
        <f>1177.06284256433*(Unit.Mtce)</f>
        <v>5473.3422179241343</v>
      </c>
      <c r="M49" s="519">
        <f>1177.06284256433*(Unit.Mtce)</f>
        <v>5473.3422179241343</v>
      </c>
      <c r="N49" s="519">
        <f>1119.37505138569*(Unit.Mtce)</f>
        <v>5205.0939889434594</v>
      </c>
      <c r="O49" s="519">
        <f>986.276537029861*(Unit.Mtce)</f>
        <v>4586.1858971888541</v>
      </c>
      <c r="P49" s="419"/>
    </row>
    <row r="50" spans="1:16" s="577" customFormat="1">
      <c r="B50" s="418"/>
      <c r="C50" s="413">
        <v>3</v>
      </c>
      <c r="D50" s="414"/>
      <c r="E50" s="414"/>
      <c r="F50" s="519">
        <f>430.832*(Unit.Mtce)</f>
        <v>2003.3688000000002</v>
      </c>
      <c r="G50" s="519">
        <f>581.59*(Unit.Mtce)</f>
        <v>2704.3935000000001</v>
      </c>
      <c r="H50" s="519">
        <f>783.6*(Unit.Mtce)</f>
        <v>3643.7400000000002</v>
      </c>
      <c r="I50" s="519">
        <f>1006.55*(Unit.Mtce)</f>
        <v>4680.4575000000004</v>
      </c>
      <c r="J50" s="519">
        <f>1203.29470386323*(Unit.Mtce)</f>
        <v>5595.32037296402</v>
      </c>
      <c r="K50" s="519">
        <f>1337.36338671044*(Unit.Mtce)</f>
        <v>6218.7397482035467</v>
      </c>
      <c r="L50" s="519">
        <f>1380.38174796774*(Unit.Mtce)</f>
        <v>6418.7751280499915</v>
      </c>
      <c r="M50" s="519">
        <f>1424.78386133285*(Unit.Mtce)</f>
        <v>6625.2449551977525</v>
      </c>
      <c r="N50" s="519">
        <f>1398.98540140428*(Unit.Mtce)</f>
        <v>6505.2821165299029</v>
      </c>
      <c r="O50" s="519">
        <f>1273.31969397397*(Unit.Mtce)</f>
        <v>5920.9365769789611</v>
      </c>
      <c r="P50" s="419"/>
    </row>
    <row r="51" spans="1:16" s="577" customFormat="1">
      <c r="B51" s="418"/>
      <c r="C51" s="411">
        <v>4</v>
      </c>
      <c r="D51" s="65"/>
      <c r="E51" s="65"/>
      <c r="F51" s="519">
        <f>430.832*(Unit.Mtce)</f>
        <v>2003.3688000000002</v>
      </c>
      <c r="G51" s="519">
        <f>581.59*(Unit.Mtce)</f>
        <v>2704.3935000000001</v>
      </c>
      <c r="H51" s="519">
        <f>802.230756103426*(Unit.Mtce)</f>
        <v>3730.3730158809308</v>
      </c>
      <c r="I51" s="519">
        <f>1055.21948363285*(Unit.Mtce)</f>
        <v>4906.7705988927528</v>
      </c>
      <c r="J51" s="519">
        <f>1261.47733949501*(Unit.Mtce)</f>
        <v>5865.869628651797</v>
      </c>
      <c r="K51" s="519">
        <f>1400*(Unit.Mtce)</f>
        <v>6510.0000000000009</v>
      </c>
      <c r="L51" s="519">
        <f>1479.12497788124*(Unit.Mtce)</f>
        <v>6877.9311471477668</v>
      </c>
      <c r="M51" s="519">
        <f>1524.4614047822*(Unit.Mtce)</f>
        <v>7088.7455322372298</v>
      </c>
      <c r="N51" s="519">
        <f>1571.18743136871*(Unit.Mtce)</f>
        <v>7306.0215558645014</v>
      </c>
      <c r="O51" s="519">
        <f>1579.50371048722*(Unit.Mtce)</f>
        <v>7344.6922537655728</v>
      </c>
      <c r="P51" s="419"/>
    </row>
    <row r="52" spans="1:16" s="577" customFormat="1">
      <c r="B52" s="418"/>
      <c r="C52" s="406" t="s">
        <v>406</v>
      </c>
      <c r="D52" s="407"/>
      <c r="E52" s="407"/>
      <c r="F52" s="586">
        <f>(INDEX(F$48:F$51,ROUNDDOWN($E$8,0))*(1-MOD($E$8,1)))+(INDEX(F$48:F$51,ROUNDUP($E$8,0))*MOD($E$8,1))</f>
        <v>2003.3688000000002</v>
      </c>
      <c r="G52" s="586">
        <f t="shared" ref="G52:O52" si="19">(INDEX(G$48:G$51,ROUNDDOWN($E$8,0))*(1-MOD($E$8,1)))+(INDEX(G$48:G$51,ROUNDUP($E$8,0))*MOD($E$8,1))</f>
        <v>2704.3935000000001</v>
      </c>
      <c r="H52" s="586">
        <f t="shared" si="19"/>
        <v>3143.1914134327285</v>
      </c>
      <c r="I52" s="586">
        <f t="shared" si="19"/>
        <v>3584.1507638983121</v>
      </c>
      <c r="J52" s="586">
        <f t="shared" si="19"/>
        <v>3874.5049279836685</v>
      </c>
      <c r="K52" s="586">
        <f t="shared" si="19"/>
        <v>3958.482454759453</v>
      </c>
      <c r="L52" s="586">
        <f t="shared" si="19"/>
        <v>4025.5714811854732</v>
      </c>
      <c r="M52" s="586">
        <f t="shared" si="19"/>
        <v>3406.6022071917232</v>
      </c>
      <c r="N52" s="586">
        <f t="shared" si="19"/>
        <v>2878.2636796999973</v>
      </c>
      <c r="O52" s="586">
        <f t="shared" si="19"/>
        <v>2435.1118288080042</v>
      </c>
      <c r="P52" s="586"/>
    </row>
    <row r="53" spans="1:16" s="577" customFormat="1">
      <c r="B53" s="418"/>
      <c r="C53" s="415"/>
      <c r="D53" s="415"/>
      <c r="E53" s="415"/>
      <c r="F53" s="415"/>
      <c r="G53" s="415"/>
      <c r="H53" s="415"/>
      <c r="I53" s="415"/>
      <c r="J53" s="415"/>
      <c r="K53" s="415"/>
      <c r="L53" s="415"/>
      <c r="M53" s="415"/>
      <c r="N53" s="415"/>
      <c r="O53" s="415"/>
      <c r="P53" s="419"/>
    </row>
    <row r="54" spans="1:16" s="577" customFormat="1">
      <c r="B54" s="418"/>
      <c r="C54" s="415"/>
      <c r="D54" s="415"/>
      <c r="E54" s="415"/>
      <c r="F54" s="415"/>
      <c r="G54" s="415"/>
      <c r="H54" s="415"/>
      <c r="I54" s="415"/>
      <c r="J54" s="415"/>
      <c r="K54" s="415"/>
      <c r="L54" s="415"/>
      <c r="M54" s="415"/>
      <c r="N54" s="415"/>
      <c r="O54" s="415"/>
      <c r="P54" s="419"/>
    </row>
    <row r="55" spans="1:16" s="577" customFormat="1">
      <c r="B55" s="418"/>
      <c r="C55" s="415"/>
      <c r="D55" s="415"/>
      <c r="E55" s="415"/>
      <c r="F55" s="415"/>
      <c r="G55" s="415"/>
      <c r="H55" s="415"/>
      <c r="I55" s="415"/>
      <c r="J55" s="415"/>
      <c r="K55" s="415"/>
      <c r="L55" s="415"/>
      <c r="M55" s="415"/>
      <c r="N55" s="415"/>
      <c r="O55" s="415"/>
      <c r="P55" s="419"/>
    </row>
    <row r="56" spans="1:16" s="577" customFormat="1">
      <c r="B56" s="418"/>
      <c r="C56" s="415"/>
      <c r="D56" s="415"/>
      <c r="E56" s="415"/>
      <c r="F56" s="415"/>
      <c r="G56" s="415"/>
      <c r="H56" s="415"/>
      <c r="I56" s="415"/>
      <c r="J56" s="415"/>
      <c r="K56" s="415"/>
      <c r="L56" s="415"/>
      <c r="M56" s="415"/>
      <c r="N56" s="415"/>
      <c r="O56" s="415"/>
      <c r="P56" s="419"/>
    </row>
    <row r="57" spans="1:16" s="577" customFormat="1">
      <c r="B57" s="418"/>
      <c r="C57" s="415"/>
      <c r="D57" s="415"/>
      <c r="E57" s="415"/>
      <c r="F57" s="415"/>
      <c r="G57" s="415"/>
      <c r="H57" s="415"/>
      <c r="I57" s="415"/>
      <c r="J57" s="415"/>
      <c r="K57" s="415"/>
      <c r="L57" s="415"/>
      <c r="M57" s="415"/>
      <c r="N57" s="415"/>
      <c r="O57" s="415"/>
      <c r="P57" s="419"/>
    </row>
    <row r="58" spans="1:16" s="577" customFormat="1">
      <c r="B58" s="418"/>
      <c r="C58" s="415"/>
      <c r="D58" s="415"/>
      <c r="E58" s="415"/>
      <c r="F58" s="415"/>
      <c r="G58" s="415"/>
      <c r="H58" s="415"/>
      <c r="I58" s="415"/>
      <c r="J58" s="415"/>
      <c r="K58" s="415"/>
      <c r="L58" s="415"/>
      <c r="M58" s="415"/>
      <c r="N58" s="415"/>
      <c r="O58" s="415"/>
      <c r="P58" s="419"/>
    </row>
    <row r="59" spans="1:16" s="452" customFormat="1">
      <c r="B59" s="155"/>
      <c r="C59" s="202"/>
      <c r="D59" s="105"/>
      <c r="E59" s="415"/>
      <c r="F59" s="415"/>
      <c r="G59" s="415"/>
      <c r="H59" s="415"/>
      <c r="I59" s="415"/>
      <c r="J59" s="415"/>
      <c r="K59" s="415"/>
      <c r="L59" s="415"/>
      <c r="M59" s="415"/>
      <c r="N59" s="415"/>
      <c r="O59" s="415"/>
      <c r="P59" s="419"/>
    </row>
    <row r="60" spans="1:16" s="452" customFormat="1"/>
    <row r="61" spans="1:16" s="51" customFormat="1" ht="22.5">
      <c r="A61" s="162"/>
      <c r="B61" s="421" t="s">
        <v>270</v>
      </c>
      <c r="C61" s="159"/>
      <c r="D61" s="159"/>
      <c r="E61" s="159"/>
      <c r="F61" s="159"/>
      <c r="G61" s="159"/>
      <c r="H61" s="159"/>
      <c r="I61" s="159"/>
      <c r="J61" s="159"/>
      <c r="K61" s="159"/>
      <c r="L61" s="159"/>
      <c r="M61" s="159"/>
      <c r="N61" s="159"/>
      <c r="O61" s="159"/>
      <c r="P61" s="160"/>
    </row>
    <row r="62" spans="1:16" s="464" customFormat="1">
      <c r="B62" s="418"/>
      <c r="C62" s="415"/>
      <c r="D62" s="415"/>
      <c r="E62" s="415"/>
      <c r="F62" s="415"/>
      <c r="G62" s="415"/>
      <c r="H62" s="415"/>
      <c r="I62" s="415"/>
      <c r="J62" s="415"/>
      <c r="K62" s="415"/>
      <c r="L62" s="415"/>
      <c r="M62" s="415"/>
      <c r="N62" s="415"/>
      <c r="O62" s="415"/>
      <c r="P62" s="419"/>
    </row>
    <row r="63" spans="1:16" s="464" customFormat="1">
      <c r="B63" s="418"/>
      <c r="C63" s="103" t="s">
        <v>104</v>
      </c>
      <c r="D63" s="102"/>
      <c r="E63" s="104"/>
      <c r="F63" s="102"/>
      <c r="G63" s="102"/>
      <c r="H63" s="102"/>
      <c r="I63" s="102"/>
      <c r="J63" s="102"/>
      <c r="K63" s="102"/>
      <c r="L63" s="102"/>
      <c r="M63" s="102"/>
      <c r="N63" s="102"/>
      <c r="O63" s="104" t="str">
        <f>preferences.energyunits</f>
        <v>TWh</v>
      </c>
      <c r="P63" s="419"/>
    </row>
    <row r="64" spans="1:16" s="464" customFormat="1" ht="5.25" customHeight="1">
      <c r="B64" s="418"/>
      <c r="C64" s="102"/>
      <c r="D64" s="102"/>
      <c r="E64" s="102"/>
      <c r="F64" s="102"/>
      <c r="G64" s="102"/>
      <c r="H64" s="102"/>
      <c r="I64" s="102"/>
      <c r="J64" s="102"/>
      <c r="K64" s="102"/>
      <c r="L64" s="102"/>
      <c r="M64" s="102"/>
      <c r="N64" s="102"/>
      <c r="O64" s="102"/>
      <c r="P64" s="419"/>
    </row>
    <row r="65" spans="1:18" s="464" customFormat="1" ht="15.75">
      <c r="B65" s="152"/>
      <c r="C65" s="61" t="s">
        <v>64</v>
      </c>
      <c r="D65" s="61" t="s">
        <v>137</v>
      </c>
      <c r="E65" s="61" t="s">
        <v>156</v>
      </c>
      <c r="F65" s="119">
        <v>2007</v>
      </c>
      <c r="G65" s="120">
        <f>F65+5</f>
        <v>2012</v>
      </c>
      <c r="H65" s="120">
        <f t="shared" ref="H65:O65" si="20">G65+5</f>
        <v>2017</v>
      </c>
      <c r="I65" s="120">
        <f t="shared" si="20"/>
        <v>2022</v>
      </c>
      <c r="J65" s="120">
        <f t="shared" si="20"/>
        <v>2027</v>
      </c>
      <c r="K65" s="120">
        <f t="shared" si="20"/>
        <v>2032</v>
      </c>
      <c r="L65" s="120">
        <f t="shared" si="20"/>
        <v>2037</v>
      </c>
      <c r="M65" s="120">
        <f t="shared" si="20"/>
        <v>2042</v>
      </c>
      <c r="N65" s="120">
        <f t="shared" si="20"/>
        <v>2047</v>
      </c>
      <c r="O65" s="120">
        <f t="shared" si="20"/>
        <v>2052</v>
      </c>
      <c r="P65" s="419"/>
    </row>
    <row r="66" spans="1:18" s="464" customFormat="1" ht="15.75">
      <c r="B66" s="152"/>
      <c r="C66" s="135" t="s">
        <v>51</v>
      </c>
      <c r="D66" s="135" t="str">
        <f>INDEX(Vectors[Description], MATCH($C66, Vectors[Code], 0))</f>
        <v>Coal indigenous production</v>
      </c>
      <c r="E66" s="135" t="s">
        <v>94</v>
      </c>
      <c r="F66" s="137">
        <f>F52</f>
        <v>2003.3688000000002</v>
      </c>
      <c r="G66" s="137">
        <f t="shared" ref="G66:O66" si="21">G52</f>
        <v>2704.3935000000001</v>
      </c>
      <c r="H66" s="137">
        <f t="shared" si="21"/>
        <v>3143.1914134327285</v>
      </c>
      <c r="I66" s="137">
        <f t="shared" si="21"/>
        <v>3584.1507638983121</v>
      </c>
      <c r="J66" s="137">
        <f t="shared" si="21"/>
        <v>3874.5049279836685</v>
      </c>
      <c r="K66" s="137">
        <f t="shared" si="21"/>
        <v>3958.482454759453</v>
      </c>
      <c r="L66" s="137">
        <f t="shared" si="21"/>
        <v>4025.5714811854732</v>
      </c>
      <c r="M66" s="137">
        <f t="shared" si="21"/>
        <v>3406.6022071917232</v>
      </c>
      <c r="N66" s="137">
        <f t="shared" si="21"/>
        <v>2878.2636796999973</v>
      </c>
      <c r="O66" s="137">
        <f t="shared" si="21"/>
        <v>2435.1118288080042</v>
      </c>
      <c r="P66" s="419"/>
      <c r="R66" s="131"/>
    </row>
    <row r="67" spans="1:18" s="464" customFormat="1" ht="15.75">
      <c r="B67" s="152"/>
      <c r="C67" s="135" t="s">
        <v>52</v>
      </c>
      <c r="D67" s="135" t="str">
        <f>INDEX(Vectors[Description], MATCH($C67, Vectors[Code], 0))</f>
        <v>Oil and petroleum products</v>
      </c>
      <c r="E67" s="135" t="s">
        <v>94</v>
      </c>
      <c r="F67" s="137"/>
      <c r="G67" s="137"/>
      <c r="H67" s="137"/>
      <c r="I67" s="137"/>
      <c r="J67" s="137"/>
      <c r="K67" s="137"/>
      <c r="L67" s="137"/>
      <c r="M67" s="137"/>
      <c r="N67" s="137"/>
      <c r="O67" s="137"/>
      <c r="P67" s="419"/>
    </row>
    <row r="68" spans="1:18" s="464" customFormat="1" ht="15.75">
      <c r="B68" s="152"/>
      <c r="C68" s="133" t="s">
        <v>53</v>
      </c>
      <c r="D68" s="134" t="str">
        <f>INDEX(Vectors[Description], MATCH($C68, Vectors[Code], 0))</f>
        <v>Natural gas</v>
      </c>
      <c r="E68" s="134" t="s">
        <v>94</v>
      </c>
      <c r="F68" s="342"/>
      <c r="G68" s="342"/>
      <c r="H68" s="342"/>
      <c r="I68" s="342"/>
      <c r="J68" s="342"/>
      <c r="K68" s="342"/>
      <c r="L68" s="342"/>
      <c r="M68" s="342"/>
      <c r="N68" s="342"/>
      <c r="O68" s="342"/>
      <c r="P68" s="419"/>
    </row>
    <row r="69" spans="1:18" s="464" customFormat="1" ht="15.75">
      <c r="B69" s="152"/>
      <c r="C69" s="69"/>
      <c r="D69" s="69"/>
      <c r="E69" s="69"/>
      <c r="F69" s="107"/>
      <c r="G69" s="107"/>
      <c r="H69" s="107"/>
      <c r="I69" s="107"/>
      <c r="J69" s="107"/>
      <c r="K69" s="107"/>
      <c r="L69" s="107"/>
      <c r="M69" s="107"/>
      <c r="N69" s="107"/>
      <c r="O69" s="107"/>
      <c r="P69" s="419"/>
    </row>
    <row r="71" spans="1:18" s="51" customFormat="1" ht="22.5">
      <c r="A71" s="162"/>
      <c r="B71" s="209" t="s">
        <v>265</v>
      </c>
      <c r="C71" s="159"/>
      <c r="D71" s="159"/>
      <c r="E71" s="159"/>
      <c r="F71" s="159"/>
      <c r="G71" s="159"/>
      <c r="H71" s="159"/>
      <c r="I71" s="159"/>
      <c r="J71" s="159"/>
      <c r="K71" s="159"/>
      <c r="L71" s="159"/>
      <c r="M71" s="159"/>
      <c r="N71" s="159"/>
      <c r="O71" s="159"/>
      <c r="P71" s="160"/>
    </row>
    <row r="72" spans="1:18">
      <c r="B72" s="150"/>
      <c r="C72" s="102"/>
      <c r="D72" s="102"/>
      <c r="E72" s="102"/>
      <c r="F72" s="102"/>
      <c r="G72" s="102"/>
      <c r="H72" s="102"/>
      <c r="I72" s="102"/>
      <c r="J72" s="102"/>
      <c r="K72" s="102"/>
      <c r="L72" s="102"/>
      <c r="M72" s="102"/>
      <c r="N72" s="102"/>
      <c r="O72" s="102"/>
      <c r="P72" s="151"/>
    </row>
    <row r="73" spans="1:18" s="577" customFormat="1">
      <c r="B73" s="418"/>
      <c r="C73" s="416" t="s">
        <v>762</v>
      </c>
      <c r="D73" s="415">
        <f>1</f>
        <v>1</v>
      </c>
      <c r="E73" s="415" t="s">
        <v>763</v>
      </c>
      <c r="F73" s="415"/>
      <c r="G73" s="415"/>
      <c r="H73" s="415"/>
      <c r="I73" s="415"/>
      <c r="J73" s="415"/>
      <c r="K73" s="415"/>
      <c r="L73" s="415"/>
      <c r="M73" s="415"/>
      <c r="N73" s="415"/>
      <c r="O73" s="415"/>
      <c r="P73" s="419"/>
    </row>
    <row r="74" spans="1:18" s="577" customFormat="1">
      <c r="B74" s="418"/>
      <c r="C74" s="416" t="s">
        <v>764</v>
      </c>
      <c r="D74" s="415">
        <v>30</v>
      </c>
      <c r="E74" s="415" t="s">
        <v>594</v>
      </c>
      <c r="F74" s="415"/>
      <c r="G74" s="415"/>
      <c r="H74" s="415"/>
      <c r="I74" s="415"/>
      <c r="J74" s="415"/>
      <c r="K74" s="415"/>
      <c r="L74" s="415"/>
      <c r="M74" s="415"/>
      <c r="N74" s="415"/>
      <c r="O74" s="415"/>
      <c r="P74" s="419"/>
    </row>
    <row r="75" spans="1:18" ht="15.75">
      <c r="B75" s="152"/>
      <c r="C75" s="103" t="s">
        <v>318</v>
      </c>
      <c r="D75" s="102"/>
      <c r="E75" s="104"/>
      <c r="F75" s="102"/>
      <c r="G75" s="102"/>
      <c r="H75" s="102"/>
      <c r="I75" s="102"/>
      <c r="J75" s="102"/>
      <c r="K75" s="102"/>
      <c r="L75" s="102"/>
      <c r="M75" s="102"/>
      <c r="N75" s="102"/>
      <c r="O75" s="104" t="s">
        <v>428</v>
      </c>
      <c r="P75" s="151"/>
    </row>
    <row r="76" spans="1:18" ht="5.25" customHeight="1">
      <c r="B76" s="152"/>
      <c r="C76" s="102"/>
      <c r="D76" s="102"/>
      <c r="E76" s="102"/>
      <c r="F76" s="102"/>
      <c r="G76" s="102"/>
      <c r="H76" s="102"/>
      <c r="I76" s="102"/>
      <c r="J76" s="102"/>
      <c r="K76" s="102"/>
      <c r="L76" s="102"/>
      <c r="M76" s="102"/>
      <c r="N76" s="102"/>
      <c r="O76" s="102"/>
      <c r="P76" s="151"/>
    </row>
    <row r="77" spans="1:18" ht="15.75">
      <c r="B77" s="152"/>
      <c r="C77" s="61" t="s">
        <v>64</v>
      </c>
      <c r="D77" s="61" t="s">
        <v>137</v>
      </c>
      <c r="E77" s="61" t="s">
        <v>156</v>
      </c>
      <c r="F77" s="119">
        <v>2007</v>
      </c>
      <c r="G77" s="120">
        <f>F77+5</f>
        <v>2012</v>
      </c>
      <c r="H77" s="120">
        <f t="shared" ref="H77:O77" si="22">G77+5</f>
        <v>2017</v>
      </c>
      <c r="I77" s="120">
        <f t="shared" si="22"/>
        <v>2022</v>
      </c>
      <c r="J77" s="120">
        <f t="shared" si="22"/>
        <v>2027</v>
      </c>
      <c r="K77" s="120">
        <f t="shared" si="22"/>
        <v>2032</v>
      </c>
      <c r="L77" s="120">
        <f t="shared" si="22"/>
        <v>2037</v>
      </c>
      <c r="M77" s="120">
        <f t="shared" si="22"/>
        <v>2042</v>
      </c>
      <c r="N77" s="120">
        <f t="shared" si="22"/>
        <v>2047</v>
      </c>
      <c r="O77" s="120">
        <f t="shared" si="22"/>
        <v>2052</v>
      </c>
      <c r="P77" s="419"/>
    </row>
    <row r="78" spans="1:18" ht="15.75">
      <c r="B78" s="152"/>
      <c r="C78" s="135" t="s">
        <v>34</v>
      </c>
      <c r="D78" s="135" t="str">
        <f>INDEX(Vectors[Description], MATCH($C78, Vectors[Code], 0))</f>
        <v>Electricity (delivered to end user)</v>
      </c>
      <c r="E78" s="135" t="s">
        <v>100</v>
      </c>
      <c r="F78" s="136"/>
      <c r="G78" s="138"/>
      <c r="H78" s="136"/>
      <c r="I78" s="136"/>
      <c r="J78" s="136"/>
      <c r="K78" s="136"/>
      <c r="L78" s="136"/>
      <c r="M78" s="136"/>
      <c r="N78" s="136"/>
      <c r="O78" s="136"/>
      <c r="P78" s="151"/>
    </row>
    <row r="79" spans="1:18" ht="15.75">
      <c r="B79" s="152"/>
      <c r="C79" s="95" t="s">
        <v>36</v>
      </c>
      <c r="D79" s="135" t="str">
        <f>INDEX(Vectors[Description], MATCH($C79, Vectors[Code], 0))</f>
        <v>Solid hydrocarbons</v>
      </c>
      <c r="E79" s="135" t="s">
        <v>100</v>
      </c>
      <c r="F79" s="136"/>
      <c r="G79" s="138"/>
      <c r="H79" s="136"/>
      <c r="I79" s="136"/>
      <c r="J79" s="136"/>
      <c r="K79" s="136"/>
      <c r="L79" s="136"/>
      <c r="M79" s="136"/>
      <c r="N79" s="136"/>
      <c r="O79" s="136"/>
      <c r="P79" s="151"/>
    </row>
    <row r="80" spans="1:18" ht="15.75">
      <c r="B80" s="152"/>
      <c r="C80" s="133" t="s">
        <v>39</v>
      </c>
      <c r="D80" s="134" t="str">
        <f>INDEX(Vectors[Description], MATCH($C80, Vectors[Code], 0))</f>
        <v>Gaseous hydrocarbons</v>
      </c>
      <c r="E80" s="134" t="s">
        <v>100</v>
      </c>
      <c r="F80" s="71"/>
      <c r="G80" s="139"/>
      <c r="H80" s="71"/>
      <c r="I80" s="71"/>
      <c r="J80" s="71"/>
      <c r="K80" s="71"/>
      <c r="L80" s="71"/>
      <c r="M80" s="71"/>
      <c r="N80" s="71"/>
      <c r="O80" s="71"/>
      <c r="P80" s="151"/>
    </row>
    <row r="81" spans="2:16">
      <c r="B81" s="155"/>
      <c r="C81" s="94"/>
      <c r="D81" s="95"/>
      <c r="E81" s="95"/>
      <c r="F81" s="116"/>
      <c r="G81" s="132"/>
      <c r="H81" s="116"/>
      <c r="I81" s="116"/>
      <c r="J81" s="116"/>
      <c r="K81" s="116"/>
      <c r="L81" s="116"/>
      <c r="M81" s="116"/>
      <c r="N81" s="116"/>
      <c r="O81" s="116"/>
      <c r="P81" s="151"/>
    </row>
    <row r="82" spans="2:16" ht="15.75">
      <c r="B82" s="152"/>
      <c r="C82" s="94"/>
      <c r="D82" s="95"/>
      <c r="E82" s="95"/>
      <c r="F82" s="116"/>
      <c r="G82" s="132"/>
      <c r="H82" s="116"/>
      <c r="I82" s="116"/>
      <c r="J82" s="116"/>
      <c r="K82" s="116"/>
      <c r="L82" s="116"/>
      <c r="M82" s="116"/>
      <c r="N82" s="116"/>
      <c r="O82" s="116"/>
      <c r="P82" s="151"/>
    </row>
    <row r="83" spans="2:16" ht="15.75">
      <c r="B83" s="152"/>
      <c r="C83" s="103" t="s">
        <v>394</v>
      </c>
      <c r="D83" s="102"/>
      <c r="E83" s="104"/>
      <c r="F83" s="104" t="s">
        <v>396</v>
      </c>
      <c r="G83" s="132"/>
      <c r="H83" s="116"/>
      <c r="I83" s="116"/>
      <c r="J83" s="116"/>
      <c r="K83" s="116"/>
      <c r="L83" s="116"/>
      <c r="M83" s="116"/>
      <c r="N83" s="116"/>
      <c r="O83" s="116"/>
      <c r="P83" s="151"/>
    </row>
    <row r="84" spans="2:16" ht="5.25" customHeight="1">
      <c r="B84" s="152"/>
      <c r="C84" s="102"/>
      <c r="D84" s="102"/>
      <c r="E84" s="102"/>
      <c r="F84" s="102"/>
      <c r="G84" s="132"/>
      <c r="H84" s="116"/>
      <c r="I84" s="116"/>
      <c r="J84" s="116"/>
      <c r="K84" s="116"/>
      <c r="L84" s="116"/>
      <c r="M84" s="116"/>
      <c r="N84" s="116"/>
      <c r="O84" s="116"/>
      <c r="P84" s="151"/>
    </row>
    <row r="85" spans="2:16" ht="15.75">
      <c r="B85" s="152"/>
      <c r="C85" s="61" t="s">
        <v>64</v>
      </c>
      <c r="D85" s="61" t="s">
        <v>137</v>
      </c>
      <c r="E85" s="61" t="s">
        <v>156</v>
      </c>
      <c r="F85" s="119">
        <v>2007</v>
      </c>
      <c r="G85" s="132"/>
      <c r="H85" s="116"/>
      <c r="I85" s="116"/>
      <c r="J85" s="116"/>
      <c r="K85" s="116"/>
      <c r="L85" s="116"/>
      <c r="M85" s="116"/>
      <c r="N85" s="116"/>
      <c r="O85" s="116"/>
      <c r="P85" s="151"/>
    </row>
    <row r="86" spans="2:16" ht="15.75">
      <c r="B86" s="152"/>
      <c r="C86" s="95" t="s">
        <v>377</v>
      </c>
      <c r="D86" s="95" t="s">
        <v>395</v>
      </c>
      <c r="E86" s="95" t="s">
        <v>155</v>
      </c>
      <c r="F86" s="137"/>
      <c r="G86" s="132"/>
      <c r="H86" s="98"/>
      <c r="I86" s="116"/>
      <c r="J86" s="116"/>
      <c r="K86" s="116"/>
      <c r="L86" s="116"/>
      <c r="M86" s="116"/>
      <c r="N86" s="116"/>
      <c r="O86" s="116"/>
      <c r="P86" s="151"/>
    </row>
    <row r="87" spans="2:16" ht="15.75">
      <c r="B87" s="152"/>
      <c r="C87" s="64" t="s">
        <v>397</v>
      </c>
      <c r="D87" s="65" t="s">
        <v>398</v>
      </c>
      <c r="E87" s="65" t="s">
        <v>155</v>
      </c>
      <c r="F87" s="72"/>
      <c r="G87" s="132"/>
      <c r="H87" s="116"/>
      <c r="I87" s="116"/>
      <c r="J87" s="116"/>
      <c r="K87" s="116"/>
      <c r="L87" s="116"/>
      <c r="M87" s="116"/>
      <c r="N87" s="116"/>
      <c r="O87" s="116"/>
      <c r="P87" s="151"/>
    </row>
    <row r="88" spans="2:16" ht="15.75">
      <c r="B88" s="152"/>
      <c r="C88" s="94"/>
      <c r="D88" s="95"/>
      <c r="E88" s="95"/>
      <c r="F88" s="116"/>
      <c r="G88" s="132"/>
      <c r="H88" s="116"/>
      <c r="I88" s="116"/>
      <c r="J88" s="116"/>
      <c r="K88" s="116"/>
      <c r="L88" s="116"/>
      <c r="M88" s="116"/>
      <c r="N88" s="116"/>
      <c r="O88" s="116"/>
      <c r="P88" s="151"/>
    </row>
    <row r="89" spans="2:16" s="492" customFormat="1">
      <c r="B89" s="418"/>
      <c r="C89" s="493"/>
      <c r="D89" s="453"/>
      <c r="E89" s="496"/>
      <c r="F89" s="302"/>
      <c r="G89" s="302"/>
      <c r="H89" s="302"/>
      <c r="I89" s="302"/>
      <c r="J89" s="302"/>
      <c r="K89" s="302"/>
      <c r="L89" s="302"/>
      <c r="M89" s="302"/>
      <c r="N89" s="302"/>
      <c r="O89" s="302"/>
      <c r="P89" s="419"/>
    </row>
    <row r="90" spans="2:16" ht="15.75">
      <c r="B90" s="421" t="s">
        <v>711</v>
      </c>
      <c r="C90" s="159"/>
      <c r="D90" s="159"/>
      <c r="E90" s="159"/>
      <c r="F90" s="159"/>
      <c r="G90" s="159"/>
      <c r="H90" s="159"/>
      <c r="I90" s="159"/>
      <c r="J90" s="159"/>
      <c r="K90" s="159"/>
      <c r="L90" s="159"/>
      <c r="M90" s="159"/>
      <c r="N90" s="159"/>
      <c r="O90" s="159"/>
      <c r="P90" s="160"/>
    </row>
    <row r="91" spans="2:16" s="49" customFormat="1">
      <c r="B91" s="418"/>
      <c r="C91" s="415"/>
      <c r="D91" s="415"/>
      <c r="E91" s="415"/>
      <c r="F91" s="415"/>
      <c r="G91" s="415"/>
      <c r="H91" s="415"/>
      <c r="I91" s="415"/>
      <c r="J91" s="415"/>
      <c r="K91" s="415"/>
      <c r="L91" s="415"/>
      <c r="M91" s="415"/>
      <c r="N91" s="415"/>
      <c r="O91" s="415"/>
      <c r="P91" s="419"/>
    </row>
    <row r="92" spans="2:16" s="49" customFormat="1">
      <c r="B92" s="418"/>
      <c r="C92" s="416" t="str">
        <f>"Land requirememt of a "&amp;Minesize.xv.b&amp;" MTPA Coal Mine"</f>
        <v>Land requirememt of a 1 MTPA Coal Mine</v>
      </c>
      <c r="D92" s="69"/>
      <c r="E92" s="415"/>
      <c r="F92" s="415"/>
      <c r="G92" s="104"/>
      <c r="H92" s="415"/>
      <c r="I92" s="415"/>
      <c r="J92" s="415"/>
      <c r="K92" s="415"/>
      <c r="L92" s="415"/>
      <c r="M92" s="415"/>
      <c r="N92" s="415"/>
      <c r="O92" s="415"/>
      <c r="P92" s="419"/>
    </row>
    <row r="93" spans="2:16" s="49" customFormat="1">
      <c r="B93" s="418"/>
      <c r="C93" s="415"/>
      <c r="D93" s="415"/>
      <c r="E93" s="415"/>
      <c r="F93" s="415"/>
      <c r="G93" s="415"/>
      <c r="H93" s="415"/>
      <c r="I93" s="415"/>
      <c r="J93" s="415"/>
      <c r="K93" s="415"/>
      <c r="L93" s="415"/>
      <c r="M93" s="415"/>
      <c r="N93" s="415"/>
      <c r="O93" s="361" t="str">
        <f>Preferences.AreaUnits&amp;"/coal mine size"</f>
        <v>ha/coal mine size</v>
      </c>
      <c r="P93" s="419"/>
    </row>
    <row r="94" spans="2:16" s="49" customFormat="1" ht="15.75">
      <c r="B94" s="152"/>
      <c r="C94" s="955"/>
      <c r="D94" s="955"/>
      <c r="E94" s="955"/>
      <c r="F94" s="119">
        <v>2007</v>
      </c>
      <c r="G94" s="120">
        <f>F94+5</f>
        <v>2012</v>
      </c>
      <c r="H94" s="120">
        <f t="shared" ref="H94:O94" si="23">G94+5</f>
        <v>2017</v>
      </c>
      <c r="I94" s="120">
        <f t="shared" si="23"/>
        <v>2022</v>
      </c>
      <c r="J94" s="120">
        <f t="shared" si="23"/>
        <v>2027</v>
      </c>
      <c r="K94" s="120">
        <f t="shared" si="23"/>
        <v>2032</v>
      </c>
      <c r="L94" s="120">
        <f t="shared" si="23"/>
        <v>2037</v>
      </c>
      <c r="M94" s="120">
        <f t="shared" si="23"/>
        <v>2042</v>
      </c>
      <c r="N94" s="120">
        <f t="shared" si="23"/>
        <v>2047</v>
      </c>
      <c r="O94" s="120">
        <f t="shared" si="23"/>
        <v>2052</v>
      </c>
      <c r="P94" s="419"/>
    </row>
    <row r="95" spans="2:16" s="49" customFormat="1" ht="15.75">
      <c r="B95" s="152"/>
      <c r="C95" s="413" t="s">
        <v>438</v>
      </c>
      <c r="D95" s="414"/>
      <c r="E95" s="414"/>
      <c r="F95" s="587">
        <f t="shared" ref="F95:O95" si="24">5*(Unit.ha)</f>
        <v>5</v>
      </c>
      <c r="G95" s="587">
        <f t="shared" si="24"/>
        <v>5</v>
      </c>
      <c r="H95" s="587">
        <f t="shared" si="24"/>
        <v>5</v>
      </c>
      <c r="I95" s="587">
        <f t="shared" si="24"/>
        <v>5</v>
      </c>
      <c r="J95" s="587">
        <f t="shared" si="24"/>
        <v>5</v>
      </c>
      <c r="K95" s="587">
        <f t="shared" si="24"/>
        <v>5</v>
      </c>
      <c r="L95" s="587">
        <f t="shared" si="24"/>
        <v>5</v>
      </c>
      <c r="M95" s="587">
        <f t="shared" si="24"/>
        <v>5</v>
      </c>
      <c r="N95" s="587">
        <f t="shared" si="24"/>
        <v>5</v>
      </c>
      <c r="O95" s="587">
        <f t="shared" si="24"/>
        <v>5</v>
      </c>
      <c r="P95" s="415">
        <f>0*(Unit.acre*plantsize.iv.a/Unit.MW)</f>
        <v>0</v>
      </c>
    </row>
    <row r="96" spans="2:16" s="410" customFormat="1" ht="15.75">
      <c r="B96" s="152"/>
      <c r="C96" s="111" t="s">
        <v>439</v>
      </c>
      <c r="D96" s="112"/>
      <c r="E96" s="112"/>
      <c r="F96" s="588">
        <f t="shared" ref="F96:O96" si="25">23*(Unit.ha)</f>
        <v>23</v>
      </c>
      <c r="G96" s="588">
        <f t="shared" si="25"/>
        <v>23</v>
      </c>
      <c r="H96" s="588">
        <f t="shared" si="25"/>
        <v>23</v>
      </c>
      <c r="I96" s="588">
        <f t="shared" si="25"/>
        <v>23</v>
      </c>
      <c r="J96" s="588">
        <f t="shared" si="25"/>
        <v>23</v>
      </c>
      <c r="K96" s="588">
        <f t="shared" si="25"/>
        <v>23</v>
      </c>
      <c r="L96" s="588">
        <f t="shared" si="25"/>
        <v>23</v>
      </c>
      <c r="M96" s="588">
        <f t="shared" si="25"/>
        <v>23</v>
      </c>
      <c r="N96" s="588">
        <f t="shared" si="25"/>
        <v>23</v>
      </c>
      <c r="O96" s="588">
        <f t="shared" si="25"/>
        <v>23</v>
      </c>
      <c r="P96" s="415"/>
    </row>
    <row r="97" spans="2:16" s="49" customFormat="1" ht="10.5">
      <c r="B97" s="200"/>
      <c r="C97" s="217"/>
      <c r="D97" s="219"/>
      <c r="E97" s="203"/>
      <c r="F97" s="203"/>
      <c r="G97" s="203"/>
      <c r="H97" s="203"/>
      <c r="I97" s="203"/>
      <c r="J97" s="203"/>
      <c r="K97" s="203"/>
      <c r="L97" s="203"/>
      <c r="M97" s="203"/>
      <c r="N97" s="203"/>
      <c r="O97" s="203"/>
      <c r="P97" s="204"/>
    </row>
    <row r="98" spans="2:16" s="49" customFormat="1" ht="10.5">
      <c r="B98" s="200"/>
      <c r="C98" s="217"/>
      <c r="D98" s="219"/>
      <c r="E98" s="203"/>
      <c r="F98" s="203"/>
      <c r="G98" s="203"/>
      <c r="H98" s="203"/>
      <c r="I98" s="203"/>
      <c r="J98" s="203"/>
      <c r="K98" s="203"/>
      <c r="L98" s="203"/>
      <c r="M98" s="203"/>
      <c r="N98" s="203"/>
      <c r="O98" s="203"/>
      <c r="P98" s="204"/>
    </row>
    <row r="99" spans="2:16" s="49" customFormat="1" ht="10.5">
      <c r="B99" s="200"/>
      <c r="C99" s="217"/>
      <c r="D99" s="219"/>
      <c r="E99" s="203"/>
      <c r="F99" s="203"/>
      <c r="G99" s="203"/>
      <c r="H99" s="203"/>
      <c r="I99" s="203"/>
      <c r="J99" s="203"/>
      <c r="K99" s="203"/>
      <c r="L99" s="203"/>
      <c r="M99" s="203"/>
      <c r="N99" s="203"/>
      <c r="O99" s="203"/>
      <c r="P99" s="204"/>
    </row>
    <row r="100" spans="2:16">
      <c r="B100" s="156"/>
      <c r="C100" s="157"/>
      <c r="D100" s="157"/>
      <c r="E100" s="157">
        <f>INRCr*Minesize.xv.b/Unit.Mtce</f>
        <v>0.21505376344086019</v>
      </c>
      <c r="F100" s="157"/>
      <c r="G100" s="157"/>
      <c r="H100" s="157"/>
      <c r="I100" s="157"/>
      <c r="J100" s="157"/>
      <c r="K100" s="157"/>
      <c r="L100" s="157"/>
      <c r="M100" s="157"/>
      <c r="N100" s="157"/>
      <c r="O100" s="157"/>
      <c r="P100" s="158"/>
    </row>
    <row r="101" spans="2:16" s="400" customFormat="1"/>
    <row r="102" spans="2:16" s="242" customFormat="1"/>
    <row r="103" spans="2:16" s="242" customFormat="1"/>
    <row r="104" spans="2:16" s="242" customFormat="1"/>
    <row r="105" spans="2:16" ht="15.75">
      <c r="B105" s="89" t="s">
        <v>241</v>
      </c>
    </row>
    <row r="106" spans="2:16">
      <c r="B106" s="140">
        <v>1</v>
      </c>
      <c r="C106" s="36" t="s">
        <v>325</v>
      </c>
    </row>
    <row r="107" spans="2:16">
      <c r="B107" s="140">
        <v>2</v>
      </c>
      <c r="C107" s="36" t="s">
        <v>393</v>
      </c>
    </row>
    <row r="108" spans="2:16" s="400" customFormat="1">
      <c r="B108" s="140">
        <v>3</v>
      </c>
      <c r="C108" s="400" t="s">
        <v>592</v>
      </c>
    </row>
    <row r="110" spans="2:16">
      <c r="B110" s="36">
        <v>1</v>
      </c>
      <c r="C110" s="36" t="s">
        <v>371</v>
      </c>
    </row>
    <row r="111" spans="2:16">
      <c r="C111" s="50" t="s">
        <v>326</v>
      </c>
      <c r="E111" s="36" t="str">
        <f>preferences.energyunits</f>
        <v>TWh</v>
      </c>
      <c r="F111" s="73">
        <f>F$52</f>
        <v>2003.3688000000002</v>
      </c>
      <c r="G111" s="73">
        <f t="shared" ref="G111:O111" si="26">G$52</f>
        <v>2704.3935000000001</v>
      </c>
      <c r="H111" s="73">
        <f t="shared" si="26"/>
        <v>3143.1914134327285</v>
      </c>
      <c r="I111" s="73">
        <f t="shared" si="26"/>
        <v>3584.1507638983121</v>
      </c>
      <c r="J111" s="73">
        <f t="shared" si="26"/>
        <v>3874.5049279836685</v>
      </c>
      <c r="K111" s="73">
        <f t="shared" si="26"/>
        <v>3958.482454759453</v>
      </c>
      <c r="L111" s="73">
        <f t="shared" si="26"/>
        <v>4025.5714811854732</v>
      </c>
      <c r="M111" s="73">
        <f t="shared" si="26"/>
        <v>3406.6022071917232</v>
      </c>
      <c r="N111" s="73">
        <f t="shared" si="26"/>
        <v>2878.2636796999973</v>
      </c>
      <c r="O111" s="73">
        <f t="shared" si="26"/>
        <v>2435.1118288080042</v>
      </c>
    </row>
    <row r="112" spans="2:16">
      <c r="B112" s="19"/>
      <c r="C112" s="36" t="s">
        <v>327</v>
      </c>
      <c r="F112" s="90">
        <f t="shared" ref="F112:O112" si="27">F$111*F$78</f>
        <v>0</v>
      </c>
      <c r="G112" s="90">
        <f t="shared" si="27"/>
        <v>0</v>
      </c>
      <c r="H112" s="90">
        <f t="shared" si="27"/>
        <v>0</v>
      </c>
      <c r="I112" s="90">
        <f t="shared" si="27"/>
        <v>0</v>
      </c>
      <c r="J112" s="90">
        <f t="shared" si="27"/>
        <v>0</v>
      </c>
      <c r="K112" s="90">
        <f t="shared" si="27"/>
        <v>0</v>
      </c>
      <c r="L112" s="90">
        <f t="shared" si="27"/>
        <v>0</v>
      </c>
      <c r="M112" s="90">
        <f t="shared" si="27"/>
        <v>0</v>
      </c>
      <c r="N112" s="90">
        <f t="shared" si="27"/>
        <v>0</v>
      </c>
      <c r="O112" s="90">
        <f t="shared" si="27"/>
        <v>0</v>
      </c>
    </row>
    <row r="113" spans="1:16">
      <c r="B113" s="19"/>
      <c r="C113" s="36" t="s">
        <v>329</v>
      </c>
      <c r="F113" s="90">
        <f t="shared" ref="F113:O113" si="28">F$111*F$79</f>
        <v>0</v>
      </c>
      <c r="G113" s="90">
        <f t="shared" si="28"/>
        <v>0</v>
      </c>
      <c r="H113" s="90">
        <f t="shared" si="28"/>
        <v>0</v>
      </c>
      <c r="I113" s="90">
        <f t="shared" si="28"/>
        <v>0</v>
      </c>
      <c r="J113" s="90">
        <f t="shared" si="28"/>
        <v>0</v>
      </c>
      <c r="K113" s="90">
        <f t="shared" si="28"/>
        <v>0</v>
      </c>
      <c r="L113" s="90">
        <f t="shared" si="28"/>
        <v>0</v>
      </c>
      <c r="M113" s="90">
        <f t="shared" si="28"/>
        <v>0</v>
      </c>
      <c r="N113" s="90">
        <f t="shared" si="28"/>
        <v>0</v>
      </c>
      <c r="O113" s="90">
        <f t="shared" si="28"/>
        <v>0</v>
      </c>
    </row>
    <row r="114" spans="1:16">
      <c r="B114" s="110"/>
      <c r="C114" s="36" t="s">
        <v>328</v>
      </c>
      <c r="F114" s="90">
        <f t="shared" ref="F114:O114" si="29">F111*F$80</f>
        <v>0</v>
      </c>
      <c r="G114" s="90">
        <f t="shared" si="29"/>
        <v>0</v>
      </c>
      <c r="H114" s="90">
        <f t="shared" si="29"/>
        <v>0</v>
      </c>
      <c r="I114" s="90">
        <f t="shared" si="29"/>
        <v>0</v>
      </c>
      <c r="J114" s="90">
        <f t="shared" si="29"/>
        <v>0</v>
      </c>
      <c r="K114" s="90">
        <f t="shared" si="29"/>
        <v>0</v>
      </c>
      <c r="L114" s="90">
        <f t="shared" si="29"/>
        <v>0</v>
      </c>
      <c r="M114" s="90">
        <f t="shared" si="29"/>
        <v>0</v>
      </c>
      <c r="N114" s="90">
        <f t="shared" si="29"/>
        <v>0</v>
      </c>
      <c r="O114" s="90">
        <f t="shared" si="29"/>
        <v>0</v>
      </c>
    </row>
    <row r="115" spans="1:16">
      <c r="F115" s="91"/>
      <c r="G115" s="91"/>
      <c r="H115" s="91"/>
      <c r="I115" s="91"/>
      <c r="J115" s="91"/>
      <c r="K115" s="91"/>
      <c r="L115" s="91"/>
      <c r="M115" s="91"/>
      <c r="N115" s="91"/>
      <c r="O115" s="91"/>
    </row>
    <row r="116" spans="1:16">
      <c r="F116" s="90"/>
      <c r="G116" s="90"/>
      <c r="H116" s="90"/>
      <c r="I116" s="90"/>
      <c r="J116" s="90"/>
      <c r="K116" s="90"/>
      <c r="L116" s="90"/>
      <c r="M116" s="90"/>
      <c r="N116" s="90"/>
      <c r="O116" s="90"/>
    </row>
    <row r="117" spans="1:16">
      <c r="B117" s="506" t="s">
        <v>648</v>
      </c>
      <c r="C117" s="506" t="s">
        <v>677</v>
      </c>
      <c r="F117" s="90"/>
      <c r="G117" s="90"/>
      <c r="H117" s="90"/>
      <c r="I117" s="90"/>
      <c r="J117" s="90"/>
      <c r="K117" s="90"/>
      <c r="L117" s="90"/>
      <c r="M117" s="90"/>
      <c r="N117" s="90"/>
      <c r="O117" s="90"/>
    </row>
    <row r="118" spans="1:16" ht="14.25">
      <c r="C118" s="36" t="s">
        <v>399</v>
      </c>
      <c r="E118" s="36" t="s">
        <v>368</v>
      </c>
      <c r="F118" s="90"/>
      <c r="G118" s="90"/>
      <c r="H118" s="90"/>
      <c r="I118" s="90"/>
      <c r="J118" s="90"/>
      <c r="K118" s="90"/>
      <c r="L118" s="90"/>
      <c r="M118" s="90"/>
      <c r="N118" s="90"/>
      <c r="O118" s="90"/>
    </row>
    <row r="119" spans="1:16">
      <c r="C119" s="36" t="s">
        <v>400</v>
      </c>
      <c r="F119" s="90"/>
      <c r="G119" s="90"/>
      <c r="H119" s="90"/>
      <c r="I119" s="90"/>
      <c r="J119" s="90"/>
      <c r="K119" s="90"/>
      <c r="L119" s="90"/>
      <c r="M119" s="90"/>
      <c r="N119" s="90"/>
      <c r="O119" s="90"/>
    </row>
    <row r="120" spans="1:16">
      <c r="F120" s="90"/>
      <c r="G120" s="90"/>
      <c r="H120" s="90"/>
      <c r="I120" s="90"/>
      <c r="J120" s="90"/>
      <c r="K120" s="90"/>
      <c r="L120" s="90"/>
      <c r="M120" s="90"/>
      <c r="N120" s="90"/>
      <c r="O120" s="90"/>
    </row>
    <row r="121" spans="1:16">
      <c r="F121" s="90"/>
      <c r="G121" s="90"/>
      <c r="H121" s="90"/>
      <c r="I121" s="90"/>
      <c r="J121" s="90"/>
      <c r="K121" s="90"/>
      <c r="L121" s="90"/>
      <c r="M121" s="90"/>
      <c r="N121" s="90"/>
      <c r="O121" s="90"/>
    </row>
    <row r="122" spans="1:16">
      <c r="F122" s="90"/>
      <c r="G122" s="90"/>
      <c r="H122" s="90"/>
      <c r="I122" s="90"/>
      <c r="J122" s="90"/>
      <c r="K122" s="90"/>
      <c r="L122" s="90"/>
      <c r="M122" s="90"/>
      <c r="N122" s="90"/>
      <c r="O122" s="90"/>
    </row>
    <row r="124" spans="1:16" s="400" customFormat="1"/>
    <row r="125" spans="1:16" ht="22.5">
      <c r="A125" s="163"/>
      <c r="B125" s="206" t="s">
        <v>202</v>
      </c>
      <c r="C125" s="175"/>
      <c r="D125" s="175"/>
      <c r="E125" s="175"/>
      <c r="F125" s="175"/>
      <c r="G125" s="175"/>
      <c r="H125" s="175"/>
      <c r="I125" s="175"/>
      <c r="J125" s="175"/>
      <c r="K125" s="175"/>
      <c r="L125" s="175"/>
      <c r="M125" s="175"/>
      <c r="N125" s="175"/>
      <c r="O125" s="175"/>
      <c r="P125" s="177"/>
    </row>
    <row r="126" spans="1:16">
      <c r="B126" s="164"/>
      <c r="C126" s="166" t="s">
        <v>766</v>
      </c>
      <c r="D126" s="166"/>
      <c r="E126" s="166"/>
      <c r="F126" s="166"/>
      <c r="G126" s="166"/>
      <c r="H126" s="166"/>
      <c r="I126" s="166"/>
      <c r="J126" s="166"/>
      <c r="K126" s="166"/>
      <c r="L126" s="166"/>
      <c r="M126" s="166"/>
      <c r="N126" s="166"/>
      <c r="O126" s="166"/>
      <c r="P126" s="168"/>
    </row>
    <row r="127" spans="1:16">
      <c r="B127" s="164"/>
      <c r="C127" s="178" t="s">
        <v>674</v>
      </c>
      <c r="D127" s="166"/>
      <c r="E127" s="167"/>
      <c r="F127" s="166"/>
      <c r="G127" s="167"/>
      <c r="H127" s="166"/>
      <c r="I127" s="166"/>
      <c r="J127" s="166"/>
      <c r="K127" s="166"/>
      <c r="L127" s="166"/>
      <c r="M127" s="166"/>
      <c r="N127" s="166"/>
      <c r="O127" s="167" t="str">
        <f>preferences.energyunits</f>
        <v>TWh</v>
      </c>
      <c r="P127" s="168"/>
    </row>
    <row r="128" spans="1:16" ht="6" customHeight="1">
      <c r="B128" s="164"/>
      <c r="C128" s="166"/>
      <c r="D128" s="166"/>
      <c r="E128" s="166"/>
      <c r="F128" s="166"/>
      <c r="G128" s="166"/>
      <c r="H128" s="166"/>
      <c r="I128" s="166"/>
      <c r="J128" s="166"/>
      <c r="K128" s="166"/>
      <c r="L128" s="166"/>
      <c r="M128" s="166"/>
      <c r="N128" s="166"/>
      <c r="O128" s="166"/>
      <c r="P128" s="168"/>
    </row>
    <row r="129" spans="1:16" ht="15.75">
      <c r="A129" s="3"/>
      <c r="B129" s="169"/>
      <c r="C129" s="180" t="s">
        <v>64</v>
      </c>
      <c r="D129" s="180" t="s">
        <v>137</v>
      </c>
      <c r="E129" s="180" t="s">
        <v>156</v>
      </c>
      <c r="F129" s="1325" t="s">
        <v>203</v>
      </c>
      <c r="G129" s="1326" t="s">
        <v>712</v>
      </c>
      <c r="H129" s="1326" t="s">
        <v>713</v>
      </c>
      <c r="I129" s="1326" t="s">
        <v>714</v>
      </c>
      <c r="J129" s="1326" t="s">
        <v>715</v>
      </c>
      <c r="K129" s="1326" t="s">
        <v>716</v>
      </c>
      <c r="L129" s="1326" t="s">
        <v>717</v>
      </c>
      <c r="M129" s="1326" t="s">
        <v>718</v>
      </c>
      <c r="N129" s="1326" t="s">
        <v>719</v>
      </c>
      <c r="O129" s="1326" t="s">
        <v>720</v>
      </c>
      <c r="P129" s="168"/>
    </row>
    <row r="130" spans="1:16" ht="15.75">
      <c r="A130" s="3"/>
      <c r="B130" s="169"/>
      <c r="C130" s="180" t="s">
        <v>13</v>
      </c>
      <c r="D130" s="180" t="str">
        <f>INDEX(Vectors[Description], MATCH([Vector], Vectors[Code], 0))</f>
        <v>Industry</v>
      </c>
      <c r="E130" s="180"/>
      <c r="F130" s="220"/>
      <c r="G130" s="220"/>
      <c r="H130" s="220"/>
      <c r="I130" s="220"/>
      <c r="J130" s="220"/>
      <c r="K130" s="220"/>
      <c r="L130" s="220"/>
      <c r="M130" s="220"/>
      <c r="N130" s="220"/>
      <c r="O130" s="220"/>
      <c r="P130" s="168"/>
    </row>
    <row r="131" spans="1:16" ht="15.75">
      <c r="A131" s="3"/>
      <c r="B131" s="169"/>
      <c r="C131" s="60" t="s">
        <v>34</v>
      </c>
      <c r="D131" s="60" t="str">
        <f>INDEX(Vectors[Description], MATCH([Vector], Vectors[Code], 0))</f>
        <v>Electricity (delivered to end user)</v>
      </c>
      <c r="E131" s="60"/>
      <c r="F131" s="129"/>
      <c r="G131" s="129"/>
      <c r="H131" s="129"/>
      <c r="I131" s="129"/>
      <c r="J131" s="129"/>
      <c r="K131" s="129"/>
      <c r="L131" s="129"/>
      <c r="M131" s="129"/>
      <c r="N131" s="129"/>
      <c r="O131" s="129"/>
      <c r="P131" s="168"/>
    </row>
    <row r="132" spans="1:16" ht="15.75">
      <c r="A132" s="3"/>
      <c r="B132" s="169"/>
      <c r="C132" s="60" t="s">
        <v>36</v>
      </c>
      <c r="D132" s="60" t="str">
        <f>INDEX(Vectors[Description], MATCH([Vector], Vectors[Code], 0))</f>
        <v>Solid hydrocarbons</v>
      </c>
      <c r="E132" s="60"/>
      <c r="F132" s="129">
        <f t="shared" ref="F132:O132" si="30">-F$113</f>
        <v>0</v>
      </c>
      <c r="G132" s="129">
        <f t="shared" si="30"/>
        <v>0</v>
      </c>
      <c r="H132" s="129">
        <f t="shared" si="30"/>
        <v>0</v>
      </c>
      <c r="I132" s="129">
        <f t="shared" si="30"/>
        <v>0</v>
      </c>
      <c r="J132" s="129">
        <f t="shared" si="30"/>
        <v>0</v>
      </c>
      <c r="K132" s="129">
        <f t="shared" si="30"/>
        <v>0</v>
      </c>
      <c r="L132" s="129">
        <f t="shared" si="30"/>
        <v>0</v>
      </c>
      <c r="M132" s="129">
        <f t="shared" si="30"/>
        <v>0</v>
      </c>
      <c r="N132" s="129">
        <f t="shared" si="30"/>
        <v>0</v>
      </c>
      <c r="O132" s="129">
        <f t="shared" si="30"/>
        <v>0</v>
      </c>
      <c r="P132" s="168"/>
    </row>
    <row r="133" spans="1:16" ht="15.75">
      <c r="A133" s="3"/>
      <c r="B133" s="169"/>
      <c r="C133" s="60" t="s">
        <v>39</v>
      </c>
      <c r="D133" s="60" t="str">
        <f>INDEX(Vectors[Description], MATCH([Vector], Vectors[Code], 0))</f>
        <v>Gaseous hydrocarbons</v>
      </c>
      <c r="E133" s="60"/>
      <c r="F133" s="129"/>
      <c r="G133" s="129"/>
      <c r="H133" s="129"/>
      <c r="I133" s="129"/>
      <c r="J133" s="129"/>
      <c r="K133" s="129"/>
      <c r="L133" s="129"/>
      <c r="M133" s="129"/>
      <c r="N133" s="129"/>
      <c r="O133" s="129"/>
      <c r="P133" s="168"/>
    </row>
    <row r="134" spans="1:16" ht="15.75">
      <c r="A134" s="3"/>
      <c r="B134" s="169"/>
      <c r="C134" s="60" t="s">
        <v>51</v>
      </c>
      <c r="D134" s="60" t="str">
        <f>INDEX(Vectors[Description], MATCH([Vector], Vectors[Code], 0))</f>
        <v>Coal indigenous production</v>
      </c>
      <c r="E134" s="60"/>
      <c r="F134" s="129">
        <f t="shared" ref="F134:O134" si="31">F$111</f>
        <v>2003.3688000000002</v>
      </c>
      <c r="G134" s="129">
        <f t="shared" si="31"/>
        <v>2704.3935000000001</v>
      </c>
      <c r="H134" s="129">
        <f t="shared" si="31"/>
        <v>3143.1914134327285</v>
      </c>
      <c r="I134" s="129">
        <f t="shared" si="31"/>
        <v>3584.1507638983121</v>
      </c>
      <c r="J134" s="129">
        <f t="shared" si="31"/>
        <v>3874.5049279836685</v>
      </c>
      <c r="K134" s="129">
        <f t="shared" si="31"/>
        <v>3958.482454759453</v>
      </c>
      <c r="L134" s="129">
        <f t="shared" si="31"/>
        <v>4025.5714811854732</v>
      </c>
      <c r="M134" s="129">
        <f t="shared" si="31"/>
        <v>3406.6022071917232</v>
      </c>
      <c r="N134" s="129">
        <f t="shared" si="31"/>
        <v>2878.2636796999973</v>
      </c>
      <c r="O134" s="129">
        <f t="shared" si="31"/>
        <v>2435.1118288080042</v>
      </c>
      <c r="P134" s="168"/>
    </row>
    <row r="135" spans="1:16" ht="15.75">
      <c r="A135" s="3"/>
      <c r="B135" s="169"/>
      <c r="C135" s="60" t="s">
        <v>52</v>
      </c>
      <c r="D135" s="60" t="str">
        <f>INDEX(Vectors[Description], MATCH([Vector], Vectors[Code], 0))</f>
        <v>Oil and petroleum products</v>
      </c>
      <c r="E135" s="60"/>
      <c r="F135" s="129"/>
      <c r="G135" s="129"/>
      <c r="H135" s="129"/>
      <c r="I135" s="129"/>
      <c r="J135" s="129"/>
      <c r="K135" s="129"/>
      <c r="L135" s="129"/>
      <c r="M135" s="129"/>
      <c r="N135" s="129"/>
      <c r="O135" s="129"/>
      <c r="P135" s="168"/>
    </row>
    <row r="136" spans="1:16" ht="15.75">
      <c r="A136" s="3"/>
      <c r="B136" s="169"/>
      <c r="C136" s="60" t="s">
        <v>53</v>
      </c>
      <c r="D136" s="60" t="str">
        <f>INDEX(Vectors[Description], MATCH([Vector], Vectors[Code], 0))</f>
        <v>Natural gas</v>
      </c>
      <c r="E136" s="60"/>
      <c r="F136" s="129"/>
      <c r="G136" s="129"/>
      <c r="H136" s="129"/>
      <c r="I136" s="129"/>
      <c r="J136" s="129"/>
      <c r="K136" s="129"/>
      <c r="L136" s="129"/>
      <c r="M136" s="129"/>
      <c r="N136" s="129"/>
      <c r="O136" s="129"/>
      <c r="P136" s="168"/>
    </row>
    <row r="137" spans="1:16" ht="15.75">
      <c r="A137" s="3"/>
      <c r="B137" s="169"/>
      <c r="C137" s="60" t="s">
        <v>320</v>
      </c>
      <c r="D137" s="60" t="str">
        <f>INDEX(Vectors[Description], MATCH([Vector], Vectors[Code], 0))</f>
        <v>Coal reserves</v>
      </c>
      <c r="E137" s="60"/>
      <c r="F137" s="129">
        <f t="shared" ref="F137:O137" si="32">-F$111</f>
        <v>-2003.3688000000002</v>
      </c>
      <c r="G137" s="129">
        <f t="shared" si="32"/>
        <v>-2704.3935000000001</v>
      </c>
      <c r="H137" s="129">
        <f t="shared" si="32"/>
        <v>-3143.1914134327285</v>
      </c>
      <c r="I137" s="129">
        <f t="shared" si="32"/>
        <v>-3584.1507638983121</v>
      </c>
      <c r="J137" s="129">
        <f t="shared" si="32"/>
        <v>-3874.5049279836685</v>
      </c>
      <c r="K137" s="129">
        <f t="shared" si="32"/>
        <v>-3958.482454759453</v>
      </c>
      <c r="L137" s="129">
        <f t="shared" si="32"/>
        <v>-4025.5714811854732</v>
      </c>
      <c r="M137" s="129">
        <f t="shared" si="32"/>
        <v>-3406.6022071917232</v>
      </c>
      <c r="N137" s="129">
        <f t="shared" si="32"/>
        <v>-2878.2636796999973</v>
      </c>
      <c r="O137" s="129">
        <f t="shared" si="32"/>
        <v>-2435.1118288080042</v>
      </c>
      <c r="P137" s="168"/>
    </row>
    <row r="138" spans="1:16" ht="15.75">
      <c r="A138" s="3"/>
      <c r="B138" s="169"/>
      <c r="C138" s="60" t="s">
        <v>321</v>
      </c>
      <c r="D138" s="60" t="str">
        <f>INDEX(Vectors[Description], MATCH([Vector], Vectors[Code], 0))</f>
        <v>Oil reserves</v>
      </c>
      <c r="E138" s="60"/>
      <c r="F138" s="129"/>
      <c r="G138" s="129"/>
      <c r="H138" s="129"/>
      <c r="I138" s="129"/>
      <c r="J138" s="129"/>
      <c r="K138" s="129"/>
      <c r="L138" s="129"/>
      <c r="M138" s="129"/>
      <c r="N138" s="129"/>
      <c r="O138" s="129"/>
      <c r="P138" s="168"/>
    </row>
    <row r="139" spans="1:16" ht="15.75">
      <c r="A139" s="3"/>
      <c r="B139" s="169"/>
      <c r="C139" s="60" t="s">
        <v>322</v>
      </c>
      <c r="D139" s="60" t="str">
        <f>INDEX(Vectors[Description], MATCH([Vector], Vectors[Code], 0))</f>
        <v>Gas reserves</v>
      </c>
      <c r="E139" s="60"/>
      <c r="F139" s="129"/>
      <c r="G139" s="129"/>
      <c r="H139" s="129"/>
      <c r="I139" s="129"/>
      <c r="J139" s="129"/>
      <c r="K139" s="129"/>
      <c r="L139" s="129"/>
      <c r="M139" s="129"/>
      <c r="N139" s="129"/>
      <c r="O139" s="129"/>
      <c r="P139" s="168"/>
    </row>
    <row r="140" spans="1:16" ht="15.75">
      <c r="A140" s="3"/>
      <c r="B140" s="169"/>
      <c r="C140" s="60" t="s">
        <v>103</v>
      </c>
      <c r="D140" s="60"/>
      <c r="E140" s="60"/>
      <c r="F140" s="231">
        <f>SUBTOTAL(109,[2007])</f>
        <v>0</v>
      </c>
      <c r="G140" s="231">
        <f>SUBTOTAL(109,[2012])</f>
        <v>0</v>
      </c>
      <c r="H140" s="231">
        <f>SUBTOTAL(109,[2017])</f>
        <v>0</v>
      </c>
      <c r="I140" s="231">
        <f>SUBTOTAL(109,[2022])</f>
        <v>0</v>
      </c>
      <c r="J140" s="231">
        <f>SUBTOTAL(109,[2027])</f>
        <v>0</v>
      </c>
      <c r="K140" s="231">
        <f>SUBTOTAL(109,[2032])</f>
        <v>0</v>
      </c>
      <c r="L140" s="231">
        <f>SUBTOTAL(109,[2037])</f>
        <v>0</v>
      </c>
      <c r="M140" s="231">
        <f>SUBTOTAL(109,[2042])</f>
        <v>0</v>
      </c>
      <c r="N140" s="231">
        <f>SUBTOTAL(109,[2047])</f>
        <v>0</v>
      </c>
      <c r="O140" s="231">
        <f>SUBTOTAL(109,[2052])</f>
        <v>0</v>
      </c>
      <c r="P140" s="168"/>
    </row>
    <row r="141" spans="1:16" ht="15.75">
      <c r="A141" s="3"/>
      <c r="B141" s="170"/>
      <c r="C141" s="224"/>
      <c r="D141" s="225"/>
      <c r="E141" s="225"/>
      <c r="F141" s="225"/>
      <c r="G141" s="225"/>
      <c r="H141" s="225"/>
      <c r="I141" s="225"/>
      <c r="J141" s="225"/>
      <c r="K141" s="225"/>
      <c r="L141" s="225"/>
      <c r="M141" s="225"/>
      <c r="N141" s="225"/>
      <c r="O141" s="225"/>
      <c r="P141" s="173"/>
    </row>
    <row r="143" spans="1:16" ht="22.5">
      <c r="A143" s="163"/>
      <c r="B143" s="216" t="s">
        <v>281</v>
      </c>
      <c r="C143" s="183"/>
      <c r="D143" s="184"/>
      <c r="E143" s="184"/>
      <c r="F143" s="184"/>
      <c r="G143" s="184"/>
      <c r="H143" s="184"/>
      <c r="I143" s="184"/>
      <c r="J143" s="184"/>
      <c r="K143" s="184"/>
      <c r="L143" s="184"/>
      <c r="M143" s="184"/>
      <c r="N143" s="184"/>
      <c r="O143" s="184"/>
      <c r="P143" s="185"/>
    </row>
    <row r="144" spans="1:16">
      <c r="B144" s="190"/>
      <c r="C144" s="191"/>
      <c r="D144" s="191"/>
      <c r="E144" s="191"/>
      <c r="F144" s="191"/>
      <c r="G144" s="191"/>
      <c r="H144" s="191"/>
      <c r="I144" s="191"/>
      <c r="J144" s="191"/>
      <c r="K144" s="191"/>
      <c r="L144" s="191"/>
      <c r="M144" s="191"/>
      <c r="N144" s="191"/>
      <c r="O144" s="191"/>
      <c r="P144" s="192"/>
    </row>
    <row r="145" spans="2:24" ht="14.25">
      <c r="B145" s="193"/>
      <c r="C145" s="186" t="s">
        <v>366</v>
      </c>
      <c r="D145" s="187"/>
      <c r="E145" s="188"/>
      <c r="F145" s="187"/>
      <c r="G145" s="188"/>
      <c r="H145" s="187"/>
      <c r="I145" s="187"/>
      <c r="J145" s="187"/>
      <c r="K145" s="187"/>
      <c r="L145" s="187"/>
      <c r="M145" s="187"/>
      <c r="N145" s="187"/>
      <c r="O145" s="188" t="s">
        <v>368</v>
      </c>
      <c r="P145" s="194"/>
    </row>
    <row r="146" spans="2:24" ht="5.25" customHeight="1">
      <c r="B146" s="193"/>
      <c r="C146" s="187"/>
      <c r="D146" s="187"/>
      <c r="E146" s="187"/>
      <c r="F146" s="187"/>
      <c r="G146" s="187"/>
      <c r="H146" s="187"/>
      <c r="I146" s="187"/>
      <c r="J146" s="187"/>
      <c r="K146" s="187"/>
      <c r="L146" s="187"/>
      <c r="M146" s="187"/>
      <c r="N146" s="187"/>
      <c r="O146" s="187"/>
      <c r="P146" s="194"/>
    </row>
    <row r="147" spans="2:24" ht="15.75">
      <c r="B147" s="195"/>
      <c r="C147" s="221" t="s">
        <v>365</v>
      </c>
      <c r="D147" s="221" t="s">
        <v>337</v>
      </c>
      <c r="E147" s="1324" t="s">
        <v>156</v>
      </c>
      <c r="F147" s="1325" t="s">
        <v>203</v>
      </c>
      <c r="G147" s="1326" t="s">
        <v>712</v>
      </c>
      <c r="H147" s="1326" t="s">
        <v>713</v>
      </c>
      <c r="I147" s="1326" t="s">
        <v>714</v>
      </c>
      <c r="J147" s="1326" t="s">
        <v>715</v>
      </c>
      <c r="K147" s="1326" t="s">
        <v>716</v>
      </c>
      <c r="L147" s="1326" t="s">
        <v>717</v>
      </c>
      <c r="M147" s="1326" t="s">
        <v>718</v>
      </c>
      <c r="N147" s="1326" t="s">
        <v>719</v>
      </c>
      <c r="O147" s="1326" t="s">
        <v>720</v>
      </c>
      <c r="P147" s="194"/>
    </row>
    <row r="148" spans="2:24" ht="15.75">
      <c r="B148" s="195"/>
      <c r="C148" s="189" t="s">
        <v>350</v>
      </c>
      <c r="D148" s="196" t="s">
        <v>358</v>
      </c>
      <c r="E148" s="189" t="str">
        <f>INDEX(IPCC[Sector_description], MATCH([IPCC Sector], IPCC[Sector_code], 0))</f>
        <v>Fugitive Emissions from Fuels</v>
      </c>
      <c r="F148" s="197"/>
      <c r="G148" s="197"/>
      <c r="H148" s="197"/>
      <c r="I148" s="197"/>
      <c r="J148" s="197"/>
      <c r="K148" s="197"/>
      <c r="L148" s="197"/>
      <c r="M148" s="197"/>
      <c r="N148" s="197"/>
      <c r="O148" s="197"/>
      <c r="P148" s="194"/>
    </row>
    <row r="149" spans="2:24" ht="15.75">
      <c r="B149" s="195"/>
      <c r="C149" s="189" t="s">
        <v>351</v>
      </c>
      <c r="D149" s="196" t="s">
        <v>358</v>
      </c>
      <c r="E149" s="189" t="str">
        <f>INDEX(IPCC[Sector_description], MATCH([IPCC Sector], IPCC[Sector_code], 0))</f>
        <v>Fugitive Emissions from Fuels</v>
      </c>
      <c r="F149" s="197"/>
      <c r="G149" s="197"/>
      <c r="H149" s="197"/>
      <c r="I149" s="197"/>
      <c r="J149" s="197"/>
      <c r="K149" s="197"/>
      <c r="L149" s="197"/>
      <c r="M149" s="197"/>
      <c r="N149" s="197"/>
      <c r="O149" s="197"/>
      <c r="P149" s="194"/>
    </row>
    <row r="150" spans="2:24" ht="15.75">
      <c r="B150" s="195"/>
      <c r="C150" s="189" t="s">
        <v>350</v>
      </c>
      <c r="D150" s="196" t="s">
        <v>359</v>
      </c>
      <c r="E150" s="189" t="str">
        <f>INDEX(IPCC[Sector_description], MATCH([IPCC Sector], IPCC[Sector_code], 0))</f>
        <v>Fuel Combustion</v>
      </c>
      <c r="F150" s="197"/>
      <c r="G150" s="197"/>
      <c r="H150" s="197"/>
      <c r="I150" s="197"/>
      <c r="J150" s="197"/>
      <c r="K150" s="197"/>
      <c r="L150" s="197"/>
      <c r="M150" s="197"/>
      <c r="N150" s="197"/>
      <c r="O150" s="197"/>
      <c r="P150" s="194"/>
    </row>
    <row r="151" spans="2:24" ht="15.75">
      <c r="B151" s="195"/>
      <c r="C151" s="189" t="s">
        <v>351</v>
      </c>
      <c r="D151" s="196" t="s">
        <v>359</v>
      </c>
      <c r="E151" s="189" t="str">
        <f>INDEX(IPCC[Sector_description], MATCH([IPCC Sector], IPCC[Sector_code], 0))</f>
        <v>Fuel Combustion</v>
      </c>
      <c r="F151" s="197"/>
      <c r="G151" s="197"/>
      <c r="H151" s="197"/>
      <c r="I151" s="197"/>
      <c r="J151" s="197"/>
      <c r="K151" s="197"/>
      <c r="L151" s="197"/>
      <c r="M151" s="197"/>
      <c r="N151" s="197"/>
      <c r="O151" s="197"/>
      <c r="P151" s="194"/>
    </row>
    <row r="152" spans="2:24" ht="15.75">
      <c r="B152" s="195"/>
      <c r="C152" s="189" t="s">
        <v>352</v>
      </c>
      <c r="D152" s="196" t="s">
        <v>359</v>
      </c>
      <c r="E152" s="189" t="str">
        <f>INDEX(IPCC[Sector_description], MATCH([IPCC Sector], IPCC[Sector_code], 0))</f>
        <v>Fuel Combustion</v>
      </c>
      <c r="F152" s="197"/>
      <c r="G152" s="197"/>
      <c r="H152" s="197"/>
      <c r="I152" s="197"/>
      <c r="J152" s="197"/>
      <c r="K152" s="197"/>
      <c r="L152" s="197"/>
      <c r="M152" s="197"/>
      <c r="N152" s="197"/>
      <c r="O152" s="197"/>
      <c r="P152" s="194"/>
      <c r="R152" s="35"/>
      <c r="S152" s="35"/>
      <c r="T152" s="35"/>
      <c r="U152" s="35"/>
      <c r="V152" s="35"/>
      <c r="W152" s="35"/>
      <c r="X152" s="35"/>
    </row>
    <row r="153" spans="2:24" ht="15.75">
      <c r="B153" s="195"/>
      <c r="C153" s="189" t="s">
        <v>103</v>
      </c>
      <c r="D153" s="189"/>
      <c r="E153" s="189"/>
      <c r="F153" s="223">
        <f>SUBTOTAL(109,[2007])</f>
        <v>0</v>
      </c>
      <c r="G153" s="223">
        <f>SUBTOTAL(109,[2012])</f>
        <v>0</v>
      </c>
      <c r="H153" s="223">
        <f>SUBTOTAL(109,[2017])</f>
        <v>0</v>
      </c>
      <c r="I153" s="223">
        <f>SUBTOTAL(109,[2022])</f>
        <v>0</v>
      </c>
      <c r="J153" s="223">
        <f>SUBTOTAL(109,[2027])</f>
        <v>0</v>
      </c>
      <c r="K153" s="223">
        <f>SUBTOTAL(109,[2032])</f>
        <v>0</v>
      </c>
      <c r="L153" s="223">
        <f>SUBTOTAL(109,[2037])</f>
        <v>0</v>
      </c>
      <c r="M153" s="223">
        <f>SUBTOTAL(109,[2042])</f>
        <v>0</v>
      </c>
      <c r="N153" s="223">
        <f>SUBTOTAL(109,[2047])</f>
        <v>0</v>
      </c>
      <c r="O153" s="223">
        <f>SUBTOTAL(109,[2052])</f>
        <v>0</v>
      </c>
      <c r="P153" s="194"/>
      <c r="R153" s="35"/>
      <c r="S153" s="35"/>
      <c r="T153" s="35"/>
      <c r="U153" s="35"/>
      <c r="V153" s="35"/>
      <c r="W153" s="35"/>
      <c r="X153" s="35"/>
    </row>
    <row r="154" spans="2:24" ht="15.75">
      <c r="B154" s="195"/>
      <c r="C154" s="187"/>
      <c r="D154" s="187"/>
      <c r="E154" s="187"/>
      <c r="F154" s="187"/>
      <c r="G154" s="187"/>
      <c r="H154" s="187"/>
      <c r="I154" s="187"/>
      <c r="J154" s="187"/>
      <c r="K154" s="187"/>
      <c r="L154" s="187"/>
      <c r="M154" s="187"/>
      <c r="N154" s="187"/>
      <c r="O154" s="187"/>
      <c r="P154" s="194"/>
      <c r="R154" s="35"/>
      <c r="S154" s="35"/>
      <c r="T154" s="35"/>
      <c r="U154" s="35"/>
      <c r="V154" s="35"/>
      <c r="W154" s="35"/>
      <c r="X154" s="35"/>
    </row>
    <row r="155" spans="2:24">
      <c r="R155" s="35"/>
      <c r="S155" s="35"/>
      <c r="T155" s="35"/>
      <c r="U155" s="35"/>
      <c r="V155" s="35"/>
      <c r="W155" s="35"/>
      <c r="X155" s="35"/>
    </row>
    <row r="156" spans="2:24">
      <c r="R156" s="35"/>
      <c r="S156" s="35"/>
      <c r="T156" s="35"/>
      <c r="U156" s="35"/>
      <c r="V156" s="35"/>
      <c r="W156" s="35"/>
      <c r="X156" s="35"/>
    </row>
    <row r="157" spans="2:24" s="353" customFormat="1" ht="21.75" customHeight="1">
      <c r="B157" s="424" t="s">
        <v>501</v>
      </c>
      <c r="C157" s="346"/>
      <c r="D157" s="425"/>
      <c r="E157" s="425"/>
      <c r="F157" s="425"/>
      <c r="G157" s="425"/>
      <c r="H157" s="425"/>
      <c r="I157" s="425"/>
      <c r="J157" s="425"/>
      <c r="K157" s="425"/>
      <c r="L157" s="425"/>
      <c r="M157" s="425"/>
      <c r="N157" s="425"/>
      <c r="O157" s="425"/>
      <c r="P157" s="426"/>
      <c r="R157" s="35"/>
      <c r="S157" s="35"/>
      <c r="T157" s="32"/>
      <c r="U157" s="35"/>
      <c r="V157" s="35"/>
      <c r="W157" s="35"/>
      <c r="X157" s="35"/>
    </row>
    <row r="158" spans="2:24" s="353" customFormat="1">
      <c r="B158" s="347"/>
      <c r="C158" s="348"/>
      <c r="D158" s="348"/>
      <c r="E158" s="348"/>
      <c r="F158" s="2978" t="s">
        <v>2326</v>
      </c>
      <c r="G158" s="348"/>
      <c r="H158" s="348"/>
      <c r="I158" s="348"/>
      <c r="J158" s="348"/>
      <c r="K158" s="348"/>
      <c r="L158" s="348"/>
      <c r="M158" s="348"/>
      <c r="N158" s="348"/>
      <c r="O158" s="348"/>
      <c r="P158" s="349"/>
      <c r="R158" s="35"/>
      <c r="S158" s="35"/>
      <c r="T158" s="32"/>
      <c r="U158" s="35"/>
      <c r="V158" s="35"/>
      <c r="W158" s="35"/>
      <c r="X158" s="35"/>
    </row>
    <row r="159" spans="2:24" s="353" customFormat="1">
      <c r="B159" s="427"/>
      <c r="C159" s="350" t="s">
        <v>506</v>
      </c>
      <c r="D159" s="428"/>
      <c r="E159" s="351"/>
      <c r="F159" s="428"/>
      <c r="G159" s="351"/>
      <c r="H159" s="428"/>
      <c r="I159" s="428"/>
      <c r="J159" s="428"/>
      <c r="K159" s="428"/>
      <c r="L159" s="428"/>
      <c r="M159" s="428"/>
      <c r="N159" s="428"/>
      <c r="O159" s="351"/>
      <c r="P159" s="429"/>
      <c r="R159" s="35"/>
      <c r="S159" s="35"/>
      <c r="T159" s="32"/>
      <c r="U159" s="35"/>
      <c r="V159" s="35"/>
      <c r="W159" s="35"/>
      <c r="X159" s="35"/>
    </row>
    <row r="160" spans="2:24" s="353" customFormat="1" ht="4.5" customHeight="1">
      <c r="B160" s="427"/>
      <c r="C160" s="428"/>
      <c r="D160" s="428"/>
      <c r="E160" s="428"/>
      <c r="F160" s="428"/>
      <c r="G160" s="428"/>
      <c r="H160" s="428"/>
      <c r="I160" s="428"/>
      <c r="J160" s="428"/>
      <c r="K160" s="428"/>
      <c r="L160" s="428"/>
      <c r="M160" s="428"/>
      <c r="N160" s="428"/>
      <c r="O160" s="428"/>
      <c r="P160" s="429"/>
      <c r="R160" s="35"/>
      <c r="S160" s="35"/>
      <c r="T160" s="32"/>
      <c r="U160" s="35"/>
      <c r="V160" s="35"/>
      <c r="W160" s="35"/>
      <c r="X160" s="35"/>
    </row>
    <row r="161" spans="2:24" s="353" customFormat="1" ht="15.75">
      <c r="B161" s="430"/>
      <c r="C161" s="431" t="s">
        <v>64</v>
      </c>
      <c r="D161" s="431" t="s">
        <v>502</v>
      </c>
      <c r="E161" s="431" t="s">
        <v>156</v>
      </c>
      <c r="F161" s="230" t="s">
        <v>203</v>
      </c>
      <c r="G161" s="566" t="s">
        <v>712</v>
      </c>
      <c r="H161" s="566" t="s">
        <v>713</v>
      </c>
      <c r="I161" s="566" t="s">
        <v>714</v>
      </c>
      <c r="J161" s="566" t="s">
        <v>715</v>
      </c>
      <c r="K161" s="566" t="s">
        <v>716</v>
      </c>
      <c r="L161" s="566" t="s">
        <v>717</v>
      </c>
      <c r="M161" s="566" t="s">
        <v>718</v>
      </c>
      <c r="N161" s="566" t="s">
        <v>719</v>
      </c>
      <c r="O161" s="566" t="s">
        <v>720</v>
      </c>
      <c r="P161" s="429"/>
      <c r="R161" s="35"/>
      <c r="S161" s="35"/>
      <c r="T161" s="35"/>
      <c r="U161" s="35"/>
      <c r="V161" s="35"/>
      <c r="W161" s="35"/>
      <c r="X161" s="35"/>
    </row>
    <row r="162" spans="2:24" s="353" customFormat="1" ht="15.75">
      <c r="B162" s="430"/>
      <c r="C162" s="432" t="s">
        <v>503</v>
      </c>
      <c r="D162" s="432" t="s">
        <v>765</v>
      </c>
      <c r="E162" s="433" t="str">
        <f>Preferences.AreaUnits</f>
        <v>ha</v>
      </c>
      <c r="F162" s="2979"/>
      <c r="G162" s="2979"/>
      <c r="H162" s="2979"/>
      <c r="I162" s="2979"/>
      <c r="J162" s="2979"/>
      <c r="K162" s="2979"/>
      <c r="L162" s="2979"/>
      <c r="M162" s="2979"/>
      <c r="N162" s="2979"/>
      <c r="O162" s="2979"/>
      <c r="P162" s="589"/>
      <c r="R162" s="35"/>
      <c r="S162" s="35"/>
      <c r="T162" s="35"/>
      <c r="U162" s="35"/>
      <c r="V162" s="35"/>
      <c r="W162" s="35"/>
      <c r="X162" s="35"/>
    </row>
    <row r="163" spans="2:24" s="353" customFormat="1" ht="15.75">
      <c r="B163" s="430"/>
      <c r="C163" s="432" t="s">
        <v>320</v>
      </c>
      <c r="D163" s="433" t="str">
        <f>INDEX(Vectors[Description], MATCH([Vector], Vectors[Code], 0))</f>
        <v>Coal reserves</v>
      </c>
      <c r="E163" s="433" t="str">
        <f>preferences.energyunits</f>
        <v>TWh</v>
      </c>
      <c r="F163" s="354">
        <f>F52</f>
        <v>2003.3688000000002</v>
      </c>
      <c r="G163" s="354">
        <f t="shared" ref="G163:O163" si="33">G52</f>
        <v>2704.3935000000001</v>
      </c>
      <c r="H163" s="354">
        <f t="shared" si="33"/>
        <v>3143.1914134327285</v>
      </c>
      <c r="I163" s="354">
        <f t="shared" si="33"/>
        <v>3584.1507638983121</v>
      </c>
      <c r="J163" s="354">
        <f t="shared" si="33"/>
        <v>3874.5049279836685</v>
      </c>
      <c r="K163" s="354">
        <f t="shared" si="33"/>
        <v>3958.482454759453</v>
      </c>
      <c r="L163" s="354">
        <f t="shared" si="33"/>
        <v>4025.5714811854732</v>
      </c>
      <c r="M163" s="354">
        <f t="shared" si="33"/>
        <v>3406.6022071917232</v>
      </c>
      <c r="N163" s="354">
        <f t="shared" si="33"/>
        <v>2878.2636796999973</v>
      </c>
      <c r="O163" s="354">
        <f t="shared" si="33"/>
        <v>2435.1118288080042</v>
      </c>
      <c r="P163" s="429"/>
    </row>
    <row r="164" spans="2:24" s="353" customFormat="1" ht="15.75">
      <c r="B164" s="355"/>
      <c r="C164" s="2878"/>
      <c r="D164" s="2980"/>
      <c r="E164" s="2878"/>
      <c r="F164" s="2981" t="s">
        <v>2327</v>
      </c>
      <c r="G164" s="354"/>
      <c r="H164" s="354"/>
      <c r="I164" s="354"/>
      <c r="J164" s="354"/>
      <c r="K164" s="354"/>
      <c r="L164" s="354"/>
      <c r="M164" s="354"/>
      <c r="N164" s="354"/>
      <c r="O164" s="354"/>
      <c r="P164" s="352"/>
    </row>
    <row r="165" spans="2:24" s="400" customFormat="1"/>
    <row r="166" spans="2:24" s="492" customFormat="1"/>
    <row r="616" spans="6:15">
      <c r="F616" s="36">
        <f>F$576*INDEX(EF[CO2], MATCH("V.04", EF[Vector], 0))</f>
        <v>0</v>
      </c>
      <c r="G616" s="522">
        <f>G$576*INDEX(EF[CO2], MATCH("V.04", EF[Vector], 0))</f>
        <v>0</v>
      </c>
      <c r="H616" s="522">
        <f>H$576*INDEX(EF[CO2], MATCH("V.04", EF[Vector], 0))</f>
        <v>0</v>
      </c>
      <c r="I616" s="522">
        <f>I$576*INDEX(EF[CO2], MATCH("V.04", EF[Vector], 0))</f>
        <v>0</v>
      </c>
      <c r="J616" s="522">
        <f>J$576*INDEX(EF[CO2], MATCH("V.04", EF[Vector], 0))</f>
        <v>0</v>
      </c>
      <c r="K616" s="522">
        <f>K$576*INDEX(EF[CO2], MATCH("V.04", EF[Vector], 0))</f>
        <v>0</v>
      </c>
      <c r="L616" s="522">
        <f>L$576*INDEX(EF[CO2], MATCH("V.04", EF[Vector], 0))</f>
        <v>0</v>
      </c>
      <c r="M616" s="522">
        <f>M$576*INDEX(EF[CO2], MATCH("V.04", EF[Vector], 0))</f>
        <v>0</v>
      </c>
      <c r="N616" s="522">
        <f>N$576*INDEX(EF[CO2], MATCH("V.04", EF[Vector], 0))</f>
        <v>0</v>
      </c>
      <c r="O616" s="522">
        <f>O$576*INDEX(EF[CO2], MATCH("V.04", EF[Vector], 0))</f>
        <v>0</v>
      </c>
    </row>
    <row r="617" spans="6:15">
      <c r="F617" s="522">
        <f>F$576*INDEX(EF[CH4], MATCH("V.04", EF[Vector], 0))</f>
        <v>0</v>
      </c>
      <c r="G617" s="522">
        <f>G$576*INDEX(EF[CH4], MATCH("V.04", EF[Vector], 0))</f>
        <v>0</v>
      </c>
      <c r="H617" s="522">
        <f>H$576*INDEX(EF[CH4], MATCH("V.04", EF[Vector], 0))</f>
        <v>0</v>
      </c>
      <c r="I617" s="522">
        <f>I$576*INDEX(EF[CH4], MATCH("V.04", EF[Vector], 0))</f>
        <v>0</v>
      </c>
      <c r="J617" s="522">
        <f>J$576*INDEX(EF[CH4], MATCH("V.04", EF[Vector], 0))</f>
        <v>0</v>
      </c>
      <c r="K617" s="522">
        <f>K$576*INDEX(EF[CH4], MATCH("V.04", EF[Vector], 0))</f>
        <v>0</v>
      </c>
      <c r="L617" s="522">
        <f>L$576*INDEX(EF[CH4], MATCH("V.04", EF[Vector], 0))</f>
        <v>0</v>
      </c>
      <c r="M617" s="522">
        <f>M$576*INDEX(EF[CH4], MATCH("V.04", EF[Vector], 0))</f>
        <v>0</v>
      </c>
      <c r="N617" s="522">
        <f>N$576*INDEX(EF[CH4], MATCH("V.04", EF[Vector], 0))</f>
        <v>0</v>
      </c>
      <c r="O617" s="522">
        <f>O$576*INDEX(EF[CH4], MATCH("V.04", EF[Vector], 0))</f>
        <v>0</v>
      </c>
    </row>
    <row r="618" spans="6:15">
      <c r="F618" s="36">
        <f>F$576*INDEX(EF[N2O], MATCH("V.04", EF[Vector], 0))</f>
        <v>0</v>
      </c>
      <c r="G618" s="522">
        <f>G$576*INDEX(EF[N2O], MATCH("V.04", EF[Vector], 0))</f>
        <v>0</v>
      </c>
      <c r="H618" s="522">
        <f>H$576*INDEX(EF[N2O], MATCH("V.04", EF[Vector], 0))</f>
        <v>0</v>
      </c>
      <c r="I618" s="522">
        <f>I$576*INDEX(EF[N2O], MATCH("V.04", EF[Vector], 0))</f>
        <v>0</v>
      </c>
      <c r="J618" s="522">
        <f>J$576*INDEX(EF[N2O], MATCH("V.04", EF[Vector], 0))</f>
        <v>0</v>
      </c>
      <c r="K618" s="522">
        <f>K$576*INDEX(EF[N2O], MATCH("V.04", EF[Vector], 0))</f>
        <v>0</v>
      </c>
      <c r="L618" s="522">
        <f>L$576*INDEX(EF[N2O], MATCH("V.04", EF[Vector], 0))</f>
        <v>0</v>
      </c>
      <c r="M618" s="522">
        <f>M$576*INDEX(EF[N2O], MATCH("V.04", EF[Vector], 0))</f>
        <v>0</v>
      </c>
      <c r="N618" s="522">
        <f>N$576*INDEX(EF[N2O], MATCH("V.04", EF[Vector], 0))</f>
        <v>0</v>
      </c>
      <c r="O618" s="522">
        <f>O$576*INDEX(EF[N2O], MATCH("V.04", EF[Vector], 0))</f>
        <v>0</v>
      </c>
    </row>
  </sheetData>
  <pageMargins left="0.7" right="0.7" top="0.75" bottom="0.75" header="0.3" footer="0.3"/>
  <pageSetup paperSize="9" orientation="portrait"/>
  <legacyDrawing r:id="rId1"/>
  <tableParts count="3">
    <tablePart r:id="rId2"/>
    <tablePart r:id="rId3"/>
    <tablePart r:id="rId4"/>
  </tableParts>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sheetPr>
    <tabColor theme="9"/>
    <outlinePr summaryBelow="0"/>
    <pageSetUpPr autoPageBreaks="0"/>
  </sheetPr>
  <dimension ref="A1:X558"/>
  <sheetViews>
    <sheetView showGridLines="0" zoomScale="85" zoomScaleNormal="85" zoomScalePageLayoutView="85" workbookViewId="0">
      <selection activeCell="D17" sqref="D17"/>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16384" width="8.85546875" style="605"/>
  </cols>
  <sheetData>
    <row r="1" spans="1:16" ht="21">
      <c r="A1" s="77" t="s">
        <v>308</v>
      </c>
      <c r="B1" s="77" t="str">
        <f>INDEX(Workstreams[Workstream], MATCH($A1,Workstreams[Code], 0))</f>
        <v>Fossil fuel production</v>
      </c>
      <c r="C1" s="77"/>
    </row>
    <row r="2" spans="1:16" s="51" customFormat="1" ht="19.5" customHeight="1">
      <c r="A2" s="6" t="s">
        <v>818</v>
      </c>
      <c r="B2" s="6" t="str">
        <f>INDEX(Modules[Module], MATCH($A2,Modules[Code], 0))</f>
        <v>Domestic Oil Production</v>
      </c>
      <c r="C2" s="6"/>
      <c r="E2" s="404"/>
    </row>
    <row r="4" spans="1:16" ht="22.5" collapsed="1">
      <c r="A4" s="420"/>
      <c r="B4" s="206" t="s">
        <v>412</v>
      </c>
      <c r="C4" s="175"/>
      <c r="D4" s="175"/>
      <c r="E4" s="175"/>
      <c r="F4" s="175"/>
      <c r="G4" s="175"/>
      <c r="H4" s="175"/>
      <c r="I4" s="175"/>
      <c r="J4" s="175"/>
      <c r="K4" s="175"/>
      <c r="L4" s="175"/>
      <c r="M4" s="175"/>
      <c r="N4" s="175"/>
      <c r="O4" s="175"/>
      <c r="P4" s="177"/>
    </row>
    <row r="5" spans="1:16">
      <c r="B5" s="164"/>
      <c r="C5" s="166"/>
      <c r="D5" s="166"/>
      <c r="E5" s="166"/>
      <c r="F5" s="166"/>
      <c r="G5" s="166"/>
      <c r="H5" s="166"/>
      <c r="I5" s="166"/>
      <c r="J5" s="166"/>
      <c r="K5" s="166"/>
      <c r="L5" s="166"/>
      <c r="M5" s="166"/>
      <c r="N5" s="166"/>
      <c r="O5" s="166"/>
      <c r="P5" s="168"/>
    </row>
    <row r="6" spans="1:16" ht="5.25" customHeight="1">
      <c r="B6" s="164"/>
      <c r="C6" s="165"/>
      <c r="D6" s="166"/>
      <c r="E6" s="167"/>
      <c r="F6" s="166"/>
      <c r="G6" s="166"/>
      <c r="H6" s="166"/>
      <c r="I6" s="166"/>
      <c r="J6" s="166"/>
      <c r="K6" s="166"/>
      <c r="L6" s="166"/>
      <c r="M6" s="166"/>
      <c r="N6" s="166"/>
      <c r="O6" s="166"/>
      <c r="P6" s="168"/>
    </row>
    <row r="7" spans="1:16" ht="15.75">
      <c r="B7" s="169"/>
      <c r="C7" s="166"/>
      <c r="D7" s="118" t="s">
        <v>274</v>
      </c>
      <c r="E7" s="118" t="s">
        <v>411</v>
      </c>
      <c r="F7" s="166"/>
      <c r="G7" s="166"/>
      <c r="H7" s="166"/>
      <c r="I7" s="166"/>
      <c r="J7" s="166"/>
      <c r="K7" s="166"/>
      <c r="L7" s="166"/>
      <c r="M7" s="166"/>
      <c r="N7" s="166"/>
      <c r="O7" s="166"/>
      <c r="P7" s="168"/>
    </row>
    <row r="8" spans="1:16" ht="15.75">
      <c r="B8" s="169"/>
      <c r="C8" s="166"/>
      <c r="D8" s="127" t="s">
        <v>414</v>
      </c>
      <c r="E8" s="127">
        <f>XV.c.scenario</f>
        <v>1</v>
      </c>
      <c r="F8" s="166"/>
      <c r="G8" s="166"/>
      <c r="H8" s="166"/>
      <c r="I8" s="166"/>
      <c r="J8" s="166"/>
      <c r="K8" s="166"/>
      <c r="L8" s="166"/>
      <c r="M8" s="166"/>
      <c r="N8" s="166"/>
      <c r="O8" s="166"/>
      <c r="P8" s="168"/>
    </row>
    <row r="9" spans="1:16">
      <c r="B9" s="182"/>
      <c r="C9" s="172"/>
      <c r="D9" s="172"/>
      <c r="E9" s="172"/>
      <c r="F9" s="172"/>
      <c r="G9" s="172"/>
      <c r="H9" s="172"/>
      <c r="I9" s="172"/>
      <c r="J9" s="172"/>
      <c r="K9" s="172"/>
      <c r="L9" s="172"/>
      <c r="M9" s="172"/>
      <c r="N9" s="172"/>
      <c r="O9" s="172"/>
      <c r="P9" s="173"/>
    </row>
    <row r="11" spans="1:16" s="51" customFormat="1" ht="22.5" collapsed="1">
      <c r="A11" s="162"/>
      <c r="B11" s="421" t="s">
        <v>413</v>
      </c>
      <c r="C11" s="159"/>
      <c r="D11" s="159"/>
      <c r="E11" s="159"/>
      <c r="F11" s="159"/>
      <c r="G11" s="159"/>
      <c r="H11" s="159"/>
      <c r="I11" s="159"/>
      <c r="J11" s="159"/>
      <c r="K11" s="159"/>
      <c r="L11" s="159"/>
      <c r="M11" s="159"/>
      <c r="N11" s="159"/>
      <c r="O11" s="159"/>
      <c r="P11" s="160"/>
    </row>
    <row r="12" spans="1:16">
      <c r="B12" s="418"/>
      <c r="C12" s="415"/>
      <c r="D12" s="415"/>
      <c r="E12" s="415"/>
      <c r="F12" s="415"/>
      <c r="G12" s="415"/>
      <c r="H12" s="415"/>
      <c r="I12" s="415"/>
      <c r="J12" s="415"/>
      <c r="K12" s="415"/>
      <c r="L12" s="415"/>
      <c r="M12" s="415"/>
      <c r="N12" s="415"/>
      <c r="O12" s="415"/>
      <c r="P12" s="419"/>
    </row>
    <row r="13" spans="1:16">
      <c r="B13" s="155"/>
      <c r="C13" s="417" t="s">
        <v>819</v>
      </c>
      <c r="D13" s="415"/>
      <c r="E13" s="104"/>
      <c r="F13" s="415"/>
      <c r="G13" s="415"/>
      <c r="H13" s="415"/>
      <c r="I13" s="415"/>
      <c r="J13" s="415"/>
      <c r="K13" s="415"/>
      <c r="L13" s="415"/>
      <c r="M13" s="415"/>
      <c r="N13" s="415"/>
      <c r="O13" s="104" t="str">
        <f>preferences.energyunits</f>
        <v>TWh</v>
      </c>
      <c r="P13" s="419"/>
    </row>
    <row r="14" spans="1:16" ht="15.75">
      <c r="B14" s="152"/>
      <c r="C14" s="61" t="s">
        <v>411</v>
      </c>
      <c r="D14" s="61" t="s">
        <v>65</v>
      </c>
      <c r="E14" s="61" t="s">
        <v>156</v>
      </c>
      <c r="F14" s="119">
        <v>2007</v>
      </c>
      <c r="G14" s="120">
        <f>F14+5</f>
        <v>2012</v>
      </c>
      <c r="H14" s="120">
        <f t="shared" ref="H14:O14" si="0">G14+5</f>
        <v>2017</v>
      </c>
      <c r="I14" s="120">
        <f t="shared" si="0"/>
        <v>2022</v>
      </c>
      <c r="J14" s="120">
        <f t="shared" si="0"/>
        <v>2027</v>
      </c>
      <c r="K14" s="120">
        <f t="shared" si="0"/>
        <v>2032</v>
      </c>
      <c r="L14" s="120">
        <f t="shared" si="0"/>
        <v>2037</v>
      </c>
      <c r="M14" s="120">
        <f t="shared" si="0"/>
        <v>2042</v>
      </c>
      <c r="N14" s="120">
        <f t="shared" si="0"/>
        <v>2047</v>
      </c>
      <c r="O14" s="120">
        <f t="shared" si="0"/>
        <v>2052</v>
      </c>
      <c r="P14" s="419"/>
    </row>
    <row r="15" spans="1:16" ht="15.75">
      <c r="B15" s="152"/>
      <c r="C15" s="413">
        <v>1</v>
      </c>
      <c r="D15" s="414"/>
      <c r="E15" s="96"/>
      <c r="F15" s="535">
        <f>27854.67*(1000*Unit.toe)</f>
        <v>323.94981209999997</v>
      </c>
      <c r="G15" s="535">
        <f>26929*(1000*Unit.toe)</f>
        <v>313.18426999999997</v>
      </c>
      <c r="H15" s="535">
        <f>27982.99976*(1000*Unit.toe)</f>
        <v>325.4422872088</v>
      </c>
      <c r="I15" s="535">
        <f>27290.3858586094*(1000*Unit.toe)</f>
        <v>317.38718753562733</v>
      </c>
      <c r="J15" s="535">
        <f>26627.1463973583*(1000*Unit.toe)</f>
        <v>309.67371260127703</v>
      </c>
      <c r="K15" s="535">
        <f>25956.5472557276*(1000*Unit.toe)</f>
        <v>301.87464458411199</v>
      </c>
      <c r="L15" s="535">
        <f>25313.7150695246*(1000*Unit.toe)</f>
        <v>294.39850625857105</v>
      </c>
      <c r="M15" s="535">
        <f>24687.1690584363*(1000*Unit.toe)</f>
        <v>287.11177614961417</v>
      </c>
      <c r="N15" s="535">
        <f>24076.1308423489*(1000*Unit.toe)</f>
        <v>280.00540169651771</v>
      </c>
      <c r="O15" s="535">
        <f>23480.2165839999*(1000*Unit.toe)</f>
        <v>273.07491887191884</v>
      </c>
      <c r="P15" s="419"/>
    </row>
    <row r="16" spans="1:16" ht="15.75">
      <c r="B16" s="152"/>
      <c r="C16" s="413">
        <v>2</v>
      </c>
      <c r="D16" s="414"/>
      <c r="E16" s="414"/>
      <c r="F16" s="535">
        <f>27854.67*(1000*Unit.toe)</f>
        <v>323.94981209999997</v>
      </c>
      <c r="G16" s="535">
        <f>26929*(1000*Unit.toe)</f>
        <v>313.18426999999997</v>
      </c>
      <c r="H16" s="535">
        <f>27983.48753*(1000*Unit.toe)</f>
        <v>325.44795997389997</v>
      </c>
      <c r="I16" s="535">
        <f>29410.4142319483*(1000*Unit.toe)</f>
        <v>342.0431175175587</v>
      </c>
      <c r="J16" s="535">
        <f>30910.6409353818*(1000*Unit.toe)</f>
        <v>359.49075407849034</v>
      </c>
      <c r="K16" s="535">
        <f>32487.3942781187*(1000*Unit.toe)</f>
        <v>377.82839545452049</v>
      </c>
      <c r="L16" s="535">
        <f>34144.577887864*(1000*Unit.toe)</f>
        <v>397.10144083585828</v>
      </c>
      <c r="M16" s="535">
        <f>35886.2945165672*(1000*Unit.toe)</f>
        <v>417.35760522767652</v>
      </c>
      <c r="N16" s="535">
        <f>37716.8561977606*(1000*Unit.toe)</f>
        <v>438.64703757995579</v>
      </c>
      <c r="O16" s="535">
        <f>39640.794922023*(1000*Unit.toe)</f>
        <v>461.02244494312748</v>
      </c>
      <c r="P16" s="419"/>
    </row>
    <row r="17" spans="2:16">
      <c r="B17" s="418"/>
      <c r="C17" s="413">
        <v>3</v>
      </c>
      <c r="D17" s="414"/>
      <c r="E17" s="414"/>
      <c r="F17" s="535">
        <f>27854.67*(1000*Unit.toe)</f>
        <v>323.94981209999997</v>
      </c>
      <c r="G17" s="535">
        <f>26929*(1000*Unit.toe)</f>
        <v>313.18426999999997</v>
      </c>
      <c r="H17" s="535">
        <f>29307.473*(1000*Unit.toe)</f>
        <v>340.84591098999999</v>
      </c>
      <c r="I17" s="535">
        <f>31572.4718571732*(1000*Unit.toe)</f>
        <v>367.18784769892432</v>
      </c>
      <c r="J17" s="535">
        <f>34012.5188948223*(1000*Unit.toe)</f>
        <v>395.56559474678335</v>
      </c>
      <c r="K17" s="535">
        <f>36641.1425372071*(1000*Unit.toe)</f>
        <v>426.13648770771857</v>
      </c>
      <c r="L17" s="535">
        <f>39472.9167393804*(1000*Unit.toe)</f>
        <v>459.07002167899407</v>
      </c>
      <c r="M17" s="535">
        <f>42523.5417899944*(1000*Unit.toe)</f>
        <v>494.54879101763487</v>
      </c>
      <c r="N17" s="535">
        <f>45809.9313588697*(1000*Unit.toe)</f>
        <v>532.76950170365456</v>
      </c>
      <c r="O17" s="535">
        <f>49350.3062719515*(1000*Unit.toe)</f>
        <v>573.94406194279588</v>
      </c>
      <c r="P17" s="415"/>
    </row>
    <row r="18" spans="2:16">
      <c r="B18" s="155"/>
      <c r="C18" s="411">
        <v>4</v>
      </c>
      <c r="D18" s="65"/>
      <c r="E18" s="65"/>
      <c r="F18" s="535">
        <f>27854.67*(1000*Unit.toe)</f>
        <v>323.94981209999997</v>
      </c>
      <c r="G18" s="535">
        <f>26929*(1000*Unit.toe)</f>
        <v>313.18426999999997</v>
      </c>
      <c r="H18" s="535">
        <f>29598.36425*(1000*Unit.toe)</f>
        <v>344.22897622749997</v>
      </c>
      <c r="I18" s="535">
        <f>31886.3033759232*(1000*Unit.toe)</f>
        <v>370.83770826198679</v>
      </c>
      <c r="J18" s="535">
        <f>35204.5486380836*(1000*Unit.toe)</f>
        <v>409.42890066091229</v>
      </c>
      <c r="K18" s="535">
        <f>38868.6663366289*(1000*Unit.toe)</f>
        <v>452.0425894949941</v>
      </c>
      <c r="L18" s="535">
        <f>42914.1483482579*(1000*Unit.toe)</f>
        <v>499.09154529023937</v>
      </c>
      <c r="M18" s="535">
        <f>47380.6873769886*(1000*Unit.toe)</f>
        <v>551.03739419437738</v>
      </c>
      <c r="N18" s="535">
        <f>52312.1073753537*(1000*Unit.toe)</f>
        <v>608.38980877536346</v>
      </c>
      <c r="O18" s="535">
        <f>57756.7935280651*(1000*Unit.toe)</f>
        <v>671.71150873139709</v>
      </c>
      <c r="P18" s="519"/>
    </row>
    <row r="19" spans="2:16" ht="19.5" customHeight="1">
      <c r="B19" s="155"/>
      <c r="C19" s="406" t="s">
        <v>406</v>
      </c>
      <c r="D19" s="407"/>
      <c r="E19" s="407"/>
      <c r="F19" s="2643">
        <f>(INDEX(F$15:F$18,ROUNDDOWN($E$8,0))*(1-MOD($E$8,1)))+(INDEX(F$15:F$18,ROUNDUP($E$8,0))*MOD($E$8,1))</f>
        <v>323.94981209999997</v>
      </c>
      <c r="G19" s="2643">
        <f t="shared" ref="G19:O19" si="1">(INDEX(G$15:G$18,ROUNDDOWN($E$8,0))*(1-MOD($E$8,1)))+(INDEX(G$15:G$18,ROUNDUP($E$8,0))*MOD($E$8,1))</f>
        <v>313.18426999999997</v>
      </c>
      <c r="H19" s="2643">
        <f t="shared" si="1"/>
        <v>325.4422872088</v>
      </c>
      <c r="I19" s="2643">
        <f t="shared" si="1"/>
        <v>317.38718753562733</v>
      </c>
      <c r="J19" s="2643">
        <f t="shared" si="1"/>
        <v>309.67371260127703</v>
      </c>
      <c r="K19" s="2643">
        <f t="shared" si="1"/>
        <v>301.87464458411199</v>
      </c>
      <c r="L19" s="2643">
        <f t="shared" si="1"/>
        <v>294.39850625857105</v>
      </c>
      <c r="M19" s="2643">
        <f t="shared" si="1"/>
        <v>287.11177614961417</v>
      </c>
      <c r="N19" s="2643">
        <f t="shared" si="1"/>
        <v>280.00540169651771</v>
      </c>
      <c r="O19" s="2643">
        <f t="shared" si="1"/>
        <v>273.07491887191884</v>
      </c>
      <c r="P19" s="408"/>
    </row>
    <row r="20" spans="2:16">
      <c r="B20" s="418"/>
      <c r="C20" s="415"/>
      <c r="D20" s="415"/>
      <c r="E20" s="415"/>
      <c r="F20" s="415"/>
      <c r="G20" s="415"/>
      <c r="H20" s="415"/>
      <c r="I20" s="415"/>
      <c r="J20" s="415"/>
      <c r="K20" s="415"/>
      <c r="L20" s="415"/>
      <c r="M20" s="415"/>
      <c r="N20" s="415"/>
      <c r="O20" s="415"/>
      <c r="P20" s="419"/>
    </row>
    <row r="21" spans="2:16">
      <c r="B21" s="418"/>
      <c r="C21" s="417" t="s">
        <v>820</v>
      </c>
      <c r="D21" s="415"/>
      <c r="E21" s="104"/>
      <c r="F21" s="415"/>
      <c r="G21" s="415"/>
      <c r="H21" s="415"/>
      <c r="I21" s="415"/>
      <c r="J21" s="415"/>
      <c r="K21" s="415"/>
      <c r="L21" s="415"/>
      <c r="M21" s="415"/>
      <c r="N21" s="415"/>
      <c r="O21" s="104" t="str">
        <f>preferences.energyunits</f>
        <v>TWh</v>
      </c>
      <c r="P21" s="419"/>
    </row>
    <row r="22" spans="2:16">
      <c r="B22" s="418"/>
      <c r="C22" s="61" t="s">
        <v>411</v>
      </c>
      <c r="D22" s="61" t="s">
        <v>65</v>
      </c>
      <c r="E22" s="61" t="s">
        <v>156</v>
      </c>
      <c r="F22" s="119">
        <v>2007</v>
      </c>
      <c r="G22" s="120">
        <f>F22+5</f>
        <v>2012</v>
      </c>
      <c r="H22" s="120">
        <f t="shared" ref="H22:O22" si="2">G22+5</f>
        <v>2017</v>
      </c>
      <c r="I22" s="120">
        <f t="shared" si="2"/>
        <v>2022</v>
      </c>
      <c r="J22" s="120">
        <f t="shared" si="2"/>
        <v>2027</v>
      </c>
      <c r="K22" s="120">
        <f t="shared" si="2"/>
        <v>2032</v>
      </c>
      <c r="L22" s="120">
        <f t="shared" si="2"/>
        <v>2037</v>
      </c>
      <c r="M22" s="120">
        <f t="shared" si="2"/>
        <v>2042</v>
      </c>
      <c r="N22" s="120">
        <f t="shared" si="2"/>
        <v>2047</v>
      </c>
      <c r="O22" s="120">
        <f t="shared" si="2"/>
        <v>2052</v>
      </c>
      <c r="P22" s="419"/>
    </row>
    <row r="23" spans="2:16">
      <c r="B23" s="418"/>
      <c r="C23" s="413">
        <v>1</v>
      </c>
      <c r="D23" s="412"/>
      <c r="E23" s="412"/>
      <c r="F23" s="535">
        <f>3107*(1000*Unit.toe)</f>
        <v>36.134410000000003</v>
      </c>
      <c r="G23" s="535">
        <f>(3847*(1000*Unit.toe))</f>
        <v>44.740609999999997</v>
      </c>
      <c r="H23" s="535">
        <f>4200*(1000*Unit.toe)</f>
        <v>48.845999999999997</v>
      </c>
      <c r="I23" s="535">
        <f>4190*(1000*Unit.toe)</f>
        <v>48.729700000000001</v>
      </c>
      <c r="J23" s="535">
        <f>(4491.62818066868*1000*Unit.toe)</f>
        <v>52.237635741176753</v>
      </c>
      <c r="K23" s="535">
        <f>(4814.96985999452*(1000*Unit.toe))</f>
        <v>55.998099471736275</v>
      </c>
      <c r="L23" s="535">
        <f>(5161.58814134171*1000*Unit.toe)</f>
        <v>60.029270083804093</v>
      </c>
      <c r="M23" s="535">
        <f>(5533.15865218513*1000*Unit.toe)</f>
        <v>64.350635124913069</v>
      </c>
      <c r="N23" s="535">
        <f>(5931.47764445477*1000*Unit.toe)</f>
        <v>68.983085005008974</v>
      </c>
      <c r="O23" s="535">
        <f>(6358.47067800461*1000*Unit.toe)</f>
        <v>73.949013985193616</v>
      </c>
      <c r="P23" s="419"/>
    </row>
    <row r="24" spans="2:16">
      <c r="B24" s="418"/>
      <c r="C24" s="413">
        <v>2</v>
      </c>
      <c r="D24" s="412"/>
      <c r="E24" s="412"/>
      <c r="F24" s="535">
        <f>3107*(1000*Unit.toe)</f>
        <v>36.134410000000003</v>
      </c>
      <c r="G24" s="535">
        <f>(3847*(1000*Unit.toe))</f>
        <v>44.740609999999997</v>
      </c>
      <c r="H24" s="535">
        <f>(4200*1000*Unit.toe)</f>
        <v>48.846000000000004</v>
      </c>
      <c r="I24" s="535">
        <f>(4569.3461059044*1000*Unit.toe)</f>
        <v>53.141495211668179</v>
      </c>
      <c r="J24" s="535">
        <f>(4971.17234179611*1000*Unit.toe)</f>
        <v>57.814734335088765</v>
      </c>
      <c r="K24" s="535">
        <f>(5408.3349956585*(1000*Unit.toe))</f>
        <v>62.898935999508353</v>
      </c>
      <c r="L24" s="535">
        <f>(5883.94153615206*1000*Unit.toe)</f>
        <v>68.430240065448444</v>
      </c>
      <c r="M24" s="535">
        <f>(6401.37270132989*1000*Unit.toe)</f>
        <v>74.447964516466627</v>
      </c>
      <c r="N24" s="535">
        <f>(6964.30652982487*1000*Unit.toe)</f>
        <v>80.994884941863248</v>
      </c>
      <c r="O24" s="535">
        <f>(7576.74450532853*1000*Unit.toe)</f>
        <v>88.117538596970817</v>
      </c>
      <c r="P24" s="419"/>
    </row>
    <row r="25" spans="2:16" ht="13.5" customHeight="1">
      <c r="B25" s="418"/>
      <c r="C25" s="413">
        <v>3</v>
      </c>
      <c r="D25" s="412"/>
      <c r="E25" s="412"/>
      <c r="F25" s="535">
        <f>3107*(1000*Unit.toe)</f>
        <v>36.134410000000003</v>
      </c>
      <c r="G25" s="535">
        <f>(3847*(1000*Unit.toe))</f>
        <v>44.740609999999997</v>
      </c>
      <c r="H25" s="535">
        <f>(4200*(1000*Unit.toe))</f>
        <v>48.845999999999997</v>
      </c>
      <c r="I25" s="535">
        <f>(4637.13937344*1000*Unit.toe)</f>
        <v>53.929930913107206</v>
      </c>
      <c r="J25" s="535">
        <f>(5119.77656397798*1000*Unit.toe)</f>
        <v>59.543001439063907</v>
      </c>
      <c r="K25" s="535">
        <f>(5652.64702096135*1000*Unit.toe)</f>
        <v>65.740284853780494</v>
      </c>
      <c r="L25" s="535">
        <f>(6240.97906310909*1000*Unit.toe)</f>
        <v>72.582586503958709</v>
      </c>
      <c r="M25" s="535">
        <f>(6890.54517675187*1000*Unit.toe)</f>
        <v>80.137040405624248</v>
      </c>
      <c r="N25" s="535">
        <f>(7607.71865323409*1000*Unit.toe)</f>
        <v>88.477767937112475</v>
      </c>
      <c r="O25" s="535">
        <f>(8399.53612118231*1000*Unit.toe)</f>
        <v>97.686605089350266</v>
      </c>
      <c r="P25" s="419"/>
    </row>
    <row r="26" spans="2:16">
      <c r="B26" s="418"/>
      <c r="C26" s="411">
        <v>4</v>
      </c>
      <c r="D26" s="414"/>
      <c r="E26" s="96"/>
      <c r="F26" s="535">
        <f>3107*(1000*Unit.toe)</f>
        <v>36.134410000000003</v>
      </c>
      <c r="G26" s="535">
        <f>(3847*(1000*Unit.toe))</f>
        <v>44.740609999999997</v>
      </c>
      <c r="H26" s="535">
        <f>(4463.7264*1000*Unit.toe)</f>
        <v>51.913138031999992</v>
      </c>
      <c r="I26" s="535">
        <f>(4952.47303402105*1000*Unit.toe)</f>
        <v>57.597261385664808</v>
      </c>
      <c r="J26" s="535">
        <f>(5603.26866481077*1000*Unit.toe)</f>
        <v>65.166014571749258</v>
      </c>
      <c r="K26" s="535">
        <f>(6339.58418639958*1000*Unit.toe)</f>
        <v>73.729364087827122</v>
      </c>
      <c r="L26" s="535">
        <f>(7172.65761480402*1000*Unit.toe)</f>
        <v>83.418008060170763</v>
      </c>
      <c r="M26" s="535">
        <f>(8115.20373364175*1000*Unit.toe)</f>
        <v>94.379819422253561</v>
      </c>
      <c r="N26" s="535">
        <f>(9181.60815352293*1000*Unit.toe)</f>
        <v>106.78210282547167</v>
      </c>
      <c r="O26" s="535">
        <f>(10388.1468724394*1000*Unit.toe)</f>
        <v>120.81414812647022</v>
      </c>
      <c r="P26" s="419"/>
    </row>
    <row r="27" spans="2:16">
      <c r="B27" s="418"/>
      <c r="C27" s="407" t="s">
        <v>406</v>
      </c>
      <c r="D27" s="407"/>
      <c r="E27" s="407"/>
      <c r="F27" s="586">
        <f>(INDEX(F$23:F$26,ROUNDDOWN($E$8,0))*(1-MOD($E$8,1)))+(INDEX(F$23:F$26,ROUNDUP($E$8,0))*MOD($E$8,1))</f>
        <v>36.134410000000003</v>
      </c>
      <c r="G27" s="586">
        <f t="shared" ref="G27:O27" si="3">(INDEX(G$23:G$26,ROUNDDOWN($E$8,0))*(1-MOD($E$8,1)))+(INDEX(G$23:G$26,ROUNDUP($E$8,0))*MOD($E$8,1))</f>
        <v>44.740609999999997</v>
      </c>
      <c r="H27" s="586">
        <f t="shared" si="3"/>
        <v>48.845999999999997</v>
      </c>
      <c r="I27" s="586">
        <f t="shared" si="3"/>
        <v>48.729700000000001</v>
      </c>
      <c r="J27" s="586">
        <f t="shared" si="3"/>
        <v>52.237635741176753</v>
      </c>
      <c r="K27" s="586">
        <f t="shared" si="3"/>
        <v>55.998099471736275</v>
      </c>
      <c r="L27" s="586">
        <f t="shared" si="3"/>
        <v>60.029270083804093</v>
      </c>
      <c r="M27" s="586">
        <f t="shared" si="3"/>
        <v>64.350635124913069</v>
      </c>
      <c r="N27" s="586">
        <f t="shared" si="3"/>
        <v>68.983085005008974</v>
      </c>
      <c r="O27" s="586">
        <f t="shared" si="3"/>
        <v>73.949013985193616</v>
      </c>
      <c r="P27" s="419"/>
    </row>
    <row r="28" spans="2:16">
      <c r="B28" s="418"/>
      <c r="C28" s="415"/>
      <c r="D28" s="415"/>
      <c r="E28" s="415"/>
      <c r="F28" s="415"/>
      <c r="G28" s="415"/>
      <c r="H28" s="415"/>
      <c r="I28" s="415"/>
      <c r="J28" s="415"/>
      <c r="K28" s="415"/>
      <c r="L28" s="415"/>
      <c r="M28" s="415"/>
      <c r="N28" s="415"/>
      <c r="O28" s="415"/>
      <c r="P28" s="419"/>
    </row>
    <row r="29" spans="2:16">
      <c r="B29" s="418"/>
      <c r="C29" s="417" t="s">
        <v>821</v>
      </c>
      <c r="D29" s="415"/>
      <c r="E29" s="104"/>
      <c r="F29" s="415"/>
      <c r="G29" s="415"/>
      <c r="H29" s="415"/>
      <c r="I29" s="415"/>
      <c r="J29" s="415"/>
      <c r="K29" s="415"/>
      <c r="L29" s="415"/>
      <c r="M29" s="415"/>
      <c r="N29" s="415"/>
      <c r="O29" s="104" t="str">
        <f>preferences.energyunits</f>
        <v>TWh</v>
      </c>
      <c r="P29" s="419"/>
    </row>
    <row r="30" spans="2:16">
      <c r="B30" s="418"/>
      <c r="C30" s="61" t="s">
        <v>411</v>
      </c>
      <c r="D30" s="61" t="s">
        <v>65</v>
      </c>
      <c r="E30" s="61" t="s">
        <v>156</v>
      </c>
      <c r="F30" s="119">
        <v>2007</v>
      </c>
      <c r="G30" s="120">
        <f>F30+5</f>
        <v>2012</v>
      </c>
      <c r="H30" s="120">
        <f t="shared" ref="H30:O30" si="4">G30+5</f>
        <v>2017</v>
      </c>
      <c r="I30" s="120">
        <f t="shared" si="4"/>
        <v>2022</v>
      </c>
      <c r="J30" s="120">
        <f t="shared" si="4"/>
        <v>2027</v>
      </c>
      <c r="K30" s="120">
        <f t="shared" si="4"/>
        <v>2032</v>
      </c>
      <c r="L30" s="120">
        <f t="shared" si="4"/>
        <v>2037</v>
      </c>
      <c r="M30" s="120">
        <f t="shared" si="4"/>
        <v>2042</v>
      </c>
      <c r="N30" s="120">
        <f t="shared" si="4"/>
        <v>2047</v>
      </c>
      <c r="O30" s="120">
        <f t="shared" si="4"/>
        <v>2052</v>
      </c>
      <c r="P30" s="419"/>
    </row>
    <row r="31" spans="2:16">
      <c r="B31" s="418"/>
      <c r="C31" s="413">
        <v>1</v>
      </c>
      <c r="D31" s="412"/>
      <c r="E31" s="412"/>
      <c r="F31" s="535">
        <f>(3026.33*1000*Unit.toe)</f>
        <v>35.196217900000001</v>
      </c>
      <c r="G31" s="535">
        <f>(7314*1000*Unit.toe)</f>
        <v>85.061819999999997</v>
      </c>
      <c r="H31" s="535">
        <f>(9125.753*(1000*Unit.toe))</f>
        <v>106.13250739</v>
      </c>
      <c r="I31" s="535">
        <f>(3500*1000*Unit.toe)</f>
        <v>40.704999999999998</v>
      </c>
      <c r="J31" s="535">
        <f>(3678.53517535*1000*Unit.toe)</f>
        <v>42.781364089320505</v>
      </c>
      <c r="K31" s="535">
        <f>(3866.17743893922*1000*Unit.toe)</f>
        <v>44.96364361486313</v>
      </c>
      <c r="L31" s="535">
        <f>(4063.39134379499*1000*Unit.toe)</f>
        <v>47.257241328335731</v>
      </c>
      <c r="M31" s="535">
        <f>(4270.66513981788*1000*Unit.toe)</f>
        <v>49.667835576081949</v>
      </c>
      <c r="N31" s="535">
        <f>(4488.51198256032*1000*Unit.toe)</f>
        <v>52.201394357176518</v>
      </c>
      <c r="O31" s="535">
        <f>(4717.47120366517*1000*Unit.toe)</f>
        <v>54.864190098625926</v>
      </c>
      <c r="P31" s="419"/>
    </row>
    <row r="32" spans="2:16">
      <c r="B32" s="418"/>
      <c r="C32" s="413">
        <v>2</v>
      </c>
      <c r="D32" s="412"/>
      <c r="E32" s="412"/>
      <c r="F32" s="535">
        <f>(3026.33*1000*Unit.toe)</f>
        <v>35.196217900000001</v>
      </c>
      <c r="G32" s="535">
        <f>(7314*1000*Unit.toe)</f>
        <v>85.061819999999997</v>
      </c>
      <c r="H32" s="535">
        <f>(9125.753*(1000*Unit.toe))</f>
        <v>106.13250739</v>
      </c>
      <c r="I32" s="535">
        <f>(9591.25811773023*1000*Unit.toe)</f>
        <v>111.54633190920258</v>
      </c>
      <c r="J32" s="535">
        <f>(10332.5089473569*1000*Unit.toe)</f>
        <v>120.16707905776076</v>
      </c>
      <c r="K32" s="535">
        <f>(11131.0466089798*1000*Unit.toe)</f>
        <v>129.45407206243507</v>
      </c>
      <c r="L32" s="535">
        <f>(11991.2984583453*1000*Unit.toe)</f>
        <v>139.45880107055584</v>
      </c>
      <c r="M32" s="535">
        <f>(12918.0340149788*1000*Unit.toe)</f>
        <v>150.23673559420345</v>
      </c>
      <c r="N32" s="535">
        <f>(13916.3914059709*1000*Unit.toe)</f>
        <v>161.84763205144159</v>
      </c>
      <c r="O32" s="535">
        <f>(14991.9058534464*1000*Unit.toe)</f>
        <v>174.35586507558165</v>
      </c>
      <c r="P32" s="419"/>
    </row>
    <row r="33" spans="2:16" ht="13.5" customHeight="1">
      <c r="B33" s="418"/>
      <c r="C33" s="413">
        <v>3</v>
      </c>
      <c r="D33" s="412"/>
      <c r="E33" s="412"/>
      <c r="F33" s="535">
        <f>(3026.33*1000*Unit.toe)</f>
        <v>35.196217900000001</v>
      </c>
      <c r="G33" s="535">
        <f>(7314*1000*Unit.toe)</f>
        <v>85.061819999999997</v>
      </c>
      <c r="H33" s="535">
        <f>(9125.753*1000*Unit.toe)</f>
        <v>106.13250739</v>
      </c>
      <c r="I33" s="535">
        <f>(9831.02773029984*1000*Unit.toe)</f>
        <v>114.33485250338714</v>
      </c>
      <c r="J33" s="535">
        <f>(10590.8089155957*1000*Unit.toe)</f>
        <v>123.171107688378</v>
      </c>
      <c r="K33" s="535">
        <f>(11409.3090329673*1000*Unit.toe)</f>
        <v>132.69026405340969</v>
      </c>
      <c r="L33" s="535">
        <f>(12291.0661165892*1000*Unit.toe)</f>
        <v>142.94509893593241</v>
      </c>
      <c r="M33" s="535">
        <f>(13240.9689180867*1000*Unit.toe)</f>
        <v>153.99246851734833</v>
      </c>
      <c r="N33" s="535">
        <f>(14264.284011385*1000*Unit.toe)</f>
        <v>165.89362305240755</v>
      </c>
      <c r="O33" s="535">
        <f>(15366.6849923287*1000*Unit.toe)</f>
        <v>178.7145464607828</v>
      </c>
      <c r="P33" s="419"/>
    </row>
    <row r="34" spans="2:16">
      <c r="B34" s="418"/>
      <c r="C34" s="411">
        <v>4</v>
      </c>
      <c r="D34" s="414"/>
      <c r="E34" s="96"/>
      <c r="F34" s="535">
        <f>(3026.33*1000*Unit.toe)</f>
        <v>35.196217900000001</v>
      </c>
      <c r="G34" s="535">
        <f>(7314*1000*Unit.toe)</f>
        <v>85.061819999999997</v>
      </c>
      <c r="H34" s="535">
        <f>(9125.753*1000*Unit.toe)</f>
        <v>106.13250739</v>
      </c>
      <c r="I34" s="535">
        <f>(10075.5687020448*1000*Unit.toe)</f>
        <v>117.17886400478103</v>
      </c>
      <c r="J34" s="535">
        <f>(11124.2419852504*1000*Unit.toe)</f>
        <v>129.37493428846216</v>
      </c>
      <c r="K34" s="535">
        <f>(12282.0620260664*1000*Unit.toe)</f>
        <v>142.84038136315223</v>
      </c>
      <c r="L34" s="535">
        <f>(13560.3889066917*1000*Unit.toe)</f>
        <v>157.70732298482449</v>
      </c>
      <c r="M34" s="535">
        <f>(14971.7650758045*1000*Unit.toe)</f>
        <v>174.12162783160633</v>
      </c>
      <c r="N34" s="535">
        <f>(16530.0384102159*1000*Unit.toe)</f>
        <v>192.24434671081093</v>
      </c>
      <c r="O34" s="535">
        <f>(18250.4980848781*1000*Unit.toe)</f>
        <v>212.25329272713233</v>
      </c>
      <c r="P34" s="419"/>
    </row>
    <row r="35" spans="2:16">
      <c r="B35" s="418"/>
      <c r="C35" s="407" t="s">
        <v>406</v>
      </c>
      <c r="D35" s="407"/>
      <c r="E35" s="407"/>
      <c r="F35" s="586">
        <f>(INDEX(F$31:F$34,ROUNDDOWN($E$8,0))*(1-MOD($E$8,1)))+(INDEX(F$31:F$34,ROUNDUP($E$8,0))*MOD($E$8,1))</f>
        <v>35.196217900000001</v>
      </c>
      <c r="G35" s="586">
        <f t="shared" ref="G35:O35" si="5">(INDEX(G$31:G$34,ROUNDDOWN($E$8,0))*(1-MOD($E$8,1)))+(INDEX(G$31:G$34,ROUNDUP($E$8,0))*MOD($E$8,1))</f>
        <v>85.061819999999997</v>
      </c>
      <c r="H35" s="586">
        <f t="shared" si="5"/>
        <v>106.13250739</v>
      </c>
      <c r="I35" s="586">
        <f t="shared" si="5"/>
        <v>40.704999999999998</v>
      </c>
      <c r="J35" s="586">
        <f t="shared" si="5"/>
        <v>42.781364089320505</v>
      </c>
      <c r="K35" s="586">
        <f t="shared" si="5"/>
        <v>44.96364361486313</v>
      </c>
      <c r="L35" s="586">
        <f t="shared" si="5"/>
        <v>47.257241328335731</v>
      </c>
      <c r="M35" s="586">
        <f t="shared" si="5"/>
        <v>49.667835576081949</v>
      </c>
      <c r="N35" s="586">
        <f t="shared" si="5"/>
        <v>52.201394357176518</v>
      </c>
      <c r="O35" s="586">
        <f t="shared" si="5"/>
        <v>54.864190098625926</v>
      </c>
      <c r="P35" s="419"/>
    </row>
    <row r="36" spans="2:16">
      <c r="B36" s="418"/>
      <c r="C36" s="415"/>
      <c r="D36" s="415"/>
      <c r="E36" s="415"/>
      <c r="F36" s="415"/>
      <c r="G36" s="415"/>
      <c r="H36" s="415"/>
      <c r="I36" s="415"/>
      <c r="J36" s="415"/>
      <c r="K36" s="415"/>
      <c r="L36" s="415"/>
      <c r="M36" s="415"/>
      <c r="N36" s="415"/>
      <c r="O36" s="415"/>
      <c r="P36" s="419"/>
    </row>
    <row r="37" spans="2:16">
      <c r="B37" s="418"/>
      <c r="C37" s="417" t="s">
        <v>822</v>
      </c>
      <c r="D37" s="415"/>
      <c r="E37" s="104"/>
      <c r="F37" s="415"/>
      <c r="G37" s="415"/>
      <c r="H37" s="415"/>
      <c r="I37" s="415"/>
      <c r="J37" s="415"/>
      <c r="K37" s="415"/>
      <c r="L37" s="415"/>
      <c r="M37" s="415"/>
      <c r="N37" s="415"/>
      <c r="O37" s="104" t="str">
        <f>preferences.energyunits</f>
        <v>TWh</v>
      </c>
      <c r="P37" s="419"/>
    </row>
    <row r="38" spans="2:16">
      <c r="B38" s="418"/>
      <c r="C38" s="61" t="s">
        <v>411</v>
      </c>
      <c r="D38" s="61" t="s">
        <v>65</v>
      </c>
      <c r="E38" s="61" t="s">
        <v>156</v>
      </c>
      <c r="F38" s="119">
        <v>2007</v>
      </c>
      <c r="G38" s="120">
        <f>F38+5</f>
        <v>2012</v>
      </c>
      <c r="H38" s="120">
        <f t="shared" ref="H38:O38" si="6">G38+5</f>
        <v>2017</v>
      </c>
      <c r="I38" s="120">
        <f t="shared" si="6"/>
        <v>2022</v>
      </c>
      <c r="J38" s="120">
        <f t="shared" si="6"/>
        <v>2027</v>
      </c>
      <c r="K38" s="120">
        <f t="shared" si="6"/>
        <v>2032</v>
      </c>
      <c r="L38" s="120">
        <f t="shared" si="6"/>
        <v>2037</v>
      </c>
      <c r="M38" s="120">
        <f t="shared" si="6"/>
        <v>2042</v>
      </c>
      <c r="N38" s="120">
        <f t="shared" si="6"/>
        <v>2047</v>
      </c>
      <c r="O38" s="120">
        <f t="shared" si="6"/>
        <v>2052</v>
      </c>
      <c r="P38" s="419"/>
    </row>
    <row r="39" spans="2:16">
      <c r="B39" s="418"/>
      <c r="C39" s="413">
        <v>1</v>
      </c>
      <c r="D39" s="414"/>
      <c r="E39" s="96"/>
      <c r="F39" s="2172">
        <f>SUM(F31,F23,F15)</f>
        <v>395.28044</v>
      </c>
      <c r="G39" s="2172">
        <f t="shared" ref="G39:O39" si="7">SUM(G31,G23,G15)</f>
        <v>442.98669999999993</v>
      </c>
      <c r="H39" s="2172">
        <f t="shared" si="7"/>
        <v>480.4207945988</v>
      </c>
      <c r="I39" s="2172">
        <f t="shared" si="7"/>
        <v>406.8218875356273</v>
      </c>
      <c r="J39" s="2172">
        <f t="shared" si="7"/>
        <v>404.69271243177428</v>
      </c>
      <c r="K39" s="2172">
        <f t="shared" si="7"/>
        <v>402.83638767071136</v>
      </c>
      <c r="L39" s="2172">
        <f t="shared" si="7"/>
        <v>401.68501767071086</v>
      </c>
      <c r="M39" s="2172">
        <f t="shared" si="7"/>
        <v>401.13024685060918</v>
      </c>
      <c r="N39" s="2172">
        <f t="shared" si="7"/>
        <v>401.18988105870324</v>
      </c>
      <c r="O39" s="2172">
        <f t="shared" si="7"/>
        <v>401.88812295573837</v>
      </c>
      <c r="P39" s="419"/>
    </row>
    <row r="40" spans="2:16">
      <c r="B40" s="418"/>
      <c r="C40" s="413">
        <v>2</v>
      </c>
      <c r="D40" s="414"/>
      <c r="E40" s="414"/>
      <c r="F40" s="2172">
        <f t="shared" ref="F40:O40" si="8">SUM(F32,F24,F16)</f>
        <v>395.28044</v>
      </c>
      <c r="G40" s="2172">
        <f t="shared" si="8"/>
        <v>442.98669999999993</v>
      </c>
      <c r="H40" s="2172">
        <f t="shared" si="8"/>
        <v>480.42646736389997</v>
      </c>
      <c r="I40" s="2172">
        <f t="shared" si="8"/>
        <v>506.73094463842949</v>
      </c>
      <c r="J40" s="2172">
        <f t="shared" si="8"/>
        <v>537.47256747133986</v>
      </c>
      <c r="K40" s="2172">
        <f t="shared" si="8"/>
        <v>570.18140351646389</v>
      </c>
      <c r="L40" s="2172">
        <f t="shared" si="8"/>
        <v>604.99048197186255</v>
      </c>
      <c r="M40" s="2172">
        <f t="shared" si="8"/>
        <v>642.04230533834652</v>
      </c>
      <c r="N40" s="2172">
        <f t="shared" si="8"/>
        <v>681.48955457326065</v>
      </c>
      <c r="O40" s="2172">
        <f t="shared" si="8"/>
        <v>723.49584861567996</v>
      </c>
      <c r="P40" s="419"/>
    </row>
    <row r="41" spans="2:16">
      <c r="B41" s="418"/>
      <c r="C41" s="413">
        <v>3</v>
      </c>
      <c r="D41" s="414"/>
      <c r="E41" s="414"/>
      <c r="F41" s="2172">
        <f t="shared" ref="F41:O41" si="9">SUM(F33,F25,F17)</f>
        <v>395.28044</v>
      </c>
      <c r="G41" s="2172">
        <f t="shared" si="9"/>
        <v>442.98669999999993</v>
      </c>
      <c r="H41" s="2172">
        <f t="shared" si="9"/>
        <v>495.82441838</v>
      </c>
      <c r="I41" s="2172">
        <f t="shared" si="9"/>
        <v>535.45263111541863</v>
      </c>
      <c r="J41" s="2172">
        <f t="shared" si="9"/>
        <v>578.27970387422522</v>
      </c>
      <c r="K41" s="2172">
        <f t="shared" si="9"/>
        <v>624.56703661490883</v>
      </c>
      <c r="L41" s="2172">
        <f t="shared" si="9"/>
        <v>674.59770711888518</v>
      </c>
      <c r="M41" s="2172">
        <f t="shared" si="9"/>
        <v>728.67829994060742</v>
      </c>
      <c r="N41" s="2172">
        <f t="shared" si="9"/>
        <v>787.14089269317458</v>
      </c>
      <c r="O41" s="2172">
        <f t="shared" si="9"/>
        <v>850.34521349292891</v>
      </c>
      <c r="P41" s="419"/>
    </row>
    <row r="42" spans="2:16">
      <c r="B42" s="418"/>
      <c r="C42" s="411">
        <v>4</v>
      </c>
      <c r="D42" s="65"/>
      <c r="E42" s="65"/>
      <c r="F42" s="2172">
        <f t="shared" ref="F42:O42" si="10">SUM(F34,F26,F18)</f>
        <v>395.28044</v>
      </c>
      <c r="G42" s="2172">
        <f t="shared" si="10"/>
        <v>442.98669999999993</v>
      </c>
      <c r="H42" s="2172">
        <f t="shared" si="10"/>
        <v>502.27462164949998</v>
      </c>
      <c r="I42" s="2172">
        <f t="shared" si="10"/>
        <v>545.61383365243262</v>
      </c>
      <c r="J42" s="2172">
        <f t="shared" si="10"/>
        <v>603.96984952112371</v>
      </c>
      <c r="K42" s="2172">
        <f t="shared" si="10"/>
        <v>668.61233494597343</v>
      </c>
      <c r="L42" s="2172">
        <f t="shared" si="10"/>
        <v>740.21687633523459</v>
      </c>
      <c r="M42" s="2172">
        <f t="shared" si="10"/>
        <v>819.53884144823724</v>
      </c>
      <c r="N42" s="2172">
        <f t="shared" si="10"/>
        <v>907.41625831164606</v>
      </c>
      <c r="O42" s="2172">
        <f t="shared" si="10"/>
        <v>1004.7789495849996</v>
      </c>
      <c r="P42" s="419"/>
    </row>
    <row r="43" spans="2:16" ht="19.5" customHeight="1">
      <c r="B43" s="155"/>
      <c r="C43" s="406" t="s">
        <v>406</v>
      </c>
      <c r="D43" s="407"/>
      <c r="E43" s="407"/>
      <c r="F43" s="586">
        <f>(INDEX(F$39:F$42,ROUNDDOWN($E$8,0))*(1-MOD($E$8,1)))+(INDEX(F$39:F$42,ROUNDUP($E$8,0))*MOD($E$8,1))</f>
        <v>395.28044</v>
      </c>
      <c r="G43" s="586">
        <f t="shared" ref="G43:O43" si="11">(INDEX(G$39:G$42,ROUNDDOWN($E$8,0))*(1-MOD($E$8,1)))+(INDEX(G$39:G$42,ROUNDUP($E$8,0))*MOD($E$8,1))</f>
        <v>442.98669999999993</v>
      </c>
      <c r="H43" s="586">
        <f t="shared" si="11"/>
        <v>480.4207945988</v>
      </c>
      <c r="I43" s="586">
        <f t="shared" si="11"/>
        <v>406.8218875356273</v>
      </c>
      <c r="J43" s="586">
        <f t="shared" si="11"/>
        <v>404.69271243177428</v>
      </c>
      <c r="K43" s="586">
        <f t="shared" si="11"/>
        <v>402.83638767071136</v>
      </c>
      <c r="L43" s="586">
        <f t="shared" si="11"/>
        <v>401.68501767071086</v>
      </c>
      <c r="M43" s="586">
        <f t="shared" si="11"/>
        <v>401.13024685060918</v>
      </c>
      <c r="N43" s="586">
        <f t="shared" si="11"/>
        <v>401.18988105870324</v>
      </c>
      <c r="O43" s="586">
        <f t="shared" si="11"/>
        <v>401.88812295573837</v>
      </c>
      <c r="P43" s="408"/>
    </row>
    <row r="44" spans="2:16">
      <c r="B44" s="418"/>
      <c r="C44" s="415"/>
      <c r="D44" s="415"/>
      <c r="E44" s="415"/>
      <c r="F44" s="415"/>
      <c r="G44" s="415"/>
      <c r="H44" s="415"/>
      <c r="I44" s="415"/>
      <c r="J44" s="415"/>
      <c r="K44" s="415"/>
      <c r="L44" s="415"/>
      <c r="M44" s="415"/>
      <c r="N44" s="415"/>
      <c r="O44" s="415"/>
      <c r="P44" s="419"/>
    </row>
    <row r="45" spans="2:16">
      <c r="B45" s="418"/>
      <c r="C45" s="415"/>
      <c r="D45" s="415"/>
      <c r="E45" s="415"/>
      <c r="F45" s="519"/>
      <c r="G45" s="519"/>
      <c r="H45" s="519"/>
      <c r="I45" s="519"/>
      <c r="J45" s="519"/>
      <c r="K45" s="519"/>
      <c r="L45" s="519"/>
      <c r="M45" s="519"/>
      <c r="N45" s="519"/>
      <c r="O45" s="519"/>
      <c r="P45" s="419"/>
    </row>
    <row r="46" spans="2:16">
      <c r="B46" s="418"/>
      <c r="C46" s="415"/>
      <c r="D46" s="415"/>
      <c r="E46" s="415"/>
      <c r="F46" s="519"/>
      <c r="G46" s="519"/>
      <c r="H46" s="519"/>
      <c r="I46" s="519"/>
      <c r="J46" s="519"/>
      <c r="K46" s="519"/>
      <c r="L46" s="519"/>
      <c r="M46" s="519"/>
      <c r="N46" s="519"/>
      <c r="O46" s="519"/>
      <c r="P46" s="419"/>
    </row>
    <row r="47" spans="2:16">
      <c r="B47" s="418"/>
      <c r="C47" s="415"/>
      <c r="D47" s="415"/>
      <c r="E47" s="415"/>
      <c r="F47" s="519"/>
      <c r="G47" s="519"/>
      <c r="H47" s="519"/>
      <c r="I47" s="519"/>
      <c r="J47" s="519"/>
      <c r="K47" s="519"/>
      <c r="L47" s="519"/>
      <c r="M47" s="519"/>
      <c r="N47" s="519"/>
      <c r="O47" s="519"/>
      <c r="P47" s="419"/>
    </row>
    <row r="48" spans="2:16">
      <c r="B48" s="418"/>
      <c r="C48" s="415"/>
      <c r="D48" s="415"/>
      <c r="E48" s="415"/>
      <c r="F48" s="519"/>
      <c r="G48" s="519"/>
      <c r="H48" s="519"/>
      <c r="I48" s="519"/>
      <c r="J48" s="519"/>
      <c r="K48" s="519"/>
      <c r="L48" s="519"/>
      <c r="M48" s="519"/>
      <c r="N48" s="519"/>
      <c r="O48" s="519"/>
      <c r="P48" s="419"/>
    </row>
    <row r="49" spans="1:16">
      <c r="B49" s="418"/>
      <c r="C49" s="415"/>
      <c r="D49" s="415"/>
      <c r="E49" s="415"/>
      <c r="F49" s="415"/>
      <c r="G49" s="415"/>
      <c r="H49" s="415"/>
      <c r="I49" s="415"/>
      <c r="J49" s="415"/>
      <c r="K49" s="415"/>
      <c r="L49" s="415"/>
      <c r="M49" s="415"/>
      <c r="N49" s="415"/>
      <c r="O49" s="415"/>
      <c r="P49" s="419"/>
    </row>
    <row r="50" spans="1:16">
      <c r="B50" s="418"/>
      <c r="C50" s="415"/>
      <c r="D50" s="415"/>
      <c r="E50" s="415"/>
      <c r="F50" s="415"/>
      <c r="G50" s="415"/>
      <c r="H50" s="415"/>
      <c r="I50" s="415"/>
      <c r="J50" s="415"/>
      <c r="K50" s="415"/>
      <c r="L50" s="415"/>
      <c r="M50" s="415"/>
      <c r="N50" s="415"/>
      <c r="O50" s="415"/>
      <c r="P50" s="419"/>
    </row>
    <row r="51" spans="1:16">
      <c r="B51" s="155"/>
      <c r="C51" s="202"/>
      <c r="D51" s="105"/>
      <c r="E51" s="415"/>
      <c r="F51" s="415"/>
      <c r="G51" s="415"/>
      <c r="H51" s="415"/>
      <c r="I51" s="415"/>
      <c r="J51" s="415"/>
      <c r="K51" s="415"/>
      <c r="L51" s="415"/>
      <c r="M51" s="415"/>
      <c r="N51" s="415"/>
      <c r="O51" s="415"/>
      <c r="P51" s="419"/>
    </row>
    <row r="53" spans="1:16" s="51" customFormat="1" ht="22.5">
      <c r="A53" s="162"/>
      <c r="B53" s="421" t="s">
        <v>270</v>
      </c>
      <c r="C53" s="159"/>
      <c r="D53" s="159"/>
      <c r="E53" s="159"/>
      <c r="F53" s="159"/>
      <c r="G53" s="159"/>
      <c r="H53" s="159"/>
      <c r="I53" s="159"/>
      <c r="J53" s="159"/>
      <c r="K53" s="159"/>
      <c r="L53" s="159"/>
      <c r="M53" s="159"/>
      <c r="N53" s="159"/>
      <c r="O53" s="159"/>
      <c r="P53" s="160"/>
    </row>
    <row r="54" spans="1:16" ht="15.75">
      <c r="B54" s="152"/>
      <c r="C54" s="69"/>
      <c r="D54" s="69"/>
      <c r="E54" s="69"/>
      <c r="F54" s="107"/>
      <c r="G54" s="107"/>
      <c r="H54" s="107"/>
      <c r="I54" s="107"/>
      <c r="J54" s="107"/>
      <c r="K54" s="107"/>
      <c r="L54" s="107"/>
      <c r="M54" s="107"/>
      <c r="N54" s="107"/>
      <c r="O54" s="107"/>
      <c r="P54" s="419"/>
    </row>
    <row r="56" spans="1:16" s="51" customFormat="1" ht="22.5">
      <c r="A56" s="162"/>
      <c r="B56" s="421" t="s">
        <v>265</v>
      </c>
      <c r="C56" s="159"/>
      <c r="D56" s="159"/>
      <c r="E56" s="159"/>
      <c r="F56" s="159"/>
      <c r="G56" s="159"/>
      <c r="H56" s="159"/>
      <c r="I56" s="159"/>
      <c r="J56" s="159"/>
      <c r="K56" s="159"/>
      <c r="L56" s="159"/>
      <c r="M56" s="159"/>
      <c r="N56" s="159"/>
      <c r="O56" s="159"/>
      <c r="P56" s="160"/>
    </row>
    <row r="57" spans="1:16">
      <c r="B57" s="418"/>
      <c r="C57" s="493"/>
      <c r="D57" s="453"/>
      <c r="E57" s="496"/>
      <c r="F57" s="302"/>
      <c r="G57" s="302"/>
      <c r="H57" s="302"/>
      <c r="I57" s="302"/>
      <c r="J57" s="302"/>
      <c r="K57" s="302"/>
      <c r="L57" s="302"/>
      <c r="M57" s="302"/>
      <c r="N57" s="302"/>
      <c r="O57" s="302"/>
      <c r="P57" s="419"/>
    </row>
    <row r="58" spans="1:16" ht="15.75">
      <c r="B58" s="421" t="s">
        <v>711</v>
      </c>
      <c r="C58" s="159"/>
      <c r="D58" s="159"/>
      <c r="E58" s="159"/>
      <c r="F58" s="159"/>
      <c r="G58" s="159"/>
      <c r="H58" s="159"/>
      <c r="I58" s="159"/>
      <c r="J58" s="159"/>
      <c r="K58" s="159"/>
      <c r="L58" s="159"/>
      <c r="M58" s="159"/>
      <c r="N58" s="159"/>
      <c r="O58" s="159"/>
      <c r="P58" s="160"/>
    </row>
    <row r="59" spans="1:16" s="410" customFormat="1">
      <c r="B59" s="418"/>
      <c r="C59" s="415"/>
      <c r="D59" s="415"/>
      <c r="E59" s="415"/>
      <c r="F59" s="415"/>
      <c r="G59" s="415"/>
      <c r="H59" s="415"/>
      <c r="I59" s="415"/>
      <c r="J59" s="415"/>
      <c r="K59" s="415"/>
      <c r="L59" s="415"/>
      <c r="M59" s="415"/>
      <c r="N59" s="415"/>
      <c r="O59" s="415"/>
      <c r="P59" s="419"/>
    </row>
    <row r="61" spans="1:16" s="242" customFormat="1"/>
    <row r="62" spans="1:16" s="242" customFormat="1"/>
    <row r="63" spans="1:16" ht="15.75">
      <c r="B63" s="89" t="s">
        <v>241</v>
      </c>
    </row>
    <row r="64" spans="1:16">
      <c r="B64" s="140">
        <v>1</v>
      </c>
      <c r="C64" s="605" t="s">
        <v>823</v>
      </c>
    </row>
    <row r="65" spans="2:16">
      <c r="B65" s="140">
        <v>2</v>
      </c>
      <c r="C65" s="605" t="s">
        <v>393</v>
      </c>
    </row>
    <row r="66" spans="2:16">
      <c r="B66" s="140">
        <v>3</v>
      </c>
      <c r="C66" s="605" t="s">
        <v>592</v>
      </c>
    </row>
    <row r="68" spans="2:16">
      <c r="B68" s="605">
        <v>1</v>
      </c>
      <c r="C68" s="605" t="s">
        <v>824</v>
      </c>
    </row>
    <row r="69" spans="2:16">
      <c r="C69" s="423" t="s">
        <v>825</v>
      </c>
      <c r="E69" s="605" t="str">
        <f>preferences.energyunits</f>
        <v>TWh</v>
      </c>
      <c r="F69" s="73">
        <f>F$43</f>
        <v>395.28044</v>
      </c>
      <c r="G69" s="73">
        <f>G$43</f>
        <v>442.98669999999993</v>
      </c>
      <c r="H69" s="73">
        <f t="shared" ref="H69:O69" si="12">H$43</f>
        <v>480.4207945988</v>
      </c>
      <c r="I69" s="73">
        <f t="shared" si="12"/>
        <v>406.8218875356273</v>
      </c>
      <c r="J69" s="73">
        <f t="shared" si="12"/>
        <v>404.69271243177428</v>
      </c>
      <c r="K69" s="73">
        <f t="shared" si="12"/>
        <v>402.83638767071136</v>
      </c>
      <c r="L69" s="73">
        <f t="shared" si="12"/>
        <v>401.68501767071086</v>
      </c>
      <c r="M69" s="73">
        <f t="shared" si="12"/>
        <v>401.13024685060918</v>
      </c>
      <c r="N69" s="73">
        <f t="shared" si="12"/>
        <v>401.18988105870324</v>
      </c>
      <c r="O69" s="73">
        <f t="shared" si="12"/>
        <v>401.88812295573837</v>
      </c>
    </row>
    <row r="70" spans="2:16" s="685" customFormat="1">
      <c r="B70" s="684"/>
      <c r="C70" s="685" t="s">
        <v>327</v>
      </c>
      <c r="F70" s="686">
        <v>0</v>
      </c>
      <c r="G70" s="686">
        <v>0</v>
      </c>
      <c r="H70" s="686">
        <v>0</v>
      </c>
      <c r="I70" s="686">
        <v>0</v>
      </c>
      <c r="J70" s="686">
        <v>0</v>
      </c>
      <c r="K70" s="686">
        <v>0</v>
      </c>
      <c r="L70" s="686">
        <v>0</v>
      </c>
      <c r="M70" s="686">
        <v>0</v>
      </c>
      <c r="N70" s="686">
        <v>0</v>
      </c>
      <c r="O70" s="686">
        <v>0</v>
      </c>
    </row>
    <row r="71" spans="2:16" s="685" customFormat="1">
      <c r="B71" s="684"/>
      <c r="C71" s="685" t="s">
        <v>329</v>
      </c>
      <c r="F71" s="686">
        <v>0</v>
      </c>
      <c r="G71" s="686">
        <v>0</v>
      </c>
      <c r="H71" s="686">
        <v>0</v>
      </c>
      <c r="I71" s="686">
        <v>0</v>
      </c>
      <c r="J71" s="686">
        <v>0</v>
      </c>
      <c r="K71" s="686">
        <v>0</v>
      </c>
      <c r="L71" s="686">
        <v>0</v>
      </c>
      <c r="M71" s="686">
        <v>0</v>
      </c>
      <c r="N71" s="686">
        <v>0</v>
      </c>
      <c r="O71" s="686">
        <v>0</v>
      </c>
    </row>
    <row r="72" spans="2:16" s="685" customFormat="1">
      <c r="B72" s="687"/>
      <c r="C72" s="685" t="s">
        <v>328</v>
      </c>
      <c r="F72" s="686">
        <v>0</v>
      </c>
      <c r="G72" s="686">
        <v>0</v>
      </c>
      <c r="H72" s="686">
        <v>0</v>
      </c>
      <c r="I72" s="686">
        <v>0</v>
      </c>
      <c r="J72" s="686">
        <v>0</v>
      </c>
      <c r="K72" s="686">
        <v>0</v>
      </c>
      <c r="L72" s="686">
        <v>0</v>
      </c>
      <c r="M72" s="686">
        <v>0</v>
      </c>
      <c r="N72" s="686">
        <v>0</v>
      </c>
      <c r="O72" s="686">
        <v>0</v>
      </c>
    </row>
    <row r="73" spans="2:16">
      <c r="F73" s="91"/>
      <c r="G73" s="91"/>
      <c r="H73" s="91"/>
      <c r="I73" s="91"/>
      <c r="J73" s="91"/>
      <c r="K73" s="91"/>
      <c r="L73" s="91"/>
      <c r="M73" s="91"/>
      <c r="N73" s="91"/>
      <c r="O73" s="91"/>
    </row>
    <row r="74" spans="2:16">
      <c r="F74" s="90"/>
      <c r="G74" s="90"/>
      <c r="H74" s="90"/>
      <c r="I74" s="90"/>
      <c r="J74" s="90"/>
      <c r="K74" s="90"/>
      <c r="L74" s="90"/>
      <c r="M74" s="90"/>
      <c r="N74" s="90"/>
      <c r="O74" s="90"/>
    </row>
    <row r="75" spans="2:16" s="685" customFormat="1">
      <c r="B75" s="685" t="s">
        <v>648</v>
      </c>
      <c r="C75" s="685" t="s">
        <v>677</v>
      </c>
      <c r="F75" s="686"/>
      <c r="G75" s="686"/>
      <c r="H75" s="686"/>
      <c r="I75" s="686"/>
      <c r="J75" s="686"/>
      <c r="K75" s="686"/>
      <c r="L75" s="686"/>
      <c r="M75" s="686"/>
      <c r="N75" s="686"/>
      <c r="O75" s="686"/>
    </row>
    <row r="76" spans="2:16" s="685" customFormat="1" ht="14.25">
      <c r="C76" s="685" t="s">
        <v>399</v>
      </c>
      <c r="E76" s="685" t="s">
        <v>368</v>
      </c>
      <c r="F76" s="686">
        <v>0</v>
      </c>
      <c r="G76" s="686">
        <v>0</v>
      </c>
      <c r="H76" s="686">
        <v>0</v>
      </c>
      <c r="I76" s="686">
        <v>0</v>
      </c>
      <c r="J76" s="686">
        <v>0</v>
      </c>
      <c r="K76" s="686">
        <v>0</v>
      </c>
      <c r="L76" s="686">
        <v>0</v>
      </c>
      <c r="M76" s="686">
        <v>0</v>
      </c>
      <c r="N76" s="686">
        <v>0</v>
      </c>
      <c r="O76" s="686">
        <v>0</v>
      </c>
      <c r="P76" s="686"/>
    </row>
    <row r="77" spans="2:16" s="685" customFormat="1">
      <c r="C77" s="685" t="s">
        <v>400</v>
      </c>
      <c r="F77" s="686"/>
      <c r="G77" s="686"/>
      <c r="H77" s="686"/>
      <c r="I77" s="686"/>
      <c r="J77" s="686"/>
      <c r="K77" s="686"/>
      <c r="L77" s="686"/>
      <c r="M77" s="686"/>
      <c r="N77" s="686"/>
      <c r="O77" s="686"/>
    </row>
    <row r="78" spans="2:16" s="685" customFormat="1">
      <c r="D78" s="685" t="s">
        <v>350</v>
      </c>
      <c r="E78" s="685" t="s">
        <v>367</v>
      </c>
      <c r="F78" s="686"/>
      <c r="G78" s="686"/>
      <c r="H78" s="686"/>
      <c r="I78" s="686"/>
      <c r="J78" s="686"/>
      <c r="K78" s="686"/>
      <c r="L78" s="686"/>
      <c r="M78" s="686"/>
      <c r="N78" s="686"/>
      <c r="O78" s="686"/>
    </row>
    <row r="79" spans="2:16" s="685" customFormat="1">
      <c r="D79" s="685" t="s">
        <v>351</v>
      </c>
      <c r="F79" s="686"/>
      <c r="G79" s="686"/>
      <c r="H79" s="686"/>
      <c r="I79" s="686"/>
      <c r="J79" s="686"/>
      <c r="K79" s="686"/>
      <c r="L79" s="686"/>
      <c r="M79" s="686"/>
      <c r="N79" s="686"/>
      <c r="O79" s="686"/>
    </row>
    <row r="80" spans="2:16" s="685" customFormat="1">
      <c r="D80" s="685" t="s">
        <v>352</v>
      </c>
      <c r="F80" s="686"/>
      <c r="G80" s="686"/>
      <c r="H80" s="686"/>
      <c r="I80" s="686"/>
      <c r="J80" s="686"/>
      <c r="K80" s="686"/>
      <c r="L80" s="686"/>
      <c r="M80" s="686"/>
      <c r="N80" s="686"/>
      <c r="O80" s="686"/>
    </row>
    <row r="84" spans="1:17" ht="22.5">
      <c r="A84" s="420"/>
      <c r="B84" s="206" t="s">
        <v>202</v>
      </c>
      <c r="C84" s="175"/>
      <c r="D84" s="175"/>
      <c r="E84" s="175"/>
      <c r="F84" s="175"/>
      <c r="G84" s="175"/>
      <c r="H84" s="175"/>
      <c r="I84" s="175"/>
      <c r="J84" s="175"/>
      <c r="K84" s="175"/>
      <c r="L84" s="175"/>
      <c r="M84" s="175"/>
      <c r="N84" s="175"/>
      <c r="O84" s="175"/>
      <c r="P84" s="177"/>
    </row>
    <row r="85" spans="1:17">
      <c r="B85" s="164"/>
      <c r="C85" s="166" t="s">
        <v>766</v>
      </c>
      <c r="D85" s="166"/>
      <c r="E85" s="166"/>
      <c r="F85" s="166"/>
      <c r="G85" s="166"/>
      <c r="H85" s="166"/>
      <c r="I85" s="166"/>
      <c r="J85" s="166"/>
      <c r="K85" s="166"/>
      <c r="L85" s="166"/>
      <c r="M85" s="166"/>
      <c r="N85" s="166"/>
      <c r="O85" s="166"/>
      <c r="P85" s="168"/>
    </row>
    <row r="86" spans="1:17">
      <c r="B86" s="164"/>
      <c r="C86" s="178" t="s">
        <v>674</v>
      </c>
      <c r="D86" s="166"/>
      <c r="E86" s="167"/>
      <c r="F86" s="166"/>
      <c r="G86" s="167"/>
      <c r="H86" s="166"/>
      <c r="I86" s="166"/>
      <c r="J86" s="166"/>
      <c r="K86" s="166"/>
      <c r="L86" s="166"/>
      <c r="M86" s="166"/>
      <c r="N86" s="166"/>
      <c r="O86" s="167" t="str">
        <f>preferences.energyunits</f>
        <v>TWh</v>
      </c>
      <c r="P86" s="168"/>
    </row>
    <row r="87" spans="1:17" ht="6" customHeight="1">
      <c r="B87" s="164"/>
      <c r="C87" s="166"/>
      <c r="D87" s="166"/>
      <c r="E87" s="166"/>
      <c r="F87" s="166"/>
      <c r="G87" s="166"/>
      <c r="H87" s="166"/>
      <c r="I87" s="166"/>
      <c r="J87" s="166"/>
      <c r="K87" s="166"/>
      <c r="L87" s="166"/>
      <c r="M87" s="166"/>
      <c r="N87" s="166"/>
      <c r="O87" s="166"/>
      <c r="P87" s="168"/>
    </row>
    <row r="88" spans="1:17" ht="15.75">
      <c r="A88" s="3"/>
      <c r="B88" s="169"/>
      <c r="C88" s="180" t="s">
        <v>64</v>
      </c>
      <c r="D88" s="180" t="s">
        <v>137</v>
      </c>
      <c r="E88" s="180" t="s">
        <v>156</v>
      </c>
      <c r="F88" s="688" t="s">
        <v>203</v>
      </c>
      <c r="G88" s="689" t="s">
        <v>712</v>
      </c>
      <c r="H88" s="689" t="s">
        <v>713</v>
      </c>
      <c r="I88" s="689" t="s">
        <v>714</v>
      </c>
      <c r="J88" s="689" t="s">
        <v>715</v>
      </c>
      <c r="K88" s="689" t="s">
        <v>716</v>
      </c>
      <c r="L88" s="689" t="s">
        <v>717</v>
      </c>
      <c r="M88" s="689" t="s">
        <v>718</v>
      </c>
      <c r="N88" s="689" t="s">
        <v>719</v>
      </c>
      <c r="O88" s="689" t="s">
        <v>720</v>
      </c>
      <c r="P88" s="168"/>
    </row>
    <row r="89" spans="1:17" ht="15.75">
      <c r="A89" s="3"/>
      <c r="B89" s="169"/>
      <c r="C89" s="60" t="s">
        <v>52</v>
      </c>
      <c r="D89" s="60" t="str">
        <f>INDEX(Vectors[Description], MATCH([Vector],Vectors[Code], 0))</f>
        <v>Oil and petroleum products</v>
      </c>
      <c r="E89" s="60"/>
      <c r="F89" s="129">
        <f t="shared" ref="F89:O89" si="13">F$69</f>
        <v>395.28044</v>
      </c>
      <c r="G89" s="129">
        <f t="shared" si="13"/>
        <v>442.98669999999993</v>
      </c>
      <c r="H89" s="129">
        <f t="shared" si="13"/>
        <v>480.4207945988</v>
      </c>
      <c r="I89" s="129">
        <f t="shared" si="13"/>
        <v>406.8218875356273</v>
      </c>
      <c r="J89" s="129">
        <f t="shared" si="13"/>
        <v>404.69271243177428</v>
      </c>
      <c r="K89" s="129">
        <f t="shared" si="13"/>
        <v>402.83638767071136</v>
      </c>
      <c r="L89" s="129">
        <f t="shared" si="13"/>
        <v>401.68501767071086</v>
      </c>
      <c r="M89" s="129">
        <f t="shared" si="13"/>
        <v>401.13024685060918</v>
      </c>
      <c r="N89" s="129">
        <f t="shared" si="13"/>
        <v>401.18988105870324</v>
      </c>
      <c r="O89" s="129">
        <f t="shared" si="13"/>
        <v>401.88812295573837</v>
      </c>
      <c r="P89" s="166"/>
      <c r="Q89" s="539"/>
    </row>
    <row r="90" spans="1:17" ht="15.75">
      <c r="A90" s="3"/>
      <c r="B90" s="169"/>
      <c r="C90" s="60" t="s">
        <v>321</v>
      </c>
      <c r="D90" s="60" t="str">
        <f>INDEX(Vectors[Description], MATCH([Vector],Vectors[Code], 0))</f>
        <v>Oil reserves</v>
      </c>
      <c r="E90" s="60"/>
      <c r="F90" s="129">
        <f t="shared" ref="F90:O90" si="14">-F$69</f>
        <v>-395.28044</v>
      </c>
      <c r="G90" s="129">
        <f t="shared" si="14"/>
        <v>-442.98669999999993</v>
      </c>
      <c r="H90" s="129">
        <f t="shared" si="14"/>
        <v>-480.4207945988</v>
      </c>
      <c r="I90" s="129">
        <f t="shared" si="14"/>
        <v>-406.8218875356273</v>
      </c>
      <c r="J90" s="129">
        <f t="shared" si="14"/>
        <v>-404.69271243177428</v>
      </c>
      <c r="K90" s="129">
        <f t="shared" si="14"/>
        <v>-402.83638767071136</v>
      </c>
      <c r="L90" s="129">
        <f t="shared" si="14"/>
        <v>-401.68501767071086</v>
      </c>
      <c r="M90" s="129">
        <f t="shared" si="14"/>
        <v>-401.13024685060918</v>
      </c>
      <c r="N90" s="129">
        <f t="shared" si="14"/>
        <v>-401.18988105870324</v>
      </c>
      <c r="O90" s="129">
        <f t="shared" si="14"/>
        <v>-401.88812295573837</v>
      </c>
      <c r="P90" s="168"/>
    </row>
    <row r="91" spans="1:17" ht="15.75">
      <c r="A91" s="3"/>
      <c r="B91" s="169"/>
      <c r="C91" s="60" t="s">
        <v>103</v>
      </c>
      <c r="D91" s="60"/>
      <c r="E91" s="60"/>
      <c r="F91" s="1812">
        <f>SUBTOTAL(109,[2007])</f>
        <v>0</v>
      </c>
      <c r="G91" s="1812">
        <f>SUBTOTAL(109,[2007])</f>
        <v>0</v>
      </c>
      <c r="H91" s="1812">
        <f>SUBTOTAL(109,[2007])</f>
        <v>0</v>
      </c>
      <c r="I91" s="1812">
        <f>SUBTOTAL(109,[2007])</f>
        <v>0</v>
      </c>
      <c r="J91" s="1812">
        <f>SUBTOTAL(109,[2007])</f>
        <v>0</v>
      </c>
      <c r="K91" s="1812">
        <f>SUBTOTAL(109,[2007])</f>
        <v>0</v>
      </c>
      <c r="L91" s="1812">
        <f>SUBTOTAL(109,[2007])</f>
        <v>0</v>
      </c>
      <c r="M91" s="1812">
        <f>SUBTOTAL(109,[2007])</f>
        <v>0</v>
      </c>
      <c r="N91" s="1812">
        <f>SUBTOTAL(109,[2007])</f>
        <v>0</v>
      </c>
      <c r="O91" s="1812">
        <f>SUBTOTAL(109,[2007])</f>
        <v>0</v>
      </c>
      <c r="P91" s="168"/>
    </row>
    <row r="92" spans="1:17" ht="15.75">
      <c r="A92" s="3"/>
      <c r="B92" s="170"/>
      <c r="C92" s="224"/>
      <c r="D92" s="225"/>
      <c r="E92" s="225"/>
      <c r="F92" s="225"/>
      <c r="G92" s="225"/>
      <c r="H92" s="225"/>
      <c r="I92" s="225"/>
      <c r="J92" s="225"/>
      <c r="K92" s="225"/>
      <c r="L92" s="225"/>
      <c r="M92" s="225"/>
      <c r="N92" s="225"/>
      <c r="O92" s="225"/>
      <c r="P92" s="173"/>
    </row>
    <row r="94" spans="1:17" ht="22.5">
      <c r="A94" s="420"/>
      <c r="B94" s="216" t="s">
        <v>281</v>
      </c>
      <c r="C94" s="183"/>
      <c r="D94" s="184"/>
      <c r="E94" s="184"/>
      <c r="F94" s="184"/>
      <c r="G94" s="184"/>
      <c r="H94" s="184"/>
      <c r="I94" s="184"/>
      <c r="J94" s="184"/>
      <c r="K94" s="184"/>
      <c r="L94" s="184"/>
      <c r="M94" s="184"/>
      <c r="N94" s="184"/>
      <c r="O94" s="184"/>
      <c r="P94" s="185"/>
    </row>
    <row r="95" spans="1:17">
      <c r="B95" s="190"/>
      <c r="C95" s="191"/>
      <c r="D95" s="191"/>
      <c r="E95" s="191"/>
      <c r="F95" s="191"/>
      <c r="G95" s="191"/>
      <c r="H95" s="191"/>
      <c r="I95" s="191"/>
      <c r="J95" s="191"/>
      <c r="K95" s="191"/>
      <c r="L95" s="191"/>
      <c r="M95" s="191"/>
      <c r="N95" s="191"/>
      <c r="O95" s="191"/>
      <c r="P95" s="192"/>
    </row>
    <row r="96" spans="1:17" ht="14.25">
      <c r="B96" s="193"/>
      <c r="C96" s="186" t="s">
        <v>366</v>
      </c>
      <c r="D96" s="187"/>
      <c r="E96" s="188"/>
      <c r="F96" s="187"/>
      <c r="G96" s="188"/>
      <c r="H96" s="187"/>
      <c r="I96" s="187"/>
      <c r="J96" s="187"/>
      <c r="K96" s="187"/>
      <c r="L96" s="187"/>
      <c r="M96" s="187"/>
      <c r="N96" s="187"/>
      <c r="O96" s="188" t="s">
        <v>368</v>
      </c>
      <c r="P96" s="194"/>
    </row>
    <row r="97" spans="2:24" ht="5.25" customHeight="1">
      <c r="B97" s="193"/>
      <c r="C97" s="187"/>
      <c r="D97" s="187"/>
      <c r="E97" s="187"/>
      <c r="F97" s="187"/>
      <c r="G97" s="187"/>
      <c r="H97" s="187"/>
      <c r="I97" s="187"/>
      <c r="J97" s="187"/>
      <c r="K97" s="187"/>
      <c r="L97" s="187"/>
      <c r="M97" s="187"/>
      <c r="N97" s="187"/>
      <c r="O97" s="187"/>
      <c r="P97" s="194"/>
    </row>
    <row r="98" spans="2:24" ht="15.75">
      <c r="B98" s="195"/>
      <c r="C98" s="221" t="s">
        <v>365</v>
      </c>
      <c r="D98" s="221" t="s">
        <v>337</v>
      </c>
      <c r="E98" s="221" t="s">
        <v>156</v>
      </c>
      <c r="F98" s="690" t="s">
        <v>203</v>
      </c>
      <c r="G98" s="691" t="s">
        <v>712</v>
      </c>
      <c r="H98" s="691" t="s">
        <v>713</v>
      </c>
      <c r="I98" s="691" t="s">
        <v>714</v>
      </c>
      <c r="J98" s="691" t="s">
        <v>715</v>
      </c>
      <c r="K98" s="691" t="s">
        <v>716</v>
      </c>
      <c r="L98" s="691" t="s">
        <v>717</v>
      </c>
      <c r="M98" s="691" t="s">
        <v>718</v>
      </c>
      <c r="N98" s="691" t="s">
        <v>719</v>
      </c>
      <c r="O98" s="691" t="s">
        <v>720</v>
      </c>
      <c r="P98" s="194"/>
    </row>
    <row r="99" spans="2:24" ht="15.75">
      <c r="B99" s="195"/>
      <c r="C99" s="189" t="s">
        <v>350</v>
      </c>
      <c r="D99" s="196" t="s">
        <v>358</v>
      </c>
      <c r="E99" s="189" t="str">
        <f>INDEX(IPCC[Sector_description], MATCH([IPCC Sector], IPCC[Sector_code], 0))</f>
        <v>Fugitive Emissions from Fuels</v>
      </c>
      <c r="F99" s="197"/>
      <c r="G99" s="197"/>
      <c r="H99" s="197"/>
      <c r="I99" s="197"/>
      <c r="J99" s="197"/>
      <c r="K99" s="197"/>
      <c r="L99" s="197"/>
      <c r="M99" s="197"/>
      <c r="N99" s="197"/>
      <c r="O99" s="197"/>
      <c r="P99" s="194"/>
    </row>
    <row r="100" spans="2:24" ht="15.75">
      <c r="B100" s="195"/>
      <c r="C100" s="189" t="s">
        <v>351</v>
      </c>
      <c r="D100" s="196" t="s">
        <v>358</v>
      </c>
      <c r="E100" s="189" t="str">
        <f>INDEX(IPCC[Sector_description], MATCH([IPCC Sector], IPCC[Sector_code], 0))</f>
        <v>Fugitive Emissions from Fuels</v>
      </c>
      <c r="F100" s="197"/>
      <c r="G100" s="197"/>
      <c r="H100" s="197"/>
      <c r="I100" s="197"/>
      <c r="J100" s="197"/>
      <c r="K100" s="197"/>
      <c r="L100" s="197"/>
      <c r="M100" s="197"/>
      <c r="N100" s="197"/>
      <c r="O100" s="197"/>
      <c r="P100" s="194"/>
    </row>
    <row r="101" spans="2:24" ht="15.75">
      <c r="B101" s="195"/>
      <c r="C101" s="189" t="s">
        <v>350</v>
      </c>
      <c r="D101" s="196" t="s">
        <v>359</v>
      </c>
      <c r="E101" s="189" t="str">
        <f>INDEX(IPCC[Sector_description], MATCH([IPCC Sector], IPCC[Sector_code], 0))</f>
        <v>Fuel Combustion</v>
      </c>
      <c r="F101" s="197"/>
      <c r="G101" s="197"/>
      <c r="H101" s="197"/>
      <c r="I101" s="197"/>
      <c r="J101" s="197"/>
      <c r="K101" s="197"/>
      <c r="L101" s="197"/>
      <c r="M101" s="197"/>
      <c r="N101" s="197"/>
      <c r="O101" s="197"/>
      <c r="P101" s="194"/>
    </row>
    <row r="102" spans="2:24" ht="15.75">
      <c r="B102" s="195"/>
      <c r="C102" s="189" t="s">
        <v>351</v>
      </c>
      <c r="D102" s="196" t="s">
        <v>359</v>
      </c>
      <c r="E102" s="189" t="str">
        <f>INDEX(IPCC[Sector_description], MATCH([IPCC Sector], IPCC[Sector_code], 0))</f>
        <v>Fuel Combustion</v>
      </c>
      <c r="F102" s="197"/>
      <c r="G102" s="197"/>
      <c r="H102" s="197"/>
      <c r="I102" s="197"/>
      <c r="J102" s="197"/>
      <c r="K102" s="197"/>
      <c r="L102" s="197"/>
      <c r="M102" s="197"/>
      <c r="N102" s="197"/>
      <c r="O102" s="197"/>
      <c r="P102" s="194"/>
    </row>
    <row r="103" spans="2:24" ht="15.75">
      <c r="B103" s="195"/>
      <c r="C103" s="189" t="s">
        <v>352</v>
      </c>
      <c r="D103" s="196" t="s">
        <v>359</v>
      </c>
      <c r="E103" s="189" t="str">
        <f>INDEX(IPCC[Sector_description], MATCH([IPCC Sector], IPCC[Sector_code], 0))</f>
        <v>Fuel Combustion</v>
      </c>
      <c r="F103" s="197"/>
      <c r="G103" s="197"/>
      <c r="H103" s="197"/>
      <c r="I103" s="197"/>
      <c r="J103" s="197"/>
      <c r="K103" s="197"/>
      <c r="L103" s="197"/>
      <c r="M103" s="197"/>
      <c r="N103" s="197"/>
      <c r="O103" s="197"/>
      <c r="P103" s="194"/>
      <c r="R103" s="35"/>
      <c r="S103" s="35"/>
      <c r="T103" s="35"/>
      <c r="U103" s="35"/>
      <c r="V103" s="35"/>
      <c r="W103" s="35"/>
      <c r="X103" s="35"/>
    </row>
    <row r="104" spans="2:24" ht="15.75">
      <c r="B104" s="195"/>
      <c r="C104" s="189" t="s">
        <v>103</v>
      </c>
      <c r="D104" s="189"/>
      <c r="E104" s="189"/>
      <c r="F104" s="223">
        <f>SUBTOTAL(109,[2007])</f>
        <v>0</v>
      </c>
      <c r="G104" s="223">
        <f>SUBTOTAL(109,[2012])</f>
        <v>0</v>
      </c>
      <c r="H104" s="223">
        <f>SUBTOTAL(109,[2017])</f>
        <v>0</v>
      </c>
      <c r="I104" s="223">
        <f>SUBTOTAL(109,[2022])</f>
        <v>0</v>
      </c>
      <c r="J104" s="223">
        <f>SUBTOTAL(109,[2027])</f>
        <v>0</v>
      </c>
      <c r="K104" s="223">
        <f>SUBTOTAL(109,[2032])</f>
        <v>0</v>
      </c>
      <c r="L104" s="223">
        <f>SUBTOTAL(109,[2037])</f>
        <v>0</v>
      </c>
      <c r="M104" s="223">
        <f>SUBTOTAL(109,[2042])</f>
        <v>0</v>
      </c>
      <c r="N104" s="223">
        <f>SUBTOTAL(109,[2047])</f>
        <v>0</v>
      </c>
      <c r="O104" s="223">
        <f>SUBTOTAL(109,[2052])</f>
        <v>0</v>
      </c>
      <c r="P104" s="194"/>
      <c r="R104" s="35"/>
      <c r="S104" s="35"/>
      <c r="T104" s="35"/>
      <c r="U104" s="35"/>
      <c r="V104" s="35"/>
      <c r="W104" s="35"/>
      <c r="X104" s="35"/>
    </row>
    <row r="105" spans="2:24" ht="15.75">
      <c r="B105" s="195"/>
      <c r="C105" s="187"/>
      <c r="D105" s="187"/>
      <c r="E105" s="187"/>
      <c r="F105" s="187"/>
      <c r="G105" s="187"/>
      <c r="H105" s="187"/>
      <c r="I105" s="187"/>
      <c r="J105" s="187"/>
      <c r="K105" s="187"/>
      <c r="L105" s="187"/>
      <c r="M105" s="187"/>
      <c r="N105" s="187"/>
      <c r="O105" s="187"/>
      <c r="P105" s="194"/>
      <c r="R105" s="35"/>
      <c r="S105" s="35"/>
      <c r="T105" s="35"/>
      <c r="U105" s="35"/>
      <c r="V105" s="35"/>
      <c r="W105" s="35"/>
      <c r="X105" s="35"/>
    </row>
    <row r="106" spans="2:24">
      <c r="R106" s="35"/>
      <c r="S106" s="35"/>
      <c r="T106" s="35"/>
      <c r="U106" s="35"/>
      <c r="V106" s="35"/>
      <c r="W106" s="35"/>
      <c r="X106" s="35"/>
    </row>
    <row r="107" spans="2:24">
      <c r="R107" s="35"/>
      <c r="S107" s="35"/>
      <c r="T107" s="35"/>
      <c r="U107" s="35"/>
      <c r="V107" s="35"/>
      <c r="W107" s="35"/>
      <c r="X107" s="35"/>
    </row>
    <row r="556" spans="6:15">
      <c r="F556" s="605">
        <f>F$516*INDEX(EF[CO2], MATCH("V.04", EF[Vector], 0))</f>
        <v>0</v>
      </c>
      <c r="G556" s="605">
        <f>G$516*INDEX(EF[CO2], MATCH("V.04", EF[Vector], 0))</f>
        <v>0</v>
      </c>
      <c r="H556" s="605">
        <f>H$516*INDEX(EF[CO2], MATCH("V.04", EF[Vector], 0))</f>
        <v>0</v>
      </c>
      <c r="I556" s="605">
        <f>I$516*INDEX(EF[CO2], MATCH("V.04", EF[Vector], 0))</f>
        <v>0</v>
      </c>
      <c r="J556" s="605">
        <f>J$516*INDEX(EF[CO2], MATCH("V.04", EF[Vector], 0))</f>
        <v>0</v>
      </c>
      <c r="K556" s="605">
        <f>K$516*INDEX(EF[CO2], MATCH("V.04", EF[Vector], 0))</f>
        <v>0</v>
      </c>
      <c r="L556" s="605">
        <f>L$516*INDEX(EF[CO2], MATCH("V.04", EF[Vector], 0))</f>
        <v>0</v>
      </c>
      <c r="M556" s="605">
        <f>M$516*INDEX(EF[CO2], MATCH("V.04", EF[Vector], 0))</f>
        <v>0</v>
      </c>
      <c r="N556" s="605">
        <f>N$516*INDEX(EF[CO2], MATCH("V.04", EF[Vector], 0))</f>
        <v>0</v>
      </c>
      <c r="O556" s="605">
        <f>O$516*INDEX(EF[CO2], MATCH("V.04", EF[Vector], 0))</f>
        <v>0</v>
      </c>
    </row>
    <row r="557" spans="6:15">
      <c r="F557" s="605">
        <f>F$516*INDEX(EF[CH4], MATCH("V.04", EF[Vector], 0))</f>
        <v>0</v>
      </c>
      <c r="G557" s="605">
        <f>G$516*INDEX(EF[CH4], MATCH("V.04", EF[Vector], 0))</f>
        <v>0</v>
      </c>
      <c r="H557" s="605">
        <f>H$516*INDEX(EF[CH4], MATCH("V.04", EF[Vector], 0))</f>
        <v>0</v>
      </c>
      <c r="I557" s="605">
        <f>I$516*INDEX(EF[CH4], MATCH("V.04", EF[Vector], 0))</f>
        <v>0</v>
      </c>
      <c r="J557" s="605">
        <f>J$516*INDEX(EF[CH4], MATCH("V.04", EF[Vector], 0))</f>
        <v>0</v>
      </c>
      <c r="K557" s="605">
        <f>K$516*INDEX(EF[CH4], MATCH("V.04", EF[Vector], 0))</f>
        <v>0</v>
      </c>
      <c r="L557" s="605">
        <f>L$516*INDEX(EF[CH4], MATCH("V.04", EF[Vector], 0))</f>
        <v>0</v>
      </c>
      <c r="M557" s="605">
        <f>M$516*INDEX(EF[CH4], MATCH("V.04", EF[Vector], 0))</f>
        <v>0</v>
      </c>
      <c r="N557" s="605">
        <f>N$516*INDEX(EF[CH4], MATCH("V.04", EF[Vector], 0))</f>
        <v>0</v>
      </c>
      <c r="O557" s="605">
        <f>O$516*INDEX(EF[CH4], MATCH("V.04", EF[Vector], 0))</f>
        <v>0</v>
      </c>
    </row>
    <row r="558" spans="6:15">
      <c r="F558" s="605">
        <f>F$516*INDEX(EF[N2O], MATCH("V.04", EF[Vector], 0))</f>
        <v>0</v>
      </c>
      <c r="G558" s="605">
        <f>G$516*INDEX(EF[N2O], MATCH("V.04", EF[Vector], 0))</f>
        <v>0</v>
      </c>
      <c r="H558" s="605">
        <f>H$516*INDEX(EF[N2O], MATCH("V.04", EF[Vector], 0))</f>
        <v>0</v>
      </c>
      <c r="I558" s="605">
        <f>I$516*INDEX(EF[N2O], MATCH("V.04", EF[Vector], 0))</f>
        <v>0</v>
      </c>
      <c r="J558" s="605">
        <f>J$516*INDEX(EF[N2O], MATCH("V.04", EF[Vector], 0))</f>
        <v>0</v>
      </c>
      <c r="K558" s="605">
        <f>K$516*INDEX(EF[N2O], MATCH("V.04", EF[Vector], 0))</f>
        <v>0</v>
      </c>
      <c r="L558" s="605">
        <f>L$516*INDEX(EF[N2O], MATCH("V.04", EF[Vector], 0))</f>
        <v>0</v>
      </c>
      <c r="M558" s="605">
        <f>M$516*INDEX(EF[N2O], MATCH("V.04", EF[Vector], 0))</f>
        <v>0</v>
      </c>
      <c r="N558" s="605">
        <f>N$516*INDEX(EF[N2O], MATCH("V.04", EF[Vector], 0))</f>
        <v>0</v>
      </c>
      <c r="O558" s="605">
        <f>O$516*INDEX(EF[N2O], MATCH("V.04", EF[Vector], 0))</f>
        <v>0</v>
      </c>
    </row>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sheetPr>
    <tabColor theme="9" tint="0.39997558519241921"/>
  </sheetPr>
  <dimension ref="A1:V345"/>
  <sheetViews>
    <sheetView showGridLines="0" tabSelected="1" topLeftCell="B181" zoomScale="91" zoomScaleNormal="91" zoomScalePageLayoutView="91" workbookViewId="0">
      <selection activeCell="L197" sqref="L197"/>
    </sheetView>
  </sheetViews>
  <sheetFormatPr defaultColWidth="8.85546875" defaultRowHeight="14.25"/>
  <cols>
    <col min="1" max="2" width="8.85546875" style="2011"/>
    <col min="3" max="3" width="10.28515625" style="2012" customWidth="1"/>
    <col min="4" max="4" width="25.7109375" style="2012" customWidth="1"/>
    <col min="5" max="5" width="15.140625" style="2012" customWidth="1"/>
    <col min="6" max="6" width="15.140625" style="2012" bestFit="1" customWidth="1"/>
    <col min="7" max="7" width="14.7109375" style="2012" customWidth="1"/>
    <col min="8" max="8" width="13.42578125" style="2012" customWidth="1"/>
    <col min="9" max="9" width="13.7109375" style="2012" customWidth="1"/>
    <col min="10" max="10" width="15" style="2012" customWidth="1"/>
    <col min="11" max="11" width="13.28515625" style="2012" customWidth="1"/>
    <col min="12" max="12" width="14.140625" style="2012" customWidth="1"/>
    <col min="13" max="13" width="15.28515625" style="2012" customWidth="1"/>
    <col min="14" max="14" width="14.42578125" style="2012" customWidth="1"/>
    <col min="15" max="15" width="13.7109375" style="2012" customWidth="1"/>
    <col min="16" max="22" width="8.85546875" style="2011"/>
    <col min="23" max="16384" width="8.85546875" style="2012"/>
  </cols>
  <sheetData>
    <row r="1" spans="1:22" ht="23.25">
      <c r="A1" s="2006" t="s">
        <v>330</v>
      </c>
      <c r="B1" s="2007" t="str">
        <f>INDEX(Workstreams[Workstream], MATCH($A1, Workstreams[Code], 0))</f>
        <v>Telecom</v>
      </c>
      <c r="C1" s="2008"/>
      <c r="D1" s="2009"/>
      <c r="E1" s="2009"/>
      <c r="F1" s="2009"/>
      <c r="G1" s="2009"/>
      <c r="H1" s="2009"/>
      <c r="I1" s="2009"/>
      <c r="J1" s="2009"/>
      <c r="K1" s="2009"/>
      <c r="L1" s="2009"/>
      <c r="M1" s="2009"/>
      <c r="N1" s="2009"/>
      <c r="O1" s="2009"/>
      <c r="P1" s="2010"/>
      <c r="U1" s="2012"/>
      <c r="V1" s="2012"/>
    </row>
    <row r="2" spans="1:22" ht="14.25" customHeight="1">
      <c r="A2" s="2013" t="s">
        <v>1087</v>
      </c>
      <c r="B2" s="2013" t="str">
        <f>INDEX(Modules[Module], MATCH($A2, Modules[Code], 0))</f>
        <v>Telecom</v>
      </c>
      <c r="C2" s="2008"/>
      <c r="D2" s="2009"/>
      <c r="E2" s="2009"/>
      <c r="F2" s="2009"/>
      <c r="G2" s="2009"/>
      <c r="H2" s="2009"/>
      <c r="I2" s="2009"/>
      <c r="J2" s="2009"/>
      <c r="K2" s="2009"/>
      <c r="L2" s="2009"/>
      <c r="M2" s="2009"/>
      <c r="N2" s="2009"/>
      <c r="O2" s="2009"/>
      <c r="P2" s="2010"/>
      <c r="U2" s="2012"/>
      <c r="V2" s="2012"/>
    </row>
    <row r="3" spans="1:22" ht="23.25">
      <c r="A3" s="2006"/>
      <c r="B3" s="2007"/>
      <c r="C3" s="2008"/>
      <c r="D3" s="2009"/>
      <c r="E3" s="2009"/>
      <c r="F3" s="2009"/>
      <c r="G3" s="2009"/>
      <c r="H3" s="2009"/>
      <c r="I3" s="2009"/>
      <c r="J3" s="2009"/>
      <c r="K3" s="2009"/>
      <c r="L3" s="2009"/>
      <c r="M3" s="2009"/>
      <c r="N3" s="2009"/>
      <c r="O3" s="2009"/>
      <c r="P3" s="2010"/>
      <c r="U3" s="2012"/>
      <c r="V3" s="2012"/>
    </row>
    <row r="4" spans="1:22" ht="17.25" customHeight="1">
      <c r="A4" s="2006"/>
      <c r="B4" s="2014" t="s">
        <v>416</v>
      </c>
      <c r="C4" s="2015"/>
      <c r="D4" s="2016"/>
      <c r="E4" s="2017"/>
      <c r="F4" s="2016"/>
      <c r="G4" s="2016"/>
      <c r="H4" s="2016"/>
      <c r="I4" s="2016"/>
      <c r="J4" s="2016"/>
      <c r="K4" s="2016"/>
      <c r="L4" s="2016"/>
      <c r="M4" s="2016"/>
      <c r="N4" s="2016"/>
      <c r="O4" s="2016"/>
      <c r="P4" s="2018"/>
      <c r="U4" s="2012"/>
      <c r="V4" s="2012"/>
    </row>
    <row r="5" spans="1:22" ht="17.25" customHeight="1">
      <c r="A5" s="2006"/>
      <c r="B5" s="2019"/>
      <c r="C5" s="2020"/>
      <c r="D5" s="2021"/>
      <c r="E5" s="2022"/>
      <c r="F5" s="2021"/>
      <c r="G5" s="2021"/>
      <c r="H5" s="2021"/>
      <c r="I5" s="2021"/>
      <c r="J5" s="2021"/>
      <c r="K5" s="2021"/>
      <c r="L5" s="2021"/>
      <c r="M5" s="2021"/>
      <c r="N5" s="2021"/>
      <c r="O5" s="2021"/>
      <c r="P5" s="2021"/>
      <c r="U5" s="2012"/>
      <c r="V5" s="2012"/>
    </row>
    <row r="6" spans="1:22" ht="15.75">
      <c r="A6" s="2023"/>
      <c r="B6" s="2024"/>
      <c r="C6" s="2021"/>
      <c r="D6" s="2025" t="s">
        <v>274</v>
      </c>
      <c r="E6" s="2025" t="s">
        <v>411</v>
      </c>
      <c r="F6" s="2021"/>
      <c r="G6" s="2021"/>
      <c r="H6" s="2021"/>
      <c r="I6" s="2021"/>
      <c r="J6" s="2021"/>
      <c r="K6" s="2021"/>
      <c r="L6" s="2021"/>
      <c r="M6" s="2021"/>
      <c r="N6" s="2021"/>
      <c r="O6" s="2021"/>
      <c r="P6" s="2021"/>
      <c r="U6" s="2012"/>
      <c r="V6" s="2012"/>
    </row>
    <row r="7" spans="1:22" ht="15.75">
      <c r="A7" s="2023"/>
      <c r="B7" s="2024"/>
      <c r="C7" s="2021"/>
      <c r="D7" s="2026" t="s">
        <v>411</v>
      </c>
      <c r="E7" s="2026">
        <f>xvi.scenario.fuelsplit</f>
        <v>1</v>
      </c>
      <c r="F7" s="2021"/>
      <c r="G7" s="2021"/>
      <c r="H7" s="2021"/>
      <c r="I7" s="2021"/>
      <c r="J7" s="2021"/>
      <c r="K7" s="2021"/>
      <c r="L7" s="2021"/>
      <c r="M7" s="2021"/>
      <c r="N7" s="2021"/>
      <c r="O7" s="2021"/>
      <c r="P7" s="2021"/>
      <c r="U7" s="2012"/>
      <c r="V7" s="2012"/>
    </row>
    <row r="8" spans="1:22" ht="15.75">
      <c r="A8" s="2023"/>
      <c r="B8" s="2027"/>
      <c r="C8" s="2028"/>
      <c r="D8" s="2028"/>
      <c r="E8" s="2028"/>
      <c r="F8" s="2029"/>
      <c r="G8" s="2029"/>
      <c r="H8" s="2029"/>
      <c r="I8" s="2029"/>
      <c r="J8" s="2029"/>
      <c r="K8" s="2029"/>
      <c r="L8" s="2029"/>
      <c r="M8" s="2029"/>
      <c r="N8" s="2029"/>
      <c r="O8" s="2029"/>
      <c r="P8" s="2021"/>
      <c r="U8" s="2012"/>
      <c r="V8" s="2012"/>
    </row>
    <row r="9" spans="1:22" ht="15.75">
      <c r="A9" s="2023"/>
      <c r="B9" s="2023"/>
      <c r="C9" s="2030"/>
      <c r="D9" s="2031"/>
      <c r="E9" s="404"/>
      <c r="F9" s="2031"/>
      <c r="G9" s="2031"/>
      <c r="H9" s="2031"/>
      <c r="I9" s="2031"/>
      <c r="J9" s="2031"/>
      <c r="K9" s="2031"/>
      <c r="L9" s="2031"/>
      <c r="M9" s="2031"/>
      <c r="N9" s="2031"/>
      <c r="O9" s="2031"/>
      <c r="P9" s="2032"/>
      <c r="U9" s="2012"/>
      <c r="V9" s="2012"/>
    </row>
    <row r="11" spans="1:22" ht="22.5">
      <c r="A11" s="2033"/>
      <c r="B11" s="2034" t="s">
        <v>413</v>
      </c>
      <c r="C11" s="2035"/>
      <c r="D11" s="2035"/>
      <c r="E11" s="2035"/>
      <c r="F11" s="2035"/>
      <c r="G11" s="2035"/>
      <c r="H11" s="2035"/>
      <c r="I11" s="2035"/>
      <c r="J11" s="2035"/>
      <c r="K11" s="2035"/>
      <c r="L11" s="2035"/>
      <c r="M11" s="2035"/>
      <c r="N11" s="2035"/>
      <c r="O11" s="2035"/>
      <c r="P11" s="2036"/>
      <c r="U11" s="2012"/>
      <c r="V11" s="2012"/>
    </row>
    <row r="12" spans="1:22">
      <c r="A12" s="2010"/>
      <c r="B12" s="2037"/>
      <c r="C12" s="2037"/>
      <c r="D12" s="2037"/>
      <c r="E12" s="2037"/>
      <c r="F12" s="2037"/>
      <c r="G12" s="2037"/>
      <c r="H12" s="2037"/>
      <c r="I12" s="2037"/>
      <c r="J12" s="2037"/>
      <c r="K12" s="2037"/>
      <c r="L12" s="2037"/>
      <c r="M12" s="2037"/>
      <c r="N12" s="2037"/>
      <c r="O12" s="2037"/>
      <c r="P12" s="2037"/>
      <c r="U12" s="2012"/>
      <c r="V12" s="2012"/>
    </row>
    <row r="13" spans="1:22">
      <c r="A13" s="2010"/>
      <c r="B13" s="2037"/>
      <c r="C13" s="2038" t="s">
        <v>1702</v>
      </c>
      <c r="D13" s="2037"/>
      <c r="E13" s="2037"/>
      <c r="F13" s="2037"/>
      <c r="G13" s="2037"/>
      <c r="H13" s="2037"/>
      <c r="I13" s="2037"/>
      <c r="J13" s="2037"/>
      <c r="K13" s="2037"/>
      <c r="L13" s="2037"/>
      <c r="M13" s="2037"/>
      <c r="N13" s="2037"/>
      <c r="O13" s="2037"/>
      <c r="P13" s="2037"/>
      <c r="Q13" s="2010"/>
      <c r="R13" s="2010"/>
      <c r="S13" s="2010"/>
      <c r="T13" s="2012"/>
      <c r="U13" s="2012"/>
      <c r="V13" s="2012"/>
    </row>
    <row r="14" spans="1:22" ht="4.5" customHeight="1">
      <c r="A14" s="2010"/>
      <c r="B14" s="2037"/>
      <c r="C14" s="2038"/>
      <c r="D14" s="2037"/>
      <c r="E14" s="2037"/>
      <c r="F14" s="2037"/>
      <c r="G14" s="2037"/>
      <c r="H14" s="2037"/>
      <c r="I14" s="2037"/>
      <c r="J14" s="2037"/>
      <c r="K14" s="2037"/>
      <c r="L14" s="2037"/>
      <c r="M14" s="2037"/>
      <c r="N14" s="2037"/>
      <c r="O14" s="2037"/>
      <c r="P14" s="2037"/>
      <c r="Q14" s="2010"/>
      <c r="R14" s="2010"/>
      <c r="S14" s="2010"/>
      <c r="T14" s="2012"/>
      <c r="U14" s="2012"/>
      <c r="V14" s="2012"/>
    </row>
    <row r="15" spans="1:22">
      <c r="A15" s="2010"/>
      <c r="B15" s="2037"/>
      <c r="C15" s="2053" t="s">
        <v>411</v>
      </c>
      <c r="D15" s="2053" t="s">
        <v>65</v>
      </c>
      <c r="E15" s="2053" t="s">
        <v>156</v>
      </c>
      <c r="F15" s="2079" t="s">
        <v>203</v>
      </c>
      <c r="G15" s="2079">
        <f t="shared" ref="G15:O15" si="0">F15+5</f>
        <v>2012</v>
      </c>
      <c r="H15" s="2079">
        <f t="shared" si="0"/>
        <v>2017</v>
      </c>
      <c r="I15" s="2079">
        <f t="shared" si="0"/>
        <v>2022</v>
      </c>
      <c r="J15" s="2079">
        <f t="shared" si="0"/>
        <v>2027</v>
      </c>
      <c r="K15" s="2079">
        <f t="shared" si="0"/>
        <v>2032</v>
      </c>
      <c r="L15" s="2079">
        <f t="shared" si="0"/>
        <v>2037</v>
      </c>
      <c r="M15" s="2079">
        <f t="shared" si="0"/>
        <v>2042</v>
      </c>
      <c r="N15" s="2079">
        <f t="shared" si="0"/>
        <v>2047</v>
      </c>
      <c r="O15" s="2079">
        <f t="shared" si="0"/>
        <v>2052</v>
      </c>
      <c r="P15" s="2037"/>
      <c r="Q15" s="2010"/>
      <c r="R15" s="2010"/>
      <c r="S15" s="2010"/>
      <c r="T15" s="2012"/>
      <c r="U15" s="2012"/>
      <c r="V15" s="2012"/>
    </row>
    <row r="16" spans="1:22">
      <c r="A16" s="2010"/>
      <c r="B16" s="2037"/>
      <c r="C16" s="2086">
        <v>1</v>
      </c>
      <c r="D16" s="2086"/>
      <c r="E16" s="2086"/>
      <c r="F16" s="2087">
        <v>0</v>
      </c>
      <c r="G16" s="2087">
        <v>0</v>
      </c>
      <c r="H16" s="2087">
        <v>0.02</v>
      </c>
      <c r="I16" s="2087">
        <v>0.02</v>
      </c>
      <c r="J16" s="2087">
        <v>0.05</v>
      </c>
      <c r="K16" s="2087">
        <v>0.05</v>
      </c>
      <c r="L16" s="2087">
        <v>0.1</v>
      </c>
      <c r="M16" s="2087">
        <v>0.1</v>
      </c>
      <c r="N16" s="2087">
        <v>0.15</v>
      </c>
      <c r="O16" s="2087">
        <v>0.15</v>
      </c>
      <c r="P16" s="2037"/>
      <c r="Q16" s="2010"/>
      <c r="R16" s="2010"/>
      <c r="S16" s="2010"/>
      <c r="T16" s="2012"/>
      <c r="U16" s="2012"/>
      <c r="V16" s="2012"/>
    </row>
    <row r="17" spans="1:22">
      <c r="A17" s="2010"/>
      <c r="B17" s="2037"/>
      <c r="C17" s="2086">
        <v>2</v>
      </c>
      <c r="D17" s="2086"/>
      <c r="E17" s="2086"/>
      <c r="F17" s="2087">
        <v>0</v>
      </c>
      <c r="G17" s="2087">
        <v>0</v>
      </c>
      <c r="H17" s="2087">
        <v>0.05</v>
      </c>
      <c r="I17" s="2087">
        <v>0.1</v>
      </c>
      <c r="J17" s="2087">
        <v>0.2</v>
      </c>
      <c r="K17" s="2087">
        <v>0.2</v>
      </c>
      <c r="L17" s="2087">
        <v>0.3</v>
      </c>
      <c r="M17" s="2087">
        <v>0.3</v>
      </c>
      <c r="N17" s="2087">
        <v>0.4</v>
      </c>
      <c r="O17" s="2087">
        <v>0.4</v>
      </c>
      <c r="P17" s="2037"/>
      <c r="Q17" s="2010"/>
      <c r="R17" s="2010"/>
      <c r="S17" s="2010"/>
      <c r="T17" s="2012"/>
      <c r="U17" s="2012"/>
      <c r="V17" s="2012"/>
    </row>
    <row r="18" spans="1:22">
      <c r="A18" s="2010"/>
      <c r="B18" s="2037"/>
      <c r="C18" s="2086">
        <v>3</v>
      </c>
      <c r="D18" s="2086"/>
      <c r="E18" s="2086"/>
      <c r="F18" s="2087">
        <v>0</v>
      </c>
      <c r="G18" s="2087">
        <v>0</v>
      </c>
      <c r="H18" s="2087">
        <v>0.1</v>
      </c>
      <c r="I18" s="2087">
        <v>0.2</v>
      </c>
      <c r="J18" s="2087">
        <v>0.3</v>
      </c>
      <c r="K18" s="2087">
        <v>0.4</v>
      </c>
      <c r="L18" s="2087">
        <v>0.5</v>
      </c>
      <c r="M18" s="2087">
        <v>0.6</v>
      </c>
      <c r="N18" s="2087">
        <v>0.7</v>
      </c>
      <c r="O18" s="2087">
        <v>0.8</v>
      </c>
      <c r="P18" s="2037"/>
      <c r="Q18" s="2010"/>
      <c r="R18" s="2010"/>
      <c r="S18" s="2010"/>
      <c r="T18" s="2012"/>
      <c r="U18" s="2012"/>
      <c r="V18" s="2012"/>
    </row>
    <row r="19" spans="1:22">
      <c r="A19" s="2010"/>
      <c r="B19" s="2037"/>
      <c r="C19" s="2086">
        <v>4</v>
      </c>
      <c r="D19" s="2086"/>
      <c r="E19" s="2086"/>
      <c r="F19" s="2087">
        <v>0</v>
      </c>
      <c r="G19" s="2087">
        <v>0</v>
      </c>
      <c r="H19" s="2087">
        <v>0.5</v>
      </c>
      <c r="I19" s="2087">
        <v>1</v>
      </c>
      <c r="J19" s="2087">
        <v>1</v>
      </c>
      <c r="K19" s="2087">
        <v>1</v>
      </c>
      <c r="L19" s="2087">
        <v>1</v>
      </c>
      <c r="M19" s="2087">
        <v>1</v>
      </c>
      <c r="N19" s="2087">
        <v>1</v>
      </c>
      <c r="O19" s="2087">
        <v>1</v>
      </c>
      <c r="P19" s="2037"/>
      <c r="Q19" s="2010"/>
      <c r="R19" s="2010"/>
      <c r="S19" s="2010"/>
      <c r="T19" s="2012"/>
      <c r="U19" s="2012"/>
      <c r="V19" s="2012"/>
    </row>
    <row r="20" spans="1:22">
      <c r="A20" s="2010"/>
      <c r="B20" s="2037"/>
      <c r="C20" s="2088"/>
      <c r="D20" s="2089" t="s">
        <v>406</v>
      </c>
      <c r="E20" s="2090"/>
      <c r="F20" s="2061">
        <f t="shared" ref="F20:O20" si="1">(INDEX(F$16:F$19,ROUNDDOWN($E$7,0))*(1-MOD($E$7,1)))+(INDEX(F$16:F$19,ROUNDUP($E$7,0))*MOD($E$7,1))</f>
        <v>0</v>
      </c>
      <c r="G20" s="2061">
        <f t="shared" si="1"/>
        <v>0</v>
      </c>
      <c r="H20" s="2061">
        <f t="shared" si="1"/>
        <v>0.02</v>
      </c>
      <c r="I20" s="2061">
        <f t="shared" si="1"/>
        <v>0.02</v>
      </c>
      <c r="J20" s="2061">
        <f t="shared" si="1"/>
        <v>0.05</v>
      </c>
      <c r="K20" s="2061">
        <f t="shared" si="1"/>
        <v>0.05</v>
      </c>
      <c r="L20" s="2061">
        <f t="shared" si="1"/>
        <v>0.1</v>
      </c>
      <c r="M20" s="2061">
        <f t="shared" si="1"/>
        <v>0.1</v>
      </c>
      <c r="N20" s="2061">
        <f t="shared" si="1"/>
        <v>0.15</v>
      </c>
      <c r="O20" s="2061">
        <f t="shared" si="1"/>
        <v>0.15</v>
      </c>
      <c r="P20" s="2037"/>
      <c r="Q20" s="2010"/>
      <c r="R20" s="2010"/>
      <c r="S20" s="2010"/>
    </row>
    <row r="21" spans="1:22">
      <c r="A21" s="2010"/>
      <c r="B21" s="2037"/>
      <c r="C21" s="2039"/>
      <c r="D21" s="2037"/>
      <c r="E21" s="2037"/>
      <c r="F21" s="2037"/>
      <c r="G21" s="2037"/>
      <c r="H21" s="2037"/>
      <c r="I21" s="2037"/>
      <c r="J21" s="2037"/>
      <c r="K21" s="2037"/>
      <c r="L21" s="2037"/>
      <c r="M21" s="2037"/>
      <c r="N21" s="2037"/>
      <c r="O21" s="2037"/>
      <c r="P21" s="2037"/>
      <c r="Q21" s="2010"/>
      <c r="R21" s="2010"/>
      <c r="S21" s="2010"/>
    </row>
    <row r="22" spans="1:22">
      <c r="A22" s="2010"/>
      <c r="B22" s="2037"/>
      <c r="C22" s="2038" t="s">
        <v>1703</v>
      </c>
      <c r="D22" s="2037"/>
      <c r="E22" s="2037"/>
      <c r="F22" s="2037"/>
      <c r="G22" s="2037"/>
      <c r="H22" s="2037"/>
      <c r="I22" s="2037"/>
      <c r="J22" s="2037"/>
      <c r="K22" s="2037"/>
      <c r="L22" s="2037"/>
      <c r="M22" s="2037"/>
      <c r="N22" s="2037"/>
      <c r="O22" s="2037"/>
      <c r="P22" s="2037"/>
      <c r="Q22" s="2010"/>
      <c r="R22" s="2010"/>
      <c r="S22" s="2010"/>
    </row>
    <row r="23" spans="1:22" ht="5.25" customHeight="1">
      <c r="A23" s="2010"/>
      <c r="B23" s="2037"/>
      <c r="C23" s="2038"/>
      <c r="D23" s="2037"/>
      <c r="E23" s="2037"/>
      <c r="F23" s="2037"/>
      <c r="G23" s="2037"/>
      <c r="H23" s="2037"/>
      <c r="I23" s="2037"/>
      <c r="J23" s="2037"/>
      <c r="K23" s="2037"/>
      <c r="L23" s="2037"/>
      <c r="M23" s="2037"/>
      <c r="N23" s="2037"/>
      <c r="O23" s="2037"/>
      <c r="P23" s="2037"/>
      <c r="Q23" s="2010"/>
      <c r="R23" s="2010"/>
      <c r="S23" s="2010"/>
    </row>
    <row r="24" spans="1:22">
      <c r="A24" s="2010"/>
      <c r="B24" s="2037"/>
      <c r="C24" s="2053" t="s">
        <v>411</v>
      </c>
      <c r="D24" s="2053" t="s">
        <v>65</v>
      </c>
      <c r="E24" s="2053" t="s">
        <v>156</v>
      </c>
      <c r="F24" s="2079" t="s">
        <v>203</v>
      </c>
      <c r="G24" s="2079">
        <f t="shared" ref="G24:O24" si="2">F24+5</f>
        <v>2012</v>
      </c>
      <c r="H24" s="2091">
        <f t="shared" si="2"/>
        <v>2017</v>
      </c>
      <c r="I24" s="2091">
        <f t="shared" si="2"/>
        <v>2022</v>
      </c>
      <c r="J24" s="2091">
        <f t="shared" si="2"/>
        <v>2027</v>
      </c>
      <c r="K24" s="2091">
        <f t="shared" si="2"/>
        <v>2032</v>
      </c>
      <c r="L24" s="2091">
        <f t="shared" si="2"/>
        <v>2037</v>
      </c>
      <c r="M24" s="2091">
        <f t="shared" si="2"/>
        <v>2042</v>
      </c>
      <c r="N24" s="2091">
        <f t="shared" si="2"/>
        <v>2047</v>
      </c>
      <c r="O24" s="2091">
        <f t="shared" si="2"/>
        <v>2052</v>
      </c>
      <c r="P24" s="2037"/>
      <c r="Q24" s="2010"/>
      <c r="R24" s="2010"/>
      <c r="S24" s="2010"/>
    </row>
    <row r="25" spans="1:22">
      <c r="A25" s="2010"/>
      <c r="B25" s="2037"/>
      <c r="C25" s="2086">
        <v>1</v>
      </c>
      <c r="D25" s="2086"/>
      <c r="E25" s="2086"/>
      <c r="F25" s="2087">
        <v>0</v>
      </c>
      <c r="G25" s="2087">
        <v>0</v>
      </c>
      <c r="H25" s="2087">
        <v>0.01</v>
      </c>
      <c r="I25" s="2087">
        <v>0.01</v>
      </c>
      <c r="J25" s="2087">
        <v>0.03</v>
      </c>
      <c r="K25" s="2087">
        <v>0.03</v>
      </c>
      <c r="L25" s="2087">
        <v>0.05</v>
      </c>
      <c r="M25" s="2087">
        <v>0.05</v>
      </c>
      <c r="N25" s="2087">
        <v>0.1</v>
      </c>
      <c r="O25" s="2087">
        <v>0.1</v>
      </c>
      <c r="P25" s="2037"/>
      <c r="Q25" s="2010"/>
      <c r="R25" s="2010"/>
      <c r="S25" s="2010"/>
    </row>
    <row r="26" spans="1:22">
      <c r="A26" s="2010"/>
      <c r="B26" s="2037"/>
      <c r="C26" s="2086">
        <v>2</v>
      </c>
      <c r="D26" s="2086"/>
      <c r="E26" s="2086"/>
      <c r="F26" s="2087">
        <v>0</v>
      </c>
      <c r="G26" s="2087">
        <v>0</v>
      </c>
      <c r="H26" s="2087">
        <v>0.03</v>
      </c>
      <c r="I26" s="2087">
        <v>0.05</v>
      </c>
      <c r="J26" s="2087">
        <v>0.1</v>
      </c>
      <c r="K26" s="2087">
        <v>0.1</v>
      </c>
      <c r="L26" s="2087">
        <v>0.15</v>
      </c>
      <c r="M26" s="2087">
        <v>0.2</v>
      </c>
      <c r="N26" s="2087">
        <v>0.3</v>
      </c>
      <c r="O26" s="2087">
        <f>100%-O17</f>
        <v>0.6</v>
      </c>
      <c r="P26" s="2037"/>
      <c r="Q26" s="2010"/>
      <c r="R26" s="2010"/>
      <c r="S26" s="2010"/>
    </row>
    <row r="27" spans="1:22">
      <c r="A27" s="2010"/>
      <c r="B27" s="2037"/>
      <c r="C27" s="2086">
        <v>3</v>
      </c>
      <c r="D27" s="2086"/>
      <c r="E27" s="2086"/>
      <c r="F27" s="2087">
        <v>0</v>
      </c>
      <c r="G27" s="2087">
        <v>0</v>
      </c>
      <c r="H27" s="2087">
        <v>0.05</v>
      </c>
      <c r="I27" s="2087">
        <v>0.1</v>
      </c>
      <c r="J27" s="2087">
        <v>0.15</v>
      </c>
      <c r="K27" s="2087">
        <v>0.2</v>
      </c>
      <c r="L27" s="2087">
        <v>0.25</v>
      </c>
      <c r="M27" s="2087">
        <v>0.3</v>
      </c>
      <c r="N27" s="2087">
        <v>0.4</v>
      </c>
      <c r="O27" s="2087">
        <v>0.5</v>
      </c>
      <c r="P27" s="2037"/>
      <c r="Q27" s="2010"/>
      <c r="R27" s="2010"/>
      <c r="S27" s="2010"/>
    </row>
    <row r="28" spans="1:22">
      <c r="A28" s="2010"/>
      <c r="B28" s="2037"/>
      <c r="C28" s="2086">
        <v>4</v>
      </c>
      <c r="D28" s="2086"/>
      <c r="E28" s="2086"/>
      <c r="F28" s="2087">
        <v>0</v>
      </c>
      <c r="G28" s="2087">
        <v>0</v>
      </c>
      <c r="H28" s="2087">
        <v>0.33</v>
      </c>
      <c r="I28" s="2087">
        <v>0.5</v>
      </c>
      <c r="J28" s="2087">
        <v>0.5</v>
      </c>
      <c r="K28" s="2087">
        <v>0.7</v>
      </c>
      <c r="L28" s="2087">
        <v>0.7</v>
      </c>
      <c r="M28" s="2087">
        <v>0.85</v>
      </c>
      <c r="N28" s="2087">
        <v>1</v>
      </c>
      <c r="O28" s="2087">
        <v>1</v>
      </c>
      <c r="P28" s="2037"/>
      <c r="Q28" s="1948"/>
      <c r="R28" s="1948"/>
      <c r="S28" s="1948"/>
    </row>
    <row r="29" spans="1:22">
      <c r="A29" s="1948"/>
      <c r="B29" s="203"/>
      <c r="C29" s="2088"/>
      <c r="D29" s="2089" t="s">
        <v>406</v>
      </c>
      <c r="E29" s="2090"/>
      <c r="F29" s="2061">
        <f t="shared" ref="F29:O29" si="3">(INDEX(F$25:F$28,ROUNDDOWN($E$7,0))*(1-MOD($E$7,1)))+(INDEX(F$25:F$28,ROUNDUP($E$7,0))*MOD($E$7,1))</f>
        <v>0</v>
      </c>
      <c r="G29" s="2061">
        <f t="shared" si="3"/>
        <v>0</v>
      </c>
      <c r="H29" s="2061">
        <f t="shared" si="3"/>
        <v>0.01</v>
      </c>
      <c r="I29" s="2061">
        <f t="shared" si="3"/>
        <v>0.01</v>
      </c>
      <c r="J29" s="2061">
        <f t="shared" si="3"/>
        <v>0.03</v>
      </c>
      <c r="K29" s="2061">
        <f t="shared" si="3"/>
        <v>0.03</v>
      </c>
      <c r="L29" s="2061">
        <f t="shared" si="3"/>
        <v>0.05</v>
      </c>
      <c r="M29" s="2061">
        <f t="shared" si="3"/>
        <v>0.05</v>
      </c>
      <c r="N29" s="2061">
        <f t="shared" si="3"/>
        <v>0.1</v>
      </c>
      <c r="O29" s="2061">
        <f t="shared" si="3"/>
        <v>0.1</v>
      </c>
      <c r="P29" s="203"/>
      <c r="Q29" s="1948"/>
      <c r="R29" s="1948"/>
      <c r="S29" s="1948"/>
    </row>
    <row r="30" spans="1:22" ht="15.75">
      <c r="B30" s="2040"/>
      <c r="C30" s="2041"/>
      <c r="D30" s="2042"/>
      <c r="E30" s="2042"/>
      <c r="F30" s="2049"/>
      <c r="G30" s="2050"/>
      <c r="H30" s="2050"/>
      <c r="I30" s="2050"/>
      <c r="J30" s="2050"/>
      <c r="K30" s="2050"/>
      <c r="L30" s="2050"/>
      <c r="M30" s="2050"/>
      <c r="N30" s="2050"/>
      <c r="O30" s="2050"/>
      <c r="P30" s="2037"/>
      <c r="Q30" s="2010"/>
      <c r="R30" s="2010"/>
      <c r="S30" s="2010"/>
      <c r="T30" s="2010"/>
    </row>
    <row r="31" spans="1:22" ht="15.75">
      <c r="B31" s="2051"/>
      <c r="C31" s="2009"/>
      <c r="D31" s="2009"/>
      <c r="E31" s="2009"/>
      <c r="F31" s="2009"/>
      <c r="G31" s="2009"/>
      <c r="H31" s="2009"/>
      <c r="I31" s="2009"/>
      <c r="J31" s="2009"/>
      <c r="K31" s="2009"/>
      <c r="L31" s="2009"/>
      <c r="M31" s="2009"/>
      <c r="N31" s="2009"/>
      <c r="O31" s="2009"/>
      <c r="P31" s="2010"/>
      <c r="Q31" s="2010"/>
      <c r="R31" s="2010"/>
      <c r="S31" s="2010"/>
      <c r="T31" s="2010"/>
    </row>
    <row r="32" spans="1:22" ht="22.5">
      <c r="A32" s="2033"/>
      <c r="B32" s="2034" t="s">
        <v>265</v>
      </c>
      <c r="C32" s="2035"/>
      <c r="D32" s="2035"/>
      <c r="E32" s="2035"/>
      <c r="F32" s="2035"/>
      <c r="G32" s="2035"/>
      <c r="H32" s="2035"/>
      <c r="I32" s="2035"/>
      <c r="J32" s="2035"/>
      <c r="K32" s="2035"/>
      <c r="L32" s="2035"/>
      <c r="M32" s="2035"/>
      <c r="N32" s="2035"/>
      <c r="O32" s="2035"/>
      <c r="P32" s="2036"/>
      <c r="Q32" s="2010"/>
      <c r="R32" s="2010"/>
      <c r="S32" s="2010"/>
      <c r="T32" s="2010"/>
    </row>
    <row r="33" spans="1:20">
      <c r="A33" s="2010"/>
      <c r="B33" s="2037"/>
      <c r="C33" s="2037"/>
      <c r="D33" s="2037"/>
      <c r="E33" s="2037"/>
      <c r="F33" s="2037"/>
      <c r="G33" s="2037"/>
      <c r="H33" s="2037"/>
      <c r="I33" s="2037"/>
      <c r="J33" s="2037"/>
      <c r="K33" s="2037"/>
      <c r="L33" s="2037"/>
      <c r="M33" s="2037"/>
      <c r="N33" s="2037"/>
      <c r="O33" s="2037"/>
      <c r="P33" s="2037"/>
      <c r="Q33" s="2010"/>
      <c r="R33" s="2010"/>
      <c r="S33" s="2010"/>
      <c r="T33" s="2010"/>
    </row>
    <row r="34" spans="1:20">
      <c r="B34" s="2037"/>
      <c r="C34" s="2038" t="s">
        <v>1683</v>
      </c>
      <c r="D34" s="2037"/>
      <c r="E34" s="2037"/>
      <c r="F34" s="2037"/>
      <c r="G34" s="2037"/>
      <c r="H34" s="2037"/>
      <c r="I34" s="2037"/>
      <c r="J34" s="2037"/>
      <c r="K34" s="2037"/>
      <c r="L34" s="2037"/>
      <c r="M34" s="2037"/>
      <c r="N34" s="2037"/>
      <c r="O34" s="2037"/>
      <c r="P34" s="2037"/>
      <c r="Q34" s="2010"/>
      <c r="R34" s="2010"/>
      <c r="S34" s="2010"/>
      <c r="T34" s="2010"/>
    </row>
    <row r="35" spans="1:20">
      <c r="B35" s="2037"/>
      <c r="C35" s="2037"/>
      <c r="D35" s="2037"/>
      <c r="E35" s="2037"/>
      <c r="F35" s="2037"/>
      <c r="G35" s="2037"/>
      <c r="H35" s="2037"/>
      <c r="I35" s="2037"/>
      <c r="J35" s="2037"/>
      <c r="K35" s="2037"/>
      <c r="L35" s="2037"/>
      <c r="M35" s="2037"/>
      <c r="N35" s="2037"/>
      <c r="O35" s="2037"/>
      <c r="P35" s="2037"/>
      <c r="Q35" s="2010"/>
      <c r="R35" s="2010"/>
      <c r="S35" s="2010"/>
      <c r="T35" s="2010"/>
    </row>
    <row r="36" spans="1:20">
      <c r="B36" s="2037"/>
      <c r="C36" s="2052"/>
      <c r="D36" s="2053" t="s">
        <v>65</v>
      </c>
      <c r="E36" s="2053" t="s">
        <v>156</v>
      </c>
      <c r="F36" s="2054">
        <v>2007</v>
      </c>
      <c r="G36" s="2055">
        <f>F36+5</f>
        <v>2012</v>
      </c>
      <c r="H36" s="2056"/>
      <c r="I36" s="2056"/>
      <c r="J36" s="2056"/>
      <c r="K36" s="2056"/>
      <c r="L36" s="2056"/>
      <c r="M36" s="2056"/>
      <c r="N36" s="2056"/>
      <c r="O36" s="2056"/>
      <c r="P36" s="2037"/>
      <c r="Q36" s="2010"/>
      <c r="R36" s="2010"/>
      <c r="S36" s="2010"/>
      <c r="T36" s="2010"/>
    </row>
    <row r="37" spans="1:20">
      <c r="B37" s="2037"/>
      <c r="C37" s="2057"/>
      <c r="D37" s="2058" t="s">
        <v>1684</v>
      </c>
      <c r="E37" s="2058"/>
      <c r="F37" s="2059">
        <v>120000</v>
      </c>
      <c r="G37" s="3370">
        <v>714458</v>
      </c>
      <c r="H37" s="2060"/>
      <c r="I37" s="2060"/>
      <c r="J37" s="2060"/>
      <c r="K37" s="2060"/>
      <c r="L37" s="2060"/>
      <c r="M37" s="2060"/>
      <c r="N37" s="2060"/>
      <c r="O37" s="2060"/>
      <c r="P37" s="2037"/>
      <c r="Q37" s="2010"/>
      <c r="R37" s="2010"/>
      <c r="S37" s="2010"/>
      <c r="T37" s="2010"/>
    </row>
    <row r="38" spans="1:20">
      <c r="A38" s="2010"/>
      <c r="B38" s="2037"/>
      <c r="C38" s="2037"/>
      <c r="D38" s="2037"/>
      <c r="E38" s="2037"/>
      <c r="F38" s="2037"/>
      <c r="G38" s="2037"/>
      <c r="H38" s="2037"/>
      <c r="I38" s="2037"/>
      <c r="J38" s="2037"/>
      <c r="K38" s="2037"/>
      <c r="L38" s="2037"/>
      <c r="M38" s="2037"/>
      <c r="N38" s="2037"/>
      <c r="O38" s="2037"/>
      <c r="P38" s="2037"/>
      <c r="Q38" s="2010"/>
      <c r="R38" s="2010"/>
      <c r="S38" s="2010"/>
      <c r="T38" s="2010"/>
    </row>
    <row r="39" spans="1:20">
      <c r="B39" s="2037"/>
      <c r="C39" s="2038" t="s">
        <v>1685</v>
      </c>
      <c r="D39" s="2037"/>
      <c r="E39" s="2037"/>
      <c r="F39" s="2037"/>
      <c r="G39" s="2037"/>
      <c r="H39" s="2037"/>
      <c r="I39" s="2037"/>
      <c r="J39" s="2037"/>
      <c r="K39" s="2037"/>
      <c r="L39" s="2037"/>
      <c r="M39" s="2037"/>
      <c r="N39" s="2037"/>
      <c r="O39" s="2037"/>
      <c r="P39" s="2037"/>
      <c r="Q39" s="2010"/>
      <c r="R39" s="2010"/>
      <c r="S39" s="2010"/>
      <c r="T39" s="2010"/>
    </row>
    <row r="40" spans="1:20">
      <c r="B40" s="2037"/>
      <c r="C40" s="2037"/>
      <c r="D40" s="2037"/>
      <c r="E40" s="2037"/>
      <c r="F40" s="2037"/>
      <c r="G40" s="2037"/>
      <c r="H40" s="2037"/>
      <c r="I40" s="2037"/>
      <c r="J40" s="2037"/>
      <c r="K40" s="2037"/>
      <c r="L40" s="2037"/>
      <c r="M40" s="2037"/>
      <c r="N40" s="2037"/>
      <c r="O40" s="2037"/>
      <c r="P40" s="2037"/>
      <c r="Q40" s="2010"/>
      <c r="R40" s="2010"/>
      <c r="S40" s="2010"/>
      <c r="T40" s="2010"/>
    </row>
    <row r="41" spans="1:20">
      <c r="B41" s="2037"/>
      <c r="C41" s="2052"/>
      <c r="D41" s="2053" t="s">
        <v>65</v>
      </c>
      <c r="E41" s="2053" t="s">
        <v>156</v>
      </c>
      <c r="F41" s="2054" t="s">
        <v>923</v>
      </c>
      <c r="G41" s="2055" t="s">
        <v>922</v>
      </c>
      <c r="H41" s="2056"/>
      <c r="I41" s="2056"/>
      <c r="J41" s="2056"/>
      <c r="K41" s="2056"/>
      <c r="L41" s="2056"/>
      <c r="M41" s="2056"/>
      <c r="N41" s="2056"/>
      <c r="O41" s="2056"/>
      <c r="P41" s="2037"/>
      <c r="Q41" s="2010"/>
      <c r="R41" s="2010"/>
      <c r="S41" s="2010"/>
      <c r="T41" s="2010"/>
    </row>
    <row r="42" spans="1:20">
      <c r="B42" s="2037"/>
      <c r="C42" s="2057"/>
      <c r="D42" s="2058" t="s">
        <v>1686</v>
      </c>
      <c r="E42" s="2058"/>
      <c r="F42" s="2061">
        <v>0.4</v>
      </c>
      <c r="G42" s="2061">
        <v>0.6</v>
      </c>
      <c r="H42" s="2060"/>
      <c r="I42" s="2060"/>
      <c r="J42" s="2060"/>
      <c r="K42" s="2060"/>
      <c r="L42" s="2060"/>
      <c r="M42" s="2060"/>
      <c r="N42" s="2060"/>
      <c r="O42" s="2060"/>
      <c r="P42" s="2037"/>
      <c r="Q42" s="2010"/>
      <c r="R42" s="2010"/>
      <c r="S42" s="2010"/>
      <c r="T42" s="2010"/>
    </row>
    <row r="43" spans="1:20">
      <c r="A43" s="2010"/>
      <c r="B43" s="2037"/>
      <c r="C43" s="2037"/>
      <c r="D43" s="2037"/>
      <c r="E43" s="2037"/>
      <c r="F43" s="2037"/>
      <c r="G43" s="2037"/>
      <c r="H43" s="2037"/>
      <c r="I43" s="2037"/>
      <c r="J43" s="2037"/>
      <c r="K43" s="2037"/>
      <c r="L43" s="2037"/>
      <c r="M43" s="2037"/>
      <c r="N43" s="2037"/>
      <c r="O43" s="2037"/>
      <c r="P43" s="2037"/>
      <c r="Q43" s="2010"/>
      <c r="R43" s="2010"/>
      <c r="S43" s="2010"/>
      <c r="T43" s="2010"/>
    </row>
    <row r="44" spans="1:20">
      <c r="B44" s="2037"/>
      <c r="C44" s="2038" t="s">
        <v>1687</v>
      </c>
      <c r="D44" s="2037"/>
      <c r="E44" s="2037"/>
      <c r="F44" s="2037"/>
      <c r="G44" s="2037"/>
      <c r="H44" s="2037"/>
      <c r="I44" s="2037"/>
      <c r="J44" s="2037"/>
      <c r="K44" s="2037"/>
      <c r="L44" s="2037"/>
      <c r="M44" s="2037"/>
      <c r="N44" s="2037"/>
      <c r="O44" s="2037"/>
      <c r="P44" s="2037"/>
      <c r="Q44" s="2010"/>
      <c r="R44" s="2010"/>
      <c r="S44" s="2010"/>
      <c r="T44" s="2010"/>
    </row>
    <row r="45" spans="1:20">
      <c r="B45" s="2037"/>
      <c r="C45" s="2037"/>
      <c r="D45" s="2037"/>
      <c r="E45" s="2037"/>
      <c r="F45" s="2037"/>
      <c r="G45" s="2037" t="str">
        <f>preferences.energyunits</f>
        <v>TWh</v>
      </c>
      <c r="H45" s="2037"/>
      <c r="I45" s="2037"/>
      <c r="J45" s="2037"/>
      <c r="K45" s="2037"/>
      <c r="L45" s="2037"/>
      <c r="M45" s="2037"/>
      <c r="N45" s="2037"/>
      <c r="O45" s="2037"/>
      <c r="P45" s="2037"/>
      <c r="Q45" s="2010"/>
      <c r="R45" s="2010"/>
      <c r="S45" s="2010"/>
      <c r="T45" s="2010"/>
    </row>
    <row r="46" spans="1:20">
      <c r="B46" s="2037"/>
      <c r="C46" s="2052"/>
      <c r="D46" s="2053" t="s">
        <v>65</v>
      </c>
      <c r="E46" s="2053" t="s">
        <v>156</v>
      </c>
      <c r="F46" s="2054" t="s">
        <v>923</v>
      </c>
      <c r="G46" s="2055" t="s">
        <v>922</v>
      </c>
      <c r="H46" s="2056"/>
      <c r="I46" s="2056"/>
      <c r="J46" s="2056"/>
      <c r="K46" s="2056"/>
      <c r="L46" s="2056"/>
      <c r="M46" s="2056"/>
      <c r="N46" s="2056"/>
      <c r="O46" s="2056"/>
      <c r="P46" s="2037"/>
      <c r="Q46" s="2010"/>
      <c r="R46" s="2010"/>
      <c r="S46" s="2010"/>
      <c r="T46" s="2010"/>
    </row>
    <row r="47" spans="1:20">
      <c r="B47" s="2037"/>
      <c r="C47" s="2057"/>
      <c r="D47" s="2058" t="s">
        <v>1688</v>
      </c>
      <c r="E47" s="2058"/>
      <c r="F47" s="2062">
        <f>3.75*(unit.lde)</f>
        <v>3.6562500000000001E-8</v>
      </c>
      <c r="G47" s="2062">
        <f>2.14*(unit.lde)</f>
        <v>2.0865000000000002E-8</v>
      </c>
      <c r="H47" s="2060"/>
      <c r="I47" s="2060"/>
      <c r="J47" s="2060"/>
      <c r="K47" s="2060"/>
      <c r="L47" s="2060"/>
      <c r="M47" s="2060"/>
      <c r="N47" s="2060"/>
      <c r="O47" s="2060"/>
      <c r="P47" s="2037"/>
      <c r="Q47" s="2010"/>
      <c r="R47" s="2010"/>
      <c r="S47" s="2010"/>
      <c r="T47" s="2010"/>
    </row>
    <row r="48" spans="1:20">
      <c r="B48" s="2037"/>
      <c r="C48" s="2037"/>
      <c r="D48" s="2037"/>
      <c r="E48" s="2037"/>
      <c r="F48" s="2037"/>
      <c r="G48" s="2037"/>
      <c r="H48" s="2037"/>
      <c r="I48" s="2037"/>
      <c r="J48" s="2037"/>
      <c r="K48" s="2037"/>
      <c r="L48" s="2037"/>
      <c r="M48" s="2037"/>
      <c r="N48" s="2037"/>
      <c r="O48" s="2037"/>
      <c r="P48" s="2037"/>
      <c r="Q48" s="2010"/>
      <c r="R48" s="2010"/>
      <c r="S48" s="2010"/>
      <c r="T48" s="2010"/>
    </row>
    <row r="49" spans="1:20">
      <c r="B49" s="2037"/>
      <c r="C49" s="2038" t="s">
        <v>1689</v>
      </c>
      <c r="D49" s="2037"/>
      <c r="E49" s="2037"/>
      <c r="F49" s="2037"/>
      <c r="G49" s="2037"/>
      <c r="H49" s="2037"/>
      <c r="I49" s="2037"/>
      <c r="J49" s="2037"/>
      <c r="K49" s="2037"/>
      <c r="L49" s="2037"/>
      <c r="M49" s="2037"/>
      <c r="N49" s="2037"/>
      <c r="O49" s="2037"/>
      <c r="P49" s="2037"/>
      <c r="Q49" s="2010"/>
      <c r="R49" s="2010"/>
      <c r="S49" s="2010"/>
      <c r="T49" s="2010"/>
    </row>
    <row r="50" spans="1:20">
      <c r="B50" s="2037"/>
      <c r="C50" s="2037"/>
      <c r="D50" s="2037"/>
      <c r="E50" s="2037"/>
      <c r="F50" s="2037"/>
      <c r="G50" s="2037"/>
      <c r="H50" s="2037"/>
      <c r="I50" s="2037"/>
      <c r="J50" s="2037"/>
      <c r="K50" s="2037"/>
      <c r="L50" s="2037"/>
      <c r="M50" s="2037"/>
      <c r="N50" s="2037"/>
      <c r="O50" s="2037"/>
      <c r="P50" s="2037"/>
      <c r="Q50" s="2010"/>
      <c r="R50" s="2010"/>
      <c r="S50" s="2010"/>
      <c r="T50" s="2010"/>
    </row>
    <row r="51" spans="1:20">
      <c r="B51" s="2037"/>
      <c r="C51" s="2052"/>
      <c r="D51" s="2053" t="s">
        <v>65</v>
      </c>
      <c r="E51" s="2053" t="s">
        <v>156</v>
      </c>
      <c r="F51" s="2054" t="s">
        <v>2822</v>
      </c>
      <c r="G51" s="2054" t="s">
        <v>2823</v>
      </c>
      <c r="H51" s="2056"/>
      <c r="I51" s="2056"/>
      <c r="J51" s="2056"/>
      <c r="K51" s="2056"/>
      <c r="L51" s="2056"/>
      <c r="M51" s="2056"/>
      <c r="N51" s="2056"/>
      <c r="O51" s="2056"/>
      <c r="P51" s="2037"/>
      <c r="Q51" s="2010"/>
      <c r="R51" s="2010"/>
      <c r="S51" s="2010"/>
      <c r="T51" s="2010"/>
    </row>
    <row r="52" spans="1:20">
      <c r="B52" s="2037"/>
      <c r="C52" s="2057"/>
      <c r="D52" s="2058" t="s">
        <v>1690</v>
      </c>
      <c r="E52" s="2058"/>
      <c r="F52" s="3371">
        <v>5.8000000000000003E-2</v>
      </c>
      <c r="G52" s="3371">
        <v>0.04</v>
      </c>
      <c r="H52" s="2063"/>
      <c r="I52" s="2063"/>
      <c r="J52" s="2063"/>
      <c r="K52" s="2063"/>
      <c r="L52" s="2063"/>
      <c r="M52" s="2063"/>
      <c r="N52" s="2063"/>
      <c r="O52" s="2063"/>
      <c r="P52" s="2037"/>
      <c r="Q52" s="2010"/>
      <c r="R52" s="2010"/>
      <c r="S52" s="2010"/>
      <c r="T52" s="2010"/>
    </row>
    <row r="53" spans="1:20">
      <c r="B53" s="2037"/>
      <c r="C53" s="2037"/>
      <c r="D53" s="2037"/>
      <c r="E53" s="2037"/>
      <c r="F53" s="2037"/>
      <c r="G53" s="2037"/>
      <c r="H53" s="2037"/>
      <c r="I53" s="2037"/>
      <c r="J53" s="2037"/>
      <c r="K53" s="2037"/>
      <c r="L53" s="2037"/>
      <c r="M53" s="2037"/>
      <c r="N53" s="2037"/>
      <c r="O53" s="2037"/>
      <c r="P53" s="2037"/>
      <c r="Q53" s="2010"/>
      <c r="R53" s="2010"/>
      <c r="S53" s="2010"/>
      <c r="T53" s="2010"/>
    </row>
    <row r="54" spans="1:20">
      <c r="A54" s="1948"/>
      <c r="B54" s="2038"/>
      <c r="C54" s="2038" t="s">
        <v>1683</v>
      </c>
      <c r="D54" s="2037"/>
      <c r="E54" s="2039"/>
      <c r="F54" s="2037"/>
      <c r="G54" s="2064"/>
      <c r="H54" s="2065"/>
      <c r="I54" s="2065"/>
      <c r="J54" s="2066"/>
      <c r="K54" s="2067"/>
      <c r="L54" s="2067"/>
      <c r="M54" s="2067"/>
      <c r="N54" s="2067"/>
      <c r="O54" s="2066"/>
      <c r="P54" s="2037"/>
      <c r="Q54" s="2010"/>
      <c r="R54" s="2010"/>
      <c r="S54" s="2010"/>
      <c r="T54" s="2010"/>
    </row>
    <row r="55" spans="1:20">
      <c r="A55" s="1948"/>
      <c r="B55" s="2038"/>
      <c r="C55" s="2038"/>
      <c r="D55" s="2037"/>
      <c r="E55" s="2039"/>
      <c r="F55" s="2037"/>
      <c r="G55" s="2064"/>
      <c r="H55" s="2065"/>
      <c r="I55" s="2065"/>
      <c r="J55" s="2066"/>
      <c r="K55" s="2067"/>
      <c r="L55" s="2067"/>
      <c r="M55" s="2067"/>
      <c r="N55" s="2067"/>
      <c r="O55" s="2066"/>
      <c r="P55" s="2037"/>
      <c r="Q55" s="2010"/>
      <c r="R55" s="2010"/>
      <c r="S55" s="2010"/>
      <c r="T55" s="2010"/>
    </row>
    <row r="56" spans="1:20" ht="15.75">
      <c r="A56" s="1948"/>
      <c r="B56" s="2040"/>
      <c r="C56" s="2052"/>
      <c r="D56" s="2053" t="s">
        <v>65</v>
      </c>
      <c r="E56" s="2053" t="s">
        <v>156</v>
      </c>
      <c r="F56" s="2054">
        <v>2007</v>
      </c>
      <c r="G56" s="2055">
        <f>F56+5</f>
        <v>2012</v>
      </c>
      <c r="H56" s="2055">
        <f>G56+1</f>
        <v>2013</v>
      </c>
      <c r="I56" s="2055">
        <f t="shared" ref="I56:O56" si="4">H56+1</f>
        <v>2014</v>
      </c>
      <c r="J56" s="2055">
        <f t="shared" si="4"/>
        <v>2015</v>
      </c>
      <c r="K56" s="2055">
        <f t="shared" si="4"/>
        <v>2016</v>
      </c>
      <c r="L56" s="2055">
        <f t="shared" si="4"/>
        <v>2017</v>
      </c>
      <c r="M56" s="2055">
        <f t="shared" si="4"/>
        <v>2018</v>
      </c>
      <c r="N56" s="2055">
        <f t="shared" si="4"/>
        <v>2019</v>
      </c>
      <c r="O56" s="2055">
        <f t="shared" si="4"/>
        <v>2020</v>
      </c>
      <c r="P56" s="2037"/>
      <c r="Q56" s="2010"/>
      <c r="R56" s="2010"/>
      <c r="S56" s="2010"/>
      <c r="T56" s="2010"/>
    </row>
    <row r="57" spans="1:20" ht="15.75">
      <c r="A57" s="1948"/>
      <c r="B57" s="2040"/>
      <c r="C57" s="2057"/>
      <c r="D57" s="2058" t="s">
        <v>1691</v>
      </c>
      <c r="E57" s="2058"/>
      <c r="F57" s="2059">
        <f>F37</f>
        <v>120000</v>
      </c>
      <c r="G57" s="2059">
        <f>G37</f>
        <v>714458</v>
      </c>
      <c r="H57" s="2059">
        <f>G57*(1+$F$52)</f>
        <v>755896.56400000001</v>
      </c>
      <c r="I57" s="2059">
        <f t="shared" ref="I57:O57" si="5">H57*(1+$F$52)</f>
        <v>799738.56471200008</v>
      </c>
      <c r="J57" s="2059">
        <f t="shared" si="5"/>
        <v>846123.40146529616</v>
      </c>
      <c r="K57" s="2059">
        <f t="shared" si="5"/>
        <v>895198.55875028344</v>
      </c>
      <c r="L57" s="2059">
        <f t="shared" si="5"/>
        <v>947120.07515779987</v>
      </c>
      <c r="M57" s="2059">
        <f t="shared" si="5"/>
        <v>1002053.0395169524</v>
      </c>
      <c r="N57" s="2059">
        <f t="shared" si="5"/>
        <v>1060172.1158089356</v>
      </c>
      <c r="O57" s="2059">
        <f t="shared" si="5"/>
        <v>1121662.0985258538</v>
      </c>
      <c r="P57" s="2037"/>
      <c r="Q57" s="2010"/>
      <c r="R57" s="2010"/>
      <c r="S57" s="2010"/>
      <c r="T57" s="2010"/>
    </row>
    <row r="58" spans="1:20">
      <c r="A58" s="1948"/>
      <c r="B58" s="2038"/>
      <c r="C58" s="2038"/>
      <c r="D58" s="2037"/>
      <c r="E58" s="2039"/>
      <c r="F58" s="2037"/>
      <c r="G58" s="2064"/>
      <c r="H58" s="2065"/>
      <c r="I58" s="2065"/>
      <c r="J58" s="2066"/>
      <c r="K58" s="2067"/>
      <c r="L58" s="2067"/>
      <c r="M58" s="2067"/>
      <c r="N58" s="2067"/>
      <c r="O58" s="2066"/>
      <c r="P58" s="2037"/>
      <c r="Q58" s="2010"/>
      <c r="R58" s="2010"/>
      <c r="S58" s="2010"/>
      <c r="T58" s="2010"/>
    </row>
    <row r="59" spans="1:20" ht="15.75">
      <c r="A59" s="1948"/>
      <c r="B59" s="2040"/>
      <c r="C59" s="2052"/>
      <c r="D59" s="2053" t="s">
        <v>65</v>
      </c>
      <c r="E59" s="2053" t="s">
        <v>156</v>
      </c>
      <c r="F59" s="2054">
        <v>2021</v>
      </c>
      <c r="G59" s="2054">
        <f>F59+1</f>
        <v>2022</v>
      </c>
      <c r="H59" s="2054">
        <f t="shared" ref="H59:O59" si="6">G59+1</f>
        <v>2023</v>
      </c>
      <c r="I59" s="2054">
        <f t="shared" si="6"/>
        <v>2024</v>
      </c>
      <c r="J59" s="2054">
        <f t="shared" si="6"/>
        <v>2025</v>
      </c>
      <c r="K59" s="2054">
        <f t="shared" si="6"/>
        <v>2026</v>
      </c>
      <c r="L59" s="2054">
        <f t="shared" si="6"/>
        <v>2027</v>
      </c>
      <c r="M59" s="2054">
        <f t="shared" si="6"/>
        <v>2028</v>
      </c>
      <c r="N59" s="2054">
        <f t="shared" si="6"/>
        <v>2029</v>
      </c>
      <c r="O59" s="2054">
        <f t="shared" si="6"/>
        <v>2030</v>
      </c>
      <c r="P59" s="2037"/>
      <c r="Q59" s="2010"/>
      <c r="R59" s="2010"/>
      <c r="S59" s="2010"/>
      <c r="T59" s="2010"/>
    </row>
    <row r="60" spans="1:20" ht="15.75">
      <c r="A60" s="1948"/>
      <c r="B60" s="2040"/>
      <c r="C60" s="2057"/>
      <c r="D60" s="2058" t="s">
        <v>1691</v>
      </c>
      <c r="E60" s="2058"/>
      <c r="F60" s="2059">
        <f>O57*(1+F52)</f>
        <v>1186718.5002403534</v>
      </c>
      <c r="G60" s="2059">
        <f>F60*(1+$F$52)</f>
        <v>1255548.1732542939</v>
      </c>
      <c r="H60" s="2059">
        <f t="shared" ref="H60:O60" si="7">G60*(1+$F$52)</f>
        <v>1328369.967303043</v>
      </c>
      <c r="I60" s="2059">
        <f t="shared" si="7"/>
        <v>1405415.4254066197</v>
      </c>
      <c r="J60" s="2059">
        <f t="shared" si="7"/>
        <v>1486929.5200802037</v>
      </c>
      <c r="K60" s="2059">
        <f t="shared" si="7"/>
        <v>1573171.4322448554</v>
      </c>
      <c r="L60" s="2059">
        <f t="shared" si="7"/>
        <v>1664415.3753150571</v>
      </c>
      <c r="M60" s="2059">
        <f t="shared" si="7"/>
        <v>1760951.4670833305</v>
      </c>
      <c r="N60" s="2059">
        <f t="shared" si="7"/>
        <v>1863086.6521741638</v>
      </c>
      <c r="O60" s="2059">
        <f t="shared" si="7"/>
        <v>1971145.6780002655</v>
      </c>
      <c r="P60" s="2037"/>
      <c r="Q60" s="2010"/>
      <c r="R60" s="2010"/>
      <c r="S60" s="2010"/>
      <c r="T60" s="2010"/>
    </row>
    <row r="61" spans="1:20">
      <c r="A61" s="1948"/>
      <c r="B61" s="2038"/>
      <c r="C61" s="2038"/>
      <c r="D61" s="2037"/>
      <c r="E61" s="2039"/>
      <c r="F61" s="2037"/>
      <c r="G61" s="2064"/>
      <c r="H61" s="2065"/>
      <c r="I61" s="2065"/>
      <c r="J61" s="2066"/>
      <c r="K61" s="2067"/>
      <c r="L61" s="2067"/>
      <c r="M61" s="2067"/>
      <c r="N61" s="2067"/>
      <c r="O61" s="2066"/>
      <c r="P61" s="2037"/>
      <c r="Q61" s="2010"/>
      <c r="R61" s="2010"/>
      <c r="S61" s="2010"/>
      <c r="T61" s="2010"/>
    </row>
    <row r="62" spans="1:20" ht="15.75">
      <c r="A62" s="1948"/>
      <c r="B62" s="2040"/>
      <c r="C62" s="2052"/>
      <c r="D62" s="2053" t="s">
        <v>65</v>
      </c>
      <c r="E62" s="2053" t="s">
        <v>156</v>
      </c>
      <c r="F62" s="2054">
        <v>2031</v>
      </c>
      <c r="G62" s="2054">
        <f>F62+1</f>
        <v>2032</v>
      </c>
      <c r="H62" s="2054">
        <f t="shared" ref="H62:O62" si="8">G62+1</f>
        <v>2033</v>
      </c>
      <c r="I62" s="2054">
        <f t="shared" si="8"/>
        <v>2034</v>
      </c>
      <c r="J62" s="2054">
        <f t="shared" si="8"/>
        <v>2035</v>
      </c>
      <c r="K62" s="2054">
        <f t="shared" si="8"/>
        <v>2036</v>
      </c>
      <c r="L62" s="2054">
        <f t="shared" si="8"/>
        <v>2037</v>
      </c>
      <c r="M62" s="2054">
        <f t="shared" si="8"/>
        <v>2038</v>
      </c>
      <c r="N62" s="2054">
        <f t="shared" si="8"/>
        <v>2039</v>
      </c>
      <c r="O62" s="2054">
        <f t="shared" si="8"/>
        <v>2040</v>
      </c>
      <c r="P62" s="2037"/>
      <c r="Q62" s="2010"/>
      <c r="R62" s="2010"/>
      <c r="S62" s="2010"/>
      <c r="T62" s="2010"/>
    </row>
    <row r="63" spans="1:20" ht="15.75">
      <c r="A63" s="1948"/>
      <c r="B63" s="2040"/>
      <c r="C63" s="2057"/>
      <c r="D63" s="2058" t="s">
        <v>1691</v>
      </c>
      <c r="E63" s="2058"/>
      <c r="F63" s="2059">
        <f>O60*(1+G52)</f>
        <v>2049991.5051202762</v>
      </c>
      <c r="G63" s="2059">
        <f>F63*(1+$G$52)</f>
        <v>2131991.1653250875</v>
      </c>
      <c r="H63" s="2059">
        <f t="shared" ref="H63:O63" si="9">G63*(1+$G$52)</f>
        <v>2217270.8119380912</v>
      </c>
      <c r="I63" s="2059">
        <f t="shared" si="9"/>
        <v>2305961.6444156151</v>
      </c>
      <c r="J63" s="2059">
        <f t="shared" si="9"/>
        <v>2398200.1101922398</v>
      </c>
      <c r="K63" s="2059">
        <f t="shared" si="9"/>
        <v>2494128.1145999297</v>
      </c>
      <c r="L63" s="2059">
        <f t="shared" si="9"/>
        <v>2593893.239183927</v>
      </c>
      <c r="M63" s="2059">
        <f t="shared" si="9"/>
        <v>2697648.9687512843</v>
      </c>
      <c r="N63" s="2059">
        <f t="shared" si="9"/>
        <v>2805554.9275013357</v>
      </c>
      <c r="O63" s="2059">
        <f t="shared" si="9"/>
        <v>2917777.1246013893</v>
      </c>
      <c r="P63" s="2037"/>
      <c r="Q63" s="2010"/>
      <c r="R63" s="2010"/>
      <c r="S63" s="2010"/>
      <c r="T63" s="2010"/>
    </row>
    <row r="64" spans="1:20">
      <c r="A64" s="1948"/>
      <c r="B64" s="2038"/>
      <c r="C64" s="2038"/>
      <c r="D64" s="2037"/>
      <c r="E64" s="2039"/>
      <c r="F64" s="2037"/>
      <c r="G64" s="2064"/>
      <c r="H64" s="2065"/>
      <c r="I64" s="2065"/>
      <c r="J64" s="2066"/>
      <c r="K64" s="2067"/>
      <c r="L64" s="2067"/>
      <c r="M64" s="2067"/>
      <c r="N64" s="2067"/>
      <c r="O64" s="2066"/>
      <c r="P64" s="2037"/>
      <c r="Q64" s="2010"/>
      <c r="R64" s="2010"/>
      <c r="S64" s="2010"/>
      <c r="T64" s="2010"/>
    </row>
    <row r="65" spans="1:22" ht="15.75">
      <c r="A65" s="1948"/>
      <c r="B65" s="2040"/>
      <c r="C65" s="2052"/>
      <c r="D65" s="2053" t="s">
        <v>65</v>
      </c>
      <c r="E65" s="2053" t="s">
        <v>156</v>
      </c>
      <c r="F65" s="2054">
        <v>2041</v>
      </c>
      <c r="G65" s="2054">
        <f>F65+1</f>
        <v>2042</v>
      </c>
      <c r="H65" s="2054">
        <f t="shared" ref="H65:O65" si="10">G65+1</f>
        <v>2043</v>
      </c>
      <c r="I65" s="2054">
        <f t="shared" si="10"/>
        <v>2044</v>
      </c>
      <c r="J65" s="2054">
        <f t="shared" si="10"/>
        <v>2045</v>
      </c>
      <c r="K65" s="2054">
        <f t="shared" si="10"/>
        <v>2046</v>
      </c>
      <c r="L65" s="2054">
        <f t="shared" si="10"/>
        <v>2047</v>
      </c>
      <c r="M65" s="2054">
        <f t="shared" si="10"/>
        <v>2048</v>
      </c>
      <c r="N65" s="2054">
        <f t="shared" si="10"/>
        <v>2049</v>
      </c>
      <c r="O65" s="2054">
        <f t="shared" si="10"/>
        <v>2050</v>
      </c>
      <c r="P65" s="2037"/>
      <c r="Q65" s="2010"/>
      <c r="R65" s="2010"/>
      <c r="S65" s="2010"/>
      <c r="T65" s="2010"/>
    </row>
    <row r="66" spans="1:22" ht="15.75">
      <c r="A66" s="1948"/>
      <c r="B66" s="2040"/>
      <c r="C66" s="2057"/>
      <c r="D66" s="2058" t="s">
        <v>1691</v>
      </c>
      <c r="E66" s="2058"/>
      <c r="F66" s="2059">
        <f>O63*(1+G52)</f>
        <v>3034488.209585445</v>
      </c>
      <c r="G66" s="2059">
        <f>F66*(1+$G$52)</f>
        <v>3155867.737968863</v>
      </c>
      <c r="H66" s="2059">
        <f t="shared" ref="H66:O66" si="11">G66*(1+$G$52)</f>
        <v>3282102.4474876178</v>
      </c>
      <c r="I66" s="2059">
        <f t="shared" si="11"/>
        <v>3413386.5453871228</v>
      </c>
      <c r="J66" s="2059">
        <f t="shared" si="11"/>
        <v>3549922.007202608</v>
      </c>
      <c r="K66" s="2059">
        <f t="shared" si="11"/>
        <v>3691918.8874907126</v>
      </c>
      <c r="L66" s="2059">
        <f t="shared" si="11"/>
        <v>3839595.6429903414</v>
      </c>
      <c r="M66" s="2059">
        <f t="shared" si="11"/>
        <v>3993179.468709955</v>
      </c>
      <c r="N66" s="2059">
        <f t="shared" si="11"/>
        <v>4152906.6474583535</v>
      </c>
      <c r="O66" s="2059">
        <f t="shared" si="11"/>
        <v>4319022.9133566879</v>
      </c>
      <c r="P66" s="2037"/>
      <c r="Q66" s="2010"/>
      <c r="R66" s="2010"/>
      <c r="S66" s="2010"/>
      <c r="T66" s="2010"/>
    </row>
    <row r="67" spans="1:22">
      <c r="A67" s="1948"/>
      <c r="B67" s="2038"/>
      <c r="C67" s="2038"/>
      <c r="D67" s="2037"/>
      <c r="E67" s="2039"/>
      <c r="F67" s="2037"/>
      <c r="G67" s="2064"/>
      <c r="H67" s="2065"/>
      <c r="I67" s="2065"/>
      <c r="J67" s="2066"/>
      <c r="K67" s="2067"/>
      <c r="L67" s="2067"/>
      <c r="M67" s="2067"/>
      <c r="N67" s="2067"/>
      <c r="O67" s="2066"/>
      <c r="P67" s="2037"/>
      <c r="Q67" s="2010"/>
      <c r="R67" s="2010"/>
      <c r="S67" s="2010"/>
      <c r="T67" s="2010"/>
    </row>
    <row r="68" spans="1:22" ht="15.75">
      <c r="A68" s="1948"/>
      <c r="B68" s="2040"/>
      <c r="C68" s="2052"/>
      <c r="D68" s="2053" t="s">
        <v>65</v>
      </c>
      <c r="E68" s="2053" t="s">
        <v>156</v>
      </c>
      <c r="F68" s="2054">
        <v>2050</v>
      </c>
      <c r="G68" s="2054">
        <f>F68+1</f>
        <v>2051</v>
      </c>
      <c r="H68" s="2054">
        <f>G68+1</f>
        <v>2052</v>
      </c>
      <c r="I68" s="2056"/>
      <c r="J68" s="2056"/>
      <c r="K68" s="2056"/>
      <c r="L68" s="2056"/>
      <c r="M68" s="2056"/>
      <c r="N68" s="2056"/>
      <c r="O68" s="2056"/>
      <c r="P68" s="2037"/>
      <c r="Q68" s="2010"/>
      <c r="R68" s="2010"/>
      <c r="S68" s="2010"/>
      <c r="T68" s="2010"/>
    </row>
    <row r="69" spans="1:22" ht="15.75">
      <c r="A69" s="1948"/>
      <c r="B69" s="2040"/>
      <c r="C69" s="2057"/>
      <c r="D69" s="2058" t="s">
        <v>1691</v>
      </c>
      <c r="E69" s="2058"/>
      <c r="F69" s="2059">
        <f>O66*(1+G52)</f>
        <v>4491783.8298909552</v>
      </c>
      <c r="G69" s="2059">
        <f>F69*(1+$G$52)</f>
        <v>4671455.1830865936</v>
      </c>
      <c r="H69" s="2059">
        <f t="shared" ref="H69" si="12">G69*(1+$G$52)</f>
        <v>4858313.3904100573</v>
      </c>
      <c r="I69" s="2060"/>
      <c r="J69" s="2060"/>
      <c r="K69" s="2060"/>
      <c r="L69" s="2060"/>
      <c r="M69" s="2060"/>
      <c r="N69" s="2060"/>
      <c r="O69" s="2060"/>
      <c r="P69" s="2037"/>
      <c r="Q69" s="2010"/>
      <c r="R69" s="2010"/>
      <c r="S69" s="2010"/>
      <c r="T69" s="2010"/>
    </row>
    <row r="70" spans="1:22">
      <c r="B70" s="2037"/>
      <c r="C70" s="2037"/>
      <c r="D70" s="2037"/>
      <c r="E70" s="2037"/>
      <c r="F70" s="2037"/>
      <c r="G70" s="2037"/>
      <c r="H70" s="2037"/>
      <c r="I70" s="2037"/>
      <c r="J70" s="2037"/>
      <c r="K70" s="2037"/>
      <c r="L70" s="2037"/>
      <c r="M70" s="2037"/>
      <c r="N70" s="2037"/>
      <c r="O70" s="2037"/>
      <c r="P70" s="2037"/>
      <c r="Q70" s="2010"/>
      <c r="R70" s="2010"/>
      <c r="S70" s="2010"/>
      <c r="T70" s="2010"/>
    </row>
    <row r="71" spans="1:22">
      <c r="A71" s="1948"/>
      <c r="B71" s="2038"/>
      <c r="C71" s="2038" t="s">
        <v>1691</v>
      </c>
      <c r="D71" s="2037"/>
      <c r="E71" s="2039"/>
      <c r="F71" s="2037"/>
      <c r="G71" s="2064"/>
      <c r="H71" s="2065"/>
      <c r="I71" s="2065"/>
      <c r="J71" s="2066"/>
      <c r="K71" s="2067"/>
      <c r="L71" s="2067"/>
      <c r="M71" s="2067"/>
      <c r="N71" s="2067"/>
      <c r="O71" s="2066"/>
      <c r="P71" s="2037"/>
      <c r="Q71" s="2010"/>
      <c r="R71" s="2010"/>
      <c r="S71" s="2010"/>
      <c r="T71" s="2010"/>
    </row>
    <row r="72" spans="1:22" ht="4.5" customHeight="1">
      <c r="A72" s="1948"/>
      <c r="B72" s="2038"/>
      <c r="C72" s="2038"/>
      <c r="D72" s="2037"/>
      <c r="E72" s="2039"/>
      <c r="F72" s="2037"/>
      <c r="G72" s="2064"/>
      <c r="H72" s="2065"/>
      <c r="I72" s="2065"/>
      <c r="J72" s="2066"/>
      <c r="K72" s="2067"/>
      <c r="L72" s="2067"/>
      <c r="M72" s="2067"/>
      <c r="N72" s="2067"/>
      <c r="O72" s="2066"/>
      <c r="P72" s="2037"/>
      <c r="Q72" s="2010"/>
      <c r="R72" s="2010"/>
      <c r="S72" s="2010"/>
      <c r="T72" s="2010"/>
    </row>
    <row r="73" spans="1:22" ht="15.75">
      <c r="A73" s="1948"/>
      <c r="B73" s="2040"/>
      <c r="C73" s="2052"/>
      <c r="D73" s="2053" t="s">
        <v>65</v>
      </c>
      <c r="E73" s="2053" t="s">
        <v>156</v>
      </c>
      <c r="F73" s="2054">
        <v>2007</v>
      </c>
      <c r="G73" s="2055">
        <f t="shared" ref="G73:O73" si="13">F73+5</f>
        <v>2012</v>
      </c>
      <c r="H73" s="2055">
        <f t="shared" si="13"/>
        <v>2017</v>
      </c>
      <c r="I73" s="2055">
        <f t="shared" si="13"/>
        <v>2022</v>
      </c>
      <c r="J73" s="2055">
        <f t="shared" si="13"/>
        <v>2027</v>
      </c>
      <c r="K73" s="2055">
        <f t="shared" si="13"/>
        <v>2032</v>
      </c>
      <c r="L73" s="2055">
        <f t="shared" si="13"/>
        <v>2037</v>
      </c>
      <c r="M73" s="2055">
        <f t="shared" si="13"/>
        <v>2042</v>
      </c>
      <c r="N73" s="2055">
        <f t="shared" si="13"/>
        <v>2047</v>
      </c>
      <c r="O73" s="2055">
        <f t="shared" si="13"/>
        <v>2052</v>
      </c>
      <c r="P73" s="2037"/>
      <c r="Q73" s="2010"/>
      <c r="R73" s="2010"/>
      <c r="S73" s="2010"/>
      <c r="T73" s="2010"/>
    </row>
    <row r="74" spans="1:22" ht="15.75">
      <c r="A74" s="1948"/>
      <c r="B74" s="2040"/>
      <c r="C74" s="2068"/>
      <c r="D74" s="2069" t="s">
        <v>1691</v>
      </c>
      <c r="E74" s="2069"/>
      <c r="F74" s="2060">
        <f>F57</f>
        <v>120000</v>
      </c>
      <c r="G74" s="2060">
        <f>G57</f>
        <v>714458</v>
      </c>
      <c r="H74" s="2060">
        <f>L57</f>
        <v>947120.07515779987</v>
      </c>
      <c r="I74" s="2060">
        <f>G60</f>
        <v>1255548.1732542939</v>
      </c>
      <c r="J74" s="2060">
        <f>L60</f>
        <v>1664415.3753150571</v>
      </c>
      <c r="K74" s="2060">
        <f>G63</f>
        <v>2131991.1653250875</v>
      </c>
      <c r="L74" s="2060">
        <f>L63</f>
        <v>2593893.239183927</v>
      </c>
      <c r="M74" s="2060">
        <f>G66</f>
        <v>3155867.737968863</v>
      </c>
      <c r="N74" s="2060">
        <f>L66</f>
        <v>3839595.6429903414</v>
      </c>
      <c r="O74" s="2060">
        <f>H69</f>
        <v>4858313.3904100573</v>
      </c>
      <c r="P74" s="2037"/>
      <c r="Q74" s="2010"/>
      <c r="R74" s="2010"/>
      <c r="S74" s="2010"/>
      <c r="T74" s="2010"/>
    </row>
    <row r="75" spans="1:22" s="2047" customFormat="1" ht="15.75">
      <c r="A75" s="1948"/>
      <c r="B75" s="2040"/>
      <c r="C75" s="2068"/>
      <c r="D75" s="2069" t="s">
        <v>1692</v>
      </c>
      <c r="E75" s="2069"/>
      <c r="F75" s="2060">
        <f>F74*$G$42</f>
        <v>72000</v>
      </c>
      <c r="G75" s="2060">
        <f t="shared" ref="G75:O75" si="14">G74*$G$42</f>
        <v>428674.8</v>
      </c>
      <c r="H75" s="2060">
        <f t="shared" si="14"/>
        <v>568272.04509467992</v>
      </c>
      <c r="I75" s="2060">
        <f t="shared" si="14"/>
        <v>753328.90395257634</v>
      </c>
      <c r="J75" s="2060">
        <f t="shared" si="14"/>
        <v>998649.22518903424</v>
      </c>
      <c r="K75" s="2070">
        <f t="shared" si="14"/>
        <v>1279194.6991950525</v>
      </c>
      <c r="L75" s="2060">
        <f t="shared" si="14"/>
        <v>1556335.9435103561</v>
      </c>
      <c r="M75" s="2060">
        <f t="shared" si="14"/>
        <v>1893520.6427813177</v>
      </c>
      <c r="N75" s="2060">
        <f t="shared" si="14"/>
        <v>2303757.3857942047</v>
      </c>
      <c r="O75" s="2060">
        <f t="shared" si="14"/>
        <v>2914988.0342460345</v>
      </c>
      <c r="P75" s="2037"/>
      <c r="Q75" s="2010"/>
      <c r="R75" s="2010"/>
      <c r="S75" s="2010"/>
      <c r="T75" s="2010"/>
      <c r="U75" s="2011"/>
      <c r="V75" s="2011"/>
    </row>
    <row r="76" spans="1:22">
      <c r="B76" s="2037"/>
      <c r="C76" s="2048"/>
      <c r="D76" s="2048" t="s">
        <v>1693</v>
      </c>
      <c r="E76" s="2048"/>
      <c r="F76" s="2071">
        <f>F74*$F$42</f>
        <v>48000</v>
      </c>
      <c r="G76" s="2071">
        <f t="shared" ref="G76:O76" si="15">G74*$F$42</f>
        <v>285783.2</v>
      </c>
      <c r="H76" s="2071">
        <f t="shared" si="15"/>
        <v>378848.03006311995</v>
      </c>
      <c r="I76" s="2071">
        <f t="shared" si="15"/>
        <v>502219.26930171758</v>
      </c>
      <c r="J76" s="2071">
        <f t="shared" si="15"/>
        <v>665766.15012602287</v>
      </c>
      <c r="K76" s="2071">
        <f t="shared" si="15"/>
        <v>852796.466130035</v>
      </c>
      <c r="L76" s="2071">
        <f t="shared" si="15"/>
        <v>1037557.2956735708</v>
      </c>
      <c r="M76" s="2071">
        <f t="shared" si="15"/>
        <v>1262347.0951875453</v>
      </c>
      <c r="N76" s="2071">
        <f t="shared" si="15"/>
        <v>1535838.2571961368</v>
      </c>
      <c r="O76" s="2071">
        <f t="shared" si="15"/>
        <v>1943325.356164023</v>
      </c>
      <c r="P76" s="2037"/>
      <c r="Q76" s="2010"/>
      <c r="R76" s="2010"/>
      <c r="S76" s="2010"/>
      <c r="T76" s="2010"/>
    </row>
    <row r="77" spans="1:22">
      <c r="B77" s="2037"/>
      <c r="C77" s="2037"/>
      <c r="D77" s="2037"/>
      <c r="E77" s="2037"/>
      <c r="F77" s="2037"/>
      <c r="G77" s="2037"/>
      <c r="H77" s="2037"/>
      <c r="I77" s="2037"/>
      <c r="J77" s="2037"/>
      <c r="K77" s="2037"/>
      <c r="L77" s="2037"/>
      <c r="M77" s="2037"/>
      <c r="N77" s="2037"/>
      <c r="O77" s="2037"/>
      <c r="P77" s="2037"/>
      <c r="Q77" s="2010"/>
      <c r="R77" s="2010"/>
      <c r="S77" s="2010"/>
      <c r="T77" s="2010"/>
    </row>
    <row r="78" spans="1:22">
      <c r="A78" s="1948"/>
      <c r="B78" s="2038"/>
      <c r="C78" s="2038" t="s">
        <v>1694</v>
      </c>
      <c r="D78" s="2037"/>
      <c r="E78" s="2039"/>
      <c r="F78" s="2037"/>
      <c r="G78" s="2064"/>
      <c r="H78" s="2065"/>
      <c r="I78" s="2065"/>
      <c r="J78" s="2066"/>
      <c r="K78" s="2067"/>
      <c r="L78" s="2067"/>
      <c r="M78" s="2067"/>
      <c r="N78" s="2067"/>
      <c r="O78" s="2066"/>
      <c r="P78" s="2037"/>
      <c r="Q78" s="2010"/>
      <c r="R78" s="2010"/>
      <c r="S78" s="2010"/>
      <c r="T78" s="2010"/>
    </row>
    <row r="79" spans="1:22" ht="4.5" customHeight="1">
      <c r="A79" s="1948"/>
      <c r="B79" s="2038"/>
      <c r="C79" s="2038"/>
      <c r="D79" s="2037"/>
      <c r="E79" s="2039"/>
      <c r="F79" s="2037"/>
      <c r="G79" s="2064"/>
      <c r="H79" s="2065"/>
      <c r="I79" s="2065"/>
      <c r="J79" s="2066"/>
      <c r="K79" s="2067"/>
      <c r="L79" s="2067"/>
      <c r="M79" s="2067"/>
      <c r="N79" s="2067"/>
      <c r="O79" s="2066"/>
      <c r="P79" s="2037"/>
      <c r="Q79" s="2010"/>
      <c r="R79" s="2010"/>
      <c r="S79" s="2010"/>
      <c r="T79" s="2010"/>
    </row>
    <row r="80" spans="1:22" ht="15.75">
      <c r="A80" s="1948"/>
      <c r="B80" s="2040"/>
      <c r="C80" s="2052"/>
      <c r="D80" s="2053" t="s">
        <v>65</v>
      </c>
      <c r="E80" s="2053" t="s">
        <v>156</v>
      </c>
      <c r="F80" s="2054">
        <v>2007</v>
      </c>
      <c r="G80" s="2055">
        <f t="shared" ref="G80:O80" si="16">F80+5</f>
        <v>2012</v>
      </c>
      <c r="H80" s="2055">
        <f t="shared" si="16"/>
        <v>2017</v>
      </c>
      <c r="I80" s="2055">
        <f t="shared" si="16"/>
        <v>2022</v>
      </c>
      <c r="J80" s="2055">
        <f t="shared" si="16"/>
        <v>2027</v>
      </c>
      <c r="K80" s="2055">
        <f t="shared" si="16"/>
        <v>2032</v>
      </c>
      <c r="L80" s="2055">
        <f t="shared" si="16"/>
        <v>2037</v>
      </c>
      <c r="M80" s="2055">
        <f t="shared" si="16"/>
        <v>2042</v>
      </c>
      <c r="N80" s="2055">
        <f t="shared" si="16"/>
        <v>2047</v>
      </c>
      <c r="O80" s="2055">
        <f t="shared" si="16"/>
        <v>2052</v>
      </c>
      <c r="P80" s="2037"/>
      <c r="Q80" s="2010"/>
      <c r="R80" s="2010"/>
      <c r="S80" s="2010"/>
      <c r="T80" s="2010"/>
    </row>
    <row r="81" spans="1:22" ht="15.75">
      <c r="A81" s="1948"/>
      <c r="B81" s="2040"/>
      <c r="C81" s="2068"/>
      <c r="D81" s="2069" t="s">
        <v>1691</v>
      </c>
      <c r="E81" s="2069"/>
      <c r="F81" s="2060">
        <f>F74</f>
        <v>120000</v>
      </c>
      <c r="G81" s="2060">
        <f>G74-F74</f>
        <v>594458</v>
      </c>
      <c r="H81" s="2060">
        <f t="shared" ref="H81:O83" si="17">H74-G74</f>
        <v>232662.07515779987</v>
      </c>
      <c r="I81" s="2060">
        <f t="shared" si="17"/>
        <v>308428.09809649398</v>
      </c>
      <c r="J81" s="2060">
        <f t="shared" si="17"/>
        <v>408867.20206076326</v>
      </c>
      <c r="K81" s="2060">
        <f t="shared" si="17"/>
        <v>467575.79001003038</v>
      </c>
      <c r="L81" s="2060">
        <f t="shared" si="17"/>
        <v>461902.07385883946</v>
      </c>
      <c r="M81" s="2060">
        <f t="shared" si="17"/>
        <v>561974.49878493603</v>
      </c>
      <c r="N81" s="2060">
        <f t="shared" si="17"/>
        <v>683727.90502147842</v>
      </c>
      <c r="O81" s="2060">
        <f t="shared" si="17"/>
        <v>1018717.7474197159</v>
      </c>
      <c r="P81" s="2037"/>
      <c r="Q81" s="2010"/>
      <c r="R81" s="2010"/>
      <c r="S81" s="2010"/>
      <c r="T81" s="2010"/>
    </row>
    <row r="82" spans="1:22" s="2047" customFormat="1" ht="15.75">
      <c r="A82" s="1948"/>
      <c r="B82" s="2040"/>
      <c r="C82" s="2068"/>
      <c r="D82" s="2069" t="s">
        <v>1692</v>
      </c>
      <c r="E82" s="2069"/>
      <c r="F82" s="2060">
        <f>F75</f>
        <v>72000</v>
      </c>
      <c r="G82" s="2060">
        <f>G75-F75</f>
        <v>356674.8</v>
      </c>
      <c r="H82" s="2060">
        <f t="shared" si="17"/>
        <v>139597.24509467994</v>
      </c>
      <c r="I82" s="2060">
        <f t="shared" si="17"/>
        <v>185056.85885789641</v>
      </c>
      <c r="J82" s="2060">
        <f t="shared" si="17"/>
        <v>245320.32123645791</v>
      </c>
      <c r="K82" s="2060">
        <f t="shared" si="17"/>
        <v>280545.47400601825</v>
      </c>
      <c r="L82" s="2060">
        <f t="shared" si="17"/>
        <v>277141.24431530363</v>
      </c>
      <c r="M82" s="2060">
        <f t="shared" si="17"/>
        <v>337184.69927096157</v>
      </c>
      <c r="N82" s="2060">
        <f t="shared" si="17"/>
        <v>410236.74301288696</v>
      </c>
      <c r="O82" s="2060">
        <f t="shared" si="17"/>
        <v>611230.64845182979</v>
      </c>
      <c r="P82" s="2037"/>
      <c r="Q82" s="2010"/>
      <c r="R82" s="2010"/>
      <c r="S82" s="2010"/>
      <c r="T82" s="2010"/>
      <c r="U82" s="2011"/>
      <c r="V82" s="2011"/>
    </row>
    <row r="83" spans="1:22">
      <c r="B83" s="2037"/>
      <c r="C83" s="2048"/>
      <c r="D83" s="2048" t="s">
        <v>1693</v>
      </c>
      <c r="E83" s="2048"/>
      <c r="F83" s="2072">
        <f>F76</f>
        <v>48000</v>
      </c>
      <c r="G83" s="2071">
        <f>G76-F76</f>
        <v>237783.2</v>
      </c>
      <c r="H83" s="2071">
        <f t="shared" si="17"/>
        <v>93064.830063119938</v>
      </c>
      <c r="I83" s="2071">
        <f t="shared" si="17"/>
        <v>123371.23923859763</v>
      </c>
      <c r="J83" s="2071">
        <f t="shared" si="17"/>
        <v>163546.88082430529</v>
      </c>
      <c r="K83" s="2071">
        <f t="shared" si="17"/>
        <v>187030.31600401213</v>
      </c>
      <c r="L83" s="2071">
        <f t="shared" si="17"/>
        <v>184760.82954353583</v>
      </c>
      <c r="M83" s="2071">
        <f t="shared" si="17"/>
        <v>224789.79951397446</v>
      </c>
      <c r="N83" s="2071">
        <f t="shared" si="17"/>
        <v>273491.16200859146</v>
      </c>
      <c r="O83" s="2071">
        <f t="shared" si="17"/>
        <v>407487.0989678863</v>
      </c>
      <c r="P83" s="2037"/>
      <c r="Q83" s="2010"/>
      <c r="R83" s="2010"/>
      <c r="S83" s="2010"/>
      <c r="T83" s="2010"/>
    </row>
    <row r="84" spans="1:22">
      <c r="B84" s="2037"/>
      <c r="C84" s="2037"/>
      <c r="D84" s="2037"/>
      <c r="E84" s="2037"/>
      <c r="F84" s="2037"/>
      <c r="G84" s="2037"/>
      <c r="H84" s="2037"/>
      <c r="I84" s="2037"/>
      <c r="J84" s="2037"/>
      <c r="K84" s="2037"/>
      <c r="L84" s="2037"/>
      <c r="M84" s="2037"/>
      <c r="N84" s="2037"/>
      <c r="O84" s="2037"/>
      <c r="P84" s="2037"/>
      <c r="Q84" s="2010"/>
      <c r="R84" s="2010"/>
      <c r="S84" s="2010"/>
      <c r="T84" s="2010"/>
    </row>
    <row r="85" spans="1:22">
      <c r="B85" s="2037"/>
      <c r="C85" s="2038" t="s">
        <v>1695</v>
      </c>
      <c r="D85" s="2037"/>
      <c r="E85" s="2039"/>
      <c r="F85" s="2037"/>
      <c r="G85" s="2064"/>
      <c r="H85" s="2065"/>
      <c r="I85" s="2065"/>
      <c r="J85" s="2066"/>
      <c r="K85" s="2067"/>
      <c r="L85" s="2067"/>
      <c r="M85" s="2067"/>
      <c r="N85" s="2067"/>
      <c r="O85" s="2073" t="str">
        <f>Preferences.PowerUnits</f>
        <v>GW</v>
      </c>
      <c r="P85" s="2037"/>
      <c r="Q85" s="2032"/>
      <c r="R85" s="2010"/>
      <c r="S85" s="2010"/>
      <c r="T85" s="2032"/>
    </row>
    <row r="86" spans="1:22" ht="5.25" customHeight="1">
      <c r="B86" s="2037"/>
      <c r="C86" s="2038"/>
      <c r="D86" s="2037"/>
      <c r="E86" s="2039"/>
      <c r="F86" s="2037"/>
      <c r="G86" s="2064"/>
      <c r="H86" s="2065"/>
      <c r="I86" s="2065"/>
      <c r="J86" s="2066"/>
      <c r="K86" s="2067"/>
      <c r="L86" s="2067"/>
      <c r="M86" s="2067"/>
      <c r="N86" s="2067"/>
      <c r="O86" s="2066"/>
      <c r="P86" s="2037"/>
      <c r="Q86" s="2032"/>
      <c r="R86" s="2010"/>
      <c r="S86" s="2010"/>
      <c r="T86" s="2032"/>
    </row>
    <row r="87" spans="1:22">
      <c r="B87" s="2037"/>
      <c r="C87" s="2052"/>
      <c r="D87" s="2053" t="s">
        <v>65</v>
      </c>
      <c r="E87" s="2053" t="s">
        <v>156</v>
      </c>
      <c r="F87" s="2054">
        <v>2007</v>
      </c>
      <c r="G87" s="2055">
        <f t="shared" ref="G87:O87" si="18">F87+5</f>
        <v>2012</v>
      </c>
      <c r="H87" s="2055">
        <f t="shared" si="18"/>
        <v>2017</v>
      </c>
      <c r="I87" s="2055">
        <f t="shared" si="18"/>
        <v>2022</v>
      </c>
      <c r="J87" s="2055">
        <f t="shared" si="18"/>
        <v>2027</v>
      </c>
      <c r="K87" s="2055">
        <f t="shared" si="18"/>
        <v>2032</v>
      </c>
      <c r="L87" s="2055">
        <f t="shared" si="18"/>
        <v>2037</v>
      </c>
      <c r="M87" s="2055">
        <f t="shared" si="18"/>
        <v>2042</v>
      </c>
      <c r="N87" s="2055">
        <f t="shared" si="18"/>
        <v>2047</v>
      </c>
      <c r="O87" s="2055">
        <f t="shared" si="18"/>
        <v>2052</v>
      </c>
      <c r="P87" s="2037"/>
      <c r="Q87" s="2010"/>
      <c r="R87" s="2010"/>
      <c r="S87" s="2010"/>
      <c r="T87" s="2010"/>
    </row>
    <row r="88" spans="1:22">
      <c r="B88" s="2037"/>
      <c r="C88" s="2074"/>
      <c r="D88" s="2075" t="s">
        <v>1696</v>
      </c>
      <c r="E88" s="2075"/>
      <c r="F88" s="2037">
        <f t="shared" ref="F88:O88" si="19">(3)*(Unit.kW)</f>
        <v>3.0000000000000001E-6</v>
      </c>
      <c r="G88" s="2037">
        <f t="shared" si="19"/>
        <v>3.0000000000000001E-6</v>
      </c>
      <c r="H88" s="2037">
        <f t="shared" si="19"/>
        <v>3.0000000000000001E-6</v>
      </c>
      <c r="I88" s="2037">
        <f t="shared" si="19"/>
        <v>3.0000000000000001E-6</v>
      </c>
      <c r="J88" s="2037">
        <f t="shared" si="19"/>
        <v>3.0000000000000001E-6</v>
      </c>
      <c r="K88" s="2037">
        <f t="shared" si="19"/>
        <v>3.0000000000000001E-6</v>
      </c>
      <c r="L88" s="2037">
        <f t="shared" si="19"/>
        <v>3.0000000000000001E-6</v>
      </c>
      <c r="M88" s="2037">
        <f t="shared" si="19"/>
        <v>3.0000000000000001E-6</v>
      </c>
      <c r="N88" s="2037">
        <f t="shared" si="19"/>
        <v>3.0000000000000001E-6</v>
      </c>
      <c r="O88" s="2037">
        <f t="shared" si="19"/>
        <v>3.0000000000000001E-6</v>
      </c>
      <c r="P88" s="2037"/>
      <c r="Q88" s="2010"/>
      <c r="R88" s="2010"/>
      <c r="S88" s="2010"/>
      <c r="T88" s="2010"/>
    </row>
    <row r="89" spans="1:22">
      <c r="B89" s="2037"/>
      <c r="C89" s="2076"/>
      <c r="D89" s="2077" t="s">
        <v>1697</v>
      </c>
      <c r="E89" s="2077"/>
      <c r="F89" s="2048">
        <f t="shared" ref="F89:J89" si="20">(5)*(Unit.kW)</f>
        <v>4.9999999999999996E-6</v>
      </c>
      <c r="G89" s="2048">
        <f t="shared" si="20"/>
        <v>4.9999999999999996E-6</v>
      </c>
      <c r="H89" s="2048">
        <f t="shared" si="20"/>
        <v>4.9999999999999996E-6</v>
      </c>
      <c r="I89" s="2048">
        <f t="shared" si="20"/>
        <v>4.9999999999999996E-6</v>
      </c>
      <c r="J89" s="2048">
        <f t="shared" si="20"/>
        <v>4.9999999999999996E-6</v>
      </c>
      <c r="K89" s="2048">
        <f>(4)*(Unit.kW)</f>
        <v>3.9999999999999998E-6</v>
      </c>
      <c r="L89" s="2048">
        <f>(4)*(Unit.kW)</f>
        <v>3.9999999999999998E-6</v>
      </c>
      <c r="M89" s="2048">
        <f>(3)*(Unit.kW)</f>
        <v>3.0000000000000001E-6</v>
      </c>
      <c r="N89" s="2048">
        <f>(3)*(Unit.kW)</f>
        <v>3.0000000000000001E-6</v>
      </c>
      <c r="O89" s="2048">
        <f>(3)*(Unit.kW)</f>
        <v>3.0000000000000001E-6</v>
      </c>
      <c r="P89" s="2037"/>
      <c r="Q89" s="2010"/>
      <c r="R89" s="2010"/>
      <c r="S89" s="2010"/>
      <c r="T89" s="2010"/>
    </row>
    <row r="90" spans="1:22">
      <c r="B90" s="2037"/>
      <c r="C90" s="2037"/>
      <c r="D90" s="2037"/>
      <c r="E90" s="2037"/>
      <c r="F90" s="2037"/>
      <c r="G90" s="2037"/>
      <c r="H90" s="2037"/>
      <c r="I90" s="2037"/>
      <c r="J90" s="2037"/>
      <c r="K90" s="2037"/>
      <c r="L90" s="2037"/>
      <c r="M90" s="2037"/>
      <c r="N90" s="2037"/>
      <c r="O90" s="2037"/>
      <c r="P90" s="2037"/>
      <c r="Q90" s="2010"/>
      <c r="R90" s="2010"/>
      <c r="S90" s="2010"/>
      <c r="T90" s="2010"/>
    </row>
    <row r="91" spans="1:22">
      <c r="B91" s="2037"/>
      <c r="C91" s="2038" t="s">
        <v>1698</v>
      </c>
      <c r="D91" s="2037"/>
      <c r="E91" s="2039"/>
      <c r="F91" s="2039"/>
      <c r="G91" s="2078"/>
      <c r="H91" s="2037"/>
      <c r="I91" s="2037"/>
      <c r="J91" s="2037"/>
      <c r="K91" s="2037"/>
      <c r="L91" s="2037"/>
      <c r="M91" s="2037"/>
      <c r="N91" s="2037"/>
      <c r="O91" s="2039" t="s">
        <v>468</v>
      </c>
      <c r="P91" s="2037"/>
      <c r="Q91" s="2010"/>
      <c r="R91" s="2010"/>
      <c r="S91" s="2010"/>
      <c r="T91" s="2010"/>
    </row>
    <row r="92" spans="1:22" ht="4.5" customHeight="1">
      <c r="B92" s="2037"/>
      <c r="C92" s="2038"/>
      <c r="D92" s="2037"/>
      <c r="E92" s="2039"/>
      <c r="F92" s="2039"/>
      <c r="G92" s="2078"/>
      <c r="H92" s="2037"/>
      <c r="I92" s="2037"/>
      <c r="J92" s="2037"/>
      <c r="K92" s="2037"/>
      <c r="L92" s="2037"/>
      <c r="M92" s="2037"/>
      <c r="N92" s="2037"/>
      <c r="O92" s="2039"/>
      <c r="P92" s="2037"/>
      <c r="Q92" s="2010"/>
      <c r="R92" s="2010"/>
      <c r="S92" s="2010"/>
      <c r="T92" s="2010"/>
    </row>
    <row r="93" spans="1:22" ht="15.75">
      <c r="B93" s="2040"/>
      <c r="C93" s="2053"/>
      <c r="D93" s="2053" t="s">
        <v>1699</v>
      </c>
      <c r="E93" s="2053" t="s">
        <v>156</v>
      </c>
      <c r="F93" s="2054">
        <v>2007</v>
      </c>
      <c r="G93" s="2055">
        <f t="shared" ref="G93:O93" si="21">F93+5</f>
        <v>2012</v>
      </c>
      <c r="H93" s="2055">
        <f t="shared" si="21"/>
        <v>2017</v>
      </c>
      <c r="I93" s="2055">
        <f t="shared" si="21"/>
        <v>2022</v>
      </c>
      <c r="J93" s="2055">
        <f t="shared" si="21"/>
        <v>2027</v>
      </c>
      <c r="K93" s="2055">
        <f t="shared" si="21"/>
        <v>2032</v>
      </c>
      <c r="L93" s="2055">
        <f t="shared" si="21"/>
        <v>2037</v>
      </c>
      <c r="M93" s="2055">
        <f t="shared" si="21"/>
        <v>2042</v>
      </c>
      <c r="N93" s="2055">
        <f t="shared" si="21"/>
        <v>2047</v>
      </c>
      <c r="O93" s="2055">
        <f t="shared" si="21"/>
        <v>2052</v>
      </c>
      <c r="P93" s="2037"/>
      <c r="Q93" s="2010"/>
      <c r="R93" s="2010"/>
      <c r="S93" s="2010"/>
    </row>
    <row r="94" spans="1:22" ht="15.75">
      <c r="B94" s="2040"/>
      <c r="C94" s="2041"/>
      <c r="D94" s="2042" t="s">
        <v>1700</v>
      </c>
      <c r="E94" s="2043"/>
      <c r="F94" s="2037">
        <v>10</v>
      </c>
      <c r="G94" s="2037">
        <v>10</v>
      </c>
      <c r="H94" s="2037">
        <v>10</v>
      </c>
      <c r="I94" s="2037">
        <v>12</v>
      </c>
      <c r="J94" s="2037">
        <v>12</v>
      </c>
      <c r="K94" s="2037">
        <v>14</v>
      </c>
      <c r="L94" s="2037">
        <v>14</v>
      </c>
      <c r="M94" s="2037">
        <v>16</v>
      </c>
      <c r="N94" s="2037">
        <v>16</v>
      </c>
      <c r="O94" s="2037">
        <v>16</v>
      </c>
      <c r="P94" s="2037"/>
      <c r="Q94" s="2010"/>
      <c r="R94" s="2010"/>
      <c r="S94" s="2010"/>
      <c r="T94" s="2012"/>
      <c r="U94" s="2012"/>
      <c r="V94" s="2012"/>
    </row>
    <row r="95" spans="1:22" ht="15.75">
      <c r="B95" s="2040"/>
      <c r="C95" s="2045"/>
      <c r="D95" s="2046" t="s">
        <v>161</v>
      </c>
      <c r="E95" s="2044"/>
      <c r="F95" s="2048">
        <v>14</v>
      </c>
      <c r="G95" s="2048">
        <v>14</v>
      </c>
      <c r="H95" s="2048">
        <v>14</v>
      </c>
      <c r="I95" s="2048">
        <v>12</v>
      </c>
      <c r="J95" s="2048">
        <v>12</v>
      </c>
      <c r="K95" s="2048">
        <v>10</v>
      </c>
      <c r="L95" s="2048">
        <v>10</v>
      </c>
      <c r="M95" s="2048">
        <v>8</v>
      </c>
      <c r="N95" s="2048">
        <v>8</v>
      </c>
      <c r="O95" s="2048">
        <v>8</v>
      </c>
      <c r="P95" s="2037"/>
      <c r="Q95" s="2010"/>
      <c r="R95" s="2010"/>
      <c r="S95" s="2010"/>
      <c r="T95" s="2012"/>
      <c r="U95" s="2012"/>
      <c r="V95" s="2012"/>
    </row>
    <row r="96" spans="1:22">
      <c r="B96" s="2037"/>
      <c r="C96" s="2037"/>
      <c r="D96" s="2037"/>
      <c r="E96" s="2037"/>
      <c r="F96" s="2037"/>
      <c r="G96" s="2037"/>
      <c r="H96" s="2037"/>
      <c r="I96" s="2037"/>
      <c r="J96" s="2037"/>
      <c r="K96" s="2037"/>
      <c r="L96" s="2037"/>
      <c r="M96" s="2037"/>
      <c r="N96" s="2037"/>
      <c r="O96" s="2037"/>
      <c r="P96" s="2037"/>
      <c r="Q96" s="2010"/>
      <c r="R96" s="2010"/>
      <c r="S96" s="2010"/>
      <c r="T96" s="2012"/>
      <c r="U96" s="2012"/>
      <c r="V96" s="2012"/>
    </row>
    <row r="97" spans="1:22">
      <c r="B97" s="2037"/>
      <c r="C97" s="2038" t="s">
        <v>1701</v>
      </c>
      <c r="D97" s="2037"/>
      <c r="E97" s="2037"/>
      <c r="F97" s="2037"/>
      <c r="G97" s="2037"/>
      <c r="H97" s="2037"/>
      <c r="I97" s="2037"/>
      <c r="J97" s="2037"/>
      <c r="K97" s="2037"/>
      <c r="L97" s="2037"/>
      <c r="M97" s="2037"/>
      <c r="N97" s="2037"/>
      <c r="O97" s="2039" t="s">
        <v>468</v>
      </c>
      <c r="P97" s="2037"/>
      <c r="Q97" s="2010"/>
      <c r="R97" s="2010"/>
      <c r="S97" s="2010"/>
      <c r="T97" s="2012"/>
      <c r="U97" s="2012"/>
      <c r="V97" s="2012"/>
    </row>
    <row r="98" spans="1:22" ht="5.25" customHeight="1">
      <c r="B98" s="2037"/>
      <c r="C98" s="2038"/>
      <c r="D98" s="2037"/>
      <c r="E98" s="2037"/>
      <c r="F98" s="2037"/>
      <c r="G98" s="2037"/>
      <c r="H98" s="2037"/>
      <c r="I98" s="2037"/>
      <c r="J98" s="2037"/>
      <c r="K98" s="2037"/>
      <c r="L98" s="2037"/>
      <c r="M98" s="2037"/>
      <c r="N98" s="2037"/>
      <c r="O98" s="2037"/>
      <c r="P98" s="2037"/>
      <c r="Q98" s="2010"/>
      <c r="R98" s="2010"/>
      <c r="S98" s="2010"/>
      <c r="T98" s="2012"/>
      <c r="U98" s="2012"/>
      <c r="V98" s="2012"/>
    </row>
    <row r="99" spans="1:22">
      <c r="B99" s="2037"/>
      <c r="C99" s="2053"/>
      <c r="D99" s="2053" t="s">
        <v>66</v>
      </c>
      <c r="E99" s="2053" t="s">
        <v>156</v>
      </c>
      <c r="F99" s="2079" t="s">
        <v>203</v>
      </c>
      <c r="G99" s="2079">
        <f t="shared" ref="G99:O99" si="22">F99+5</f>
        <v>2012</v>
      </c>
      <c r="H99" s="2079">
        <f t="shared" si="22"/>
        <v>2017</v>
      </c>
      <c r="I99" s="2079">
        <f t="shared" si="22"/>
        <v>2022</v>
      </c>
      <c r="J99" s="2079">
        <f t="shared" si="22"/>
        <v>2027</v>
      </c>
      <c r="K99" s="2079">
        <f t="shared" si="22"/>
        <v>2032</v>
      </c>
      <c r="L99" s="2079">
        <f t="shared" si="22"/>
        <v>2037</v>
      </c>
      <c r="M99" s="2079">
        <f t="shared" si="22"/>
        <v>2042</v>
      </c>
      <c r="N99" s="2079">
        <f t="shared" si="22"/>
        <v>2047</v>
      </c>
      <c r="O99" s="2079">
        <f t="shared" si="22"/>
        <v>2052</v>
      </c>
      <c r="P99" s="2037"/>
      <c r="Q99" s="2010"/>
      <c r="R99" s="2010"/>
      <c r="S99" s="2010"/>
      <c r="T99" s="2012"/>
      <c r="U99" s="2012"/>
      <c r="V99" s="2012"/>
    </row>
    <row r="100" spans="1:22">
      <c r="B100" s="2037"/>
      <c r="C100" s="2041"/>
      <c r="D100" s="2042" t="s">
        <v>1700</v>
      </c>
      <c r="E100" s="2080"/>
      <c r="F100" s="2081">
        <v>18</v>
      </c>
      <c r="G100" s="2081">
        <v>18</v>
      </c>
      <c r="H100" s="2081">
        <v>20</v>
      </c>
      <c r="I100" s="2081">
        <v>20</v>
      </c>
      <c r="J100" s="2081">
        <v>20</v>
      </c>
      <c r="K100" s="2081">
        <v>20</v>
      </c>
      <c r="L100" s="2081">
        <v>22</v>
      </c>
      <c r="M100" s="2081">
        <v>22</v>
      </c>
      <c r="N100" s="2081">
        <v>22</v>
      </c>
      <c r="O100" s="2081">
        <v>22</v>
      </c>
      <c r="P100" s="2037"/>
      <c r="Q100" s="2082"/>
      <c r="R100" s="2010"/>
      <c r="S100" s="2010"/>
      <c r="T100" s="2012"/>
      <c r="U100" s="2012"/>
      <c r="V100" s="2012"/>
    </row>
    <row r="101" spans="1:22">
      <c r="B101" s="2037"/>
      <c r="C101" s="2045"/>
      <c r="D101" s="2046" t="s">
        <v>161</v>
      </c>
      <c r="E101" s="2083"/>
      <c r="F101" s="2048">
        <v>6</v>
      </c>
      <c r="G101" s="2048">
        <v>6</v>
      </c>
      <c r="H101" s="2048">
        <v>4</v>
      </c>
      <c r="I101" s="2048">
        <v>4</v>
      </c>
      <c r="J101" s="2048">
        <v>4</v>
      </c>
      <c r="K101" s="2048">
        <v>4</v>
      </c>
      <c r="L101" s="2048">
        <v>2</v>
      </c>
      <c r="M101" s="2048">
        <v>2</v>
      </c>
      <c r="N101" s="2048">
        <v>2</v>
      </c>
      <c r="O101" s="2048">
        <v>2</v>
      </c>
      <c r="P101" s="2037"/>
      <c r="Q101" s="2082"/>
      <c r="R101" s="2010"/>
      <c r="S101" s="2010"/>
      <c r="T101" s="2012"/>
      <c r="U101" s="2012"/>
      <c r="V101" s="2012"/>
    </row>
    <row r="102" spans="1:22">
      <c r="B102" s="2037"/>
      <c r="C102" s="2041"/>
      <c r="D102" s="2042"/>
      <c r="E102" s="2084"/>
      <c r="F102" s="2085"/>
      <c r="G102" s="2085"/>
      <c r="H102" s="2085"/>
      <c r="I102" s="2085"/>
      <c r="J102" s="2085"/>
      <c r="K102" s="2085"/>
      <c r="L102" s="2085"/>
      <c r="M102" s="2085"/>
      <c r="N102" s="2085"/>
      <c r="O102" s="2085"/>
      <c r="P102" s="2037"/>
      <c r="Q102" s="2010"/>
      <c r="R102" s="2010"/>
      <c r="S102" s="2010"/>
      <c r="T102" s="2012"/>
      <c r="U102" s="2012"/>
      <c r="V102" s="2012"/>
    </row>
    <row r="103" spans="1:22">
      <c r="A103" s="1948"/>
      <c r="B103" s="203"/>
      <c r="C103" s="2041"/>
      <c r="D103" s="2092"/>
      <c r="E103" s="2093"/>
      <c r="F103" s="2063"/>
      <c r="G103" s="2063"/>
      <c r="H103" s="2063"/>
      <c r="I103" s="2063"/>
      <c r="J103" s="2063"/>
      <c r="K103" s="2063"/>
      <c r="L103" s="2063"/>
      <c r="M103" s="2063"/>
      <c r="N103" s="2063"/>
      <c r="O103" s="2063"/>
      <c r="P103" s="203"/>
      <c r="Q103" s="1948"/>
      <c r="R103" s="1948"/>
      <c r="S103" s="1948"/>
    </row>
    <row r="104" spans="1:22">
      <c r="A104" s="2010"/>
      <c r="B104" s="2094"/>
      <c r="C104" s="2009"/>
      <c r="D104" s="2009"/>
      <c r="E104" s="2009"/>
      <c r="F104" s="2009"/>
      <c r="G104" s="2009"/>
      <c r="H104" s="2009"/>
      <c r="I104" s="2009"/>
      <c r="J104" s="2009"/>
      <c r="K104" s="2009"/>
      <c r="L104" s="2009"/>
      <c r="M104" s="2009"/>
      <c r="N104" s="2009"/>
      <c r="O104" s="2009"/>
      <c r="P104" s="2010"/>
      <c r="Q104" s="1948"/>
      <c r="R104" s="1948"/>
      <c r="S104" s="1948"/>
    </row>
    <row r="105" spans="1:22" s="2104" customFormat="1">
      <c r="A105" s="2097"/>
      <c r="B105" s="2098"/>
      <c r="C105" s="2097"/>
      <c r="D105" s="2099"/>
      <c r="E105" s="2097"/>
      <c r="F105" s="2100"/>
      <c r="G105" s="2100"/>
      <c r="H105" s="2101"/>
      <c r="I105" s="2101"/>
      <c r="J105" s="2101"/>
      <c r="K105" s="2101"/>
      <c r="L105" s="2101"/>
      <c r="M105" s="2101"/>
      <c r="N105" s="2101"/>
      <c r="O105" s="2102"/>
      <c r="P105" s="2097"/>
      <c r="Q105" s="2097"/>
      <c r="R105" s="2103"/>
      <c r="S105" s="2103"/>
    </row>
    <row r="106" spans="1:22">
      <c r="A106" s="2095"/>
      <c r="B106" s="2105"/>
      <c r="C106" s="2106"/>
      <c r="D106" s="2106"/>
      <c r="E106" s="2106"/>
      <c r="F106" s="2106"/>
      <c r="G106" s="2106"/>
      <c r="H106" s="2106"/>
      <c r="I106" s="2106"/>
      <c r="J106" s="2106"/>
      <c r="K106" s="2106"/>
      <c r="L106" s="2106"/>
      <c r="M106" s="2106"/>
      <c r="N106" s="2106"/>
      <c r="O106" s="2106"/>
      <c r="P106" s="2095"/>
      <c r="Q106" s="2107"/>
      <c r="R106" s="2096"/>
      <c r="S106" s="2096"/>
      <c r="T106" s="2095"/>
      <c r="U106" s="2095"/>
    </row>
    <row r="107" spans="1:22" ht="18">
      <c r="A107" s="2108"/>
      <c r="B107" s="2109" t="s">
        <v>241</v>
      </c>
      <c r="C107" s="2009"/>
      <c r="D107" s="2009"/>
      <c r="E107" s="2009"/>
      <c r="F107" s="2009"/>
      <c r="G107" s="2009"/>
      <c r="H107" s="2009"/>
      <c r="I107" s="2009"/>
      <c r="J107" s="2009"/>
      <c r="K107" s="2009"/>
      <c r="L107" s="2009"/>
      <c r="M107" s="2009"/>
      <c r="N107" s="2009"/>
      <c r="O107" s="2009"/>
      <c r="P107" s="2010"/>
      <c r="Q107" s="2107"/>
      <c r="R107" s="2096"/>
      <c r="S107" s="2096"/>
      <c r="T107" s="2095"/>
      <c r="U107" s="2095"/>
    </row>
    <row r="108" spans="1:22">
      <c r="A108" s="2110"/>
      <c r="B108" s="2110"/>
      <c r="C108" s="2111"/>
      <c r="D108" s="2111"/>
      <c r="E108" s="2111"/>
      <c r="F108" s="2111">
        <v>2007</v>
      </c>
      <c r="G108" s="2111">
        <f t="shared" ref="G108:O108" si="23">F108+5</f>
        <v>2012</v>
      </c>
      <c r="H108" s="2111">
        <f t="shared" si="23"/>
        <v>2017</v>
      </c>
      <c r="I108" s="2111">
        <f t="shared" si="23"/>
        <v>2022</v>
      </c>
      <c r="J108" s="2111">
        <f t="shared" si="23"/>
        <v>2027</v>
      </c>
      <c r="K108" s="2111">
        <f t="shared" si="23"/>
        <v>2032</v>
      </c>
      <c r="L108" s="2111">
        <f t="shared" si="23"/>
        <v>2037</v>
      </c>
      <c r="M108" s="2111">
        <f t="shared" si="23"/>
        <v>2042</v>
      </c>
      <c r="N108" s="2111">
        <f t="shared" si="23"/>
        <v>2047</v>
      </c>
      <c r="O108" s="2111">
        <f t="shared" si="23"/>
        <v>2052</v>
      </c>
      <c r="P108" s="2110"/>
      <c r="Q108" s="2095"/>
      <c r="R108" s="2096"/>
      <c r="S108" s="2096"/>
      <c r="T108" s="2095"/>
      <c r="U108" s="2095"/>
    </row>
    <row r="109" spans="1:22">
      <c r="A109" s="2112"/>
      <c r="B109" s="2113" t="s">
        <v>1704</v>
      </c>
      <c r="Q109" s="2095"/>
      <c r="R109" s="2096"/>
      <c r="S109" s="2096"/>
      <c r="T109" s="2095"/>
      <c r="U109" s="2095"/>
    </row>
    <row r="110" spans="1:22">
      <c r="Q110" s="2095"/>
      <c r="R110" s="2096"/>
      <c r="S110" s="2096"/>
      <c r="T110" s="2095"/>
      <c r="U110" s="2095"/>
    </row>
    <row r="111" spans="1:22">
      <c r="B111" s="2114" t="s">
        <v>1705</v>
      </c>
      <c r="Q111" s="2095"/>
      <c r="R111" s="2096"/>
      <c r="S111" s="2096"/>
      <c r="T111" s="2095"/>
      <c r="U111" s="2095"/>
    </row>
    <row r="112" spans="1:22">
      <c r="D112" s="2115" t="s">
        <v>1706</v>
      </c>
      <c r="F112" s="2116">
        <f t="shared" ref="F112:O112" si="24">F75</f>
        <v>72000</v>
      </c>
      <c r="G112" s="2116">
        <f t="shared" si="24"/>
        <v>428674.8</v>
      </c>
      <c r="H112" s="2116">
        <f t="shared" si="24"/>
        <v>568272.04509467992</v>
      </c>
      <c r="I112" s="2116">
        <f t="shared" si="24"/>
        <v>753328.90395257634</v>
      </c>
      <c r="J112" s="2116">
        <f t="shared" si="24"/>
        <v>998649.22518903424</v>
      </c>
      <c r="K112" s="2116">
        <f t="shared" si="24"/>
        <v>1279194.6991950525</v>
      </c>
      <c r="L112" s="2116">
        <f t="shared" si="24"/>
        <v>1556335.9435103561</v>
      </c>
      <c r="M112" s="2116">
        <f t="shared" si="24"/>
        <v>1893520.6427813177</v>
      </c>
      <c r="N112" s="2116">
        <f t="shared" si="24"/>
        <v>2303757.3857942047</v>
      </c>
      <c r="O112" s="2116">
        <f t="shared" si="24"/>
        <v>2914988.0342460345</v>
      </c>
      <c r="Q112" s="2095"/>
      <c r="R112" s="2096"/>
      <c r="S112" s="2096"/>
      <c r="T112" s="2095"/>
      <c r="U112" s="2095"/>
    </row>
    <row r="113" spans="1:21">
      <c r="C113" s="2117" t="s">
        <v>1117</v>
      </c>
      <c r="D113" s="2115" t="s">
        <v>1707</v>
      </c>
      <c r="F113" s="2118">
        <f t="shared" ref="F113:O113" si="25">100%-F20</f>
        <v>1</v>
      </c>
      <c r="G113" s="2118">
        <f t="shared" si="25"/>
        <v>1</v>
      </c>
      <c r="H113" s="2118">
        <f t="shared" si="25"/>
        <v>0.98</v>
      </c>
      <c r="I113" s="2118">
        <f t="shared" si="25"/>
        <v>0.98</v>
      </c>
      <c r="J113" s="2118">
        <f t="shared" si="25"/>
        <v>0.95</v>
      </c>
      <c r="K113" s="2118">
        <f t="shared" si="25"/>
        <v>0.95</v>
      </c>
      <c r="L113" s="2118">
        <f t="shared" si="25"/>
        <v>0.9</v>
      </c>
      <c r="M113" s="2118">
        <f t="shared" si="25"/>
        <v>0.9</v>
      </c>
      <c r="N113" s="2118">
        <f t="shared" si="25"/>
        <v>0.85</v>
      </c>
      <c r="O113" s="2118">
        <f t="shared" si="25"/>
        <v>0.85</v>
      </c>
      <c r="Q113" s="2095"/>
      <c r="R113" s="2096"/>
      <c r="S113" s="2096"/>
      <c r="T113" s="2095"/>
      <c r="U113" s="2095"/>
    </row>
    <row r="114" spans="1:21">
      <c r="C114" s="2120" t="s">
        <v>1117</v>
      </c>
      <c r="D114" s="2012" t="s">
        <v>1709</v>
      </c>
      <c r="E114" s="2115" t="s">
        <v>1710</v>
      </c>
      <c r="F114" s="2121">
        <f t="shared" ref="F114:O114" si="26">F95*365</f>
        <v>5110</v>
      </c>
      <c r="G114" s="2121">
        <f t="shared" si="26"/>
        <v>5110</v>
      </c>
      <c r="H114" s="2121">
        <f t="shared" si="26"/>
        <v>5110</v>
      </c>
      <c r="I114" s="2121">
        <f t="shared" si="26"/>
        <v>4380</v>
      </c>
      <c r="J114" s="2121">
        <f t="shared" si="26"/>
        <v>4380</v>
      </c>
      <c r="K114" s="2121">
        <f t="shared" si="26"/>
        <v>3650</v>
      </c>
      <c r="L114" s="2121">
        <f t="shared" si="26"/>
        <v>3650</v>
      </c>
      <c r="M114" s="2121">
        <f t="shared" si="26"/>
        <v>2920</v>
      </c>
      <c r="N114" s="2121">
        <f t="shared" si="26"/>
        <v>2920</v>
      </c>
      <c r="O114" s="2121">
        <f t="shared" si="26"/>
        <v>2920</v>
      </c>
      <c r="Q114" s="2095"/>
      <c r="R114" s="2122"/>
      <c r="S114" s="2095"/>
      <c r="T114" s="2095"/>
      <c r="U114" s="2095"/>
    </row>
    <row r="115" spans="1:21">
      <c r="C115" s="2117" t="s">
        <v>1117</v>
      </c>
      <c r="D115" s="2115" t="s">
        <v>1549</v>
      </c>
      <c r="E115" s="2115" t="str">
        <f>preferences.energyunits</f>
        <v>TWh</v>
      </c>
      <c r="F115" s="2123">
        <f>$G$47</f>
        <v>2.0865000000000002E-8</v>
      </c>
      <c r="G115" s="2123">
        <f t="shared" ref="G115:O115" si="27">$G$47</f>
        <v>2.0865000000000002E-8</v>
      </c>
      <c r="H115" s="2123">
        <f t="shared" si="27"/>
        <v>2.0865000000000002E-8</v>
      </c>
      <c r="I115" s="2123">
        <f t="shared" si="27"/>
        <v>2.0865000000000002E-8</v>
      </c>
      <c r="J115" s="2123">
        <f t="shared" si="27"/>
        <v>2.0865000000000002E-8</v>
      </c>
      <c r="K115" s="2123">
        <f t="shared" si="27"/>
        <v>2.0865000000000002E-8</v>
      </c>
      <c r="L115" s="2123">
        <f t="shared" si="27"/>
        <v>2.0865000000000002E-8</v>
      </c>
      <c r="M115" s="2123">
        <f t="shared" si="27"/>
        <v>2.0865000000000002E-8</v>
      </c>
      <c r="N115" s="2123">
        <f t="shared" si="27"/>
        <v>2.0865000000000002E-8</v>
      </c>
      <c r="O115" s="2123">
        <f t="shared" si="27"/>
        <v>2.0865000000000002E-8</v>
      </c>
      <c r="Q115" s="2095"/>
      <c r="R115" s="2122"/>
      <c r="S115" s="2095"/>
      <c r="T115" s="2095"/>
      <c r="U115" s="2095"/>
    </row>
    <row r="116" spans="1:21">
      <c r="C116" s="2117" t="s">
        <v>276</v>
      </c>
      <c r="D116" s="2115" t="s">
        <v>1551</v>
      </c>
      <c r="E116" s="2115" t="str">
        <f>preferences.energyunits</f>
        <v>TWh</v>
      </c>
      <c r="F116" s="2123">
        <f t="shared" ref="F116:O116" si="28">F112*F113*F114*F115</f>
        <v>7.6766508000000009</v>
      </c>
      <c r="G116" s="2123">
        <f t="shared" si="28"/>
        <v>45.705371477220005</v>
      </c>
      <c r="H116" s="2123">
        <f t="shared" si="28"/>
        <v>59.377465675025512</v>
      </c>
      <c r="I116" s="2123">
        <f t="shared" si="28"/>
        <v>67.468834220557795</v>
      </c>
      <c r="J116" s="2123">
        <f t="shared" si="28"/>
        <v>86.701991723731439</v>
      </c>
      <c r="K116" s="2123">
        <f t="shared" si="28"/>
        <v>92.548952980008792</v>
      </c>
      <c r="L116" s="2123">
        <f t="shared" si="28"/>
        <v>106.67363898051369</v>
      </c>
      <c r="M116" s="2123">
        <f t="shared" si="28"/>
        <v>103.8278339801694</v>
      </c>
      <c r="N116" s="2123">
        <f t="shared" si="28"/>
        <v>119.30452247510748</v>
      </c>
      <c r="O116" s="2123">
        <f t="shared" si="28"/>
        <v>150.95828128033699</v>
      </c>
      <c r="Q116" s="2095"/>
      <c r="R116" s="2122"/>
      <c r="S116" s="2095"/>
      <c r="T116" s="2095"/>
      <c r="U116" s="2095"/>
    </row>
    <row r="117" spans="1:21">
      <c r="C117" s="2120"/>
      <c r="D117" s="2115"/>
      <c r="E117" s="2115"/>
      <c r="F117" s="2124"/>
      <c r="G117" s="2124"/>
      <c r="H117" s="2124"/>
      <c r="I117" s="2124"/>
      <c r="J117" s="2124"/>
      <c r="K117" s="2124"/>
      <c r="L117" s="2124"/>
      <c r="M117" s="2124"/>
      <c r="N117" s="2124"/>
      <c r="O117" s="2124"/>
      <c r="Q117" s="2095"/>
      <c r="R117" s="2122"/>
      <c r="S117" s="2095"/>
      <c r="T117" s="2095"/>
      <c r="U117" s="2095"/>
    </row>
    <row r="118" spans="1:21">
      <c r="R118" s="2125"/>
      <c r="S118" s="2095"/>
      <c r="T118" s="2126"/>
      <c r="U118" s="2126"/>
    </row>
    <row r="119" spans="1:21">
      <c r="B119" s="2114" t="s">
        <v>1711</v>
      </c>
      <c r="R119" s="2125"/>
      <c r="S119" s="2095"/>
      <c r="T119" s="2126"/>
      <c r="U119" s="2126"/>
    </row>
    <row r="120" spans="1:21">
      <c r="D120" s="2012" t="s">
        <v>1712</v>
      </c>
      <c r="F120" s="2116">
        <f t="shared" ref="F120:O120" si="29">F112</f>
        <v>72000</v>
      </c>
      <c r="G120" s="2116">
        <f t="shared" si="29"/>
        <v>428674.8</v>
      </c>
      <c r="H120" s="2116">
        <f t="shared" si="29"/>
        <v>568272.04509467992</v>
      </c>
      <c r="I120" s="2116">
        <f t="shared" si="29"/>
        <v>753328.90395257634</v>
      </c>
      <c r="J120" s="2116">
        <f t="shared" si="29"/>
        <v>998649.22518903424</v>
      </c>
      <c r="K120" s="2116">
        <f t="shared" si="29"/>
        <v>1279194.6991950525</v>
      </c>
      <c r="L120" s="2116">
        <f t="shared" si="29"/>
        <v>1556335.9435103561</v>
      </c>
      <c r="M120" s="2116">
        <f t="shared" si="29"/>
        <v>1893520.6427813177</v>
      </c>
      <c r="N120" s="2116">
        <f t="shared" si="29"/>
        <v>2303757.3857942047</v>
      </c>
      <c r="O120" s="2116">
        <f t="shared" si="29"/>
        <v>2914988.0342460345</v>
      </c>
      <c r="R120" s="2127"/>
      <c r="S120" s="2095"/>
      <c r="T120" s="2126"/>
      <c r="U120" s="2126"/>
    </row>
    <row r="121" spans="1:21">
      <c r="C121" s="2120" t="s">
        <v>1117</v>
      </c>
      <c r="D121" s="2012" t="s">
        <v>1708</v>
      </c>
      <c r="E121" s="2115" t="str">
        <f>Preferences.PowerUnits</f>
        <v>GW</v>
      </c>
      <c r="F121" s="2116">
        <f>F88</f>
        <v>3.0000000000000001E-6</v>
      </c>
      <c r="G121" s="2116">
        <f t="shared" ref="G121:O121" si="30">G88</f>
        <v>3.0000000000000001E-6</v>
      </c>
      <c r="H121" s="2116">
        <f t="shared" si="30"/>
        <v>3.0000000000000001E-6</v>
      </c>
      <c r="I121" s="2116">
        <f t="shared" si="30"/>
        <v>3.0000000000000001E-6</v>
      </c>
      <c r="J121" s="2116">
        <f t="shared" si="30"/>
        <v>3.0000000000000001E-6</v>
      </c>
      <c r="K121" s="2116">
        <f t="shared" si="30"/>
        <v>3.0000000000000001E-6</v>
      </c>
      <c r="L121" s="2116">
        <f t="shared" si="30"/>
        <v>3.0000000000000001E-6</v>
      </c>
      <c r="M121" s="2116">
        <f t="shared" si="30"/>
        <v>3.0000000000000001E-6</v>
      </c>
      <c r="N121" s="2116">
        <f t="shared" si="30"/>
        <v>3.0000000000000001E-6</v>
      </c>
      <c r="O121" s="2116">
        <f t="shared" si="30"/>
        <v>3.0000000000000001E-6</v>
      </c>
      <c r="R121" s="2128"/>
      <c r="S121" s="2095"/>
      <c r="T121" s="2126"/>
      <c r="U121" s="2126"/>
    </row>
    <row r="122" spans="1:21">
      <c r="C122" s="2120" t="s">
        <v>1117</v>
      </c>
      <c r="D122" s="2012" t="s">
        <v>1713</v>
      </c>
      <c r="E122" s="2115" t="s">
        <v>1710</v>
      </c>
      <c r="F122" s="2129">
        <f t="shared" ref="F122:O122" si="31">F94*365</f>
        <v>3650</v>
      </c>
      <c r="G122" s="2129">
        <f t="shared" si="31"/>
        <v>3650</v>
      </c>
      <c r="H122" s="2129">
        <f t="shared" si="31"/>
        <v>3650</v>
      </c>
      <c r="I122" s="2129">
        <f t="shared" si="31"/>
        <v>4380</v>
      </c>
      <c r="J122" s="2129">
        <f t="shared" si="31"/>
        <v>4380</v>
      </c>
      <c r="K122" s="2129">
        <f t="shared" si="31"/>
        <v>5110</v>
      </c>
      <c r="L122" s="2129">
        <f t="shared" si="31"/>
        <v>5110</v>
      </c>
      <c r="M122" s="2129">
        <f t="shared" si="31"/>
        <v>5840</v>
      </c>
      <c r="N122" s="2129">
        <f t="shared" si="31"/>
        <v>5840</v>
      </c>
      <c r="O122" s="2129">
        <f t="shared" si="31"/>
        <v>5840</v>
      </c>
      <c r="R122" s="2130"/>
      <c r="S122" s="2095"/>
      <c r="T122" s="2095"/>
      <c r="U122" s="2095"/>
    </row>
    <row r="123" spans="1:21">
      <c r="C123" s="2120" t="s">
        <v>276</v>
      </c>
      <c r="D123" s="2012" t="s">
        <v>1714</v>
      </c>
      <c r="E123" s="2115" t="str">
        <f>preferences.energyunits</f>
        <v>TWh</v>
      </c>
      <c r="F123" s="2124">
        <f t="shared" ref="F123:O123" si="32">F120*F121*(F122/8760)*Preferences.Unit.Power*Unit.year/Preferences.Unit.Energy</f>
        <v>0.78893999999999997</v>
      </c>
      <c r="G123" s="2121">
        <f t="shared" si="32"/>
        <v>4.6972041210000004</v>
      </c>
      <c r="H123" s="2121">
        <f t="shared" si="32"/>
        <v>6.2268409341249562</v>
      </c>
      <c r="I123" s="2121">
        <f t="shared" si="32"/>
        <v>9.9055217580724264</v>
      </c>
      <c r="J123" s="2121">
        <f t="shared" si="32"/>
        <v>13.131238662010611</v>
      </c>
      <c r="K123" s="2121">
        <f t="shared" si="32"/>
        <v>19.623486283001704</v>
      </c>
      <c r="L123" s="2121">
        <f t="shared" si="32"/>
        <v>23.874971541420621</v>
      </c>
      <c r="M123" s="2121">
        <f t="shared" si="32"/>
        <v>33.19720390924207</v>
      </c>
      <c r="N123" s="2121">
        <f t="shared" si="32"/>
        <v>40.389474487743996</v>
      </c>
      <c r="O123" s="2121">
        <f t="shared" si="32"/>
        <v>51.105570216401475</v>
      </c>
      <c r="R123" s="2122"/>
      <c r="S123" s="2095"/>
      <c r="T123" s="2095"/>
      <c r="U123" s="2095"/>
    </row>
    <row r="124" spans="1:21">
      <c r="R124" s="2125"/>
      <c r="S124" s="2095"/>
      <c r="T124" s="2095"/>
      <c r="U124" s="2095"/>
    </row>
    <row r="125" spans="1:21">
      <c r="R125" s="2125"/>
      <c r="S125" s="2095"/>
      <c r="T125" s="2131"/>
      <c r="U125" s="2131"/>
    </row>
    <row r="126" spans="1:21">
      <c r="A126" s="2114"/>
      <c r="B126" s="2114" t="s">
        <v>1715</v>
      </c>
      <c r="C126" s="2132"/>
      <c r="D126" s="2132"/>
      <c r="E126" s="2132"/>
      <c r="F126" s="2132"/>
      <c r="G126" s="2132"/>
      <c r="H126" s="2132"/>
      <c r="I126" s="2132"/>
      <c r="J126" s="2132"/>
      <c r="K126" s="2132"/>
      <c r="L126" s="2132"/>
      <c r="M126" s="2132"/>
      <c r="N126" s="2132"/>
      <c r="O126" s="2132"/>
      <c r="P126" s="2114"/>
      <c r="R126" s="2125"/>
      <c r="S126" s="2095"/>
      <c r="T126" s="2095"/>
      <c r="U126" s="2095"/>
    </row>
    <row r="127" spans="1:21">
      <c r="D127" s="2115" t="s">
        <v>1706</v>
      </c>
      <c r="F127" s="2116">
        <f t="shared" ref="F127:O127" si="33">F112</f>
        <v>72000</v>
      </c>
      <c r="G127" s="2116">
        <f t="shared" si="33"/>
        <v>428674.8</v>
      </c>
      <c r="H127" s="2116">
        <f t="shared" si="33"/>
        <v>568272.04509467992</v>
      </c>
      <c r="I127" s="2116">
        <f t="shared" si="33"/>
        <v>753328.90395257634</v>
      </c>
      <c r="J127" s="2116">
        <f t="shared" si="33"/>
        <v>998649.22518903424</v>
      </c>
      <c r="K127" s="2116">
        <f t="shared" si="33"/>
        <v>1279194.6991950525</v>
      </c>
      <c r="L127" s="2116">
        <f t="shared" si="33"/>
        <v>1556335.9435103561</v>
      </c>
      <c r="M127" s="2116">
        <f t="shared" si="33"/>
        <v>1893520.6427813177</v>
      </c>
      <c r="N127" s="2116">
        <f t="shared" si="33"/>
        <v>2303757.3857942047</v>
      </c>
      <c r="O127" s="2116">
        <f t="shared" si="33"/>
        <v>2914988.0342460345</v>
      </c>
      <c r="Q127" s="2095"/>
      <c r="R127" s="2096"/>
      <c r="S127" s="2096"/>
      <c r="T127" s="2095"/>
      <c r="U127" s="2095"/>
    </row>
    <row r="128" spans="1:21">
      <c r="C128" s="2117" t="s">
        <v>1117</v>
      </c>
      <c r="D128" s="2115" t="s">
        <v>1716</v>
      </c>
      <c r="F128" s="2118">
        <f t="shared" ref="F128:O128" si="34">F20</f>
        <v>0</v>
      </c>
      <c r="G128" s="2118">
        <f t="shared" si="34"/>
        <v>0</v>
      </c>
      <c r="H128" s="2118">
        <f t="shared" si="34"/>
        <v>0.02</v>
      </c>
      <c r="I128" s="2118">
        <f t="shared" si="34"/>
        <v>0.02</v>
      </c>
      <c r="J128" s="2118">
        <f t="shared" si="34"/>
        <v>0.05</v>
      </c>
      <c r="K128" s="2118">
        <f t="shared" si="34"/>
        <v>0.05</v>
      </c>
      <c r="L128" s="2118">
        <f t="shared" si="34"/>
        <v>0.1</v>
      </c>
      <c r="M128" s="2118">
        <f t="shared" si="34"/>
        <v>0.1</v>
      </c>
      <c r="N128" s="2118">
        <f t="shared" si="34"/>
        <v>0.15</v>
      </c>
      <c r="O128" s="2118">
        <f t="shared" si="34"/>
        <v>0.15</v>
      </c>
      <c r="Q128" s="2095"/>
      <c r="R128" s="2096"/>
      <c r="S128" s="2096"/>
      <c r="T128" s="2095"/>
      <c r="U128" s="2095"/>
    </row>
    <row r="129" spans="1:22">
      <c r="C129" s="2119" t="s">
        <v>1117</v>
      </c>
      <c r="D129" s="2115" t="s">
        <v>1708</v>
      </c>
      <c r="E129" s="2115" t="str">
        <f>Preferences.PowerUnits</f>
        <v>GW</v>
      </c>
      <c r="F129" s="2116">
        <f>F88</f>
        <v>3.0000000000000001E-6</v>
      </c>
      <c r="G129" s="2116">
        <f t="shared" ref="G129:O129" si="35">G88</f>
        <v>3.0000000000000001E-6</v>
      </c>
      <c r="H129" s="2116">
        <f t="shared" si="35"/>
        <v>3.0000000000000001E-6</v>
      </c>
      <c r="I129" s="2116">
        <f t="shared" si="35"/>
        <v>3.0000000000000001E-6</v>
      </c>
      <c r="J129" s="2116">
        <f t="shared" si="35"/>
        <v>3.0000000000000001E-6</v>
      </c>
      <c r="K129" s="2116">
        <f t="shared" si="35"/>
        <v>3.0000000000000001E-6</v>
      </c>
      <c r="L129" s="2116">
        <f t="shared" si="35"/>
        <v>3.0000000000000001E-6</v>
      </c>
      <c r="M129" s="2116">
        <f t="shared" si="35"/>
        <v>3.0000000000000001E-6</v>
      </c>
      <c r="N129" s="2116">
        <f t="shared" si="35"/>
        <v>3.0000000000000001E-6</v>
      </c>
      <c r="O129" s="2116">
        <f t="shared" si="35"/>
        <v>3.0000000000000001E-6</v>
      </c>
      <c r="Q129" s="2095"/>
      <c r="R129" s="2095"/>
      <c r="S129" s="2095"/>
      <c r="T129" s="2095"/>
      <c r="U129" s="2095"/>
    </row>
    <row r="130" spans="1:22">
      <c r="C130" s="2117" t="s">
        <v>1117</v>
      </c>
      <c r="D130" s="2115" t="s">
        <v>1717</v>
      </c>
      <c r="F130" s="2116">
        <f>F114</f>
        <v>5110</v>
      </c>
      <c r="G130" s="2116">
        <f t="shared" ref="G130:O130" si="36">G114</f>
        <v>5110</v>
      </c>
      <c r="H130" s="2116">
        <f t="shared" si="36"/>
        <v>5110</v>
      </c>
      <c r="I130" s="2116">
        <f t="shared" si="36"/>
        <v>4380</v>
      </c>
      <c r="J130" s="2116">
        <f t="shared" si="36"/>
        <v>4380</v>
      </c>
      <c r="K130" s="2116">
        <f t="shared" si="36"/>
        <v>3650</v>
      </c>
      <c r="L130" s="2116">
        <f t="shared" si="36"/>
        <v>3650</v>
      </c>
      <c r="M130" s="2116">
        <f t="shared" si="36"/>
        <v>2920</v>
      </c>
      <c r="N130" s="2116">
        <f t="shared" si="36"/>
        <v>2920</v>
      </c>
      <c r="O130" s="2116">
        <f t="shared" si="36"/>
        <v>2920</v>
      </c>
      <c r="R130" s="2125"/>
      <c r="S130" s="2095"/>
      <c r="T130" s="2095"/>
      <c r="U130" s="2095"/>
    </row>
    <row r="131" spans="1:22">
      <c r="C131" s="2117" t="s">
        <v>276</v>
      </c>
      <c r="D131" s="2115" t="s">
        <v>1718</v>
      </c>
      <c r="E131" s="2115" t="str">
        <f>preferences.energyunits</f>
        <v>TWh</v>
      </c>
      <c r="F131" s="2121">
        <f t="shared" ref="F131:O131" si="37">F128*F127*F129*(F130/8760)*Preferences.Unit.Power*Unit.year/Preferences.Unit.Energy</f>
        <v>0</v>
      </c>
      <c r="G131" s="2121">
        <f t="shared" si="37"/>
        <v>0</v>
      </c>
      <c r="H131" s="2124">
        <f t="shared" si="37"/>
        <v>0.17435154615549878</v>
      </c>
      <c r="I131" s="2121">
        <f t="shared" si="37"/>
        <v>0.19811043516144858</v>
      </c>
      <c r="J131" s="2121">
        <f t="shared" si="37"/>
        <v>0.65656193310053079</v>
      </c>
      <c r="K131" s="2121">
        <f t="shared" si="37"/>
        <v>0.70083879582148956</v>
      </c>
      <c r="L131" s="2121">
        <f t="shared" si="37"/>
        <v>1.705355110101473</v>
      </c>
      <c r="M131" s="2121">
        <f t="shared" si="37"/>
        <v>1.6598601954621033</v>
      </c>
      <c r="N131" s="2121">
        <f t="shared" si="37"/>
        <v>3.0292105865807994</v>
      </c>
      <c r="O131" s="2121">
        <f t="shared" si="37"/>
        <v>3.8329177662301106</v>
      </c>
      <c r="R131" s="2125"/>
      <c r="S131" s="2095"/>
      <c r="T131" s="2107"/>
      <c r="U131" s="2107"/>
    </row>
    <row r="132" spans="1:22">
      <c r="R132" s="2125"/>
      <c r="S132" s="2095"/>
      <c r="T132" s="2107"/>
      <c r="U132" s="2107"/>
    </row>
    <row r="133" spans="1:22">
      <c r="B133" s="2110"/>
      <c r="C133" s="2111"/>
      <c r="D133" s="2111"/>
      <c r="E133" s="2111"/>
      <c r="R133" s="2125"/>
      <c r="S133" s="2095"/>
      <c r="T133" s="2133"/>
      <c r="U133" s="2133"/>
    </row>
    <row r="134" spans="1:22">
      <c r="B134" s="2113" t="s">
        <v>1719</v>
      </c>
      <c r="F134" s="2111">
        <v>2007</v>
      </c>
      <c r="G134" s="2111">
        <f t="shared" ref="G134:O134" si="38">F134+5</f>
        <v>2012</v>
      </c>
      <c r="H134" s="2111">
        <f t="shared" si="38"/>
        <v>2017</v>
      </c>
      <c r="I134" s="2111">
        <f t="shared" si="38"/>
        <v>2022</v>
      </c>
      <c r="J134" s="2111">
        <f t="shared" si="38"/>
        <v>2027</v>
      </c>
      <c r="K134" s="2111">
        <f t="shared" si="38"/>
        <v>2032</v>
      </c>
      <c r="L134" s="2111">
        <f t="shared" si="38"/>
        <v>2037</v>
      </c>
      <c r="M134" s="2111">
        <f t="shared" si="38"/>
        <v>2042</v>
      </c>
      <c r="N134" s="2111">
        <f t="shared" si="38"/>
        <v>2047</v>
      </c>
      <c r="O134" s="2111">
        <f t="shared" si="38"/>
        <v>2052</v>
      </c>
      <c r="R134" s="2125"/>
      <c r="S134" s="2095"/>
      <c r="T134" s="2107"/>
      <c r="U134" s="2107"/>
    </row>
    <row r="135" spans="1:22" s="2132" customFormat="1">
      <c r="A135" s="2011"/>
      <c r="B135" s="2011"/>
      <c r="C135" s="2012"/>
      <c r="D135" s="2012"/>
      <c r="E135" s="2012"/>
      <c r="F135" s="2012"/>
      <c r="G135" s="2012"/>
      <c r="H135" s="2012"/>
      <c r="I135" s="2012"/>
      <c r="J135" s="2012"/>
      <c r="K135" s="2012"/>
      <c r="L135" s="2012"/>
      <c r="M135" s="2012"/>
      <c r="N135" s="2012"/>
      <c r="O135" s="2012"/>
      <c r="P135" s="2011"/>
      <c r="Q135" s="2114"/>
      <c r="R135" s="2134"/>
      <c r="S135" s="2135"/>
      <c r="T135" s="2136"/>
      <c r="U135" s="2136"/>
      <c r="V135" s="2114"/>
    </row>
    <row r="136" spans="1:22">
      <c r="B136" s="2114" t="s">
        <v>1705</v>
      </c>
      <c r="Q136" s="2095"/>
      <c r="R136" s="2096"/>
      <c r="S136" s="2096"/>
      <c r="T136" s="2095"/>
      <c r="U136" s="2095"/>
    </row>
    <row r="137" spans="1:22">
      <c r="D137" s="2115" t="s">
        <v>1706</v>
      </c>
      <c r="F137" s="2116">
        <f t="shared" ref="F137:O137" si="39">F76</f>
        <v>48000</v>
      </c>
      <c r="G137" s="2116">
        <f t="shared" si="39"/>
        <v>285783.2</v>
      </c>
      <c r="H137" s="2116">
        <f t="shared" si="39"/>
        <v>378848.03006311995</v>
      </c>
      <c r="I137" s="2116">
        <f t="shared" si="39"/>
        <v>502219.26930171758</v>
      </c>
      <c r="J137" s="2116">
        <f t="shared" si="39"/>
        <v>665766.15012602287</v>
      </c>
      <c r="K137" s="2116">
        <f t="shared" si="39"/>
        <v>852796.466130035</v>
      </c>
      <c r="L137" s="2116">
        <f t="shared" si="39"/>
        <v>1037557.2956735708</v>
      </c>
      <c r="M137" s="2116">
        <f t="shared" si="39"/>
        <v>1262347.0951875453</v>
      </c>
      <c r="N137" s="2116">
        <f t="shared" si="39"/>
        <v>1535838.2571961368</v>
      </c>
      <c r="O137" s="2116">
        <f t="shared" si="39"/>
        <v>1943325.356164023</v>
      </c>
      <c r="Q137" s="2095"/>
      <c r="R137" s="2096"/>
      <c r="S137" s="2096"/>
      <c r="T137" s="2095"/>
      <c r="U137" s="2095"/>
    </row>
    <row r="138" spans="1:22">
      <c r="C138" s="2117" t="s">
        <v>1117</v>
      </c>
      <c r="D138" s="2115" t="s">
        <v>1707</v>
      </c>
      <c r="F138" s="2118">
        <f t="shared" ref="F138:O138" si="40">100%-F29</f>
        <v>1</v>
      </c>
      <c r="G138" s="2118">
        <f t="shared" si="40"/>
        <v>1</v>
      </c>
      <c r="H138" s="2118">
        <f t="shared" si="40"/>
        <v>0.99</v>
      </c>
      <c r="I138" s="2118">
        <f t="shared" si="40"/>
        <v>0.99</v>
      </c>
      <c r="J138" s="2118">
        <f t="shared" si="40"/>
        <v>0.97</v>
      </c>
      <c r="K138" s="2118">
        <f t="shared" si="40"/>
        <v>0.97</v>
      </c>
      <c r="L138" s="2118">
        <f t="shared" si="40"/>
        <v>0.95</v>
      </c>
      <c r="M138" s="2118">
        <f t="shared" si="40"/>
        <v>0.95</v>
      </c>
      <c r="N138" s="2118">
        <f t="shared" si="40"/>
        <v>0.9</v>
      </c>
      <c r="O138" s="2118">
        <f t="shared" si="40"/>
        <v>0.9</v>
      </c>
      <c r="Q138" s="2095"/>
      <c r="R138" s="2096"/>
      <c r="S138" s="2096"/>
      <c r="T138" s="2095"/>
      <c r="U138" s="2095"/>
    </row>
    <row r="139" spans="1:22">
      <c r="C139" s="2120" t="s">
        <v>1117</v>
      </c>
      <c r="D139" s="2012" t="s">
        <v>1709</v>
      </c>
      <c r="E139" s="2115" t="s">
        <v>1710</v>
      </c>
      <c r="F139" s="2137">
        <f t="shared" ref="F139:O139" si="41">F101*365</f>
        <v>2190</v>
      </c>
      <c r="G139" s="2137">
        <f t="shared" si="41"/>
        <v>2190</v>
      </c>
      <c r="H139" s="2137">
        <f t="shared" si="41"/>
        <v>1460</v>
      </c>
      <c r="I139" s="2137">
        <f t="shared" si="41"/>
        <v>1460</v>
      </c>
      <c r="J139" s="2137">
        <f t="shared" si="41"/>
        <v>1460</v>
      </c>
      <c r="K139" s="2137">
        <f t="shared" si="41"/>
        <v>1460</v>
      </c>
      <c r="L139" s="2137">
        <f t="shared" si="41"/>
        <v>730</v>
      </c>
      <c r="M139" s="2137">
        <f t="shared" si="41"/>
        <v>730</v>
      </c>
      <c r="N139" s="2137">
        <f t="shared" si="41"/>
        <v>730</v>
      </c>
      <c r="O139" s="2137">
        <f t="shared" si="41"/>
        <v>730</v>
      </c>
      <c r="Q139" s="2095"/>
      <c r="R139" s="2122"/>
      <c r="S139" s="2095"/>
      <c r="T139" s="2095"/>
      <c r="U139" s="2095"/>
    </row>
    <row r="140" spans="1:22">
      <c r="C140" s="2117" t="s">
        <v>1117</v>
      </c>
      <c r="D140" s="2115" t="s">
        <v>1549</v>
      </c>
      <c r="E140" s="2115" t="str">
        <f>preferences.energyunits</f>
        <v>TWh</v>
      </c>
      <c r="F140" s="2123">
        <f>$F$47</f>
        <v>3.6562500000000001E-8</v>
      </c>
      <c r="G140" s="2123">
        <f t="shared" ref="G140:O140" si="42">$F$47</f>
        <v>3.6562500000000001E-8</v>
      </c>
      <c r="H140" s="2123">
        <f t="shared" si="42"/>
        <v>3.6562500000000001E-8</v>
      </c>
      <c r="I140" s="2123">
        <f t="shared" si="42"/>
        <v>3.6562500000000001E-8</v>
      </c>
      <c r="J140" s="2123">
        <f t="shared" si="42"/>
        <v>3.6562500000000001E-8</v>
      </c>
      <c r="K140" s="2123">
        <f t="shared" si="42"/>
        <v>3.6562500000000001E-8</v>
      </c>
      <c r="L140" s="2123">
        <f t="shared" si="42"/>
        <v>3.6562500000000001E-8</v>
      </c>
      <c r="M140" s="2123">
        <f t="shared" si="42"/>
        <v>3.6562500000000001E-8</v>
      </c>
      <c r="N140" s="2123">
        <f t="shared" si="42"/>
        <v>3.6562500000000001E-8</v>
      </c>
      <c r="O140" s="2123">
        <f t="shared" si="42"/>
        <v>3.6562500000000001E-8</v>
      </c>
      <c r="Q140" s="2095"/>
      <c r="R140" s="2122"/>
      <c r="S140" s="2095"/>
      <c r="T140" s="2095"/>
      <c r="U140" s="2095"/>
    </row>
    <row r="141" spans="1:22">
      <c r="C141" s="2117" t="s">
        <v>276</v>
      </c>
      <c r="D141" s="2115" t="s">
        <v>1551</v>
      </c>
      <c r="E141" s="2115" t="str">
        <f>preferences.energyunits</f>
        <v>TWh</v>
      </c>
      <c r="F141" s="2121">
        <f t="shared" ref="F141:O141" si="43">F140*F139*F138*F137</f>
        <v>3.8434499999999998</v>
      </c>
      <c r="G141" s="2121">
        <f t="shared" si="43"/>
        <v>22.883196667500002</v>
      </c>
      <c r="H141" s="2121">
        <f t="shared" si="43"/>
        <v>20.021147590758851</v>
      </c>
      <c r="I141" s="2121">
        <f t="shared" si="43"/>
        <v>26.541001445718187</v>
      </c>
      <c r="J141" s="2121">
        <f t="shared" si="43"/>
        <v>34.473246422372313</v>
      </c>
      <c r="K141" s="2121">
        <f t="shared" si="43"/>
        <v>44.157641116875816</v>
      </c>
      <c r="L141" s="2121">
        <f t="shared" si="43"/>
        <v>26.308400060095529</v>
      </c>
      <c r="M141" s="2121">
        <f t="shared" si="43"/>
        <v>32.008191290615571</v>
      </c>
      <c r="N141" s="2121">
        <f t="shared" si="43"/>
        <v>36.893234685128078</v>
      </c>
      <c r="O141" s="2121">
        <f t="shared" si="43"/>
        <v>46.681711500928841</v>
      </c>
      <c r="Q141" s="2095"/>
      <c r="R141" s="2122"/>
      <c r="S141" s="2095"/>
      <c r="T141" s="2095"/>
      <c r="U141" s="2095"/>
    </row>
    <row r="142" spans="1:22">
      <c r="C142" s="2120"/>
      <c r="D142" s="2115"/>
      <c r="E142" s="2115"/>
      <c r="F142" s="2124"/>
      <c r="G142" s="2124"/>
      <c r="H142" s="2124"/>
      <c r="I142" s="2124"/>
      <c r="J142" s="2124"/>
      <c r="K142" s="2124"/>
      <c r="L142" s="2124"/>
      <c r="M142" s="2124"/>
      <c r="N142" s="2124"/>
      <c r="O142" s="2124"/>
      <c r="Q142" s="2095"/>
      <c r="R142" s="2122"/>
      <c r="S142" s="2095"/>
      <c r="T142" s="2095"/>
      <c r="U142" s="2095"/>
    </row>
    <row r="143" spans="1:22">
      <c r="R143" s="2125"/>
      <c r="S143" s="2095"/>
      <c r="T143" s="2126"/>
      <c r="U143" s="2126"/>
    </row>
    <row r="144" spans="1:22">
      <c r="B144" s="2114" t="s">
        <v>1711</v>
      </c>
      <c r="R144" s="2125"/>
      <c r="S144" s="2095"/>
      <c r="T144" s="2126"/>
      <c r="U144" s="2126"/>
    </row>
    <row r="145" spans="1:21">
      <c r="D145" s="2012" t="s">
        <v>1712</v>
      </c>
      <c r="F145" s="2116">
        <f t="shared" ref="F145:O145" si="44">F137</f>
        <v>48000</v>
      </c>
      <c r="G145" s="2116">
        <f t="shared" si="44"/>
        <v>285783.2</v>
      </c>
      <c r="H145" s="2116">
        <f t="shared" si="44"/>
        <v>378848.03006311995</v>
      </c>
      <c r="I145" s="2116">
        <f t="shared" si="44"/>
        <v>502219.26930171758</v>
      </c>
      <c r="J145" s="2116">
        <f t="shared" si="44"/>
        <v>665766.15012602287</v>
      </c>
      <c r="K145" s="2116">
        <f t="shared" si="44"/>
        <v>852796.466130035</v>
      </c>
      <c r="L145" s="2116">
        <f t="shared" si="44"/>
        <v>1037557.2956735708</v>
      </c>
      <c r="M145" s="2116">
        <f t="shared" si="44"/>
        <v>1262347.0951875453</v>
      </c>
      <c r="N145" s="2116">
        <f t="shared" si="44"/>
        <v>1535838.2571961368</v>
      </c>
      <c r="O145" s="2116">
        <f t="shared" si="44"/>
        <v>1943325.356164023</v>
      </c>
      <c r="R145" s="2127"/>
      <c r="S145" s="2095"/>
      <c r="T145" s="2126"/>
      <c r="U145" s="2126"/>
    </row>
    <row r="146" spans="1:21">
      <c r="C146" s="2120" t="s">
        <v>1117</v>
      </c>
      <c r="D146" s="2012" t="s">
        <v>1708</v>
      </c>
      <c r="E146" s="2115" t="str">
        <f>Preferences.PowerUnits</f>
        <v>GW</v>
      </c>
      <c r="F146" s="2116">
        <f>F89</f>
        <v>4.9999999999999996E-6</v>
      </c>
      <c r="G146" s="2116">
        <f t="shared" ref="G146:O146" si="45">G89</f>
        <v>4.9999999999999996E-6</v>
      </c>
      <c r="H146" s="2116">
        <f t="shared" si="45"/>
        <v>4.9999999999999996E-6</v>
      </c>
      <c r="I146" s="2116">
        <f t="shared" si="45"/>
        <v>4.9999999999999996E-6</v>
      </c>
      <c r="J146" s="2116">
        <f t="shared" si="45"/>
        <v>4.9999999999999996E-6</v>
      </c>
      <c r="K146" s="2116">
        <f t="shared" si="45"/>
        <v>3.9999999999999998E-6</v>
      </c>
      <c r="L146" s="2116">
        <f t="shared" si="45"/>
        <v>3.9999999999999998E-6</v>
      </c>
      <c r="M146" s="2116">
        <f t="shared" si="45"/>
        <v>3.0000000000000001E-6</v>
      </c>
      <c r="N146" s="2116">
        <f t="shared" si="45"/>
        <v>3.0000000000000001E-6</v>
      </c>
      <c r="O146" s="2116">
        <f t="shared" si="45"/>
        <v>3.0000000000000001E-6</v>
      </c>
      <c r="R146" s="2128"/>
      <c r="S146" s="2095"/>
      <c r="T146" s="2126"/>
      <c r="U146" s="2126"/>
    </row>
    <row r="147" spans="1:21">
      <c r="C147" s="2120" t="s">
        <v>1117</v>
      </c>
      <c r="D147" s="2012" t="s">
        <v>1713</v>
      </c>
      <c r="E147" s="2115" t="s">
        <v>1710</v>
      </c>
      <c r="F147" s="2129">
        <f t="shared" ref="F147:O147" si="46">F100*365</f>
        <v>6570</v>
      </c>
      <c r="G147" s="2129">
        <f t="shared" si="46"/>
        <v>6570</v>
      </c>
      <c r="H147" s="2129">
        <f t="shared" si="46"/>
        <v>7300</v>
      </c>
      <c r="I147" s="2129">
        <f t="shared" si="46"/>
        <v>7300</v>
      </c>
      <c r="J147" s="2129">
        <f t="shared" si="46"/>
        <v>7300</v>
      </c>
      <c r="K147" s="2129">
        <f t="shared" si="46"/>
        <v>7300</v>
      </c>
      <c r="L147" s="2129">
        <f t="shared" si="46"/>
        <v>8030</v>
      </c>
      <c r="M147" s="2129">
        <f t="shared" si="46"/>
        <v>8030</v>
      </c>
      <c r="N147" s="2129">
        <f t="shared" si="46"/>
        <v>8030</v>
      </c>
      <c r="O147" s="2129">
        <f t="shared" si="46"/>
        <v>8030</v>
      </c>
      <c r="R147" s="2130"/>
      <c r="S147" s="2095"/>
      <c r="T147" s="2095"/>
      <c r="U147" s="2095"/>
    </row>
    <row r="148" spans="1:21">
      <c r="C148" s="2120" t="s">
        <v>276</v>
      </c>
      <c r="D148" s="2012" t="s">
        <v>1714</v>
      </c>
      <c r="E148" s="2115" t="str">
        <f>preferences.energyunits</f>
        <v>TWh</v>
      </c>
      <c r="F148" s="2121">
        <f t="shared" ref="F148:O148" si="47">F145*F146*(F147/8760)*Preferences.Unit.Power*Unit.year/Preferences.Unit.Energy</f>
        <v>1.5778799999999999</v>
      </c>
      <c r="G148" s="2121">
        <f t="shared" si="47"/>
        <v>9.394408241999999</v>
      </c>
      <c r="H148" s="2121">
        <f t="shared" si="47"/>
        <v>13.837424298055454</v>
      </c>
      <c r="I148" s="2121">
        <f t="shared" si="47"/>
        <v>18.343558811245234</v>
      </c>
      <c r="J148" s="2121">
        <f t="shared" si="47"/>
        <v>24.317108633352987</v>
      </c>
      <c r="K148" s="2121">
        <f t="shared" si="47"/>
        <v>24.918712740319627</v>
      </c>
      <c r="L148" s="2121">
        <f t="shared" si="47"/>
        <v>33.349166597539913</v>
      </c>
      <c r="M148" s="2121">
        <f t="shared" si="47"/>
        <v>30.430770250138565</v>
      </c>
      <c r="N148" s="2121">
        <f t="shared" si="47"/>
        <v>37.023684947098673</v>
      </c>
      <c r="O148" s="2121">
        <f t="shared" si="47"/>
        <v>46.846772698368014</v>
      </c>
      <c r="R148" s="2122"/>
      <c r="S148" s="2095"/>
      <c r="T148" s="2095"/>
      <c r="U148" s="2095"/>
    </row>
    <row r="149" spans="1:21">
      <c r="R149" s="2125"/>
      <c r="S149" s="2095"/>
      <c r="T149" s="2095"/>
      <c r="U149" s="2095"/>
    </row>
    <row r="150" spans="1:21">
      <c r="R150" s="2125"/>
      <c r="S150" s="2095"/>
      <c r="T150" s="2131"/>
      <c r="U150" s="2131"/>
    </row>
    <row r="151" spans="1:21">
      <c r="A151" s="2114"/>
      <c r="B151" s="2114" t="s">
        <v>1715</v>
      </c>
      <c r="C151" s="2132"/>
      <c r="D151" s="2132"/>
      <c r="E151" s="2132"/>
      <c r="F151" s="2132"/>
      <c r="G151" s="2132"/>
      <c r="H151" s="2132"/>
      <c r="I151" s="2132"/>
      <c r="J151" s="2132"/>
      <c r="K151" s="2132"/>
      <c r="L151" s="2132"/>
      <c r="M151" s="2132"/>
      <c r="N151" s="2132"/>
      <c r="O151" s="2132"/>
      <c r="P151" s="2114"/>
      <c r="R151" s="2125"/>
      <c r="S151" s="2095"/>
      <c r="T151" s="2095"/>
      <c r="U151" s="2095"/>
    </row>
    <row r="152" spans="1:21">
      <c r="D152" s="2115" t="s">
        <v>1706</v>
      </c>
      <c r="F152" s="2116">
        <f t="shared" ref="F152:O152" si="48">F137</f>
        <v>48000</v>
      </c>
      <c r="G152" s="2116">
        <f t="shared" si="48"/>
        <v>285783.2</v>
      </c>
      <c r="H152" s="2116">
        <f t="shared" si="48"/>
        <v>378848.03006311995</v>
      </c>
      <c r="I152" s="2116">
        <f t="shared" si="48"/>
        <v>502219.26930171758</v>
      </c>
      <c r="J152" s="2116">
        <f t="shared" si="48"/>
        <v>665766.15012602287</v>
      </c>
      <c r="K152" s="2116">
        <f t="shared" si="48"/>
        <v>852796.466130035</v>
      </c>
      <c r="L152" s="2116">
        <f t="shared" si="48"/>
        <v>1037557.2956735708</v>
      </c>
      <c r="M152" s="2116">
        <f t="shared" si="48"/>
        <v>1262347.0951875453</v>
      </c>
      <c r="N152" s="2116">
        <f t="shared" si="48"/>
        <v>1535838.2571961368</v>
      </c>
      <c r="O152" s="2116">
        <f t="shared" si="48"/>
        <v>1943325.356164023</v>
      </c>
      <c r="Q152" s="2095"/>
      <c r="R152" s="2096"/>
      <c r="S152" s="2096"/>
      <c r="T152" s="2095"/>
      <c r="U152" s="2095"/>
    </row>
    <row r="153" spans="1:21">
      <c r="C153" s="2117" t="s">
        <v>1117</v>
      </c>
      <c r="D153" s="2115" t="s">
        <v>1716</v>
      </c>
      <c r="F153" s="2118">
        <f t="shared" ref="F153:O153" si="49">F29</f>
        <v>0</v>
      </c>
      <c r="G153" s="2118">
        <f t="shared" si="49"/>
        <v>0</v>
      </c>
      <c r="H153" s="2118">
        <f t="shared" si="49"/>
        <v>0.01</v>
      </c>
      <c r="I153" s="2118">
        <f t="shared" si="49"/>
        <v>0.01</v>
      </c>
      <c r="J153" s="2118">
        <f t="shared" si="49"/>
        <v>0.03</v>
      </c>
      <c r="K153" s="2118">
        <f t="shared" si="49"/>
        <v>0.03</v>
      </c>
      <c r="L153" s="2118">
        <f t="shared" si="49"/>
        <v>0.05</v>
      </c>
      <c r="M153" s="2118">
        <f t="shared" si="49"/>
        <v>0.05</v>
      </c>
      <c r="N153" s="2118">
        <f t="shared" si="49"/>
        <v>0.1</v>
      </c>
      <c r="O153" s="2118">
        <f t="shared" si="49"/>
        <v>0.1</v>
      </c>
      <c r="Q153" s="2095"/>
      <c r="R153" s="2096"/>
      <c r="S153" s="2096"/>
      <c r="T153" s="2095"/>
      <c r="U153" s="2095"/>
    </row>
    <row r="154" spans="1:21">
      <c r="C154" s="2119" t="s">
        <v>1117</v>
      </c>
      <c r="D154" s="2115" t="s">
        <v>1708</v>
      </c>
      <c r="E154" s="2115" t="str">
        <f>Preferences.PowerUnits</f>
        <v>GW</v>
      </c>
      <c r="F154" s="2116">
        <f>F89</f>
        <v>4.9999999999999996E-6</v>
      </c>
      <c r="G154" s="2116">
        <f t="shared" ref="G154:O154" si="50">G89</f>
        <v>4.9999999999999996E-6</v>
      </c>
      <c r="H154" s="2116">
        <f t="shared" si="50"/>
        <v>4.9999999999999996E-6</v>
      </c>
      <c r="I154" s="2116">
        <f t="shared" si="50"/>
        <v>4.9999999999999996E-6</v>
      </c>
      <c r="J154" s="2116">
        <f t="shared" si="50"/>
        <v>4.9999999999999996E-6</v>
      </c>
      <c r="K154" s="2116">
        <f t="shared" si="50"/>
        <v>3.9999999999999998E-6</v>
      </c>
      <c r="L154" s="2116">
        <f t="shared" si="50"/>
        <v>3.9999999999999998E-6</v>
      </c>
      <c r="M154" s="2116">
        <f t="shared" si="50"/>
        <v>3.0000000000000001E-6</v>
      </c>
      <c r="N154" s="2116">
        <f t="shared" si="50"/>
        <v>3.0000000000000001E-6</v>
      </c>
      <c r="O154" s="2116">
        <f t="shared" si="50"/>
        <v>3.0000000000000001E-6</v>
      </c>
      <c r="Q154" s="2095"/>
      <c r="R154" s="2095"/>
      <c r="S154" s="2095"/>
      <c r="T154" s="2095"/>
      <c r="U154" s="2095"/>
    </row>
    <row r="155" spans="1:21">
      <c r="C155" s="2117" t="s">
        <v>1117</v>
      </c>
      <c r="D155" s="2115" t="s">
        <v>1717</v>
      </c>
      <c r="F155" s="2116">
        <f>F139</f>
        <v>2190</v>
      </c>
      <c r="G155" s="2116">
        <f t="shared" ref="G155:O155" si="51">G139</f>
        <v>2190</v>
      </c>
      <c r="H155" s="2116">
        <f t="shared" si="51"/>
        <v>1460</v>
      </c>
      <c r="I155" s="2116">
        <f t="shared" si="51"/>
        <v>1460</v>
      </c>
      <c r="J155" s="2116">
        <f t="shared" si="51"/>
        <v>1460</v>
      </c>
      <c r="K155" s="2116">
        <f t="shared" si="51"/>
        <v>1460</v>
      </c>
      <c r="L155" s="2116">
        <f t="shared" si="51"/>
        <v>730</v>
      </c>
      <c r="M155" s="2116">
        <f t="shared" si="51"/>
        <v>730</v>
      </c>
      <c r="N155" s="2116">
        <f t="shared" si="51"/>
        <v>730</v>
      </c>
      <c r="O155" s="2116">
        <f t="shared" si="51"/>
        <v>730</v>
      </c>
      <c r="R155" s="2125"/>
      <c r="S155" s="2095"/>
      <c r="T155" s="2095"/>
      <c r="U155" s="2095"/>
    </row>
    <row r="156" spans="1:21">
      <c r="C156" s="2117" t="s">
        <v>276</v>
      </c>
      <c r="D156" s="2115" t="s">
        <v>1718</v>
      </c>
      <c r="E156" s="2115" t="str">
        <f>preferences.energyunits</f>
        <v>TWh</v>
      </c>
      <c r="F156" s="2121">
        <f t="shared" ref="F156:O156" si="52">F152*F153*F154*(F155/8760)*Preferences.Unit.Power*Unit.year/Preferences.Unit.Energy</f>
        <v>0</v>
      </c>
      <c r="G156" s="2121">
        <f t="shared" si="52"/>
        <v>0</v>
      </c>
      <c r="H156" s="2121">
        <f t="shared" si="52"/>
        <v>2.7674848596110913E-2</v>
      </c>
      <c r="I156" s="2121">
        <f t="shared" si="52"/>
        <v>3.6687117622490467E-2</v>
      </c>
      <c r="J156" s="2121">
        <f t="shared" si="52"/>
        <v>0.14590265180011788</v>
      </c>
      <c r="K156" s="2121">
        <f t="shared" si="52"/>
        <v>0.14951227644191772</v>
      </c>
      <c r="L156" s="2121">
        <f t="shared" si="52"/>
        <v>0.15158712089790871</v>
      </c>
      <c r="M156" s="2121">
        <f t="shared" si="52"/>
        <v>0.1383216829551753</v>
      </c>
      <c r="N156" s="2121">
        <f t="shared" si="52"/>
        <v>0.33657895406453331</v>
      </c>
      <c r="O156" s="2121">
        <f t="shared" si="52"/>
        <v>0.4258797518033457</v>
      </c>
      <c r="R156" s="2125"/>
      <c r="S156" s="2095"/>
      <c r="T156" s="2107"/>
      <c r="U156" s="2107"/>
    </row>
    <row r="157" spans="1:21">
      <c r="R157" s="2125"/>
      <c r="S157" s="2095"/>
      <c r="T157" s="2107"/>
      <c r="U157" s="2107"/>
    </row>
    <row r="158" spans="1:21">
      <c r="R158" s="2125"/>
      <c r="S158" s="2095"/>
      <c r="T158" s="2107"/>
      <c r="U158" s="2107"/>
    </row>
    <row r="159" spans="1:21">
      <c r="A159" s="423" t="s">
        <v>1529</v>
      </c>
      <c r="B159" s="423"/>
      <c r="C159" s="37"/>
      <c r="D159" s="423"/>
      <c r="E159" s="856"/>
      <c r="F159" s="73"/>
      <c r="G159" s="73"/>
      <c r="H159" s="73"/>
      <c r="I159" s="73"/>
      <c r="J159" s="73"/>
      <c r="K159" s="73"/>
      <c r="L159" s="73"/>
      <c r="M159" s="73"/>
      <c r="N159" s="73"/>
      <c r="O159" s="73"/>
      <c r="R159" s="2125"/>
      <c r="S159" s="2095"/>
      <c r="T159" s="2107"/>
      <c r="U159" s="2107"/>
    </row>
    <row r="160" spans="1:21">
      <c r="A160" s="19"/>
      <c r="B160" s="422" t="s">
        <v>34</v>
      </c>
      <c r="C160" s="19" t="str">
        <f>INDEX(Vectors[Description], MATCH($B160, Vectors[Code], 0))</f>
        <v>Electricity (delivered to end user)</v>
      </c>
      <c r="D160" s="19"/>
      <c r="E160" s="1972" t="str">
        <f>preferences.energyunits</f>
        <v>TWh</v>
      </c>
      <c r="F160" s="90">
        <f t="shared" ref="F160:O160" si="53">F148+F123</f>
        <v>2.3668199999999997</v>
      </c>
      <c r="G160" s="90">
        <f t="shared" si="53"/>
        <v>14.091612362999999</v>
      </c>
      <c r="H160" s="90">
        <f t="shared" si="53"/>
        <v>20.064265232180411</v>
      </c>
      <c r="I160" s="90">
        <f t="shared" si="53"/>
        <v>28.249080569317663</v>
      </c>
      <c r="J160" s="90">
        <f t="shared" si="53"/>
        <v>37.448347295363597</v>
      </c>
      <c r="K160" s="90">
        <f t="shared" si="53"/>
        <v>44.542199023321331</v>
      </c>
      <c r="L160" s="90">
        <f t="shared" si="53"/>
        <v>57.224138138960534</v>
      </c>
      <c r="M160" s="90">
        <f t="shared" si="53"/>
        <v>63.627974159380635</v>
      </c>
      <c r="N160" s="90">
        <f t="shared" si="53"/>
        <v>77.413159434842669</v>
      </c>
      <c r="O160" s="90">
        <f t="shared" si="53"/>
        <v>97.952342914769488</v>
      </c>
      <c r="R160" s="2125"/>
      <c r="S160" s="2095"/>
      <c r="T160" s="2107"/>
      <c r="U160" s="2107"/>
    </row>
    <row r="161" spans="1:22">
      <c r="A161" s="19"/>
      <c r="B161" s="422" t="s">
        <v>38</v>
      </c>
      <c r="C161" s="19" t="str">
        <f>INDEX(Vectors[Description], MATCH($B161, Vectors[Code], 0))</f>
        <v>Liquid hydrocarbons</v>
      </c>
      <c r="D161" s="19"/>
      <c r="E161" s="1972" t="str">
        <f>preferences.energyunits</f>
        <v>TWh</v>
      </c>
      <c r="F161" s="90">
        <f t="shared" ref="F161:O161" si="54">F141+F116</f>
        <v>11.520100800000002</v>
      </c>
      <c r="G161" s="90">
        <f t="shared" si="54"/>
        <v>68.58856814472</v>
      </c>
      <c r="H161" s="90">
        <f t="shared" si="54"/>
        <v>79.398613265784363</v>
      </c>
      <c r="I161" s="90">
        <f t="shared" si="54"/>
        <v>94.00983566627599</v>
      </c>
      <c r="J161" s="90">
        <f t="shared" si="54"/>
        <v>121.17523814610375</v>
      </c>
      <c r="K161" s="90">
        <f t="shared" si="54"/>
        <v>136.7065940968846</v>
      </c>
      <c r="L161" s="90">
        <f t="shared" si="54"/>
        <v>132.98203904060921</v>
      </c>
      <c r="M161" s="90">
        <f t="shared" si="54"/>
        <v>135.83602527078497</v>
      </c>
      <c r="N161" s="90">
        <f t="shared" si="54"/>
        <v>156.19775716023554</v>
      </c>
      <c r="O161" s="90">
        <f t="shared" si="54"/>
        <v>197.63999278126585</v>
      </c>
      <c r="R161" s="2125"/>
      <c r="S161" s="2095"/>
      <c r="T161" s="2107"/>
      <c r="U161" s="2107"/>
    </row>
    <row r="162" spans="1:22">
      <c r="A162" s="19"/>
      <c r="B162" s="422" t="s">
        <v>408</v>
      </c>
      <c r="C162" s="19" t="str">
        <f>INDEX(Vectors[Description], MATCH($B162, Vectors[Code], 0))</f>
        <v>Off Grid Renewables</v>
      </c>
      <c r="D162" s="19"/>
      <c r="E162" s="1972" t="str">
        <f>preferences.energyunits</f>
        <v>TWh</v>
      </c>
      <c r="F162" s="90">
        <f t="shared" ref="F162:O162" si="55">F156+F131</f>
        <v>0</v>
      </c>
      <c r="G162" s="90">
        <f t="shared" si="55"/>
        <v>0</v>
      </c>
      <c r="H162" s="90">
        <f t="shared" si="55"/>
        <v>0.20202639475160969</v>
      </c>
      <c r="I162" s="90">
        <f t="shared" si="55"/>
        <v>0.23479755278393905</v>
      </c>
      <c r="J162" s="90">
        <f t="shared" si="55"/>
        <v>0.80246458490064865</v>
      </c>
      <c r="K162" s="90">
        <f t="shared" si="55"/>
        <v>0.85035107226340734</v>
      </c>
      <c r="L162" s="90">
        <f t="shared" si="55"/>
        <v>1.8569422309993817</v>
      </c>
      <c r="M162" s="90">
        <f t="shared" si="55"/>
        <v>1.7981818784172785</v>
      </c>
      <c r="N162" s="90">
        <f t="shared" si="55"/>
        <v>3.3657895406453329</v>
      </c>
      <c r="O162" s="90">
        <f t="shared" si="55"/>
        <v>4.2587975180334565</v>
      </c>
      <c r="R162" s="2125"/>
      <c r="S162" s="2095"/>
      <c r="T162" s="2107"/>
      <c r="U162" s="2107"/>
    </row>
    <row r="163" spans="1:22">
      <c r="A163" s="19"/>
      <c r="B163" s="422"/>
      <c r="C163" s="19"/>
      <c r="D163" s="19"/>
      <c r="E163" s="1972"/>
      <c r="F163" s="90"/>
      <c r="G163" s="90"/>
      <c r="H163" s="90"/>
      <c r="I163" s="90"/>
      <c r="J163" s="90"/>
      <c r="K163" s="90"/>
      <c r="L163" s="90"/>
      <c r="M163" s="90"/>
      <c r="N163" s="90"/>
      <c r="O163" s="90"/>
      <c r="R163" s="2125"/>
      <c r="S163" s="2095"/>
      <c r="T163" s="2107"/>
      <c r="U163" s="2107"/>
    </row>
    <row r="164" spans="1:22">
      <c r="R164" s="2125"/>
      <c r="S164" s="2095"/>
      <c r="T164" s="2107"/>
      <c r="U164" s="2107"/>
    </row>
    <row r="165" spans="1:22">
      <c r="A165" s="423" t="s">
        <v>281</v>
      </c>
      <c r="B165" s="422"/>
      <c r="C165" s="605" t="s">
        <v>350</v>
      </c>
      <c r="D165" s="51"/>
      <c r="E165" s="99" t="s">
        <v>368</v>
      </c>
      <c r="F165" s="90">
        <f>F$161*INDEX(EF[CO2], MATCH("V.04", EF[Vector], 0))</f>
        <v>3.0726872469131559</v>
      </c>
      <c r="G165" s="90">
        <f>G$161*INDEX(EF[CO2], MATCH("V.04", EF[Vector], 0))</f>
        <v>18.29421654212566</v>
      </c>
      <c r="H165" s="90">
        <f>H$161*INDEX(EF[CO2], MATCH("V.04", EF[Vector], 0))</f>
        <v>21.177514905456842</v>
      </c>
      <c r="I165" s="90">
        <f>I$161*INDEX(EF[CO2], MATCH("V.04", EF[Vector], 0))</f>
        <v>25.074678438244892</v>
      </c>
      <c r="J165" s="90">
        <f>J$161*INDEX(EF[CO2], MATCH("V.04", EF[Vector], 0))</f>
        <v>32.320342968977968</v>
      </c>
      <c r="K165" s="90">
        <f>K$161*INDEX(EF[CO2], MATCH("V.04", EF[Vector], 0))</f>
        <v>36.462928193339295</v>
      </c>
      <c r="L165" s="90">
        <f>L$161*INDEX(EF[CO2], MATCH("V.04", EF[Vector], 0))</f>
        <v>35.469500008939789</v>
      </c>
      <c r="M165" s="90">
        <f>M$161*INDEX(EF[CO2], MATCH("V.04", EF[Vector], 0))</f>
        <v>36.23072660274935</v>
      </c>
      <c r="N165" s="90">
        <f>N$161*INDEX(EF[CO2], MATCH("V.04", EF[Vector], 0))</f>
        <v>41.661688969135909</v>
      </c>
      <c r="O165" s="90">
        <f>O$161*INDEX(EF[CO2], MATCH("V.04", EF[Vector], 0))</f>
        <v>52.715327395312691</v>
      </c>
      <c r="R165" s="2125"/>
      <c r="S165" s="2095"/>
      <c r="T165" s="2107"/>
      <c r="U165" s="2107"/>
    </row>
    <row r="166" spans="1:22">
      <c r="A166" s="423"/>
      <c r="B166" s="423"/>
      <c r="C166" s="605" t="s">
        <v>351</v>
      </c>
      <c r="D166" s="51"/>
      <c r="E166" s="99" t="s">
        <v>368</v>
      </c>
      <c r="F166" s="90">
        <f>F$161*INDEX(EF[CH4], MATCH("V.04", EF[Vector], 0))</f>
        <v>0</v>
      </c>
      <c r="G166" s="90">
        <f>G$370*INDEX(EF[CH4], MATCH("V.03", EF[Vector], 0))+G$371*INDEX(EF[CH4], MATCH("V.04", EF[Vector], 0))+G$372*INDEX(EF[CH4], MATCH("V.05", EF[Vector], 0))</f>
        <v>0</v>
      </c>
      <c r="H166" s="90">
        <f>H$370*INDEX(EF[CH4], MATCH("V.03", EF[Vector], 0))+H$371*INDEX(EF[CH4], MATCH("V.04", EF[Vector], 0))+H$372*INDEX(EF[CH4], MATCH("V.05", EF[Vector], 0))</f>
        <v>0</v>
      </c>
      <c r="I166" s="90">
        <f>I$370*INDEX(EF[CH4], MATCH("V.03", EF[Vector], 0))+I$371*INDEX(EF[CH4], MATCH("V.04", EF[Vector], 0))+I$372*INDEX(EF[CH4], MATCH("V.05", EF[Vector], 0))</f>
        <v>0</v>
      </c>
      <c r="J166" s="90">
        <f>J$370*INDEX(EF[CH4], MATCH("V.03", EF[Vector], 0))+J$371*INDEX(EF[CH4], MATCH("V.04", EF[Vector], 0))+J$372*INDEX(EF[CH4], MATCH("V.05", EF[Vector], 0))</f>
        <v>0</v>
      </c>
      <c r="K166" s="90">
        <f>K$370*INDEX(EF[CH4], MATCH("V.03", EF[Vector], 0))+K$371*INDEX(EF[CH4], MATCH("V.04", EF[Vector], 0))+K$372*INDEX(EF[CH4], MATCH("V.05", EF[Vector], 0))</f>
        <v>0</v>
      </c>
      <c r="L166" s="90">
        <f>L$370*INDEX(EF[CH4], MATCH("V.03", EF[Vector], 0))+L$371*INDEX(EF[CH4], MATCH("V.04", EF[Vector], 0))+L$372*INDEX(EF[CH4], MATCH("V.05", EF[Vector], 0))</f>
        <v>0</v>
      </c>
      <c r="M166" s="90">
        <f>M$370*INDEX(EF[CH4], MATCH("V.03", EF[Vector], 0))+M$371*INDEX(EF[CH4], MATCH("V.04", EF[Vector], 0))+M$372*INDEX(EF[CH4], MATCH("V.05", EF[Vector], 0))</f>
        <v>0</v>
      </c>
      <c r="N166" s="90">
        <f>N$370*INDEX(EF[CH4], MATCH("V.03", EF[Vector], 0))+N$371*INDEX(EF[CH4], MATCH("V.04", EF[Vector], 0))+N$372*INDEX(EF[CH4], MATCH("V.05", EF[Vector], 0))</f>
        <v>0</v>
      </c>
      <c r="O166" s="90">
        <f>O$370*INDEX(EF[CH4], MATCH("V.03", EF[Vector], 0))+O$371*INDEX(EF[CH4], MATCH("V.04", EF[Vector], 0))+O$372*INDEX(EF[CH4], MATCH("V.05", EF[Vector], 0))</f>
        <v>0</v>
      </c>
      <c r="R166" s="2125"/>
      <c r="S166" s="2095"/>
      <c r="T166" s="2107"/>
      <c r="U166" s="2107"/>
    </row>
    <row r="167" spans="1:22">
      <c r="A167" s="19"/>
      <c r="B167" s="422"/>
      <c r="C167" s="605" t="s">
        <v>352</v>
      </c>
      <c r="D167" s="51"/>
      <c r="E167" s="99" t="s">
        <v>368</v>
      </c>
      <c r="F167" s="90">
        <f>F$161*INDEX(EF[N2O], MATCH("V.04", EF[Vector], 0))</f>
        <v>0</v>
      </c>
      <c r="G167" s="90">
        <f>G$161*INDEX(EF[N2O], MATCH("V.04", EF[Vector], 0))</f>
        <v>0</v>
      </c>
      <c r="H167" s="90">
        <f>H$161*INDEX(EF[N2O], MATCH("V.04", EF[Vector], 0))</f>
        <v>0</v>
      </c>
      <c r="I167" s="90">
        <f>I$161*INDEX(EF[N2O], MATCH("V.04", EF[Vector], 0))</f>
        <v>0</v>
      </c>
      <c r="J167" s="90">
        <f>J$161*INDEX(EF[N2O], MATCH("V.04", EF[Vector], 0))</f>
        <v>0</v>
      </c>
      <c r="K167" s="90">
        <f>K$161*INDEX(EF[N2O], MATCH("V.04", EF[Vector], 0))</f>
        <v>0</v>
      </c>
      <c r="L167" s="90">
        <f>L$161*INDEX(EF[N2O], MATCH("V.04", EF[Vector], 0))</f>
        <v>0</v>
      </c>
      <c r="M167" s="90">
        <f>M$161*INDEX(EF[N2O], MATCH("V.04", EF[Vector], 0))</f>
        <v>0</v>
      </c>
      <c r="N167" s="90">
        <f>N$161*INDEX(EF[N2O], MATCH("V.04", EF[Vector], 0))</f>
        <v>0</v>
      </c>
      <c r="O167" s="90">
        <f>O$161*INDEX(EF[N2O], MATCH("V.04", EF[Vector], 0))</f>
        <v>0</v>
      </c>
      <c r="R167" s="2125"/>
      <c r="S167" s="2095"/>
      <c r="T167" s="2107"/>
      <c r="U167" s="2107"/>
    </row>
    <row r="168" spans="1:22">
      <c r="R168" s="2125"/>
      <c r="S168" s="2095"/>
      <c r="T168" s="2107"/>
      <c r="U168" s="2107"/>
    </row>
    <row r="169" spans="1:22">
      <c r="R169" s="2125"/>
      <c r="S169" s="2095"/>
      <c r="T169" s="2107"/>
      <c r="U169" s="2107"/>
    </row>
    <row r="170" spans="1:22">
      <c r="B170" s="2110"/>
      <c r="C170" s="2111"/>
      <c r="D170" s="2111"/>
      <c r="E170" s="2111"/>
      <c r="R170" s="2125"/>
      <c r="S170" s="2095"/>
      <c r="T170" s="2133"/>
      <c r="U170" s="2133"/>
    </row>
    <row r="171" spans="1:22">
      <c r="A171" s="2138"/>
      <c r="C171" s="2120"/>
      <c r="R171" s="2095"/>
      <c r="S171" s="2095"/>
      <c r="T171" s="2107"/>
      <c r="U171" s="2107"/>
      <c r="V171" s="2012"/>
    </row>
    <row r="172" spans="1:22" s="605" customFormat="1" ht="12.75">
      <c r="A172" s="19"/>
      <c r="B172" s="423"/>
      <c r="C172" s="423"/>
      <c r="D172" s="51"/>
      <c r="E172" s="51"/>
      <c r="F172" s="73"/>
      <c r="G172" s="73"/>
      <c r="H172" s="73"/>
      <c r="I172" s="73"/>
      <c r="J172" s="73"/>
      <c r="K172" s="73"/>
      <c r="L172" s="73"/>
      <c r="M172" s="73"/>
      <c r="N172" s="73"/>
      <c r="O172" s="73"/>
      <c r="P172" s="37"/>
      <c r="Q172" s="37"/>
      <c r="R172" s="37"/>
    </row>
    <row r="173" spans="1:22" s="605" customFormat="1" ht="12.75">
      <c r="A173" s="19"/>
      <c r="B173" s="423"/>
      <c r="D173" s="51"/>
      <c r="E173" s="99"/>
      <c r="F173" s="90"/>
      <c r="G173" s="90"/>
      <c r="H173" s="90"/>
      <c r="I173" s="90"/>
      <c r="J173" s="90"/>
      <c r="K173" s="90"/>
      <c r="L173" s="90"/>
      <c r="M173" s="90"/>
      <c r="N173" s="90"/>
      <c r="O173" s="90"/>
      <c r="P173" s="37"/>
      <c r="Q173" s="37"/>
      <c r="R173" s="37"/>
    </row>
    <row r="174" spans="1:22" s="605" customFormat="1" ht="12.75">
      <c r="A174" s="19"/>
      <c r="B174" s="423"/>
      <c r="D174" s="51"/>
      <c r="E174" s="99"/>
      <c r="F174" s="90"/>
      <c r="G174" s="90"/>
      <c r="H174" s="90"/>
      <c r="I174" s="90"/>
      <c r="J174" s="90"/>
      <c r="K174" s="90"/>
      <c r="L174" s="90"/>
      <c r="M174" s="90"/>
      <c r="N174" s="90"/>
      <c r="O174" s="90"/>
      <c r="P174" s="37"/>
      <c r="Q174" s="37"/>
      <c r="R174" s="37"/>
    </row>
    <row r="175" spans="1:22" s="605" customFormat="1" ht="12.75">
      <c r="A175" s="19"/>
      <c r="B175" s="423"/>
      <c r="D175" s="51"/>
      <c r="E175" s="99"/>
      <c r="F175" s="90"/>
      <c r="G175" s="90"/>
      <c r="H175" s="90"/>
      <c r="I175" s="90"/>
      <c r="J175" s="90"/>
      <c r="K175" s="90"/>
      <c r="L175" s="90"/>
      <c r="M175" s="90"/>
      <c r="N175" s="90"/>
      <c r="O175" s="90"/>
      <c r="P175" s="37"/>
      <c r="Q175" s="37"/>
      <c r="R175" s="37"/>
    </row>
    <row r="176" spans="1:22">
      <c r="A176" s="2138"/>
      <c r="C176" s="2120"/>
      <c r="R176" s="2095"/>
      <c r="S176" s="2095"/>
      <c r="T176" s="2107"/>
      <c r="U176" s="2107"/>
      <c r="V176" s="2012"/>
    </row>
    <row r="177" spans="1:22">
      <c r="A177" s="2138"/>
      <c r="R177" s="2095"/>
      <c r="S177" s="2095"/>
      <c r="T177" s="2107"/>
      <c r="U177" s="2107"/>
      <c r="V177" s="2012"/>
    </row>
    <row r="178" spans="1:22" ht="15.75">
      <c r="A178" s="2138"/>
      <c r="B178" s="2014" t="s">
        <v>202</v>
      </c>
      <c r="C178" s="2016"/>
      <c r="D178" s="2016"/>
      <c r="E178" s="2016"/>
      <c r="F178" s="2016"/>
      <c r="G178" s="2016"/>
      <c r="H178" s="2016"/>
      <c r="I178" s="2016"/>
      <c r="J178" s="2016"/>
      <c r="K178" s="2016"/>
      <c r="L178" s="2016"/>
      <c r="M178" s="2016"/>
      <c r="N178" s="2016"/>
      <c r="O178" s="2016"/>
      <c r="P178" s="2140"/>
      <c r="R178" s="2095"/>
      <c r="S178" s="2095"/>
      <c r="T178" s="2107"/>
      <c r="U178" s="2107"/>
      <c r="V178" s="2012"/>
    </row>
    <row r="179" spans="1:22">
      <c r="A179" s="2138"/>
      <c r="B179" s="2019"/>
      <c r="C179" s="2021"/>
      <c r="D179" s="2021"/>
      <c r="E179" s="2021"/>
      <c r="F179" s="2021"/>
      <c r="G179" s="2021"/>
      <c r="H179" s="2021"/>
      <c r="I179" s="2021"/>
      <c r="J179" s="2021"/>
      <c r="K179" s="2021"/>
      <c r="L179" s="2021"/>
      <c r="M179" s="2021"/>
      <c r="N179" s="2021"/>
      <c r="O179" s="2021"/>
      <c r="P179" s="2141"/>
      <c r="R179" s="2095"/>
      <c r="S179" s="2095"/>
      <c r="T179" s="2107"/>
      <c r="U179" s="2107"/>
      <c r="V179" s="2012"/>
    </row>
    <row r="180" spans="1:22">
      <c r="A180" s="2138"/>
      <c r="B180" s="2019"/>
      <c r="C180" s="2142" t="s">
        <v>1720</v>
      </c>
      <c r="D180" s="2021"/>
      <c r="E180" s="2022"/>
      <c r="F180" s="2021"/>
      <c r="G180" s="2022"/>
      <c r="H180" s="2021"/>
      <c r="I180" s="2021"/>
      <c r="J180" s="2021"/>
      <c r="K180" s="2021"/>
      <c r="L180" s="2021"/>
      <c r="M180" s="2021"/>
      <c r="N180" s="2021"/>
      <c r="O180" s="2022" t="str">
        <f>preferences.energyunits</f>
        <v>TWh</v>
      </c>
      <c r="P180" s="2141"/>
      <c r="R180" s="2095"/>
      <c r="S180" s="2095"/>
      <c r="T180" s="2107"/>
      <c r="U180" s="2107"/>
      <c r="V180" s="2012"/>
    </row>
    <row r="181" spans="1:22">
      <c r="A181" s="2139"/>
      <c r="B181" s="2019"/>
      <c r="C181" s="2021"/>
      <c r="D181" s="2021"/>
      <c r="E181" s="2021"/>
      <c r="F181" s="2021"/>
      <c r="G181" s="2021"/>
      <c r="H181" s="2021"/>
      <c r="I181" s="2021"/>
      <c r="J181" s="2021"/>
      <c r="K181" s="2021"/>
      <c r="L181" s="2021"/>
      <c r="M181" s="2021"/>
      <c r="N181" s="2021"/>
      <c r="O181" s="2021"/>
      <c r="P181" s="2141"/>
      <c r="R181" s="2095"/>
      <c r="S181" s="2095"/>
      <c r="T181" s="2107"/>
      <c r="U181" s="2107"/>
      <c r="V181" s="2012"/>
    </row>
    <row r="182" spans="1:22" ht="15.75">
      <c r="A182" s="2139"/>
      <c r="B182" s="2024"/>
      <c r="C182" s="2143" t="s">
        <v>64</v>
      </c>
      <c r="D182" s="2143" t="s">
        <v>137</v>
      </c>
      <c r="E182" s="2143" t="s">
        <v>156</v>
      </c>
      <c r="F182" s="2143" t="s">
        <v>203</v>
      </c>
      <c r="G182" s="2143" t="s">
        <v>712</v>
      </c>
      <c r="H182" s="2143" t="s">
        <v>713</v>
      </c>
      <c r="I182" s="2143" t="s">
        <v>714</v>
      </c>
      <c r="J182" s="2143" t="s">
        <v>715</v>
      </c>
      <c r="K182" s="2143" t="s">
        <v>716</v>
      </c>
      <c r="L182" s="2143" t="s">
        <v>717</v>
      </c>
      <c r="M182" s="2143" t="s">
        <v>718</v>
      </c>
      <c r="N182" s="2143" t="s">
        <v>719</v>
      </c>
      <c r="O182" s="2143" t="s">
        <v>720</v>
      </c>
      <c r="P182" s="2141"/>
      <c r="R182" s="2095"/>
      <c r="S182" s="2095"/>
      <c r="T182" s="2107"/>
      <c r="U182" s="2107"/>
      <c r="V182" s="2012"/>
    </row>
    <row r="183" spans="1:22" ht="15.75">
      <c r="A183" s="2139"/>
      <c r="B183" s="2024"/>
      <c r="C183" s="2144" t="s">
        <v>851</v>
      </c>
      <c r="D183" s="2144" t="str">
        <f>INDEX(Vectors[Description], MATCH([Vector], Vectors[Code], 0))</f>
        <v>Telecom Sector Energy Demand</v>
      </c>
      <c r="E183" s="2144"/>
      <c r="F183" s="2151">
        <f>SUM(F160:F162)</f>
        <v>13.886920800000002</v>
      </c>
      <c r="G183" s="2151">
        <f t="shared" ref="G183:O183" si="56">SUM(G160:G162)</f>
        <v>82.680180507719996</v>
      </c>
      <c r="H183" s="2151">
        <f t="shared" si="56"/>
        <v>99.664904892716379</v>
      </c>
      <c r="I183" s="2151">
        <f t="shared" si="56"/>
        <v>122.4937137883776</v>
      </c>
      <c r="J183" s="2151">
        <f t="shared" si="56"/>
        <v>159.42605002636802</v>
      </c>
      <c r="K183" s="2151">
        <f t="shared" si="56"/>
        <v>182.09914419246934</v>
      </c>
      <c r="L183" s="2151">
        <f t="shared" si="56"/>
        <v>192.06311941056913</v>
      </c>
      <c r="M183" s="2151">
        <f t="shared" si="56"/>
        <v>201.26218130858288</v>
      </c>
      <c r="N183" s="2151">
        <f t="shared" si="56"/>
        <v>236.97670613572353</v>
      </c>
      <c r="O183" s="2151">
        <f t="shared" si="56"/>
        <v>299.8511332140688</v>
      </c>
      <c r="P183" s="2141"/>
      <c r="R183" s="2107"/>
      <c r="S183" s="2107"/>
      <c r="T183" s="2107"/>
      <c r="U183" s="2107"/>
      <c r="V183" s="2012"/>
    </row>
    <row r="184" spans="1:22" ht="15.75">
      <c r="A184" s="2139"/>
      <c r="B184" s="2024"/>
      <c r="C184" s="2144" t="s">
        <v>34</v>
      </c>
      <c r="D184" s="2144" t="str">
        <f>INDEX(Vectors[Description], MATCH([Vector], Vectors[Code], 0))</f>
        <v>Electricity (delivered to end user)</v>
      </c>
      <c r="E184" s="2144"/>
      <c r="F184" s="2151">
        <f>-F160</f>
        <v>-2.3668199999999997</v>
      </c>
      <c r="G184" s="2151">
        <f t="shared" ref="G184:O184" si="57">-G160</f>
        <v>-14.091612362999999</v>
      </c>
      <c r="H184" s="2151">
        <f t="shared" si="57"/>
        <v>-20.064265232180411</v>
      </c>
      <c r="I184" s="2151">
        <f t="shared" si="57"/>
        <v>-28.249080569317663</v>
      </c>
      <c r="J184" s="2151">
        <f t="shared" si="57"/>
        <v>-37.448347295363597</v>
      </c>
      <c r="K184" s="2151">
        <f t="shared" si="57"/>
        <v>-44.542199023321331</v>
      </c>
      <c r="L184" s="2151">
        <f t="shared" si="57"/>
        <v>-57.224138138960534</v>
      </c>
      <c r="M184" s="2151">
        <f t="shared" si="57"/>
        <v>-63.627974159380635</v>
      </c>
      <c r="N184" s="2151">
        <f t="shared" si="57"/>
        <v>-77.413159434842669</v>
      </c>
      <c r="O184" s="2151">
        <f t="shared" si="57"/>
        <v>-97.952342914769488</v>
      </c>
      <c r="P184" s="2141"/>
      <c r="R184" s="2107"/>
      <c r="S184" s="2107"/>
      <c r="T184" s="2107"/>
      <c r="U184" s="2107"/>
      <c r="V184" s="2012"/>
    </row>
    <row r="185" spans="1:22" ht="15.75">
      <c r="A185" s="2139"/>
      <c r="B185" s="2024"/>
      <c r="C185" s="2145" t="s">
        <v>1655</v>
      </c>
      <c r="D185" s="2144" t="str">
        <f>INDEX(Vectors[Description], MATCH([Vector], Vectors[Code], 0))</f>
        <v>Liquid hydrocarbons</v>
      </c>
      <c r="E185" s="2144"/>
      <c r="F185" s="2151">
        <f t="shared" ref="F185:O186" si="58">-F161</f>
        <v>-11.520100800000002</v>
      </c>
      <c r="G185" s="2151">
        <f t="shared" si="58"/>
        <v>-68.58856814472</v>
      </c>
      <c r="H185" s="2151">
        <f t="shared" si="58"/>
        <v>-79.398613265784363</v>
      </c>
      <c r="I185" s="2151">
        <f t="shared" si="58"/>
        <v>-94.00983566627599</v>
      </c>
      <c r="J185" s="2151">
        <f t="shared" si="58"/>
        <v>-121.17523814610375</v>
      </c>
      <c r="K185" s="2151">
        <f t="shared" si="58"/>
        <v>-136.7065940968846</v>
      </c>
      <c r="L185" s="2151">
        <f t="shared" si="58"/>
        <v>-132.98203904060921</v>
      </c>
      <c r="M185" s="2151">
        <f t="shared" si="58"/>
        <v>-135.83602527078497</v>
      </c>
      <c r="N185" s="2151">
        <f t="shared" si="58"/>
        <v>-156.19775716023554</v>
      </c>
      <c r="O185" s="2151">
        <f t="shared" si="58"/>
        <v>-197.63999278126585</v>
      </c>
      <c r="P185" s="2141"/>
      <c r="R185" s="2107"/>
      <c r="S185" s="2107"/>
      <c r="T185" s="2107"/>
      <c r="U185" s="2107"/>
      <c r="V185" s="2012"/>
    </row>
    <row r="186" spans="1:22" ht="15.75">
      <c r="A186" s="2139"/>
      <c r="B186" s="2024"/>
      <c r="C186" s="2145" t="s">
        <v>408</v>
      </c>
      <c r="D186" s="2144" t="str">
        <f>INDEX(Vectors[Description], MATCH([Vector], Vectors[Code], 0))</f>
        <v>Off Grid Renewables</v>
      </c>
      <c r="E186" s="2144"/>
      <c r="F186" s="2151">
        <f t="shared" si="58"/>
        <v>0</v>
      </c>
      <c r="G186" s="2151">
        <f t="shared" si="58"/>
        <v>0</v>
      </c>
      <c r="H186" s="2151">
        <f t="shared" si="58"/>
        <v>-0.20202639475160969</v>
      </c>
      <c r="I186" s="2151">
        <f t="shared" si="58"/>
        <v>-0.23479755278393905</v>
      </c>
      <c r="J186" s="2151">
        <f t="shared" si="58"/>
        <v>-0.80246458490064865</v>
      </c>
      <c r="K186" s="2151">
        <f t="shared" si="58"/>
        <v>-0.85035107226340734</v>
      </c>
      <c r="L186" s="2151">
        <f t="shared" si="58"/>
        <v>-1.8569422309993817</v>
      </c>
      <c r="M186" s="2151">
        <f t="shared" si="58"/>
        <v>-1.7981818784172785</v>
      </c>
      <c r="N186" s="2151">
        <f t="shared" si="58"/>
        <v>-3.3657895406453329</v>
      </c>
      <c r="O186" s="2151">
        <f t="shared" si="58"/>
        <v>-4.2587975180334565</v>
      </c>
      <c r="P186" s="2141"/>
      <c r="R186" s="2107"/>
      <c r="S186" s="2107"/>
      <c r="T186" s="2107"/>
      <c r="U186" s="2107"/>
      <c r="V186" s="2012"/>
    </row>
    <row r="187" spans="1:22" ht="15.75">
      <c r="A187" s="2139"/>
      <c r="B187" s="2024"/>
      <c r="C187" s="2146"/>
      <c r="D187" s="2146"/>
      <c r="E187" s="2146"/>
      <c r="F187" s="2147">
        <f>SUM([2007])</f>
        <v>0</v>
      </c>
      <c r="G187" s="2147">
        <f>SUM([2007])</f>
        <v>0</v>
      </c>
      <c r="H187" s="2147">
        <f>SUM([2007])</f>
        <v>0</v>
      </c>
      <c r="I187" s="2147">
        <f>SUM([2007])</f>
        <v>0</v>
      </c>
      <c r="J187" s="2147">
        <f>SUM([2007])</f>
        <v>0</v>
      </c>
      <c r="K187" s="2147">
        <f>SUM([2007])</f>
        <v>0</v>
      </c>
      <c r="L187" s="2147">
        <f>SUM([2007])</f>
        <v>0</v>
      </c>
      <c r="M187" s="2147">
        <f>SUM([2007])</f>
        <v>0</v>
      </c>
      <c r="N187" s="2147">
        <f>SUM([2007])</f>
        <v>0</v>
      </c>
      <c r="O187" s="2147">
        <f>SUM([2007])</f>
        <v>0</v>
      </c>
      <c r="P187" s="2141"/>
      <c r="R187" s="2107"/>
      <c r="S187" s="2107"/>
      <c r="T187" s="2107"/>
      <c r="U187" s="2107"/>
      <c r="V187" s="2012"/>
    </row>
    <row r="188" spans="1:22" ht="15.75">
      <c r="A188" s="2139"/>
      <c r="B188" s="2024"/>
      <c r="C188" s="2144"/>
      <c r="D188" s="2144"/>
      <c r="E188" s="2144"/>
      <c r="F188" s="2148"/>
      <c r="G188" s="2148"/>
      <c r="H188" s="2148"/>
      <c r="I188" s="2148"/>
      <c r="J188" s="2148"/>
      <c r="K188" s="2148"/>
      <c r="L188" s="2148"/>
      <c r="M188" s="2148"/>
      <c r="N188" s="2148"/>
      <c r="O188" s="2148"/>
      <c r="P188" s="2141"/>
      <c r="R188" s="2107"/>
      <c r="S188" s="2107"/>
      <c r="T188" s="2107"/>
      <c r="U188" s="2107"/>
      <c r="V188" s="2012"/>
    </row>
    <row r="189" spans="1:22">
      <c r="A189" s="2139"/>
      <c r="R189" s="2107"/>
      <c r="S189" s="2107"/>
      <c r="T189" s="2107"/>
      <c r="U189" s="2107"/>
      <c r="V189" s="2012"/>
    </row>
    <row r="190" spans="1:22">
      <c r="A190" s="2138"/>
      <c r="B190" s="2012"/>
      <c r="P190" s="2012"/>
      <c r="Q190" s="2012"/>
      <c r="R190" s="2012"/>
      <c r="S190" s="2012"/>
      <c r="T190" s="2012"/>
      <c r="U190" s="2012"/>
      <c r="V190" s="2012"/>
    </row>
    <row r="191" spans="1:22" s="605" customFormat="1" ht="15.75">
      <c r="B191" s="216" t="s">
        <v>281</v>
      </c>
      <c r="C191" s="183"/>
      <c r="D191" s="184"/>
      <c r="E191" s="184"/>
      <c r="F191" s="184"/>
      <c r="G191" s="184"/>
      <c r="H191" s="184"/>
      <c r="I191" s="184"/>
      <c r="J191" s="184"/>
      <c r="K191" s="184"/>
      <c r="L191" s="184"/>
      <c r="M191" s="184"/>
      <c r="N191" s="184"/>
      <c r="O191" s="184"/>
      <c r="P191" s="185"/>
    </row>
    <row r="192" spans="1:22" s="605" customFormat="1" ht="12.75">
      <c r="B192" s="190"/>
      <c r="C192" s="191"/>
      <c r="D192" s="191"/>
      <c r="E192" s="191"/>
      <c r="F192" s="191"/>
      <c r="G192" s="191"/>
      <c r="H192" s="191"/>
      <c r="I192" s="191"/>
      <c r="J192" s="191"/>
      <c r="K192" s="191"/>
      <c r="L192" s="191"/>
      <c r="M192" s="191"/>
      <c r="N192" s="191"/>
      <c r="O192" s="191"/>
      <c r="P192" s="192"/>
    </row>
    <row r="193" spans="1:22" s="605" customFormat="1">
      <c r="B193" s="193"/>
      <c r="C193" s="186" t="s">
        <v>1599</v>
      </c>
      <c r="D193" s="187"/>
      <c r="E193" s="188"/>
      <c r="F193" s="187"/>
      <c r="G193" s="188"/>
      <c r="H193" s="187"/>
      <c r="I193" s="187"/>
      <c r="J193" s="187"/>
      <c r="K193" s="187"/>
      <c r="L193" s="187"/>
      <c r="M193" s="187"/>
      <c r="N193" s="187"/>
      <c r="O193" s="188" t="s">
        <v>368</v>
      </c>
      <c r="P193" s="194"/>
    </row>
    <row r="194" spans="1:22" s="605" customFormat="1" ht="12.75">
      <c r="B194" s="193"/>
      <c r="C194" s="187"/>
      <c r="D194" s="187"/>
      <c r="E194" s="187"/>
      <c r="F194" s="187"/>
      <c r="G194" s="187"/>
      <c r="H194" s="187"/>
      <c r="I194" s="187"/>
      <c r="J194" s="187"/>
      <c r="K194" s="187"/>
      <c r="L194" s="187"/>
      <c r="M194" s="187"/>
      <c r="N194" s="187"/>
      <c r="O194" s="187"/>
      <c r="P194" s="194"/>
    </row>
    <row r="195" spans="1:22" s="605" customFormat="1" ht="15.75">
      <c r="B195" s="195"/>
      <c r="C195" s="221" t="s">
        <v>365</v>
      </c>
      <c r="D195" s="221" t="s">
        <v>337</v>
      </c>
      <c r="E195" s="221" t="s">
        <v>156</v>
      </c>
      <c r="F195" s="901" t="s">
        <v>203</v>
      </c>
      <c r="G195" s="902" t="s">
        <v>712</v>
      </c>
      <c r="H195" s="902" t="s">
        <v>713</v>
      </c>
      <c r="I195" s="902" t="s">
        <v>714</v>
      </c>
      <c r="J195" s="902" t="s">
        <v>715</v>
      </c>
      <c r="K195" s="902" t="s">
        <v>716</v>
      </c>
      <c r="L195" s="902" t="s">
        <v>717</v>
      </c>
      <c r="M195" s="902" t="s">
        <v>718</v>
      </c>
      <c r="N195" s="902" t="s">
        <v>719</v>
      </c>
      <c r="O195" s="902" t="s">
        <v>720</v>
      </c>
      <c r="P195" s="194"/>
    </row>
    <row r="196" spans="1:22" s="605" customFormat="1" ht="15.75">
      <c r="B196" s="195"/>
      <c r="C196" s="189" t="s">
        <v>350</v>
      </c>
      <c r="D196" s="196" t="s">
        <v>359</v>
      </c>
      <c r="E196" s="189" t="str">
        <f>INDEX(IPCC[Sector_description], MATCH([IPCC Sector], IPCC[Sector_code], 0))</f>
        <v>Fuel Combustion</v>
      </c>
      <c r="F196" s="197">
        <f t="shared" ref="F196:O198" si="59">F165</f>
        <v>3.0726872469131559</v>
      </c>
      <c r="G196" s="197">
        <f t="shared" si="59"/>
        <v>18.29421654212566</v>
      </c>
      <c r="H196" s="197">
        <f t="shared" si="59"/>
        <v>21.177514905456842</v>
      </c>
      <c r="I196" s="197">
        <f t="shared" si="59"/>
        <v>25.074678438244892</v>
      </c>
      <c r="J196" s="197">
        <f t="shared" si="59"/>
        <v>32.320342968977968</v>
      </c>
      <c r="K196" s="197">
        <f t="shared" si="59"/>
        <v>36.462928193339295</v>
      </c>
      <c r="L196" s="197">
        <f t="shared" si="59"/>
        <v>35.469500008939789</v>
      </c>
      <c r="M196" s="197">
        <f t="shared" si="59"/>
        <v>36.23072660274935</v>
      </c>
      <c r="N196" s="197">
        <f t="shared" si="59"/>
        <v>41.661688969135909</v>
      </c>
      <c r="O196" s="197">
        <f t="shared" si="59"/>
        <v>52.715327395312691</v>
      </c>
      <c r="P196" s="194"/>
    </row>
    <row r="197" spans="1:22" s="605" customFormat="1" ht="15.75">
      <c r="B197" s="195"/>
      <c r="C197" s="189" t="s">
        <v>351</v>
      </c>
      <c r="D197" s="196" t="s">
        <v>359</v>
      </c>
      <c r="E197" s="189" t="str">
        <f>INDEX(IPCC[Sector_description], MATCH([IPCC Sector], IPCC[Sector_code], 0))</f>
        <v>Fuel Combustion</v>
      </c>
      <c r="F197" s="197">
        <f t="shared" si="59"/>
        <v>0</v>
      </c>
      <c r="G197" s="197">
        <f t="shared" si="59"/>
        <v>0</v>
      </c>
      <c r="H197" s="197">
        <f t="shared" si="59"/>
        <v>0</v>
      </c>
      <c r="I197" s="197">
        <f t="shared" si="59"/>
        <v>0</v>
      </c>
      <c r="J197" s="197">
        <f t="shared" si="59"/>
        <v>0</v>
      </c>
      <c r="K197" s="197">
        <f t="shared" si="59"/>
        <v>0</v>
      </c>
      <c r="L197" s="197">
        <f t="shared" si="59"/>
        <v>0</v>
      </c>
      <c r="M197" s="197">
        <f t="shared" si="59"/>
        <v>0</v>
      </c>
      <c r="N197" s="197">
        <f t="shared" si="59"/>
        <v>0</v>
      </c>
      <c r="O197" s="197">
        <f t="shared" si="59"/>
        <v>0</v>
      </c>
      <c r="P197" s="194"/>
    </row>
    <row r="198" spans="1:22" s="605" customFormat="1" ht="15.75">
      <c r="B198" s="195"/>
      <c r="C198" s="189" t="s">
        <v>352</v>
      </c>
      <c r="D198" s="196" t="s">
        <v>359</v>
      </c>
      <c r="E198" s="189" t="str">
        <f>INDEX(IPCC[Sector_description], MATCH([IPCC Sector], IPCC[Sector_code], 0))</f>
        <v>Fuel Combustion</v>
      </c>
      <c r="F198" s="197">
        <f t="shared" si="59"/>
        <v>0</v>
      </c>
      <c r="G198" s="197">
        <f t="shared" si="59"/>
        <v>0</v>
      </c>
      <c r="H198" s="197">
        <f t="shared" si="59"/>
        <v>0</v>
      </c>
      <c r="I198" s="197">
        <f t="shared" si="59"/>
        <v>0</v>
      </c>
      <c r="J198" s="197">
        <f t="shared" si="59"/>
        <v>0</v>
      </c>
      <c r="K198" s="197">
        <f t="shared" si="59"/>
        <v>0</v>
      </c>
      <c r="L198" s="197">
        <f t="shared" si="59"/>
        <v>0</v>
      </c>
      <c r="M198" s="197">
        <f t="shared" si="59"/>
        <v>0</v>
      </c>
      <c r="N198" s="197">
        <f t="shared" si="59"/>
        <v>0</v>
      </c>
      <c r="O198" s="197">
        <f t="shared" si="59"/>
        <v>0</v>
      </c>
      <c r="P198" s="194"/>
    </row>
    <row r="199" spans="1:22" s="605" customFormat="1" ht="15.75">
      <c r="B199" s="195"/>
      <c r="C199" s="189" t="s">
        <v>103</v>
      </c>
      <c r="D199" s="189"/>
      <c r="E199" s="189"/>
      <c r="F199" s="223">
        <f>SUBTOTAL(109,[2007])</f>
        <v>3.0726872469131559</v>
      </c>
      <c r="G199" s="223">
        <f>SUBTOTAL(109,[2012])</f>
        <v>18.29421654212566</v>
      </c>
      <c r="H199" s="223">
        <f>SUBTOTAL(109,[2017])</f>
        <v>21.177514905456842</v>
      </c>
      <c r="I199" s="223">
        <f>SUBTOTAL(109,[2022])</f>
        <v>25.074678438244892</v>
      </c>
      <c r="J199" s="223">
        <f>SUBTOTAL(109,[2027])</f>
        <v>32.320342968977968</v>
      </c>
      <c r="K199" s="223">
        <f>SUBTOTAL(109,[2032])</f>
        <v>36.462928193339295</v>
      </c>
      <c r="L199" s="223">
        <f>SUBTOTAL(109,[2037])</f>
        <v>35.469500008939789</v>
      </c>
      <c r="M199" s="223">
        <f>SUBTOTAL(109,[2042])</f>
        <v>36.23072660274935</v>
      </c>
      <c r="N199" s="223">
        <f>SUBTOTAL(109,[2047])</f>
        <v>41.661688969135909</v>
      </c>
      <c r="O199" s="223">
        <f>SUBTOTAL(109,[2052])</f>
        <v>52.715327395312691</v>
      </c>
      <c r="P199" s="194"/>
    </row>
    <row r="200" spans="1:22" s="605" customFormat="1" ht="15.75">
      <c r="B200" s="195"/>
      <c r="C200" s="189"/>
      <c r="D200" s="189"/>
      <c r="E200" s="189"/>
      <c r="F200" s="223"/>
      <c r="G200" s="223"/>
      <c r="H200" s="223"/>
      <c r="I200" s="223"/>
      <c r="J200" s="223"/>
      <c r="K200" s="223"/>
      <c r="L200" s="223"/>
      <c r="M200" s="223"/>
      <c r="N200" s="223"/>
      <c r="O200" s="223"/>
      <c r="P200" s="194"/>
    </row>
    <row r="201" spans="1:22">
      <c r="A201" s="2138"/>
      <c r="B201" s="2012"/>
      <c r="P201" s="2012"/>
      <c r="Q201" s="2012"/>
      <c r="R201" s="2012"/>
      <c r="S201" s="2012"/>
      <c r="T201" s="2012"/>
      <c r="U201" s="2012"/>
      <c r="V201" s="2012"/>
    </row>
    <row r="202" spans="1:22">
      <c r="A202" s="2138"/>
      <c r="B202" s="2012"/>
      <c r="P202" s="2012"/>
      <c r="Q202" s="2012"/>
      <c r="R202" s="2012"/>
      <c r="S202" s="2012"/>
      <c r="T202" s="2012"/>
      <c r="U202" s="2012"/>
      <c r="V202" s="2012"/>
    </row>
    <row r="203" spans="1:22">
      <c r="A203" s="2138"/>
      <c r="B203" s="2012"/>
      <c r="P203" s="2012"/>
      <c r="Q203" s="2012"/>
      <c r="R203" s="2012"/>
      <c r="S203" s="2012"/>
      <c r="T203" s="2012"/>
      <c r="U203" s="2012"/>
      <c r="V203" s="2012"/>
    </row>
    <row r="204" spans="1:22">
      <c r="A204" s="2138"/>
      <c r="B204" s="2012"/>
      <c r="P204" s="2012"/>
      <c r="Q204" s="2012"/>
      <c r="R204" s="2012"/>
      <c r="S204" s="2012"/>
      <c r="T204" s="2012"/>
      <c r="U204" s="2012"/>
      <c r="V204" s="2012"/>
    </row>
    <row r="205" spans="1:22">
      <c r="A205" s="2138"/>
      <c r="B205" s="2012"/>
      <c r="P205" s="2012"/>
      <c r="Q205" s="2012"/>
      <c r="R205" s="2012"/>
      <c r="S205" s="2012"/>
      <c r="T205" s="2012"/>
      <c r="U205" s="2012"/>
      <c r="V205" s="2012"/>
    </row>
    <row r="206" spans="1:22">
      <c r="A206" s="2138"/>
      <c r="B206" s="2012"/>
      <c r="P206" s="2012"/>
      <c r="Q206" s="2012"/>
      <c r="R206" s="2012"/>
      <c r="S206" s="2012"/>
      <c r="T206" s="2012"/>
      <c r="U206" s="2012"/>
      <c r="V206" s="2012"/>
    </row>
    <row r="207" spans="1:22">
      <c r="A207" s="2138"/>
      <c r="B207" s="2012"/>
      <c r="P207" s="2012"/>
      <c r="Q207" s="2012"/>
      <c r="R207" s="2012"/>
      <c r="S207" s="2012"/>
      <c r="T207" s="2012"/>
      <c r="U207" s="2012"/>
      <c r="V207" s="2012"/>
    </row>
    <row r="208" spans="1:22">
      <c r="A208" s="2138"/>
      <c r="B208" s="2012"/>
      <c r="P208" s="2012"/>
      <c r="Q208" s="2012"/>
      <c r="R208" s="2012"/>
      <c r="S208" s="2012"/>
      <c r="T208" s="2012"/>
      <c r="U208" s="2012"/>
      <c r="V208" s="2012"/>
    </row>
    <row r="209" spans="1:22">
      <c r="A209" s="2138"/>
      <c r="B209" s="2012"/>
      <c r="P209" s="2012"/>
      <c r="Q209" s="2012"/>
      <c r="R209" s="2012"/>
      <c r="S209" s="2012"/>
      <c r="T209" s="2012"/>
      <c r="U209" s="2012"/>
      <c r="V209" s="2012"/>
    </row>
    <row r="210" spans="1:22">
      <c r="A210" s="2138"/>
      <c r="B210" s="2012"/>
      <c r="P210" s="2012"/>
      <c r="Q210" s="2012"/>
      <c r="R210" s="2012"/>
      <c r="S210" s="2012"/>
      <c r="T210" s="2012"/>
      <c r="U210" s="2012"/>
      <c r="V210" s="2012"/>
    </row>
    <row r="211" spans="1:22">
      <c r="A211" s="2138"/>
      <c r="B211" s="2012"/>
      <c r="P211" s="2012"/>
      <c r="Q211" s="2012"/>
      <c r="R211" s="2012"/>
      <c r="S211" s="2012"/>
      <c r="T211" s="2012"/>
      <c r="U211" s="2012"/>
      <c r="V211" s="2012"/>
    </row>
    <row r="212" spans="1:22">
      <c r="A212" s="2138"/>
      <c r="B212" s="2012"/>
      <c r="P212" s="2012"/>
      <c r="Q212" s="2012"/>
      <c r="R212" s="2012"/>
      <c r="S212" s="2012"/>
      <c r="T212" s="2012"/>
      <c r="U212" s="2012"/>
      <c r="V212" s="2012"/>
    </row>
    <row r="213" spans="1:22">
      <c r="A213" s="2138"/>
      <c r="B213" s="2012"/>
      <c r="P213" s="2012"/>
      <c r="Q213" s="2012"/>
      <c r="R213" s="2012"/>
      <c r="S213" s="2012"/>
      <c r="T213" s="2012"/>
      <c r="U213" s="2012"/>
      <c r="V213" s="2012"/>
    </row>
    <row r="214" spans="1:22">
      <c r="A214" s="2138"/>
      <c r="B214" s="2012"/>
      <c r="P214" s="2012"/>
      <c r="Q214" s="2012"/>
      <c r="R214" s="2012"/>
      <c r="S214" s="2012"/>
      <c r="T214" s="2012"/>
      <c r="U214" s="2012"/>
      <c r="V214" s="2012"/>
    </row>
    <row r="215" spans="1:22">
      <c r="A215" s="2138"/>
      <c r="B215" s="2012"/>
      <c r="P215" s="2012"/>
      <c r="Q215" s="2012"/>
      <c r="R215" s="2012"/>
      <c r="S215" s="2012"/>
      <c r="T215" s="2012"/>
      <c r="U215" s="2012"/>
      <c r="V215" s="2012"/>
    </row>
    <row r="216" spans="1:22">
      <c r="A216" s="2138"/>
      <c r="B216" s="2012"/>
      <c r="P216" s="2012"/>
      <c r="Q216" s="2012"/>
      <c r="R216" s="2012"/>
      <c r="S216" s="2012"/>
      <c r="T216" s="2012"/>
      <c r="U216" s="2012"/>
      <c r="V216" s="2012"/>
    </row>
    <row r="217" spans="1:22">
      <c r="A217" s="2138"/>
      <c r="B217" s="2012"/>
      <c r="P217" s="2012"/>
      <c r="Q217" s="2012"/>
      <c r="R217" s="2012"/>
      <c r="S217" s="2012"/>
      <c r="T217" s="2012"/>
      <c r="U217" s="2012"/>
      <c r="V217" s="2012"/>
    </row>
    <row r="218" spans="1:22">
      <c r="A218" s="2138"/>
      <c r="B218" s="2012"/>
      <c r="P218" s="2012"/>
      <c r="Q218" s="2012"/>
      <c r="R218" s="2012"/>
      <c r="S218" s="2012"/>
      <c r="T218" s="2012"/>
      <c r="U218" s="2012"/>
      <c r="V218" s="2012"/>
    </row>
    <row r="219" spans="1:22">
      <c r="A219" s="2138"/>
      <c r="B219" s="2012"/>
      <c r="P219" s="2012"/>
      <c r="Q219" s="2012"/>
      <c r="R219" s="2012"/>
      <c r="S219" s="2012"/>
      <c r="T219" s="2012"/>
      <c r="U219" s="2012"/>
      <c r="V219" s="2012"/>
    </row>
    <row r="220" spans="1:22">
      <c r="A220" s="2139"/>
      <c r="B220" s="2012"/>
      <c r="P220" s="2012"/>
      <c r="Q220" s="2012"/>
      <c r="R220" s="2012"/>
      <c r="S220" s="2012"/>
      <c r="T220" s="2012"/>
      <c r="U220" s="2012"/>
      <c r="V220" s="2012"/>
    </row>
    <row r="221" spans="1:22">
      <c r="A221" s="2139"/>
      <c r="B221" s="2012"/>
      <c r="P221" s="2012"/>
      <c r="Q221" s="2012"/>
      <c r="R221" s="2012"/>
      <c r="S221" s="2012"/>
      <c r="T221" s="2012"/>
      <c r="U221" s="2012"/>
      <c r="V221" s="2012"/>
    </row>
    <row r="222" spans="1:22">
      <c r="A222" s="2139"/>
      <c r="B222" s="2012"/>
      <c r="P222" s="2012"/>
      <c r="Q222" s="2012"/>
      <c r="R222" s="2012"/>
      <c r="S222" s="2012"/>
      <c r="T222" s="2012"/>
      <c r="U222" s="2012"/>
      <c r="V222" s="2012"/>
    </row>
    <row r="223" spans="1:22">
      <c r="A223" s="2107"/>
      <c r="B223" s="2012"/>
      <c r="P223" s="2012"/>
      <c r="Q223" s="2012"/>
      <c r="R223" s="2012"/>
      <c r="S223" s="2012"/>
      <c r="T223" s="2012"/>
      <c r="U223" s="2012"/>
      <c r="V223" s="2012"/>
    </row>
    <row r="224" spans="1:22">
      <c r="A224" s="2095"/>
      <c r="B224" s="2012"/>
      <c r="P224" s="2012"/>
      <c r="Q224" s="2012"/>
      <c r="R224" s="2012"/>
      <c r="S224" s="2012"/>
      <c r="T224" s="2012"/>
      <c r="U224" s="2012"/>
      <c r="V224" s="2012"/>
    </row>
    <row r="225" spans="1:22">
      <c r="A225" s="2107"/>
      <c r="B225" s="2012"/>
      <c r="P225" s="2012"/>
      <c r="Q225" s="2012"/>
      <c r="R225" s="2012"/>
      <c r="S225" s="2012"/>
      <c r="T225" s="2012"/>
      <c r="U225" s="2012"/>
      <c r="V225" s="2012"/>
    </row>
    <row r="226" spans="1:22">
      <c r="A226" s="2032"/>
      <c r="B226" s="2012"/>
      <c r="P226" s="2012"/>
      <c r="Q226" s="2012"/>
      <c r="R226" s="2012"/>
      <c r="S226" s="2012"/>
      <c r="T226" s="2012"/>
      <c r="U226" s="2012"/>
      <c r="V226" s="2012"/>
    </row>
    <row r="227" spans="1:22">
      <c r="A227" s="2032"/>
      <c r="B227" s="2012"/>
      <c r="P227" s="2012"/>
      <c r="Q227" s="2012"/>
      <c r="R227" s="2012"/>
      <c r="S227" s="2012"/>
      <c r="T227" s="2012"/>
      <c r="U227" s="2012"/>
      <c r="V227" s="2012"/>
    </row>
    <row r="228" spans="1:22">
      <c r="A228" s="2032"/>
      <c r="B228" s="2012"/>
      <c r="P228" s="2012"/>
      <c r="Q228" s="2012"/>
      <c r="R228" s="2012"/>
      <c r="S228" s="2012"/>
      <c r="T228" s="2012"/>
      <c r="U228" s="2012"/>
      <c r="V228" s="2012"/>
    </row>
    <row r="229" spans="1:22">
      <c r="A229" s="2032"/>
      <c r="B229" s="2012"/>
      <c r="P229" s="2012"/>
      <c r="Q229" s="2012"/>
      <c r="R229" s="2012"/>
      <c r="S229" s="2012"/>
      <c r="T229" s="2012"/>
      <c r="U229" s="2012"/>
      <c r="V229" s="2012"/>
    </row>
    <row r="230" spans="1:22">
      <c r="A230" s="2032"/>
      <c r="B230" s="2012"/>
      <c r="P230" s="2012"/>
      <c r="Q230" s="2012"/>
      <c r="R230" s="2012"/>
      <c r="S230" s="2012"/>
      <c r="T230" s="2012"/>
      <c r="U230" s="2012"/>
      <c r="V230" s="2012"/>
    </row>
    <row r="231" spans="1:22">
      <c r="A231" s="2032"/>
      <c r="B231" s="2012"/>
      <c r="P231" s="2012"/>
      <c r="Q231" s="2012"/>
      <c r="R231" s="2012"/>
      <c r="S231" s="2012"/>
      <c r="T231" s="2012"/>
      <c r="U231" s="2012"/>
      <c r="V231" s="2012"/>
    </row>
    <row r="232" spans="1:22">
      <c r="A232" s="2032"/>
      <c r="B232" s="2012"/>
      <c r="P232" s="2012"/>
      <c r="Q232" s="2012"/>
      <c r="R232" s="2012"/>
      <c r="S232" s="2012"/>
      <c r="T232" s="2012"/>
      <c r="U232" s="2012"/>
      <c r="V232" s="2012"/>
    </row>
    <row r="233" spans="1:22">
      <c r="A233" s="2032"/>
      <c r="B233" s="2012"/>
      <c r="P233" s="2012"/>
      <c r="Q233" s="2012"/>
      <c r="R233" s="2012"/>
      <c r="S233" s="2012"/>
      <c r="T233" s="2012"/>
      <c r="U233" s="2012"/>
      <c r="V233" s="2012"/>
    </row>
    <row r="234" spans="1:22">
      <c r="A234" s="2032"/>
      <c r="B234" s="2012"/>
      <c r="P234" s="2012"/>
      <c r="Q234" s="2012"/>
      <c r="R234" s="2012"/>
      <c r="S234" s="2012"/>
      <c r="T234" s="2012"/>
      <c r="U234" s="2012"/>
      <c r="V234" s="2012"/>
    </row>
    <row r="235" spans="1:22">
      <c r="A235" s="2032"/>
      <c r="B235" s="2012"/>
      <c r="P235" s="2012"/>
      <c r="Q235" s="2012"/>
      <c r="R235" s="2012"/>
      <c r="S235" s="2012"/>
      <c r="T235" s="2012"/>
      <c r="U235" s="2012"/>
      <c r="V235" s="2012"/>
    </row>
    <row r="236" spans="1:22">
      <c r="A236" s="2032"/>
      <c r="B236" s="2012"/>
      <c r="P236" s="2012"/>
      <c r="Q236" s="2012"/>
      <c r="R236" s="2012"/>
      <c r="S236" s="2012"/>
      <c r="T236" s="2012"/>
      <c r="U236" s="2012"/>
      <c r="V236" s="2012"/>
    </row>
    <row r="237" spans="1:22">
      <c r="A237" s="2032"/>
      <c r="B237" s="2012"/>
      <c r="P237" s="2012"/>
      <c r="Q237" s="2012"/>
      <c r="R237" s="2012"/>
      <c r="S237" s="2012"/>
      <c r="T237" s="2012"/>
      <c r="U237" s="2012"/>
      <c r="V237" s="2012"/>
    </row>
    <row r="238" spans="1:22">
      <c r="A238" s="2032"/>
      <c r="B238" s="2012"/>
      <c r="P238" s="2012"/>
      <c r="Q238" s="2012"/>
      <c r="R238" s="2012"/>
      <c r="S238" s="2012"/>
      <c r="T238" s="2012"/>
      <c r="U238" s="2012"/>
      <c r="V238" s="2012"/>
    </row>
    <row r="239" spans="1:22" ht="22.5">
      <c r="A239" s="2149"/>
      <c r="B239" s="2012"/>
      <c r="P239" s="2012"/>
      <c r="Q239" s="2012"/>
      <c r="R239" s="2012"/>
      <c r="S239" s="2012"/>
      <c r="T239" s="2012"/>
      <c r="U239" s="2012"/>
      <c r="V239" s="2012"/>
    </row>
    <row r="240" spans="1:22">
      <c r="A240" s="2010"/>
      <c r="B240" s="2012"/>
      <c r="P240" s="2012"/>
      <c r="Q240" s="2012"/>
      <c r="R240" s="2012"/>
      <c r="S240" s="2012"/>
      <c r="T240" s="2012"/>
      <c r="U240" s="2012"/>
      <c r="V240" s="2012"/>
    </row>
    <row r="241" spans="1:22">
      <c r="A241" s="2010"/>
      <c r="B241" s="2012"/>
      <c r="P241" s="2012"/>
      <c r="Q241" s="2012"/>
      <c r="R241" s="2012"/>
      <c r="S241" s="2012"/>
      <c r="T241" s="2012"/>
      <c r="U241" s="2012"/>
      <c r="V241" s="2012"/>
    </row>
    <row r="242" spans="1:22">
      <c r="A242" s="2010"/>
      <c r="B242" s="2012"/>
      <c r="P242" s="2012"/>
      <c r="Q242" s="2012"/>
      <c r="R242" s="2012"/>
      <c r="S242" s="2012"/>
      <c r="T242" s="2012"/>
      <c r="U242" s="2012"/>
      <c r="V242" s="2012"/>
    </row>
    <row r="243" spans="1:22" ht="15.75">
      <c r="A243" s="2150"/>
      <c r="B243" s="2012"/>
      <c r="P243" s="2012"/>
      <c r="Q243" s="2012"/>
      <c r="R243" s="2012"/>
      <c r="S243" s="2012"/>
      <c r="T243" s="2012"/>
      <c r="U243" s="2012"/>
      <c r="V243" s="2012"/>
    </row>
    <row r="244" spans="1:22" ht="15.75">
      <c r="A244" s="2150"/>
      <c r="B244" s="2012"/>
      <c r="P244" s="2012"/>
      <c r="Q244" s="2012"/>
      <c r="R244" s="2012"/>
      <c r="S244" s="2012"/>
      <c r="T244" s="2012"/>
      <c r="U244" s="2012"/>
      <c r="V244" s="2012"/>
    </row>
    <row r="245" spans="1:22" ht="15.75">
      <c r="A245" s="2150"/>
      <c r="B245" s="2012"/>
      <c r="P245" s="2012"/>
      <c r="Q245" s="2012"/>
      <c r="R245" s="2012"/>
      <c r="S245" s="2012"/>
      <c r="T245" s="2012"/>
      <c r="U245" s="2012"/>
      <c r="V245" s="2012"/>
    </row>
    <row r="246" spans="1:22" ht="15.75">
      <c r="A246" s="2150"/>
      <c r="B246" s="2012"/>
      <c r="P246" s="2012"/>
      <c r="Q246" s="2012"/>
      <c r="R246" s="2012"/>
      <c r="S246" s="2012"/>
      <c r="T246" s="2012"/>
      <c r="U246" s="2012"/>
      <c r="V246" s="2012"/>
    </row>
    <row r="247" spans="1:22" ht="15.75">
      <c r="A247" s="2150"/>
      <c r="B247" s="2012"/>
      <c r="P247" s="2012"/>
      <c r="Q247" s="2012"/>
      <c r="R247" s="2012"/>
      <c r="S247" s="2012"/>
      <c r="T247" s="2012"/>
      <c r="U247" s="2012"/>
      <c r="V247" s="2012"/>
    </row>
    <row r="248" spans="1:22" ht="15.75">
      <c r="A248" s="2150"/>
      <c r="B248" s="2012"/>
      <c r="P248" s="2012"/>
      <c r="Q248" s="2012"/>
      <c r="R248" s="2012"/>
      <c r="S248" s="2012"/>
      <c r="T248" s="2012"/>
      <c r="U248" s="2012"/>
      <c r="V248" s="2012"/>
    </row>
    <row r="249" spans="1:22" ht="15.75">
      <c r="A249" s="2150"/>
      <c r="B249" s="2012"/>
      <c r="P249" s="2012"/>
      <c r="Q249" s="2012"/>
      <c r="R249" s="2012"/>
      <c r="S249" s="2012"/>
      <c r="T249" s="2012"/>
      <c r="U249" s="2012"/>
      <c r="V249" s="2012"/>
    </row>
    <row r="250" spans="1:22" ht="15.75">
      <c r="A250" s="2150"/>
      <c r="B250" s="2012"/>
      <c r="P250" s="2012"/>
      <c r="Q250" s="2012"/>
      <c r="R250" s="2012"/>
      <c r="S250" s="2012"/>
      <c r="T250" s="2012"/>
      <c r="U250" s="2012"/>
      <c r="V250" s="2012"/>
    </row>
    <row r="251" spans="1:22" ht="15.75">
      <c r="A251" s="2150"/>
      <c r="B251" s="2012"/>
      <c r="P251" s="2012"/>
      <c r="Q251" s="2012"/>
      <c r="R251" s="2012"/>
      <c r="S251" s="2012"/>
      <c r="T251" s="2012"/>
      <c r="U251" s="2012"/>
      <c r="V251" s="2012"/>
    </row>
    <row r="252" spans="1:22" ht="15.75">
      <c r="A252" s="2150"/>
      <c r="B252" s="2012"/>
      <c r="P252" s="2012"/>
      <c r="Q252" s="2012"/>
      <c r="R252" s="2012"/>
      <c r="S252" s="2012"/>
      <c r="T252" s="2012"/>
      <c r="U252" s="2012"/>
      <c r="V252" s="2012"/>
    </row>
    <row r="253" spans="1:22" ht="15.75">
      <c r="A253" s="2150"/>
      <c r="B253" s="2012"/>
      <c r="P253" s="2012"/>
      <c r="Q253" s="2012"/>
      <c r="R253" s="2012"/>
      <c r="S253" s="2012"/>
      <c r="T253" s="2012"/>
      <c r="U253" s="2012"/>
      <c r="V253" s="2012"/>
    </row>
    <row r="254" spans="1:22" ht="15.75">
      <c r="A254" s="2150"/>
      <c r="B254" s="2012"/>
      <c r="P254" s="2012"/>
      <c r="Q254" s="2012"/>
      <c r="R254" s="2012"/>
      <c r="S254" s="2012"/>
      <c r="T254" s="2012"/>
      <c r="U254" s="2012"/>
      <c r="V254" s="2012"/>
    </row>
    <row r="255" spans="1:22" ht="15.75">
      <c r="A255" s="2150"/>
      <c r="B255" s="2012"/>
      <c r="P255" s="2012"/>
      <c r="Q255" s="2012"/>
      <c r="R255" s="2012"/>
      <c r="S255" s="2012"/>
      <c r="T255" s="2012"/>
      <c r="U255" s="2012"/>
      <c r="V255" s="2012"/>
    </row>
    <row r="256" spans="1:22" ht="15.75">
      <c r="A256" s="2150"/>
      <c r="B256" s="2012"/>
      <c r="P256" s="2012"/>
      <c r="Q256" s="2012"/>
      <c r="R256" s="2012"/>
      <c r="S256" s="2012"/>
      <c r="T256" s="2012"/>
      <c r="U256" s="2012"/>
      <c r="V256" s="2012"/>
    </row>
    <row r="257" spans="1:22" ht="15.75">
      <c r="A257" s="2150"/>
      <c r="B257" s="2012"/>
      <c r="P257" s="2012"/>
      <c r="Q257" s="2012"/>
      <c r="R257" s="2012"/>
      <c r="S257" s="2012"/>
      <c r="T257" s="2012"/>
      <c r="U257" s="2012"/>
      <c r="V257" s="2012"/>
    </row>
    <row r="258" spans="1:22" ht="15.75">
      <c r="A258" s="2150"/>
      <c r="B258" s="2012"/>
      <c r="P258" s="2012"/>
      <c r="Q258" s="2012"/>
      <c r="R258" s="2012"/>
      <c r="S258" s="2012"/>
      <c r="T258" s="2012"/>
      <c r="U258" s="2012"/>
      <c r="V258" s="2012"/>
    </row>
    <row r="259" spans="1:22" ht="15.75">
      <c r="A259" s="2150"/>
      <c r="B259" s="2012"/>
      <c r="P259" s="2012"/>
      <c r="Q259" s="2012"/>
      <c r="R259" s="2012"/>
      <c r="S259" s="2012"/>
      <c r="T259" s="2012"/>
      <c r="U259" s="2012"/>
      <c r="V259" s="2012"/>
    </row>
    <row r="260" spans="1:22" ht="15.75">
      <c r="A260" s="2150"/>
      <c r="B260" s="2012"/>
      <c r="P260" s="2012"/>
      <c r="Q260" s="2012"/>
      <c r="R260" s="2012"/>
      <c r="S260" s="2012"/>
      <c r="T260" s="2012"/>
      <c r="U260" s="2012"/>
      <c r="V260" s="2012"/>
    </row>
    <row r="261" spans="1:22" ht="15.75">
      <c r="A261" s="2150"/>
      <c r="B261" s="2012"/>
      <c r="P261" s="2012"/>
      <c r="Q261" s="2012"/>
      <c r="R261" s="2012"/>
      <c r="S261" s="2012"/>
      <c r="T261" s="2012"/>
      <c r="U261" s="2012"/>
      <c r="V261" s="2012"/>
    </row>
    <row r="262" spans="1:22" ht="15.75">
      <c r="A262" s="2150"/>
      <c r="B262" s="2012"/>
      <c r="P262" s="2012"/>
      <c r="Q262" s="2012"/>
      <c r="R262" s="2012"/>
      <c r="S262" s="2012"/>
      <c r="T262" s="2012"/>
      <c r="U262" s="2012"/>
      <c r="V262" s="2012"/>
    </row>
    <row r="263" spans="1:22" ht="15.75">
      <c r="A263" s="2150"/>
      <c r="B263" s="2012"/>
      <c r="P263" s="2012"/>
      <c r="Q263" s="2012"/>
      <c r="R263" s="2012"/>
      <c r="S263" s="2012"/>
      <c r="T263" s="2012"/>
      <c r="U263" s="2012"/>
      <c r="V263" s="2012"/>
    </row>
    <row r="264" spans="1:22" ht="15.75">
      <c r="A264" s="2150"/>
      <c r="B264" s="2012"/>
      <c r="P264" s="2012"/>
      <c r="Q264" s="2012"/>
      <c r="R264" s="2012"/>
      <c r="S264" s="2012"/>
      <c r="T264" s="2012"/>
      <c r="U264" s="2012"/>
      <c r="V264" s="2012"/>
    </row>
    <row r="265" spans="1:22" ht="15.75">
      <c r="A265" s="2150"/>
      <c r="B265" s="2012"/>
      <c r="P265" s="2012"/>
      <c r="Q265" s="2012"/>
      <c r="R265" s="2012"/>
      <c r="S265" s="2012"/>
      <c r="T265" s="2012"/>
      <c r="U265" s="2012"/>
      <c r="V265" s="2012"/>
    </row>
    <row r="266" spans="1:22" ht="15.75">
      <c r="A266" s="2150"/>
      <c r="B266" s="2012"/>
      <c r="P266" s="2012"/>
      <c r="Q266" s="2012"/>
      <c r="R266" s="2012"/>
      <c r="S266" s="2012"/>
      <c r="T266" s="2012"/>
      <c r="U266" s="2012"/>
      <c r="V266" s="2012"/>
    </row>
    <row r="267" spans="1:22" ht="15.75">
      <c r="A267" s="2150"/>
      <c r="B267" s="2012"/>
      <c r="P267" s="2012"/>
      <c r="Q267" s="2012"/>
      <c r="R267" s="2012"/>
      <c r="S267" s="2012"/>
      <c r="T267" s="2012"/>
      <c r="U267" s="2012"/>
      <c r="V267" s="2012"/>
    </row>
    <row r="268" spans="1:22" ht="15.75">
      <c r="A268" s="2150"/>
      <c r="B268" s="2012"/>
      <c r="P268" s="2012"/>
      <c r="Q268" s="2012"/>
      <c r="R268" s="2012"/>
      <c r="S268" s="2012"/>
      <c r="T268" s="2012"/>
      <c r="U268" s="2012"/>
      <c r="V268" s="2012"/>
    </row>
    <row r="269" spans="1:22" ht="15.75">
      <c r="A269" s="2150"/>
      <c r="B269" s="2012"/>
      <c r="P269" s="2012"/>
      <c r="Q269" s="2012"/>
      <c r="R269" s="2012"/>
      <c r="S269" s="2012"/>
      <c r="T269" s="2012"/>
      <c r="U269" s="2012"/>
      <c r="V269" s="2012"/>
    </row>
    <row r="270" spans="1:22" ht="15.75">
      <c r="A270" s="2150"/>
      <c r="B270" s="2012"/>
      <c r="P270" s="2012"/>
      <c r="Q270" s="2012"/>
      <c r="R270" s="2012"/>
      <c r="S270" s="2012"/>
      <c r="T270" s="2012"/>
      <c r="U270" s="2012"/>
      <c r="V270" s="2012"/>
    </row>
    <row r="271" spans="1:22" ht="15.75">
      <c r="A271" s="2150"/>
      <c r="B271" s="2012"/>
      <c r="P271" s="2012"/>
      <c r="Q271" s="2012"/>
      <c r="R271" s="2012"/>
      <c r="S271" s="2012"/>
      <c r="T271" s="2012"/>
      <c r="U271" s="2012"/>
      <c r="V271" s="2012"/>
    </row>
    <row r="272" spans="1:22" ht="15.75">
      <c r="A272" s="2150"/>
      <c r="B272" s="2012"/>
      <c r="P272" s="2012"/>
      <c r="Q272" s="2012"/>
      <c r="R272" s="2012"/>
      <c r="S272" s="2012"/>
      <c r="T272" s="2012"/>
      <c r="U272" s="2012"/>
      <c r="V272" s="2012"/>
    </row>
    <row r="273" spans="1:22" ht="15.75">
      <c r="A273" s="2150"/>
      <c r="B273" s="2012"/>
      <c r="P273" s="2012"/>
      <c r="Q273" s="2012"/>
      <c r="R273" s="2012"/>
      <c r="S273" s="2012"/>
      <c r="T273" s="2012"/>
      <c r="U273" s="2012"/>
      <c r="V273" s="2012"/>
    </row>
    <row r="274" spans="1:22" ht="15.75">
      <c r="A274" s="2150"/>
      <c r="B274" s="2012"/>
      <c r="P274" s="2012"/>
      <c r="Q274" s="2012"/>
      <c r="R274" s="2012"/>
      <c r="S274" s="2012"/>
      <c r="T274" s="2012"/>
      <c r="U274" s="2012"/>
      <c r="V274" s="2012"/>
    </row>
    <row r="276" spans="1:22" ht="22.5">
      <c r="A276" s="2149"/>
      <c r="B276" s="2012"/>
      <c r="P276" s="2012"/>
      <c r="Q276" s="2012"/>
      <c r="R276" s="2012"/>
      <c r="S276" s="2012"/>
      <c r="T276" s="2012"/>
      <c r="U276" s="2012"/>
      <c r="V276" s="2012"/>
    </row>
    <row r="277" spans="1:22">
      <c r="A277" s="2010"/>
      <c r="B277" s="2012"/>
      <c r="P277" s="2012"/>
      <c r="Q277" s="2012"/>
      <c r="R277" s="2012"/>
      <c r="S277" s="2012"/>
      <c r="T277" s="2012"/>
      <c r="U277" s="2012"/>
      <c r="V277" s="2012"/>
    </row>
    <row r="278" spans="1:22">
      <c r="A278" s="2010"/>
      <c r="B278" s="2012"/>
      <c r="P278" s="2012"/>
      <c r="Q278" s="2012"/>
      <c r="R278" s="2012"/>
      <c r="S278" s="2012"/>
      <c r="T278" s="2012"/>
      <c r="U278" s="2012"/>
      <c r="V278" s="2012"/>
    </row>
    <row r="279" spans="1:22">
      <c r="A279" s="2010"/>
      <c r="B279" s="2012"/>
      <c r="P279" s="2012"/>
      <c r="Q279" s="2012"/>
      <c r="R279" s="2012"/>
      <c r="S279" s="2012"/>
      <c r="T279" s="2012"/>
      <c r="U279" s="2012"/>
      <c r="V279" s="2012"/>
    </row>
    <row r="280" spans="1:22">
      <c r="A280" s="2010"/>
      <c r="B280" s="2012"/>
      <c r="P280" s="2012"/>
      <c r="Q280" s="2012"/>
      <c r="R280" s="2012"/>
      <c r="S280" s="2012"/>
      <c r="T280" s="2012"/>
      <c r="U280" s="2012"/>
      <c r="V280" s="2012"/>
    </row>
    <row r="343" spans="1:22">
      <c r="A343" s="2012"/>
      <c r="B343" s="2012"/>
      <c r="F343" s="2009">
        <v>0</v>
      </c>
      <c r="G343" s="2009">
        <v>0</v>
      </c>
      <c r="H343" s="2009">
        <v>0</v>
      </c>
      <c r="I343" s="2009">
        <v>0</v>
      </c>
      <c r="J343" s="2009">
        <v>0</v>
      </c>
      <c r="K343" s="2009">
        <v>0</v>
      </c>
      <c r="L343" s="2009">
        <v>0</v>
      </c>
      <c r="M343" s="2009">
        <v>0</v>
      </c>
      <c r="N343" s="2009">
        <v>0</v>
      </c>
      <c r="O343" s="2009">
        <v>0</v>
      </c>
      <c r="P343" s="2012"/>
      <c r="Q343" s="2012"/>
      <c r="R343" s="2012"/>
      <c r="S343" s="2012"/>
      <c r="T343" s="2012"/>
      <c r="U343" s="2012"/>
      <c r="V343" s="2012"/>
    </row>
    <row r="344" spans="1:22">
      <c r="A344" s="2012"/>
      <c r="B344" s="2012"/>
      <c r="F344" s="2009">
        <v>0</v>
      </c>
      <c r="G344" s="2009">
        <v>0</v>
      </c>
      <c r="H344" s="2009">
        <v>0</v>
      </c>
      <c r="I344" s="2009">
        <v>0</v>
      </c>
      <c r="J344" s="2009">
        <v>0</v>
      </c>
      <c r="K344" s="2009">
        <v>0</v>
      </c>
      <c r="L344" s="2009">
        <v>0</v>
      </c>
      <c r="M344" s="2009">
        <v>0</v>
      </c>
      <c r="N344" s="2009">
        <v>0</v>
      </c>
      <c r="O344" s="2009">
        <v>0</v>
      </c>
      <c r="P344" s="2012"/>
      <c r="Q344" s="2012"/>
      <c r="R344" s="2012"/>
      <c r="S344" s="2012"/>
      <c r="T344" s="2012"/>
      <c r="U344" s="2012"/>
      <c r="V344" s="2012"/>
    </row>
    <row r="345" spans="1:22">
      <c r="A345" s="2012"/>
      <c r="B345" s="2012"/>
      <c r="F345" s="2009">
        <v>0</v>
      </c>
      <c r="G345" s="2009">
        <v>0</v>
      </c>
      <c r="H345" s="2009">
        <v>0</v>
      </c>
      <c r="I345" s="2009">
        <v>0</v>
      </c>
      <c r="J345" s="2009">
        <v>0</v>
      </c>
      <c r="K345" s="2009">
        <v>0</v>
      </c>
      <c r="L345" s="2009">
        <v>0</v>
      </c>
      <c r="M345" s="2009">
        <v>0</v>
      </c>
      <c r="N345" s="2009">
        <v>0</v>
      </c>
      <c r="O345" s="2009">
        <v>0</v>
      </c>
      <c r="P345" s="2012"/>
      <c r="Q345" s="2012"/>
      <c r="R345" s="2012"/>
      <c r="S345" s="2012"/>
      <c r="T345" s="2012"/>
      <c r="U345" s="2012"/>
      <c r="V345" s="2012"/>
    </row>
  </sheetData>
  <pageMargins left="0.7" right="0.7" top="0.75" bottom="0.75" header="0.3" footer="0.3"/>
  <pageSetup orientation="portrait"/>
  <tableParts count="2">
    <tablePart r:id="rId1"/>
    <tablePart r:id="rId2"/>
  </tableParts>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sheetPr>
    <tabColor theme="9"/>
    <outlinePr summaryBelow="0"/>
    <pageSetUpPr autoPageBreaks="0"/>
  </sheetPr>
  <dimension ref="A1:AC691"/>
  <sheetViews>
    <sheetView showGridLines="0" topLeftCell="A61" zoomScale="85" zoomScaleNormal="85" zoomScalePageLayoutView="85" workbookViewId="0">
      <selection activeCell="G84" sqref="G84"/>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16384" width="8.85546875" style="605"/>
  </cols>
  <sheetData>
    <row r="1" spans="1:16" ht="21">
      <c r="A1" s="77" t="s">
        <v>409</v>
      </c>
      <c r="B1" s="77" t="str">
        <f>INDEX(Workstreams[Workstream], MATCH($A1, Workstreams[Code], 0))</f>
        <v>Transfer</v>
      </c>
      <c r="C1" s="77"/>
    </row>
    <row r="2" spans="1:16" s="51" customFormat="1" ht="19.5" customHeight="1">
      <c r="A2" s="6" t="s">
        <v>410</v>
      </c>
      <c r="B2" s="6" t="str">
        <f>INDEX(Modules[Module], MATCH($A2, Modules[Code], 0))</f>
        <v>Fossil Fuel Transfer</v>
      </c>
      <c r="C2" s="6"/>
      <c r="E2" s="404"/>
    </row>
    <row r="4" spans="1:16" ht="22.5">
      <c r="A4" s="420"/>
      <c r="B4" s="206" t="s">
        <v>201</v>
      </c>
      <c r="C4" s="175"/>
      <c r="D4" s="175"/>
      <c r="E4" s="175"/>
      <c r="F4" s="175"/>
      <c r="G4" s="175"/>
      <c r="H4" s="175"/>
      <c r="I4" s="175"/>
      <c r="J4" s="175"/>
      <c r="K4" s="175"/>
      <c r="L4" s="175"/>
      <c r="M4" s="175"/>
      <c r="N4" s="175"/>
      <c r="O4" s="175"/>
      <c r="P4" s="177"/>
    </row>
    <row r="5" spans="1:16">
      <c r="B5" s="164"/>
      <c r="C5" s="166"/>
      <c r="D5" s="166"/>
      <c r="E5" s="166"/>
      <c r="F5" s="166"/>
      <c r="G5" s="166"/>
      <c r="H5" s="166"/>
      <c r="I5" s="166"/>
      <c r="J5" s="166"/>
      <c r="K5" s="166"/>
      <c r="L5" s="166"/>
      <c r="M5" s="166"/>
      <c r="N5" s="166"/>
      <c r="O5" s="166"/>
      <c r="P5" s="168"/>
    </row>
    <row r="6" spans="1:16">
      <c r="B6" s="164"/>
      <c r="C6" s="178" t="s">
        <v>1793</v>
      </c>
      <c r="D6" s="166"/>
      <c r="E6" s="167"/>
      <c r="F6" s="166"/>
      <c r="G6" s="166"/>
      <c r="H6" s="166"/>
      <c r="I6" s="166"/>
      <c r="J6" s="166"/>
      <c r="K6" s="166"/>
      <c r="L6" s="166"/>
      <c r="M6" s="166"/>
      <c r="N6" s="166"/>
      <c r="O6" s="167" t="str">
        <f>preferences.energyunits</f>
        <v>TWh</v>
      </c>
      <c r="P6" s="168"/>
    </row>
    <row r="7" spans="1:16" ht="6" customHeight="1">
      <c r="B7" s="164"/>
      <c r="C7" s="165"/>
      <c r="D7" s="166"/>
      <c r="E7" s="167"/>
      <c r="F7" s="166"/>
      <c r="G7" s="166"/>
      <c r="H7" s="166"/>
      <c r="I7" s="166"/>
      <c r="J7" s="166"/>
      <c r="K7" s="166"/>
      <c r="L7" s="166"/>
      <c r="M7" s="166"/>
      <c r="N7" s="166"/>
      <c r="O7" s="166"/>
      <c r="P7" s="168"/>
    </row>
    <row r="8" spans="1:16" s="51" customFormat="1" ht="15.75">
      <c r="A8" s="53"/>
      <c r="B8" s="179"/>
      <c r="C8" s="180" t="s">
        <v>64</v>
      </c>
      <c r="D8" s="180" t="s">
        <v>137</v>
      </c>
      <c r="E8" s="180" t="s">
        <v>156</v>
      </c>
      <c r="F8" s="2310" t="s">
        <v>203</v>
      </c>
      <c r="G8" s="2311" t="s">
        <v>712</v>
      </c>
      <c r="H8" s="2311" t="s">
        <v>713</v>
      </c>
      <c r="I8" s="2311" t="s">
        <v>714</v>
      </c>
      <c r="J8" s="2311" t="s">
        <v>715</v>
      </c>
      <c r="K8" s="2311" t="s">
        <v>716</v>
      </c>
      <c r="L8" s="2311" t="s">
        <v>717</v>
      </c>
      <c r="M8" s="2311" t="s">
        <v>718</v>
      </c>
      <c r="N8" s="2311" t="s">
        <v>719</v>
      </c>
      <c r="O8" s="2311" t="s">
        <v>720</v>
      </c>
      <c r="P8" s="419"/>
    </row>
    <row r="9" spans="1:16" s="51" customFormat="1" ht="15.75">
      <c r="A9" s="53"/>
      <c r="B9" s="179"/>
      <c r="C9" s="180" t="s">
        <v>36</v>
      </c>
      <c r="D9" s="60" t="str">
        <f>INDEX(Vectors[Description], MATCH([Vector], Vectors[Code], 0))</f>
        <v>Solid hydrocarbons</v>
      </c>
      <c r="E9" s="180"/>
      <c r="F9" s="2302">
        <f ca="1">INDEX(INDIRECT("'"&amp;XVI.a.Inputs[#Headers]&amp;"'!Year.Matrix"), MATCH("Subtotal."&amp;$A$2, INDIRECT("'"&amp;XVI.a.Inputs[#Headers]&amp;"'!Year.Modules"), 0), MATCH([Vector], INDIRECT("'"&amp;XVI.a.Inputs[#Headers]&amp;"'!Year.Vectors"), 0))</f>
        <v>-2316.2462455929053</v>
      </c>
      <c r="G9" s="220">
        <f ca="1">INDEX(INDIRECT("'"&amp;XVI.a.Inputs[#Headers]&amp;"'!Year.Matrix"), MATCH("Subtotal."&amp;$A$2, INDIRECT("'"&amp;XVI.a.Inputs[#Headers]&amp;"'!Year.Modules"), 0), MATCH([Vector], INDIRECT("'"&amp;XVI.a.Inputs[#Headers]&amp;"'!Year.Vectors"), 0))</f>
        <v>-3238.2489822140624</v>
      </c>
      <c r="H9" s="220">
        <f ca="1">INDEX(INDIRECT("'"&amp;XVI.a.Inputs[#Headers]&amp;"'!Year.Matrix"), MATCH("Subtotal."&amp;$A$2, INDIRECT("'"&amp;XVI.a.Inputs[#Headers]&amp;"'!Year.Modules"), 0), MATCH([Vector], INDIRECT("'"&amp;XVI.a.Inputs[#Headers]&amp;"'!Year.Vectors"), 0))</f>
        <v>-4492.7367614435316</v>
      </c>
      <c r="I9" s="220">
        <f ca="1">INDEX(INDIRECT("'"&amp;XVI.a.Inputs[#Headers]&amp;"'!Year.Matrix"), MATCH("Subtotal."&amp;$A$2, INDIRECT("'"&amp;XVI.a.Inputs[#Headers]&amp;"'!Year.Modules"), 0), MATCH([Vector], INDIRECT("'"&amp;XVI.a.Inputs[#Headers]&amp;"'!Year.Vectors"), 0))</f>
        <v>-6652.3651747013391</v>
      </c>
      <c r="J9" s="220">
        <f ca="1">INDEX(INDIRECT("'"&amp;XVI.a.Inputs[#Headers]&amp;"'!Year.Matrix"), MATCH("Subtotal."&amp;$A$2, INDIRECT("'"&amp;XVI.a.Inputs[#Headers]&amp;"'!Year.Modules"), 0), MATCH([Vector], INDIRECT("'"&amp;XVI.a.Inputs[#Headers]&amp;"'!Year.Vectors"), 0))</f>
        <v>-9337.4357162545803</v>
      </c>
      <c r="K9" s="220">
        <f ca="1">INDEX(INDIRECT("'"&amp;XVI.a.Inputs[#Headers]&amp;"'!Year.Matrix"), MATCH("Subtotal."&amp;$A$2, INDIRECT("'"&amp;XVI.a.Inputs[#Headers]&amp;"'!Year.Modules"), 0), MATCH([Vector], INDIRECT("'"&amp;XVI.a.Inputs[#Headers]&amp;"'!Year.Vectors"), 0))</f>
        <v>-12807.871055210169</v>
      </c>
      <c r="L9" s="220">
        <f ca="1">INDEX(INDIRECT("'"&amp;XVI.a.Inputs[#Headers]&amp;"'!Year.Matrix"), MATCH("Subtotal."&amp;$A$2, INDIRECT("'"&amp;XVI.a.Inputs[#Headers]&amp;"'!Year.Modules"), 0), MATCH([Vector], INDIRECT("'"&amp;XVI.a.Inputs[#Headers]&amp;"'!Year.Vectors"), 0))</f>
        <v>-16014.06130301861</v>
      </c>
      <c r="M9" s="220">
        <f ca="1">INDEX(INDIRECT("'"&amp;XVI.a.Inputs[#Headers]&amp;"'!Year.Matrix"), MATCH("Subtotal."&amp;$A$2, INDIRECT("'"&amp;XVI.a.Inputs[#Headers]&amp;"'!Year.Modules"), 0), MATCH([Vector], INDIRECT("'"&amp;XVI.a.Inputs[#Headers]&amp;"'!Year.Vectors"), 0))</f>
        <v>-19519.972798371477</v>
      </c>
      <c r="N9" s="220">
        <f ca="1">INDEX(INDIRECT("'"&amp;XVI.a.Inputs[#Headers]&amp;"'!Year.Matrix"), MATCH("Subtotal."&amp;$A$2, INDIRECT("'"&amp;XVI.a.Inputs[#Headers]&amp;"'!Year.Modules"), 0), MATCH([Vector], INDIRECT("'"&amp;XVI.a.Inputs[#Headers]&amp;"'!Year.Vectors"), 0))</f>
        <v>-22648.081872617422</v>
      </c>
      <c r="O9" s="220">
        <f ca="1">INDEX(INDIRECT("'"&amp;XVI.a.Inputs[#Headers]&amp;"'!Year.Matrix"), MATCH("Subtotal."&amp;$A$2, INDIRECT("'"&amp;XVI.a.Inputs[#Headers]&amp;"'!Year.Modules"), 0), MATCH([Vector], INDIRECT("'"&amp;XVI.a.Inputs[#Headers]&amp;"'!Year.Vectors"), 0))</f>
        <v>-26136.766339922484</v>
      </c>
      <c r="P9" s="659"/>
    </row>
    <row r="10" spans="1:16" s="51" customFormat="1" ht="15.75">
      <c r="A10" s="53"/>
      <c r="B10" s="179"/>
      <c r="C10" s="180" t="s">
        <v>38</v>
      </c>
      <c r="D10" s="60" t="str">
        <f>INDEX(Vectors[Description], MATCH([Vector], Vectors[Code], 0))</f>
        <v>Liquid hydrocarbons</v>
      </c>
      <c r="E10" s="180"/>
      <c r="F10" s="2302">
        <f ca="1">INDEX(INDIRECT("'"&amp;XVI.a.Inputs[#Headers]&amp;"'!Year.Matrix"), MATCH("Subtotal."&amp;$A$2, INDIRECT("'"&amp;XVI.a.Inputs[#Headers]&amp;"'!Year.Modules"), 0), MATCH([Vector], INDIRECT("'"&amp;XVI.a.Inputs[#Headers]&amp;"'!Year.Vectors"), 0))</f>
        <v>-1507.1271398060596</v>
      </c>
      <c r="G10" s="220">
        <f ca="1">INDEX(INDIRECT("'"&amp;XVI.a.Inputs[#Headers]&amp;"'!Year.Matrix"), MATCH("Subtotal."&amp;$A$2, INDIRECT("'"&amp;XVI.a.Inputs[#Headers]&amp;"'!Year.Modules"), 0), MATCH([Vector], INDIRECT("'"&amp;XVI.a.Inputs[#Headers]&amp;"'!Year.Vectors"), 0))</f>
        <v>-1784.651663575698</v>
      </c>
      <c r="H10" s="220">
        <f ca="1">INDEX(INDIRECT("'"&amp;XVI.a.Inputs[#Headers]&amp;"'!Year.Matrix"), MATCH("Subtotal."&amp;$A$2, INDIRECT("'"&amp;XVI.a.Inputs[#Headers]&amp;"'!Year.Modules"), 0), MATCH([Vector], INDIRECT("'"&amp;XVI.a.Inputs[#Headers]&amp;"'!Year.Vectors"), 0))</f>
        <v>-2411.9078582714656</v>
      </c>
      <c r="I10" s="220">
        <f ca="1">INDEX(INDIRECT("'"&amp;XVI.a.Inputs[#Headers]&amp;"'!Year.Matrix"), MATCH("Subtotal."&amp;$A$2, INDIRECT("'"&amp;XVI.a.Inputs[#Headers]&amp;"'!Year.Modules"), 0), MATCH([Vector], INDIRECT("'"&amp;XVI.a.Inputs[#Headers]&amp;"'!Year.Vectors"), 0))</f>
        <v>-3234.6504852809785</v>
      </c>
      <c r="J10" s="220">
        <f ca="1">INDEX(INDIRECT("'"&amp;XVI.a.Inputs[#Headers]&amp;"'!Year.Matrix"), MATCH("Subtotal."&amp;$A$2, INDIRECT("'"&amp;XVI.a.Inputs[#Headers]&amp;"'!Year.Modules"), 0), MATCH([Vector], INDIRECT("'"&amp;XVI.a.Inputs[#Headers]&amp;"'!Year.Vectors"), 0))</f>
        <v>-4212.5909264416923</v>
      </c>
      <c r="K10" s="220">
        <f ca="1">INDEX(INDIRECT("'"&amp;XVI.a.Inputs[#Headers]&amp;"'!Year.Matrix"), MATCH("Subtotal."&amp;$A$2, INDIRECT("'"&amp;XVI.a.Inputs[#Headers]&amp;"'!Year.Modules"), 0), MATCH([Vector], INDIRECT("'"&amp;XVI.a.Inputs[#Headers]&amp;"'!Year.Vectors"), 0))</f>
        <v>-5358.4146289769687</v>
      </c>
      <c r="L10" s="220">
        <f ca="1">INDEX(INDIRECT("'"&amp;XVI.a.Inputs[#Headers]&amp;"'!Year.Matrix"), MATCH("Subtotal."&amp;$A$2, INDIRECT("'"&amp;XVI.a.Inputs[#Headers]&amp;"'!Year.Modules"), 0), MATCH([Vector], INDIRECT("'"&amp;XVI.a.Inputs[#Headers]&amp;"'!Year.Vectors"), 0))</f>
        <v>-6640.1663941009338</v>
      </c>
      <c r="M10" s="220">
        <f ca="1">INDEX(INDIRECT("'"&amp;XVI.a.Inputs[#Headers]&amp;"'!Year.Matrix"), MATCH("Subtotal."&amp;$A$2, INDIRECT("'"&amp;XVI.a.Inputs[#Headers]&amp;"'!Year.Modules"), 0), MATCH([Vector], INDIRECT("'"&amp;XVI.a.Inputs[#Headers]&amp;"'!Year.Vectors"), 0))</f>
        <v>-7941.6375424720536</v>
      </c>
      <c r="N10" s="220">
        <f ca="1">INDEX(INDIRECT("'"&amp;XVI.a.Inputs[#Headers]&amp;"'!Year.Matrix"), MATCH("Subtotal."&amp;$A$2, INDIRECT("'"&amp;XVI.a.Inputs[#Headers]&amp;"'!Year.Modules"), 0), MATCH([Vector], INDIRECT("'"&amp;XVI.a.Inputs[#Headers]&amp;"'!Year.Vectors"), 0))</f>
        <v>-9406.0009467822001</v>
      </c>
      <c r="O10" s="220">
        <f ca="1">INDEX(INDIRECT("'"&amp;XVI.a.Inputs[#Headers]&amp;"'!Year.Matrix"), MATCH("Subtotal."&amp;$A$2, INDIRECT("'"&amp;XVI.a.Inputs[#Headers]&amp;"'!Year.Modules"), 0), MATCH([Vector], INDIRECT("'"&amp;XVI.a.Inputs[#Headers]&amp;"'!Year.Vectors"), 0))</f>
        <v>-10972.387434756452</v>
      </c>
      <c r="P10" s="659"/>
    </row>
    <row r="11" spans="1:16" s="51" customFormat="1" ht="18" customHeight="1">
      <c r="A11" s="53"/>
      <c r="B11" s="179"/>
      <c r="C11" s="60" t="s">
        <v>39</v>
      </c>
      <c r="D11" s="60" t="str">
        <f>INDEX(Vectors[Description], MATCH([Vector], Vectors[Code], 0))</f>
        <v>Gaseous hydrocarbons</v>
      </c>
      <c r="E11" s="60"/>
      <c r="F11" s="2302">
        <f ca="1">INDEX(INDIRECT("'"&amp;XVI.a.Inputs[#Headers]&amp;"'!Year.Matrix"), MATCH("Subtotal."&amp;$A$2, INDIRECT("'"&amp;XVI.a.Inputs[#Headers]&amp;"'!Year.Modules"), 0), MATCH([Vector], INDIRECT("'"&amp;XVI.a.Inputs[#Headers]&amp;"'!Year.Vectors"), 0))</f>
        <v>-391.63118885861206</v>
      </c>
      <c r="G11" s="220">
        <f ca="1">INDEX(INDIRECT("'"&amp;XVI.a.Inputs[#Headers]&amp;"'!Year.Matrix"), MATCH("Subtotal."&amp;$A$2, INDIRECT("'"&amp;XVI.a.Inputs[#Headers]&amp;"'!Year.Modules"), 0), MATCH([Vector], INDIRECT("'"&amp;XVI.a.Inputs[#Headers]&amp;"'!Year.Vectors"), 0))</f>
        <v>-528.69309749721958</v>
      </c>
      <c r="H11" s="220">
        <f ca="1">INDEX(INDIRECT("'"&amp;XVI.a.Inputs[#Headers]&amp;"'!Year.Matrix"), MATCH("Subtotal."&amp;$A$2, INDIRECT("'"&amp;XVI.a.Inputs[#Headers]&amp;"'!Year.Modules"), 0), MATCH([Vector], INDIRECT("'"&amp;XVI.a.Inputs[#Headers]&amp;"'!Year.Vectors"), 0))</f>
        <v>-829.89050389944953</v>
      </c>
      <c r="I11" s="220">
        <f ca="1">INDEX(INDIRECT("'"&amp;XVI.a.Inputs[#Headers]&amp;"'!Year.Matrix"), MATCH("Subtotal."&amp;$A$2, INDIRECT("'"&amp;XVI.a.Inputs[#Headers]&amp;"'!Year.Modules"), 0), MATCH([Vector], INDIRECT("'"&amp;XVI.a.Inputs[#Headers]&amp;"'!Year.Vectors"), 0))</f>
        <v>-982.07769091299144</v>
      </c>
      <c r="J11" s="220">
        <f ca="1">INDEX(INDIRECT("'"&amp;XVI.a.Inputs[#Headers]&amp;"'!Year.Matrix"), MATCH("Subtotal."&amp;$A$2, INDIRECT("'"&amp;XVI.a.Inputs[#Headers]&amp;"'!Year.Modules"), 0), MATCH([Vector], INDIRECT("'"&amp;XVI.a.Inputs[#Headers]&amp;"'!Year.Vectors"), 0))</f>
        <v>-1135.9700535002041</v>
      </c>
      <c r="K11" s="220">
        <f ca="1">INDEX(INDIRECT("'"&amp;XVI.a.Inputs[#Headers]&amp;"'!Year.Matrix"), MATCH("Subtotal."&amp;$A$2, INDIRECT("'"&amp;XVI.a.Inputs[#Headers]&amp;"'!Year.Modules"), 0), MATCH([Vector], INDIRECT("'"&amp;XVI.a.Inputs[#Headers]&amp;"'!Year.Vectors"), 0))</f>
        <v>-1325.6966476614132</v>
      </c>
      <c r="L11" s="220">
        <f ca="1">INDEX(INDIRECT("'"&amp;XVI.a.Inputs[#Headers]&amp;"'!Year.Matrix"), MATCH("Subtotal."&amp;$A$2, INDIRECT("'"&amp;XVI.a.Inputs[#Headers]&amp;"'!Year.Modules"), 0), MATCH([Vector], INDIRECT("'"&amp;XVI.a.Inputs[#Headers]&amp;"'!Year.Vectors"), 0))</f>
        <v>-1540.5893033755879</v>
      </c>
      <c r="M11" s="220">
        <f ca="1">INDEX(INDIRECT("'"&amp;XVI.a.Inputs[#Headers]&amp;"'!Year.Matrix"), MATCH("Subtotal."&amp;$A$2, INDIRECT("'"&amp;XVI.a.Inputs[#Headers]&amp;"'!Year.Modules"), 0), MATCH([Vector], INDIRECT("'"&amp;XVI.a.Inputs[#Headers]&amp;"'!Year.Vectors"), 0))</f>
        <v>-1779.7060889575037</v>
      </c>
      <c r="N11" s="220">
        <f ca="1">INDEX(INDIRECT("'"&amp;XVI.a.Inputs[#Headers]&amp;"'!Year.Matrix"), MATCH("Subtotal."&amp;$A$2, INDIRECT("'"&amp;XVI.a.Inputs[#Headers]&amp;"'!Year.Modules"), 0), MATCH([Vector], INDIRECT("'"&amp;XVI.a.Inputs[#Headers]&amp;"'!Year.Vectors"), 0))</f>
        <v>-2040.3339382357783</v>
      </c>
      <c r="O11" s="220">
        <f ca="1">INDEX(INDIRECT("'"&amp;XVI.a.Inputs[#Headers]&amp;"'!Year.Matrix"), MATCH("Subtotal."&amp;$A$2, INDIRECT("'"&amp;XVI.a.Inputs[#Headers]&amp;"'!Year.Modules"), 0), MATCH([Vector], INDIRECT("'"&amp;XVI.a.Inputs[#Headers]&amp;"'!Year.Vectors"), 0))</f>
        <v>-2332.7535879685406</v>
      </c>
      <c r="P11" s="181"/>
    </row>
    <row r="12" spans="1:16" s="51" customFormat="1" ht="18" customHeight="1">
      <c r="A12" s="53"/>
      <c r="B12" s="179"/>
      <c r="C12" s="60"/>
      <c r="D12" s="60"/>
      <c r="E12" s="60"/>
      <c r="F12" s="129"/>
      <c r="G12" s="129"/>
      <c r="H12" s="129"/>
      <c r="I12" s="129"/>
      <c r="J12" s="129"/>
      <c r="K12" s="129"/>
      <c r="L12" s="129"/>
      <c r="M12" s="129"/>
      <c r="N12" s="129"/>
      <c r="O12" s="129"/>
      <c r="P12" s="181"/>
    </row>
    <row r="14" spans="1:16" s="51" customFormat="1" ht="22.5">
      <c r="A14" s="162"/>
      <c r="B14" s="421" t="s">
        <v>265</v>
      </c>
      <c r="C14" s="159"/>
      <c r="D14" s="159"/>
      <c r="E14" s="159"/>
      <c r="F14" s="159"/>
      <c r="G14" s="159"/>
      <c r="H14" s="159"/>
      <c r="I14" s="159"/>
      <c r="J14" s="159"/>
      <c r="K14" s="159"/>
      <c r="L14" s="159"/>
      <c r="M14" s="159"/>
      <c r="N14" s="159"/>
      <c r="O14" s="159"/>
      <c r="P14" s="160"/>
    </row>
    <row r="15" spans="1:16">
      <c r="B15" s="418"/>
      <c r="C15" s="415"/>
      <c r="D15" s="415"/>
      <c r="E15" s="415"/>
      <c r="F15" s="415"/>
      <c r="G15" s="415"/>
      <c r="H15" s="415"/>
      <c r="I15" s="415"/>
      <c r="J15" s="415"/>
      <c r="K15" s="415"/>
      <c r="L15" s="415"/>
      <c r="M15" s="415"/>
      <c r="N15" s="415"/>
      <c r="O15" s="415"/>
      <c r="P15" s="419"/>
    </row>
    <row r="16" spans="1:16">
      <c r="B16" s="418"/>
      <c r="C16" s="416" t="s">
        <v>2373</v>
      </c>
      <c r="D16" s="415"/>
      <c r="E16" s="104"/>
      <c r="F16" s="415"/>
      <c r="G16" s="415"/>
      <c r="H16" s="415"/>
      <c r="I16" s="415"/>
      <c r="J16" s="415"/>
      <c r="K16" s="415"/>
      <c r="L16" s="415"/>
      <c r="M16" s="415"/>
      <c r="N16" s="415"/>
      <c r="O16" s="104" t="s">
        <v>1794</v>
      </c>
      <c r="P16" s="419"/>
    </row>
    <row r="17" spans="2:16" ht="6" customHeight="1">
      <c r="B17" s="418"/>
      <c r="C17" s="415"/>
      <c r="D17" s="415"/>
      <c r="E17" s="415"/>
      <c r="F17" s="415"/>
      <c r="G17" s="415"/>
      <c r="H17" s="415"/>
      <c r="I17" s="415"/>
      <c r="J17" s="415"/>
      <c r="K17" s="415"/>
      <c r="L17" s="415"/>
      <c r="M17" s="415"/>
      <c r="N17" s="415"/>
      <c r="O17" s="415"/>
      <c r="P17" s="419"/>
    </row>
    <row r="18" spans="2:16" ht="15.75">
      <c r="B18" s="152"/>
      <c r="C18" s="61" t="s">
        <v>64</v>
      </c>
      <c r="D18" s="61" t="s">
        <v>137</v>
      </c>
      <c r="E18" s="61" t="s">
        <v>156</v>
      </c>
      <c r="F18" s="238">
        <v>2007</v>
      </c>
      <c r="G18" s="119">
        <f>F18+5</f>
        <v>2012</v>
      </c>
      <c r="H18" s="119">
        <f t="shared" ref="H18:O18" si="0">G18+5</f>
        <v>2017</v>
      </c>
      <c r="I18" s="119">
        <f t="shared" si="0"/>
        <v>2022</v>
      </c>
      <c r="J18" s="119">
        <f t="shared" si="0"/>
        <v>2027</v>
      </c>
      <c r="K18" s="119">
        <f t="shared" si="0"/>
        <v>2032</v>
      </c>
      <c r="L18" s="119">
        <f t="shared" si="0"/>
        <v>2037</v>
      </c>
      <c r="M18" s="119">
        <f t="shared" si="0"/>
        <v>2042</v>
      </c>
      <c r="N18" s="119">
        <f t="shared" si="0"/>
        <v>2047</v>
      </c>
      <c r="O18" s="119">
        <f t="shared" si="0"/>
        <v>2052</v>
      </c>
      <c r="P18" s="419"/>
    </row>
    <row r="19" spans="2:16" s="51" customFormat="1" ht="15.75">
      <c r="B19" s="153"/>
      <c r="C19" s="78" t="s">
        <v>39</v>
      </c>
      <c r="D19" s="79" t="str">
        <f>INDEX(Vectors[Description], MATCH($C19, Vectors[Code], 0))</f>
        <v>Gaseous hydrocarbons</v>
      </c>
      <c r="E19" s="79" t="s">
        <v>94</v>
      </c>
      <c r="F19" s="2303">
        <v>0.15</v>
      </c>
      <c r="G19" s="2303">
        <v>0.15</v>
      </c>
      <c r="H19" s="2303">
        <v>0.15</v>
      </c>
      <c r="I19" s="2303">
        <v>0.15</v>
      </c>
      <c r="J19" s="2303">
        <v>0.15</v>
      </c>
      <c r="K19" s="2303">
        <v>0.15</v>
      </c>
      <c r="L19" s="2303">
        <v>0.15</v>
      </c>
      <c r="M19" s="2303">
        <v>0.15</v>
      </c>
      <c r="N19" s="2303">
        <v>0.15</v>
      </c>
      <c r="O19" s="2303">
        <v>0.15</v>
      </c>
      <c r="P19" s="154"/>
    </row>
    <row r="20" spans="2:16">
      <c r="B20" s="155"/>
      <c r="C20" s="415"/>
      <c r="D20" s="105"/>
      <c r="E20" s="415"/>
      <c r="F20" s="415"/>
      <c r="G20" s="415"/>
      <c r="H20" s="415"/>
      <c r="I20" s="415"/>
      <c r="J20" s="415"/>
      <c r="K20" s="415"/>
      <c r="L20" s="415"/>
      <c r="M20" s="415"/>
      <c r="N20" s="415"/>
      <c r="O20" s="415"/>
      <c r="P20" s="419"/>
    </row>
    <row r="21" spans="2:16" s="2874" customFormat="1">
      <c r="B21" s="155"/>
      <c r="C21" s="416" t="s">
        <v>2206</v>
      </c>
      <c r="D21" s="415"/>
      <c r="E21" s="104"/>
      <c r="F21" s="415"/>
      <c r="G21" s="415"/>
      <c r="H21" s="415"/>
      <c r="I21" s="415"/>
      <c r="J21" s="415"/>
      <c r="K21" s="415"/>
      <c r="L21" s="415"/>
      <c r="M21" s="415"/>
      <c r="N21" s="415"/>
      <c r="O21" s="104" t="s">
        <v>1794</v>
      </c>
      <c r="P21" s="419"/>
    </row>
    <row r="22" spans="2:16" s="2874" customFormat="1">
      <c r="B22" s="155"/>
      <c r="C22" s="415"/>
      <c r="D22" s="415"/>
      <c r="E22" s="415"/>
      <c r="F22" s="415"/>
      <c r="G22" s="415"/>
      <c r="H22" s="415"/>
      <c r="I22" s="415"/>
      <c r="J22" s="415"/>
      <c r="K22" s="415"/>
      <c r="L22" s="415"/>
      <c r="M22" s="415"/>
      <c r="N22" s="415"/>
      <c r="O22" s="415"/>
      <c r="P22" s="419"/>
    </row>
    <row r="23" spans="2:16" s="2874" customFormat="1">
      <c r="B23" s="155"/>
      <c r="C23" s="61" t="s">
        <v>64</v>
      </c>
      <c r="D23" s="61" t="s">
        <v>137</v>
      </c>
      <c r="E23" s="61" t="s">
        <v>156</v>
      </c>
      <c r="F23" s="238">
        <v>2007</v>
      </c>
      <c r="G23" s="119">
        <f>F23+5</f>
        <v>2012</v>
      </c>
      <c r="H23" s="119">
        <f t="shared" ref="H23" si="1">G23+5</f>
        <v>2017</v>
      </c>
      <c r="I23" s="119">
        <f t="shared" ref="I23" si="2">H23+5</f>
        <v>2022</v>
      </c>
      <c r="J23" s="119">
        <f t="shared" ref="J23" si="3">I23+5</f>
        <v>2027</v>
      </c>
      <c r="K23" s="119">
        <f t="shared" ref="K23" si="4">J23+5</f>
        <v>2032</v>
      </c>
      <c r="L23" s="119">
        <f t="shared" ref="L23" si="5">K23+5</f>
        <v>2037</v>
      </c>
      <c r="M23" s="119">
        <f t="shared" ref="M23" si="6">L23+5</f>
        <v>2042</v>
      </c>
      <c r="N23" s="119">
        <f t="shared" ref="N23" si="7">M23+5</f>
        <v>2047</v>
      </c>
      <c r="O23" s="119">
        <f t="shared" ref="O23" si="8">N23+5</f>
        <v>2052</v>
      </c>
      <c r="P23" s="419"/>
    </row>
    <row r="24" spans="2:16" s="2874" customFormat="1">
      <c r="B24" s="155"/>
      <c r="C24" s="78" t="s">
        <v>38</v>
      </c>
      <c r="D24" s="79" t="str">
        <f>INDEX(Vectors[Description], MATCH($C24, Vectors[Code], 0))</f>
        <v>Liquid hydrocarbons</v>
      </c>
      <c r="E24" s="79" t="s">
        <v>94</v>
      </c>
      <c r="F24" s="2303">
        <v>7.0000000000000007E-2</v>
      </c>
      <c r="G24" s="2303">
        <v>7.0000000000000007E-2</v>
      </c>
      <c r="H24" s="2303">
        <v>7.0000000000000007E-2</v>
      </c>
      <c r="I24" s="2303">
        <v>7.0000000000000007E-2</v>
      </c>
      <c r="J24" s="2303">
        <v>7.0000000000000007E-2</v>
      </c>
      <c r="K24" s="2303">
        <v>7.0000000000000007E-2</v>
      </c>
      <c r="L24" s="2303">
        <v>7.0000000000000007E-2</v>
      </c>
      <c r="M24" s="2303">
        <v>7.0000000000000007E-2</v>
      </c>
      <c r="N24" s="2303">
        <v>7.0000000000000007E-2</v>
      </c>
      <c r="O24" s="2303">
        <v>7.0000000000000007E-2</v>
      </c>
      <c r="P24" s="419"/>
    </row>
    <row r="25" spans="2:16" s="2874" customFormat="1">
      <c r="B25" s="155"/>
      <c r="C25" s="415"/>
      <c r="D25" s="105"/>
      <c r="E25" s="415"/>
      <c r="F25" s="415"/>
      <c r="G25" s="415"/>
      <c r="H25" s="415"/>
      <c r="I25" s="415"/>
      <c r="J25" s="415"/>
      <c r="K25" s="415"/>
      <c r="L25" s="415"/>
      <c r="M25" s="415"/>
      <c r="N25" s="415"/>
      <c r="O25" s="415"/>
      <c r="P25" s="419"/>
    </row>
    <row r="26" spans="2:16" s="2874" customFormat="1">
      <c r="B26" s="155"/>
      <c r="C26" s="415"/>
      <c r="D26" s="105"/>
      <c r="E26" s="415"/>
      <c r="F26" s="415"/>
      <c r="G26" s="415"/>
      <c r="H26" s="415"/>
      <c r="I26" s="415"/>
      <c r="J26" s="415"/>
      <c r="K26" s="415"/>
      <c r="L26" s="415"/>
      <c r="M26" s="415"/>
      <c r="N26" s="415"/>
      <c r="O26" s="415"/>
      <c r="P26" s="419"/>
    </row>
    <row r="27" spans="2:16" s="2874" customFormat="1">
      <c r="B27" s="155"/>
      <c r="C27" s="415"/>
      <c r="D27" s="105"/>
      <c r="E27" s="415"/>
      <c r="F27" s="415"/>
      <c r="G27" s="415"/>
      <c r="H27" s="415"/>
      <c r="I27" s="415"/>
      <c r="J27" s="415"/>
      <c r="K27" s="415"/>
      <c r="L27" s="415"/>
      <c r="M27" s="415"/>
      <c r="N27" s="415"/>
      <c r="O27" s="415"/>
      <c r="P27" s="419"/>
    </row>
    <row r="28" spans="2:16" ht="14.25">
      <c r="B28" s="155"/>
      <c r="C28" s="416" t="s">
        <v>1795</v>
      </c>
      <c r="D28" s="105"/>
      <c r="E28" s="415"/>
      <c r="F28" s="104" t="s">
        <v>368</v>
      </c>
      <c r="G28" s="415"/>
      <c r="H28" s="415"/>
      <c r="I28" s="415"/>
      <c r="J28" s="415"/>
      <c r="K28" s="415"/>
      <c r="L28" s="415"/>
      <c r="M28" s="415"/>
      <c r="N28" s="415"/>
      <c r="O28" s="415"/>
      <c r="P28" s="419"/>
    </row>
    <row r="29" spans="2:16" ht="5.25" customHeight="1">
      <c r="B29" s="155"/>
      <c r="C29" s="415"/>
      <c r="D29" s="105"/>
      <c r="E29" s="415"/>
      <c r="F29" s="415"/>
      <c r="G29" s="415"/>
      <c r="H29" s="415"/>
      <c r="I29" s="415"/>
      <c r="J29" s="415"/>
      <c r="K29" s="415"/>
      <c r="L29" s="415"/>
      <c r="M29" s="415"/>
      <c r="N29" s="415"/>
      <c r="O29" s="415"/>
      <c r="P29" s="419"/>
    </row>
    <row r="30" spans="2:16" ht="15.75">
      <c r="B30" s="152"/>
      <c r="C30" s="955" t="s">
        <v>365</v>
      </c>
      <c r="D30" s="955" t="s">
        <v>337</v>
      </c>
      <c r="E30" s="955" t="s">
        <v>156</v>
      </c>
      <c r="F30" s="2264">
        <v>2007</v>
      </c>
      <c r="G30" s="121">
        <v>2010</v>
      </c>
      <c r="H30" s="121">
        <v>2015</v>
      </c>
      <c r="I30" s="121">
        <v>2020</v>
      </c>
      <c r="J30" s="415"/>
      <c r="K30" s="415"/>
      <c r="L30" s="415"/>
      <c r="M30" s="415"/>
      <c r="N30" s="415"/>
      <c r="O30" s="415"/>
      <c r="P30" s="419"/>
    </row>
    <row r="31" spans="2:16" ht="15.75">
      <c r="B31" s="152"/>
      <c r="C31" s="111" t="s">
        <v>351</v>
      </c>
      <c r="D31" s="112" t="s">
        <v>375</v>
      </c>
      <c r="E31" s="112" t="s">
        <v>99</v>
      </c>
      <c r="F31" s="2304"/>
      <c r="G31" s="699"/>
      <c r="H31" s="699"/>
      <c r="I31" s="699"/>
      <c r="J31" s="415"/>
      <c r="K31" s="415"/>
      <c r="L31" s="415"/>
      <c r="M31" s="415"/>
      <c r="N31" s="415"/>
      <c r="O31" s="415"/>
      <c r="P31" s="419"/>
    </row>
    <row r="32" spans="2:16" ht="15.75">
      <c r="B32" s="152"/>
      <c r="C32" s="413"/>
      <c r="D32" s="414"/>
      <c r="E32" s="414"/>
      <c r="F32" s="98"/>
      <c r="G32" s="415"/>
      <c r="H32" s="415"/>
      <c r="I32" s="415"/>
      <c r="J32" s="415"/>
      <c r="K32" s="415"/>
      <c r="L32" s="415"/>
      <c r="M32" s="415"/>
      <c r="N32" s="415"/>
      <c r="O32" s="415"/>
      <c r="P32" s="419"/>
    </row>
    <row r="33" spans="2:29">
      <c r="B33" s="155"/>
      <c r="C33" s="416" t="s">
        <v>1796</v>
      </c>
      <c r="D33" s="105"/>
      <c r="E33" s="415"/>
      <c r="F33" s="104" t="s">
        <v>847</v>
      </c>
      <c r="G33" s="415"/>
      <c r="H33" s="415"/>
      <c r="I33" s="415"/>
      <c r="J33" s="415"/>
      <c r="K33" s="415"/>
      <c r="L33" s="415"/>
      <c r="M33" s="415"/>
      <c r="N33" s="415"/>
      <c r="O33" s="415"/>
      <c r="P33" s="419"/>
    </row>
    <row r="34" spans="2:29" ht="5.25" customHeight="1">
      <c r="B34" s="155"/>
      <c r="C34" s="415"/>
      <c r="D34" s="105"/>
      <c r="E34" s="415"/>
      <c r="F34" s="415"/>
      <c r="G34" s="415"/>
      <c r="H34" s="415"/>
      <c r="I34" s="415"/>
      <c r="J34" s="415"/>
      <c r="K34" s="415"/>
      <c r="L34" s="415"/>
      <c r="M34" s="415"/>
      <c r="N34" s="415"/>
      <c r="O34" s="415"/>
      <c r="P34" s="419"/>
    </row>
    <row r="35" spans="2:29">
      <c r="B35" s="155"/>
      <c r="C35" s="955" t="s">
        <v>365</v>
      </c>
      <c r="D35" s="955" t="s">
        <v>337</v>
      </c>
      <c r="E35" s="955" t="s">
        <v>156</v>
      </c>
      <c r="F35" s="2264">
        <v>2007</v>
      </c>
      <c r="G35" s="121">
        <v>2010</v>
      </c>
      <c r="H35" s="121">
        <v>2015</v>
      </c>
      <c r="I35" s="121">
        <v>2020</v>
      </c>
      <c r="J35" s="121">
        <v>2025</v>
      </c>
      <c r="K35" s="121">
        <v>2030</v>
      </c>
      <c r="L35" s="415"/>
      <c r="M35" s="415"/>
      <c r="N35" s="415"/>
      <c r="O35" s="415"/>
      <c r="P35" s="419"/>
    </row>
    <row r="36" spans="2:29">
      <c r="B36" s="155"/>
      <c r="C36" s="111" t="s">
        <v>667</v>
      </c>
      <c r="D36" s="112" t="s">
        <v>375</v>
      </c>
      <c r="E36" s="112"/>
      <c r="F36" s="2304"/>
      <c r="G36" s="699">
        <v>64.641521601284268</v>
      </c>
      <c r="H36" s="699">
        <v>58.51195295876019</v>
      </c>
      <c r="I36" s="699">
        <v>50.578959434795244</v>
      </c>
      <c r="J36" s="699">
        <v>45.563807860339438</v>
      </c>
      <c r="K36" s="699">
        <v>40.718764790773925</v>
      </c>
      <c r="L36" s="415"/>
      <c r="M36" s="415"/>
      <c r="N36" s="415"/>
      <c r="O36" s="415"/>
      <c r="P36" s="419"/>
    </row>
    <row r="37" spans="2:29">
      <c r="B37" s="155"/>
      <c r="C37" s="415"/>
      <c r="D37" s="105"/>
      <c r="E37" s="415"/>
      <c r="F37" s="415"/>
      <c r="G37" s="415"/>
      <c r="H37" s="415"/>
      <c r="I37" s="415"/>
      <c r="J37" s="415"/>
      <c r="K37" s="415"/>
      <c r="L37" s="415"/>
      <c r="M37" s="415"/>
      <c r="N37" s="415"/>
      <c r="O37" s="415"/>
      <c r="P37" s="419"/>
    </row>
    <row r="38" spans="2:29">
      <c r="B38" s="155"/>
      <c r="C38" s="415"/>
      <c r="D38" s="105"/>
      <c r="E38" s="415"/>
      <c r="F38" s="415"/>
      <c r="G38" s="415"/>
      <c r="H38" s="415"/>
      <c r="I38" s="415"/>
      <c r="J38" s="415"/>
      <c r="K38" s="415"/>
      <c r="L38" s="415"/>
      <c r="M38" s="415"/>
      <c r="N38" s="415"/>
      <c r="O38" s="415"/>
      <c r="P38" s="419"/>
    </row>
    <row r="39" spans="2:29">
      <c r="B39" s="155"/>
      <c r="C39" s="1386" t="s">
        <v>593</v>
      </c>
      <c r="D39" s="1384">
        <v>30</v>
      </c>
      <c r="E39" s="2305" t="s">
        <v>1797</v>
      </c>
      <c r="F39" s="1384"/>
      <c r="G39" s="1384"/>
      <c r="H39" s="1384"/>
      <c r="I39" s="1384"/>
      <c r="J39" s="415"/>
      <c r="K39" s="415"/>
      <c r="L39" s="415"/>
      <c r="M39" s="415"/>
      <c r="N39" s="415"/>
      <c r="O39" s="415"/>
      <c r="P39" s="419"/>
    </row>
    <row r="40" spans="2:29">
      <c r="B40" s="155"/>
      <c r="C40" s="415"/>
      <c r="D40" s="415"/>
      <c r="E40" s="611"/>
      <c r="F40" s="415"/>
      <c r="G40" s="415"/>
      <c r="H40" s="415"/>
      <c r="I40" s="415"/>
      <c r="J40" s="415"/>
      <c r="K40" s="415"/>
      <c r="L40" s="415"/>
      <c r="M40" s="415"/>
      <c r="N40" s="415"/>
      <c r="O40" s="415"/>
      <c r="P40" s="419"/>
    </row>
    <row r="41" spans="2:29">
      <c r="B41" s="155"/>
      <c r="C41" s="415"/>
      <c r="D41" s="105"/>
      <c r="E41" s="415"/>
      <c r="F41" s="415"/>
      <c r="G41" s="415"/>
      <c r="H41" s="415"/>
      <c r="I41" s="415"/>
      <c r="J41" s="415"/>
      <c r="K41" s="415"/>
      <c r="L41" s="415"/>
      <c r="M41" s="415"/>
      <c r="N41" s="415"/>
      <c r="O41" s="415"/>
      <c r="P41" s="419"/>
    </row>
    <row r="42" spans="2:29">
      <c r="B42" s="155"/>
      <c r="C42" s="415"/>
      <c r="D42" s="105"/>
      <c r="E42" s="415"/>
      <c r="F42" s="415"/>
      <c r="G42" s="415"/>
      <c r="H42" s="415"/>
      <c r="I42" s="415"/>
      <c r="J42" s="415"/>
      <c r="K42" s="415"/>
      <c r="L42" s="415"/>
      <c r="M42" s="415"/>
      <c r="N42" s="415"/>
      <c r="O42" s="415"/>
      <c r="P42" s="419"/>
    </row>
    <row r="43" spans="2:29" s="410" customFormat="1" ht="10.5">
      <c r="B43" s="200"/>
      <c r="C43" s="217"/>
      <c r="D43" s="219"/>
      <c r="E43" s="203"/>
      <c r="F43" s="203"/>
      <c r="G43" s="203"/>
      <c r="H43" s="203"/>
      <c r="I43" s="203"/>
      <c r="J43" s="203"/>
      <c r="K43" s="203"/>
      <c r="L43" s="203"/>
      <c r="M43" s="203"/>
      <c r="N43" s="203"/>
      <c r="O43" s="203"/>
      <c r="P43" s="204"/>
    </row>
    <row r="44" spans="2:29" s="410" customFormat="1" ht="10.5">
      <c r="B44" s="200"/>
      <c r="C44" s="217"/>
      <c r="D44" s="219"/>
      <c r="E44" s="203"/>
      <c r="F44" s="203"/>
      <c r="G44" s="203"/>
      <c r="H44" s="203"/>
      <c r="I44" s="203"/>
      <c r="J44" s="203"/>
      <c r="K44" s="203"/>
      <c r="L44" s="203"/>
      <c r="M44" s="203"/>
      <c r="N44" s="203"/>
      <c r="O44" s="203"/>
      <c r="P44" s="204"/>
    </row>
    <row r="45" spans="2:29">
      <c r="B45" s="156"/>
      <c r="C45" s="157"/>
      <c r="D45" s="157"/>
      <c r="E45" s="157"/>
      <c r="F45" s="157"/>
      <c r="G45" s="157"/>
      <c r="H45" s="157"/>
      <c r="I45" s="157"/>
      <c r="J45" s="157"/>
      <c r="K45" s="157"/>
      <c r="L45" s="157"/>
      <c r="M45" s="157"/>
      <c r="N45" s="157"/>
      <c r="O45" s="157"/>
      <c r="P45" s="158"/>
    </row>
    <row r="46" spans="2:29" s="242" customFormat="1">
      <c r="B46" s="2306"/>
      <c r="C46" s="2307"/>
      <c r="D46" s="2307"/>
      <c r="E46" s="2307"/>
      <c r="F46" s="2307"/>
      <c r="G46" s="2307"/>
      <c r="H46" s="2307"/>
      <c r="I46" s="2307"/>
      <c r="J46" s="2307"/>
      <c r="K46" s="2307"/>
      <c r="L46" s="2307"/>
      <c r="M46" s="2307"/>
      <c r="N46" s="2307"/>
      <c r="O46" s="2307"/>
      <c r="P46" s="2308"/>
    </row>
    <row r="47" spans="2:29">
      <c r="Q47" s="529"/>
      <c r="R47" s="529"/>
      <c r="S47" s="529"/>
      <c r="T47" s="529"/>
      <c r="U47" s="35"/>
      <c r="V47" s="35"/>
      <c r="W47" s="35"/>
      <c r="X47" s="35"/>
      <c r="Y47" s="35"/>
      <c r="Z47" s="35"/>
      <c r="AA47" s="35"/>
      <c r="AB47" s="35"/>
      <c r="AC47" s="35"/>
    </row>
    <row r="48" spans="2:29" ht="15.75">
      <c r="B48" s="89" t="s">
        <v>241</v>
      </c>
    </row>
    <row r="49" spans="2:15">
      <c r="B49" s="423">
        <v>1</v>
      </c>
      <c r="C49" s="605" t="s">
        <v>1798</v>
      </c>
    </row>
    <row r="50" spans="2:15">
      <c r="B50" s="423">
        <v>2</v>
      </c>
      <c r="C50" s="605" t="s">
        <v>1799</v>
      </c>
    </row>
    <row r="52" spans="2:15">
      <c r="B52" s="423">
        <v>1</v>
      </c>
      <c r="C52" s="423" t="s">
        <v>1800</v>
      </c>
    </row>
    <row r="53" spans="2:15">
      <c r="B53" s="423"/>
      <c r="C53" s="423"/>
    </row>
    <row r="54" spans="2:15">
      <c r="C54" s="423" t="s">
        <v>1801</v>
      </c>
      <c r="E54" s="605" t="str">
        <f>preferences.energyunits</f>
        <v>TWh</v>
      </c>
      <c r="F54" s="73">
        <f ca="1">-F$9</f>
        <v>2316.2462455929053</v>
      </c>
      <c r="G54" s="73">
        <f t="shared" ref="G54:O54" ca="1" si="9">-G$9</f>
        <v>3238.2489822140624</v>
      </c>
      <c r="H54" s="73">
        <f t="shared" ca="1" si="9"/>
        <v>4492.7367614435316</v>
      </c>
      <c r="I54" s="73">
        <f t="shared" ca="1" si="9"/>
        <v>6652.3651747013391</v>
      </c>
      <c r="J54" s="73">
        <f t="shared" ca="1" si="9"/>
        <v>9337.4357162545803</v>
      </c>
      <c r="K54" s="73">
        <f t="shared" ca="1" si="9"/>
        <v>12807.871055210169</v>
      </c>
      <c r="L54" s="73">
        <f t="shared" ca="1" si="9"/>
        <v>16014.06130301861</v>
      </c>
      <c r="M54" s="73">
        <f t="shared" ca="1" si="9"/>
        <v>19519.972798371477</v>
      </c>
      <c r="N54" s="73">
        <f t="shared" ca="1" si="9"/>
        <v>22648.081872617422</v>
      </c>
      <c r="O54" s="73">
        <f t="shared" ca="1" si="9"/>
        <v>26136.766339922484</v>
      </c>
    </row>
    <row r="55" spans="2:15">
      <c r="C55" s="423" t="s">
        <v>1802</v>
      </c>
      <c r="E55" s="605" t="str">
        <f>preferences.energyunits</f>
        <v>TWh</v>
      </c>
      <c r="F55" s="73">
        <f ca="1">-F$10</f>
        <v>1507.1271398060596</v>
      </c>
      <c r="G55" s="73">
        <f t="shared" ref="G55:O55" ca="1" si="10">-G$10</f>
        <v>1784.651663575698</v>
      </c>
      <c r="H55" s="73">
        <f t="shared" ca="1" si="10"/>
        <v>2411.9078582714656</v>
      </c>
      <c r="I55" s="73">
        <f t="shared" ca="1" si="10"/>
        <v>3234.6504852809785</v>
      </c>
      <c r="J55" s="73">
        <f t="shared" ca="1" si="10"/>
        <v>4212.5909264416923</v>
      </c>
      <c r="K55" s="73">
        <f t="shared" ca="1" si="10"/>
        <v>5358.4146289769687</v>
      </c>
      <c r="L55" s="73">
        <f t="shared" ca="1" si="10"/>
        <v>6640.1663941009338</v>
      </c>
      <c r="M55" s="73">
        <f t="shared" ca="1" si="10"/>
        <v>7941.6375424720536</v>
      </c>
      <c r="N55" s="73">
        <f t="shared" ca="1" si="10"/>
        <v>9406.0009467822001</v>
      </c>
      <c r="O55" s="73">
        <f t="shared" ca="1" si="10"/>
        <v>10972.387434756452</v>
      </c>
    </row>
    <row r="56" spans="2:15">
      <c r="B56" s="605" t="str">
        <f>"+"</f>
        <v>+</v>
      </c>
      <c r="C56" s="423" t="s">
        <v>2206</v>
      </c>
      <c r="E56" s="2874" t="str">
        <f>preferences.energyunits</f>
        <v>TWh</v>
      </c>
      <c r="F56" s="73">
        <f ca="1">F55*F24</f>
        <v>105.49889978642419</v>
      </c>
      <c r="G56" s="73">
        <f t="shared" ref="G56:O56" ca="1" si="11">G55*G24</f>
        <v>124.92561645029888</v>
      </c>
      <c r="H56" s="73">
        <f t="shared" ca="1" si="11"/>
        <v>168.83355007900261</v>
      </c>
      <c r="I56" s="73">
        <f t="shared" ca="1" si="11"/>
        <v>226.42553396966852</v>
      </c>
      <c r="J56" s="73">
        <f t="shared" ca="1" si="11"/>
        <v>294.88136485091849</v>
      </c>
      <c r="K56" s="73">
        <f t="shared" ca="1" si="11"/>
        <v>375.08902402838783</v>
      </c>
      <c r="L56" s="73">
        <f t="shared" ca="1" si="11"/>
        <v>464.81164758706541</v>
      </c>
      <c r="M56" s="73">
        <f t="shared" ca="1" si="11"/>
        <v>555.91462797304382</v>
      </c>
      <c r="N56" s="73">
        <f t="shared" ca="1" si="11"/>
        <v>658.42006627475405</v>
      </c>
      <c r="O56" s="73">
        <f t="shared" ca="1" si="11"/>
        <v>768.0671204329517</v>
      </c>
    </row>
    <row r="57" spans="2:15" s="2874" customFormat="1">
      <c r="B57" s="423" t="s">
        <v>276</v>
      </c>
      <c r="C57" s="423" t="s">
        <v>2209</v>
      </c>
      <c r="E57" s="2874" t="str">
        <f>preferences.energyunits</f>
        <v>TWh</v>
      </c>
      <c r="F57" s="73">
        <f ca="1">F55+F56</f>
        <v>1612.6260395924837</v>
      </c>
      <c r="G57" s="73">
        <f t="shared" ref="G57:O57" ca="1" si="12">G55+G56</f>
        <v>1909.5772800259967</v>
      </c>
      <c r="H57" s="73">
        <f t="shared" ca="1" si="12"/>
        <v>2580.7414083504682</v>
      </c>
      <c r="I57" s="73">
        <f t="shared" ca="1" si="12"/>
        <v>3461.0760192506468</v>
      </c>
      <c r="J57" s="73">
        <f t="shared" ca="1" si="12"/>
        <v>4507.4722912926109</v>
      </c>
      <c r="K57" s="73">
        <f t="shared" ca="1" si="12"/>
        <v>5733.5036530053567</v>
      </c>
      <c r="L57" s="73">
        <f t="shared" ca="1" si="12"/>
        <v>7104.9780416879994</v>
      </c>
      <c r="M57" s="73">
        <f t="shared" ca="1" si="12"/>
        <v>8497.5521704450966</v>
      </c>
      <c r="N57" s="73">
        <f t="shared" ca="1" si="12"/>
        <v>10064.421013056954</v>
      </c>
      <c r="O57" s="73">
        <f t="shared" ca="1" si="12"/>
        <v>11740.454555189404</v>
      </c>
    </row>
    <row r="58" spans="2:15" s="2874" customFormat="1">
      <c r="C58" s="423"/>
      <c r="F58" s="73"/>
      <c r="G58" s="73"/>
      <c r="H58" s="73"/>
      <c r="I58" s="73"/>
      <c r="J58" s="73"/>
      <c r="K58" s="73"/>
      <c r="L58" s="73"/>
      <c r="M58" s="73"/>
      <c r="N58" s="73"/>
      <c r="O58" s="73"/>
    </row>
    <row r="59" spans="2:15" s="2874" customFormat="1">
      <c r="C59" s="423"/>
      <c r="F59" s="73"/>
      <c r="G59" s="73"/>
      <c r="H59" s="73"/>
      <c r="I59" s="73"/>
      <c r="J59" s="73"/>
      <c r="K59" s="73"/>
      <c r="L59" s="73"/>
      <c r="M59" s="73"/>
      <c r="N59" s="73"/>
      <c r="O59" s="73"/>
    </row>
    <row r="60" spans="2:15">
      <c r="C60" s="2184" t="s">
        <v>1803</v>
      </c>
      <c r="E60" s="605" t="str">
        <f>preferences.energyunits</f>
        <v>TWh</v>
      </c>
      <c r="F60" s="22">
        <f ca="1">-F$11</f>
        <v>391.63118885861206</v>
      </c>
      <c r="G60" s="22">
        <f t="shared" ref="G60:O60" ca="1" si="13">-G$11</f>
        <v>528.69309749721958</v>
      </c>
      <c r="H60" s="22">
        <f t="shared" ca="1" si="13"/>
        <v>829.89050389944953</v>
      </c>
      <c r="I60" s="22">
        <f t="shared" ca="1" si="13"/>
        <v>982.07769091299144</v>
      </c>
      <c r="J60" s="22">
        <f t="shared" ca="1" si="13"/>
        <v>1135.9700535002041</v>
      </c>
      <c r="K60" s="22">
        <f t="shared" ca="1" si="13"/>
        <v>1325.6966476614132</v>
      </c>
      <c r="L60" s="22">
        <f t="shared" ca="1" si="13"/>
        <v>1540.5893033755879</v>
      </c>
      <c r="M60" s="22">
        <f t="shared" ca="1" si="13"/>
        <v>1779.7060889575037</v>
      </c>
      <c r="N60" s="22">
        <f t="shared" ca="1" si="13"/>
        <v>2040.3339382357783</v>
      </c>
      <c r="O60" s="22">
        <f t="shared" ca="1" si="13"/>
        <v>2332.7535879685406</v>
      </c>
    </row>
    <row r="61" spans="2:15">
      <c r="B61" s="19" t="s">
        <v>1777</v>
      </c>
      <c r="C61" s="19" t="s">
        <v>1804</v>
      </c>
      <c r="F61" s="90">
        <f ca="1">F60*F$19</f>
        <v>58.744678328791807</v>
      </c>
      <c r="G61" s="90">
        <f t="shared" ref="G61:O61" ca="1" si="14">G60*G$19</f>
        <v>79.303964624582932</v>
      </c>
      <c r="H61" s="90">
        <f t="shared" ca="1" si="14"/>
        <v>124.48357558491742</v>
      </c>
      <c r="I61" s="90">
        <f t="shared" ca="1" si="14"/>
        <v>147.31165363694871</v>
      </c>
      <c r="J61" s="90">
        <f t="shared" ca="1" si="14"/>
        <v>170.39550802503061</v>
      </c>
      <c r="K61" s="90">
        <f t="shared" ca="1" si="14"/>
        <v>198.85449714921197</v>
      </c>
      <c r="L61" s="90">
        <f t="shared" ca="1" si="14"/>
        <v>231.08839550633817</v>
      </c>
      <c r="M61" s="90">
        <f t="shared" ca="1" si="14"/>
        <v>266.95591334362553</v>
      </c>
      <c r="N61" s="90">
        <f t="shared" ca="1" si="14"/>
        <v>306.05009073536672</v>
      </c>
      <c r="O61" s="90">
        <f t="shared" ca="1" si="14"/>
        <v>349.9130381952811</v>
      </c>
    </row>
    <row r="62" spans="2:15">
      <c r="B62" s="423" t="s">
        <v>276</v>
      </c>
      <c r="C62" s="423" t="s">
        <v>1805</v>
      </c>
      <c r="F62" s="73">
        <f ca="1">F60+F61</f>
        <v>450.37586718740386</v>
      </c>
      <c r="G62" s="73">
        <f t="shared" ref="G62:O62" ca="1" si="15">G60+G61</f>
        <v>607.99706212180251</v>
      </c>
      <c r="H62" s="73">
        <f t="shared" ca="1" si="15"/>
        <v>954.37407948436692</v>
      </c>
      <c r="I62" s="73">
        <f t="shared" ca="1" si="15"/>
        <v>1129.3893445499402</v>
      </c>
      <c r="J62" s="73">
        <f t="shared" ca="1" si="15"/>
        <v>1306.3655615252346</v>
      </c>
      <c r="K62" s="73">
        <f t="shared" ca="1" si="15"/>
        <v>1524.5511448106251</v>
      </c>
      <c r="L62" s="73">
        <f t="shared" ca="1" si="15"/>
        <v>1771.6776988819261</v>
      </c>
      <c r="M62" s="73">
        <f t="shared" ca="1" si="15"/>
        <v>2046.6620023011292</v>
      </c>
      <c r="N62" s="73">
        <f t="shared" ca="1" si="15"/>
        <v>2346.3840289711452</v>
      </c>
      <c r="O62" s="73">
        <f t="shared" ca="1" si="15"/>
        <v>2682.6666261638215</v>
      </c>
    </row>
    <row r="63" spans="2:15">
      <c r="C63" s="88"/>
      <c r="F63" s="90"/>
      <c r="G63" s="90"/>
      <c r="H63" s="90"/>
      <c r="I63" s="90"/>
      <c r="J63" s="90"/>
      <c r="K63" s="90"/>
      <c r="L63" s="90"/>
      <c r="M63" s="90"/>
      <c r="N63" s="90"/>
      <c r="O63" s="90"/>
    </row>
    <row r="64" spans="2:15">
      <c r="B64" s="423"/>
      <c r="C64" s="423"/>
      <c r="F64" s="90"/>
      <c r="G64" s="90"/>
      <c r="H64" s="90"/>
      <c r="I64" s="90"/>
      <c r="J64" s="90"/>
      <c r="K64" s="90"/>
      <c r="L64" s="90"/>
      <c r="M64" s="90"/>
      <c r="N64" s="90"/>
      <c r="O64" s="90"/>
    </row>
    <row r="65" spans="1:16">
      <c r="F65" s="90"/>
      <c r="G65" s="90"/>
      <c r="H65" s="90"/>
      <c r="I65" s="90"/>
      <c r="J65" s="90"/>
      <c r="K65" s="90"/>
      <c r="L65" s="90"/>
      <c r="M65" s="90"/>
      <c r="N65" s="90"/>
      <c r="O65" s="90"/>
    </row>
    <row r="66" spans="1:16">
      <c r="F66" s="90"/>
      <c r="G66" s="90"/>
      <c r="H66" s="90"/>
      <c r="I66" s="90"/>
      <c r="J66" s="90"/>
      <c r="K66" s="90"/>
      <c r="L66" s="90"/>
      <c r="M66" s="90"/>
      <c r="N66" s="90"/>
      <c r="O66" s="90"/>
    </row>
    <row r="67" spans="1:16">
      <c r="F67" s="90"/>
      <c r="G67" s="90"/>
      <c r="H67" s="90"/>
      <c r="I67" s="90"/>
      <c r="J67" s="90"/>
      <c r="K67" s="90"/>
      <c r="L67" s="90"/>
      <c r="M67" s="90"/>
      <c r="N67" s="90"/>
      <c r="O67" s="90"/>
    </row>
    <row r="68" spans="1:16">
      <c r="F68" s="90"/>
      <c r="G68" s="90"/>
      <c r="H68" s="90"/>
      <c r="I68" s="90"/>
      <c r="J68" s="90"/>
      <c r="K68" s="90"/>
      <c r="L68" s="90"/>
      <c r="M68" s="90"/>
      <c r="N68" s="90"/>
      <c r="O68" s="90"/>
    </row>
    <row r="69" spans="1:16">
      <c r="C69" s="423"/>
      <c r="F69" s="90"/>
      <c r="G69" s="90"/>
      <c r="H69" s="90"/>
      <c r="I69" s="90"/>
      <c r="J69" s="90"/>
      <c r="K69" s="90"/>
      <c r="L69" s="90"/>
      <c r="M69" s="90"/>
      <c r="N69" s="90"/>
      <c r="O69" s="90"/>
    </row>
    <row r="70" spans="1:16">
      <c r="C70" s="88"/>
      <c r="F70" s="90"/>
      <c r="G70" s="90"/>
      <c r="H70" s="90"/>
      <c r="I70" s="90"/>
      <c r="J70" s="90"/>
      <c r="K70" s="90"/>
      <c r="L70" s="90"/>
      <c r="M70" s="90"/>
      <c r="N70" s="90"/>
      <c r="O70" s="90"/>
    </row>
    <row r="71" spans="1:16">
      <c r="B71" s="2309">
        <v>3</v>
      </c>
      <c r="C71" s="423" t="s">
        <v>1807</v>
      </c>
      <c r="F71" s="90"/>
      <c r="G71" s="90"/>
      <c r="H71" s="90"/>
      <c r="I71" s="90"/>
      <c r="J71" s="90"/>
      <c r="K71" s="90"/>
      <c r="L71" s="90"/>
      <c r="M71" s="90"/>
      <c r="N71" s="90"/>
      <c r="O71" s="90"/>
    </row>
    <row r="72" spans="1:16">
      <c r="C72" s="88"/>
      <c r="F72" s="90"/>
      <c r="G72" s="90"/>
      <c r="H72" s="90"/>
      <c r="I72" s="90"/>
      <c r="J72" s="90"/>
      <c r="K72" s="90"/>
      <c r="L72" s="90"/>
      <c r="M72" s="90"/>
      <c r="N72" s="90"/>
      <c r="O72" s="90"/>
    </row>
    <row r="73" spans="1:16">
      <c r="C73" s="423" t="s">
        <v>1808</v>
      </c>
      <c r="E73" s="605" t="str">
        <f>preferences.energyunits&amp;"/yr average flow"</f>
        <v>TWh/yr average flow</v>
      </c>
      <c r="F73" s="2310" t="s">
        <v>203</v>
      </c>
      <c r="G73" s="2311" t="s">
        <v>712</v>
      </c>
      <c r="H73" s="2311" t="s">
        <v>713</v>
      </c>
      <c r="I73" s="2311" t="s">
        <v>714</v>
      </c>
      <c r="J73" s="2311" t="s">
        <v>715</v>
      </c>
      <c r="K73" s="2311" t="s">
        <v>716</v>
      </c>
      <c r="L73" s="2311" t="s">
        <v>717</v>
      </c>
      <c r="M73" s="2311" t="s">
        <v>718</v>
      </c>
      <c r="N73" s="2311" t="s">
        <v>719</v>
      </c>
      <c r="O73" s="2311" t="s">
        <v>720</v>
      </c>
    </row>
    <row r="74" spans="1:16">
      <c r="F74" s="365"/>
      <c r="G74" s="365"/>
      <c r="H74" s="365"/>
      <c r="I74" s="365"/>
      <c r="J74" s="365"/>
      <c r="K74" s="365"/>
      <c r="L74" s="365"/>
      <c r="M74" s="365"/>
      <c r="N74" s="365"/>
      <c r="O74" s="365"/>
    </row>
    <row r="75" spans="1:16">
      <c r="F75" s="90"/>
      <c r="G75" s="365"/>
      <c r="H75" s="365"/>
      <c r="I75" s="365"/>
      <c r="J75" s="365"/>
      <c r="K75" s="365"/>
      <c r="L75" s="365"/>
      <c r="M75" s="365"/>
      <c r="N75" s="365"/>
      <c r="O75" s="365"/>
    </row>
    <row r="76" spans="1:16">
      <c r="F76" s="90"/>
      <c r="G76" s="365"/>
      <c r="H76" s="365"/>
      <c r="I76" s="365"/>
      <c r="J76" s="365"/>
      <c r="K76" s="365"/>
      <c r="L76" s="365"/>
      <c r="M76" s="365"/>
      <c r="N76" s="365"/>
      <c r="O76" s="365"/>
    </row>
    <row r="77" spans="1:16">
      <c r="F77" s="90"/>
      <c r="G77" s="365"/>
      <c r="H77" s="365"/>
      <c r="I77" s="365"/>
      <c r="J77" s="365"/>
      <c r="K77" s="365"/>
      <c r="L77" s="365"/>
      <c r="M77" s="365"/>
      <c r="N77" s="365"/>
      <c r="O77" s="365"/>
    </row>
    <row r="78" spans="1:16">
      <c r="C78" s="88"/>
      <c r="F78" s="90"/>
      <c r="G78" s="90"/>
      <c r="H78" s="90"/>
      <c r="I78" s="90"/>
      <c r="J78" s="90"/>
      <c r="K78" s="90"/>
      <c r="L78" s="90"/>
      <c r="M78" s="90"/>
      <c r="N78" s="90"/>
      <c r="O78" s="90"/>
    </row>
    <row r="80" spans="1:16" ht="22.5">
      <c r="A80" s="420"/>
      <c r="B80" s="206" t="s">
        <v>202</v>
      </c>
      <c r="C80" s="175"/>
      <c r="D80" s="175"/>
      <c r="E80" s="175"/>
      <c r="F80" s="175"/>
      <c r="G80" s="175"/>
      <c r="H80" s="175"/>
      <c r="I80" s="175"/>
      <c r="J80" s="175"/>
      <c r="K80" s="175"/>
      <c r="L80" s="175"/>
      <c r="M80" s="175"/>
      <c r="N80" s="175"/>
      <c r="O80" s="175"/>
      <c r="P80" s="177"/>
    </row>
    <row r="81" spans="1:16">
      <c r="B81" s="164"/>
      <c r="C81" s="166"/>
      <c r="D81" s="166"/>
      <c r="E81" s="166"/>
      <c r="F81" s="166"/>
      <c r="G81" s="166"/>
      <c r="H81" s="166"/>
      <c r="I81" s="166"/>
      <c r="J81" s="166"/>
      <c r="K81" s="166"/>
      <c r="L81" s="166"/>
      <c r="M81" s="166"/>
      <c r="N81" s="166"/>
      <c r="O81" s="166"/>
      <c r="P81" s="168"/>
    </row>
    <row r="82" spans="1:16">
      <c r="B82" s="164"/>
      <c r="C82" s="178" t="s">
        <v>1416</v>
      </c>
      <c r="D82" s="166"/>
      <c r="E82" s="167"/>
      <c r="F82" s="166"/>
      <c r="G82" s="167"/>
      <c r="H82" s="166"/>
      <c r="I82" s="166"/>
      <c r="J82" s="166"/>
      <c r="K82" s="166"/>
      <c r="L82" s="166"/>
      <c r="M82" s="166"/>
      <c r="N82" s="166"/>
      <c r="O82" s="167" t="str">
        <f>preferences.energyunits</f>
        <v>TWh</v>
      </c>
      <c r="P82" s="168"/>
    </row>
    <row r="83" spans="1:16" ht="6" customHeight="1">
      <c r="B83" s="164"/>
      <c r="C83" s="166"/>
      <c r="D83" s="166"/>
      <c r="E83" s="166"/>
      <c r="F83" s="166"/>
      <c r="G83" s="166"/>
      <c r="H83" s="166"/>
      <c r="I83" s="166"/>
      <c r="J83" s="166"/>
      <c r="K83" s="166"/>
      <c r="L83" s="166"/>
      <c r="M83" s="166"/>
      <c r="N83" s="166"/>
      <c r="O83" s="166"/>
      <c r="P83" s="168"/>
    </row>
    <row r="84" spans="1:16" ht="15.75">
      <c r="A84" s="3"/>
      <c r="B84" s="169"/>
      <c r="C84" s="180" t="s">
        <v>64</v>
      </c>
      <c r="D84" s="180" t="s">
        <v>137</v>
      </c>
      <c r="E84" s="180" t="s">
        <v>156</v>
      </c>
      <c r="F84" s="2310" t="s">
        <v>203</v>
      </c>
      <c r="G84" s="2311" t="s">
        <v>712</v>
      </c>
      <c r="H84" s="2311" t="s">
        <v>713</v>
      </c>
      <c r="I84" s="2311" t="s">
        <v>714</v>
      </c>
      <c r="J84" s="2311" t="s">
        <v>715</v>
      </c>
      <c r="K84" s="2311" t="s">
        <v>716</v>
      </c>
      <c r="L84" s="2311" t="s">
        <v>717</v>
      </c>
      <c r="M84" s="2311" t="s">
        <v>718</v>
      </c>
      <c r="N84" s="2311" t="s">
        <v>719</v>
      </c>
      <c r="O84" s="2311" t="s">
        <v>720</v>
      </c>
      <c r="P84" s="168"/>
    </row>
    <row r="85" spans="1:16" ht="15.75">
      <c r="A85" s="3"/>
      <c r="B85" s="169"/>
      <c r="C85" s="60" t="s">
        <v>36</v>
      </c>
      <c r="D85" s="60" t="str">
        <f>INDEX(Vectors[Description], MATCH([Vector], Vectors[Code], 0))</f>
        <v>Solid hydrocarbons</v>
      </c>
      <c r="E85" s="60"/>
      <c r="F85" s="129">
        <f ca="1">F$54</f>
        <v>2316.2462455929053</v>
      </c>
      <c r="G85" s="129">
        <f t="shared" ref="G85:O85" ca="1" si="16">G$54</f>
        <v>3238.2489822140624</v>
      </c>
      <c r="H85" s="129">
        <f t="shared" ca="1" si="16"/>
        <v>4492.7367614435316</v>
      </c>
      <c r="I85" s="129">
        <f t="shared" ca="1" si="16"/>
        <v>6652.3651747013391</v>
      </c>
      <c r="J85" s="129">
        <f t="shared" ca="1" si="16"/>
        <v>9337.4357162545803</v>
      </c>
      <c r="K85" s="129">
        <f t="shared" ca="1" si="16"/>
        <v>12807.871055210169</v>
      </c>
      <c r="L85" s="129">
        <f t="shared" ca="1" si="16"/>
        <v>16014.06130301861</v>
      </c>
      <c r="M85" s="129">
        <f t="shared" ca="1" si="16"/>
        <v>19519.972798371477</v>
      </c>
      <c r="N85" s="129">
        <f t="shared" ca="1" si="16"/>
        <v>22648.081872617422</v>
      </c>
      <c r="O85" s="129">
        <f t="shared" ca="1" si="16"/>
        <v>26136.766339922484</v>
      </c>
      <c r="P85" s="168"/>
    </row>
    <row r="86" spans="1:16" ht="15.75">
      <c r="A86" s="3"/>
      <c r="B86" s="169"/>
      <c r="C86" s="60" t="s">
        <v>38</v>
      </c>
      <c r="D86" s="60" t="str">
        <f>INDEX(Vectors[Description], MATCH([Vector], Vectors[Code], 0))</f>
        <v>Liquid hydrocarbons</v>
      </c>
      <c r="E86" s="60"/>
      <c r="F86" s="129">
        <f ca="1">F$55</f>
        <v>1507.1271398060596</v>
      </c>
      <c r="G86" s="129">
        <f t="shared" ref="G86:O86" ca="1" si="17">G$55</f>
        <v>1784.651663575698</v>
      </c>
      <c r="H86" s="129">
        <f t="shared" ca="1" si="17"/>
        <v>2411.9078582714656</v>
      </c>
      <c r="I86" s="129">
        <f t="shared" ca="1" si="17"/>
        <v>3234.6504852809785</v>
      </c>
      <c r="J86" s="129">
        <f t="shared" ca="1" si="17"/>
        <v>4212.5909264416923</v>
      </c>
      <c r="K86" s="129">
        <f t="shared" ca="1" si="17"/>
        <v>5358.4146289769687</v>
      </c>
      <c r="L86" s="129">
        <f t="shared" ca="1" si="17"/>
        <v>6640.1663941009338</v>
      </c>
      <c r="M86" s="129">
        <f t="shared" ca="1" si="17"/>
        <v>7941.6375424720536</v>
      </c>
      <c r="N86" s="129">
        <f t="shared" ca="1" si="17"/>
        <v>9406.0009467822001</v>
      </c>
      <c r="O86" s="129">
        <f t="shared" ca="1" si="17"/>
        <v>10972.387434756452</v>
      </c>
      <c r="P86" s="168"/>
    </row>
    <row r="87" spans="1:16" ht="15.75">
      <c r="A87" s="3"/>
      <c r="B87" s="169"/>
      <c r="C87" s="60" t="s">
        <v>39</v>
      </c>
      <c r="D87" s="60" t="str">
        <f>INDEX(Vectors[Description], MATCH([Vector], Vectors[Code], 0))</f>
        <v>Gaseous hydrocarbons</v>
      </c>
      <c r="E87" s="60"/>
      <c r="F87" s="129">
        <f ca="1">F$60</f>
        <v>391.63118885861206</v>
      </c>
      <c r="G87" s="129">
        <f ca="1">G$60</f>
        <v>528.69309749721958</v>
      </c>
      <c r="H87" s="129">
        <f t="shared" ref="H87:O87" ca="1" si="18">H$60</f>
        <v>829.89050389944953</v>
      </c>
      <c r="I87" s="129">
        <f t="shared" ca="1" si="18"/>
        <v>982.07769091299144</v>
      </c>
      <c r="J87" s="129">
        <f t="shared" ca="1" si="18"/>
        <v>1135.9700535002041</v>
      </c>
      <c r="K87" s="129">
        <f t="shared" ca="1" si="18"/>
        <v>1325.6966476614132</v>
      </c>
      <c r="L87" s="129">
        <f t="shared" ca="1" si="18"/>
        <v>1540.5893033755879</v>
      </c>
      <c r="M87" s="129">
        <f t="shared" ca="1" si="18"/>
        <v>1779.7060889575037</v>
      </c>
      <c r="N87" s="129">
        <f t="shared" ca="1" si="18"/>
        <v>2040.3339382357783</v>
      </c>
      <c r="O87" s="129">
        <f t="shared" ca="1" si="18"/>
        <v>2332.7535879685406</v>
      </c>
      <c r="P87" s="168"/>
    </row>
    <row r="88" spans="1:16" ht="15.75">
      <c r="A88" s="3"/>
      <c r="B88" s="169"/>
      <c r="C88" s="60" t="s">
        <v>51</v>
      </c>
      <c r="D88" s="60" t="str">
        <f>INDEX(Vectors[Description], MATCH([Vector], Vectors[Code], 0))</f>
        <v>Coal indigenous production</v>
      </c>
      <c r="E88" s="60"/>
      <c r="F88" s="129">
        <f ca="1">-F$54</f>
        <v>-2316.2462455929053</v>
      </c>
      <c r="G88" s="129">
        <f t="shared" ref="G88:O88" ca="1" si="19">-G$54</f>
        <v>-3238.2489822140624</v>
      </c>
      <c r="H88" s="129">
        <f t="shared" ca="1" si="19"/>
        <v>-4492.7367614435316</v>
      </c>
      <c r="I88" s="129">
        <f t="shared" ca="1" si="19"/>
        <v>-6652.3651747013391</v>
      </c>
      <c r="J88" s="129">
        <f t="shared" ca="1" si="19"/>
        <v>-9337.4357162545803</v>
      </c>
      <c r="K88" s="129">
        <f t="shared" ca="1" si="19"/>
        <v>-12807.871055210169</v>
      </c>
      <c r="L88" s="129">
        <f t="shared" ca="1" si="19"/>
        <v>-16014.06130301861</v>
      </c>
      <c r="M88" s="129">
        <f t="shared" ca="1" si="19"/>
        <v>-19519.972798371477</v>
      </c>
      <c r="N88" s="129">
        <f t="shared" ca="1" si="19"/>
        <v>-22648.081872617422</v>
      </c>
      <c r="O88" s="129">
        <f t="shared" ca="1" si="19"/>
        <v>-26136.766339922484</v>
      </c>
      <c r="P88" s="168"/>
    </row>
    <row r="89" spans="1:16" ht="15.75">
      <c r="A89" s="3"/>
      <c r="B89" s="169"/>
      <c r="C89" s="60" t="s">
        <v>52</v>
      </c>
      <c r="D89" s="60" t="str">
        <f>INDEX(Vectors[Description], MATCH([Vector], Vectors[Code], 0))</f>
        <v>Oil and petroleum products</v>
      </c>
      <c r="E89" s="60"/>
      <c r="F89" s="129">
        <f ca="1">-F57</f>
        <v>-1612.6260395924837</v>
      </c>
      <c r="G89" s="129">
        <f t="shared" ref="G89:O89" ca="1" si="20">-G57</f>
        <v>-1909.5772800259967</v>
      </c>
      <c r="H89" s="129">
        <f t="shared" ca="1" si="20"/>
        <v>-2580.7414083504682</v>
      </c>
      <c r="I89" s="129">
        <f t="shared" ca="1" si="20"/>
        <v>-3461.0760192506468</v>
      </c>
      <c r="J89" s="129">
        <f t="shared" ca="1" si="20"/>
        <v>-4507.4722912926109</v>
      </c>
      <c r="K89" s="129">
        <f t="shared" ca="1" si="20"/>
        <v>-5733.5036530053567</v>
      </c>
      <c r="L89" s="129">
        <f t="shared" ca="1" si="20"/>
        <v>-7104.9780416879994</v>
      </c>
      <c r="M89" s="129">
        <f t="shared" ca="1" si="20"/>
        <v>-8497.5521704450966</v>
      </c>
      <c r="N89" s="129">
        <f t="shared" ca="1" si="20"/>
        <v>-10064.421013056954</v>
      </c>
      <c r="O89" s="129">
        <f t="shared" ca="1" si="20"/>
        <v>-11740.454555189404</v>
      </c>
      <c r="P89" s="168"/>
    </row>
    <row r="90" spans="1:16" ht="15.75">
      <c r="A90" s="3"/>
      <c r="B90" s="169"/>
      <c r="C90" s="60" t="s">
        <v>53</v>
      </c>
      <c r="D90" s="60" t="str">
        <f>INDEX(Vectors[Description], MATCH([Vector], Vectors[Code], 0))</f>
        <v>Natural gas</v>
      </c>
      <c r="E90" s="60"/>
      <c r="F90" s="129">
        <f ca="1">-F$62</f>
        <v>-450.37586718740386</v>
      </c>
      <c r="G90" s="129">
        <f t="shared" ref="G90:O90" ca="1" si="21">-G$62</f>
        <v>-607.99706212180251</v>
      </c>
      <c r="H90" s="129">
        <f t="shared" ca="1" si="21"/>
        <v>-954.37407948436692</v>
      </c>
      <c r="I90" s="129">
        <f t="shared" ca="1" si="21"/>
        <v>-1129.3893445499402</v>
      </c>
      <c r="J90" s="129">
        <f t="shared" ca="1" si="21"/>
        <v>-1306.3655615252346</v>
      </c>
      <c r="K90" s="129">
        <f t="shared" ca="1" si="21"/>
        <v>-1524.5511448106251</v>
      </c>
      <c r="L90" s="129">
        <f t="shared" ca="1" si="21"/>
        <v>-1771.6776988819261</v>
      </c>
      <c r="M90" s="129">
        <f t="shared" ca="1" si="21"/>
        <v>-2046.6620023011292</v>
      </c>
      <c r="N90" s="129">
        <f t="shared" ca="1" si="21"/>
        <v>-2346.3840289711452</v>
      </c>
      <c r="O90" s="129">
        <f t="shared" ca="1" si="21"/>
        <v>-2682.6666261638215</v>
      </c>
      <c r="P90" s="168"/>
    </row>
    <row r="91" spans="1:16" ht="15.75">
      <c r="A91" s="3"/>
      <c r="B91" s="169"/>
      <c r="C91" s="60" t="s">
        <v>26</v>
      </c>
      <c r="D91" s="60" t="str">
        <f>INDEX(Vectors[Description], MATCH([Vector], Vectors[Code], 0))</f>
        <v>Distribution losses and own use</v>
      </c>
      <c r="E91" s="60"/>
      <c r="F91" s="129">
        <f ca="1">F$61+F56</f>
        <v>164.243578115216</v>
      </c>
      <c r="G91" s="129">
        <f t="shared" ref="G91:O91" ca="1" si="22">G$61+G56</f>
        <v>204.22958107488182</v>
      </c>
      <c r="H91" s="129">
        <f t="shared" ca="1" si="22"/>
        <v>293.31712566392002</v>
      </c>
      <c r="I91" s="129">
        <f t="shared" ca="1" si="22"/>
        <v>373.73718760661723</v>
      </c>
      <c r="J91" s="129">
        <f t="shared" ca="1" si="22"/>
        <v>465.2768728759491</v>
      </c>
      <c r="K91" s="129">
        <f t="shared" ca="1" si="22"/>
        <v>573.94352117759979</v>
      </c>
      <c r="L91" s="129">
        <f t="shared" ca="1" si="22"/>
        <v>695.90004309340361</v>
      </c>
      <c r="M91" s="129">
        <f t="shared" ca="1" si="22"/>
        <v>822.87054131666935</v>
      </c>
      <c r="N91" s="129">
        <f t="shared" ca="1" si="22"/>
        <v>964.47015701012083</v>
      </c>
      <c r="O91" s="129">
        <f t="shared" ca="1" si="22"/>
        <v>1117.9801586282329</v>
      </c>
      <c r="P91" s="168"/>
    </row>
    <row r="92" spans="1:16" ht="15.75">
      <c r="A92" s="3"/>
      <c r="B92" s="169"/>
      <c r="C92" s="60" t="s">
        <v>103</v>
      </c>
      <c r="D92" s="60"/>
      <c r="E92" s="60"/>
      <c r="F92" s="2907">
        <f ca="1">SUBTOTAL(109,[2007])</f>
        <v>6.8212102632969618E-13</v>
      </c>
      <c r="G92" s="2907">
        <f ca="1">SUBTOTAL(109,[2012])</f>
        <v>-2.2737367544323206E-13</v>
      </c>
      <c r="H92" s="2907">
        <f ca="1">SUBTOTAL(109,[2017])</f>
        <v>0</v>
      </c>
      <c r="I92" s="2907">
        <f ca="1">SUBTOTAL(109,[2022])</f>
        <v>-1.3642420526593924E-12</v>
      </c>
      <c r="J92" s="2907">
        <f ca="1">SUBTOTAL(109,[2027])</f>
        <v>1.6484591469634324E-12</v>
      </c>
      <c r="K92" s="2907">
        <f ca="1">SUBTOTAL(109,[2032])</f>
        <v>2.8421709430404007E-12</v>
      </c>
      <c r="L92" s="2907">
        <f ca="1">SUBTOTAL(109,[2037])</f>
        <v>2.9558577807620168E-12</v>
      </c>
      <c r="M92" s="2907">
        <f ca="1">SUBTOTAL(109,[2042])</f>
        <v>1.2505552149377763E-12</v>
      </c>
      <c r="N92" s="2907">
        <f ca="1">SUBTOTAL(109,[2047])</f>
        <v>1.1368683772161603E-12</v>
      </c>
      <c r="O92" s="2907">
        <f ca="1">SUBTOTAL(109,[2052])</f>
        <v>0</v>
      </c>
      <c r="P92" s="168"/>
    </row>
    <row r="93" spans="1:16" ht="15.75">
      <c r="A93" s="3"/>
      <c r="B93" s="170"/>
      <c r="C93" s="224"/>
      <c r="D93" s="225"/>
      <c r="E93" s="225"/>
      <c r="F93" s="225"/>
      <c r="G93" s="225"/>
      <c r="H93" s="225"/>
      <c r="I93" s="225"/>
      <c r="J93" s="225"/>
      <c r="K93" s="225"/>
      <c r="L93" s="225"/>
      <c r="M93" s="225"/>
      <c r="N93" s="225"/>
      <c r="O93" s="225"/>
      <c r="P93" s="173"/>
    </row>
    <row r="95" spans="1:16" ht="22.5">
      <c r="A95" s="420"/>
      <c r="B95" s="216" t="s">
        <v>281</v>
      </c>
      <c r="C95" s="183"/>
      <c r="D95" s="184"/>
      <c r="E95" s="184"/>
      <c r="F95" s="184"/>
      <c r="G95" s="184"/>
      <c r="H95" s="184"/>
      <c r="I95" s="184"/>
      <c r="J95" s="184"/>
      <c r="K95" s="184"/>
      <c r="L95" s="184"/>
      <c r="M95" s="184"/>
      <c r="N95" s="184"/>
      <c r="O95" s="184"/>
      <c r="P95" s="185"/>
    </row>
    <row r="96" spans="1:16">
      <c r="B96" s="190"/>
      <c r="C96" s="191"/>
      <c r="D96" s="191"/>
      <c r="E96" s="191"/>
      <c r="F96" s="191"/>
      <c r="G96" s="191"/>
      <c r="H96" s="191"/>
      <c r="I96" s="191"/>
      <c r="J96" s="191"/>
      <c r="K96" s="191"/>
      <c r="L96" s="191"/>
      <c r="M96" s="191"/>
      <c r="N96" s="191"/>
      <c r="O96" s="191"/>
      <c r="P96" s="192"/>
    </row>
    <row r="97" spans="2:22" ht="14.25">
      <c r="B97" s="193"/>
      <c r="C97" s="186" t="s">
        <v>366</v>
      </c>
      <c r="D97" s="187"/>
      <c r="E97" s="188"/>
      <c r="F97" s="187"/>
      <c r="G97" s="188"/>
      <c r="H97" s="187"/>
      <c r="I97" s="187"/>
      <c r="J97" s="187"/>
      <c r="K97" s="187"/>
      <c r="L97" s="187"/>
      <c r="M97" s="187"/>
      <c r="N97" s="187"/>
      <c r="O97" s="188" t="s">
        <v>368</v>
      </c>
      <c r="P97" s="194"/>
    </row>
    <row r="98" spans="2:22" ht="5.25" customHeight="1">
      <c r="B98" s="193"/>
      <c r="C98" s="187"/>
      <c r="D98" s="187"/>
      <c r="E98" s="187"/>
      <c r="F98" s="187"/>
      <c r="G98" s="187"/>
      <c r="H98" s="187"/>
      <c r="I98" s="187"/>
      <c r="J98" s="187"/>
      <c r="K98" s="187"/>
      <c r="L98" s="187"/>
      <c r="M98" s="187"/>
      <c r="N98" s="187"/>
      <c r="O98" s="187"/>
      <c r="P98" s="194"/>
    </row>
    <row r="99" spans="2:22" ht="15.75">
      <c r="B99" s="195"/>
      <c r="C99" s="221" t="s">
        <v>365</v>
      </c>
      <c r="D99" s="221" t="s">
        <v>337</v>
      </c>
      <c r="E99" s="221" t="s">
        <v>156</v>
      </c>
      <c r="F99" s="2310" t="s">
        <v>203</v>
      </c>
      <c r="G99" s="2311" t="s">
        <v>712</v>
      </c>
      <c r="H99" s="2311" t="s">
        <v>713</v>
      </c>
      <c r="I99" s="2311" t="s">
        <v>714</v>
      </c>
      <c r="J99" s="2311" t="s">
        <v>715</v>
      </c>
      <c r="K99" s="2311" t="s">
        <v>716</v>
      </c>
      <c r="L99" s="2311" t="s">
        <v>717</v>
      </c>
      <c r="M99" s="2311" t="s">
        <v>718</v>
      </c>
      <c r="N99" s="2311" t="s">
        <v>719</v>
      </c>
      <c r="O99" s="2311" t="s">
        <v>720</v>
      </c>
      <c r="P99" s="194"/>
    </row>
    <row r="100" spans="2:22" ht="15.75">
      <c r="B100" s="195"/>
      <c r="C100" s="189" t="s">
        <v>351</v>
      </c>
      <c r="D100" s="196" t="s">
        <v>358</v>
      </c>
      <c r="E100" s="189" t="str">
        <f>INDEX(IPCC[Sector_description], MATCH([IPCC Sector], IPCC[Sector_code], 0))</f>
        <v>Fugitive Emissions from Fuels</v>
      </c>
      <c r="F100" s="197">
        <f>F$69</f>
        <v>0</v>
      </c>
      <c r="G100" s="197">
        <f t="shared" ref="G100:O100" si="23">G$69</f>
        <v>0</v>
      </c>
      <c r="H100" s="197">
        <f t="shared" si="23"/>
        <v>0</v>
      </c>
      <c r="I100" s="197">
        <f t="shared" si="23"/>
        <v>0</v>
      </c>
      <c r="J100" s="197">
        <f t="shared" si="23"/>
        <v>0</v>
      </c>
      <c r="K100" s="197">
        <f t="shared" si="23"/>
        <v>0</v>
      </c>
      <c r="L100" s="197">
        <f t="shared" si="23"/>
        <v>0</v>
      </c>
      <c r="M100" s="197">
        <f t="shared" si="23"/>
        <v>0</v>
      </c>
      <c r="N100" s="197">
        <f t="shared" si="23"/>
        <v>0</v>
      </c>
      <c r="O100" s="197">
        <f t="shared" si="23"/>
        <v>0</v>
      </c>
      <c r="P100" s="194"/>
    </row>
    <row r="101" spans="2:22" ht="15.75">
      <c r="B101" s="195"/>
      <c r="C101" s="189" t="s">
        <v>103</v>
      </c>
      <c r="D101" s="189"/>
      <c r="E101" s="189"/>
      <c r="F101" s="2279">
        <f>SUBTOTAL(109,[2007])</f>
        <v>0</v>
      </c>
      <c r="G101" s="2279">
        <f>SUBTOTAL(109,[2012])</f>
        <v>0</v>
      </c>
      <c r="H101" s="2279">
        <f>SUBTOTAL(109,[2017])</f>
        <v>0</v>
      </c>
      <c r="I101" s="2279">
        <f>SUBTOTAL(109,[2022])</f>
        <v>0</v>
      </c>
      <c r="J101" s="2279">
        <f>SUBTOTAL(109,[2027])</f>
        <v>0</v>
      </c>
      <c r="K101" s="2279">
        <f>SUBTOTAL(109,[2032])</f>
        <v>0</v>
      </c>
      <c r="L101" s="2279">
        <f>SUBTOTAL(109,[2037])</f>
        <v>0</v>
      </c>
      <c r="M101" s="2279">
        <f>SUBTOTAL(109,[2042])</f>
        <v>0</v>
      </c>
      <c r="N101" s="2279">
        <f>SUBTOTAL(109,[2047])</f>
        <v>0</v>
      </c>
      <c r="O101" s="2279">
        <f>SUBTOTAL(109,[2052])</f>
        <v>0</v>
      </c>
      <c r="P101" s="194"/>
    </row>
    <row r="102" spans="2:22" ht="15.75">
      <c r="B102" s="195"/>
      <c r="C102" s="187"/>
      <c r="D102" s="187"/>
      <c r="E102" s="187"/>
      <c r="F102" s="187"/>
      <c r="G102" s="187"/>
      <c r="H102" s="187"/>
      <c r="I102" s="187"/>
      <c r="J102" s="187"/>
      <c r="K102" s="187"/>
      <c r="L102" s="187"/>
      <c r="M102" s="187"/>
      <c r="N102" s="187"/>
      <c r="O102" s="187"/>
      <c r="P102" s="194"/>
    </row>
    <row r="104" spans="2:22" ht="21.75" customHeight="1">
      <c r="B104" s="424" t="s">
        <v>501</v>
      </c>
      <c r="C104" s="346"/>
      <c r="D104" s="425"/>
      <c r="E104" s="425"/>
      <c r="F104" s="425"/>
      <c r="G104" s="425"/>
      <c r="H104" s="425"/>
      <c r="I104" s="425"/>
      <c r="J104" s="425"/>
      <c r="K104" s="425"/>
      <c r="L104" s="425"/>
      <c r="M104" s="425"/>
      <c r="N104" s="425"/>
      <c r="O104" s="425"/>
      <c r="P104" s="426"/>
      <c r="S104" s="623"/>
      <c r="T104" s="630"/>
      <c r="U104" s="623"/>
      <c r="V104" s="623"/>
    </row>
    <row r="105" spans="2:22">
      <c r="B105" s="347"/>
      <c r="C105" s="348"/>
      <c r="D105" s="348"/>
      <c r="E105" s="348"/>
      <c r="F105" s="348"/>
      <c r="G105" s="348"/>
      <c r="H105" s="348"/>
      <c r="I105" s="348"/>
      <c r="J105" s="348"/>
      <c r="K105" s="348"/>
      <c r="L105" s="348"/>
      <c r="M105" s="348"/>
      <c r="N105" s="348"/>
      <c r="O105" s="348"/>
      <c r="P105" s="349"/>
      <c r="T105" s="51"/>
    </row>
    <row r="106" spans="2:22" ht="13.5" customHeight="1">
      <c r="B106" s="427"/>
      <c r="C106" s="350" t="s">
        <v>506</v>
      </c>
      <c r="D106" s="428"/>
      <c r="E106" s="351"/>
      <c r="F106" s="428"/>
      <c r="G106" s="351"/>
      <c r="H106" s="428"/>
      <c r="I106" s="428"/>
      <c r="J106" s="428"/>
      <c r="K106" s="428"/>
      <c r="L106" s="428"/>
      <c r="M106" s="428"/>
      <c r="N106" s="428"/>
      <c r="O106" s="351"/>
      <c r="P106" s="429"/>
      <c r="T106" s="51"/>
    </row>
    <row r="107" spans="2:22" ht="1.5" customHeight="1">
      <c r="B107" s="427"/>
      <c r="C107" s="428"/>
      <c r="D107" s="428"/>
      <c r="E107" s="428"/>
      <c r="F107" s="428"/>
      <c r="G107" s="428"/>
      <c r="H107" s="428"/>
      <c r="I107" s="428"/>
      <c r="J107" s="428"/>
      <c r="K107" s="428"/>
      <c r="L107" s="428"/>
      <c r="M107" s="428"/>
      <c r="N107" s="428"/>
      <c r="O107" s="428"/>
      <c r="P107" s="429"/>
      <c r="T107" s="51"/>
    </row>
    <row r="108" spans="2:22" ht="15.75">
      <c r="B108" s="430"/>
      <c r="C108" s="431" t="s">
        <v>64</v>
      </c>
      <c r="D108" s="431" t="s">
        <v>502</v>
      </c>
      <c r="E108" s="431" t="s">
        <v>156</v>
      </c>
      <c r="F108" s="2310" t="s">
        <v>203</v>
      </c>
      <c r="G108" s="2311" t="s">
        <v>712</v>
      </c>
      <c r="H108" s="2311" t="s">
        <v>713</v>
      </c>
      <c r="I108" s="2311" t="s">
        <v>714</v>
      </c>
      <c r="J108" s="2311" t="s">
        <v>715</v>
      </c>
      <c r="K108" s="2311" t="s">
        <v>716</v>
      </c>
      <c r="L108" s="2311" t="s">
        <v>717</v>
      </c>
      <c r="M108" s="2311" t="s">
        <v>718</v>
      </c>
      <c r="N108" s="2311" t="s">
        <v>719</v>
      </c>
      <c r="O108" s="2311" t="s">
        <v>720</v>
      </c>
      <c r="P108" s="429"/>
    </row>
    <row r="109" spans="2:22" ht="15.75">
      <c r="B109" s="430"/>
      <c r="C109" s="432"/>
      <c r="D109" s="433"/>
      <c r="E109" s="433"/>
      <c r="F109" s="354"/>
      <c r="G109" s="354"/>
      <c r="H109" s="354"/>
      <c r="I109" s="354"/>
      <c r="J109" s="354"/>
      <c r="K109" s="354"/>
      <c r="L109" s="354"/>
      <c r="M109" s="354"/>
      <c r="N109" s="354"/>
      <c r="O109" s="354"/>
      <c r="P109" s="429"/>
    </row>
    <row r="110" spans="2:22" ht="15.75">
      <c r="B110" s="355"/>
      <c r="C110" s="434"/>
      <c r="D110" s="434"/>
      <c r="E110" s="434"/>
      <c r="F110" s="434"/>
      <c r="G110" s="434"/>
      <c r="H110" s="434"/>
      <c r="I110" s="434"/>
      <c r="J110" s="434"/>
      <c r="K110" s="434"/>
      <c r="L110" s="434"/>
      <c r="M110" s="434"/>
      <c r="N110" s="434"/>
      <c r="O110" s="434"/>
      <c r="P110" s="352"/>
    </row>
    <row r="111" spans="2:22" collapsed="1"/>
    <row r="113" spans="2:15" s="624" customFormat="1" ht="15.75">
      <c r="B113" s="2653"/>
    </row>
    <row r="114" spans="2:15" s="624" customFormat="1"/>
    <row r="115" spans="2:15" s="624" customFormat="1">
      <c r="C115" s="2655"/>
      <c r="D115" s="2655"/>
      <c r="E115" s="2655"/>
      <c r="F115" s="2656"/>
      <c r="G115" s="2656"/>
      <c r="H115" s="2656"/>
      <c r="I115" s="2656"/>
      <c r="J115" s="2656"/>
      <c r="K115" s="2656"/>
      <c r="L115" s="2656"/>
      <c r="M115" s="2656"/>
      <c r="N115" s="2656"/>
      <c r="O115" s="2656"/>
    </row>
    <row r="116" spans="2:15" s="624" customFormat="1">
      <c r="D116" s="946"/>
      <c r="F116" s="2654"/>
      <c r="G116" s="2654"/>
      <c r="H116" s="2654"/>
      <c r="I116" s="2654"/>
      <c r="J116" s="2654"/>
      <c r="K116" s="2654"/>
      <c r="L116" s="2654"/>
      <c r="M116" s="2654"/>
      <c r="N116" s="2654"/>
      <c r="O116" s="2654"/>
    </row>
    <row r="117" spans="2:15" s="624" customFormat="1"/>
    <row r="689" spans="6:15">
      <c r="F689" s="605">
        <f>F$649*INDEX(EF[CO2], MATCH("V.04", EF[Vector], 0))</f>
        <v>0</v>
      </c>
      <c r="G689" s="605">
        <f>G$649*INDEX(EF[CO2], MATCH("V.04", EF[Vector], 0))</f>
        <v>0</v>
      </c>
      <c r="H689" s="605">
        <f>H$649*INDEX(EF[CO2], MATCH("V.04", EF[Vector], 0))</f>
        <v>0</v>
      </c>
      <c r="I689" s="605">
        <f>I$649*INDEX(EF[CO2], MATCH("V.04", EF[Vector], 0))</f>
        <v>0</v>
      </c>
      <c r="J689" s="605">
        <f>J$649*INDEX(EF[CO2], MATCH("V.04", EF[Vector], 0))</f>
        <v>0</v>
      </c>
      <c r="K689" s="605">
        <f>K$649*INDEX(EF[CO2], MATCH("V.04", EF[Vector], 0))</f>
        <v>0</v>
      </c>
      <c r="L689" s="605">
        <f>L$649*INDEX(EF[CO2], MATCH("V.04", EF[Vector], 0))</f>
        <v>0</v>
      </c>
      <c r="M689" s="605">
        <f>M$649*INDEX(EF[CO2], MATCH("V.04", EF[Vector], 0))</f>
        <v>0</v>
      </c>
      <c r="N689" s="605">
        <f>N$649*INDEX(EF[CO2], MATCH("V.04", EF[Vector], 0))</f>
        <v>0</v>
      </c>
      <c r="O689" s="605">
        <f>O$649*INDEX(EF[CO2], MATCH("V.04", EF[Vector], 0))</f>
        <v>0</v>
      </c>
    </row>
    <row r="690" spans="6:15">
      <c r="F690" s="605">
        <f>F$649*INDEX(EF[CH4], MATCH("V.04", EF[Vector], 0))</f>
        <v>0</v>
      </c>
      <c r="G690" s="605">
        <f>G$649*INDEX(EF[CH4], MATCH("V.04", EF[Vector], 0))</f>
        <v>0</v>
      </c>
      <c r="H690" s="605">
        <f>H$649*INDEX(EF[CH4], MATCH("V.04", EF[Vector], 0))</f>
        <v>0</v>
      </c>
      <c r="I690" s="605">
        <f>I$649*INDEX(EF[CH4], MATCH("V.04", EF[Vector], 0))</f>
        <v>0</v>
      </c>
      <c r="J690" s="605">
        <f>J$649*INDEX(EF[CH4], MATCH("V.04", EF[Vector], 0))</f>
        <v>0</v>
      </c>
      <c r="K690" s="605">
        <f>K$649*INDEX(EF[CH4], MATCH("V.04", EF[Vector], 0))</f>
        <v>0</v>
      </c>
      <c r="L690" s="605">
        <f>L$649*INDEX(EF[CH4], MATCH("V.04", EF[Vector], 0))</f>
        <v>0</v>
      </c>
      <c r="M690" s="605">
        <f>M$649*INDEX(EF[CH4], MATCH("V.04", EF[Vector], 0))</f>
        <v>0</v>
      </c>
      <c r="N690" s="605">
        <f>N$649*INDEX(EF[CH4], MATCH("V.04", EF[Vector], 0))</f>
        <v>0</v>
      </c>
      <c r="O690" s="605">
        <f>O$649*INDEX(EF[CH4], MATCH("V.04", EF[Vector], 0))</f>
        <v>0</v>
      </c>
    </row>
    <row r="691" spans="6:15">
      <c r="F691" s="605">
        <f>F$649*INDEX(EF[N2O], MATCH("V.04", EF[Vector], 0))</f>
        <v>0</v>
      </c>
      <c r="G691" s="605">
        <f>G$649*INDEX(EF[N2O], MATCH("V.04", EF[Vector], 0))</f>
        <v>0</v>
      </c>
      <c r="H691" s="605">
        <f>H$649*INDEX(EF[N2O], MATCH("V.04", EF[Vector], 0))</f>
        <v>0</v>
      </c>
      <c r="I691" s="605">
        <f>I$649*INDEX(EF[N2O], MATCH("V.04", EF[Vector], 0))</f>
        <v>0</v>
      </c>
      <c r="J691" s="605">
        <f>J$649*INDEX(EF[N2O], MATCH("V.04", EF[Vector], 0))</f>
        <v>0</v>
      </c>
      <c r="K691" s="605">
        <f>K$649*INDEX(EF[N2O], MATCH("V.04", EF[Vector], 0))</f>
        <v>0</v>
      </c>
      <c r="L691" s="605">
        <f>L$649*INDEX(EF[N2O], MATCH("V.04", EF[Vector], 0))</f>
        <v>0</v>
      </c>
      <c r="M691" s="605">
        <f>M$649*INDEX(EF[N2O], MATCH("V.04", EF[Vector], 0))</f>
        <v>0</v>
      </c>
      <c r="N691" s="605">
        <f>N$649*INDEX(EF[N2O], MATCH("V.04", EF[Vector], 0))</f>
        <v>0</v>
      </c>
      <c r="O691" s="605">
        <f>O$649*INDEX(EF[N2O], MATCH("V.04", EF[Vector], 0))</f>
        <v>0</v>
      </c>
    </row>
  </sheetData>
  <pageMargins left="0.7" right="0.7" top="0.75" bottom="0.75" header="0.3" footer="0.3"/>
  <pageSetup paperSize="9" orientation="portrait"/>
  <tableParts count="4">
    <tablePart r:id="rId1"/>
    <tablePart r:id="rId2"/>
    <tablePart r:id="rId3"/>
    <tablePart r:id="rId4"/>
  </tableParts>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sheetPr>
    <tabColor theme="9"/>
    <outlinePr summaryBelow="0"/>
    <pageSetUpPr autoPageBreaks="0"/>
  </sheetPr>
  <dimension ref="A1:AD663"/>
  <sheetViews>
    <sheetView showGridLines="0" zoomScale="80" zoomScaleNormal="80" zoomScalePageLayoutView="80" workbookViewId="0">
      <selection activeCell="G28" sqref="G28"/>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16384" width="8.85546875" style="605"/>
  </cols>
  <sheetData>
    <row r="1" spans="1:16" ht="21">
      <c r="A1" s="77" t="s">
        <v>409</v>
      </c>
      <c r="B1" s="77" t="str">
        <f>INDEX(Workstreams[Workstream], MATCH($A1, Workstreams[Code], 0))</f>
        <v>Transfer</v>
      </c>
      <c r="C1" s="77"/>
    </row>
    <row r="2" spans="1:16" s="51" customFormat="1" ht="19.5" customHeight="1">
      <c r="A2" s="6" t="s">
        <v>1088</v>
      </c>
      <c r="B2" s="6" t="str">
        <f>INDEX(Modules[Module], MATCH($A2, Modules[Code], 0))</f>
        <v>Fossil fuel Imports</v>
      </c>
      <c r="C2" s="6"/>
      <c r="E2" s="404"/>
    </row>
    <row r="4" spans="1:16" ht="22.5">
      <c r="A4" s="420"/>
      <c r="B4" s="206" t="s">
        <v>201</v>
      </c>
      <c r="C4" s="175"/>
      <c r="D4" s="175"/>
      <c r="E4" s="175"/>
      <c r="F4" s="175"/>
      <c r="G4" s="175"/>
      <c r="H4" s="175"/>
      <c r="I4" s="175"/>
      <c r="J4" s="175"/>
      <c r="K4" s="175"/>
      <c r="L4" s="175"/>
      <c r="M4" s="175"/>
      <c r="N4" s="175"/>
      <c r="O4" s="175"/>
      <c r="P4" s="177"/>
    </row>
    <row r="5" spans="1:16">
      <c r="B5" s="164"/>
      <c r="C5" s="166"/>
      <c r="D5" s="166"/>
      <c r="E5" s="166"/>
      <c r="F5" s="166"/>
      <c r="G5" s="166"/>
      <c r="H5" s="166"/>
      <c r="I5" s="166"/>
      <c r="J5" s="166"/>
      <c r="K5" s="166"/>
      <c r="L5" s="166"/>
      <c r="M5" s="166"/>
      <c r="N5" s="166"/>
      <c r="O5" s="166"/>
      <c r="P5" s="168"/>
    </row>
    <row r="6" spans="1:16">
      <c r="B6" s="164"/>
      <c r="C6" s="178" t="s">
        <v>1792</v>
      </c>
      <c r="D6" s="166"/>
      <c r="E6" s="167"/>
      <c r="F6" s="166"/>
      <c r="G6" s="166"/>
      <c r="H6" s="166"/>
      <c r="I6" s="166"/>
      <c r="J6" s="166"/>
      <c r="K6" s="166"/>
      <c r="L6" s="166"/>
      <c r="M6" s="166"/>
      <c r="N6" s="166"/>
      <c r="O6" s="167" t="str">
        <f>preferences.energyunits</f>
        <v>TWh</v>
      </c>
      <c r="P6" s="168"/>
    </row>
    <row r="7" spans="1:16" ht="6" customHeight="1">
      <c r="B7" s="164"/>
      <c r="C7" s="165"/>
      <c r="D7" s="166"/>
      <c r="E7" s="167"/>
      <c r="F7" s="166"/>
      <c r="G7" s="166"/>
      <c r="H7" s="166"/>
      <c r="I7" s="166"/>
      <c r="J7" s="166"/>
      <c r="K7" s="166"/>
      <c r="L7" s="166"/>
      <c r="M7" s="166"/>
      <c r="N7" s="166"/>
      <c r="O7" s="166"/>
      <c r="P7" s="168"/>
    </row>
    <row r="8" spans="1:16" s="51" customFormat="1" ht="15.75">
      <c r="A8" s="53"/>
      <c r="B8" s="179"/>
      <c r="C8" s="180" t="s">
        <v>64</v>
      </c>
      <c r="D8" s="180" t="s">
        <v>137</v>
      </c>
      <c r="E8" s="180" t="s">
        <v>156</v>
      </c>
      <c r="F8" s="2298" t="s">
        <v>203</v>
      </c>
      <c r="G8" s="2299" t="s">
        <v>712</v>
      </c>
      <c r="H8" s="2299" t="s">
        <v>713</v>
      </c>
      <c r="I8" s="2299" t="s">
        <v>714</v>
      </c>
      <c r="J8" s="2299" t="s">
        <v>715</v>
      </c>
      <c r="K8" s="2299" t="s">
        <v>716</v>
      </c>
      <c r="L8" s="2299" t="s">
        <v>717</v>
      </c>
      <c r="M8" s="2299" t="s">
        <v>718</v>
      </c>
      <c r="N8" s="2299" t="s">
        <v>719</v>
      </c>
      <c r="O8" s="2299" t="s">
        <v>720</v>
      </c>
      <c r="P8" s="659"/>
    </row>
    <row r="9" spans="1:16" s="51" customFormat="1" ht="15.75">
      <c r="A9" s="53"/>
      <c r="B9" s="179"/>
      <c r="C9" s="180" t="s">
        <v>315</v>
      </c>
      <c r="D9" s="60" t="str">
        <f>INDEX(Vectors[Description], MATCH([Vector], Vectors[Code], 0))</f>
        <v>Coal oversupply (imports)</v>
      </c>
      <c r="E9" s="180"/>
      <c r="F9" s="2294">
        <f t="shared" ref="F9:O11" ca="1" si="0">INDEX(INDIRECT("'"&amp;F$8&amp;"'!Year.NetBalance"), MATCH($C9, INDIRECT("'"&amp;F$8&amp;"'!Year.Vectors"), 0))</f>
        <v>-312.87744559290513</v>
      </c>
      <c r="G9" s="267">
        <f t="shared" ca="1" si="0"/>
        <v>-533.85548221406225</v>
      </c>
      <c r="H9" s="267">
        <f t="shared" ca="1" si="0"/>
        <v>-1349.5453480108031</v>
      </c>
      <c r="I9" s="267">
        <f t="shared" ca="1" si="0"/>
        <v>-3068.214410803027</v>
      </c>
      <c r="J9" s="267">
        <f t="shared" ca="1" si="0"/>
        <v>-5462.9307882709118</v>
      </c>
      <c r="K9" s="267">
        <f t="shared" ca="1" si="0"/>
        <v>-8849.3886004507167</v>
      </c>
      <c r="L9" s="267">
        <f t="shared" ca="1" si="0"/>
        <v>-11988.489821833136</v>
      </c>
      <c r="M9" s="267">
        <f t="shared" ca="1" si="0"/>
        <v>-16113.370591179753</v>
      </c>
      <c r="N9" s="267">
        <f t="shared" ca="1" si="0"/>
        <v>-19769.818192917424</v>
      </c>
      <c r="O9" s="267">
        <f t="shared" ca="1" si="0"/>
        <v>-23701.654511114481</v>
      </c>
      <c r="P9" s="659"/>
    </row>
    <row r="10" spans="1:16" s="51" customFormat="1" ht="15.75">
      <c r="A10" s="53"/>
      <c r="B10" s="179"/>
      <c r="C10" s="180" t="s">
        <v>316</v>
      </c>
      <c r="D10" s="60" t="str">
        <f>INDEX(Vectors[Description], MATCH([Vector], Vectors[Code], 0))</f>
        <v>Oil and petroleum products oversupply (imports)</v>
      </c>
      <c r="E10" s="180"/>
      <c r="F10" s="2294">
        <f t="shared" ca="1" si="0"/>
        <v>-1217.3455995924837</v>
      </c>
      <c r="G10" s="267">
        <f t="shared" ca="1" si="0"/>
        <v>-1466.5905800259968</v>
      </c>
      <c r="H10" s="267">
        <f t="shared" ca="1" si="0"/>
        <v>-2100.3206137516681</v>
      </c>
      <c r="I10" s="267">
        <f t="shared" ca="1" si="0"/>
        <v>-3054.2541317150194</v>
      </c>
      <c r="J10" s="267">
        <f t="shared" ca="1" si="0"/>
        <v>-4102.7795788608364</v>
      </c>
      <c r="K10" s="267">
        <f t="shared" ca="1" si="0"/>
        <v>-5330.667265334645</v>
      </c>
      <c r="L10" s="267">
        <f t="shared" ca="1" si="0"/>
        <v>-6703.2930240172882</v>
      </c>
      <c r="M10" s="267">
        <f t="shared" ca="1" si="0"/>
        <v>-8096.4219235944875</v>
      </c>
      <c r="N10" s="267">
        <f t="shared" ca="1" si="0"/>
        <v>-9663.2311319982509</v>
      </c>
      <c r="O10" s="267">
        <f t="shared" ca="1" si="0"/>
        <v>-11338.566432233665</v>
      </c>
      <c r="P10" s="659"/>
    </row>
    <row r="11" spans="1:16" s="51" customFormat="1" ht="18" customHeight="1">
      <c r="A11" s="53"/>
      <c r="B11" s="179"/>
      <c r="C11" s="60" t="s">
        <v>317</v>
      </c>
      <c r="D11" s="60" t="str">
        <f>INDEX(Vectors[Description], MATCH([Vector], Vectors[Code], 0))</f>
        <v>Gas oversupply (imports)</v>
      </c>
      <c r="E11" s="60"/>
      <c r="F11" s="2294">
        <f t="shared" ca="1" si="0"/>
        <v>-153.83385468740386</v>
      </c>
      <c r="G11" s="267">
        <f t="shared" ca="1" si="0"/>
        <v>-158.80496962180251</v>
      </c>
      <c r="H11" s="267">
        <f t="shared" ca="1" si="0"/>
        <v>-447.28146847936694</v>
      </c>
      <c r="I11" s="267">
        <f t="shared" ca="1" si="0"/>
        <v>-580.82834753994018</v>
      </c>
      <c r="J11" s="267">
        <f t="shared" ca="1" si="0"/>
        <v>-719.79234346908368</v>
      </c>
      <c r="K11" s="267">
        <f t="shared" ca="1" si="0"/>
        <v>-883.00958491906431</v>
      </c>
      <c r="L11" s="267">
        <f t="shared" ca="1" si="0"/>
        <v>-1091.1358234381285</v>
      </c>
      <c r="M11" s="267">
        <f t="shared" ca="1" si="0"/>
        <v>-1323.7322738925393</v>
      </c>
      <c r="N11" s="267">
        <f t="shared" ca="1" si="0"/>
        <v>-1577.3126958590992</v>
      </c>
      <c r="O11" s="267">
        <f t="shared" ca="1" si="0"/>
        <v>-1879.4436261638216</v>
      </c>
      <c r="P11" s="181"/>
    </row>
    <row r="12" spans="1:16" s="51" customFormat="1" ht="18" customHeight="1">
      <c r="A12" s="53"/>
      <c r="B12" s="179"/>
      <c r="C12" s="60"/>
      <c r="D12" s="60"/>
      <c r="E12" s="60"/>
      <c r="F12" s="267"/>
      <c r="G12" s="267"/>
      <c r="H12" s="267"/>
      <c r="I12" s="267"/>
      <c r="J12" s="267"/>
      <c r="K12" s="267"/>
      <c r="L12" s="267"/>
      <c r="M12" s="267"/>
      <c r="N12" s="267"/>
      <c r="O12" s="267"/>
      <c r="P12" s="181"/>
    </row>
    <row r="13" spans="1:16" s="51" customFormat="1" ht="18" customHeight="1">
      <c r="A13" s="53"/>
      <c r="B13" s="179"/>
      <c r="C13" s="266" t="s">
        <v>1791</v>
      </c>
      <c r="D13" s="60"/>
      <c r="E13" s="60"/>
      <c r="F13" s="267"/>
      <c r="G13" s="267"/>
      <c r="H13" s="267"/>
      <c r="I13" s="267"/>
      <c r="J13" s="267"/>
      <c r="K13" s="267"/>
      <c r="L13" s="267"/>
      <c r="M13" s="267"/>
      <c r="N13" s="267"/>
      <c r="O13" s="267"/>
      <c r="P13" s="181"/>
    </row>
    <row r="14" spans="1:16" s="51" customFormat="1" ht="18" customHeight="1">
      <c r="A14" s="53"/>
      <c r="B14" s="179"/>
      <c r="C14" s="647" t="s">
        <v>64</v>
      </c>
      <c r="D14" s="647" t="s">
        <v>137</v>
      </c>
      <c r="E14" s="647" t="s">
        <v>156</v>
      </c>
      <c r="F14" s="2298" t="s">
        <v>203</v>
      </c>
      <c r="G14" s="2299" t="s">
        <v>712</v>
      </c>
      <c r="H14" s="2299" t="s">
        <v>713</v>
      </c>
      <c r="I14" s="2299" t="s">
        <v>714</v>
      </c>
      <c r="J14" s="2299" t="s">
        <v>715</v>
      </c>
      <c r="K14" s="2299" t="s">
        <v>716</v>
      </c>
      <c r="L14" s="2299" t="s">
        <v>717</v>
      </c>
      <c r="M14" s="2299" t="s">
        <v>718</v>
      </c>
      <c r="N14" s="2299" t="s">
        <v>719</v>
      </c>
      <c r="O14" s="2299" t="s">
        <v>720</v>
      </c>
      <c r="P14" s="181"/>
    </row>
    <row r="15" spans="1:16" s="51" customFormat="1" ht="18" customHeight="1">
      <c r="A15" s="53"/>
      <c r="B15" s="179"/>
      <c r="C15" s="180" t="s">
        <v>7</v>
      </c>
      <c r="D15" s="60" t="str">
        <f>INDEX(Vectors[Description], MATCH([Vector], Vectors[Code], 0))</f>
        <v>Nuclear fission</v>
      </c>
      <c r="E15" s="180"/>
      <c r="F15" s="2295">
        <f ca="1">INDEX(INDIRECT("'"&amp;F$8&amp;"'!Year.NetBalance"), MATCH($C15, INDIRECT("'"&amp;F$8&amp;"'!Year.Vectors"), 0))</f>
        <v>-80.94774857142859</v>
      </c>
      <c r="G15" s="2296">
        <f ca="1">INDEX(INDIRECT("'"&amp;G$8&amp;"'!Year.NetBalance"), MATCH($C15, INDIRECT("'"&amp;G$8&amp;"'!Year.Vectors"), 0))</f>
        <v>-93.771154285714289</v>
      </c>
      <c r="H15" s="2296">
        <f ca="1">INDEX(INDIRECT("'"&amp;H$8&amp;"'!Year.NetBalance"), MATCH($C15, INDIRECT("'"&amp;H$8&amp;"'!Year.Vectors"), 0))</f>
        <v>-199.9649828571429</v>
      </c>
      <c r="I15" s="2296">
        <f ca="1">INDEX(INDIRECT("'"&amp;I$8&amp;"'!Year.NetBalance"), MATCH($C15, INDIRECT("'"&amp;I$8&amp;"'!Year.Vectors"), 0))</f>
        <v>-193.55328000000003</v>
      </c>
      <c r="J15" s="2296">
        <f t="shared" ref="J15:O15" ca="1" si="1">INDEX(INDIRECT("'"&amp;J$8&amp;"'!Year.NetBalance"), MATCH($C15, INDIRECT("'"&amp;J$8&amp;"'!Year.Vectors"), 0))</f>
        <v>-193.55328000000003</v>
      </c>
      <c r="K15" s="2296">
        <f t="shared" ca="1" si="1"/>
        <v>-189.54596571428576</v>
      </c>
      <c r="L15" s="2296">
        <f t="shared" ca="1" si="1"/>
        <v>-180.72987428571432</v>
      </c>
      <c r="M15" s="2296">
        <f t="shared" ca="1" si="1"/>
        <v>-176.3218285714286</v>
      </c>
      <c r="N15" s="2296">
        <f t="shared" ca="1" si="1"/>
        <v>-167.50573714285716</v>
      </c>
      <c r="O15" s="2296">
        <f t="shared" ca="1" si="1"/>
        <v>-167.50573714285716</v>
      </c>
      <c r="P15" s="181"/>
    </row>
    <row r="16" spans="1:16" s="51" customFormat="1" ht="18" customHeight="1">
      <c r="A16" s="53"/>
      <c r="B16" s="179"/>
      <c r="C16" s="60"/>
      <c r="D16" s="60"/>
      <c r="E16" s="60"/>
      <c r="F16" s="267"/>
      <c r="G16" s="267"/>
      <c r="H16" s="267"/>
      <c r="I16" s="267"/>
      <c r="J16" s="267"/>
      <c r="K16" s="267"/>
      <c r="L16" s="267"/>
      <c r="M16" s="267"/>
      <c r="N16" s="267"/>
      <c r="O16" s="267"/>
      <c r="P16" s="181"/>
    </row>
    <row r="17" spans="1:30" s="51" customFormat="1" ht="18" customHeight="1">
      <c r="A17" s="53"/>
      <c r="B17" s="179"/>
      <c r="C17" s="60"/>
      <c r="D17" s="401" t="s">
        <v>586</v>
      </c>
      <c r="E17" s="60"/>
      <c r="F17" s="129"/>
      <c r="G17" s="129"/>
      <c r="H17" s="129"/>
      <c r="I17" s="129"/>
      <c r="J17" s="129"/>
      <c r="K17" s="129"/>
      <c r="L17" s="129"/>
      <c r="M17" s="129"/>
      <c r="N17" s="129"/>
      <c r="O17" s="129"/>
      <c r="P17" s="181"/>
    </row>
    <row r="19" spans="1:30" s="242" customFormat="1">
      <c r="R19" s="35"/>
      <c r="S19" s="35"/>
      <c r="T19" s="35"/>
      <c r="U19" s="35"/>
      <c r="V19" s="35"/>
      <c r="W19" s="35"/>
      <c r="X19" s="35"/>
      <c r="Y19" s="35"/>
      <c r="Z19" s="35"/>
      <c r="AA19" s="35"/>
      <c r="AB19" s="35"/>
      <c r="AC19" s="35"/>
      <c r="AD19" s="35"/>
    </row>
    <row r="20" spans="1:30" ht="15.75">
      <c r="B20" s="89" t="s">
        <v>241</v>
      </c>
      <c r="R20" s="510"/>
      <c r="S20" s="35"/>
      <c r="T20" s="510"/>
      <c r="U20" s="409"/>
      <c r="V20" s="409"/>
      <c r="W20" s="409"/>
      <c r="X20" s="409"/>
      <c r="Y20" s="409"/>
      <c r="Z20" s="409"/>
      <c r="AA20" s="409"/>
      <c r="AB20" s="409"/>
      <c r="AC20" s="409"/>
      <c r="AD20" s="409"/>
    </row>
    <row r="21" spans="1:30" ht="15.75">
      <c r="B21" s="89">
        <v>1</v>
      </c>
      <c r="C21" s="605" t="s">
        <v>1831</v>
      </c>
      <c r="R21" s="510"/>
      <c r="S21" s="35"/>
      <c r="T21" s="510"/>
      <c r="U21" s="409"/>
      <c r="V21" s="409"/>
      <c r="W21" s="409"/>
      <c r="X21" s="409"/>
      <c r="Y21" s="409"/>
      <c r="Z21" s="409"/>
      <c r="AA21" s="409"/>
      <c r="AB21" s="409"/>
      <c r="AC21" s="409"/>
      <c r="AD21" s="409"/>
    </row>
    <row r="22" spans="1:30">
      <c r="B22" s="423">
        <v>2</v>
      </c>
      <c r="C22" s="605" t="s">
        <v>1414</v>
      </c>
      <c r="R22" s="35"/>
      <c r="S22" s="292"/>
      <c r="T22" s="35"/>
      <c r="U22" s="440"/>
      <c r="V22" s="440"/>
      <c r="W22" s="440"/>
      <c r="X22" s="440"/>
      <c r="Y22" s="440"/>
      <c r="Z22" s="440"/>
      <c r="AA22" s="440"/>
      <c r="AB22" s="440"/>
      <c r="AC22" s="440"/>
      <c r="AD22" s="440"/>
    </row>
    <row r="23" spans="1:30">
      <c r="B23" s="423">
        <v>3</v>
      </c>
      <c r="C23" s="605" t="s">
        <v>1415</v>
      </c>
      <c r="R23" s="35"/>
      <c r="S23" s="292"/>
      <c r="T23" s="35"/>
      <c r="U23" s="35"/>
      <c r="V23" s="35"/>
      <c r="W23" s="440"/>
      <c r="X23" s="440"/>
      <c r="Y23" s="440"/>
      <c r="Z23" s="440"/>
      <c r="AA23" s="440"/>
      <c r="AB23" s="440"/>
      <c r="AC23" s="440"/>
      <c r="AD23" s="35"/>
    </row>
    <row r="24" spans="1:30">
      <c r="R24" s="35"/>
      <c r="S24" s="292"/>
      <c r="T24" s="35"/>
      <c r="U24" s="35"/>
      <c r="V24" s="35"/>
      <c r="W24" s="440"/>
      <c r="X24" s="440"/>
      <c r="Y24" s="440"/>
      <c r="Z24" s="440"/>
      <c r="AA24" s="440"/>
      <c r="AB24" s="440"/>
      <c r="AC24" s="440"/>
      <c r="AD24" s="35"/>
    </row>
    <row r="25" spans="1:30">
      <c r="B25" s="605">
        <v>1</v>
      </c>
      <c r="C25" s="423" t="s">
        <v>1830</v>
      </c>
      <c r="R25" s="35"/>
      <c r="S25" s="292"/>
      <c r="T25" s="35"/>
      <c r="U25" s="35"/>
      <c r="V25" s="35"/>
      <c r="W25" s="440"/>
      <c r="X25" s="440"/>
      <c r="Y25" s="440"/>
      <c r="Z25" s="440"/>
      <c r="AA25" s="440"/>
      <c r="AB25" s="440"/>
      <c r="AC25" s="440"/>
      <c r="AD25" s="35"/>
    </row>
    <row r="26" spans="1:30">
      <c r="B26" s="423"/>
      <c r="R26" s="35"/>
      <c r="S26" s="292"/>
      <c r="T26" s="35"/>
      <c r="U26" s="35"/>
      <c r="V26" s="35"/>
      <c r="W26" s="440"/>
      <c r="X26" s="440"/>
      <c r="Y26" s="440"/>
      <c r="Z26" s="440"/>
      <c r="AA26" s="440"/>
      <c r="AB26" s="440"/>
      <c r="AC26" s="440"/>
      <c r="AD26" s="35"/>
    </row>
    <row r="27" spans="1:30">
      <c r="B27" s="423"/>
      <c r="C27" s="661" t="s">
        <v>64</v>
      </c>
      <c r="D27" s="661" t="s">
        <v>137</v>
      </c>
      <c r="E27" s="661" t="s">
        <v>404</v>
      </c>
      <c r="F27" s="2300" t="s">
        <v>203</v>
      </c>
      <c r="G27" s="2301" t="s">
        <v>712</v>
      </c>
      <c r="H27" s="2301" t="s">
        <v>713</v>
      </c>
      <c r="I27" s="2301" t="s">
        <v>714</v>
      </c>
      <c r="J27" s="2301" t="s">
        <v>715</v>
      </c>
      <c r="K27" s="2301" t="s">
        <v>716</v>
      </c>
      <c r="L27" s="2301" t="s">
        <v>717</v>
      </c>
      <c r="M27" s="2301" t="s">
        <v>718</v>
      </c>
      <c r="N27" s="2301" t="s">
        <v>719</v>
      </c>
      <c r="O27" s="2301" t="s">
        <v>720</v>
      </c>
      <c r="R27" s="35"/>
      <c r="S27" s="292"/>
      <c r="T27" s="35"/>
      <c r="U27" s="35"/>
      <c r="V27" s="35"/>
      <c r="W27" s="440"/>
      <c r="X27" s="440"/>
      <c r="Y27" s="440"/>
      <c r="Z27" s="440"/>
      <c r="AA27" s="440"/>
      <c r="AB27" s="440"/>
      <c r="AC27" s="440"/>
      <c r="AD27" s="35"/>
    </row>
    <row r="28" spans="1:30">
      <c r="B28" s="423"/>
      <c r="C28" s="180" t="s">
        <v>315</v>
      </c>
      <c r="D28" s="60" t="str">
        <f>INDEX(Vectors[Description], MATCH(C28, Vectors[Code], 0))</f>
        <v>Coal oversupply (imports)</v>
      </c>
      <c r="E28" s="605" t="str">
        <f>preferences.energyunits</f>
        <v>TWh</v>
      </c>
      <c r="F28" s="310">
        <f ca="1">-F9</f>
        <v>312.87744559290513</v>
      </c>
      <c r="G28" s="310">
        <f t="shared" ref="G28:O28" ca="1" si="2">-G9</f>
        <v>533.85548221406225</v>
      </c>
      <c r="H28" s="310">
        <f t="shared" ca="1" si="2"/>
        <v>1349.5453480108031</v>
      </c>
      <c r="I28" s="310">
        <f t="shared" ca="1" si="2"/>
        <v>3068.214410803027</v>
      </c>
      <c r="J28" s="310">
        <f t="shared" ca="1" si="2"/>
        <v>5462.9307882709118</v>
      </c>
      <c r="K28" s="310">
        <f t="shared" ca="1" si="2"/>
        <v>8849.3886004507167</v>
      </c>
      <c r="L28" s="310">
        <f t="shared" ca="1" si="2"/>
        <v>11988.489821833136</v>
      </c>
      <c r="M28" s="310">
        <f t="shared" ca="1" si="2"/>
        <v>16113.370591179753</v>
      </c>
      <c r="N28" s="310">
        <f t="shared" ca="1" si="2"/>
        <v>19769.818192917424</v>
      </c>
      <c r="O28" s="310">
        <f t="shared" ca="1" si="2"/>
        <v>23701.654511114481</v>
      </c>
      <c r="R28" s="35"/>
      <c r="S28" s="292"/>
      <c r="T28" s="35"/>
      <c r="U28" s="35"/>
      <c r="V28" s="35"/>
      <c r="W28" s="440"/>
      <c r="X28" s="440"/>
      <c r="Y28" s="440"/>
      <c r="Z28" s="440"/>
      <c r="AA28" s="440"/>
      <c r="AB28" s="440"/>
      <c r="AC28" s="440"/>
      <c r="AD28" s="35"/>
    </row>
    <row r="29" spans="1:30">
      <c r="B29" s="423"/>
      <c r="C29" s="180" t="s">
        <v>316</v>
      </c>
      <c r="D29" s="60" t="str">
        <f>INDEX(Vectors[Description], MATCH(C29, Vectors[Code], 0))</f>
        <v>Oil and petroleum products oversupply (imports)</v>
      </c>
      <c r="E29" s="605" t="str">
        <f>preferences.energyunits</f>
        <v>TWh</v>
      </c>
      <c r="F29" s="310">
        <f ca="1">-F10</f>
        <v>1217.3455995924837</v>
      </c>
      <c r="G29" s="310">
        <f t="shared" ref="G29:O29" ca="1" si="3">-G10</f>
        <v>1466.5905800259968</v>
      </c>
      <c r="H29" s="310">
        <f t="shared" ca="1" si="3"/>
        <v>2100.3206137516681</v>
      </c>
      <c r="I29" s="310">
        <f t="shared" ca="1" si="3"/>
        <v>3054.2541317150194</v>
      </c>
      <c r="J29" s="310">
        <f t="shared" ca="1" si="3"/>
        <v>4102.7795788608364</v>
      </c>
      <c r="K29" s="310">
        <f t="shared" ca="1" si="3"/>
        <v>5330.667265334645</v>
      </c>
      <c r="L29" s="310">
        <f t="shared" ca="1" si="3"/>
        <v>6703.2930240172882</v>
      </c>
      <c r="M29" s="310">
        <f t="shared" ca="1" si="3"/>
        <v>8096.4219235944875</v>
      </c>
      <c r="N29" s="310">
        <f t="shared" ca="1" si="3"/>
        <v>9663.2311319982509</v>
      </c>
      <c r="O29" s="310">
        <f t="shared" ca="1" si="3"/>
        <v>11338.566432233665</v>
      </c>
      <c r="R29" s="35"/>
      <c r="S29" s="292"/>
      <c r="T29" s="35"/>
      <c r="U29" s="35"/>
      <c r="V29" s="35"/>
      <c r="W29" s="440"/>
      <c r="X29" s="440"/>
      <c r="Y29" s="440"/>
      <c r="Z29" s="440"/>
      <c r="AA29" s="440"/>
      <c r="AB29" s="440"/>
      <c r="AC29" s="440"/>
      <c r="AD29" s="35"/>
    </row>
    <row r="30" spans="1:30">
      <c r="B30" s="423"/>
      <c r="C30" s="2297" t="s">
        <v>317</v>
      </c>
      <c r="D30" s="60" t="str">
        <f>INDEX(Vectors[Description], MATCH(C30, Vectors[Code], 0))</f>
        <v>Gas oversupply (imports)</v>
      </c>
      <c r="E30" s="605" t="str">
        <f>preferences.energyunits</f>
        <v>TWh</v>
      </c>
      <c r="F30" s="310">
        <f ca="1">-F11</f>
        <v>153.83385468740386</v>
      </c>
      <c r="G30" s="310">
        <f t="shared" ref="G30:O30" ca="1" si="4">-G11</f>
        <v>158.80496962180251</v>
      </c>
      <c r="H30" s="310">
        <f t="shared" ca="1" si="4"/>
        <v>447.28146847936694</v>
      </c>
      <c r="I30" s="310">
        <f t="shared" ca="1" si="4"/>
        <v>580.82834753994018</v>
      </c>
      <c r="J30" s="310">
        <f t="shared" ca="1" si="4"/>
        <v>719.79234346908368</v>
      </c>
      <c r="K30" s="310">
        <f t="shared" ca="1" si="4"/>
        <v>883.00958491906431</v>
      </c>
      <c r="L30" s="310">
        <f t="shared" ca="1" si="4"/>
        <v>1091.1358234381285</v>
      </c>
      <c r="M30" s="310">
        <f t="shared" ca="1" si="4"/>
        <v>1323.7322738925393</v>
      </c>
      <c r="N30" s="310">
        <f t="shared" ca="1" si="4"/>
        <v>1577.3126958590992</v>
      </c>
      <c r="O30" s="310">
        <f t="shared" ca="1" si="4"/>
        <v>1879.4436261638216</v>
      </c>
      <c r="R30" s="35"/>
      <c r="S30" s="292"/>
      <c r="T30" s="35"/>
      <c r="U30" s="35"/>
      <c r="V30" s="35"/>
      <c r="W30" s="440"/>
      <c r="X30" s="440"/>
      <c r="Y30" s="440"/>
      <c r="Z30" s="440"/>
      <c r="AA30" s="440"/>
      <c r="AB30" s="440"/>
      <c r="AC30" s="440"/>
      <c r="AD30" s="35"/>
    </row>
    <row r="31" spans="1:30">
      <c r="B31" s="423"/>
      <c r="R31" s="35"/>
      <c r="S31" s="292"/>
      <c r="T31" s="35"/>
      <c r="U31" s="35"/>
      <c r="V31" s="35"/>
      <c r="W31" s="440"/>
      <c r="X31" s="440"/>
      <c r="Y31" s="440"/>
      <c r="Z31" s="440"/>
      <c r="AA31" s="440"/>
      <c r="AB31" s="440"/>
      <c r="AC31" s="440"/>
      <c r="AD31" s="35"/>
    </row>
    <row r="32" spans="1:30">
      <c r="B32" s="423"/>
      <c r="R32" s="35"/>
      <c r="S32" s="292"/>
      <c r="T32" s="35"/>
      <c r="U32" s="35"/>
      <c r="V32" s="35"/>
      <c r="W32" s="440"/>
      <c r="X32" s="440"/>
      <c r="Y32" s="440"/>
      <c r="Z32" s="440"/>
      <c r="AA32" s="440"/>
      <c r="AB32" s="440"/>
      <c r="AC32" s="440"/>
      <c r="AD32" s="35"/>
    </row>
    <row r="33" spans="1:30">
      <c r="R33" s="35"/>
      <c r="S33" s="292"/>
      <c r="T33" s="35"/>
      <c r="U33" s="440"/>
      <c r="V33" s="440"/>
      <c r="W33" s="440"/>
      <c r="X33" s="440"/>
      <c r="Y33" s="440"/>
      <c r="Z33" s="440"/>
      <c r="AA33" s="440"/>
      <c r="AB33" s="440"/>
      <c r="AC33" s="440"/>
      <c r="AD33" s="440"/>
    </row>
    <row r="35" spans="1:30" ht="22.5">
      <c r="A35" s="420"/>
      <c r="B35" s="206" t="s">
        <v>202</v>
      </c>
      <c r="C35" s="175"/>
      <c r="D35" s="175"/>
      <c r="E35" s="175"/>
      <c r="F35" s="175"/>
      <c r="G35" s="175"/>
      <c r="H35" s="175"/>
      <c r="I35" s="175"/>
      <c r="J35" s="175"/>
      <c r="K35" s="175"/>
      <c r="L35" s="175"/>
      <c r="M35" s="175"/>
      <c r="N35" s="175"/>
      <c r="O35" s="175"/>
      <c r="P35" s="177"/>
    </row>
    <row r="36" spans="1:30">
      <c r="B36" s="164"/>
      <c r="C36" s="166"/>
      <c r="D36" s="166"/>
      <c r="E36" s="166"/>
      <c r="F36" s="166"/>
      <c r="G36" s="166"/>
      <c r="H36" s="166"/>
      <c r="I36" s="166"/>
      <c r="J36" s="166"/>
      <c r="K36" s="166"/>
      <c r="L36" s="166"/>
      <c r="M36" s="166"/>
      <c r="N36" s="166"/>
      <c r="O36" s="166"/>
      <c r="P36" s="168"/>
    </row>
    <row r="37" spans="1:30">
      <c r="B37" s="164"/>
      <c r="C37" s="178" t="s">
        <v>1416</v>
      </c>
      <c r="D37" s="166"/>
      <c r="E37" s="167"/>
      <c r="F37" s="166"/>
      <c r="G37" s="167"/>
      <c r="H37" s="166"/>
      <c r="I37" s="166"/>
      <c r="J37" s="166"/>
      <c r="K37" s="166"/>
      <c r="L37" s="166"/>
      <c r="M37" s="166"/>
      <c r="N37" s="166"/>
      <c r="O37" s="167" t="str">
        <f>preferences.energyunits</f>
        <v>TWh</v>
      </c>
      <c r="P37" s="168"/>
    </row>
    <row r="38" spans="1:30" ht="6" customHeight="1">
      <c r="B38" s="164"/>
      <c r="C38" s="166"/>
      <c r="D38" s="166"/>
      <c r="E38" s="166"/>
      <c r="F38" s="166"/>
      <c r="G38" s="166"/>
      <c r="H38" s="166"/>
      <c r="I38" s="166"/>
      <c r="J38" s="166"/>
      <c r="K38" s="166"/>
      <c r="L38" s="166"/>
      <c r="M38" s="166"/>
      <c r="N38" s="166"/>
      <c r="O38" s="166"/>
      <c r="P38" s="168"/>
    </row>
    <row r="39" spans="1:30" ht="15.75">
      <c r="A39" s="3"/>
      <c r="B39" s="169"/>
      <c r="C39" s="180" t="s">
        <v>64</v>
      </c>
      <c r="D39" s="180" t="s">
        <v>137</v>
      </c>
      <c r="E39" s="180" t="s">
        <v>156</v>
      </c>
      <c r="F39" s="2300" t="s">
        <v>203</v>
      </c>
      <c r="G39" s="2301" t="s">
        <v>712</v>
      </c>
      <c r="H39" s="2301" t="s">
        <v>713</v>
      </c>
      <c r="I39" s="2301" t="s">
        <v>714</v>
      </c>
      <c r="J39" s="2301" t="s">
        <v>715</v>
      </c>
      <c r="K39" s="2301" t="s">
        <v>716</v>
      </c>
      <c r="L39" s="2301" t="s">
        <v>717</v>
      </c>
      <c r="M39" s="2301" t="s">
        <v>718</v>
      </c>
      <c r="N39" s="2301" t="s">
        <v>719</v>
      </c>
      <c r="O39" s="2301" t="s">
        <v>720</v>
      </c>
      <c r="P39" s="168"/>
    </row>
    <row r="40" spans="1:30" ht="15.75">
      <c r="A40" s="3"/>
      <c r="B40" s="169"/>
      <c r="C40" s="60"/>
      <c r="D40" s="60"/>
      <c r="E40" s="60"/>
      <c r="F40" s="129"/>
      <c r="G40" s="129"/>
      <c r="H40" s="129"/>
      <c r="I40" s="129"/>
      <c r="J40" s="129"/>
      <c r="K40" s="129"/>
      <c r="L40" s="129"/>
      <c r="M40" s="129"/>
      <c r="N40" s="129"/>
      <c r="O40" s="129"/>
      <c r="P40" s="168"/>
    </row>
    <row r="41" spans="1:30" ht="15.75">
      <c r="A41" s="3"/>
      <c r="B41" s="169"/>
      <c r="C41" s="60" t="s">
        <v>103</v>
      </c>
      <c r="D41" s="60"/>
      <c r="E41" s="60"/>
      <c r="F41" s="231">
        <f>SUBTOTAL(109,[2007])</f>
        <v>0</v>
      </c>
      <c r="G41" s="231">
        <f>SUBTOTAL(109,[2012])</f>
        <v>0</v>
      </c>
      <c r="H41" s="231">
        <f>SUBTOTAL(109,[2017])</f>
        <v>0</v>
      </c>
      <c r="I41" s="231">
        <f>SUBTOTAL(109,[2022])</f>
        <v>0</v>
      </c>
      <c r="J41" s="231">
        <f>SUBTOTAL(109,[2027])</f>
        <v>0</v>
      </c>
      <c r="K41" s="231">
        <f>SUBTOTAL(109,[2032])</f>
        <v>0</v>
      </c>
      <c r="L41" s="231">
        <f>SUBTOTAL(109,[2037])</f>
        <v>0</v>
      </c>
      <c r="M41" s="231">
        <f>SUBTOTAL(109,[2042])</f>
        <v>0</v>
      </c>
      <c r="N41" s="231">
        <f>SUBTOTAL(109,[2047])</f>
        <v>0</v>
      </c>
      <c r="O41" s="231">
        <f>SUBTOTAL(109,[2052])</f>
        <v>0</v>
      </c>
      <c r="P41" s="168"/>
    </row>
    <row r="42" spans="1:30" ht="15.75">
      <c r="A42" s="3"/>
      <c r="B42" s="170"/>
      <c r="C42" s="224"/>
      <c r="D42" s="225"/>
      <c r="E42" s="225"/>
      <c r="F42" s="225"/>
      <c r="G42" s="225"/>
      <c r="H42" s="225"/>
      <c r="I42" s="225"/>
      <c r="J42" s="225"/>
      <c r="K42" s="225"/>
      <c r="L42" s="225"/>
      <c r="M42" s="225"/>
      <c r="N42" s="225"/>
      <c r="O42" s="225"/>
      <c r="P42" s="173"/>
    </row>
    <row r="44" spans="1:30" ht="22.5">
      <c r="A44" s="420"/>
      <c r="B44" s="216" t="s">
        <v>281</v>
      </c>
      <c r="C44" s="183"/>
      <c r="D44" s="184"/>
      <c r="E44" s="184"/>
      <c r="F44" s="184"/>
      <c r="G44" s="184"/>
      <c r="H44" s="184"/>
      <c r="I44" s="184"/>
      <c r="J44" s="184"/>
      <c r="K44" s="184"/>
      <c r="L44" s="184"/>
      <c r="M44" s="184"/>
      <c r="N44" s="184"/>
      <c r="O44" s="184"/>
      <c r="P44" s="185"/>
    </row>
    <row r="45" spans="1:30">
      <c r="B45" s="190"/>
      <c r="C45" s="191"/>
      <c r="D45" s="191"/>
      <c r="E45" s="191"/>
      <c r="F45" s="191"/>
      <c r="G45" s="191"/>
      <c r="H45" s="191"/>
      <c r="I45" s="191"/>
      <c r="J45" s="191"/>
      <c r="K45" s="191"/>
      <c r="L45" s="191"/>
      <c r="M45" s="191"/>
      <c r="N45" s="191"/>
      <c r="O45" s="191"/>
      <c r="P45" s="192"/>
    </row>
    <row r="46" spans="1:30" ht="14.25">
      <c r="B46" s="193"/>
      <c r="C46" s="186" t="s">
        <v>366</v>
      </c>
      <c r="D46" s="187"/>
      <c r="E46" s="188"/>
      <c r="F46" s="187"/>
      <c r="G46" s="188"/>
      <c r="H46" s="187"/>
      <c r="I46" s="187"/>
      <c r="J46" s="187"/>
      <c r="K46" s="187"/>
      <c r="L46" s="187"/>
      <c r="M46" s="187"/>
      <c r="N46" s="187"/>
      <c r="O46" s="188" t="s">
        <v>368</v>
      </c>
      <c r="P46" s="194"/>
    </row>
    <row r="47" spans="1:30" ht="5.25" customHeight="1">
      <c r="B47" s="193"/>
      <c r="C47" s="187"/>
      <c r="D47" s="187"/>
      <c r="E47" s="187"/>
      <c r="F47" s="187"/>
      <c r="G47" s="187"/>
      <c r="H47" s="187"/>
      <c r="I47" s="187"/>
      <c r="J47" s="187"/>
      <c r="K47" s="187"/>
      <c r="L47" s="187"/>
      <c r="M47" s="187"/>
      <c r="N47" s="187"/>
      <c r="O47" s="187"/>
      <c r="P47" s="194"/>
    </row>
    <row r="48" spans="1:30" ht="15.75">
      <c r="B48" s="195"/>
      <c r="C48" s="221" t="s">
        <v>365</v>
      </c>
      <c r="D48" s="221" t="s">
        <v>337</v>
      </c>
      <c r="E48" s="221" t="s">
        <v>156</v>
      </c>
      <c r="F48" s="2300" t="s">
        <v>203</v>
      </c>
      <c r="G48" s="2301" t="s">
        <v>712</v>
      </c>
      <c r="H48" s="2301" t="s">
        <v>713</v>
      </c>
      <c r="I48" s="2301" t="s">
        <v>714</v>
      </c>
      <c r="J48" s="2301" t="s">
        <v>715</v>
      </c>
      <c r="K48" s="2301" t="s">
        <v>716</v>
      </c>
      <c r="L48" s="2301" t="s">
        <v>717</v>
      </c>
      <c r="M48" s="2301" t="s">
        <v>718</v>
      </c>
      <c r="N48" s="2301" t="s">
        <v>719</v>
      </c>
      <c r="O48" s="2301" t="s">
        <v>720</v>
      </c>
      <c r="P48" s="194"/>
    </row>
    <row r="49" spans="2:22" ht="15.75">
      <c r="B49" s="195"/>
      <c r="C49" s="189"/>
      <c r="D49" s="196"/>
      <c r="E49" s="189"/>
      <c r="F49" s="197"/>
      <c r="G49" s="197"/>
      <c r="H49" s="197"/>
      <c r="I49" s="197"/>
      <c r="J49" s="197"/>
      <c r="K49" s="197"/>
      <c r="L49" s="197"/>
      <c r="M49" s="197"/>
      <c r="N49" s="197"/>
      <c r="O49" s="197"/>
      <c r="P49" s="194"/>
    </row>
    <row r="50" spans="2:22" ht="15.75">
      <c r="B50" s="195"/>
      <c r="C50" s="189" t="s">
        <v>103</v>
      </c>
      <c r="D50" s="189"/>
      <c r="E50" s="189"/>
      <c r="F50" s="223">
        <f>SUBTOTAL(109,[2007])</f>
        <v>0</v>
      </c>
      <c r="G50" s="223">
        <f>SUBTOTAL(109,[2012])</f>
        <v>0</v>
      </c>
      <c r="H50" s="223">
        <f>SUBTOTAL(109,[2017])</f>
        <v>0</v>
      </c>
      <c r="I50" s="223">
        <f>SUBTOTAL(109,[2022])</f>
        <v>0</v>
      </c>
      <c r="J50" s="223">
        <f>SUBTOTAL(109,[2027])</f>
        <v>0</v>
      </c>
      <c r="K50" s="223">
        <f>SUBTOTAL(109,[2032])</f>
        <v>0</v>
      </c>
      <c r="L50" s="223">
        <f>SUBTOTAL(109,[2037])</f>
        <v>0</v>
      </c>
      <c r="M50" s="223">
        <f>SUBTOTAL(109,[2042])</f>
        <v>0</v>
      </c>
      <c r="N50" s="223">
        <f>SUBTOTAL(109,[2047])</f>
        <v>0</v>
      </c>
      <c r="O50" s="223">
        <f>SUBTOTAL(109,[2052])</f>
        <v>0</v>
      </c>
      <c r="P50" s="194"/>
    </row>
    <row r="51" spans="2:22" ht="15.75">
      <c r="B51" s="195"/>
      <c r="C51" s="187"/>
      <c r="D51" s="187"/>
      <c r="E51" s="187"/>
      <c r="F51" s="187"/>
      <c r="G51" s="187"/>
      <c r="H51" s="187"/>
      <c r="I51" s="187"/>
      <c r="J51" s="187"/>
      <c r="K51" s="187"/>
      <c r="L51" s="187"/>
      <c r="M51" s="187"/>
      <c r="N51" s="187"/>
      <c r="O51" s="187"/>
      <c r="P51" s="194"/>
    </row>
    <row r="53" spans="2:22" ht="21.75" customHeight="1">
      <c r="B53" s="424" t="s">
        <v>501</v>
      </c>
      <c r="C53" s="346"/>
      <c r="D53" s="425"/>
      <c r="E53" s="425"/>
      <c r="F53" s="425"/>
      <c r="G53" s="425"/>
      <c r="H53" s="425"/>
      <c r="I53" s="425"/>
      <c r="J53" s="425"/>
      <c r="K53" s="425"/>
      <c r="L53" s="425"/>
      <c r="M53" s="425"/>
      <c r="N53" s="425"/>
      <c r="O53" s="425"/>
      <c r="P53" s="426"/>
      <c r="S53" s="623"/>
      <c r="T53" s="630"/>
      <c r="U53" s="623"/>
      <c r="V53" s="623"/>
    </row>
    <row r="54" spans="2:22">
      <c r="B54" s="347"/>
      <c r="C54" s="348"/>
      <c r="D54" s="348"/>
      <c r="E54" s="348"/>
      <c r="F54" s="348"/>
      <c r="G54" s="348"/>
      <c r="H54" s="348"/>
      <c r="I54" s="348"/>
      <c r="J54" s="348"/>
      <c r="K54" s="348"/>
      <c r="L54" s="348"/>
      <c r="M54" s="348"/>
      <c r="N54" s="348"/>
      <c r="O54" s="348"/>
      <c r="P54" s="349"/>
      <c r="T54" s="51"/>
    </row>
    <row r="55" spans="2:22">
      <c r="B55" s="427"/>
      <c r="C55" s="350" t="s">
        <v>506</v>
      </c>
      <c r="D55" s="428"/>
      <c r="E55" s="351"/>
      <c r="F55" s="428"/>
      <c r="G55" s="351"/>
      <c r="H55" s="428"/>
      <c r="I55" s="428"/>
      <c r="J55" s="428"/>
      <c r="K55" s="428"/>
      <c r="L55" s="428"/>
      <c r="M55" s="428"/>
      <c r="N55" s="428"/>
      <c r="O55" s="351"/>
      <c r="P55" s="429"/>
      <c r="T55" s="51"/>
    </row>
    <row r="56" spans="2:22" ht="4.5" customHeight="1">
      <c r="B56" s="427"/>
      <c r="C56" s="428"/>
      <c r="D56" s="428"/>
      <c r="E56" s="428"/>
      <c r="F56" s="428"/>
      <c r="G56" s="428"/>
      <c r="H56" s="428"/>
      <c r="I56" s="428"/>
      <c r="J56" s="428"/>
      <c r="K56" s="428"/>
      <c r="L56" s="428"/>
      <c r="M56" s="428"/>
      <c r="N56" s="428"/>
      <c r="O56" s="428"/>
      <c r="P56" s="429"/>
      <c r="T56" s="51"/>
    </row>
    <row r="57" spans="2:22" ht="15.75">
      <c r="B57" s="430"/>
      <c r="C57" s="431" t="s">
        <v>64</v>
      </c>
      <c r="D57" s="431" t="s">
        <v>502</v>
      </c>
      <c r="E57" s="431" t="s">
        <v>156</v>
      </c>
      <c r="F57" s="2300" t="s">
        <v>203</v>
      </c>
      <c r="G57" s="2301" t="s">
        <v>712</v>
      </c>
      <c r="H57" s="2301" t="s">
        <v>713</v>
      </c>
      <c r="I57" s="2301" t="s">
        <v>714</v>
      </c>
      <c r="J57" s="2301" t="s">
        <v>715</v>
      </c>
      <c r="K57" s="2301" t="s">
        <v>716</v>
      </c>
      <c r="L57" s="2301" t="s">
        <v>717</v>
      </c>
      <c r="M57" s="2301" t="s">
        <v>718</v>
      </c>
      <c r="N57" s="2301" t="s">
        <v>719</v>
      </c>
      <c r="O57" s="2301" t="s">
        <v>720</v>
      </c>
      <c r="P57" s="429"/>
    </row>
    <row r="58" spans="2:22" ht="15.75">
      <c r="B58" s="430"/>
      <c r="C58" s="432"/>
      <c r="D58" s="433"/>
      <c r="E58" s="433"/>
      <c r="F58" s="354"/>
      <c r="G58" s="354"/>
      <c r="H58" s="354"/>
      <c r="I58" s="354"/>
      <c r="J58" s="354"/>
      <c r="K58" s="354"/>
      <c r="L58" s="354"/>
      <c r="M58" s="354"/>
      <c r="N58" s="354"/>
      <c r="O58" s="354"/>
      <c r="P58" s="429"/>
    </row>
    <row r="59" spans="2:22" ht="15.75">
      <c r="B59" s="355"/>
      <c r="C59" s="434"/>
      <c r="D59" s="434"/>
      <c r="E59" s="434"/>
      <c r="F59" s="434"/>
      <c r="G59" s="434"/>
      <c r="H59" s="434"/>
      <c r="I59" s="434"/>
      <c r="J59" s="434"/>
      <c r="K59" s="434"/>
      <c r="L59" s="434"/>
      <c r="M59" s="434"/>
      <c r="N59" s="434"/>
      <c r="O59" s="434"/>
      <c r="P59" s="352"/>
    </row>
    <row r="661" spans="6:15">
      <c r="F661" s="605">
        <f>F$621*INDEX(EF[CO2], MATCH("V.04", EF[Vector], 0))</f>
        <v>0</v>
      </c>
      <c r="G661" s="605">
        <f>G$621*INDEX(EF[CO2], MATCH("V.04", EF[Vector], 0))</f>
        <v>0</v>
      </c>
      <c r="H661" s="605">
        <f>H$621*INDEX(EF[CO2], MATCH("V.04", EF[Vector], 0))</f>
        <v>0</v>
      </c>
      <c r="I661" s="605">
        <f>I$621*INDEX(EF[CO2], MATCH("V.04", EF[Vector], 0))</f>
        <v>0</v>
      </c>
      <c r="J661" s="605">
        <f>J$621*INDEX(EF[CO2], MATCH("V.04", EF[Vector], 0))</f>
        <v>0</v>
      </c>
      <c r="K661" s="605">
        <f>K$621*INDEX(EF[CO2], MATCH("V.04", EF[Vector], 0))</f>
        <v>0</v>
      </c>
      <c r="L661" s="605">
        <f>L$621*INDEX(EF[CO2], MATCH("V.04", EF[Vector], 0))</f>
        <v>0</v>
      </c>
      <c r="M661" s="605">
        <f>M$621*INDEX(EF[CO2], MATCH("V.04", EF[Vector], 0))</f>
        <v>0</v>
      </c>
      <c r="N661" s="605">
        <f>N$621*INDEX(EF[CO2], MATCH("V.04", EF[Vector], 0))</f>
        <v>0</v>
      </c>
      <c r="O661" s="605">
        <f>O$621*INDEX(EF[CO2], MATCH("V.04", EF[Vector], 0))</f>
        <v>0</v>
      </c>
    </row>
    <row r="662" spans="6:15">
      <c r="F662" s="605">
        <f>F$621*INDEX(EF[CH4], MATCH("V.04", EF[Vector], 0))</f>
        <v>0</v>
      </c>
      <c r="G662" s="605">
        <f>G$621*INDEX(EF[CH4], MATCH("V.04", EF[Vector], 0))</f>
        <v>0</v>
      </c>
      <c r="H662" s="605">
        <f>H$621*INDEX(EF[CH4], MATCH("V.04", EF[Vector], 0))</f>
        <v>0</v>
      </c>
      <c r="I662" s="605">
        <f>I$621*INDEX(EF[CH4], MATCH("V.04", EF[Vector], 0))</f>
        <v>0</v>
      </c>
      <c r="J662" s="605">
        <f>J$621*INDEX(EF[CH4], MATCH("V.04", EF[Vector], 0))</f>
        <v>0</v>
      </c>
      <c r="K662" s="605">
        <f>K$621*INDEX(EF[CH4], MATCH("V.04", EF[Vector], 0))</f>
        <v>0</v>
      </c>
      <c r="L662" s="605">
        <f>L$621*INDEX(EF[CH4], MATCH("V.04", EF[Vector], 0))</f>
        <v>0</v>
      </c>
      <c r="M662" s="605">
        <f>M$621*INDEX(EF[CH4], MATCH("V.04", EF[Vector], 0))</f>
        <v>0</v>
      </c>
      <c r="N662" s="605">
        <f>N$621*INDEX(EF[CH4], MATCH("V.04", EF[Vector], 0))</f>
        <v>0</v>
      </c>
      <c r="O662" s="605">
        <f>O$621*INDEX(EF[CH4], MATCH("V.04", EF[Vector], 0))</f>
        <v>0</v>
      </c>
    </row>
    <row r="663" spans="6:15">
      <c r="F663" s="605">
        <f>F$621*INDEX(EF[N2O], MATCH("V.04", EF[Vector], 0))</f>
        <v>0</v>
      </c>
      <c r="G663" s="605">
        <f>G$621*INDEX(EF[N2O], MATCH("V.04", EF[Vector], 0))</f>
        <v>0</v>
      </c>
      <c r="H663" s="605">
        <f>H$621*INDEX(EF[N2O], MATCH("V.04", EF[Vector], 0))</f>
        <v>0</v>
      </c>
      <c r="I663" s="605">
        <f>I$621*INDEX(EF[N2O], MATCH("V.04", EF[Vector], 0))</f>
        <v>0</v>
      </c>
      <c r="J663" s="605">
        <f>J$621*INDEX(EF[N2O], MATCH("V.04", EF[Vector], 0))</f>
        <v>0</v>
      </c>
      <c r="K663" s="605">
        <f>K$621*INDEX(EF[N2O], MATCH("V.04", EF[Vector], 0))</f>
        <v>0</v>
      </c>
      <c r="L663" s="605">
        <f>L$621*INDEX(EF[N2O], MATCH("V.04", EF[Vector], 0))</f>
        <v>0</v>
      </c>
      <c r="M663" s="605">
        <f>M$621*INDEX(EF[N2O], MATCH("V.04", EF[Vector], 0))</f>
        <v>0</v>
      </c>
      <c r="N663" s="605">
        <f>N$621*INDEX(EF[N2O], MATCH("V.04", EF[Vector], 0))</f>
        <v>0</v>
      </c>
      <c r="O663" s="605">
        <f>O$621*INDEX(EF[N2O], MATCH("V.04", EF[Vector], 0))</f>
        <v>0</v>
      </c>
    </row>
  </sheetData>
  <pageMargins left="0.7" right="0.7" top="0.75" bottom="0.75" header="0.3" footer="0.3"/>
  <pageSetup paperSize="9" orientation="portrait" horizontalDpi="4294967292" verticalDpi="4294967292"/>
  <tableParts count="5">
    <tablePart r:id="rId1"/>
    <tablePart r:id="rId2"/>
    <tablePart r:id="rId3"/>
    <tablePart r:id="rId4"/>
    <tablePart r:id="rId5"/>
  </tableParts>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sheetPr codeName="Sheet5">
    <pageSetUpPr autoPageBreaks="0"/>
  </sheetPr>
  <dimension ref="A3:N47"/>
  <sheetViews>
    <sheetView showGridLines="0" workbookViewId="0">
      <selection activeCell="C9" sqref="C9"/>
    </sheetView>
  </sheetViews>
  <sheetFormatPr defaultColWidth="8.85546875" defaultRowHeight="12.75"/>
  <cols>
    <col min="1" max="1" width="3.7109375" customWidth="1"/>
    <col min="2" max="2" width="24.28515625" bestFit="1" customWidth="1"/>
    <col min="3" max="3" width="20.28515625" customWidth="1"/>
    <col min="4" max="4" width="7.42578125" bestFit="1" customWidth="1"/>
    <col min="5" max="5" width="12.28515625" bestFit="1" customWidth="1"/>
    <col min="6" max="6" width="10.140625" bestFit="1" customWidth="1"/>
  </cols>
  <sheetData>
    <row r="3" spans="1:7" s="51" customFormat="1" ht="20.25">
      <c r="A3" s="55"/>
      <c r="B3" s="53" t="s">
        <v>205</v>
      </c>
      <c r="C3" s="56" t="s">
        <v>73</v>
      </c>
      <c r="E3" s="51" t="s">
        <v>242</v>
      </c>
      <c r="F3" s="68">
        <f>1/Unit.J</f>
        <v>3599999999999999.5</v>
      </c>
      <c r="G3" s="51" t="s">
        <v>70</v>
      </c>
    </row>
    <row r="5" spans="1:7" ht="20.25">
      <c r="A5" s="54"/>
      <c r="B5" s="53" t="s">
        <v>206</v>
      </c>
      <c r="C5" s="56" t="s">
        <v>210</v>
      </c>
      <c r="E5" s="51" t="s">
        <v>242</v>
      </c>
      <c r="F5" s="68">
        <f>1/Unit.W</f>
        <v>999999999.99999988</v>
      </c>
      <c r="G5" s="51" t="s">
        <v>209</v>
      </c>
    </row>
    <row r="7" spans="1:7" ht="20.25">
      <c r="A7" s="54"/>
      <c r="B7" s="53" t="s">
        <v>458</v>
      </c>
      <c r="C7" s="56" t="s">
        <v>444</v>
      </c>
      <c r="D7" s="36"/>
      <c r="E7" s="51" t="s">
        <v>242</v>
      </c>
      <c r="F7" s="68">
        <f>1/Unit.m2</f>
        <v>10000</v>
      </c>
      <c r="G7" s="51"/>
    </row>
    <row r="9" spans="1:7" s="388" customFormat="1" ht="15.75">
      <c r="B9" s="53" t="s">
        <v>581</v>
      </c>
      <c r="C9" s="56" t="s">
        <v>705</v>
      </c>
      <c r="E9" s="51" t="s">
        <v>242</v>
      </c>
      <c r="F9" s="68">
        <f>1/GBP</f>
        <v>120481.92771084337</v>
      </c>
      <c r="G9" s="51"/>
    </row>
    <row r="19" spans="2:14">
      <c r="B19" s="1558"/>
      <c r="C19" s="1382"/>
      <c r="D19" s="1690"/>
      <c r="E19" s="1398"/>
      <c r="F19" s="1691"/>
      <c r="G19" s="1398"/>
      <c r="H19" s="1398"/>
      <c r="I19" s="1398"/>
      <c r="J19" s="1398"/>
      <c r="K19" s="1398"/>
      <c r="L19" s="1398"/>
      <c r="M19" s="1398"/>
      <c r="N19" s="1398"/>
    </row>
    <row r="20" spans="2:14">
      <c r="B20" s="1382"/>
      <c r="C20" s="1687"/>
      <c r="D20" s="1692"/>
      <c r="E20" s="1688"/>
      <c r="F20" s="1688"/>
      <c r="G20" s="1688"/>
      <c r="H20" s="1688"/>
      <c r="I20" s="1688"/>
      <c r="J20" s="1688"/>
      <c r="K20" s="1688"/>
      <c r="L20" s="1689"/>
      <c r="M20" s="1689"/>
      <c r="N20" s="1689"/>
    </row>
    <row r="21" spans="2:14">
      <c r="B21" s="415"/>
      <c r="C21" s="264"/>
      <c r="D21" s="681"/>
      <c r="E21" s="680"/>
      <c r="F21" s="680"/>
      <c r="G21" s="680"/>
      <c r="H21" s="680"/>
      <c r="I21" s="680"/>
      <c r="J21" s="680"/>
      <c r="K21" s="680"/>
      <c r="L21" s="104"/>
      <c r="M21" s="104"/>
      <c r="N21" s="104"/>
    </row>
    <row r="22" spans="2:14">
      <c r="B22" s="415"/>
      <c r="C22" s="264"/>
      <c r="D22" s="681"/>
      <c r="E22" s="680"/>
      <c r="F22" s="680"/>
      <c r="G22" s="680"/>
      <c r="H22" s="680"/>
      <c r="I22" s="680"/>
      <c r="J22" s="680"/>
      <c r="K22" s="680"/>
      <c r="L22" s="104"/>
      <c r="M22" s="104"/>
      <c r="N22" s="104"/>
    </row>
    <row r="23" spans="2:14">
      <c r="B23" s="415"/>
      <c r="C23" s="415"/>
      <c r="D23" s="681"/>
      <c r="E23" s="415"/>
      <c r="F23" s="415"/>
      <c r="G23" s="104"/>
      <c r="H23" s="104"/>
      <c r="I23" s="104"/>
      <c r="J23" s="104"/>
      <c r="K23" s="104"/>
      <c r="L23" s="104"/>
      <c r="M23" s="104"/>
      <c r="N23" s="415"/>
    </row>
    <row r="24" spans="2:14">
      <c r="B24" s="415"/>
      <c r="C24" s="415"/>
      <c r="D24" s="681"/>
      <c r="E24" s="682"/>
      <c r="F24" s="682"/>
      <c r="G24" s="680"/>
      <c r="H24" s="680"/>
      <c r="I24" s="680"/>
      <c r="J24" s="682"/>
      <c r="K24" s="682"/>
      <c r="L24" s="682"/>
      <c r="M24" s="682"/>
      <c r="N24" s="682"/>
    </row>
    <row r="25" spans="2:14">
      <c r="B25" s="415"/>
      <c r="C25" s="415"/>
      <c r="D25" s="681"/>
      <c r="E25" s="682"/>
      <c r="F25" s="682"/>
      <c r="G25" s="680"/>
      <c r="H25" s="680"/>
      <c r="I25" s="680"/>
      <c r="J25" s="682"/>
      <c r="K25" s="682"/>
      <c r="L25" s="682"/>
      <c r="M25" s="682"/>
      <c r="N25" s="682"/>
    </row>
    <row r="26" spans="2:14">
      <c r="B26" s="228"/>
      <c r="C26" s="228"/>
      <c r="D26" s="753"/>
      <c r="E26" s="683"/>
      <c r="F26" s="683"/>
      <c r="G26" s="442"/>
      <c r="H26" s="442"/>
      <c r="I26" s="442"/>
      <c r="J26" s="683"/>
      <c r="K26" s="683"/>
      <c r="L26" s="683"/>
      <c r="M26" s="683"/>
      <c r="N26" s="683"/>
    </row>
    <row r="27" spans="2:14">
      <c r="B27" s="402"/>
      <c r="C27" s="402"/>
      <c r="D27" s="403"/>
      <c r="E27" s="402"/>
      <c r="F27" s="402"/>
      <c r="G27" s="402"/>
      <c r="H27" s="402"/>
      <c r="I27" s="402"/>
      <c r="J27" s="402"/>
      <c r="K27" s="402"/>
      <c r="L27" s="402"/>
      <c r="M27" s="402"/>
      <c r="N27" s="402"/>
    </row>
    <row r="28" spans="2:14">
      <c r="B28" s="1558"/>
      <c r="C28" s="1382"/>
      <c r="D28" s="1690"/>
      <c r="E28" s="1398"/>
      <c r="F28" s="1691"/>
      <c r="G28" s="1398"/>
      <c r="H28" s="1398"/>
      <c r="I28" s="1398"/>
      <c r="J28" s="1398"/>
      <c r="K28" s="1398"/>
      <c r="L28" s="1398"/>
      <c r="M28" s="1398"/>
      <c r="N28" s="1398"/>
    </row>
    <row r="29" spans="2:14">
      <c r="B29" s="1382"/>
      <c r="C29" s="1687"/>
      <c r="D29" s="1692"/>
      <c r="E29" s="1688"/>
      <c r="F29" s="1688"/>
      <c r="G29" s="1688"/>
      <c r="H29" s="1688"/>
      <c r="I29" s="1688"/>
      <c r="J29" s="1688"/>
      <c r="K29" s="1688"/>
      <c r="L29" s="1688"/>
      <c r="M29" s="1688"/>
      <c r="N29" s="1688"/>
    </row>
    <row r="30" spans="2:14">
      <c r="B30" s="415"/>
      <c r="C30" s="264"/>
      <c r="D30" s="681"/>
      <c r="E30" s="519"/>
      <c r="F30" s="519"/>
      <c r="G30" s="680"/>
      <c r="H30" s="680"/>
      <c r="I30" s="680"/>
      <c r="J30" s="519"/>
      <c r="K30" s="519"/>
      <c r="L30" s="519"/>
      <c r="M30" s="519"/>
      <c r="N30" s="519"/>
    </row>
    <row r="31" spans="2:14">
      <c r="B31" s="415"/>
      <c r="C31" s="264"/>
      <c r="D31" s="681"/>
      <c r="E31" s="680"/>
      <c r="F31" s="680"/>
      <c r="G31" s="680"/>
      <c r="H31" s="680"/>
      <c r="I31" s="680"/>
      <c r="J31" s="680"/>
      <c r="K31" s="680"/>
      <c r="L31" s="680"/>
      <c r="M31" s="680"/>
      <c r="N31" s="680"/>
    </row>
    <row r="32" spans="2:14">
      <c r="B32" s="415"/>
      <c r="C32" s="415"/>
      <c r="D32" s="681"/>
      <c r="E32" s="519"/>
      <c r="F32" s="519"/>
      <c r="G32" s="680"/>
      <c r="H32" s="680"/>
      <c r="I32" s="680"/>
      <c r="J32" s="680"/>
      <c r="K32" s="680"/>
      <c r="L32" s="680"/>
      <c r="M32" s="680"/>
      <c r="N32" s="519"/>
    </row>
    <row r="33" spans="2:14">
      <c r="B33" s="415"/>
      <c r="C33" s="415"/>
      <c r="D33" s="681"/>
      <c r="E33" s="682"/>
      <c r="F33" s="682"/>
      <c r="G33" s="680"/>
      <c r="H33" s="680"/>
      <c r="I33" s="680"/>
      <c r="J33" s="682"/>
      <c r="K33" s="682"/>
      <c r="L33" s="682"/>
      <c r="M33" s="682"/>
      <c r="N33" s="682"/>
    </row>
    <row r="34" spans="2:14">
      <c r="B34" s="415"/>
      <c r="C34" s="415"/>
      <c r="D34" s="681"/>
      <c r="E34" s="682"/>
      <c r="F34" s="682"/>
      <c r="G34" s="680"/>
      <c r="H34" s="680"/>
      <c r="I34" s="680"/>
      <c r="J34" s="682"/>
      <c r="K34" s="682"/>
      <c r="L34" s="682"/>
      <c r="M34" s="682"/>
      <c r="N34" s="682"/>
    </row>
    <row r="35" spans="2:14">
      <c r="B35" s="228"/>
      <c r="C35" s="228"/>
      <c r="D35" s="753"/>
      <c r="E35" s="683"/>
      <c r="F35" s="683"/>
      <c r="G35" s="442"/>
      <c r="H35" s="442"/>
      <c r="I35" s="442"/>
      <c r="J35" s="683"/>
      <c r="K35" s="683"/>
      <c r="L35" s="683"/>
      <c r="M35" s="683"/>
      <c r="N35" s="683"/>
    </row>
    <row r="36" spans="2:14">
      <c r="B36" s="402"/>
      <c r="C36" s="402"/>
      <c r="D36" s="402"/>
      <c r="E36" s="402"/>
      <c r="F36" s="402"/>
      <c r="G36" s="402"/>
      <c r="H36" s="402"/>
      <c r="I36" s="402"/>
      <c r="J36" s="402"/>
      <c r="K36" s="402"/>
      <c r="L36" s="402"/>
      <c r="M36" s="402"/>
      <c r="N36" s="402"/>
    </row>
    <row r="37" spans="2:14">
      <c r="B37" s="402"/>
      <c r="C37" s="402"/>
      <c r="D37" s="402"/>
      <c r="E37" s="1398"/>
      <c r="F37" s="1691"/>
      <c r="G37" s="1691"/>
      <c r="H37" s="1691"/>
      <c r="I37" s="1691"/>
      <c r="J37" s="1691"/>
      <c r="K37" s="1691"/>
      <c r="L37" s="1691"/>
      <c r="M37" s="1691"/>
      <c r="N37" s="1691"/>
    </row>
    <row r="38" spans="2:14">
      <c r="B38" s="402"/>
      <c r="C38" s="402"/>
      <c r="D38" s="402"/>
      <c r="E38" s="650"/>
      <c r="F38" s="402"/>
      <c r="G38" s="402"/>
      <c r="H38" s="402"/>
      <c r="I38" s="402"/>
      <c r="J38" s="402"/>
      <c r="K38" s="402"/>
      <c r="L38" s="402"/>
      <c r="M38" s="402"/>
      <c r="N38" s="402"/>
    </row>
    <row r="39" spans="2:14">
      <c r="B39" s="415"/>
      <c r="C39" s="415"/>
      <c r="D39" s="681"/>
      <c r="E39" s="682"/>
      <c r="F39" s="650"/>
      <c r="G39" s="650"/>
      <c r="H39" s="650"/>
      <c r="I39" s="650"/>
      <c r="J39" s="650"/>
      <c r="K39" s="650"/>
      <c r="L39" s="650"/>
      <c r="M39" s="650"/>
      <c r="N39" s="650"/>
    </row>
    <row r="40" spans="2:14">
      <c r="B40" s="415"/>
      <c r="C40" s="415"/>
      <c r="D40" s="681"/>
      <c r="E40" s="682"/>
      <c r="F40" s="650"/>
      <c r="G40" s="650"/>
      <c r="H40" s="650"/>
      <c r="I40" s="650"/>
      <c r="J40" s="650"/>
      <c r="K40" s="650"/>
      <c r="L40" s="650"/>
      <c r="M40" s="650"/>
      <c r="N40" s="650"/>
    </row>
    <row r="41" spans="2:14">
      <c r="B41" s="228"/>
      <c r="C41" s="228"/>
      <c r="D41" s="753"/>
      <c r="E41" s="683"/>
      <c r="F41" s="520"/>
      <c r="G41" s="520"/>
      <c r="H41" s="520"/>
      <c r="I41" s="520"/>
      <c r="J41" s="520"/>
      <c r="K41" s="520"/>
      <c r="L41" s="520"/>
      <c r="M41" s="520"/>
      <c r="N41" s="520"/>
    </row>
    <row r="42" spans="2:14">
      <c r="B42" s="402"/>
      <c r="C42" s="402"/>
      <c r="D42" s="402"/>
      <c r="E42" s="402"/>
      <c r="F42" s="402"/>
      <c r="G42" s="402"/>
      <c r="H42" s="402"/>
      <c r="I42" s="402"/>
      <c r="J42" s="402"/>
      <c r="K42" s="402"/>
      <c r="L42" s="402"/>
      <c r="M42" s="402"/>
      <c r="N42" s="402"/>
    </row>
    <row r="43" spans="2:14">
      <c r="B43" s="402"/>
      <c r="C43" s="402"/>
      <c r="D43" s="402"/>
      <c r="E43" s="402"/>
      <c r="F43" s="402"/>
      <c r="G43" s="402"/>
      <c r="H43" s="402"/>
      <c r="I43" s="402"/>
      <c r="J43" s="402"/>
      <c r="K43" s="402"/>
      <c r="L43" s="402"/>
      <c r="M43" s="402"/>
      <c r="N43" s="402"/>
    </row>
    <row r="44" spans="2:14">
      <c r="B44" s="402"/>
      <c r="C44" s="402"/>
      <c r="D44" s="402"/>
      <c r="E44" s="402"/>
      <c r="F44" s="402"/>
      <c r="G44" s="402"/>
      <c r="H44" s="402"/>
      <c r="I44" s="402"/>
      <c r="J44" s="402"/>
      <c r="K44" s="402"/>
      <c r="L44" s="402"/>
      <c r="M44" s="402"/>
      <c r="N44" s="402"/>
    </row>
    <row r="45" spans="2:14">
      <c r="B45" s="415"/>
      <c r="C45" s="415"/>
      <c r="D45" s="681"/>
      <c r="E45" s="402"/>
      <c r="F45" s="402"/>
      <c r="G45" s="402"/>
      <c r="H45" s="402"/>
      <c r="I45" s="402"/>
      <c r="J45" s="402"/>
      <c r="K45" s="402"/>
      <c r="L45" s="402"/>
      <c r="M45" s="402"/>
      <c r="N45" s="402"/>
    </row>
    <row r="46" spans="2:14">
      <c r="B46" s="415"/>
      <c r="C46" s="415"/>
      <c r="D46" s="681"/>
      <c r="E46" s="402"/>
      <c r="F46" s="402"/>
      <c r="G46" s="402"/>
      <c r="H46" s="402"/>
      <c r="I46" s="402"/>
      <c r="J46" s="402"/>
      <c r="K46" s="402"/>
      <c r="L46" s="402"/>
      <c r="M46" s="402"/>
      <c r="N46" s="402"/>
    </row>
    <row r="47" spans="2:14">
      <c r="B47" s="228"/>
      <c r="C47" s="228"/>
      <c r="D47" s="681"/>
      <c r="E47" s="402"/>
      <c r="F47" s="402"/>
      <c r="G47" s="402"/>
      <c r="H47" s="402"/>
      <c r="I47" s="402"/>
      <c r="J47" s="402"/>
      <c r="K47" s="402"/>
      <c r="L47" s="402"/>
      <c r="M47" s="402"/>
      <c r="N47" s="402"/>
    </row>
  </sheetData>
  <dataValidations count="4">
    <dataValidation type="list" allowBlank="1" showInputMessage="1" showErrorMessage="1" sqref="C3">
      <formula1>Conversions.Energy.Units</formula1>
    </dataValidation>
    <dataValidation type="list" allowBlank="1" showInputMessage="1" showErrorMessage="1" sqref="C5">
      <formula1>Conversions.Power.Units</formula1>
    </dataValidation>
    <dataValidation type="list" allowBlank="1" showInputMessage="1" showErrorMessage="1" sqref="C7">
      <formula1>Conversions.Area.Units</formula1>
    </dataValidation>
    <dataValidation type="list" allowBlank="1" showInputMessage="1" showErrorMessage="1" sqref="C9">
      <formula1>Conversions.Money.Units</formula1>
    </dataValidation>
  </dataValidation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dimension ref="A1:AR120"/>
  <sheetViews>
    <sheetView showGridLines="0" topLeftCell="F1" workbookViewId="0">
      <pane ySplit="1" topLeftCell="A4" activePane="bottomLeft" state="frozen"/>
      <selection pane="bottomLeft" activeCell="U28" sqref="U28"/>
    </sheetView>
  </sheetViews>
  <sheetFormatPr defaultColWidth="8.85546875" defaultRowHeight="14.25"/>
  <cols>
    <col min="1" max="1" width="8.85546875" style="2507"/>
    <col min="2" max="2" width="10.7109375" style="2507" customWidth="1"/>
    <col min="3" max="3" width="6.42578125" style="2507" customWidth="1"/>
    <col min="4" max="4" width="20.7109375" style="2507" customWidth="1"/>
    <col min="5" max="5" width="4.140625" style="2507" customWidth="1"/>
    <col min="6" max="6" width="2.7109375" style="2507" customWidth="1"/>
    <col min="7" max="7" width="2.85546875" style="2507" customWidth="1"/>
    <col min="8" max="8" width="4.7109375" style="2507" customWidth="1"/>
    <col min="9" max="9" width="3.140625" style="2507" customWidth="1"/>
    <col min="10" max="10" width="5.42578125" style="2507" customWidth="1"/>
    <col min="11" max="11" width="2.85546875" style="2507" customWidth="1"/>
    <col min="12" max="19" width="8.85546875" style="2507"/>
    <col min="20" max="20" width="11" style="2507" customWidth="1"/>
    <col min="21" max="21" width="6.85546875" style="2507" customWidth="1"/>
    <col min="22" max="22" width="12" style="2507" customWidth="1"/>
    <col min="23" max="23" width="6.85546875" style="2507" customWidth="1"/>
    <col min="24" max="24" width="3.140625" style="2507" customWidth="1"/>
    <col min="25" max="26" width="3.42578125" style="2507" customWidth="1"/>
    <col min="27" max="27" width="3.7109375" style="2507" customWidth="1"/>
    <col min="28" max="28" width="6.42578125" style="2507" customWidth="1"/>
    <col min="29" max="16384" width="8.85546875" style="2507"/>
  </cols>
  <sheetData>
    <row r="1" spans="1:44" ht="23.25" customHeight="1">
      <c r="A1" s="3388" t="s">
        <v>59</v>
      </c>
      <c r="B1" s="3389"/>
      <c r="C1" s="2505"/>
      <c r="D1" s="2505"/>
      <c r="E1" s="2505"/>
      <c r="F1" s="2505"/>
      <c r="G1" s="2506"/>
      <c r="H1" s="2506"/>
      <c r="I1" s="2506"/>
      <c r="J1" s="2506"/>
      <c r="K1" s="2505"/>
      <c r="L1" s="3390" t="s">
        <v>202</v>
      </c>
      <c r="M1" s="3390"/>
      <c r="N1" s="3390"/>
      <c r="O1" s="3390"/>
      <c r="P1" s="3390"/>
      <c r="Q1" s="3390"/>
      <c r="R1" s="3390"/>
      <c r="S1" s="3391" t="s">
        <v>58</v>
      </c>
      <c r="T1" s="3392"/>
      <c r="U1" s="2508"/>
      <c r="V1" s="2508"/>
      <c r="W1" s="2508"/>
      <c r="X1" s="2509"/>
      <c r="Y1" s="2509"/>
      <c r="Z1" s="2509"/>
      <c r="AA1" s="2509"/>
      <c r="AB1" s="2508"/>
      <c r="AC1" s="2508"/>
    </row>
    <row r="2" spans="1:44">
      <c r="A2" s="2510" t="s">
        <v>2003</v>
      </c>
      <c r="B2" s="2511"/>
      <c r="C2" s="2512"/>
      <c r="D2" s="2512"/>
      <c r="E2" s="2513">
        <v>10</v>
      </c>
      <c r="F2" s="2514"/>
      <c r="G2" s="2514"/>
      <c r="H2" s="2515"/>
      <c r="I2" s="2515"/>
      <c r="J2" s="2515"/>
      <c r="K2" s="2515"/>
      <c r="S2" s="2516"/>
      <c r="T2" s="2516"/>
      <c r="U2" s="2517"/>
      <c r="V2" s="2517"/>
      <c r="W2" s="2518"/>
      <c r="X2" s="2514"/>
      <c r="Y2" s="2515"/>
      <c r="Z2" s="2515"/>
      <c r="AA2" s="2515"/>
      <c r="AB2" s="2515"/>
      <c r="AC2" s="2515"/>
    </row>
    <row r="3" spans="1:44" ht="14.25" customHeight="1">
      <c r="A3" s="3393" t="s">
        <v>113</v>
      </c>
      <c r="B3" s="3385" t="s">
        <v>2009</v>
      </c>
      <c r="C3" s="2540" t="s">
        <v>282</v>
      </c>
      <c r="D3" s="2540" t="str">
        <f>INDEX(Modules[Module], MATCH($C3, Modules[Code], 0))</f>
        <v>Domestic passenger transport</v>
      </c>
      <c r="E3" s="2541"/>
      <c r="F3" s="2540"/>
      <c r="G3" s="2540"/>
      <c r="H3" s="2542"/>
      <c r="I3" s="2542"/>
      <c r="J3" s="2542"/>
      <c r="K3" s="2542"/>
      <c r="S3" s="3396" t="s">
        <v>5</v>
      </c>
      <c r="T3" s="3385" t="s">
        <v>2028</v>
      </c>
      <c r="U3" s="2534" t="s">
        <v>248</v>
      </c>
      <c r="V3" s="2534" t="str">
        <f>INDEX(Modules[Module], MATCH($U3, Modules[Code], 0))</f>
        <v>Gas Power Stations</v>
      </c>
      <c r="W3" s="2535"/>
      <c r="X3" s="2534"/>
      <c r="Y3" s="2534" t="s">
        <v>120</v>
      </c>
      <c r="Z3" s="2536" t="s">
        <v>120</v>
      </c>
      <c r="AA3" s="2536"/>
      <c r="AB3" s="2536" t="s">
        <v>120</v>
      </c>
      <c r="AC3" s="2536"/>
    </row>
    <row r="4" spans="1:44">
      <c r="A4" s="3394"/>
      <c r="B4" s="3385"/>
      <c r="C4" s="2540"/>
      <c r="D4" s="2540" t="s">
        <v>1372</v>
      </c>
      <c r="E4" s="2541"/>
      <c r="F4" s="2540"/>
      <c r="G4" s="2540" t="s">
        <v>120</v>
      </c>
      <c r="H4" s="2542" t="s">
        <v>120</v>
      </c>
      <c r="I4" s="2542"/>
      <c r="J4" s="2542" t="s">
        <v>120</v>
      </c>
      <c r="K4" s="2542"/>
      <c r="O4" s="885"/>
      <c r="S4" s="3396"/>
      <c r="T4" s="3385"/>
      <c r="U4" s="2534" t="s">
        <v>278</v>
      </c>
      <c r="V4" s="2534" t="s">
        <v>2021</v>
      </c>
      <c r="W4" s="2535"/>
      <c r="X4" s="2534"/>
      <c r="Y4" s="2534"/>
      <c r="Z4" s="2534"/>
      <c r="AA4" s="2534"/>
      <c r="AB4" s="2534"/>
      <c r="AC4" s="2547"/>
      <c r="AQ4" s="2507">
        <v>2</v>
      </c>
      <c r="AR4" s="2549" t="s">
        <v>2043</v>
      </c>
    </row>
    <row r="5" spans="1:44">
      <c r="A5" s="3394"/>
      <c r="B5" s="3385"/>
      <c r="C5" s="2540"/>
      <c r="D5" s="2540" t="s">
        <v>2047</v>
      </c>
      <c r="E5" s="2541"/>
      <c r="F5" s="2540"/>
      <c r="G5" s="2540" t="s">
        <v>120</v>
      </c>
      <c r="H5" s="2542" t="s">
        <v>120</v>
      </c>
      <c r="I5" s="2542"/>
      <c r="J5" s="2542" t="s">
        <v>120</v>
      </c>
      <c r="K5" s="2542"/>
      <c r="S5" s="3396"/>
      <c r="T5" s="3385"/>
      <c r="U5" s="2534"/>
      <c r="V5" s="2534" t="s">
        <v>2022</v>
      </c>
      <c r="W5" s="2535"/>
      <c r="X5" s="2534"/>
      <c r="Y5" s="2534" t="s">
        <v>120</v>
      </c>
      <c r="Z5" s="2536" t="s">
        <v>120</v>
      </c>
      <c r="AA5" s="2536"/>
      <c r="AB5" s="2536" t="s">
        <v>120</v>
      </c>
      <c r="AC5" s="2536"/>
      <c r="AR5" s="2549" t="s">
        <v>1639</v>
      </c>
    </row>
    <row r="6" spans="1:44">
      <c r="A6" s="3394"/>
      <c r="B6" s="3385"/>
      <c r="C6" s="2540"/>
      <c r="D6" s="2540" t="s">
        <v>2006</v>
      </c>
      <c r="E6" s="2541"/>
      <c r="F6" s="2540"/>
      <c r="G6" s="2540" t="s">
        <v>120</v>
      </c>
      <c r="H6" s="2542" t="s">
        <v>120</v>
      </c>
      <c r="I6" s="2542"/>
      <c r="J6" s="2542" t="s">
        <v>120</v>
      </c>
      <c r="K6" s="2542"/>
      <c r="S6" s="3396"/>
      <c r="T6" s="3385"/>
      <c r="U6" s="2534"/>
      <c r="V6" s="2534" t="s">
        <v>2020</v>
      </c>
      <c r="W6" s="2535"/>
      <c r="X6" s="2534"/>
      <c r="Y6" s="2534" t="s">
        <v>120</v>
      </c>
      <c r="Z6" s="2536" t="s">
        <v>120</v>
      </c>
      <c r="AA6" s="2536"/>
      <c r="AB6" s="2536" t="s">
        <v>120</v>
      </c>
      <c r="AC6" s="2536"/>
      <c r="AR6" s="2549" t="s">
        <v>281</v>
      </c>
    </row>
    <row r="7" spans="1:44">
      <c r="A7" s="3394"/>
      <c r="B7" s="3385"/>
      <c r="C7" s="2540"/>
      <c r="D7" s="2540" t="s">
        <v>2007</v>
      </c>
      <c r="E7" s="2541"/>
      <c r="F7" s="2540"/>
      <c r="G7" s="2540" t="s">
        <v>120</v>
      </c>
      <c r="H7" s="2542" t="s">
        <v>120</v>
      </c>
      <c r="I7" s="2542"/>
      <c r="J7" s="2542" t="s">
        <v>120</v>
      </c>
      <c r="K7" s="2542"/>
      <c r="S7" s="3396"/>
      <c r="T7" s="3385"/>
      <c r="U7" s="2534" t="s">
        <v>696</v>
      </c>
      <c r="V7" s="2534" t="s">
        <v>2023</v>
      </c>
      <c r="W7" s="2535"/>
      <c r="X7" s="2534"/>
      <c r="Y7" s="2534"/>
      <c r="Z7" s="2534"/>
      <c r="AA7" s="2534"/>
      <c r="AB7" s="2534"/>
      <c r="AC7" s="2547"/>
      <c r="AR7" s="2549" t="s">
        <v>582</v>
      </c>
    </row>
    <row r="8" spans="1:44">
      <c r="A8" s="3394"/>
      <c r="B8" s="3385" t="s">
        <v>2010</v>
      </c>
      <c r="C8" s="2540" t="s">
        <v>294</v>
      </c>
      <c r="D8" s="2540" t="str">
        <f>INDEX(Modules[Module], MATCH($C8, Modules[Code], 0))</f>
        <v>Domestic freight</v>
      </c>
      <c r="E8" s="2541"/>
      <c r="F8" s="2540"/>
      <c r="G8" s="2540"/>
      <c r="H8" s="2542"/>
      <c r="I8" s="2542"/>
      <c r="J8" s="2542"/>
      <c r="K8" s="2542"/>
      <c r="S8" s="3396"/>
      <c r="T8" s="3385"/>
      <c r="U8" s="2534"/>
      <c r="V8" s="2534" t="s">
        <v>2024</v>
      </c>
      <c r="W8" s="2535"/>
      <c r="X8" s="2534"/>
      <c r="Y8" s="2534" t="s">
        <v>120</v>
      </c>
      <c r="Z8" s="2536" t="s">
        <v>120</v>
      </c>
      <c r="AA8" s="2536"/>
      <c r="AB8" s="2536" t="s">
        <v>120</v>
      </c>
      <c r="AC8" s="2536"/>
      <c r="AR8" s="2549" t="s">
        <v>2044</v>
      </c>
    </row>
    <row r="9" spans="1:44">
      <c r="A9" s="3394"/>
      <c r="B9" s="3385"/>
      <c r="C9" s="2540"/>
      <c r="D9" s="2540" t="s">
        <v>1372</v>
      </c>
      <c r="E9" s="2541"/>
      <c r="F9" s="2540"/>
      <c r="G9" s="2540" t="s">
        <v>120</v>
      </c>
      <c r="H9" s="2542" t="s">
        <v>120</v>
      </c>
      <c r="I9" s="2542"/>
      <c r="J9" s="2542" t="s">
        <v>120</v>
      </c>
      <c r="K9" s="2542"/>
      <c r="S9" s="3396"/>
      <c r="T9" s="3385"/>
      <c r="U9" s="2537"/>
      <c r="V9" s="2538" t="s">
        <v>2025</v>
      </c>
      <c r="W9" s="2539"/>
      <c r="X9" s="2534"/>
      <c r="Y9" s="2534" t="s">
        <v>120</v>
      </c>
      <c r="Z9" s="2536" t="s">
        <v>120</v>
      </c>
      <c r="AA9" s="2536"/>
      <c r="AB9" s="2536" t="s">
        <v>120</v>
      </c>
      <c r="AC9" s="2536"/>
      <c r="AR9" s="2549" t="s">
        <v>2045</v>
      </c>
    </row>
    <row r="10" spans="1:44">
      <c r="A10" s="3395"/>
      <c r="B10" s="3385"/>
      <c r="C10" s="2543"/>
      <c r="D10" s="2544" t="s">
        <v>2008</v>
      </c>
      <c r="E10" s="2545"/>
      <c r="F10" s="2540"/>
      <c r="G10" s="2540" t="s">
        <v>120</v>
      </c>
      <c r="H10" s="2542" t="s">
        <v>120</v>
      </c>
      <c r="I10" s="2542"/>
      <c r="J10" s="2542" t="s">
        <v>120</v>
      </c>
      <c r="K10" s="2542"/>
      <c r="S10" s="3396"/>
      <c r="T10" s="3385" t="s">
        <v>2029</v>
      </c>
      <c r="U10" s="2538" t="s">
        <v>61</v>
      </c>
      <c r="V10" s="2538" t="s">
        <v>2026</v>
      </c>
      <c r="W10" s="2548"/>
      <c r="X10" s="2534"/>
      <c r="Y10" s="2534" t="s">
        <v>120</v>
      </c>
      <c r="Z10" s="2536" t="s">
        <v>120</v>
      </c>
      <c r="AA10" s="2536"/>
      <c r="AB10" s="2536" t="s">
        <v>120</v>
      </c>
      <c r="AC10" s="2536"/>
      <c r="AR10" s="2549" t="s">
        <v>401</v>
      </c>
    </row>
    <row r="11" spans="1:44" ht="14.25" customHeight="1">
      <c r="A11" s="3397" t="s">
        <v>272</v>
      </c>
      <c r="B11" s="3385" t="s">
        <v>1051</v>
      </c>
      <c r="C11" s="2540" t="s">
        <v>298</v>
      </c>
      <c r="D11" s="2540" t="str">
        <f>INDEX(Modules[Module], MATCH($C11, Modules[Code], 0))</f>
        <v>Domestic Cooking</v>
      </c>
      <c r="E11" s="2541"/>
      <c r="F11" s="2540"/>
      <c r="G11" s="2540"/>
      <c r="H11" s="2540"/>
      <c r="I11" s="2540"/>
      <c r="J11" s="2540"/>
      <c r="K11" s="2540"/>
      <c r="S11" s="3396"/>
      <c r="T11" s="3385"/>
      <c r="U11" s="2534" t="s">
        <v>62</v>
      </c>
      <c r="V11" s="2534" t="s">
        <v>2027</v>
      </c>
      <c r="W11" s="2535"/>
      <c r="X11" s="2534"/>
      <c r="Y11" s="2534" t="s">
        <v>120</v>
      </c>
      <c r="Z11" s="2536" t="s">
        <v>120</v>
      </c>
      <c r="AA11" s="2536"/>
      <c r="AB11" s="2536" t="s">
        <v>120</v>
      </c>
      <c r="AC11" s="2536"/>
    </row>
    <row r="12" spans="1:44">
      <c r="A12" s="3398"/>
      <c r="B12" s="3385"/>
      <c r="C12" s="2546"/>
      <c r="D12" s="2540"/>
      <c r="E12" s="2541"/>
      <c r="F12" s="2540"/>
      <c r="G12" s="2540" t="s">
        <v>120</v>
      </c>
      <c r="H12" s="2542" t="s">
        <v>120</v>
      </c>
      <c r="I12" s="2542"/>
      <c r="J12" s="2542" t="s">
        <v>120</v>
      </c>
      <c r="K12" s="2542"/>
      <c r="S12" s="3396"/>
      <c r="T12" s="3385" t="s">
        <v>2042</v>
      </c>
      <c r="U12" s="2534" t="s">
        <v>311</v>
      </c>
      <c r="V12" s="2557" t="s">
        <v>55</v>
      </c>
      <c r="W12" s="2535"/>
      <c r="X12" s="2534"/>
      <c r="Y12" s="2534" t="s">
        <v>120</v>
      </c>
      <c r="Z12" s="2536" t="s">
        <v>120</v>
      </c>
      <c r="AA12" s="2536"/>
      <c r="AB12" s="2536" t="s">
        <v>120</v>
      </c>
      <c r="AC12" s="2536"/>
    </row>
    <row r="13" spans="1:44">
      <c r="A13" s="3398"/>
      <c r="B13" s="3385"/>
      <c r="C13" s="2546"/>
      <c r="D13" s="2540" t="s">
        <v>2011</v>
      </c>
      <c r="E13" s="2541"/>
      <c r="F13" s="2540"/>
      <c r="G13" s="2540" t="s">
        <v>120</v>
      </c>
      <c r="H13" s="2542" t="s">
        <v>120</v>
      </c>
      <c r="I13" s="2542"/>
      <c r="J13" s="2542" t="s">
        <v>120</v>
      </c>
      <c r="K13" s="2542"/>
      <c r="S13" s="3396"/>
      <c r="T13" s="3385"/>
      <c r="U13" s="2534" t="s">
        <v>407</v>
      </c>
      <c r="V13" s="2557" t="s">
        <v>1924</v>
      </c>
      <c r="W13" s="2535"/>
      <c r="X13" s="2534"/>
      <c r="Y13" s="2534" t="s">
        <v>120</v>
      </c>
      <c r="Z13" s="2536" t="s">
        <v>120</v>
      </c>
      <c r="AA13" s="2536"/>
      <c r="AB13" s="2536" t="s">
        <v>120</v>
      </c>
      <c r="AC13" s="2536"/>
    </row>
    <row r="14" spans="1:44" ht="13.5" customHeight="1">
      <c r="A14" s="3398"/>
      <c r="B14" s="3385" t="s">
        <v>535</v>
      </c>
      <c r="C14" s="2540" t="s">
        <v>300</v>
      </c>
      <c r="D14" s="2540" t="str">
        <f>INDEX(Modules[Module], MATCH($C14, Modules[Code], 0))</f>
        <v>Domestic Lighting &amp; Appliances</v>
      </c>
      <c r="E14" s="2541"/>
      <c r="F14" s="2546"/>
      <c r="G14" s="2546"/>
      <c r="H14" s="2546"/>
      <c r="I14" s="2546"/>
      <c r="J14" s="2546"/>
      <c r="K14" s="2546"/>
      <c r="S14" s="3396"/>
      <c r="T14" s="3385"/>
      <c r="U14" s="2534" t="s">
        <v>1071</v>
      </c>
      <c r="V14" s="2557" t="s">
        <v>855</v>
      </c>
      <c r="W14" s="2535"/>
      <c r="X14" s="2534"/>
      <c r="Y14" s="2534" t="s">
        <v>120</v>
      </c>
      <c r="Z14" s="2536" t="s">
        <v>120</v>
      </c>
      <c r="AA14" s="2536"/>
      <c r="AB14" s="2536" t="s">
        <v>120</v>
      </c>
      <c r="AC14" s="2536"/>
    </row>
    <row r="15" spans="1:44">
      <c r="A15" s="3398"/>
      <c r="B15" s="3385"/>
      <c r="C15" s="2546"/>
      <c r="D15" s="2540" t="s">
        <v>2012</v>
      </c>
      <c r="E15" s="2541"/>
      <c r="F15" s="2540"/>
      <c r="G15" s="2540" t="s">
        <v>120</v>
      </c>
      <c r="H15" s="2542" t="s">
        <v>120</v>
      </c>
      <c r="I15" s="2542"/>
      <c r="J15" s="2542" t="s">
        <v>120</v>
      </c>
      <c r="K15" s="2542"/>
      <c r="S15" s="3396"/>
      <c r="T15" s="3385"/>
      <c r="U15" s="2534" t="s">
        <v>1285</v>
      </c>
      <c r="V15" s="2557" t="s">
        <v>856</v>
      </c>
      <c r="W15" s="2535"/>
      <c r="X15" s="2534"/>
      <c r="Y15" s="2534" t="s">
        <v>120</v>
      </c>
      <c r="Z15" s="2536" t="s">
        <v>120</v>
      </c>
      <c r="AA15" s="2536"/>
      <c r="AB15" s="2536" t="s">
        <v>120</v>
      </c>
      <c r="AC15" s="2536"/>
    </row>
    <row r="16" spans="1:44" ht="14.25" customHeight="1">
      <c r="A16" s="3398"/>
      <c r="B16" s="3385"/>
      <c r="C16" s="2540"/>
      <c r="D16" s="2540" t="s">
        <v>2013</v>
      </c>
      <c r="E16" s="2541"/>
      <c r="F16" s="2540"/>
      <c r="G16" s="2540" t="s">
        <v>120</v>
      </c>
      <c r="H16" s="2542" t="s">
        <v>120</v>
      </c>
      <c r="I16" s="2542"/>
      <c r="J16" s="2542" t="s">
        <v>120</v>
      </c>
      <c r="K16" s="2542"/>
      <c r="S16" s="3396"/>
      <c r="T16" s="3385"/>
      <c r="U16" s="2534" t="s">
        <v>1073</v>
      </c>
      <c r="V16" s="2557" t="s">
        <v>854</v>
      </c>
      <c r="W16" s="2535"/>
      <c r="X16" s="2534"/>
      <c r="Y16" s="2534" t="s">
        <v>120</v>
      </c>
      <c r="Z16" s="2536" t="s">
        <v>120</v>
      </c>
      <c r="AA16" s="2536"/>
      <c r="AB16" s="2536" t="s">
        <v>120</v>
      </c>
      <c r="AC16" s="2536"/>
    </row>
    <row r="17" spans="1:29" ht="12.75" customHeight="1">
      <c r="A17" s="3399" t="s">
        <v>2005</v>
      </c>
      <c r="B17" s="3402" t="s">
        <v>106</v>
      </c>
      <c r="C17" s="2540" t="s">
        <v>194</v>
      </c>
      <c r="D17" s="2540" t="str">
        <f>INDEX(Workstreams[Workstream], MATCH($C17, Workstreams[Code], 0))</f>
        <v>Agriculture</v>
      </c>
      <c r="E17" s="2541"/>
      <c r="F17" s="2540"/>
      <c r="G17" s="2540"/>
      <c r="H17" s="2542"/>
      <c r="I17" s="2542"/>
      <c r="J17" s="2542"/>
      <c r="K17" s="2542"/>
      <c r="S17" s="3396"/>
      <c r="T17" s="2527" t="s">
        <v>2004</v>
      </c>
      <c r="U17" s="2534" t="s">
        <v>263</v>
      </c>
      <c r="V17" s="2534" t="s">
        <v>4</v>
      </c>
      <c r="W17" s="2535"/>
      <c r="X17" s="2534"/>
      <c r="Y17" s="2534" t="s">
        <v>120</v>
      </c>
      <c r="Z17" s="2536" t="s">
        <v>120</v>
      </c>
      <c r="AA17" s="2536"/>
      <c r="AB17" s="2536" t="s">
        <v>120</v>
      </c>
      <c r="AC17" s="2536"/>
    </row>
    <row r="18" spans="1:29" ht="15" customHeight="1">
      <c r="A18" s="3400"/>
      <c r="B18" s="3402"/>
      <c r="C18" s="2540"/>
      <c r="D18" s="2540" t="s">
        <v>2015</v>
      </c>
      <c r="E18" s="2541"/>
      <c r="F18" s="2540"/>
      <c r="G18" s="2540" t="s">
        <v>120</v>
      </c>
      <c r="H18" s="2542" t="s">
        <v>120</v>
      </c>
      <c r="I18" s="2542"/>
      <c r="J18" s="2542" t="s">
        <v>120</v>
      </c>
      <c r="K18" s="2542"/>
      <c r="M18" s="2550"/>
      <c r="N18" s="2550"/>
      <c r="O18" s="2550"/>
      <c r="P18" s="2550"/>
      <c r="Q18" s="2550"/>
      <c r="S18" s="3403" t="s">
        <v>2033</v>
      </c>
      <c r="T18" s="3385" t="s">
        <v>2034</v>
      </c>
      <c r="U18" s="2534" t="s">
        <v>310</v>
      </c>
      <c r="V18" s="2534" t="s">
        <v>2032</v>
      </c>
      <c r="W18" s="2535"/>
      <c r="X18" s="2534"/>
      <c r="Y18" s="2534" t="s">
        <v>120</v>
      </c>
      <c r="Z18" s="2536" t="s">
        <v>120</v>
      </c>
      <c r="AA18" s="2536"/>
      <c r="AB18" s="2536" t="s">
        <v>120</v>
      </c>
      <c r="AC18" s="2536"/>
    </row>
    <row r="19" spans="1:29" ht="14.25" customHeight="1">
      <c r="A19" s="3400"/>
      <c r="B19" s="3402"/>
      <c r="C19" s="2540"/>
      <c r="D19" s="2540" t="s">
        <v>2014</v>
      </c>
      <c r="E19" s="2541"/>
      <c r="F19" s="2540"/>
      <c r="G19" s="2540" t="s">
        <v>120</v>
      </c>
      <c r="H19" s="2542" t="s">
        <v>120</v>
      </c>
      <c r="I19" s="2542"/>
      <c r="J19" s="2542" t="s">
        <v>120</v>
      </c>
      <c r="K19" s="2542"/>
      <c r="M19" s="2550"/>
      <c r="N19" s="2550"/>
      <c r="O19" s="2550"/>
      <c r="P19" s="2550"/>
      <c r="Q19" s="2550"/>
      <c r="S19" s="3404"/>
      <c r="T19" s="3385"/>
      <c r="U19" s="2534" t="s">
        <v>314</v>
      </c>
      <c r="V19" s="2534" t="s">
        <v>2030</v>
      </c>
      <c r="W19" s="2535"/>
      <c r="X19" s="2534"/>
      <c r="Y19" s="2534" t="s">
        <v>120</v>
      </c>
      <c r="Z19" s="2536" t="s">
        <v>120</v>
      </c>
      <c r="AA19" s="2536"/>
      <c r="AB19" s="2536" t="s">
        <v>120</v>
      </c>
      <c r="AC19" s="2536"/>
    </row>
    <row r="20" spans="1:29" ht="14.25" customHeight="1">
      <c r="A20" s="3400"/>
      <c r="B20" s="2527" t="s">
        <v>1078</v>
      </c>
      <c r="C20" s="2540" t="s">
        <v>330</v>
      </c>
      <c r="D20" s="2540" t="s">
        <v>2018</v>
      </c>
      <c r="E20" s="2541"/>
      <c r="F20" s="2540"/>
      <c r="G20" s="2540" t="s">
        <v>120</v>
      </c>
      <c r="H20" s="2542" t="s">
        <v>120</v>
      </c>
      <c r="I20" s="2542"/>
      <c r="J20" s="2542" t="s">
        <v>120</v>
      </c>
      <c r="K20" s="2542"/>
      <c r="M20" s="2550"/>
      <c r="N20" s="2550"/>
      <c r="O20" s="2550"/>
      <c r="P20" s="2550"/>
      <c r="Q20" s="2550"/>
      <c r="S20" s="3405"/>
      <c r="T20" s="3385"/>
      <c r="U20" s="2534" t="s">
        <v>818</v>
      </c>
      <c r="V20" s="2534" t="s">
        <v>2031</v>
      </c>
      <c r="W20" s="2535"/>
      <c r="X20" s="2534"/>
      <c r="Y20" s="2534" t="s">
        <v>120</v>
      </c>
      <c r="Z20" s="2536" t="s">
        <v>120</v>
      </c>
      <c r="AA20" s="2536"/>
      <c r="AB20" s="2536" t="s">
        <v>120</v>
      </c>
      <c r="AC20" s="2536"/>
    </row>
    <row r="21" spans="1:29" ht="14.25" customHeight="1">
      <c r="A21" s="3400"/>
      <c r="B21" s="2527" t="s">
        <v>33</v>
      </c>
      <c r="C21" s="2540" t="s">
        <v>197</v>
      </c>
      <c r="D21" s="2540" t="s">
        <v>2017</v>
      </c>
      <c r="E21" s="2541"/>
      <c r="F21" s="2540"/>
      <c r="G21" s="2540" t="s">
        <v>120</v>
      </c>
      <c r="H21" s="2542" t="s">
        <v>120</v>
      </c>
      <c r="I21" s="2542"/>
      <c r="J21" s="2542" t="s">
        <v>120</v>
      </c>
      <c r="K21" s="2542"/>
      <c r="M21" s="2550"/>
      <c r="N21" s="2550"/>
      <c r="O21" s="2550"/>
      <c r="P21" s="2550"/>
      <c r="Q21" s="2550"/>
      <c r="S21" s="3406" t="s">
        <v>2037</v>
      </c>
      <c r="T21" s="3409" t="s">
        <v>2040</v>
      </c>
      <c r="U21" s="2534" t="s">
        <v>304</v>
      </c>
      <c r="V21" s="2534" t="s">
        <v>493</v>
      </c>
      <c r="W21" s="2534"/>
      <c r="X21" s="2534"/>
      <c r="Y21" s="2534"/>
      <c r="Z21" s="2534"/>
      <c r="AA21" s="2534"/>
      <c r="AB21" s="2534"/>
      <c r="AC21" s="2547"/>
    </row>
    <row r="22" spans="1:29">
      <c r="A22" s="3400"/>
      <c r="B22" s="3385" t="s">
        <v>537</v>
      </c>
      <c r="C22" s="2540" t="s">
        <v>301</v>
      </c>
      <c r="D22" s="2540" t="str">
        <f>INDEX(Modules[Module], MATCH($C22, Modules[Code], 0))</f>
        <v>Commercial Lighting &amp; Appliances</v>
      </c>
      <c r="E22" s="2541"/>
      <c r="F22" s="2540"/>
      <c r="G22" s="2540"/>
      <c r="H22" s="2542"/>
      <c r="I22" s="2542"/>
      <c r="J22" s="2542"/>
      <c r="K22" s="2542"/>
      <c r="M22" s="2550"/>
      <c r="N22" s="2550"/>
      <c r="O22" s="2550"/>
      <c r="P22" s="2550"/>
      <c r="Q22" s="2550"/>
      <c r="S22" s="3407"/>
      <c r="T22" s="3410"/>
      <c r="U22" s="2534"/>
      <c r="V22" s="2534" t="s">
        <v>2035</v>
      </c>
      <c r="W22" s="2534"/>
      <c r="X22" s="2534"/>
      <c r="Y22" s="2534" t="s">
        <v>120</v>
      </c>
      <c r="Z22" s="2536" t="s">
        <v>120</v>
      </c>
      <c r="AA22" s="2536"/>
      <c r="AB22" s="2536" t="s">
        <v>120</v>
      </c>
      <c r="AC22" s="2536"/>
    </row>
    <row r="23" spans="1:29" ht="14.25" customHeight="1">
      <c r="A23" s="3400"/>
      <c r="B23" s="3385"/>
      <c r="C23" s="2540"/>
      <c r="D23" s="2540" t="s">
        <v>2016</v>
      </c>
      <c r="E23" s="2541"/>
      <c r="F23" s="2540"/>
      <c r="G23" s="2540" t="s">
        <v>120</v>
      </c>
      <c r="H23" s="2542" t="s">
        <v>120</v>
      </c>
      <c r="I23" s="2542"/>
      <c r="J23" s="2542" t="s">
        <v>120</v>
      </c>
      <c r="K23" s="2542"/>
      <c r="S23" s="3407"/>
      <c r="T23" s="3410"/>
      <c r="U23" s="2534"/>
      <c r="V23" s="2534" t="s">
        <v>2036</v>
      </c>
      <c r="W23" s="2534"/>
      <c r="X23" s="2534"/>
      <c r="Y23" s="2534" t="s">
        <v>120</v>
      </c>
      <c r="Z23" s="2536" t="s">
        <v>120</v>
      </c>
      <c r="AA23" s="2536"/>
      <c r="AB23" s="2536" t="s">
        <v>120</v>
      </c>
      <c r="AC23" s="2536"/>
    </row>
    <row r="24" spans="1:29">
      <c r="A24" s="3400"/>
      <c r="B24" s="3385"/>
      <c r="C24" s="2540"/>
      <c r="D24" s="2540" t="s">
        <v>2013</v>
      </c>
      <c r="E24" s="2541"/>
      <c r="F24" s="2540"/>
      <c r="G24" s="2540" t="s">
        <v>120</v>
      </c>
      <c r="H24" s="2542" t="s">
        <v>120</v>
      </c>
      <c r="I24" s="2542"/>
      <c r="J24" s="2542" t="s">
        <v>120</v>
      </c>
      <c r="K24" s="2542"/>
      <c r="S24" s="3407"/>
      <c r="T24" s="3410"/>
      <c r="U24" s="2534" t="s">
        <v>432</v>
      </c>
      <c r="V24" s="2534" t="s">
        <v>2038</v>
      </c>
      <c r="W24" s="2534"/>
      <c r="X24" s="2534"/>
      <c r="Y24" s="2534" t="s">
        <v>120</v>
      </c>
      <c r="Z24" s="2536" t="s">
        <v>120</v>
      </c>
      <c r="AA24" s="2536"/>
      <c r="AB24" s="2536" t="s">
        <v>120</v>
      </c>
      <c r="AC24" s="2536"/>
    </row>
    <row r="25" spans="1:29">
      <c r="A25" s="3400"/>
      <c r="B25" s="3385" t="s">
        <v>878</v>
      </c>
      <c r="C25" s="2540" t="s">
        <v>1083</v>
      </c>
      <c r="D25" s="2540" t="str">
        <f>INDEX(Modules[Module], MATCH($C25, Modules[Code], 0))</f>
        <v>Commercial Cooking</v>
      </c>
      <c r="E25" s="2541"/>
      <c r="F25" s="2540"/>
      <c r="G25" s="2540"/>
      <c r="H25" s="2542"/>
      <c r="I25" s="2542"/>
      <c r="J25" s="2542"/>
      <c r="K25" s="2542"/>
      <c r="S25" s="3407"/>
      <c r="T25" s="3411"/>
      <c r="U25" s="2534" t="s">
        <v>1076</v>
      </c>
      <c r="V25" s="2534" t="s">
        <v>2039</v>
      </c>
      <c r="W25" s="2534"/>
      <c r="X25" s="2534"/>
      <c r="Y25" s="2534" t="s">
        <v>120</v>
      </c>
      <c r="Z25" s="2536" t="s">
        <v>120</v>
      </c>
      <c r="AA25" s="2536"/>
      <c r="AB25" s="2536" t="s">
        <v>120</v>
      </c>
      <c r="AC25" s="2536"/>
    </row>
    <row r="26" spans="1:29">
      <c r="A26" s="3400"/>
      <c r="B26" s="3385"/>
      <c r="C26" s="2540"/>
      <c r="D26" s="2540"/>
      <c r="E26" s="2541"/>
      <c r="F26" s="2540"/>
      <c r="G26" s="2540" t="s">
        <v>120</v>
      </c>
      <c r="H26" s="2542" t="s">
        <v>120</v>
      </c>
      <c r="I26" s="2542"/>
      <c r="J26" s="2542" t="s">
        <v>120</v>
      </c>
      <c r="K26" s="2542"/>
      <c r="S26" s="3408"/>
      <c r="T26" s="2519" t="s">
        <v>41</v>
      </c>
      <c r="U26" s="2534" t="s">
        <v>296</v>
      </c>
      <c r="V26" s="2534" t="s">
        <v>1845</v>
      </c>
      <c r="W26" s="2535"/>
      <c r="X26" s="2534"/>
      <c r="Y26" s="2534" t="s">
        <v>120</v>
      </c>
      <c r="Z26" s="2536" t="s">
        <v>120</v>
      </c>
      <c r="AA26" s="2536"/>
      <c r="AB26" s="2536" t="s">
        <v>120</v>
      </c>
      <c r="AC26" s="2536"/>
    </row>
    <row r="27" spans="1:29" ht="18.75">
      <c r="A27" s="3401"/>
      <c r="B27" s="3385"/>
      <c r="C27" s="2540"/>
      <c r="D27" s="2540" t="s">
        <v>2019</v>
      </c>
      <c r="E27" s="2541"/>
      <c r="F27" s="2540"/>
      <c r="G27" s="2540" t="s">
        <v>120</v>
      </c>
      <c r="H27" s="2542" t="s">
        <v>120</v>
      </c>
      <c r="I27" s="2542"/>
      <c r="J27" s="2542" t="s">
        <v>120</v>
      </c>
      <c r="K27" s="2542"/>
      <c r="S27" s="2520" t="s">
        <v>539</v>
      </c>
      <c r="T27" s="2508"/>
      <c r="U27" s="2508"/>
      <c r="V27" s="2508"/>
      <c r="W27" s="2521"/>
      <c r="X27" s="2508"/>
      <c r="Y27" s="2508"/>
      <c r="Z27" s="2508"/>
      <c r="AA27" s="2508"/>
      <c r="AB27" s="2508"/>
      <c r="AC27" s="2508"/>
    </row>
    <row r="28" spans="1:29" ht="18.75">
      <c r="A28" s="2522"/>
      <c r="B28" s="2523"/>
      <c r="C28" s="2524"/>
      <c r="D28" s="2524"/>
      <c r="E28" s="2525"/>
      <c r="F28" s="2525"/>
      <c r="G28" s="2525"/>
      <c r="H28" s="2525"/>
      <c r="I28" s="2525"/>
      <c r="J28" s="2525"/>
      <c r="K28" s="2526"/>
      <c r="S28" s="3386" t="s">
        <v>2041</v>
      </c>
      <c r="T28" s="3387"/>
      <c r="U28" s="2538" t="s">
        <v>264</v>
      </c>
      <c r="V28" s="2538" t="s">
        <v>2001</v>
      </c>
      <c r="W28" s="2539"/>
      <c r="X28" s="2534"/>
      <c r="Y28" s="2534" t="s">
        <v>120</v>
      </c>
      <c r="Z28" s="2536" t="s">
        <v>120</v>
      </c>
      <c r="AA28" s="2536"/>
      <c r="AB28" s="2536" t="s">
        <v>120</v>
      </c>
      <c r="AC28" s="2536"/>
    </row>
    <row r="29" spans="1:29">
      <c r="A29" s="2528"/>
      <c r="B29" s="2529"/>
      <c r="C29" s="2530"/>
      <c r="D29" s="2530"/>
      <c r="E29" s="2531"/>
      <c r="F29" s="2530"/>
      <c r="G29" s="2530"/>
      <c r="H29" s="2532"/>
      <c r="I29" s="2532"/>
      <c r="J29" s="2532"/>
      <c r="K29" s="2532"/>
    </row>
    <row r="30" spans="1:29">
      <c r="A30" s="2528"/>
      <c r="B30" s="2529"/>
      <c r="C30" s="2530"/>
      <c r="D30" s="2530"/>
      <c r="E30" s="2531"/>
      <c r="F30" s="2530"/>
      <c r="G30" s="2530"/>
      <c r="H30" s="2532"/>
      <c r="I30" s="2532"/>
      <c r="J30" s="2532"/>
      <c r="K30" s="2532"/>
    </row>
    <row r="31" spans="1:29">
      <c r="A31" s="2528"/>
      <c r="B31" s="2529"/>
      <c r="C31" s="2530"/>
      <c r="D31" s="2530"/>
      <c r="E31" s="2531"/>
      <c r="F31" s="2530"/>
      <c r="G31" s="2530"/>
      <c r="H31" s="2532"/>
      <c r="I31" s="2532"/>
      <c r="J31" s="2532"/>
      <c r="K31" s="2532"/>
    </row>
    <row r="32" spans="1:29">
      <c r="A32" s="2528"/>
      <c r="B32" s="2529"/>
      <c r="C32" s="2530"/>
      <c r="D32" s="2530"/>
      <c r="E32" s="2531"/>
      <c r="F32" s="2530"/>
      <c r="G32" s="2530"/>
      <c r="H32" s="2532"/>
      <c r="I32" s="2532"/>
      <c r="J32" s="2532"/>
      <c r="K32" s="2532"/>
    </row>
    <row r="33" spans="1:11">
      <c r="A33" s="2528"/>
      <c r="B33" s="2529"/>
      <c r="C33" s="2530"/>
      <c r="D33" s="2530"/>
      <c r="E33" s="2531"/>
      <c r="F33" s="2530"/>
      <c r="G33" s="2530"/>
      <c r="H33" s="2532"/>
      <c r="I33" s="2532"/>
      <c r="J33" s="2532"/>
      <c r="K33" s="2532"/>
    </row>
    <row r="34" spans="1:11">
      <c r="A34" s="2528"/>
      <c r="B34" s="2529"/>
      <c r="C34" s="2530"/>
      <c r="D34" s="2530"/>
      <c r="E34" s="2531"/>
      <c r="F34" s="2530"/>
      <c r="G34" s="2530"/>
      <c r="H34" s="2532"/>
      <c r="I34" s="2532"/>
      <c r="J34" s="2532"/>
      <c r="K34" s="2532"/>
    </row>
    <row r="35" spans="1:11">
      <c r="A35" s="2528"/>
      <c r="B35" s="2529"/>
      <c r="C35" s="2530"/>
      <c r="D35" s="2530"/>
      <c r="E35" s="2531"/>
      <c r="F35" s="2530"/>
      <c r="G35" s="2530"/>
      <c r="H35" s="2532"/>
      <c r="I35" s="2532"/>
      <c r="J35" s="2532"/>
      <c r="K35" s="2532"/>
    </row>
    <row r="36" spans="1:11">
      <c r="A36" s="2528"/>
      <c r="B36" s="2529"/>
      <c r="C36" s="2530"/>
      <c r="D36" s="2530"/>
      <c r="E36" s="2531"/>
      <c r="F36" s="2530"/>
      <c r="G36" s="2530"/>
      <c r="H36" s="2532"/>
      <c r="I36" s="2532"/>
      <c r="J36" s="2532"/>
      <c r="K36" s="2532"/>
    </row>
    <row r="37" spans="1:11">
      <c r="A37" s="2528"/>
      <c r="B37" s="2529"/>
      <c r="C37" s="2530"/>
      <c r="D37" s="2530"/>
      <c r="E37" s="2531"/>
      <c r="F37" s="2530"/>
      <c r="G37" s="2530"/>
      <c r="H37" s="2532"/>
      <c r="I37" s="2532"/>
      <c r="J37" s="2532"/>
      <c r="K37" s="2532"/>
    </row>
    <row r="38" spans="1:11">
      <c r="A38" s="2528"/>
      <c r="B38" s="2529"/>
      <c r="C38" s="2530"/>
      <c r="D38" s="2530"/>
      <c r="E38" s="2531"/>
      <c r="F38" s="2530"/>
      <c r="G38" s="2530"/>
      <c r="H38" s="2532"/>
      <c r="I38" s="2532"/>
      <c r="J38" s="2532"/>
      <c r="K38" s="2532"/>
    </row>
    <row r="39" spans="1:11">
      <c r="A39" s="2528"/>
      <c r="B39" s="2529"/>
      <c r="C39" s="2530"/>
      <c r="D39" s="2530"/>
      <c r="E39" s="2531"/>
      <c r="F39" s="2530"/>
      <c r="G39" s="2530"/>
      <c r="H39" s="2532"/>
      <c r="I39" s="2532"/>
      <c r="J39" s="2532"/>
      <c r="K39" s="2532"/>
    </row>
    <row r="40" spans="1:11">
      <c r="A40" s="2528"/>
      <c r="B40" s="2529"/>
      <c r="C40" s="2530"/>
      <c r="D40" s="2530"/>
      <c r="E40" s="2531"/>
      <c r="F40" s="2530"/>
      <c r="G40" s="2530"/>
      <c r="H40" s="2532"/>
      <c r="I40" s="2532"/>
      <c r="J40" s="2532"/>
      <c r="K40" s="2532"/>
    </row>
    <row r="41" spans="1:11">
      <c r="A41" s="2528"/>
      <c r="B41" s="2529"/>
      <c r="C41" s="2530"/>
      <c r="D41" s="2530"/>
      <c r="E41" s="2531"/>
      <c r="F41" s="2530"/>
      <c r="G41" s="2530"/>
      <c r="H41" s="2532"/>
      <c r="I41" s="2532"/>
      <c r="J41" s="2532"/>
      <c r="K41" s="2532"/>
    </row>
    <row r="42" spans="1:11">
      <c r="A42" s="2528"/>
      <c r="B42" s="2529"/>
      <c r="C42" s="2530"/>
      <c r="D42" s="2530"/>
      <c r="E42" s="2531"/>
      <c r="F42" s="2530"/>
      <c r="G42" s="2530"/>
      <c r="H42" s="2532"/>
      <c r="I42" s="2532"/>
      <c r="J42" s="2532"/>
      <c r="K42" s="2532"/>
    </row>
    <row r="43" spans="1:11">
      <c r="A43" s="2528"/>
      <c r="B43" s="2529"/>
      <c r="C43" s="2530"/>
      <c r="D43" s="2530"/>
      <c r="E43" s="2531"/>
      <c r="F43" s="2530"/>
      <c r="G43" s="2530"/>
      <c r="H43" s="2532"/>
      <c r="I43" s="2532"/>
      <c r="J43" s="2532"/>
      <c r="K43" s="2532"/>
    </row>
    <row r="44" spans="1:11">
      <c r="A44" s="2528"/>
      <c r="B44" s="2529"/>
      <c r="C44" s="2530"/>
      <c r="D44" s="2530"/>
      <c r="E44" s="2531"/>
      <c r="F44" s="2530"/>
      <c r="G44" s="2530"/>
      <c r="H44" s="2532"/>
      <c r="I44" s="2532"/>
      <c r="J44" s="2532"/>
      <c r="K44" s="2532"/>
    </row>
    <row r="120" spans="20:20">
      <c r="T120" s="2507">
        <v>66</v>
      </c>
    </row>
  </sheetData>
  <mergeCells count="22">
    <mergeCell ref="A1:B1"/>
    <mergeCell ref="L1:R1"/>
    <mergeCell ref="S1:T1"/>
    <mergeCell ref="A3:A10"/>
    <mergeCell ref="B3:B7"/>
    <mergeCell ref="S3:S17"/>
    <mergeCell ref="T3:T9"/>
    <mergeCell ref="B8:B10"/>
    <mergeCell ref="T10:T11"/>
    <mergeCell ref="A11:A16"/>
    <mergeCell ref="A17:A27"/>
    <mergeCell ref="B17:B19"/>
    <mergeCell ref="S18:S20"/>
    <mergeCell ref="T18:T20"/>
    <mergeCell ref="S21:S26"/>
    <mergeCell ref="T21:T25"/>
    <mergeCell ref="B22:B24"/>
    <mergeCell ref="B25:B27"/>
    <mergeCell ref="S28:T28"/>
    <mergeCell ref="B11:B13"/>
    <mergeCell ref="T12:T16"/>
    <mergeCell ref="B14:B16"/>
  </mergeCells>
  <hyperlinks>
    <hyperlink ref="V12" r:id="rId1"/>
    <hyperlink ref="V13" r:id="rId2"/>
    <hyperlink ref="V14" r:id="rId3"/>
    <hyperlink ref="V15" r:id="rId4"/>
    <hyperlink ref="V16" r:id="rId5"/>
  </hyperlinks>
  <pageMargins left="0.7" right="0.7" top="0.75" bottom="0.75" header="0.3" footer="0.3"/>
  <pageSetup orientation="portrait" r:id="rId6"/>
  <drawing r:id="rId7"/>
  <legacyDrawing r:id="rId8"/>
</worksheet>
</file>

<file path=xl/worksheets/sheet36.xml><?xml version="1.0" encoding="utf-8"?>
<worksheet xmlns="http://schemas.openxmlformats.org/spreadsheetml/2006/main" xmlns:r="http://schemas.openxmlformats.org/officeDocument/2006/relationships">
  <dimension ref="A1:AR120"/>
  <sheetViews>
    <sheetView showGridLines="0" workbookViewId="0">
      <pane ySplit="1" topLeftCell="A2" activePane="bottomLeft" state="frozen"/>
      <selection pane="bottomLeft" activeCell="I17" sqref="I17"/>
    </sheetView>
  </sheetViews>
  <sheetFormatPr defaultColWidth="8.85546875" defaultRowHeight="14.25"/>
  <cols>
    <col min="1" max="1" width="8.85546875" style="2507"/>
    <col min="2" max="2" width="10.7109375" style="2507" customWidth="1"/>
    <col min="3" max="3" width="6.42578125" style="2507" customWidth="1"/>
    <col min="4" max="4" width="20.7109375" style="2507" customWidth="1"/>
    <col min="5" max="5" width="4.140625" style="2507" customWidth="1"/>
    <col min="6" max="6" width="2.7109375" style="2507" customWidth="1"/>
    <col min="7" max="7" width="2.85546875" style="2507" customWidth="1"/>
    <col min="8" max="8" width="4.7109375" style="2507" customWidth="1"/>
    <col min="9" max="9" width="3.140625" style="2507" customWidth="1"/>
    <col min="10" max="10" width="5.42578125" style="2507" customWidth="1"/>
    <col min="11" max="11" width="2.85546875" style="2507" customWidth="1"/>
    <col min="12" max="19" width="8.85546875" style="2507"/>
    <col min="20" max="20" width="11" style="2507" customWidth="1"/>
    <col min="21" max="21" width="6.85546875" style="2507" customWidth="1"/>
    <col min="22" max="22" width="12" style="2507" customWidth="1"/>
    <col min="23" max="23" width="6.85546875" style="2507" customWidth="1"/>
    <col min="24" max="24" width="3.140625" style="2507" customWidth="1"/>
    <col min="25" max="26" width="3.42578125" style="2507" customWidth="1"/>
    <col min="27" max="27" width="3.7109375" style="2507" customWidth="1"/>
    <col min="28" max="28" width="6.42578125" style="2507" customWidth="1"/>
    <col min="29" max="16384" width="8.85546875" style="2507"/>
  </cols>
  <sheetData>
    <row r="1" spans="1:44" ht="23.25" customHeight="1">
      <c r="A1" s="3388" t="s">
        <v>59</v>
      </c>
      <c r="B1" s="3389"/>
      <c r="C1" s="2505"/>
      <c r="D1" s="2505"/>
      <c r="E1" s="2505"/>
      <c r="F1" s="2505"/>
      <c r="G1" s="2506"/>
      <c r="H1" s="2506"/>
      <c r="I1" s="2506"/>
      <c r="J1" s="2506"/>
      <c r="K1" s="2505"/>
      <c r="L1" s="3390" t="s">
        <v>202</v>
      </c>
      <c r="M1" s="3390"/>
      <c r="N1" s="3390"/>
      <c r="O1" s="3390"/>
      <c r="P1" s="3390"/>
      <c r="Q1" s="3390"/>
      <c r="R1" s="3390"/>
      <c r="S1" s="3391" t="s">
        <v>58</v>
      </c>
      <c r="T1" s="3392"/>
      <c r="U1" s="2508"/>
      <c r="V1" s="2508"/>
      <c r="W1" s="2508"/>
      <c r="X1" s="2509"/>
      <c r="Y1" s="2509"/>
      <c r="Z1" s="2509"/>
      <c r="AA1" s="2509"/>
      <c r="AB1" s="2508"/>
      <c r="AC1" s="2508"/>
    </row>
    <row r="2" spans="1:44">
      <c r="A2" s="2510" t="s">
        <v>2003</v>
      </c>
      <c r="B2" s="2511"/>
      <c r="C2" s="2512"/>
      <c r="D2" s="2512"/>
      <c r="E2" s="2513">
        <v>10</v>
      </c>
      <c r="F2" s="2514"/>
      <c r="G2" s="2514"/>
      <c r="H2" s="2515"/>
      <c r="I2" s="2515"/>
      <c r="J2" s="2515"/>
      <c r="K2" s="2515"/>
      <c r="S2" s="2516"/>
      <c r="T2" s="2516"/>
      <c r="U2" s="2517"/>
      <c r="V2" s="2517"/>
      <c r="W2" s="2518"/>
      <c r="X2" s="2514"/>
      <c r="Y2" s="2515"/>
      <c r="Z2" s="2515"/>
      <c r="AA2" s="2515"/>
      <c r="AB2" s="2515"/>
      <c r="AC2" s="2515"/>
    </row>
    <row r="3" spans="1:44" ht="14.25" customHeight="1">
      <c r="A3" s="3393" t="s">
        <v>113</v>
      </c>
      <c r="B3" s="3385" t="s">
        <v>2009</v>
      </c>
      <c r="C3" s="2540" t="s">
        <v>282</v>
      </c>
      <c r="D3" s="2540" t="str">
        <f>INDEX(Modules[Module], MATCH($C3, Modules[Code], 0))</f>
        <v>Domestic passenger transport</v>
      </c>
      <c r="E3" s="2541"/>
      <c r="F3" s="2540"/>
      <c r="G3" s="2540"/>
      <c r="H3" s="2542"/>
      <c r="I3" s="2542"/>
      <c r="J3" s="2542"/>
      <c r="K3" s="2542"/>
      <c r="S3" s="3396" t="s">
        <v>5</v>
      </c>
      <c r="T3" s="3385" t="s">
        <v>2028</v>
      </c>
      <c r="U3" s="2534" t="s">
        <v>248</v>
      </c>
      <c r="V3" s="2534" t="str">
        <f>INDEX(Modules[Module], MATCH($U3, Modules[Code], 0))</f>
        <v>Gas Power Stations</v>
      </c>
      <c r="W3" s="2535"/>
      <c r="X3" s="2534"/>
      <c r="Y3" s="2534" t="s">
        <v>120</v>
      </c>
      <c r="Z3" s="2536" t="s">
        <v>120</v>
      </c>
      <c r="AA3" s="2536"/>
      <c r="AB3" s="2536" t="s">
        <v>120</v>
      </c>
      <c r="AC3" s="2536"/>
    </row>
    <row r="4" spans="1:44">
      <c r="A4" s="3394"/>
      <c r="B4" s="3385"/>
      <c r="C4" s="2540"/>
      <c r="D4" s="2540" t="s">
        <v>1372</v>
      </c>
      <c r="E4" s="2541"/>
      <c r="F4" s="2540"/>
      <c r="G4" s="2540" t="s">
        <v>120</v>
      </c>
      <c r="H4" s="2542" t="s">
        <v>120</v>
      </c>
      <c r="I4" s="2542"/>
      <c r="J4" s="2542" t="s">
        <v>120</v>
      </c>
      <c r="K4" s="2542"/>
      <c r="O4" s="885"/>
      <c r="S4" s="3396"/>
      <c r="T4" s="3385"/>
      <c r="U4" s="2534" t="s">
        <v>278</v>
      </c>
      <c r="V4" s="2534" t="s">
        <v>2021</v>
      </c>
      <c r="W4" s="2535"/>
      <c r="X4" s="2534"/>
      <c r="Y4" s="2534"/>
      <c r="Z4" s="2534"/>
      <c r="AA4" s="2534"/>
      <c r="AB4" s="2534"/>
      <c r="AC4" s="2547"/>
      <c r="AQ4" s="2507">
        <v>2</v>
      </c>
      <c r="AR4" s="2549" t="s">
        <v>2043</v>
      </c>
    </row>
    <row r="5" spans="1:44">
      <c r="A5" s="3394"/>
      <c r="B5" s="3385"/>
      <c r="C5" s="2540"/>
      <c r="D5" s="2540" t="s">
        <v>2047</v>
      </c>
      <c r="E5" s="2541"/>
      <c r="F5" s="2540"/>
      <c r="G5" s="2540" t="s">
        <v>120</v>
      </c>
      <c r="H5" s="2542" t="s">
        <v>120</v>
      </c>
      <c r="I5" s="2542"/>
      <c r="J5" s="2542" t="s">
        <v>120</v>
      </c>
      <c r="K5" s="2542"/>
      <c r="S5" s="3396"/>
      <c r="T5" s="3385"/>
      <c r="U5" s="2534"/>
      <c r="V5" s="2534" t="s">
        <v>2022</v>
      </c>
      <c r="W5" s="2535"/>
      <c r="X5" s="2534"/>
      <c r="Y5" s="2534" t="s">
        <v>120</v>
      </c>
      <c r="Z5" s="2536" t="s">
        <v>120</v>
      </c>
      <c r="AA5" s="2536"/>
      <c r="AB5" s="2536" t="s">
        <v>120</v>
      </c>
      <c r="AC5" s="2536"/>
      <c r="AR5" s="2549" t="s">
        <v>1639</v>
      </c>
    </row>
    <row r="6" spans="1:44">
      <c r="A6" s="3394"/>
      <c r="B6" s="3385"/>
      <c r="C6" s="2540"/>
      <c r="D6" s="2540" t="s">
        <v>2006</v>
      </c>
      <c r="E6" s="2541"/>
      <c r="F6" s="2540"/>
      <c r="G6" s="2540" t="s">
        <v>120</v>
      </c>
      <c r="H6" s="2542" t="s">
        <v>120</v>
      </c>
      <c r="I6" s="2542"/>
      <c r="J6" s="2542" t="s">
        <v>120</v>
      </c>
      <c r="K6" s="2542"/>
      <c r="S6" s="3396"/>
      <c r="T6" s="3385"/>
      <c r="U6" s="2534"/>
      <c r="V6" s="2534" t="s">
        <v>2020</v>
      </c>
      <c r="W6" s="2535"/>
      <c r="X6" s="2534"/>
      <c r="Y6" s="2534" t="s">
        <v>120</v>
      </c>
      <c r="Z6" s="2536" t="s">
        <v>120</v>
      </c>
      <c r="AA6" s="2536"/>
      <c r="AB6" s="2536" t="s">
        <v>120</v>
      </c>
      <c r="AC6" s="2536"/>
      <c r="AR6" s="2549" t="s">
        <v>281</v>
      </c>
    </row>
    <row r="7" spans="1:44">
      <c r="A7" s="3394"/>
      <c r="B7" s="3385"/>
      <c r="C7" s="2540"/>
      <c r="D7" s="2540" t="s">
        <v>2007</v>
      </c>
      <c r="E7" s="2541"/>
      <c r="F7" s="2540"/>
      <c r="G7" s="2540" t="s">
        <v>120</v>
      </c>
      <c r="H7" s="2542" t="s">
        <v>120</v>
      </c>
      <c r="I7" s="2542"/>
      <c r="J7" s="2542" t="s">
        <v>120</v>
      </c>
      <c r="K7" s="2542"/>
      <c r="S7" s="3396"/>
      <c r="T7" s="3385"/>
      <c r="U7" s="2534" t="s">
        <v>696</v>
      </c>
      <c r="V7" s="2534" t="s">
        <v>2023</v>
      </c>
      <c r="W7" s="2535"/>
      <c r="X7" s="2534"/>
      <c r="Y7" s="2534"/>
      <c r="Z7" s="2534"/>
      <c r="AA7" s="2534"/>
      <c r="AB7" s="2534"/>
      <c r="AC7" s="2547"/>
      <c r="AR7" s="2549" t="s">
        <v>582</v>
      </c>
    </row>
    <row r="8" spans="1:44">
      <c r="A8" s="3394"/>
      <c r="B8" s="3385" t="s">
        <v>2010</v>
      </c>
      <c r="C8" s="2540" t="s">
        <v>294</v>
      </c>
      <c r="D8" s="2540" t="str">
        <f>INDEX(Modules[Module], MATCH($C8, Modules[Code], 0))</f>
        <v>Domestic freight</v>
      </c>
      <c r="E8" s="2541"/>
      <c r="F8" s="2540"/>
      <c r="G8" s="2540"/>
      <c r="H8" s="2542"/>
      <c r="I8" s="2542"/>
      <c r="J8" s="2542"/>
      <c r="K8" s="2542"/>
      <c r="S8" s="3396"/>
      <c r="T8" s="3385"/>
      <c r="U8" s="2534"/>
      <c r="V8" s="2534" t="s">
        <v>2024</v>
      </c>
      <c r="W8" s="2535"/>
      <c r="X8" s="2534"/>
      <c r="Y8" s="2534" t="s">
        <v>120</v>
      </c>
      <c r="Z8" s="2536" t="s">
        <v>120</v>
      </c>
      <c r="AA8" s="2536"/>
      <c r="AB8" s="2536" t="s">
        <v>120</v>
      </c>
      <c r="AC8" s="2536"/>
      <c r="AR8" s="2549" t="s">
        <v>2044</v>
      </c>
    </row>
    <row r="9" spans="1:44">
      <c r="A9" s="3394"/>
      <c r="B9" s="3385"/>
      <c r="C9" s="2540"/>
      <c r="D9" s="2540" t="s">
        <v>1372</v>
      </c>
      <c r="E9" s="2541"/>
      <c r="F9" s="2540"/>
      <c r="G9" s="2540" t="s">
        <v>120</v>
      </c>
      <c r="H9" s="2542" t="s">
        <v>120</v>
      </c>
      <c r="I9" s="2542"/>
      <c r="J9" s="2542" t="s">
        <v>120</v>
      </c>
      <c r="K9" s="2542"/>
      <c r="S9" s="3396"/>
      <c r="T9" s="3385"/>
      <c r="U9" s="2537"/>
      <c r="V9" s="2538" t="s">
        <v>2025</v>
      </c>
      <c r="W9" s="2539"/>
      <c r="X9" s="2534"/>
      <c r="Y9" s="2534" t="s">
        <v>120</v>
      </c>
      <c r="Z9" s="2536" t="s">
        <v>120</v>
      </c>
      <c r="AA9" s="2536"/>
      <c r="AB9" s="2536" t="s">
        <v>120</v>
      </c>
      <c r="AC9" s="2536"/>
      <c r="AR9" s="2549" t="s">
        <v>2045</v>
      </c>
    </row>
    <row r="10" spans="1:44">
      <c r="A10" s="3395"/>
      <c r="B10" s="3385"/>
      <c r="C10" s="2543"/>
      <c r="D10" s="2544" t="s">
        <v>2008</v>
      </c>
      <c r="E10" s="2545"/>
      <c r="F10" s="2540"/>
      <c r="G10" s="2540" t="s">
        <v>120</v>
      </c>
      <c r="H10" s="2542" t="s">
        <v>120</v>
      </c>
      <c r="I10" s="2542"/>
      <c r="J10" s="2542" t="s">
        <v>120</v>
      </c>
      <c r="K10" s="2542"/>
      <c r="S10" s="3396"/>
      <c r="T10" s="3385" t="s">
        <v>2029</v>
      </c>
      <c r="U10" s="2538" t="s">
        <v>61</v>
      </c>
      <c r="V10" s="2538" t="s">
        <v>2026</v>
      </c>
      <c r="W10" s="2548"/>
      <c r="X10" s="2534"/>
      <c r="Y10" s="2534" t="s">
        <v>120</v>
      </c>
      <c r="Z10" s="2536" t="s">
        <v>120</v>
      </c>
      <c r="AA10" s="2536"/>
      <c r="AB10" s="2536" t="s">
        <v>120</v>
      </c>
      <c r="AC10" s="2536"/>
      <c r="AR10" s="2549" t="s">
        <v>401</v>
      </c>
    </row>
    <row r="11" spans="1:44" ht="14.25" customHeight="1">
      <c r="A11" s="3397" t="s">
        <v>272</v>
      </c>
      <c r="B11" s="3385" t="s">
        <v>1051</v>
      </c>
      <c r="C11" s="2540" t="s">
        <v>298</v>
      </c>
      <c r="D11" s="2540" t="str">
        <f>INDEX(Modules[Module], MATCH($C11, Modules[Code], 0))</f>
        <v>Domestic Cooking</v>
      </c>
      <c r="E11" s="2541"/>
      <c r="F11" s="2540"/>
      <c r="G11" s="2540"/>
      <c r="H11" s="2540"/>
      <c r="I11" s="2540"/>
      <c r="J11" s="2540"/>
      <c r="K11" s="2540"/>
      <c r="S11" s="3396"/>
      <c r="T11" s="3385"/>
      <c r="U11" s="2534" t="s">
        <v>62</v>
      </c>
      <c r="V11" s="2534" t="s">
        <v>2027</v>
      </c>
      <c r="W11" s="2535"/>
      <c r="X11" s="2534"/>
      <c r="Y11" s="2534" t="s">
        <v>120</v>
      </c>
      <c r="Z11" s="2536" t="s">
        <v>120</v>
      </c>
      <c r="AA11" s="2536"/>
      <c r="AB11" s="2536" t="s">
        <v>120</v>
      </c>
      <c r="AC11" s="2536"/>
    </row>
    <row r="12" spans="1:44">
      <c r="A12" s="3398"/>
      <c r="B12" s="3385"/>
      <c r="C12" s="2546"/>
      <c r="D12" s="2540"/>
      <c r="E12" s="2541"/>
      <c r="F12" s="2540"/>
      <c r="G12" s="2540" t="s">
        <v>120</v>
      </c>
      <c r="H12" s="2542" t="s">
        <v>120</v>
      </c>
      <c r="I12" s="2542"/>
      <c r="J12" s="2542" t="s">
        <v>120</v>
      </c>
      <c r="K12" s="2542"/>
      <c r="S12" s="3396"/>
      <c r="T12" s="3385" t="s">
        <v>2042</v>
      </c>
      <c r="U12" s="2534" t="s">
        <v>311</v>
      </c>
      <c r="V12" s="2557" t="s">
        <v>55</v>
      </c>
      <c r="W12" s="2535"/>
      <c r="X12" s="2534"/>
      <c r="Y12" s="2534" t="s">
        <v>120</v>
      </c>
      <c r="Z12" s="2536" t="s">
        <v>120</v>
      </c>
      <c r="AA12" s="2536"/>
      <c r="AB12" s="2536" t="s">
        <v>120</v>
      </c>
      <c r="AC12" s="2536"/>
    </row>
    <row r="13" spans="1:44">
      <c r="A13" s="3398"/>
      <c r="B13" s="3385"/>
      <c r="C13" s="2546"/>
      <c r="D13" s="2540" t="s">
        <v>2011</v>
      </c>
      <c r="E13" s="2541"/>
      <c r="F13" s="2540"/>
      <c r="G13" s="2540" t="s">
        <v>120</v>
      </c>
      <c r="H13" s="2542" t="s">
        <v>120</v>
      </c>
      <c r="I13" s="2542"/>
      <c r="J13" s="2542" t="s">
        <v>120</v>
      </c>
      <c r="K13" s="2542"/>
      <c r="S13" s="3396"/>
      <c r="T13" s="3385"/>
      <c r="U13" s="2534" t="s">
        <v>407</v>
      </c>
      <c r="V13" s="2557" t="s">
        <v>1924</v>
      </c>
      <c r="W13" s="2535"/>
      <c r="X13" s="2534"/>
      <c r="Y13" s="2534" t="s">
        <v>120</v>
      </c>
      <c r="Z13" s="2536" t="s">
        <v>120</v>
      </c>
      <c r="AA13" s="2536"/>
      <c r="AB13" s="2536" t="s">
        <v>120</v>
      </c>
      <c r="AC13" s="2536"/>
    </row>
    <row r="14" spans="1:44" ht="13.5" customHeight="1">
      <c r="A14" s="3398"/>
      <c r="B14" s="3385" t="s">
        <v>535</v>
      </c>
      <c r="C14" s="2540" t="s">
        <v>300</v>
      </c>
      <c r="D14" s="2540" t="str">
        <f>INDEX(Modules[Module], MATCH($C14, Modules[Code], 0))</f>
        <v>Domestic Lighting &amp; Appliances</v>
      </c>
      <c r="E14" s="2541"/>
      <c r="F14" s="2546"/>
      <c r="G14" s="2546"/>
      <c r="H14" s="2546"/>
      <c r="I14" s="2546"/>
      <c r="J14" s="2546"/>
      <c r="K14" s="2546"/>
      <c r="S14" s="3396"/>
      <c r="T14" s="3385"/>
      <c r="U14" s="2534" t="s">
        <v>1071</v>
      </c>
      <c r="V14" s="2557" t="s">
        <v>855</v>
      </c>
      <c r="W14" s="2535"/>
      <c r="X14" s="2534"/>
      <c r="Y14" s="2534" t="s">
        <v>120</v>
      </c>
      <c r="Z14" s="2536" t="s">
        <v>120</v>
      </c>
      <c r="AA14" s="2536"/>
      <c r="AB14" s="2536" t="s">
        <v>120</v>
      </c>
      <c r="AC14" s="2536"/>
    </row>
    <row r="15" spans="1:44">
      <c r="A15" s="3398"/>
      <c r="B15" s="3385"/>
      <c r="C15" s="2546"/>
      <c r="D15" s="2540" t="s">
        <v>2012</v>
      </c>
      <c r="E15" s="2541"/>
      <c r="F15" s="2540"/>
      <c r="G15" s="2540" t="s">
        <v>120</v>
      </c>
      <c r="H15" s="2542" t="s">
        <v>120</v>
      </c>
      <c r="I15" s="2542"/>
      <c r="J15" s="2542" t="s">
        <v>120</v>
      </c>
      <c r="K15" s="2542"/>
      <c r="S15" s="3396"/>
      <c r="T15" s="3385"/>
      <c r="U15" s="2534" t="s">
        <v>1285</v>
      </c>
      <c r="V15" s="2557" t="s">
        <v>856</v>
      </c>
      <c r="W15" s="2535"/>
      <c r="X15" s="2534"/>
      <c r="Y15" s="2534" t="s">
        <v>120</v>
      </c>
      <c r="Z15" s="2536" t="s">
        <v>120</v>
      </c>
      <c r="AA15" s="2536"/>
      <c r="AB15" s="2536" t="s">
        <v>120</v>
      </c>
      <c r="AC15" s="2536"/>
    </row>
    <row r="16" spans="1:44" ht="14.25" customHeight="1">
      <c r="A16" s="3398"/>
      <c r="B16" s="3385"/>
      <c r="C16" s="2540"/>
      <c r="D16" s="2540" t="s">
        <v>2013</v>
      </c>
      <c r="E16" s="2541"/>
      <c r="F16" s="2540"/>
      <c r="G16" s="2540" t="s">
        <v>120</v>
      </c>
      <c r="H16" s="2542" t="s">
        <v>120</v>
      </c>
      <c r="I16" s="2542"/>
      <c r="J16" s="2542" t="s">
        <v>120</v>
      </c>
      <c r="K16" s="2542"/>
      <c r="S16" s="3396"/>
      <c r="T16" s="3385"/>
      <c r="U16" s="2534" t="s">
        <v>1073</v>
      </c>
      <c r="V16" s="2557" t="s">
        <v>854</v>
      </c>
      <c r="W16" s="2535"/>
      <c r="X16" s="2534"/>
      <c r="Y16" s="2534" t="s">
        <v>120</v>
      </c>
      <c r="Z16" s="2536" t="s">
        <v>120</v>
      </c>
      <c r="AA16" s="2536"/>
      <c r="AB16" s="2536" t="s">
        <v>120</v>
      </c>
      <c r="AC16" s="2536"/>
    </row>
    <row r="17" spans="1:29" ht="12.75" customHeight="1">
      <c r="A17" s="3399" t="s">
        <v>2005</v>
      </c>
      <c r="B17" s="3402" t="s">
        <v>106</v>
      </c>
      <c r="C17" s="2540" t="s">
        <v>194</v>
      </c>
      <c r="D17" s="2540" t="str">
        <f>INDEX(Workstreams[Workstream], MATCH($C17, Workstreams[Code], 0))</f>
        <v>Agriculture</v>
      </c>
      <c r="E17" s="2541"/>
      <c r="F17" s="2540"/>
      <c r="G17" s="2540"/>
      <c r="H17" s="2542"/>
      <c r="I17" s="2542"/>
      <c r="J17" s="2542"/>
      <c r="K17" s="2542"/>
      <c r="S17" s="3396"/>
      <c r="T17" s="2527" t="s">
        <v>2004</v>
      </c>
      <c r="U17" s="2534" t="s">
        <v>263</v>
      </c>
      <c r="V17" s="2534" t="s">
        <v>4</v>
      </c>
      <c r="W17" s="2535"/>
      <c r="X17" s="2534"/>
      <c r="Y17" s="2534" t="s">
        <v>120</v>
      </c>
      <c r="Z17" s="2536" t="s">
        <v>120</v>
      </c>
      <c r="AA17" s="2536"/>
      <c r="AB17" s="2536" t="s">
        <v>120</v>
      </c>
      <c r="AC17" s="2536"/>
    </row>
    <row r="18" spans="1:29" ht="15" customHeight="1">
      <c r="A18" s="3400"/>
      <c r="B18" s="3402"/>
      <c r="C18" s="2540"/>
      <c r="D18" s="2540" t="s">
        <v>2015</v>
      </c>
      <c r="E18" s="2541"/>
      <c r="F18" s="2540"/>
      <c r="G18" s="2540" t="s">
        <v>120</v>
      </c>
      <c r="H18" s="2542" t="s">
        <v>120</v>
      </c>
      <c r="I18" s="2542"/>
      <c r="J18" s="2542" t="s">
        <v>120</v>
      </c>
      <c r="K18" s="2542"/>
      <c r="M18" s="2550"/>
      <c r="N18" s="2550"/>
      <c r="O18" s="2550"/>
      <c r="P18" s="2550"/>
      <c r="Q18" s="2550"/>
      <c r="S18" s="3403" t="s">
        <v>2033</v>
      </c>
      <c r="T18" s="3385" t="s">
        <v>2034</v>
      </c>
      <c r="U18" s="2534" t="s">
        <v>310</v>
      </c>
      <c r="V18" s="2534" t="s">
        <v>2032</v>
      </c>
      <c r="W18" s="2535"/>
      <c r="X18" s="2534"/>
      <c r="Y18" s="2534" t="s">
        <v>120</v>
      </c>
      <c r="Z18" s="2536" t="s">
        <v>120</v>
      </c>
      <c r="AA18" s="2536"/>
      <c r="AB18" s="2536" t="s">
        <v>120</v>
      </c>
      <c r="AC18" s="2536"/>
    </row>
    <row r="19" spans="1:29" ht="14.25" customHeight="1">
      <c r="A19" s="3400"/>
      <c r="B19" s="3402"/>
      <c r="C19" s="2540"/>
      <c r="D19" s="2540" t="s">
        <v>2014</v>
      </c>
      <c r="E19" s="2541"/>
      <c r="F19" s="2540"/>
      <c r="G19" s="2540" t="s">
        <v>120</v>
      </c>
      <c r="H19" s="2542" t="s">
        <v>120</v>
      </c>
      <c r="I19" s="2542"/>
      <c r="J19" s="2542" t="s">
        <v>120</v>
      </c>
      <c r="K19" s="2542"/>
      <c r="M19" s="2550"/>
      <c r="N19" s="2550"/>
      <c r="O19" s="2550"/>
      <c r="P19" s="2550"/>
      <c r="Q19" s="2550"/>
      <c r="S19" s="3404"/>
      <c r="T19" s="3385"/>
      <c r="U19" s="2534" t="s">
        <v>314</v>
      </c>
      <c r="V19" s="2534" t="s">
        <v>2030</v>
      </c>
      <c r="W19" s="2535"/>
      <c r="X19" s="2534"/>
      <c r="Y19" s="2534" t="s">
        <v>120</v>
      </c>
      <c r="Z19" s="2536" t="s">
        <v>120</v>
      </c>
      <c r="AA19" s="2536"/>
      <c r="AB19" s="2536" t="s">
        <v>120</v>
      </c>
      <c r="AC19" s="2536"/>
    </row>
    <row r="20" spans="1:29" ht="14.25" customHeight="1">
      <c r="A20" s="3400"/>
      <c r="B20" s="2527" t="s">
        <v>1078</v>
      </c>
      <c r="C20" s="2540" t="s">
        <v>330</v>
      </c>
      <c r="D20" s="2540" t="s">
        <v>2018</v>
      </c>
      <c r="E20" s="2541"/>
      <c r="F20" s="2540"/>
      <c r="G20" s="2540" t="s">
        <v>120</v>
      </c>
      <c r="H20" s="2542" t="s">
        <v>120</v>
      </c>
      <c r="I20" s="2542"/>
      <c r="J20" s="2542" t="s">
        <v>120</v>
      </c>
      <c r="K20" s="2542"/>
      <c r="M20" s="2550"/>
      <c r="N20" s="2550"/>
      <c r="O20" s="2550"/>
      <c r="P20" s="2550"/>
      <c r="Q20" s="2550"/>
      <c r="S20" s="3405"/>
      <c r="T20" s="3385"/>
      <c r="U20" s="2534" t="s">
        <v>818</v>
      </c>
      <c r="V20" s="2534" t="s">
        <v>2031</v>
      </c>
      <c r="W20" s="2535"/>
      <c r="X20" s="2534"/>
      <c r="Y20" s="2534" t="s">
        <v>120</v>
      </c>
      <c r="Z20" s="2536" t="s">
        <v>120</v>
      </c>
      <c r="AA20" s="2536"/>
      <c r="AB20" s="2536" t="s">
        <v>120</v>
      </c>
      <c r="AC20" s="2536"/>
    </row>
    <row r="21" spans="1:29" ht="14.25" customHeight="1">
      <c r="A21" s="3400"/>
      <c r="B21" s="2527" t="s">
        <v>33</v>
      </c>
      <c r="C21" s="2540" t="s">
        <v>197</v>
      </c>
      <c r="D21" s="2540" t="s">
        <v>2017</v>
      </c>
      <c r="E21" s="2541"/>
      <c r="F21" s="2540"/>
      <c r="G21" s="2540" t="s">
        <v>120</v>
      </c>
      <c r="H21" s="2542" t="s">
        <v>120</v>
      </c>
      <c r="I21" s="2542"/>
      <c r="J21" s="2542" t="s">
        <v>120</v>
      </c>
      <c r="K21" s="2542"/>
      <c r="M21" s="2550"/>
      <c r="N21" s="2550"/>
      <c r="O21" s="2550"/>
      <c r="P21" s="2550"/>
      <c r="Q21" s="2550"/>
      <c r="S21" s="3406" t="s">
        <v>2037</v>
      </c>
      <c r="T21" s="3409" t="s">
        <v>2040</v>
      </c>
      <c r="U21" s="2534" t="s">
        <v>304</v>
      </c>
      <c r="V21" s="2534" t="s">
        <v>493</v>
      </c>
      <c r="W21" s="2534"/>
      <c r="X21" s="2534"/>
      <c r="Y21" s="2534"/>
      <c r="Z21" s="2534"/>
      <c r="AA21" s="2534"/>
      <c r="AB21" s="2534"/>
      <c r="AC21" s="2547"/>
    </row>
    <row r="22" spans="1:29">
      <c r="A22" s="3400"/>
      <c r="B22" s="3385" t="s">
        <v>537</v>
      </c>
      <c r="C22" s="2540" t="s">
        <v>301</v>
      </c>
      <c r="D22" s="2540" t="str">
        <f>INDEX(Modules[Module], MATCH($C22, Modules[Code], 0))</f>
        <v>Commercial Lighting &amp; Appliances</v>
      </c>
      <c r="E22" s="2541"/>
      <c r="F22" s="2540"/>
      <c r="G22" s="2540"/>
      <c r="H22" s="2542"/>
      <c r="I22" s="2542"/>
      <c r="J22" s="2542"/>
      <c r="K22" s="2542"/>
      <c r="M22" s="2550"/>
      <c r="N22" s="2550"/>
      <c r="O22" s="2550"/>
      <c r="P22" s="2550"/>
      <c r="Q22" s="2550"/>
      <c r="S22" s="3407"/>
      <c r="T22" s="3410"/>
      <c r="U22" s="2534"/>
      <c r="V22" s="2534" t="s">
        <v>2035</v>
      </c>
      <c r="W22" s="2534"/>
      <c r="X22" s="2534"/>
      <c r="Y22" s="2534" t="s">
        <v>120</v>
      </c>
      <c r="Z22" s="2536" t="s">
        <v>120</v>
      </c>
      <c r="AA22" s="2536"/>
      <c r="AB22" s="2536" t="s">
        <v>120</v>
      </c>
      <c r="AC22" s="2536"/>
    </row>
    <row r="23" spans="1:29" ht="14.25" customHeight="1">
      <c r="A23" s="3400"/>
      <c r="B23" s="3385"/>
      <c r="C23" s="2540"/>
      <c r="D23" s="2540" t="s">
        <v>2016</v>
      </c>
      <c r="E23" s="2541"/>
      <c r="F23" s="2540"/>
      <c r="G23" s="2540" t="s">
        <v>120</v>
      </c>
      <c r="H23" s="2542" t="s">
        <v>120</v>
      </c>
      <c r="I23" s="2542"/>
      <c r="J23" s="2542" t="s">
        <v>120</v>
      </c>
      <c r="K23" s="2542"/>
      <c r="S23" s="3407"/>
      <c r="T23" s="3410"/>
      <c r="U23" s="2534"/>
      <c r="V23" s="2534" t="s">
        <v>2036</v>
      </c>
      <c r="W23" s="2534"/>
      <c r="X23" s="2534"/>
      <c r="Y23" s="2534" t="s">
        <v>120</v>
      </c>
      <c r="Z23" s="2536" t="s">
        <v>120</v>
      </c>
      <c r="AA23" s="2536"/>
      <c r="AB23" s="2536" t="s">
        <v>120</v>
      </c>
      <c r="AC23" s="2536"/>
    </row>
    <row r="24" spans="1:29">
      <c r="A24" s="3400"/>
      <c r="B24" s="3385"/>
      <c r="C24" s="2540"/>
      <c r="D24" s="2540" t="s">
        <v>2013</v>
      </c>
      <c r="E24" s="2541"/>
      <c r="F24" s="2540"/>
      <c r="G24" s="2540" t="s">
        <v>120</v>
      </c>
      <c r="H24" s="2542" t="s">
        <v>120</v>
      </c>
      <c r="I24" s="2542"/>
      <c r="J24" s="2542" t="s">
        <v>120</v>
      </c>
      <c r="K24" s="2542"/>
      <c r="S24" s="3407"/>
      <c r="T24" s="3410"/>
      <c r="U24" s="2534" t="s">
        <v>432</v>
      </c>
      <c r="V24" s="2534" t="s">
        <v>2038</v>
      </c>
      <c r="W24" s="2534"/>
      <c r="X24" s="2534"/>
      <c r="Y24" s="2534" t="s">
        <v>120</v>
      </c>
      <c r="Z24" s="2536" t="s">
        <v>120</v>
      </c>
      <c r="AA24" s="2536"/>
      <c r="AB24" s="2536" t="s">
        <v>120</v>
      </c>
      <c r="AC24" s="2536"/>
    </row>
    <row r="25" spans="1:29">
      <c r="A25" s="3400"/>
      <c r="B25" s="3385" t="s">
        <v>878</v>
      </c>
      <c r="C25" s="2540" t="s">
        <v>1083</v>
      </c>
      <c r="D25" s="2540" t="str">
        <f>INDEX(Modules[Module], MATCH($C25, Modules[Code], 0))</f>
        <v>Commercial Cooking</v>
      </c>
      <c r="E25" s="2541"/>
      <c r="F25" s="2540"/>
      <c r="G25" s="2540"/>
      <c r="H25" s="2542"/>
      <c r="I25" s="2542"/>
      <c r="J25" s="2542"/>
      <c r="K25" s="2542"/>
      <c r="S25" s="3407"/>
      <c r="T25" s="3411"/>
      <c r="U25" s="2534" t="s">
        <v>1076</v>
      </c>
      <c r="V25" s="2534" t="s">
        <v>2039</v>
      </c>
      <c r="W25" s="2534"/>
      <c r="X25" s="2534"/>
      <c r="Y25" s="2534" t="s">
        <v>120</v>
      </c>
      <c r="Z25" s="2536" t="s">
        <v>120</v>
      </c>
      <c r="AA25" s="2536"/>
      <c r="AB25" s="2536" t="s">
        <v>120</v>
      </c>
      <c r="AC25" s="2536"/>
    </row>
    <row r="26" spans="1:29">
      <c r="A26" s="3400"/>
      <c r="B26" s="3385"/>
      <c r="C26" s="2540"/>
      <c r="D26" s="2540"/>
      <c r="E26" s="2541"/>
      <c r="F26" s="2540"/>
      <c r="G26" s="2540" t="s">
        <v>120</v>
      </c>
      <c r="H26" s="2542" t="s">
        <v>120</v>
      </c>
      <c r="I26" s="2542"/>
      <c r="J26" s="2542" t="s">
        <v>120</v>
      </c>
      <c r="K26" s="2542"/>
      <c r="S26" s="3408"/>
      <c r="T26" s="2519" t="s">
        <v>41</v>
      </c>
      <c r="U26" s="2534" t="s">
        <v>296</v>
      </c>
      <c r="V26" s="2534" t="s">
        <v>1845</v>
      </c>
      <c r="W26" s="2535"/>
      <c r="X26" s="2534"/>
      <c r="Y26" s="2534" t="s">
        <v>120</v>
      </c>
      <c r="Z26" s="2536" t="s">
        <v>120</v>
      </c>
      <c r="AA26" s="2536"/>
      <c r="AB26" s="2536" t="s">
        <v>120</v>
      </c>
      <c r="AC26" s="2536"/>
    </row>
    <row r="27" spans="1:29" ht="18.75">
      <c r="A27" s="3401"/>
      <c r="B27" s="3385"/>
      <c r="C27" s="2540"/>
      <c r="D27" s="2540" t="s">
        <v>2019</v>
      </c>
      <c r="E27" s="2541"/>
      <c r="F27" s="2540"/>
      <c r="G27" s="2540" t="s">
        <v>120</v>
      </c>
      <c r="H27" s="2542" t="s">
        <v>120</v>
      </c>
      <c r="I27" s="2542"/>
      <c r="J27" s="2542" t="s">
        <v>120</v>
      </c>
      <c r="K27" s="2542"/>
      <c r="S27" s="2520" t="s">
        <v>539</v>
      </c>
      <c r="T27" s="2508"/>
      <c r="U27" s="2508"/>
      <c r="V27" s="2508"/>
      <c r="W27" s="2521"/>
      <c r="X27" s="2508"/>
      <c r="Y27" s="2508"/>
      <c r="Z27" s="2508"/>
      <c r="AA27" s="2508"/>
      <c r="AB27" s="2508"/>
      <c r="AC27" s="2508"/>
    </row>
    <row r="28" spans="1:29" ht="18.75">
      <c r="A28" s="2522"/>
      <c r="B28" s="2523"/>
      <c r="C28" s="2524"/>
      <c r="D28" s="2524"/>
      <c r="E28" s="2525"/>
      <c r="F28" s="2525"/>
      <c r="G28" s="2525"/>
      <c r="H28" s="2525"/>
      <c r="I28" s="2525"/>
      <c r="J28" s="2525"/>
      <c r="K28" s="2526"/>
      <c r="S28" s="3386" t="s">
        <v>2041</v>
      </c>
      <c r="T28" s="3387"/>
      <c r="U28" s="2538" t="s">
        <v>264</v>
      </c>
      <c r="V28" s="2538" t="s">
        <v>2001</v>
      </c>
      <c r="W28" s="2539"/>
      <c r="X28" s="2534"/>
      <c r="Y28" s="2534" t="s">
        <v>120</v>
      </c>
      <c r="Z28" s="2536" t="s">
        <v>120</v>
      </c>
      <c r="AA28" s="2536"/>
      <c r="AB28" s="2536" t="s">
        <v>120</v>
      </c>
      <c r="AC28" s="2536"/>
    </row>
    <row r="29" spans="1:29">
      <c r="A29" s="2528"/>
      <c r="B29" s="2529"/>
      <c r="C29" s="2530"/>
      <c r="D29" s="2530"/>
      <c r="E29" s="2531"/>
      <c r="F29" s="2530"/>
      <c r="G29" s="2530"/>
      <c r="H29" s="2532"/>
      <c r="I29" s="2532"/>
      <c r="J29" s="2532"/>
      <c r="K29" s="2532"/>
    </row>
    <row r="30" spans="1:29">
      <c r="A30" s="2528"/>
      <c r="B30" s="2529"/>
      <c r="C30" s="2530"/>
      <c r="D30" s="2530"/>
      <c r="E30" s="2531"/>
      <c r="F30" s="2530"/>
      <c r="G30" s="2530"/>
      <c r="H30" s="2532"/>
      <c r="I30" s="2532"/>
      <c r="J30" s="2532"/>
      <c r="K30" s="2532"/>
    </row>
    <row r="31" spans="1:29">
      <c r="A31" s="2528"/>
      <c r="B31" s="2529"/>
      <c r="C31" s="2530"/>
      <c r="D31" s="2530"/>
      <c r="E31" s="2531"/>
      <c r="F31" s="2530"/>
      <c r="G31" s="2530"/>
      <c r="H31" s="2532"/>
      <c r="I31" s="2532"/>
      <c r="J31" s="2532"/>
      <c r="K31" s="2532"/>
    </row>
    <row r="32" spans="1:29">
      <c r="A32" s="2528"/>
      <c r="B32" s="2529"/>
      <c r="C32" s="2530"/>
      <c r="D32" s="2530"/>
      <c r="E32" s="2531"/>
      <c r="F32" s="2530"/>
      <c r="G32" s="2530"/>
      <c r="H32" s="2532"/>
      <c r="I32" s="2532"/>
      <c r="J32" s="2532"/>
      <c r="K32" s="2532"/>
    </row>
    <row r="33" spans="1:11">
      <c r="A33" s="2528"/>
      <c r="B33" s="2529"/>
      <c r="C33" s="2530"/>
      <c r="D33" s="2530"/>
      <c r="E33" s="2531"/>
      <c r="F33" s="2530"/>
      <c r="G33" s="2530"/>
      <c r="H33" s="2532"/>
      <c r="I33" s="2532"/>
      <c r="J33" s="2532"/>
      <c r="K33" s="2532"/>
    </row>
    <row r="34" spans="1:11">
      <c r="A34" s="2528"/>
      <c r="B34" s="2529"/>
      <c r="C34" s="2530"/>
      <c r="D34" s="2530"/>
      <c r="E34" s="2531"/>
      <c r="F34" s="2530"/>
      <c r="G34" s="2530"/>
      <c r="H34" s="2532"/>
      <c r="I34" s="2532"/>
      <c r="J34" s="2532"/>
      <c r="K34" s="2532"/>
    </row>
    <row r="35" spans="1:11">
      <c r="A35" s="2528"/>
      <c r="B35" s="2529"/>
      <c r="C35" s="2530"/>
      <c r="D35" s="2530"/>
      <c r="E35" s="2531"/>
      <c r="F35" s="2530"/>
      <c r="G35" s="2530"/>
      <c r="H35" s="2532"/>
      <c r="I35" s="2532"/>
      <c r="J35" s="2532"/>
      <c r="K35" s="2532"/>
    </row>
    <row r="36" spans="1:11">
      <c r="A36" s="2528"/>
      <c r="B36" s="2529"/>
      <c r="C36" s="2530"/>
      <c r="D36" s="2530"/>
      <c r="E36" s="2531"/>
      <c r="F36" s="2530"/>
      <c r="G36" s="2530"/>
      <c r="H36" s="2532"/>
      <c r="I36" s="2532"/>
      <c r="J36" s="2532"/>
      <c r="K36" s="2532"/>
    </row>
    <row r="37" spans="1:11">
      <c r="A37" s="2528"/>
      <c r="B37" s="2529"/>
      <c r="C37" s="2530"/>
      <c r="D37" s="2530"/>
      <c r="E37" s="2531"/>
      <c r="F37" s="2530"/>
      <c r="G37" s="2530"/>
      <c r="H37" s="2532"/>
      <c r="I37" s="2532"/>
      <c r="J37" s="2532"/>
      <c r="K37" s="2532"/>
    </row>
    <row r="38" spans="1:11">
      <c r="A38" s="2528"/>
      <c r="B38" s="2529"/>
      <c r="C38" s="2530"/>
      <c r="D38" s="2530"/>
      <c r="E38" s="2531"/>
      <c r="F38" s="2530"/>
      <c r="G38" s="2530"/>
      <c r="H38" s="2532"/>
      <c r="I38" s="2532"/>
      <c r="J38" s="2532"/>
      <c r="K38" s="2532"/>
    </row>
    <row r="39" spans="1:11">
      <c r="A39" s="2528"/>
      <c r="B39" s="2529"/>
      <c r="C39" s="2530"/>
      <c r="D39" s="2530"/>
      <c r="E39" s="2531"/>
      <c r="F39" s="2530"/>
      <c r="G39" s="2530"/>
      <c r="H39" s="2532"/>
      <c r="I39" s="2532"/>
      <c r="J39" s="2532"/>
      <c r="K39" s="2532"/>
    </row>
    <row r="40" spans="1:11">
      <c r="A40" s="2528"/>
      <c r="B40" s="2529"/>
      <c r="C40" s="2530"/>
      <c r="D40" s="2530"/>
      <c r="E40" s="2531"/>
      <c r="F40" s="2530"/>
      <c r="G40" s="2530"/>
      <c r="H40" s="2532"/>
      <c r="I40" s="2532"/>
      <c r="J40" s="2532"/>
      <c r="K40" s="2532"/>
    </row>
    <row r="41" spans="1:11">
      <c r="A41" s="2528"/>
      <c r="B41" s="2529"/>
      <c r="C41" s="2530"/>
      <c r="D41" s="2530"/>
      <c r="E41" s="2531"/>
      <c r="F41" s="2530"/>
      <c r="G41" s="2530"/>
      <c r="H41" s="2532"/>
      <c r="I41" s="2532"/>
      <c r="J41" s="2532"/>
      <c r="K41" s="2532"/>
    </row>
    <row r="42" spans="1:11">
      <c r="A42" s="2528"/>
      <c r="B42" s="2529"/>
      <c r="C42" s="2530"/>
      <c r="D42" s="2530"/>
      <c r="E42" s="2531"/>
      <c r="F42" s="2530"/>
      <c r="G42" s="2530"/>
      <c r="H42" s="2532"/>
      <c r="I42" s="2532"/>
      <c r="J42" s="2532"/>
      <c r="K42" s="2532"/>
    </row>
    <row r="43" spans="1:11">
      <c r="A43" s="2528"/>
      <c r="B43" s="2529"/>
      <c r="C43" s="2530"/>
      <c r="D43" s="2530"/>
      <c r="E43" s="2531"/>
      <c r="F43" s="2530"/>
      <c r="G43" s="2530"/>
      <c r="H43" s="2532"/>
      <c r="I43" s="2532"/>
      <c r="J43" s="2532"/>
      <c r="K43" s="2532"/>
    </row>
    <row r="44" spans="1:11">
      <c r="A44" s="2528"/>
      <c r="B44" s="2529"/>
      <c r="C44" s="2530"/>
      <c r="D44" s="2530"/>
      <c r="E44" s="2531"/>
      <c r="F44" s="2530"/>
      <c r="G44" s="2530"/>
      <c r="H44" s="2532"/>
      <c r="I44" s="2532"/>
      <c r="J44" s="2532"/>
      <c r="K44" s="2532"/>
    </row>
    <row r="120" spans="20:20">
      <c r="T120" s="2507">
        <v>66</v>
      </c>
    </row>
  </sheetData>
  <mergeCells count="22">
    <mergeCell ref="A1:B1"/>
    <mergeCell ref="L1:R1"/>
    <mergeCell ref="S1:T1"/>
    <mergeCell ref="A3:A10"/>
    <mergeCell ref="B3:B7"/>
    <mergeCell ref="S3:S17"/>
    <mergeCell ref="T3:T9"/>
    <mergeCell ref="B8:B10"/>
    <mergeCell ref="T10:T11"/>
    <mergeCell ref="A11:A16"/>
    <mergeCell ref="A17:A27"/>
    <mergeCell ref="B17:B19"/>
    <mergeCell ref="S18:S20"/>
    <mergeCell ref="T18:T20"/>
    <mergeCell ref="S21:S26"/>
    <mergeCell ref="T21:T25"/>
    <mergeCell ref="B22:B24"/>
    <mergeCell ref="B25:B27"/>
    <mergeCell ref="S28:T28"/>
    <mergeCell ref="B11:B13"/>
    <mergeCell ref="T12:T16"/>
    <mergeCell ref="B14:B16"/>
  </mergeCells>
  <hyperlinks>
    <hyperlink ref="V12" r:id="rId1"/>
    <hyperlink ref="V13" r:id="rId2"/>
    <hyperlink ref="V14" r:id="rId3"/>
    <hyperlink ref="V15" r:id="rId4"/>
    <hyperlink ref="V16" r:id="rId5"/>
  </hyperlinks>
  <pageMargins left="0.7" right="0.7" top="0.75" bottom="0.75" header="0.3" footer="0.3"/>
  <pageSetup orientation="portrait"/>
  <drawing r:id="rId6"/>
  <legacyDrawing r:id="rId7"/>
</worksheet>
</file>

<file path=xl/worksheets/sheet37.xml><?xml version="1.0" encoding="utf-8"?>
<worksheet xmlns="http://schemas.openxmlformats.org/spreadsheetml/2006/main" xmlns:r="http://schemas.openxmlformats.org/officeDocument/2006/relationships">
  <dimension ref="A1:AR120"/>
  <sheetViews>
    <sheetView showGridLines="0" topLeftCell="D1" workbookViewId="0">
      <pane ySplit="1" topLeftCell="A2" activePane="bottomLeft" state="frozen"/>
      <selection pane="bottomLeft" activeCell="AB29" sqref="AB29"/>
    </sheetView>
  </sheetViews>
  <sheetFormatPr defaultColWidth="8.85546875" defaultRowHeight="14.25"/>
  <cols>
    <col min="1" max="1" width="8.85546875" style="2507"/>
    <col min="2" max="2" width="10.7109375" style="2507" customWidth="1"/>
    <col min="3" max="3" width="6.42578125" style="2507" customWidth="1"/>
    <col min="4" max="4" width="20.7109375" style="2507" customWidth="1"/>
    <col min="5" max="5" width="4.140625" style="2507" customWidth="1"/>
    <col min="6" max="6" width="2.7109375" style="2507" customWidth="1"/>
    <col min="7" max="7" width="2.85546875" style="2507" customWidth="1"/>
    <col min="8" max="8" width="4.7109375" style="2507" customWidth="1"/>
    <col min="9" max="9" width="3.140625" style="2507" customWidth="1"/>
    <col min="10" max="10" width="5.42578125" style="2507" customWidth="1"/>
    <col min="11" max="11" width="2.85546875" style="2507" customWidth="1"/>
    <col min="12" max="19" width="8.85546875" style="2507"/>
    <col min="20" max="20" width="11" style="2507" customWidth="1"/>
    <col min="21" max="21" width="6.85546875" style="2507" customWidth="1"/>
    <col min="22" max="22" width="12" style="2507" customWidth="1"/>
    <col min="23" max="23" width="6.85546875" style="2507" customWidth="1"/>
    <col min="24" max="24" width="3.140625" style="2507" customWidth="1"/>
    <col min="25" max="26" width="3.42578125" style="2507" customWidth="1"/>
    <col min="27" max="27" width="3.7109375" style="2507" customWidth="1"/>
    <col min="28" max="28" width="6.42578125" style="2507" customWidth="1"/>
    <col min="29" max="16384" width="8.85546875" style="2507"/>
  </cols>
  <sheetData>
    <row r="1" spans="1:44" ht="23.25" customHeight="1">
      <c r="A1" s="3388" t="s">
        <v>59</v>
      </c>
      <c r="B1" s="3389"/>
      <c r="C1" s="2505"/>
      <c r="D1" s="2505"/>
      <c r="E1" s="2505"/>
      <c r="F1" s="2505"/>
      <c r="G1" s="2506"/>
      <c r="H1" s="2506"/>
      <c r="I1" s="2506"/>
      <c r="J1" s="2506"/>
      <c r="K1" s="2505"/>
      <c r="L1" s="3390" t="s">
        <v>202</v>
      </c>
      <c r="M1" s="3390"/>
      <c r="N1" s="3390"/>
      <c r="O1" s="3390"/>
      <c r="P1" s="3390"/>
      <c r="Q1" s="3390"/>
      <c r="R1" s="3390"/>
      <c r="S1" s="3391" t="s">
        <v>58</v>
      </c>
      <c r="T1" s="3392"/>
      <c r="U1" s="2508"/>
      <c r="V1" s="2508"/>
      <c r="W1" s="2508"/>
      <c r="X1" s="2509"/>
      <c r="Y1" s="2509"/>
      <c r="Z1" s="2509"/>
      <c r="AA1" s="2509"/>
      <c r="AB1" s="2508"/>
      <c r="AC1" s="2508"/>
    </row>
    <row r="2" spans="1:44">
      <c r="A2" s="2510" t="s">
        <v>2003</v>
      </c>
      <c r="B2" s="2511"/>
      <c r="C2" s="2512"/>
      <c r="D2" s="2512"/>
      <c r="E2" s="2513">
        <v>10</v>
      </c>
      <c r="F2" s="2514"/>
      <c r="G2" s="2514"/>
      <c r="H2" s="2515"/>
      <c r="I2" s="2515"/>
      <c r="J2" s="2515"/>
      <c r="K2" s="2515"/>
      <c r="S2" s="2516"/>
      <c r="T2" s="2516"/>
      <c r="U2" s="2517"/>
      <c r="V2" s="2517"/>
      <c r="W2" s="2518"/>
      <c r="X2" s="2514"/>
      <c r="Y2" s="2515"/>
      <c r="Z2" s="2515"/>
      <c r="AA2" s="2515"/>
      <c r="AB2" s="2515"/>
      <c r="AC2" s="2515"/>
    </row>
    <row r="3" spans="1:44" ht="14.25" customHeight="1">
      <c r="A3" s="3393" t="s">
        <v>113</v>
      </c>
      <c r="B3" s="3385" t="s">
        <v>2009</v>
      </c>
      <c r="C3" s="2540" t="s">
        <v>282</v>
      </c>
      <c r="D3" s="2540" t="str">
        <f>INDEX(Modules[Module], MATCH($C3, Modules[Code], 0))</f>
        <v>Domestic passenger transport</v>
      </c>
      <c r="E3" s="2541"/>
      <c r="F3" s="2540"/>
      <c r="G3" s="2540"/>
      <c r="H3" s="2542"/>
      <c r="I3" s="2542"/>
      <c r="J3" s="2542"/>
      <c r="K3" s="2542"/>
      <c r="S3" s="3396" t="s">
        <v>5</v>
      </c>
      <c r="T3" s="3385" t="s">
        <v>2028</v>
      </c>
      <c r="U3" s="2534" t="s">
        <v>248</v>
      </c>
      <c r="V3" s="2534" t="str">
        <f>INDEX(Modules[Module], MATCH($U3, Modules[Code], 0))</f>
        <v>Gas Power Stations</v>
      </c>
      <c r="W3" s="2535"/>
      <c r="X3" s="2534"/>
      <c r="Y3" s="2534" t="s">
        <v>120</v>
      </c>
      <c r="Z3" s="2536" t="s">
        <v>120</v>
      </c>
      <c r="AA3" s="2536"/>
      <c r="AB3" s="2536" t="s">
        <v>120</v>
      </c>
      <c r="AC3" s="2536"/>
    </row>
    <row r="4" spans="1:44">
      <c r="A4" s="3394"/>
      <c r="B4" s="3385"/>
      <c r="C4" s="2540"/>
      <c r="D4" s="2540" t="s">
        <v>1372</v>
      </c>
      <c r="E4" s="2541"/>
      <c r="F4" s="2540"/>
      <c r="G4" s="2540" t="s">
        <v>120</v>
      </c>
      <c r="H4" s="2542" t="s">
        <v>120</v>
      </c>
      <c r="I4" s="2542"/>
      <c r="J4" s="2542" t="s">
        <v>120</v>
      </c>
      <c r="K4" s="2542"/>
      <c r="O4" s="885"/>
      <c r="S4" s="3396"/>
      <c r="T4" s="3385"/>
      <c r="U4" s="2534" t="s">
        <v>278</v>
      </c>
      <c r="V4" s="2534" t="s">
        <v>2021</v>
      </c>
      <c r="W4" s="2535"/>
      <c r="X4" s="2534"/>
      <c r="Y4" s="2534"/>
      <c r="Z4" s="2534"/>
      <c r="AA4" s="2534"/>
      <c r="AB4" s="2534"/>
      <c r="AC4" s="2547"/>
      <c r="AQ4" s="2507">
        <v>2</v>
      </c>
      <c r="AR4" s="2549" t="s">
        <v>2043</v>
      </c>
    </row>
    <row r="5" spans="1:44">
      <c r="A5" s="3394"/>
      <c r="B5" s="3385"/>
      <c r="C5" s="2540"/>
      <c r="D5" s="2540" t="s">
        <v>2047</v>
      </c>
      <c r="E5" s="2541"/>
      <c r="F5" s="2540"/>
      <c r="G5" s="2540" t="s">
        <v>120</v>
      </c>
      <c r="H5" s="2542" t="s">
        <v>120</v>
      </c>
      <c r="I5" s="2542"/>
      <c r="J5" s="2542" t="s">
        <v>120</v>
      </c>
      <c r="K5" s="2542"/>
      <c r="S5" s="3396"/>
      <c r="T5" s="3385"/>
      <c r="U5" s="2534"/>
      <c r="V5" s="2534" t="s">
        <v>2022</v>
      </c>
      <c r="W5" s="2535"/>
      <c r="X5" s="2534"/>
      <c r="Y5" s="2534" t="s">
        <v>120</v>
      </c>
      <c r="Z5" s="2536" t="s">
        <v>120</v>
      </c>
      <c r="AA5" s="2536"/>
      <c r="AB5" s="2536" t="s">
        <v>120</v>
      </c>
      <c r="AC5" s="2536"/>
      <c r="AR5" s="2549" t="s">
        <v>1639</v>
      </c>
    </row>
    <row r="6" spans="1:44">
      <c r="A6" s="3394"/>
      <c r="B6" s="3385"/>
      <c r="C6" s="2540"/>
      <c r="D6" s="2540" t="s">
        <v>2006</v>
      </c>
      <c r="E6" s="2541"/>
      <c r="F6" s="2540"/>
      <c r="G6" s="2540" t="s">
        <v>120</v>
      </c>
      <c r="H6" s="2542" t="s">
        <v>120</v>
      </c>
      <c r="I6" s="2542"/>
      <c r="J6" s="2542" t="s">
        <v>120</v>
      </c>
      <c r="K6" s="2542"/>
      <c r="S6" s="3396"/>
      <c r="T6" s="3385"/>
      <c r="U6" s="2534"/>
      <c r="V6" s="2534" t="s">
        <v>2020</v>
      </c>
      <c r="W6" s="2535"/>
      <c r="X6" s="2534"/>
      <c r="Y6" s="2534" t="s">
        <v>120</v>
      </c>
      <c r="Z6" s="2536" t="s">
        <v>120</v>
      </c>
      <c r="AA6" s="2536"/>
      <c r="AB6" s="2536" t="s">
        <v>120</v>
      </c>
      <c r="AC6" s="2536"/>
      <c r="AR6" s="2549" t="s">
        <v>281</v>
      </c>
    </row>
    <row r="7" spans="1:44">
      <c r="A7" s="3394"/>
      <c r="B7" s="3385"/>
      <c r="C7" s="2540"/>
      <c r="D7" s="2540" t="s">
        <v>2007</v>
      </c>
      <c r="E7" s="2541"/>
      <c r="F7" s="2540"/>
      <c r="G7" s="2540" t="s">
        <v>120</v>
      </c>
      <c r="H7" s="2542" t="s">
        <v>120</v>
      </c>
      <c r="I7" s="2542"/>
      <c r="J7" s="2542" t="s">
        <v>120</v>
      </c>
      <c r="K7" s="2542"/>
      <c r="S7" s="3396"/>
      <c r="T7" s="3385"/>
      <c r="U7" s="2534" t="s">
        <v>696</v>
      </c>
      <c r="V7" s="2534" t="s">
        <v>2023</v>
      </c>
      <c r="W7" s="2535"/>
      <c r="X7" s="2534"/>
      <c r="Y7" s="2534"/>
      <c r="Z7" s="2534"/>
      <c r="AA7" s="2534"/>
      <c r="AB7" s="2534"/>
      <c r="AC7" s="2547"/>
      <c r="AR7" s="2549" t="s">
        <v>582</v>
      </c>
    </row>
    <row r="8" spans="1:44">
      <c r="A8" s="3394"/>
      <c r="B8" s="3385" t="s">
        <v>2010</v>
      </c>
      <c r="C8" s="2540" t="s">
        <v>294</v>
      </c>
      <c r="D8" s="2540" t="str">
        <f>INDEX(Modules[Module], MATCH($C8, Modules[Code], 0))</f>
        <v>Domestic freight</v>
      </c>
      <c r="E8" s="2541"/>
      <c r="F8" s="2540"/>
      <c r="G8" s="2540"/>
      <c r="H8" s="2542"/>
      <c r="I8" s="2542"/>
      <c r="J8" s="2542"/>
      <c r="K8" s="2542"/>
      <c r="S8" s="3396"/>
      <c r="T8" s="3385"/>
      <c r="U8" s="2534"/>
      <c r="V8" s="2534" t="s">
        <v>2024</v>
      </c>
      <c r="W8" s="2535"/>
      <c r="X8" s="2534"/>
      <c r="Y8" s="2534" t="s">
        <v>120</v>
      </c>
      <c r="Z8" s="2536" t="s">
        <v>120</v>
      </c>
      <c r="AA8" s="2536"/>
      <c r="AB8" s="2536" t="s">
        <v>120</v>
      </c>
      <c r="AC8" s="2536"/>
      <c r="AR8" s="2549" t="s">
        <v>2044</v>
      </c>
    </row>
    <row r="9" spans="1:44">
      <c r="A9" s="3394"/>
      <c r="B9" s="3385"/>
      <c r="C9" s="2540"/>
      <c r="D9" s="2540" t="s">
        <v>1372</v>
      </c>
      <c r="E9" s="2541"/>
      <c r="F9" s="2540"/>
      <c r="G9" s="2540" t="s">
        <v>120</v>
      </c>
      <c r="H9" s="2542" t="s">
        <v>120</v>
      </c>
      <c r="I9" s="2542"/>
      <c r="J9" s="2542" t="s">
        <v>120</v>
      </c>
      <c r="K9" s="2542"/>
      <c r="S9" s="3396"/>
      <c r="T9" s="3385"/>
      <c r="U9" s="2537"/>
      <c r="V9" s="2538" t="s">
        <v>2025</v>
      </c>
      <c r="W9" s="2539"/>
      <c r="X9" s="2534"/>
      <c r="Y9" s="2534" t="s">
        <v>120</v>
      </c>
      <c r="Z9" s="2536" t="s">
        <v>120</v>
      </c>
      <c r="AA9" s="2536"/>
      <c r="AB9" s="2536" t="s">
        <v>120</v>
      </c>
      <c r="AC9" s="2536"/>
      <c r="AR9" s="2549" t="s">
        <v>2045</v>
      </c>
    </row>
    <row r="10" spans="1:44">
      <c r="A10" s="3395"/>
      <c r="B10" s="3385"/>
      <c r="C10" s="2543"/>
      <c r="D10" s="2544" t="s">
        <v>2008</v>
      </c>
      <c r="E10" s="2545"/>
      <c r="F10" s="2540"/>
      <c r="G10" s="2540" t="s">
        <v>120</v>
      </c>
      <c r="H10" s="2542" t="s">
        <v>120</v>
      </c>
      <c r="I10" s="2542"/>
      <c r="J10" s="2542" t="s">
        <v>120</v>
      </c>
      <c r="K10" s="2542"/>
      <c r="S10" s="3396"/>
      <c r="T10" s="3385" t="s">
        <v>2029</v>
      </c>
      <c r="U10" s="2538" t="s">
        <v>61</v>
      </c>
      <c r="V10" s="2538" t="s">
        <v>2026</v>
      </c>
      <c r="W10" s="2548"/>
      <c r="X10" s="2534"/>
      <c r="Y10" s="2534" t="s">
        <v>120</v>
      </c>
      <c r="Z10" s="2536" t="s">
        <v>120</v>
      </c>
      <c r="AA10" s="2536"/>
      <c r="AB10" s="2536" t="s">
        <v>120</v>
      </c>
      <c r="AC10" s="2536"/>
      <c r="AR10" s="2549" t="s">
        <v>401</v>
      </c>
    </row>
    <row r="11" spans="1:44" ht="14.25" customHeight="1">
      <c r="A11" s="3397" t="s">
        <v>272</v>
      </c>
      <c r="B11" s="3385" t="s">
        <v>1051</v>
      </c>
      <c r="C11" s="2540" t="s">
        <v>298</v>
      </c>
      <c r="D11" s="2540" t="str">
        <f>INDEX(Modules[Module], MATCH($C11, Modules[Code], 0))</f>
        <v>Domestic Cooking</v>
      </c>
      <c r="E11" s="2541"/>
      <c r="F11" s="2540"/>
      <c r="G11" s="2540"/>
      <c r="H11" s="2540"/>
      <c r="I11" s="2540"/>
      <c r="J11" s="2540"/>
      <c r="K11" s="2540"/>
      <c r="S11" s="3396"/>
      <c r="T11" s="3385"/>
      <c r="U11" s="2534" t="s">
        <v>62</v>
      </c>
      <c r="V11" s="2534" t="s">
        <v>2027</v>
      </c>
      <c r="W11" s="2535"/>
      <c r="X11" s="2534"/>
      <c r="Y11" s="2534" t="s">
        <v>120</v>
      </c>
      <c r="Z11" s="2536" t="s">
        <v>120</v>
      </c>
      <c r="AA11" s="2536"/>
      <c r="AB11" s="2536" t="s">
        <v>120</v>
      </c>
      <c r="AC11" s="2536"/>
    </row>
    <row r="12" spans="1:44">
      <c r="A12" s="3398"/>
      <c r="B12" s="3385"/>
      <c r="C12" s="2546"/>
      <c r="D12" s="2540"/>
      <c r="E12" s="2541"/>
      <c r="F12" s="2540"/>
      <c r="G12" s="2540" t="s">
        <v>120</v>
      </c>
      <c r="H12" s="2542" t="s">
        <v>120</v>
      </c>
      <c r="I12" s="2542"/>
      <c r="J12" s="2542" t="s">
        <v>120</v>
      </c>
      <c r="K12" s="2542"/>
      <c r="S12" s="3396"/>
      <c r="T12" s="3385" t="s">
        <v>2042</v>
      </c>
      <c r="U12" s="2534" t="s">
        <v>311</v>
      </c>
      <c r="V12" s="2557" t="s">
        <v>55</v>
      </c>
      <c r="W12" s="2535"/>
      <c r="X12" s="2534"/>
      <c r="Y12" s="2534" t="s">
        <v>120</v>
      </c>
      <c r="Z12" s="2536" t="s">
        <v>120</v>
      </c>
      <c r="AA12" s="2536"/>
      <c r="AB12" s="2536" t="s">
        <v>120</v>
      </c>
      <c r="AC12" s="2536"/>
    </row>
    <row r="13" spans="1:44">
      <c r="A13" s="3398"/>
      <c r="B13" s="3385"/>
      <c r="C13" s="2546"/>
      <c r="D13" s="2540" t="s">
        <v>2011</v>
      </c>
      <c r="E13" s="2541"/>
      <c r="F13" s="2540"/>
      <c r="G13" s="2540" t="s">
        <v>120</v>
      </c>
      <c r="H13" s="2542" t="s">
        <v>120</v>
      </c>
      <c r="I13" s="2542"/>
      <c r="J13" s="2542" t="s">
        <v>120</v>
      </c>
      <c r="K13" s="2542"/>
      <c r="S13" s="3396"/>
      <c r="T13" s="3385"/>
      <c r="U13" s="2534" t="s">
        <v>407</v>
      </c>
      <c r="V13" s="2557" t="s">
        <v>1924</v>
      </c>
      <c r="W13" s="2535"/>
      <c r="X13" s="2534"/>
      <c r="Y13" s="2534" t="s">
        <v>120</v>
      </c>
      <c r="Z13" s="2536" t="s">
        <v>120</v>
      </c>
      <c r="AA13" s="2536"/>
      <c r="AB13" s="2536" t="s">
        <v>120</v>
      </c>
      <c r="AC13" s="2536"/>
    </row>
    <row r="14" spans="1:44" ht="13.5" customHeight="1">
      <c r="A14" s="3398"/>
      <c r="B14" s="3385" t="s">
        <v>535</v>
      </c>
      <c r="C14" s="2540" t="s">
        <v>300</v>
      </c>
      <c r="D14" s="2540" t="str">
        <f>INDEX(Modules[Module], MATCH($C14, Modules[Code], 0))</f>
        <v>Domestic Lighting &amp; Appliances</v>
      </c>
      <c r="E14" s="2541"/>
      <c r="F14" s="2546"/>
      <c r="G14" s="2546"/>
      <c r="H14" s="2546"/>
      <c r="I14" s="2546"/>
      <c r="J14" s="2546"/>
      <c r="K14" s="2546"/>
      <c r="S14" s="3396"/>
      <c r="T14" s="3385"/>
      <c r="U14" s="2534" t="s">
        <v>1071</v>
      </c>
      <c r="V14" s="2557" t="s">
        <v>855</v>
      </c>
      <c r="W14" s="2535"/>
      <c r="X14" s="2534"/>
      <c r="Y14" s="2534" t="s">
        <v>120</v>
      </c>
      <c r="Z14" s="2536" t="s">
        <v>120</v>
      </c>
      <c r="AA14" s="2536"/>
      <c r="AB14" s="2536" t="s">
        <v>120</v>
      </c>
      <c r="AC14" s="2536"/>
    </row>
    <row r="15" spans="1:44">
      <c r="A15" s="3398"/>
      <c r="B15" s="3385"/>
      <c r="C15" s="2546"/>
      <c r="D15" s="2540" t="s">
        <v>2012</v>
      </c>
      <c r="E15" s="2541"/>
      <c r="F15" s="2540"/>
      <c r="G15" s="2540" t="s">
        <v>120</v>
      </c>
      <c r="H15" s="2542" t="s">
        <v>120</v>
      </c>
      <c r="I15" s="2542"/>
      <c r="J15" s="2542" t="s">
        <v>120</v>
      </c>
      <c r="K15" s="2542"/>
      <c r="S15" s="3396"/>
      <c r="T15" s="3385"/>
      <c r="U15" s="2534" t="s">
        <v>1285</v>
      </c>
      <c r="V15" s="2557" t="s">
        <v>856</v>
      </c>
      <c r="W15" s="2535"/>
      <c r="X15" s="2534"/>
      <c r="Y15" s="2534" t="s">
        <v>120</v>
      </c>
      <c r="Z15" s="2536" t="s">
        <v>120</v>
      </c>
      <c r="AA15" s="2536"/>
      <c r="AB15" s="2536" t="s">
        <v>120</v>
      </c>
      <c r="AC15" s="2536"/>
    </row>
    <row r="16" spans="1:44" ht="14.25" customHeight="1">
      <c r="A16" s="3398"/>
      <c r="B16" s="3385"/>
      <c r="C16" s="2540"/>
      <c r="D16" s="2540" t="s">
        <v>2013</v>
      </c>
      <c r="E16" s="2541"/>
      <c r="F16" s="2540"/>
      <c r="G16" s="2540" t="s">
        <v>120</v>
      </c>
      <c r="H16" s="2542" t="s">
        <v>120</v>
      </c>
      <c r="I16" s="2542"/>
      <c r="J16" s="2542" t="s">
        <v>120</v>
      </c>
      <c r="K16" s="2542"/>
      <c r="S16" s="3396"/>
      <c r="T16" s="3385"/>
      <c r="U16" s="2534" t="s">
        <v>1073</v>
      </c>
      <c r="V16" s="2557" t="s">
        <v>854</v>
      </c>
      <c r="W16" s="2535"/>
      <c r="X16" s="2534"/>
      <c r="Y16" s="2534" t="s">
        <v>120</v>
      </c>
      <c r="Z16" s="2536" t="s">
        <v>120</v>
      </c>
      <c r="AA16" s="2536"/>
      <c r="AB16" s="2536" t="s">
        <v>120</v>
      </c>
      <c r="AC16" s="2536"/>
    </row>
    <row r="17" spans="1:29" ht="12.75" customHeight="1">
      <c r="A17" s="3399" t="s">
        <v>2005</v>
      </c>
      <c r="B17" s="3402" t="s">
        <v>106</v>
      </c>
      <c r="C17" s="2540" t="s">
        <v>194</v>
      </c>
      <c r="D17" s="2540" t="str">
        <f>INDEX(Workstreams[Workstream], MATCH($C17, Workstreams[Code], 0))</f>
        <v>Agriculture</v>
      </c>
      <c r="E17" s="2541"/>
      <c r="F17" s="2540"/>
      <c r="G17" s="2540"/>
      <c r="H17" s="2542"/>
      <c r="I17" s="2542"/>
      <c r="J17" s="2542"/>
      <c r="K17" s="2542"/>
      <c r="S17" s="3396"/>
      <c r="T17" s="2527" t="s">
        <v>2004</v>
      </c>
      <c r="U17" s="2534" t="s">
        <v>263</v>
      </c>
      <c r="V17" s="2534" t="s">
        <v>4</v>
      </c>
      <c r="W17" s="2535"/>
      <c r="X17" s="2534"/>
      <c r="Y17" s="2534" t="s">
        <v>120</v>
      </c>
      <c r="Z17" s="2536" t="s">
        <v>120</v>
      </c>
      <c r="AA17" s="2536"/>
      <c r="AB17" s="2536" t="s">
        <v>120</v>
      </c>
      <c r="AC17" s="2536"/>
    </row>
    <row r="18" spans="1:29" ht="15" customHeight="1">
      <c r="A18" s="3400"/>
      <c r="B18" s="3402"/>
      <c r="C18" s="2540"/>
      <c r="D18" s="2540" t="s">
        <v>2015</v>
      </c>
      <c r="E18" s="2541"/>
      <c r="F18" s="2540"/>
      <c r="G18" s="2540" t="s">
        <v>120</v>
      </c>
      <c r="H18" s="2542" t="s">
        <v>120</v>
      </c>
      <c r="I18" s="2542"/>
      <c r="J18" s="2542" t="s">
        <v>120</v>
      </c>
      <c r="K18" s="2542"/>
      <c r="M18" s="2550"/>
      <c r="N18" s="2550"/>
      <c r="O18" s="2550"/>
      <c r="P18" s="2550"/>
      <c r="Q18" s="2550"/>
      <c r="S18" s="3403" t="s">
        <v>2033</v>
      </c>
      <c r="T18" s="3385" t="s">
        <v>2034</v>
      </c>
      <c r="U18" s="2534" t="s">
        <v>310</v>
      </c>
      <c r="V18" s="2534" t="s">
        <v>2032</v>
      </c>
      <c r="W18" s="2535"/>
      <c r="X18" s="2534"/>
      <c r="Y18" s="2534" t="s">
        <v>120</v>
      </c>
      <c r="Z18" s="2536" t="s">
        <v>120</v>
      </c>
      <c r="AA18" s="2536"/>
      <c r="AB18" s="2536" t="s">
        <v>120</v>
      </c>
      <c r="AC18" s="2536"/>
    </row>
    <row r="19" spans="1:29" ht="14.25" customHeight="1">
      <c r="A19" s="3400"/>
      <c r="B19" s="3402"/>
      <c r="C19" s="2540"/>
      <c r="D19" s="2540" t="s">
        <v>2014</v>
      </c>
      <c r="E19" s="2541"/>
      <c r="F19" s="2540"/>
      <c r="G19" s="2540" t="s">
        <v>120</v>
      </c>
      <c r="H19" s="2542" t="s">
        <v>120</v>
      </c>
      <c r="I19" s="2542"/>
      <c r="J19" s="2542" t="s">
        <v>120</v>
      </c>
      <c r="K19" s="2542"/>
      <c r="M19" s="2550"/>
      <c r="N19" s="2550"/>
      <c r="O19" s="2550"/>
      <c r="P19" s="2550"/>
      <c r="Q19" s="2550"/>
      <c r="S19" s="3404"/>
      <c r="T19" s="3385"/>
      <c r="U19" s="2534" t="s">
        <v>314</v>
      </c>
      <c r="V19" s="2534" t="s">
        <v>2030</v>
      </c>
      <c r="W19" s="2535"/>
      <c r="X19" s="2534"/>
      <c r="Y19" s="2534" t="s">
        <v>120</v>
      </c>
      <c r="Z19" s="2536" t="s">
        <v>120</v>
      </c>
      <c r="AA19" s="2536"/>
      <c r="AB19" s="2536" t="s">
        <v>120</v>
      </c>
      <c r="AC19" s="2536"/>
    </row>
    <row r="20" spans="1:29" ht="14.25" customHeight="1">
      <c r="A20" s="3400"/>
      <c r="B20" s="2527" t="s">
        <v>1078</v>
      </c>
      <c r="C20" s="2540" t="s">
        <v>330</v>
      </c>
      <c r="D20" s="2540" t="s">
        <v>2018</v>
      </c>
      <c r="E20" s="2541"/>
      <c r="F20" s="2540"/>
      <c r="G20" s="2540" t="s">
        <v>120</v>
      </c>
      <c r="H20" s="2542" t="s">
        <v>120</v>
      </c>
      <c r="I20" s="2542"/>
      <c r="J20" s="2542" t="s">
        <v>120</v>
      </c>
      <c r="K20" s="2542"/>
      <c r="M20" s="2550"/>
      <c r="N20" s="2550"/>
      <c r="O20" s="2550"/>
      <c r="P20" s="2550"/>
      <c r="Q20" s="2550"/>
      <c r="S20" s="3405"/>
      <c r="T20" s="3385"/>
      <c r="U20" s="2534" t="s">
        <v>818</v>
      </c>
      <c r="V20" s="2534" t="s">
        <v>2031</v>
      </c>
      <c r="W20" s="2535"/>
      <c r="X20" s="2534"/>
      <c r="Y20" s="2534" t="s">
        <v>120</v>
      </c>
      <c r="Z20" s="2536" t="s">
        <v>120</v>
      </c>
      <c r="AA20" s="2536"/>
      <c r="AB20" s="2536" t="s">
        <v>120</v>
      </c>
      <c r="AC20" s="2536"/>
    </row>
    <row r="21" spans="1:29" ht="14.25" customHeight="1">
      <c r="A21" s="3400"/>
      <c r="B21" s="2527" t="s">
        <v>33</v>
      </c>
      <c r="C21" s="2540" t="s">
        <v>197</v>
      </c>
      <c r="D21" s="2540" t="s">
        <v>2017</v>
      </c>
      <c r="E21" s="2541"/>
      <c r="F21" s="2540"/>
      <c r="G21" s="2540" t="s">
        <v>120</v>
      </c>
      <c r="H21" s="2542" t="s">
        <v>120</v>
      </c>
      <c r="I21" s="2542"/>
      <c r="J21" s="2542" t="s">
        <v>120</v>
      </c>
      <c r="K21" s="2542"/>
      <c r="M21" s="2550"/>
      <c r="N21" s="2550"/>
      <c r="O21" s="2550"/>
      <c r="P21" s="2550"/>
      <c r="Q21" s="2550"/>
      <c r="S21" s="3406" t="s">
        <v>2037</v>
      </c>
      <c r="T21" s="3409" t="s">
        <v>2040</v>
      </c>
      <c r="U21" s="2534" t="s">
        <v>304</v>
      </c>
      <c r="V21" s="2534" t="s">
        <v>493</v>
      </c>
      <c r="W21" s="2534"/>
      <c r="X21" s="2534"/>
      <c r="Y21" s="2534"/>
      <c r="Z21" s="2534"/>
      <c r="AA21" s="2534"/>
      <c r="AB21" s="2534"/>
      <c r="AC21" s="2547"/>
    </row>
    <row r="22" spans="1:29">
      <c r="A22" s="3400"/>
      <c r="B22" s="3385" t="s">
        <v>537</v>
      </c>
      <c r="C22" s="2540" t="s">
        <v>301</v>
      </c>
      <c r="D22" s="2540" t="str">
        <f>INDEX(Modules[Module], MATCH($C22, Modules[Code], 0))</f>
        <v>Commercial Lighting &amp; Appliances</v>
      </c>
      <c r="E22" s="2541"/>
      <c r="F22" s="2540"/>
      <c r="G22" s="2540"/>
      <c r="H22" s="2542"/>
      <c r="I22" s="2542"/>
      <c r="J22" s="2542"/>
      <c r="K22" s="2542"/>
      <c r="M22" s="2550"/>
      <c r="N22" s="2550"/>
      <c r="O22" s="2550"/>
      <c r="P22" s="2550"/>
      <c r="Q22" s="2550"/>
      <c r="S22" s="3407"/>
      <c r="T22" s="3410"/>
      <c r="U22" s="2534"/>
      <c r="V22" s="2534" t="s">
        <v>2035</v>
      </c>
      <c r="W22" s="2534"/>
      <c r="X22" s="2534"/>
      <c r="Y22" s="2534" t="s">
        <v>120</v>
      </c>
      <c r="Z22" s="2536" t="s">
        <v>120</v>
      </c>
      <c r="AA22" s="2536"/>
      <c r="AB22" s="2536" t="s">
        <v>120</v>
      </c>
      <c r="AC22" s="2536"/>
    </row>
    <row r="23" spans="1:29" ht="14.25" customHeight="1">
      <c r="A23" s="3400"/>
      <c r="B23" s="3385"/>
      <c r="C23" s="2540"/>
      <c r="D23" s="2540" t="s">
        <v>2016</v>
      </c>
      <c r="E23" s="2541"/>
      <c r="F23" s="2540"/>
      <c r="G23" s="2540" t="s">
        <v>120</v>
      </c>
      <c r="H23" s="2542" t="s">
        <v>120</v>
      </c>
      <c r="I23" s="2542"/>
      <c r="J23" s="2542" t="s">
        <v>120</v>
      </c>
      <c r="K23" s="2542"/>
      <c r="S23" s="3407"/>
      <c r="T23" s="3410"/>
      <c r="U23" s="2534"/>
      <c r="V23" s="2534" t="s">
        <v>2036</v>
      </c>
      <c r="W23" s="2534"/>
      <c r="X23" s="2534"/>
      <c r="Y23" s="2534" t="s">
        <v>120</v>
      </c>
      <c r="Z23" s="2536" t="s">
        <v>120</v>
      </c>
      <c r="AA23" s="2536"/>
      <c r="AB23" s="2536" t="s">
        <v>120</v>
      </c>
      <c r="AC23" s="2536"/>
    </row>
    <row r="24" spans="1:29">
      <c r="A24" s="3400"/>
      <c r="B24" s="3385"/>
      <c r="C24" s="2540"/>
      <c r="D24" s="2540" t="s">
        <v>2013</v>
      </c>
      <c r="E24" s="2541"/>
      <c r="F24" s="2540"/>
      <c r="G24" s="2540" t="s">
        <v>120</v>
      </c>
      <c r="H24" s="2542" t="s">
        <v>120</v>
      </c>
      <c r="I24" s="2542"/>
      <c r="J24" s="2542" t="s">
        <v>120</v>
      </c>
      <c r="K24" s="2542"/>
      <c r="S24" s="3407"/>
      <c r="T24" s="3410"/>
      <c r="U24" s="2534" t="s">
        <v>432</v>
      </c>
      <c r="V24" s="2534" t="s">
        <v>2038</v>
      </c>
      <c r="W24" s="2534"/>
      <c r="X24" s="2534"/>
      <c r="Y24" s="2534" t="s">
        <v>120</v>
      </c>
      <c r="Z24" s="2536" t="s">
        <v>120</v>
      </c>
      <c r="AA24" s="2536"/>
      <c r="AB24" s="2536" t="s">
        <v>120</v>
      </c>
      <c r="AC24" s="2536"/>
    </row>
    <row r="25" spans="1:29">
      <c r="A25" s="3400"/>
      <c r="B25" s="3385" t="s">
        <v>878</v>
      </c>
      <c r="C25" s="2540" t="s">
        <v>1083</v>
      </c>
      <c r="D25" s="2540" t="str">
        <f>INDEX(Modules[Module], MATCH($C25, Modules[Code], 0))</f>
        <v>Commercial Cooking</v>
      </c>
      <c r="E25" s="2541"/>
      <c r="F25" s="2540"/>
      <c r="G25" s="2540"/>
      <c r="H25" s="2542"/>
      <c r="I25" s="2542"/>
      <c r="J25" s="2542"/>
      <c r="K25" s="2542"/>
      <c r="S25" s="3407"/>
      <c r="T25" s="3411"/>
      <c r="U25" s="2534" t="s">
        <v>1076</v>
      </c>
      <c r="V25" s="2534" t="s">
        <v>2039</v>
      </c>
      <c r="W25" s="2534"/>
      <c r="X25" s="2534"/>
      <c r="Y25" s="2534" t="s">
        <v>120</v>
      </c>
      <c r="Z25" s="2536" t="s">
        <v>120</v>
      </c>
      <c r="AA25" s="2536"/>
      <c r="AB25" s="2536" t="s">
        <v>120</v>
      </c>
      <c r="AC25" s="2536"/>
    </row>
    <row r="26" spans="1:29">
      <c r="A26" s="3400"/>
      <c r="B26" s="3385"/>
      <c r="C26" s="2540"/>
      <c r="D26" s="2540"/>
      <c r="E26" s="2541"/>
      <c r="F26" s="2540"/>
      <c r="G26" s="2540" t="s">
        <v>120</v>
      </c>
      <c r="H26" s="2542" t="s">
        <v>120</v>
      </c>
      <c r="I26" s="2542"/>
      <c r="J26" s="2542" t="s">
        <v>120</v>
      </c>
      <c r="K26" s="2542"/>
      <c r="S26" s="3408"/>
      <c r="T26" s="2519" t="s">
        <v>41</v>
      </c>
      <c r="U26" s="2534" t="s">
        <v>296</v>
      </c>
      <c r="V26" s="2534" t="s">
        <v>1845</v>
      </c>
      <c r="W26" s="2535"/>
      <c r="X26" s="2534"/>
      <c r="Y26" s="2534" t="s">
        <v>120</v>
      </c>
      <c r="Z26" s="2536" t="s">
        <v>120</v>
      </c>
      <c r="AA26" s="2536"/>
      <c r="AB26" s="2536" t="s">
        <v>120</v>
      </c>
      <c r="AC26" s="2536"/>
    </row>
    <row r="27" spans="1:29" ht="18.75">
      <c r="A27" s="3401"/>
      <c r="B27" s="3385"/>
      <c r="C27" s="2540"/>
      <c r="D27" s="2540" t="s">
        <v>2019</v>
      </c>
      <c r="E27" s="2541"/>
      <c r="F27" s="2540"/>
      <c r="G27" s="2540" t="s">
        <v>120</v>
      </c>
      <c r="H27" s="2542" t="s">
        <v>120</v>
      </c>
      <c r="I27" s="2542"/>
      <c r="J27" s="2542" t="s">
        <v>120</v>
      </c>
      <c r="K27" s="2542"/>
      <c r="S27" s="2520" t="s">
        <v>539</v>
      </c>
      <c r="T27" s="2508"/>
      <c r="U27" s="2508"/>
      <c r="V27" s="2508"/>
      <c r="W27" s="2521"/>
      <c r="X27" s="2508"/>
      <c r="Y27" s="2508"/>
      <c r="Z27" s="2508"/>
      <c r="AA27" s="2508"/>
      <c r="AB27" s="2508"/>
      <c r="AC27" s="2508"/>
    </row>
    <row r="28" spans="1:29" ht="18.75">
      <c r="A28" s="2522"/>
      <c r="B28" s="2523"/>
      <c r="C28" s="2524"/>
      <c r="D28" s="2524"/>
      <c r="E28" s="2525"/>
      <c r="F28" s="2525"/>
      <c r="G28" s="2525"/>
      <c r="H28" s="2525"/>
      <c r="I28" s="2525"/>
      <c r="J28" s="2525"/>
      <c r="K28" s="2526"/>
      <c r="S28" s="3386" t="s">
        <v>2041</v>
      </c>
      <c r="T28" s="3387"/>
      <c r="U28" s="2538" t="s">
        <v>264</v>
      </c>
      <c r="V28" s="2538" t="s">
        <v>2001</v>
      </c>
      <c r="W28" s="2539"/>
      <c r="X28" s="2534"/>
      <c r="Y28" s="2534" t="s">
        <v>120</v>
      </c>
      <c r="Z28" s="2536" t="s">
        <v>120</v>
      </c>
      <c r="AA28" s="2536"/>
      <c r="AB28" s="2536" t="s">
        <v>120</v>
      </c>
      <c r="AC28" s="2536"/>
    </row>
    <row r="29" spans="1:29">
      <c r="A29" s="2528"/>
      <c r="B29" s="2529"/>
      <c r="C29" s="2530"/>
      <c r="D29" s="2530"/>
      <c r="E29" s="2531"/>
      <c r="F29" s="2530"/>
      <c r="G29" s="2530"/>
      <c r="H29" s="2532"/>
      <c r="I29" s="2532"/>
      <c r="J29" s="2532"/>
      <c r="K29" s="2532"/>
    </row>
    <row r="30" spans="1:29">
      <c r="A30" s="2528"/>
      <c r="B30" s="2529"/>
      <c r="C30" s="2530"/>
      <c r="D30" s="2530"/>
      <c r="E30" s="2531"/>
      <c r="F30" s="2530"/>
      <c r="G30" s="2530"/>
      <c r="H30" s="2532"/>
      <c r="I30" s="2532"/>
      <c r="J30" s="2532"/>
      <c r="K30" s="2532"/>
    </row>
    <row r="31" spans="1:29">
      <c r="A31" s="2528"/>
      <c r="B31" s="2529"/>
      <c r="C31" s="2530"/>
      <c r="D31" s="2530"/>
      <c r="E31" s="2531"/>
      <c r="F31" s="2530"/>
      <c r="G31" s="2530"/>
      <c r="H31" s="2532"/>
      <c r="I31" s="2532"/>
      <c r="J31" s="2532"/>
      <c r="K31" s="2532"/>
    </row>
    <row r="32" spans="1:29">
      <c r="A32" s="2528"/>
      <c r="B32" s="2529"/>
      <c r="C32" s="2530"/>
      <c r="D32" s="2530"/>
      <c r="E32" s="2531"/>
      <c r="F32" s="2530"/>
      <c r="G32" s="2530"/>
      <c r="H32" s="2532"/>
      <c r="I32" s="2532"/>
      <c r="J32" s="2532"/>
      <c r="K32" s="2532"/>
    </row>
    <row r="33" spans="1:11">
      <c r="A33" s="2528"/>
      <c r="B33" s="2529"/>
      <c r="C33" s="2530"/>
      <c r="D33" s="2530"/>
      <c r="E33" s="2531"/>
      <c r="F33" s="2530"/>
      <c r="G33" s="2530"/>
      <c r="H33" s="2532"/>
      <c r="I33" s="2532"/>
      <c r="J33" s="2532"/>
      <c r="K33" s="2532"/>
    </row>
    <row r="34" spans="1:11">
      <c r="A34" s="2528"/>
      <c r="B34" s="2529"/>
      <c r="C34" s="2530"/>
      <c r="D34" s="2530"/>
      <c r="E34" s="2531"/>
      <c r="F34" s="2530"/>
      <c r="G34" s="2530"/>
      <c r="H34" s="2532"/>
      <c r="I34" s="2532"/>
      <c r="J34" s="2532"/>
      <c r="K34" s="2532"/>
    </row>
    <row r="35" spans="1:11">
      <c r="A35" s="2528"/>
      <c r="B35" s="2529"/>
      <c r="C35" s="2530"/>
      <c r="D35" s="2530"/>
      <c r="E35" s="2531"/>
      <c r="F35" s="2530"/>
      <c r="G35" s="2530"/>
      <c r="H35" s="2532"/>
      <c r="I35" s="2532"/>
      <c r="J35" s="2532"/>
      <c r="K35" s="2532"/>
    </row>
    <row r="36" spans="1:11">
      <c r="A36" s="2528"/>
      <c r="B36" s="2529"/>
      <c r="C36" s="2530"/>
      <c r="D36" s="2530"/>
      <c r="E36" s="2531"/>
      <c r="F36" s="2530"/>
      <c r="G36" s="2530"/>
      <c r="H36" s="2532"/>
      <c r="I36" s="2532"/>
      <c r="J36" s="2532"/>
      <c r="K36" s="2532"/>
    </row>
    <row r="37" spans="1:11">
      <c r="A37" s="2528"/>
      <c r="B37" s="2529"/>
      <c r="C37" s="2530"/>
      <c r="D37" s="2530"/>
      <c r="E37" s="2531"/>
      <c r="F37" s="2530"/>
      <c r="G37" s="2530"/>
      <c r="H37" s="2532"/>
      <c r="I37" s="2532"/>
      <c r="J37" s="2532"/>
      <c r="K37" s="2532"/>
    </row>
    <row r="38" spans="1:11">
      <c r="A38" s="2528"/>
      <c r="B38" s="2529"/>
      <c r="C38" s="2530"/>
      <c r="D38" s="2530"/>
      <c r="E38" s="2531"/>
      <c r="F38" s="2530"/>
      <c r="G38" s="2530"/>
      <c r="H38" s="2532"/>
      <c r="I38" s="2532"/>
      <c r="J38" s="2532"/>
      <c r="K38" s="2532"/>
    </row>
    <row r="39" spans="1:11">
      <c r="A39" s="2528"/>
      <c r="B39" s="2529"/>
      <c r="C39" s="2530"/>
      <c r="D39" s="2530"/>
      <c r="E39" s="2531"/>
      <c r="F39" s="2530"/>
      <c r="G39" s="2530"/>
      <c r="H39" s="2532"/>
      <c r="I39" s="2532"/>
      <c r="J39" s="2532"/>
      <c r="K39" s="2532"/>
    </row>
    <row r="40" spans="1:11">
      <c r="A40" s="2528"/>
      <c r="B40" s="2529"/>
      <c r="C40" s="2530"/>
      <c r="D40" s="2530"/>
      <c r="E40" s="2531"/>
      <c r="F40" s="2530"/>
      <c r="G40" s="2530"/>
      <c r="H40" s="2532"/>
      <c r="I40" s="2532"/>
      <c r="J40" s="2532"/>
      <c r="K40" s="2532"/>
    </row>
    <row r="41" spans="1:11">
      <c r="A41" s="2528"/>
      <c r="B41" s="2529"/>
      <c r="C41" s="2530"/>
      <c r="D41" s="2530"/>
      <c r="E41" s="2531"/>
      <c r="F41" s="2530"/>
      <c r="G41" s="2530"/>
      <c r="H41" s="2532"/>
      <c r="I41" s="2532"/>
      <c r="J41" s="2532"/>
      <c r="K41" s="2532"/>
    </row>
    <row r="42" spans="1:11">
      <c r="A42" s="2528"/>
      <c r="B42" s="2529"/>
      <c r="C42" s="2530"/>
      <c r="D42" s="2530"/>
      <c r="E42" s="2531"/>
      <c r="F42" s="2530"/>
      <c r="G42" s="2530"/>
      <c r="H42" s="2532"/>
      <c r="I42" s="2532"/>
      <c r="J42" s="2532"/>
      <c r="K42" s="2532"/>
    </row>
    <row r="43" spans="1:11">
      <c r="A43" s="2528"/>
      <c r="B43" s="2529"/>
      <c r="C43" s="2530"/>
      <c r="D43" s="2530"/>
      <c r="E43" s="2531"/>
      <c r="F43" s="2530"/>
      <c r="G43" s="2530"/>
      <c r="H43" s="2532"/>
      <c r="I43" s="2532"/>
      <c r="J43" s="2532"/>
      <c r="K43" s="2532"/>
    </row>
    <row r="44" spans="1:11">
      <c r="A44" s="2528"/>
      <c r="B44" s="2529"/>
      <c r="C44" s="2530"/>
      <c r="D44" s="2530"/>
      <c r="E44" s="2531"/>
      <c r="F44" s="2530"/>
      <c r="G44" s="2530"/>
      <c r="H44" s="2532"/>
      <c r="I44" s="2532"/>
      <c r="J44" s="2532"/>
      <c r="K44" s="2532"/>
    </row>
    <row r="120" spans="20:20">
      <c r="T120" s="2507">
        <v>66</v>
      </c>
    </row>
  </sheetData>
  <mergeCells count="22">
    <mergeCell ref="A1:B1"/>
    <mergeCell ref="L1:R1"/>
    <mergeCell ref="S1:T1"/>
    <mergeCell ref="A3:A10"/>
    <mergeCell ref="B3:B7"/>
    <mergeCell ref="S3:S17"/>
    <mergeCell ref="T3:T9"/>
    <mergeCell ref="B8:B10"/>
    <mergeCell ref="T10:T11"/>
    <mergeCell ref="A11:A16"/>
    <mergeCell ref="A17:A27"/>
    <mergeCell ref="B17:B19"/>
    <mergeCell ref="S18:S20"/>
    <mergeCell ref="T18:T20"/>
    <mergeCell ref="S21:S26"/>
    <mergeCell ref="T21:T25"/>
    <mergeCell ref="B22:B24"/>
    <mergeCell ref="B25:B27"/>
    <mergeCell ref="S28:T28"/>
    <mergeCell ref="B11:B13"/>
    <mergeCell ref="T12:T16"/>
    <mergeCell ref="B14:B16"/>
  </mergeCells>
  <hyperlinks>
    <hyperlink ref="V12" r:id="rId1"/>
    <hyperlink ref="V13" r:id="rId2"/>
    <hyperlink ref="V14" r:id="rId3"/>
    <hyperlink ref="V15" r:id="rId4"/>
    <hyperlink ref="V16" r:id="rId5"/>
  </hyperlinks>
  <pageMargins left="0.7" right="0.7" top="0.75" bottom="0.75" header="0.3" footer="0.3"/>
  <pageSetup orientation="portrait"/>
  <drawing r:id="rId6"/>
  <legacyDrawing r:id="rId7"/>
</worksheet>
</file>

<file path=xl/worksheets/sheet38.xml><?xml version="1.0" encoding="utf-8"?>
<worksheet xmlns="http://schemas.openxmlformats.org/spreadsheetml/2006/main" xmlns:r="http://schemas.openxmlformats.org/officeDocument/2006/relationships">
  <dimension ref="A1:AR120"/>
  <sheetViews>
    <sheetView showGridLines="0" topLeftCell="F1" workbookViewId="0">
      <pane ySplit="1" topLeftCell="A2" activePane="bottomLeft" state="frozen"/>
      <selection pane="bottomLeft" activeCell="G31" sqref="G31"/>
    </sheetView>
  </sheetViews>
  <sheetFormatPr defaultColWidth="8.85546875" defaultRowHeight="14.25"/>
  <cols>
    <col min="1" max="1" width="8.85546875" style="2507"/>
    <col min="2" max="2" width="10.7109375" style="2507" customWidth="1"/>
    <col min="3" max="3" width="6.42578125" style="2507" customWidth="1"/>
    <col min="4" max="4" width="20.7109375" style="2507" customWidth="1"/>
    <col min="5" max="5" width="4.140625" style="2507" customWidth="1"/>
    <col min="6" max="6" width="2.7109375" style="2507" customWidth="1"/>
    <col min="7" max="7" width="2.85546875" style="2507" customWidth="1"/>
    <col min="8" max="8" width="4.7109375" style="2507" customWidth="1"/>
    <col min="9" max="9" width="3.140625" style="2507" customWidth="1"/>
    <col min="10" max="10" width="5.42578125" style="2507" customWidth="1"/>
    <col min="11" max="11" width="2.85546875" style="2507" customWidth="1"/>
    <col min="12" max="19" width="8.85546875" style="2507"/>
    <col min="20" max="20" width="11" style="2507" customWidth="1"/>
    <col min="21" max="21" width="6.85546875" style="2507" customWidth="1"/>
    <col min="22" max="22" width="12" style="2507" customWidth="1"/>
    <col min="23" max="23" width="6.85546875" style="2507" customWidth="1"/>
    <col min="24" max="24" width="3.140625" style="2507" customWidth="1"/>
    <col min="25" max="26" width="3.42578125" style="2507" customWidth="1"/>
    <col min="27" max="27" width="3.7109375" style="2507" customWidth="1"/>
    <col min="28" max="28" width="6.42578125" style="2507" customWidth="1"/>
    <col min="29" max="16384" width="8.85546875" style="2507"/>
  </cols>
  <sheetData>
    <row r="1" spans="1:44" ht="23.25" customHeight="1">
      <c r="A1" s="3388" t="s">
        <v>59</v>
      </c>
      <c r="B1" s="3389"/>
      <c r="C1" s="2505"/>
      <c r="D1" s="2505"/>
      <c r="E1" s="2505"/>
      <c r="F1" s="2505"/>
      <c r="G1" s="2506"/>
      <c r="H1" s="2506"/>
      <c r="I1" s="2506"/>
      <c r="J1" s="2506"/>
      <c r="K1" s="2505"/>
      <c r="L1" s="3390" t="s">
        <v>202</v>
      </c>
      <c r="M1" s="3390"/>
      <c r="N1" s="3390"/>
      <c r="O1" s="3390"/>
      <c r="P1" s="3390"/>
      <c r="Q1" s="3390"/>
      <c r="R1" s="3390"/>
      <c r="S1" s="3391" t="s">
        <v>58</v>
      </c>
      <c r="T1" s="3392"/>
      <c r="U1" s="2508"/>
      <c r="V1" s="2508"/>
      <c r="W1" s="2508"/>
      <c r="X1" s="2509"/>
      <c r="Y1" s="2509"/>
      <c r="Z1" s="2509"/>
      <c r="AA1" s="2509"/>
      <c r="AB1" s="2508"/>
      <c r="AC1" s="2508"/>
    </row>
    <row r="2" spans="1:44">
      <c r="A2" s="2510" t="s">
        <v>2003</v>
      </c>
      <c r="B2" s="2511"/>
      <c r="C2" s="2512"/>
      <c r="D2" s="2512"/>
      <c r="E2" s="2513">
        <v>10</v>
      </c>
      <c r="F2" s="2514"/>
      <c r="G2" s="2514"/>
      <c r="H2" s="2515"/>
      <c r="I2" s="2515"/>
      <c r="J2" s="2515"/>
      <c r="K2" s="2515"/>
      <c r="S2" s="2516"/>
      <c r="T2" s="2516"/>
      <c r="U2" s="2517"/>
      <c r="V2" s="2517"/>
      <c r="W2" s="2518"/>
      <c r="X2" s="2514"/>
      <c r="Y2" s="2515"/>
      <c r="Z2" s="2515"/>
      <c r="AA2" s="2515"/>
      <c r="AB2" s="2515"/>
      <c r="AC2" s="2515"/>
    </row>
    <row r="3" spans="1:44" ht="14.25" customHeight="1">
      <c r="A3" s="3393" t="s">
        <v>113</v>
      </c>
      <c r="B3" s="3385" t="s">
        <v>2009</v>
      </c>
      <c r="C3" s="2540" t="s">
        <v>282</v>
      </c>
      <c r="D3" s="2540" t="str">
        <f>INDEX(Modules[Module], MATCH($C3, Modules[Code], 0))</f>
        <v>Domestic passenger transport</v>
      </c>
      <c r="E3" s="2541"/>
      <c r="F3" s="2540"/>
      <c r="G3" s="2540"/>
      <c r="H3" s="2542"/>
      <c r="I3" s="2542"/>
      <c r="J3" s="2542"/>
      <c r="K3" s="2542"/>
      <c r="S3" s="3396" t="s">
        <v>5</v>
      </c>
      <c r="T3" s="3385" t="s">
        <v>2028</v>
      </c>
      <c r="U3" s="2534" t="s">
        <v>248</v>
      </c>
      <c r="V3" s="2534" t="str">
        <f>INDEX(Modules[Module], MATCH($U3, Modules[Code], 0))</f>
        <v>Gas Power Stations</v>
      </c>
      <c r="W3" s="2535"/>
      <c r="X3" s="2534"/>
      <c r="Y3" s="2534" t="s">
        <v>120</v>
      </c>
      <c r="Z3" s="2536" t="s">
        <v>120</v>
      </c>
      <c r="AA3" s="2536"/>
      <c r="AB3" s="2536" t="s">
        <v>120</v>
      </c>
      <c r="AC3" s="2536"/>
    </row>
    <row r="4" spans="1:44">
      <c r="A4" s="3394"/>
      <c r="B4" s="3385"/>
      <c r="C4" s="2540"/>
      <c r="D4" s="2540" t="s">
        <v>1372</v>
      </c>
      <c r="E4" s="2541"/>
      <c r="F4" s="2540"/>
      <c r="G4" s="2540" t="s">
        <v>120</v>
      </c>
      <c r="H4" s="2542" t="s">
        <v>120</v>
      </c>
      <c r="I4" s="2542"/>
      <c r="J4" s="2542" t="s">
        <v>120</v>
      </c>
      <c r="K4" s="2542"/>
      <c r="O4" s="885"/>
      <c r="S4" s="3396"/>
      <c r="T4" s="3385"/>
      <c r="U4" s="2534" t="s">
        <v>278</v>
      </c>
      <c r="V4" s="2534" t="s">
        <v>2021</v>
      </c>
      <c r="W4" s="2535"/>
      <c r="X4" s="2534"/>
      <c r="Y4" s="2534"/>
      <c r="Z4" s="2534"/>
      <c r="AA4" s="2534"/>
      <c r="AB4" s="2534"/>
      <c r="AC4" s="2547"/>
      <c r="AQ4" s="2507">
        <v>2</v>
      </c>
      <c r="AR4" s="2549" t="s">
        <v>2043</v>
      </c>
    </row>
    <row r="5" spans="1:44">
      <c r="A5" s="3394"/>
      <c r="B5" s="3385"/>
      <c r="C5" s="2540"/>
      <c r="D5" s="2540" t="s">
        <v>2047</v>
      </c>
      <c r="E5" s="2541"/>
      <c r="F5" s="2540"/>
      <c r="G5" s="2540" t="s">
        <v>120</v>
      </c>
      <c r="H5" s="2542" t="s">
        <v>120</v>
      </c>
      <c r="I5" s="2542"/>
      <c r="J5" s="2542" t="s">
        <v>120</v>
      </c>
      <c r="K5" s="2542"/>
      <c r="S5" s="3396"/>
      <c r="T5" s="3385"/>
      <c r="U5" s="2534"/>
      <c r="V5" s="2534" t="s">
        <v>2022</v>
      </c>
      <c r="W5" s="2535"/>
      <c r="X5" s="2534"/>
      <c r="Y5" s="2534" t="s">
        <v>120</v>
      </c>
      <c r="Z5" s="2536" t="s">
        <v>120</v>
      </c>
      <c r="AA5" s="2536"/>
      <c r="AB5" s="2536" t="s">
        <v>120</v>
      </c>
      <c r="AC5" s="2536"/>
      <c r="AR5" s="2549" t="s">
        <v>1639</v>
      </c>
    </row>
    <row r="6" spans="1:44">
      <c r="A6" s="3394"/>
      <c r="B6" s="3385"/>
      <c r="C6" s="2540"/>
      <c r="D6" s="2540" t="s">
        <v>2006</v>
      </c>
      <c r="E6" s="2541"/>
      <c r="F6" s="2540"/>
      <c r="G6" s="2540" t="s">
        <v>120</v>
      </c>
      <c r="H6" s="2542" t="s">
        <v>120</v>
      </c>
      <c r="I6" s="2542"/>
      <c r="J6" s="2542" t="s">
        <v>120</v>
      </c>
      <c r="K6" s="2542"/>
      <c r="S6" s="3396"/>
      <c r="T6" s="3385"/>
      <c r="U6" s="2534"/>
      <c r="V6" s="2534" t="s">
        <v>2020</v>
      </c>
      <c r="W6" s="2535"/>
      <c r="X6" s="2534"/>
      <c r="Y6" s="2534" t="s">
        <v>120</v>
      </c>
      <c r="Z6" s="2536" t="s">
        <v>120</v>
      </c>
      <c r="AA6" s="2536"/>
      <c r="AB6" s="2536" t="s">
        <v>120</v>
      </c>
      <c r="AC6" s="2536"/>
      <c r="AR6" s="2549" t="s">
        <v>281</v>
      </c>
    </row>
    <row r="7" spans="1:44">
      <c r="A7" s="3394"/>
      <c r="B7" s="3385"/>
      <c r="C7" s="2540"/>
      <c r="D7" s="2540" t="s">
        <v>2007</v>
      </c>
      <c r="E7" s="2541"/>
      <c r="F7" s="2540"/>
      <c r="G7" s="2540" t="s">
        <v>120</v>
      </c>
      <c r="H7" s="2542" t="s">
        <v>120</v>
      </c>
      <c r="I7" s="2542"/>
      <c r="J7" s="2542" t="s">
        <v>120</v>
      </c>
      <c r="K7" s="2542"/>
      <c r="S7" s="3396"/>
      <c r="T7" s="3385"/>
      <c r="U7" s="2534" t="s">
        <v>696</v>
      </c>
      <c r="V7" s="2534" t="s">
        <v>2023</v>
      </c>
      <c r="W7" s="2535"/>
      <c r="X7" s="2534"/>
      <c r="Y7" s="2534"/>
      <c r="Z7" s="2534"/>
      <c r="AA7" s="2534"/>
      <c r="AB7" s="2534"/>
      <c r="AC7" s="2547"/>
      <c r="AR7" s="2549" t="s">
        <v>582</v>
      </c>
    </row>
    <row r="8" spans="1:44">
      <c r="A8" s="3394"/>
      <c r="B8" s="3385" t="s">
        <v>2010</v>
      </c>
      <c r="C8" s="2540" t="s">
        <v>294</v>
      </c>
      <c r="D8" s="2540" t="str">
        <f>INDEX(Modules[Module], MATCH($C8, Modules[Code], 0))</f>
        <v>Domestic freight</v>
      </c>
      <c r="E8" s="2541"/>
      <c r="F8" s="2540"/>
      <c r="G8" s="2540"/>
      <c r="H8" s="2542"/>
      <c r="I8" s="2542"/>
      <c r="J8" s="2542"/>
      <c r="K8" s="2542"/>
      <c r="S8" s="3396"/>
      <c r="T8" s="3385"/>
      <c r="U8" s="2534"/>
      <c r="V8" s="2534" t="s">
        <v>2024</v>
      </c>
      <c r="W8" s="2535"/>
      <c r="X8" s="2534"/>
      <c r="Y8" s="2534" t="s">
        <v>120</v>
      </c>
      <c r="Z8" s="2536" t="s">
        <v>120</v>
      </c>
      <c r="AA8" s="2536"/>
      <c r="AB8" s="2536" t="s">
        <v>120</v>
      </c>
      <c r="AC8" s="2536"/>
      <c r="AR8" s="2549" t="s">
        <v>2044</v>
      </c>
    </row>
    <row r="9" spans="1:44">
      <c r="A9" s="3394"/>
      <c r="B9" s="3385"/>
      <c r="C9" s="2540"/>
      <c r="D9" s="2540" t="s">
        <v>1372</v>
      </c>
      <c r="E9" s="2541"/>
      <c r="F9" s="2540"/>
      <c r="G9" s="2540" t="s">
        <v>120</v>
      </c>
      <c r="H9" s="2542" t="s">
        <v>120</v>
      </c>
      <c r="I9" s="2542"/>
      <c r="J9" s="2542" t="s">
        <v>120</v>
      </c>
      <c r="K9" s="2542"/>
      <c r="S9" s="3396"/>
      <c r="T9" s="3385"/>
      <c r="U9" s="2537"/>
      <c r="V9" s="2538" t="s">
        <v>2025</v>
      </c>
      <c r="W9" s="2539"/>
      <c r="X9" s="2534"/>
      <c r="Y9" s="2534" t="s">
        <v>120</v>
      </c>
      <c r="Z9" s="2536" t="s">
        <v>120</v>
      </c>
      <c r="AA9" s="2536"/>
      <c r="AB9" s="2536" t="s">
        <v>120</v>
      </c>
      <c r="AC9" s="2536"/>
      <c r="AR9" s="2549" t="s">
        <v>2045</v>
      </c>
    </row>
    <row r="10" spans="1:44">
      <c r="A10" s="3395"/>
      <c r="B10" s="3385"/>
      <c r="C10" s="2543"/>
      <c r="D10" s="2544" t="s">
        <v>2008</v>
      </c>
      <c r="E10" s="2545"/>
      <c r="F10" s="2540"/>
      <c r="G10" s="2540" t="s">
        <v>120</v>
      </c>
      <c r="H10" s="2542" t="s">
        <v>120</v>
      </c>
      <c r="I10" s="2542"/>
      <c r="J10" s="2542" t="s">
        <v>120</v>
      </c>
      <c r="K10" s="2542"/>
      <c r="S10" s="3396"/>
      <c r="T10" s="3385" t="s">
        <v>2029</v>
      </c>
      <c r="U10" s="2538" t="s">
        <v>61</v>
      </c>
      <c r="V10" s="2538" t="s">
        <v>2026</v>
      </c>
      <c r="W10" s="2548"/>
      <c r="X10" s="2534"/>
      <c r="Y10" s="2534" t="s">
        <v>120</v>
      </c>
      <c r="Z10" s="2536" t="s">
        <v>120</v>
      </c>
      <c r="AA10" s="2536"/>
      <c r="AB10" s="2536" t="s">
        <v>120</v>
      </c>
      <c r="AC10" s="2536"/>
      <c r="AR10" s="2549" t="s">
        <v>401</v>
      </c>
    </row>
    <row r="11" spans="1:44" ht="14.25" customHeight="1">
      <c r="A11" s="3397" t="s">
        <v>272</v>
      </c>
      <c r="B11" s="3385" t="s">
        <v>1051</v>
      </c>
      <c r="C11" s="2540" t="s">
        <v>298</v>
      </c>
      <c r="D11" s="2540" t="str">
        <f>INDEX(Modules[Module], MATCH($C11, Modules[Code], 0))</f>
        <v>Domestic Cooking</v>
      </c>
      <c r="E11" s="2541"/>
      <c r="F11" s="2540"/>
      <c r="G11" s="2540"/>
      <c r="H11" s="2540"/>
      <c r="I11" s="2540"/>
      <c r="J11" s="2540"/>
      <c r="K11" s="2540"/>
      <c r="S11" s="3396"/>
      <c r="T11" s="3385"/>
      <c r="U11" s="2534" t="s">
        <v>62</v>
      </c>
      <c r="V11" s="2534" t="s">
        <v>2027</v>
      </c>
      <c r="W11" s="2535"/>
      <c r="X11" s="2534"/>
      <c r="Y11" s="2534" t="s">
        <v>120</v>
      </c>
      <c r="Z11" s="2536" t="s">
        <v>120</v>
      </c>
      <c r="AA11" s="2536"/>
      <c r="AB11" s="2536" t="s">
        <v>120</v>
      </c>
      <c r="AC11" s="2536"/>
    </row>
    <row r="12" spans="1:44">
      <c r="A12" s="3398"/>
      <c r="B12" s="3385"/>
      <c r="C12" s="2546"/>
      <c r="D12" s="2540"/>
      <c r="E12" s="2541"/>
      <c r="F12" s="2540"/>
      <c r="G12" s="2540" t="s">
        <v>120</v>
      </c>
      <c r="H12" s="2542" t="s">
        <v>120</v>
      </c>
      <c r="I12" s="2542"/>
      <c r="J12" s="2542" t="s">
        <v>120</v>
      </c>
      <c r="K12" s="2542"/>
      <c r="S12" s="3396"/>
      <c r="T12" s="3385" t="s">
        <v>2042</v>
      </c>
      <c r="U12" s="2534" t="s">
        <v>311</v>
      </c>
      <c r="V12" s="2557" t="s">
        <v>55</v>
      </c>
      <c r="W12" s="2535"/>
      <c r="X12" s="2534"/>
      <c r="Y12" s="2534" t="s">
        <v>120</v>
      </c>
      <c r="Z12" s="2536" t="s">
        <v>120</v>
      </c>
      <c r="AA12" s="2536"/>
      <c r="AB12" s="2536" t="s">
        <v>120</v>
      </c>
      <c r="AC12" s="2536"/>
    </row>
    <row r="13" spans="1:44">
      <c r="A13" s="3398"/>
      <c r="B13" s="3385"/>
      <c r="C13" s="2546"/>
      <c r="D13" s="2540" t="s">
        <v>2011</v>
      </c>
      <c r="E13" s="2541"/>
      <c r="F13" s="2540"/>
      <c r="G13" s="2540" t="s">
        <v>120</v>
      </c>
      <c r="H13" s="2542" t="s">
        <v>120</v>
      </c>
      <c r="I13" s="2542"/>
      <c r="J13" s="2542" t="s">
        <v>120</v>
      </c>
      <c r="K13" s="2542"/>
      <c r="S13" s="3396"/>
      <c r="T13" s="3385"/>
      <c r="U13" s="2534" t="s">
        <v>407</v>
      </c>
      <c r="V13" s="2557" t="s">
        <v>1924</v>
      </c>
      <c r="W13" s="2535"/>
      <c r="X13" s="2534"/>
      <c r="Y13" s="2534" t="s">
        <v>120</v>
      </c>
      <c r="Z13" s="2536" t="s">
        <v>120</v>
      </c>
      <c r="AA13" s="2536"/>
      <c r="AB13" s="2536" t="s">
        <v>120</v>
      </c>
      <c r="AC13" s="2536"/>
    </row>
    <row r="14" spans="1:44" ht="13.5" customHeight="1">
      <c r="A14" s="3398"/>
      <c r="B14" s="3385" t="s">
        <v>535</v>
      </c>
      <c r="C14" s="2540" t="s">
        <v>300</v>
      </c>
      <c r="D14" s="2540" t="str">
        <f>INDEX(Modules[Module], MATCH($C14, Modules[Code], 0))</f>
        <v>Domestic Lighting &amp; Appliances</v>
      </c>
      <c r="E14" s="2541"/>
      <c r="F14" s="2546"/>
      <c r="G14" s="2546"/>
      <c r="H14" s="2546"/>
      <c r="I14" s="2546"/>
      <c r="J14" s="2546"/>
      <c r="K14" s="2546"/>
      <c r="S14" s="3396"/>
      <c r="T14" s="3385"/>
      <c r="U14" s="2534" t="s">
        <v>1071</v>
      </c>
      <c r="V14" s="2557" t="s">
        <v>855</v>
      </c>
      <c r="W14" s="2535"/>
      <c r="X14" s="2534"/>
      <c r="Y14" s="2534" t="s">
        <v>120</v>
      </c>
      <c r="Z14" s="2536" t="s">
        <v>120</v>
      </c>
      <c r="AA14" s="2536"/>
      <c r="AB14" s="2536" t="s">
        <v>120</v>
      </c>
      <c r="AC14" s="2536"/>
    </row>
    <row r="15" spans="1:44">
      <c r="A15" s="3398"/>
      <c r="B15" s="3385"/>
      <c r="C15" s="2546"/>
      <c r="D15" s="2540" t="s">
        <v>2012</v>
      </c>
      <c r="E15" s="2541"/>
      <c r="F15" s="2540"/>
      <c r="G15" s="2540" t="s">
        <v>120</v>
      </c>
      <c r="H15" s="2542" t="s">
        <v>120</v>
      </c>
      <c r="I15" s="2542"/>
      <c r="J15" s="2542" t="s">
        <v>120</v>
      </c>
      <c r="K15" s="2542"/>
      <c r="S15" s="3396"/>
      <c r="T15" s="3385"/>
      <c r="U15" s="2534" t="s">
        <v>1285</v>
      </c>
      <c r="V15" s="2557" t="s">
        <v>856</v>
      </c>
      <c r="W15" s="2535"/>
      <c r="X15" s="2534"/>
      <c r="Y15" s="2534" t="s">
        <v>120</v>
      </c>
      <c r="Z15" s="2536" t="s">
        <v>120</v>
      </c>
      <c r="AA15" s="2536"/>
      <c r="AB15" s="2536" t="s">
        <v>120</v>
      </c>
      <c r="AC15" s="2536"/>
    </row>
    <row r="16" spans="1:44" ht="14.25" customHeight="1">
      <c r="A16" s="3398"/>
      <c r="B16" s="3385"/>
      <c r="C16" s="2540"/>
      <c r="D16" s="2540" t="s">
        <v>2013</v>
      </c>
      <c r="E16" s="2541"/>
      <c r="F16" s="2540"/>
      <c r="G16" s="2540" t="s">
        <v>120</v>
      </c>
      <c r="H16" s="2542" t="s">
        <v>120</v>
      </c>
      <c r="I16" s="2542"/>
      <c r="J16" s="2542" t="s">
        <v>120</v>
      </c>
      <c r="K16" s="2542"/>
      <c r="S16" s="3396"/>
      <c r="T16" s="3385"/>
      <c r="U16" s="2534" t="s">
        <v>1073</v>
      </c>
      <c r="V16" s="2557" t="s">
        <v>854</v>
      </c>
      <c r="W16" s="2535"/>
      <c r="X16" s="2534"/>
      <c r="Y16" s="2534" t="s">
        <v>120</v>
      </c>
      <c r="Z16" s="2536" t="s">
        <v>120</v>
      </c>
      <c r="AA16" s="2536"/>
      <c r="AB16" s="2536" t="s">
        <v>120</v>
      </c>
      <c r="AC16" s="2536"/>
    </row>
    <row r="17" spans="1:29" ht="12.75" customHeight="1">
      <c r="A17" s="3399" t="s">
        <v>2005</v>
      </c>
      <c r="B17" s="3402" t="s">
        <v>106</v>
      </c>
      <c r="C17" s="2540" t="s">
        <v>194</v>
      </c>
      <c r="D17" s="2540" t="str">
        <f>INDEX(Workstreams[Workstream], MATCH($C17, Workstreams[Code], 0))</f>
        <v>Agriculture</v>
      </c>
      <c r="E17" s="2541"/>
      <c r="F17" s="2540"/>
      <c r="G17" s="2540"/>
      <c r="H17" s="2542"/>
      <c r="I17" s="2542"/>
      <c r="J17" s="2542"/>
      <c r="K17" s="2542"/>
      <c r="S17" s="3396"/>
      <c r="T17" s="2527" t="s">
        <v>2004</v>
      </c>
      <c r="U17" s="2534" t="s">
        <v>263</v>
      </c>
      <c r="V17" s="2534" t="s">
        <v>4</v>
      </c>
      <c r="W17" s="2535"/>
      <c r="X17" s="2534"/>
      <c r="Y17" s="2534" t="s">
        <v>120</v>
      </c>
      <c r="Z17" s="2536" t="s">
        <v>120</v>
      </c>
      <c r="AA17" s="2536"/>
      <c r="AB17" s="2536" t="s">
        <v>120</v>
      </c>
      <c r="AC17" s="2536"/>
    </row>
    <row r="18" spans="1:29" ht="15" customHeight="1">
      <c r="A18" s="3400"/>
      <c r="B18" s="3402"/>
      <c r="C18" s="2540"/>
      <c r="D18" s="2540" t="s">
        <v>2015</v>
      </c>
      <c r="E18" s="2541"/>
      <c r="F18" s="2540"/>
      <c r="G18" s="2540" t="s">
        <v>120</v>
      </c>
      <c r="H18" s="2542" t="s">
        <v>120</v>
      </c>
      <c r="I18" s="2542"/>
      <c r="J18" s="2542" t="s">
        <v>120</v>
      </c>
      <c r="K18" s="2542"/>
      <c r="M18" s="2550"/>
      <c r="N18" s="2550"/>
      <c r="O18" s="2550"/>
      <c r="P18" s="2550"/>
      <c r="Q18" s="2550"/>
      <c r="S18" s="3403" t="s">
        <v>2033</v>
      </c>
      <c r="T18" s="3385" t="s">
        <v>2034</v>
      </c>
      <c r="U18" s="2534" t="s">
        <v>310</v>
      </c>
      <c r="V18" s="2534" t="s">
        <v>2032</v>
      </c>
      <c r="W18" s="2535"/>
      <c r="X18" s="2534"/>
      <c r="Y18" s="2534" t="s">
        <v>120</v>
      </c>
      <c r="Z18" s="2536" t="s">
        <v>120</v>
      </c>
      <c r="AA18" s="2536"/>
      <c r="AB18" s="2536" t="s">
        <v>120</v>
      </c>
      <c r="AC18" s="2536"/>
    </row>
    <row r="19" spans="1:29" ht="14.25" customHeight="1">
      <c r="A19" s="3400"/>
      <c r="B19" s="3402"/>
      <c r="C19" s="2540"/>
      <c r="D19" s="2540" t="s">
        <v>2014</v>
      </c>
      <c r="E19" s="2541"/>
      <c r="F19" s="2540"/>
      <c r="G19" s="2540" t="s">
        <v>120</v>
      </c>
      <c r="H19" s="2542" t="s">
        <v>120</v>
      </c>
      <c r="I19" s="2542"/>
      <c r="J19" s="2542" t="s">
        <v>120</v>
      </c>
      <c r="K19" s="2542"/>
      <c r="M19" s="2550"/>
      <c r="N19" s="2550"/>
      <c r="O19" s="2550"/>
      <c r="P19" s="2550"/>
      <c r="Q19" s="2550"/>
      <c r="S19" s="3404"/>
      <c r="T19" s="3385"/>
      <c r="U19" s="2534" t="s">
        <v>314</v>
      </c>
      <c r="V19" s="2534" t="s">
        <v>2030</v>
      </c>
      <c r="W19" s="2535"/>
      <c r="X19" s="2534"/>
      <c r="Y19" s="2534" t="s">
        <v>120</v>
      </c>
      <c r="Z19" s="2536" t="s">
        <v>120</v>
      </c>
      <c r="AA19" s="2536"/>
      <c r="AB19" s="2536" t="s">
        <v>120</v>
      </c>
      <c r="AC19" s="2536"/>
    </row>
    <row r="20" spans="1:29" ht="14.25" customHeight="1">
      <c r="A20" s="3400"/>
      <c r="B20" s="2527" t="s">
        <v>1078</v>
      </c>
      <c r="C20" s="2540" t="s">
        <v>330</v>
      </c>
      <c r="D20" s="2540" t="s">
        <v>2018</v>
      </c>
      <c r="E20" s="2541"/>
      <c r="F20" s="2540"/>
      <c r="G20" s="2540" t="s">
        <v>120</v>
      </c>
      <c r="H20" s="2542" t="s">
        <v>120</v>
      </c>
      <c r="I20" s="2542"/>
      <c r="J20" s="2542" t="s">
        <v>120</v>
      </c>
      <c r="K20" s="2542"/>
      <c r="M20" s="2550"/>
      <c r="N20" s="2550"/>
      <c r="O20" s="2550"/>
      <c r="P20" s="2550"/>
      <c r="Q20" s="2550"/>
      <c r="S20" s="3405"/>
      <c r="T20" s="3385"/>
      <c r="U20" s="2534" t="s">
        <v>818</v>
      </c>
      <c r="V20" s="2534" t="s">
        <v>2031</v>
      </c>
      <c r="W20" s="2535"/>
      <c r="X20" s="2534"/>
      <c r="Y20" s="2534" t="s">
        <v>120</v>
      </c>
      <c r="Z20" s="2536" t="s">
        <v>120</v>
      </c>
      <c r="AA20" s="2536"/>
      <c r="AB20" s="2536" t="s">
        <v>120</v>
      </c>
      <c r="AC20" s="2536"/>
    </row>
    <row r="21" spans="1:29" ht="14.25" customHeight="1">
      <c r="A21" s="3400"/>
      <c r="B21" s="2527" t="s">
        <v>33</v>
      </c>
      <c r="C21" s="2540" t="s">
        <v>197</v>
      </c>
      <c r="D21" s="2540" t="s">
        <v>2017</v>
      </c>
      <c r="E21" s="2541"/>
      <c r="F21" s="2540"/>
      <c r="G21" s="2540" t="s">
        <v>120</v>
      </c>
      <c r="H21" s="2542" t="s">
        <v>120</v>
      </c>
      <c r="I21" s="2542"/>
      <c r="J21" s="2542" t="s">
        <v>120</v>
      </c>
      <c r="K21" s="2542"/>
      <c r="M21" s="2550"/>
      <c r="N21" s="2550"/>
      <c r="O21" s="2550"/>
      <c r="P21" s="2550"/>
      <c r="Q21" s="2550"/>
      <c r="S21" s="3406" t="s">
        <v>2037</v>
      </c>
      <c r="T21" s="3409" t="s">
        <v>2040</v>
      </c>
      <c r="U21" s="2534" t="s">
        <v>304</v>
      </c>
      <c r="V21" s="2534" t="s">
        <v>493</v>
      </c>
      <c r="W21" s="2534"/>
      <c r="X21" s="2534"/>
      <c r="Y21" s="2534"/>
      <c r="Z21" s="2534"/>
      <c r="AA21" s="2534"/>
      <c r="AB21" s="2534"/>
      <c r="AC21" s="2547"/>
    </row>
    <row r="22" spans="1:29">
      <c r="A22" s="3400"/>
      <c r="B22" s="3385" t="s">
        <v>537</v>
      </c>
      <c r="C22" s="2540" t="s">
        <v>301</v>
      </c>
      <c r="D22" s="2540" t="str">
        <f>INDEX(Modules[Module], MATCH($C22, Modules[Code], 0))</f>
        <v>Commercial Lighting &amp; Appliances</v>
      </c>
      <c r="E22" s="2541"/>
      <c r="F22" s="2540"/>
      <c r="G22" s="2540"/>
      <c r="H22" s="2542"/>
      <c r="I22" s="2542"/>
      <c r="J22" s="2542"/>
      <c r="K22" s="2542"/>
      <c r="M22" s="2550"/>
      <c r="N22" s="2550"/>
      <c r="O22" s="2550"/>
      <c r="P22" s="2550"/>
      <c r="Q22" s="2550"/>
      <c r="S22" s="3407"/>
      <c r="T22" s="3410"/>
      <c r="U22" s="2534"/>
      <c r="V22" s="2534" t="s">
        <v>2035</v>
      </c>
      <c r="W22" s="2534"/>
      <c r="X22" s="2534"/>
      <c r="Y22" s="2534" t="s">
        <v>120</v>
      </c>
      <c r="Z22" s="2536" t="s">
        <v>120</v>
      </c>
      <c r="AA22" s="2536"/>
      <c r="AB22" s="2536" t="s">
        <v>120</v>
      </c>
      <c r="AC22" s="2536"/>
    </row>
    <row r="23" spans="1:29" ht="14.25" customHeight="1">
      <c r="A23" s="3400"/>
      <c r="B23" s="3385"/>
      <c r="C23" s="2540"/>
      <c r="D23" s="2540" t="s">
        <v>2016</v>
      </c>
      <c r="E23" s="2541"/>
      <c r="F23" s="2540"/>
      <c r="G23" s="2540" t="s">
        <v>120</v>
      </c>
      <c r="H23" s="2542" t="s">
        <v>120</v>
      </c>
      <c r="I23" s="2542"/>
      <c r="J23" s="2542" t="s">
        <v>120</v>
      </c>
      <c r="K23" s="2542"/>
      <c r="S23" s="3407"/>
      <c r="T23" s="3410"/>
      <c r="U23" s="2534"/>
      <c r="V23" s="2534" t="s">
        <v>2036</v>
      </c>
      <c r="W23" s="2534"/>
      <c r="X23" s="2534"/>
      <c r="Y23" s="2534" t="s">
        <v>120</v>
      </c>
      <c r="Z23" s="2536" t="s">
        <v>120</v>
      </c>
      <c r="AA23" s="2536"/>
      <c r="AB23" s="2536" t="s">
        <v>120</v>
      </c>
      <c r="AC23" s="2536"/>
    </row>
    <row r="24" spans="1:29">
      <c r="A24" s="3400"/>
      <c r="B24" s="3385"/>
      <c r="C24" s="2540"/>
      <c r="D24" s="2540" t="s">
        <v>2013</v>
      </c>
      <c r="E24" s="2541"/>
      <c r="F24" s="2540"/>
      <c r="G24" s="2540" t="s">
        <v>120</v>
      </c>
      <c r="H24" s="2542" t="s">
        <v>120</v>
      </c>
      <c r="I24" s="2542"/>
      <c r="J24" s="2542" t="s">
        <v>120</v>
      </c>
      <c r="K24" s="2542"/>
      <c r="S24" s="3407"/>
      <c r="T24" s="3410"/>
      <c r="U24" s="2534" t="s">
        <v>432</v>
      </c>
      <c r="V24" s="2534" t="s">
        <v>2038</v>
      </c>
      <c r="W24" s="2534"/>
      <c r="X24" s="2534"/>
      <c r="Y24" s="2534" t="s">
        <v>120</v>
      </c>
      <c r="Z24" s="2536" t="s">
        <v>120</v>
      </c>
      <c r="AA24" s="2536"/>
      <c r="AB24" s="2536" t="s">
        <v>120</v>
      </c>
      <c r="AC24" s="2536"/>
    </row>
    <row r="25" spans="1:29">
      <c r="A25" s="3400"/>
      <c r="B25" s="3385" t="s">
        <v>878</v>
      </c>
      <c r="C25" s="2540" t="s">
        <v>1083</v>
      </c>
      <c r="D25" s="2540" t="str">
        <f>INDEX(Modules[Module], MATCH($C25, Modules[Code], 0))</f>
        <v>Commercial Cooking</v>
      </c>
      <c r="E25" s="2541"/>
      <c r="F25" s="2540"/>
      <c r="G25" s="2540"/>
      <c r="H25" s="2542"/>
      <c r="I25" s="2542"/>
      <c r="J25" s="2542"/>
      <c r="K25" s="2542"/>
      <c r="S25" s="3407"/>
      <c r="T25" s="3411"/>
      <c r="U25" s="2534" t="s">
        <v>1076</v>
      </c>
      <c r="V25" s="2534" t="s">
        <v>2039</v>
      </c>
      <c r="W25" s="2534"/>
      <c r="X25" s="2534"/>
      <c r="Y25" s="2534" t="s">
        <v>120</v>
      </c>
      <c r="Z25" s="2536" t="s">
        <v>120</v>
      </c>
      <c r="AA25" s="2536"/>
      <c r="AB25" s="2536" t="s">
        <v>120</v>
      </c>
      <c r="AC25" s="2536"/>
    </row>
    <row r="26" spans="1:29">
      <c r="A26" s="3400"/>
      <c r="B26" s="3385"/>
      <c r="C26" s="2540"/>
      <c r="D26" s="2540"/>
      <c r="E26" s="2541"/>
      <c r="F26" s="2540"/>
      <c r="G26" s="2540" t="s">
        <v>120</v>
      </c>
      <c r="H26" s="2542" t="s">
        <v>120</v>
      </c>
      <c r="I26" s="2542"/>
      <c r="J26" s="2542" t="s">
        <v>120</v>
      </c>
      <c r="K26" s="2542"/>
      <c r="S26" s="3408"/>
      <c r="T26" s="2519" t="s">
        <v>41</v>
      </c>
      <c r="U26" s="2534" t="s">
        <v>296</v>
      </c>
      <c r="V26" s="2534" t="s">
        <v>1845</v>
      </c>
      <c r="W26" s="2535"/>
      <c r="X26" s="2534"/>
      <c r="Y26" s="2534" t="s">
        <v>120</v>
      </c>
      <c r="Z26" s="2536" t="s">
        <v>120</v>
      </c>
      <c r="AA26" s="2536"/>
      <c r="AB26" s="2536" t="s">
        <v>120</v>
      </c>
      <c r="AC26" s="2536"/>
    </row>
    <row r="27" spans="1:29" ht="18.75">
      <c r="A27" s="3401"/>
      <c r="B27" s="3385"/>
      <c r="C27" s="2540"/>
      <c r="D27" s="2540" t="s">
        <v>2019</v>
      </c>
      <c r="E27" s="2541"/>
      <c r="F27" s="2540"/>
      <c r="G27" s="2540" t="s">
        <v>120</v>
      </c>
      <c r="H27" s="2542" t="s">
        <v>120</v>
      </c>
      <c r="I27" s="2542"/>
      <c r="J27" s="2542" t="s">
        <v>120</v>
      </c>
      <c r="K27" s="2542"/>
      <c r="S27" s="2520" t="s">
        <v>539</v>
      </c>
      <c r="T27" s="2508"/>
      <c r="U27" s="2508"/>
      <c r="V27" s="2508"/>
      <c r="W27" s="2521"/>
      <c r="X27" s="2508"/>
      <c r="Y27" s="2508"/>
      <c r="Z27" s="2508"/>
      <c r="AA27" s="2508"/>
      <c r="AB27" s="2508"/>
      <c r="AC27" s="2508"/>
    </row>
    <row r="28" spans="1:29" ht="18.75">
      <c r="A28" s="2522"/>
      <c r="B28" s="2523"/>
      <c r="C28" s="2524"/>
      <c r="D28" s="2524"/>
      <c r="E28" s="2525"/>
      <c r="F28" s="2525"/>
      <c r="G28" s="2525"/>
      <c r="H28" s="2525"/>
      <c r="I28" s="2525"/>
      <c r="J28" s="2525"/>
      <c r="K28" s="2526"/>
      <c r="S28" s="3386" t="s">
        <v>2041</v>
      </c>
      <c r="T28" s="3387"/>
      <c r="U28" s="2538" t="s">
        <v>264</v>
      </c>
      <c r="V28" s="2538" t="s">
        <v>2001</v>
      </c>
      <c r="W28" s="2539"/>
      <c r="X28" s="2534"/>
      <c r="Y28" s="2534" t="s">
        <v>120</v>
      </c>
      <c r="Z28" s="2536" t="s">
        <v>120</v>
      </c>
      <c r="AA28" s="2536"/>
      <c r="AB28" s="2536" t="s">
        <v>120</v>
      </c>
      <c r="AC28" s="2536"/>
    </row>
    <row r="29" spans="1:29">
      <c r="A29" s="2528"/>
      <c r="B29" s="2529"/>
      <c r="C29" s="2530"/>
      <c r="D29" s="2530"/>
      <c r="E29" s="2531"/>
      <c r="F29" s="2530"/>
      <c r="G29" s="2530"/>
      <c r="H29" s="2532"/>
      <c r="I29" s="2532"/>
      <c r="J29" s="2532"/>
      <c r="K29" s="2532"/>
    </row>
    <row r="30" spans="1:29">
      <c r="A30" s="2528"/>
      <c r="B30" s="2529"/>
      <c r="C30" s="2530"/>
      <c r="D30" s="2530"/>
      <c r="E30" s="2531"/>
      <c r="F30" s="2530"/>
      <c r="G30" s="2530"/>
      <c r="H30" s="2532"/>
      <c r="I30" s="2532"/>
      <c r="J30" s="2532"/>
      <c r="K30" s="2532"/>
    </row>
    <row r="31" spans="1:29">
      <c r="A31" s="2528"/>
      <c r="B31" s="2529"/>
      <c r="C31" s="2530"/>
      <c r="D31" s="2530"/>
      <c r="E31" s="2531"/>
      <c r="F31" s="2530"/>
      <c r="G31" s="2530"/>
      <c r="H31" s="2532"/>
      <c r="I31" s="2532"/>
      <c r="J31" s="2532"/>
      <c r="K31" s="2532"/>
    </row>
    <row r="32" spans="1:29">
      <c r="A32" s="2528"/>
      <c r="B32" s="2529"/>
      <c r="C32" s="2530"/>
      <c r="D32" s="2530"/>
      <c r="E32" s="2531"/>
      <c r="F32" s="2530"/>
      <c r="G32" s="2530"/>
      <c r="H32" s="2532"/>
      <c r="I32" s="2532"/>
      <c r="J32" s="2532"/>
      <c r="K32" s="2532"/>
    </row>
    <row r="33" spans="1:11">
      <c r="A33" s="2528"/>
      <c r="B33" s="2529"/>
      <c r="C33" s="2530"/>
      <c r="D33" s="2530"/>
      <c r="E33" s="2531"/>
      <c r="F33" s="2530"/>
      <c r="G33" s="2530"/>
      <c r="H33" s="2532"/>
      <c r="I33" s="2532"/>
      <c r="J33" s="2532"/>
      <c r="K33" s="2532"/>
    </row>
    <row r="34" spans="1:11">
      <c r="A34" s="2528"/>
      <c r="B34" s="2529"/>
      <c r="C34" s="2530"/>
      <c r="D34" s="2530"/>
      <c r="E34" s="2531"/>
      <c r="F34" s="2530"/>
      <c r="G34" s="2530"/>
      <c r="H34" s="2532"/>
      <c r="I34" s="2532"/>
      <c r="J34" s="2532"/>
      <c r="K34" s="2532"/>
    </row>
    <row r="35" spans="1:11">
      <c r="A35" s="2528"/>
      <c r="B35" s="2529"/>
      <c r="C35" s="2530"/>
      <c r="D35" s="2530"/>
      <c r="E35" s="2531"/>
      <c r="F35" s="2530"/>
      <c r="G35" s="2530"/>
      <c r="H35" s="2532"/>
      <c r="I35" s="2532"/>
      <c r="J35" s="2532"/>
      <c r="K35" s="2532"/>
    </row>
    <row r="36" spans="1:11">
      <c r="A36" s="2528"/>
      <c r="B36" s="2529"/>
      <c r="C36" s="2530"/>
      <c r="D36" s="2530"/>
      <c r="E36" s="2531"/>
      <c r="F36" s="2530"/>
      <c r="G36" s="2530"/>
      <c r="H36" s="2532"/>
      <c r="I36" s="2532"/>
      <c r="J36" s="2532"/>
      <c r="K36" s="2532"/>
    </row>
    <row r="37" spans="1:11">
      <c r="A37" s="2528"/>
      <c r="B37" s="2529"/>
      <c r="C37" s="2530"/>
      <c r="D37" s="2530"/>
      <c r="E37" s="2531"/>
      <c r="F37" s="2530"/>
      <c r="G37" s="2530"/>
      <c r="H37" s="2532"/>
      <c r="I37" s="2532"/>
      <c r="J37" s="2532"/>
      <c r="K37" s="2532"/>
    </row>
    <row r="38" spans="1:11">
      <c r="A38" s="2528"/>
      <c r="B38" s="2529"/>
      <c r="C38" s="2530"/>
      <c r="D38" s="2530"/>
      <c r="E38" s="2531"/>
      <c r="F38" s="2530"/>
      <c r="G38" s="2530"/>
      <c r="H38" s="2532"/>
      <c r="I38" s="2532"/>
      <c r="J38" s="2532"/>
      <c r="K38" s="2532"/>
    </row>
    <row r="39" spans="1:11">
      <c r="A39" s="2528"/>
      <c r="B39" s="2529"/>
      <c r="C39" s="2530"/>
      <c r="D39" s="2530"/>
      <c r="E39" s="2531"/>
      <c r="F39" s="2530"/>
      <c r="G39" s="2530"/>
      <c r="H39" s="2532"/>
      <c r="I39" s="2532"/>
      <c r="J39" s="2532"/>
      <c r="K39" s="2532"/>
    </row>
    <row r="40" spans="1:11">
      <c r="A40" s="2528"/>
      <c r="B40" s="2529"/>
      <c r="C40" s="2530"/>
      <c r="D40" s="2530"/>
      <c r="E40" s="2531"/>
      <c r="F40" s="2530"/>
      <c r="G40" s="2530"/>
      <c r="H40" s="2532"/>
      <c r="I40" s="2532"/>
      <c r="J40" s="2532"/>
      <c r="K40" s="2532"/>
    </row>
    <row r="41" spans="1:11">
      <c r="A41" s="2528"/>
      <c r="B41" s="2529"/>
      <c r="C41" s="2530"/>
      <c r="D41" s="2530"/>
      <c r="E41" s="2531"/>
      <c r="F41" s="2530"/>
      <c r="G41" s="2530"/>
      <c r="H41" s="2532"/>
      <c r="I41" s="2532"/>
      <c r="J41" s="2532"/>
      <c r="K41" s="2532"/>
    </row>
    <row r="42" spans="1:11">
      <c r="A42" s="2528"/>
      <c r="B42" s="2529"/>
      <c r="C42" s="2530"/>
      <c r="D42" s="2530"/>
      <c r="E42" s="2531"/>
      <c r="F42" s="2530"/>
      <c r="G42" s="2530"/>
      <c r="H42" s="2532"/>
      <c r="I42" s="2532"/>
      <c r="J42" s="2532"/>
      <c r="K42" s="2532"/>
    </row>
    <row r="43" spans="1:11">
      <c r="A43" s="2528"/>
      <c r="B43" s="2529"/>
      <c r="C43" s="2530"/>
      <c r="D43" s="2530"/>
      <c r="E43" s="2531"/>
      <c r="F43" s="2530"/>
      <c r="G43" s="2530"/>
      <c r="H43" s="2532"/>
      <c r="I43" s="2532"/>
      <c r="J43" s="2532"/>
      <c r="K43" s="2532"/>
    </row>
    <row r="44" spans="1:11">
      <c r="A44" s="2528"/>
      <c r="B44" s="2529"/>
      <c r="C44" s="2530"/>
      <c r="D44" s="2530"/>
      <c r="E44" s="2531"/>
      <c r="F44" s="2530"/>
      <c r="G44" s="2530"/>
      <c r="H44" s="2532"/>
      <c r="I44" s="2532"/>
      <c r="J44" s="2532"/>
      <c r="K44" s="2532"/>
    </row>
    <row r="120" spans="20:20">
      <c r="T120" s="2507">
        <v>66</v>
      </c>
    </row>
  </sheetData>
  <mergeCells count="22">
    <mergeCell ref="A1:B1"/>
    <mergeCell ref="L1:R1"/>
    <mergeCell ref="S1:T1"/>
    <mergeCell ref="A3:A10"/>
    <mergeCell ref="B3:B7"/>
    <mergeCell ref="S3:S17"/>
    <mergeCell ref="T3:T9"/>
    <mergeCell ref="B8:B10"/>
    <mergeCell ref="T10:T11"/>
    <mergeCell ref="A11:A16"/>
    <mergeCell ref="A17:A27"/>
    <mergeCell ref="B17:B19"/>
    <mergeCell ref="S18:S20"/>
    <mergeCell ref="T18:T20"/>
    <mergeCell ref="S21:S26"/>
    <mergeCell ref="T21:T25"/>
    <mergeCell ref="B22:B24"/>
    <mergeCell ref="B25:B27"/>
    <mergeCell ref="S28:T28"/>
    <mergeCell ref="B11:B13"/>
    <mergeCell ref="T12:T16"/>
    <mergeCell ref="B14:B16"/>
  </mergeCells>
  <hyperlinks>
    <hyperlink ref="V12" r:id="rId1"/>
    <hyperlink ref="V13" r:id="rId2"/>
    <hyperlink ref="V14" r:id="rId3"/>
    <hyperlink ref="V15" r:id="rId4"/>
    <hyperlink ref="V16" r:id="rId5"/>
  </hyperlinks>
  <pageMargins left="0.7" right="0.7" top="0.75" bottom="0.75" header="0.3" footer="0.3"/>
  <pageSetup orientation="portrait" r:id="rId6"/>
  <drawing r:id="rId7"/>
  <legacyDrawing r:id="rId8"/>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sheetPr>
    <tabColor theme="5" tint="0.39997558519241921"/>
    <pageSetUpPr autoPageBreaks="0"/>
  </sheetPr>
  <dimension ref="A1:BX590"/>
  <sheetViews>
    <sheetView showGridLines="0" topLeftCell="A68" workbookViewId="0">
      <selection activeCell="AY72" sqref="AY72"/>
    </sheetView>
  </sheetViews>
  <sheetFormatPr defaultColWidth="9.140625" defaultRowHeight="12.75" outlineLevelCol="1"/>
  <cols>
    <col min="1" max="1" width="2.140625" style="3297" customWidth="1"/>
    <col min="2" max="2" width="4.42578125" style="3297" customWidth="1"/>
    <col min="3" max="3" width="5.42578125" style="3297" bestFit="1" customWidth="1"/>
    <col min="4" max="4" width="28.140625" style="3297" customWidth="1"/>
    <col min="5" max="5" width="10.28515625" style="3297" customWidth="1"/>
    <col min="6" max="6" width="16" style="3297" customWidth="1"/>
    <col min="7" max="7" width="10.28515625" style="3297" hidden="1" customWidth="1" outlineLevel="1"/>
    <col min="8" max="48" width="10.85546875" style="3297" hidden="1" customWidth="1" outlineLevel="1"/>
    <col min="49" max="49" width="17.42578125" style="3297" hidden="1" customWidth="1" outlineLevel="1"/>
    <col min="50" max="50" width="10.85546875" style="3297" customWidth="1" collapsed="1"/>
    <col min="51" max="53" width="10" style="3297" customWidth="1"/>
    <col min="54" max="54" width="12.42578125" style="3297" bestFit="1" customWidth="1"/>
    <col min="55" max="58" width="10.42578125" style="3297" bestFit="1" customWidth="1"/>
    <col min="59" max="61" width="11.42578125" style="3297" bestFit="1" customWidth="1"/>
    <col min="62" max="62" width="9.140625" style="3297"/>
    <col min="63" max="63" width="16.7109375" style="3297" bestFit="1" customWidth="1"/>
    <col min="64" max="64" width="20.7109375" style="3297" bestFit="1" customWidth="1"/>
    <col min="65" max="65" width="8.42578125" style="3297" customWidth="1"/>
    <col min="66" max="66" width="17.85546875" style="3297" bestFit="1" customWidth="1"/>
    <col min="67" max="75" width="5.42578125" style="3297" bestFit="1" customWidth="1"/>
    <col min="76" max="16384" width="9.140625" style="3297"/>
  </cols>
  <sheetData>
    <row r="1" spans="1:76" ht="6.75" customHeight="1"/>
    <row r="2" spans="1:76" ht="22.5">
      <c r="A2" s="420"/>
      <c r="B2" s="206" t="s">
        <v>1125</v>
      </c>
      <c r="C2" s="175"/>
      <c r="D2" s="175"/>
      <c r="E2" s="175"/>
      <c r="F2" s="175"/>
      <c r="G2" s="175"/>
      <c r="H2" s="175"/>
      <c r="I2" s="175"/>
      <c r="J2" s="175"/>
      <c r="K2" s="175"/>
      <c r="L2" s="175"/>
      <c r="M2" s="175"/>
      <c r="N2" s="175"/>
      <c r="O2" s="175"/>
      <c r="P2" s="175"/>
      <c r="Q2" s="175"/>
      <c r="R2" s="175"/>
      <c r="S2" s="175"/>
      <c r="T2" s="175"/>
      <c r="U2" s="175"/>
      <c r="V2" s="175"/>
      <c r="W2" s="175"/>
      <c r="X2" s="175"/>
      <c r="Y2" s="175"/>
      <c r="Z2" s="175"/>
      <c r="AA2" s="175"/>
      <c r="AB2" s="175"/>
      <c r="AC2" s="175"/>
      <c r="AD2" s="175"/>
      <c r="AE2" s="175"/>
      <c r="AF2" s="175"/>
      <c r="AG2" s="175"/>
      <c r="AH2" s="175"/>
      <c r="AI2" s="175"/>
      <c r="AJ2" s="175"/>
      <c r="AK2" s="175"/>
      <c r="AL2" s="175"/>
      <c r="AM2" s="175"/>
      <c r="AN2" s="175"/>
      <c r="AO2" s="175"/>
      <c r="AP2" s="175"/>
      <c r="AQ2" s="175"/>
      <c r="AR2" s="175"/>
      <c r="AS2" s="175"/>
      <c r="AT2" s="175"/>
      <c r="AU2" s="175"/>
      <c r="AV2" s="175"/>
      <c r="AW2" s="175"/>
      <c r="AX2" s="175"/>
      <c r="AY2" s="175"/>
      <c r="AZ2" s="175"/>
      <c r="BA2" s="175"/>
      <c r="BB2" s="175"/>
      <c r="BC2" s="175"/>
      <c r="BD2" s="175"/>
      <c r="BE2" s="175"/>
      <c r="BF2" s="175"/>
      <c r="BG2" s="175"/>
      <c r="BH2" s="175"/>
      <c r="BI2" s="175"/>
      <c r="BJ2" s="177"/>
    </row>
    <row r="3" spans="1:76" s="51" customFormat="1" ht="20.25" customHeight="1">
      <c r="B3" s="164"/>
      <c r="C3" s="166"/>
      <c r="D3" s="166"/>
      <c r="E3" s="166"/>
      <c r="F3" s="166"/>
      <c r="G3" s="166"/>
      <c r="H3" s="1156" t="s">
        <v>1126</v>
      </c>
      <c r="I3" s="1156"/>
      <c r="J3" s="1156"/>
      <c r="K3" s="1156"/>
      <c r="L3" s="1156"/>
      <c r="M3" s="1156"/>
      <c r="N3" s="1156"/>
      <c r="O3" s="1156"/>
      <c r="P3" s="1156"/>
      <c r="Q3" s="1156"/>
      <c r="R3" s="1156"/>
      <c r="S3" s="1156"/>
      <c r="T3" s="1156"/>
      <c r="U3" s="1156"/>
      <c r="V3" s="1156"/>
      <c r="W3" s="1156"/>
      <c r="X3" s="1156"/>
      <c r="Y3" s="1156"/>
      <c r="Z3" s="1156"/>
      <c r="AA3" s="1156"/>
      <c r="AB3" s="1156"/>
      <c r="AC3" s="1156"/>
      <c r="AD3" s="1156"/>
      <c r="AE3" s="1156"/>
      <c r="AF3" s="1156"/>
      <c r="AG3" s="1156"/>
      <c r="AH3" s="1156"/>
      <c r="AI3" s="1156"/>
      <c r="AJ3" s="1156"/>
      <c r="AK3" s="1156"/>
      <c r="AL3" s="1156"/>
      <c r="AM3" s="1156"/>
      <c r="AN3" s="1156"/>
      <c r="AO3" s="1156"/>
      <c r="AP3" s="1156"/>
      <c r="AQ3" s="1156"/>
      <c r="AR3" s="1156"/>
      <c r="AS3" s="1156"/>
      <c r="AT3" s="1156"/>
      <c r="AU3" s="1156"/>
      <c r="AV3" s="1156"/>
      <c r="AW3" s="1156"/>
      <c r="AX3" s="166"/>
      <c r="AY3" s="166" t="s">
        <v>1198</v>
      </c>
      <c r="AZ3" s="166"/>
      <c r="BA3" s="166"/>
      <c r="BB3" s="166"/>
      <c r="BC3" s="166"/>
      <c r="BD3" s="166"/>
      <c r="BE3" s="166"/>
      <c r="BF3" s="166"/>
      <c r="BG3" s="166"/>
      <c r="BH3" s="1157"/>
      <c r="BI3" s="1158"/>
      <c r="BJ3" s="181"/>
      <c r="BL3" s="3297"/>
      <c r="BM3" s="3297"/>
      <c r="BN3" s="3297"/>
      <c r="BO3" s="3297"/>
      <c r="BP3" s="3297"/>
      <c r="BQ3" s="3297"/>
      <c r="BR3" s="3297"/>
      <c r="BS3" s="3297"/>
      <c r="BT3" s="3297"/>
      <c r="BU3" s="3297"/>
      <c r="BV3" s="3297"/>
      <c r="BW3" s="3297"/>
      <c r="BX3" s="3297"/>
    </row>
    <row r="4" spans="1:76" ht="20.25" customHeight="1">
      <c r="B4" s="164"/>
      <c r="C4" s="166"/>
      <c r="D4" s="2403" t="str">
        <f>preferences.energyunits &amp; " / year"</f>
        <v>TWh / year</v>
      </c>
      <c r="E4" s="166"/>
      <c r="F4" s="2404" t="s">
        <v>1127</v>
      </c>
      <c r="G4" s="1159"/>
      <c r="H4" s="1160">
        <v>1970</v>
      </c>
      <c r="I4" s="1160">
        <v>1971</v>
      </c>
      <c r="J4" s="1160">
        <v>1972</v>
      </c>
      <c r="K4" s="1160">
        <v>1973</v>
      </c>
      <c r="L4" s="1160">
        <v>1974</v>
      </c>
      <c r="M4" s="1160">
        <v>1975</v>
      </c>
      <c r="N4" s="1160">
        <v>1976</v>
      </c>
      <c r="O4" s="1160">
        <v>1977</v>
      </c>
      <c r="P4" s="1160">
        <v>1978</v>
      </c>
      <c r="Q4" s="1160">
        <v>1979</v>
      </c>
      <c r="R4" s="1160">
        <v>1980</v>
      </c>
      <c r="S4" s="1160">
        <v>1981</v>
      </c>
      <c r="T4" s="1160">
        <v>1982</v>
      </c>
      <c r="U4" s="1160">
        <v>1983</v>
      </c>
      <c r="V4" s="1160">
        <v>1984</v>
      </c>
      <c r="W4" s="1160">
        <v>1985</v>
      </c>
      <c r="X4" s="1160">
        <v>1986</v>
      </c>
      <c r="Y4" s="1160">
        <v>1987</v>
      </c>
      <c r="Z4" s="1160">
        <v>1988</v>
      </c>
      <c r="AA4" s="1160">
        <v>1989</v>
      </c>
      <c r="AB4" s="1160">
        <v>1990</v>
      </c>
      <c r="AC4" s="1160">
        <v>1991</v>
      </c>
      <c r="AD4" s="1160">
        <v>1992</v>
      </c>
      <c r="AE4" s="1160">
        <v>1993</v>
      </c>
      <c r="AF4" s="1160">
        <v>1994</v>
      </c>
      <c r="AG4" s="1160">
        <v>1995</v>
      </c>
      <c r="AH4" s="1160">
        <v>1996</v>
      </c>
      <c r="AI4" s="1160">
        <v>1997</v>
      </c>
      <c r="AJ4" s="1160">
        <v>1998</v>
      </c>
      <c r="AK4" s="1160">
        <v>1999</v>
      </c>
      <c r="AL4" s="1160">
        <v>2000</v>
      </c>
      <c r="AM4" s="1160">
        <v>2001</v>
      </c>
      <c r="AN4" s="1160">
        <v>2002</v>
      </c>
      <c r="AO4" s="1160">
        <v>2003</v>
      </c>
      <c r="AP4" s="1160">
        <v>2004</v>
      </c>
      <c r="AQ4" s="1160">
        <v>2005</v>
      </c>
      <c r="AR4" s="1160">
        <v>2006</v>
      </c>
      <c r="AS4" s="1160">
        <v>2007</v>
      </c>
      <c r="AT4" s="1160">
        <v>2008</v>
      </c>
      <c r="AU4" s="1160">
        <v>2009</v>
      </c>
      <c r="AV4" s="1160">
        <v>2010</v>
      </c>
      <c r="AW4" s="1161" t="s">
        <v>177</v>
      </c>
      <c r="AX4" s="166"/>
      <c r="AY4" s="2405">
        <v>2007</v>
      </c>
      <c r="AZ4" s="2405"/>
      <c r="BA4" s="2405">
        <f>AY4+5</f>
        <v>2012</v>
      </c>
      <c r="BB4" s="2405">
        <f t="shared" ref="BB4:BI4" si="0">BA4+5</f>
        <v>2017</v>
      </c>
      <c r="BC4" s="2405">
        <f t="shared" si="0"/>
        <v>2022</v>
      </c>
      <c r="BD4" s="2405">
        <f t="shared" si="0"/>
        <v>2027</v>
      </c>
      <c r="BE4" s="2405">
        <f t="shared" si="0"/>
        <v>2032</v>
      </c>
      <c r="BF4" s="2405">
        <f t="shared" si="0"/>
        <v>2037</v>
      </c>
      <c r="BG4" s="2405">
        <f t="shared" si="0"/>
        <v>2042</v>
      </c>
      <c r="BH4" s="2405">
        <f t="shared" si="0"/>
        <v>2047</v>
      </c>
      <c r="BI4" s="2405">
        <f t="shared" si="0"/>
        <v>2052</v>
      </c>
      <c r="BJ4" s="168"/>
    </row>
    <row r="5" spans="1:76">
      <c r="B5" s="164"/>
      <c r="C5" s="166"/>
      <c r="D5" s="166"/>
      <c r="E5" s="166"/>
      <c r="F5" s="166"/>
      <c r="G5" s="166"/>
      <c r="H5" s="1156"/>
      <c r="I5" s="1156"/>
      <c r="J5" s="1156"/>
      <c r="K5" s="1156"/>
      <c r="L5" s="1156"/>
      <c r="M5" s="1156"/>
      <c r="N5" s="1156"/>
      <c r="O5" s="1156"/>
      <c r="P5" s="1156"/>
      <c r="Q5" s="1156"/>
      <c r="R5" s="1156"/>
      <c r="S5" s="1156"/>
      <c r="T5" s="1156"/>
      <c r="U5" s="1156"/>
      <c r="V5" s="1156"/>
      <c r="W5" s="1156"/>
      <c r="X5" s="1156"/>
      <c r="Y5" s="1156"/>
      <c r="Z5" s="1156"/>
      <c r="AA5" s="1156"/>
      <c r="AB5" s="1156"/>
      <c r="AC5" s="1156"/>
      <c r="AD5" s="1156"/>
      <c r="AE5" s="1156"/>
      <c r="AF5" s="1156"/>
      <c r="AG5" s="1156"/>
      <c r="AH5" s="1156"/>
      <c r="AI5" s="1156"/>
      <c r="AJ5" s="1156"/>
      <c r="AK5" s="1156"/>
      <c r="AL5" s="1156"/>
      <c r="AM5" s="1156"/>
      <c r="AN5" s="1156"/>
      <c r="AO5" s="1156"/>
      <c r="AP5" s="1156"/>
      <c r="AQ5" s="1156"/>
      <c r="AR5" s="1156"/>
      <c r="AS5" s="1156"/>
      <c r="AT5" s="1156"/>
      <c r="AU5" s="1156"/>
      <c r="AV5" s="1156"/>
      <c r="AW5" s="1156"/>
      <c r="AX5" s="166"/>
      <c r="AY5" s="166"/>
      <c r="AZ5" s="166"/>
      <c r="BA5" s="166"/>
      <c r="BB5" s="166"/>
      <c r="BC5" s="166"/>
      <c r="BD5" s="166"/>
      <c r="BE5" s="166"/>
      <c r="BF5" s="166"/>
      <c r="BG5" s="166"/>
      <c r="BH5" s="166"/>
      <c r="BI5" s="166"/>
      <c r="BJ5" s="168"/>
    </row>
    <row r="6" spans="1:76" s="410" customFormat="1">
      <c r="B6" s="1162"/>
      <c r="C6" s="1163" t="s">
        <v>1128</v>
      </c>
      <c r="D6" s="1164"/>
      <c r="E6" s="166"/>
      <c r="F6" s="267"/>
      <c r="G6" s="267"/>
      <c r="H6" s="1165"/>
      <c r="I6" s="1165"/>
      <c r="J6" s="1165"/>
      <c r="K6" s="1165"/>
      <c r="L6" s="1165"/>
      <c r="M6" s="1165"/>
      <c r="N6" s="1165"/>
      <c r="O6" s="1165"/>
      <c r="P6" s="1165"/>
      <c r="Q6" s="1165"/>
      <c r="R6" s="1165"/>
      <c r="S6" s="1165"/>
      <c r="T6" s="1165"/>
      <c r="U6" s="1165"/>
      <c r="V6" s="1165"/>
      <c r="W6" s="1165"/>
      <c r="X6" s="1165"/>
      <c r="Y6" s="1165"/>
      <c r="Z6" s="1165"/>
      <c r="AA6" s="1165"/>
      <c r="AB6" s="1165"/>
      <c r="AC6" s="1165"/>
      <c r="AD6" s="1165"/>
      <c r="AE6" s="1165"/>
      <c r="AF6" s="1165"/>
      <c r="AG6" s="1165"/>
      <c r="AH6" s="1165"/>
      <c r="AI6" s="1165"/>
      <c r="AJ6" s="1165"/>
      <c r="AK6" s="1165"/>
      <c r="AL6" s="1165"/>
      <c r="AM6" s="1165"/>
      <c r="AN6" s="1165"/>
      <c r="AO6" s="1165"/>
      <c r="AP6" s="1165"/>
      <c r="AQ6" s="1165"/>
      <c r="AR6" s="1165"/>
      <c r="AS6" s="1165"/>
      <c r="AT6" s="1165"/>
      <c r="AU6" s="1165"/>
      <c r="AV6" s="1165"/>
      <c r="AW6" s="1165"/>
      <c r="AX6" s="166"/>
      <c r="AY6" s="267"/>
      <c r="AZ6" s="267"/>
      <c r="BA6" s="267"/>
      <c r="BB6" s="267"/>
      <c r="BC6" s="267"/>
      <c r="BD6" s="267"/>
      <c r="BE6" s="267"/>
      <c r="BF6" s="267"/>
      <c r="BG6" s="267"/>
      <c r="BH6" s="267"/>
      <c r="BI6" s="267"/>
      <c r="BJ6" s="1166"/>
      <c r="BK6" s="1167"/>
    </row>
    <row r="7" spans="1:76" s="410" customFormat="1">
      <c r="B7" s="1162"/>
      <c r="C7" s="1164" t="s">
        <v>44</v>
      </c>
      <c r="D7" s="1164" t="str">
        <f>INDEX(Vectors[Description], MATCH($C7, Vectors[Code], 0))</f>
        <v>Domestic Lighting &amp; appliances</v>
      </c>
      <c r="E7" s="166"/>
      <c r="F7" s="267"/>
      <c r="G7" s="267"/>
      <c r="H7" s="1165">
        <f>249*Unit.TWh</f>
        <v>249</v>
      </c>
      <c r="I7" s="1165">
        <f>260.7*Unit.TWh</f>
        <v>260.7</v>
      </c>
      <c r="J7" s="1165">
        <f>273.7*Unit.TWh</f>
        <v>273.7</v>
      </c>
      <c r="K7" s="1165">
        <f>292.2*Unit.TWh</f>
        <v>292.2</v>
      </c>
      <c r="L7" s="1165">
        <f>284.5*Unit.TWh</f>
        <v>284.5</v>
      </c>
      <c r="M7" s="1165">
        <f>278.5*Unit.TWh</f>
        <v>278.5</v>
      </c>
      <c r="N7" s="1165">
        <f>290.7*Unit.TWh</f>
        <v>290.7</v>
      </c>
      <c r="O7" s="1165">
        <f>298.1*Unit.TWh</f>
        <v>298.10000000000002</v>
      </c>
      <c r="P7" s="1165">
        <f>313.4*Unit.TWh</f>
        <v>313.39999999999998</v>
      </c>
      <c r="Q7" s="1165">
        <f>320.1*Unit.TWh</f>
        <v>320.10000000000002</v>
      </c>
      <c r="R7" s="1165">
        <f>323.5*Unit.TWh</f>
        <v>323.5</v>
      </c>
      <c r="S7" s="1165">
        <f>314.1*Unit.TWh</f>
        <v>314.10000000000002</v>
      </c>
      <c r="T7" s="1165">
        <f>323.3*Unit.TWh</f>
        <v>323.3</v>
      </c>
      <c r="U7" s="1165">
        <f>333.2*Unit.TWh</f>
        <v>333.2</v>
      </c>
      <c r="V7" s="1165">
        <f>349*Unit.TWh</f>
        <v>349</v>
      </c>
      <c r="W7" s="1165">
        <f>355.7*Unit.TWh</f>
        <v>355.7</v>
      </c>
      <c r="X7" s="1165">
        <f>379.2*Unit.TWh</f>
        <v>379.2</v>
      </c>
      <c r="Y7" s="1165">
        <f>396.1*Unit.TWh</f>
        <v>396.1</v>
      </c>
      <c r="Z7" s="1165">
        <f>421.4*Unit.TWh</f>
        <v>421.4</v>
      </c>
      <c r="AA7" s="1165">
        <f>439.6*Unit.TWh</f>
        <v>439.6</v>
      </c>
      <c r="AB7" s="1165">
        <f>451.4*Unit.TWh</f>
        <v>451.4</v>
      </c>
      <c r="AC7" s="1165">
        <f>448.2*Unit.TWh</f>
        <v>448.2</v>
      </c>
      <c r="AD7" s="1165">
        <f>457.8*Unit.TWh</f>
        <v>457.8</v>
      </c>
      <c r="AE7" s="1165">
        <f>459.4*Unit.TWh</f>
        <v>459.4</v>
      </c>
      <c r="AF7" s="1165">
        <f>461.6*Unit.TWh</f>
        <v>461.6</v>
      </c>
      <c r="AG7" s="1165">
        <f>456.7*Unit.TWh</f>
        <v>456.7</v>
      </c>
      <c r="AH7" s="1165">
        <f>474.2*Unit.TWh</f>
        <v>474.2</v>
      </c>
      <c r="AI7" s="1165">
        <f>479.8*Unit.TWh</f>
        <v>479.8</v>
      </c>
      <c r="AJ7" s="1165">
        <f>477.1*Unit.TWh</f>
        <v>477.1</v>
      </c>
      <c r="AK7" s="1165">
        <f>481.5*Unit.TWh</f>
        <v>481.5</v>
      </c>
      <c r="AL7" s="1165">
        <f>477.7*Unit.TWh</f>
        <v>477.7</v>
      </c>
      <c r="AM7" s="1165">
        <f>478*Unit.TWh</f>
        <v>478</v>
      </c>
      <c r="AN7" s="1165">
        <f>487.7*Unit.TWh</f>
        <v>487.7</v>
      </c>
      <c r="AO7" s="1165">
        <f>486.4*Unit.TWh</f>
        <v>486.4</v>
      </c>
      <c r="AP7" s="1165">
        <f>491*Unit.TWh</f>
        <v>491</v>
      </c>
      <c r="AQ7" s="1165">
        <f>494.4*Unit.TWh</f>
        <v>494.4</v>
      </c>
      <c r="AR7" s="1165">
        <f>497.1*Unit.TWh</f>
        <v>497.1</v>
      </c>
      <c r="AS7" s="1165">
        <f>503*Unit.TWh</f>
        <v>503</v>
      </c>
      <c r="AT7" s="1165">
        <f>491*Unit.TWh</f>
        <v>491</v>
      </c>
      <c r="AU7" s="1165">
        <f>474.3*Unit.TWh</f>
        <v>474.3</v>
      </c>
      <c r="AV7" s="1165">
        <f>476.3*Unit.TWh</f>
        <v>476.3</v>
      </c>
      <c r="AW7" s="1165" t="s">
        <v>2529</v>
      </c>
      <c r="AX7" s="166"/>
      <c r="AY7" s="267">
        <f ca="1">'Intermediate output'!AY7</f>
        <v>125.22829189364668</v>
      </c>
      <c r="AZ7" s="267"/>
      <c r="BA7" s="267">
        <f ca="1">'Intermediate output'!BA7</f>
        <v>169.69505456493178</v>
      </c>
      <c r="BB7" s="267">
        <f ca="1">'Intermediate output'!BB7</f>
        <v>300.04431466291476</v>
      </c>
      <c r="BC7" s="267">
        <f ca="1">'Intermediate output'!BC7</f>
        <v>496.30573002834524</v>
      </c>
      <c r="BD7" s="267">
        <f ca="1">'Intermediate output'!BD7</f>
        <v>774.27220243376769</v>
      </c>
      <c r="BE7" s="267">
        <f ca="1">'Intermediate output'!BE7</f>
        <v>1159.8318853695678</v>
      </c>
      <c r="BF7" s="267">
        <f ca="1">'Intermediate output'!BF7</f>
        <v>1453.7842020047071</v>
      </c>
      <c r="BG7" s="267">
        <f ca="1">'Intermediate output'!BG7</f>
        <v>1804.4491932933804</v>
      </c>
      <c r="BH7" s="267">
        <f ca="1">'Intermediate output'!BH7</f>
        <v>2204.4681998125216</v>
      </c>
      <c r="BI7" s="267">
        <f ca="1">'Intermediate output'!BI7</f>
        <v>2671.8455088986261</v>
      </c>
      <c r="BJ7" s="1166"/>
      <c r="BK7" s="1167"/>
    </row>
    <row r="8" spans="1:76" s="410" customFormat="1">
      <c r="B8" s="1162"/>
      <c r="C8" s="1164" t="s">
        <v>1094</v>
      </c>
      <c r="D8" s="1164" t="str">
        <f>INDEX(Vectors[Description], MATCH($C8, Vectors[Code], 0))</f>
        <v>Commercial Lighting &amp; Appliances</v>
      </c>
      <c r="E8" s="166"/>
      <c r="F8" s="267"/>
      <c r="G8" s="267"/>
      <c r="H8" s="3299">
        <f>13.3*Unit.TWh</f>
        <v>13.3</v>
      </c>
      <c r="I8" s="3299">
        <f>12.4*Unit.TWh</f>
        <v>12.4</v>
      </c>
      <c r="J8" s="3299">
        <f>11.6*Unit.TWh</f>
        <v>11.6</v>
      </c>
      <c r="K8" s="3299">
        <f>11.6*Unit.TWh</f>
        <v>11.6</v>
      </c>
      <c r="L8" s="3299">
        <f>11*Unit.TWh</f>
        <v>11</v>
      </c>
      <c r="M8" s="3299">
        <f>10.7*Unit.TWh</f>
        <v>10.7</v>
      </c>
      <c r="N8" s="3299">
        <f>10.2*Unit.TWh</f>
        <v>10.199999999999999</v>
      </c>
      <c r="O8" s="3299">
        <f>10.3*Unit.TWh</f>
        <v>10.3</v>
      </c>
      <c r="P8" s="3299">
        <f>10.5*Unit.TWh</f>
        <v>10.5</v>
      </c>
      <c r="Q8" s="3299">
        <f>10.3*Unit.TWh</f>
        <v>10.3</v>
      </c>
      <c r="R8" s="3299">
        <f>10.1*Unit.TWh</f>
        <v>10.1</v>
      </c>
      <c r="S8" s="3299">
        <f>9.7*Unit.TWh</f>
        <v>9.6999999999999993</v>
      </c>
      <c r="T8" s="3299">
        <f>8.7*Unit.TWh</f>
        <v>8.6999999999999993</v>
      </c>
      <c r="U8" s="3299">
        <f>9.2*Unit.TWh</f>
        <v>9.1999999999999993</v>
      </c>
      <c r="V8" s="3299">
        <f>8.8*Unit.TWh</f>
        <v>8.8000000000000007</v>
      </c>
      <c r="W8" s="3299">
        <f>8.9*Unit.TWh</f>
        <v>8.9</v>
      </c>
      <c r="X8" s="3299">
        <f>8.9*Unit.TWh</f>
        <v>8.9</v>
      </c>
      <c r="Y8" s="3299">
        <f>8.5*Unit.TWh</f>
        <v>8.5</v>
      </c>
      <c r="Z8" s="3299">
        <f>8.7*Unit.TWh</f>
        <v>8.6999999999999993</v>
      </c>
      <c r="AA8" s="3299">
        <f>8.1*Unit.TWh</f>
        <v>8.1</v>
      </c>
      <c r="AB8" s="3299">
        <f>9.3*Unit.TWh</f>
        <v>9.3000000000000007</v>
      </c>
      <c r="AC8" s="3299">
        <f>9.4*Unit.TWh</f>
        <v>9.4</v>
      </c>
      <c r="AD8" s="3299">
        <f>9.7*Unit.TWh</f>
        <v>9.6999999999999993</v>
      </c>
      <c r="AE8" s="3299">
        <f>10.8*Unit.TWh</f>
        <v>10.8</v>
      </c>
      <c r="AF8" s="3299">
        <f>10.3*Unit.TWh</f>
        <v>10.3</v>
      </c>
      <c r="AG8" s="3299">
        <f>10.7*Unit.TWh</f>
        <v>10.7</v>
      </c>
      <c r="AH8" s="3299">
        <f>11.1*Unit.TWh</f>
        <v>11.1</v>
      </c>
      <c r="AI8" s="3299">
        <f>10.3*Unit.TWh</f>
        <v>10.3</v>
      </c>
      <c r="AJ8" s="3299">
        <f>11.1*Unit.TWh</f>
        <v>11.1</v>
      </c>
      <c r="AK8" s="3299">
        <f>11.3*Unit.TWh</f>
        <v>11.3</v>
      </c>
      <c r="AL8" s="3299">
        <f>11.4*Unit.TWh</f>
        <v>11.4</v>
      </c>
      <c r="AM8" s="3299">
        <f>11.8*Unit.TWh</f>
        <v>11.8</v>
      </c>
      <c r="AN8" s="3299">
        <f>11.5*Unit.TWh</f>
        <v>11.5</v>
      </c>
      <c r="AO8" s="3299">
        <f>11.4*Unit.TWh</f>
        <v>11.4</v>
      </c>
      <c r="AP8" s="1165">
        <f>12.2*Unit.TWh</f>
        <v>12.2</v>
      </c>
      <c r="AQ8" s="1165">
        <f>11.9*Unit.TWh</f>
        <v>11.9</v>
      </c>
      <c r="AR8" s="1165">
        <f>11.4*Unit.TWh</f>
        <v>11.4</v>
      </c>
      <c r="AS8" s="1165">
        <f>11.5*Unit.TWh</f>
        <v>11.5</v>
      </c>
      <c r="AT8" s="1165">
        <f>11.5*Unit.TWh</f>
        <v>11.5</v>
      </c>
      <c r="AU8" s="1165">
        <f>11.5*Unit.TWh</f>
        <v>11.5</v>
      </c>
      <c r="AV8" s="1165">
        <f>11.5*Unit.TWh</f>
        <v>11.5</v>
      </c>
      <c r="AW8" s="3300" t="s">
        <v>2530</v>
      </c>
      <c r="AX8" s="166"/>
      <c r="AY8" s="267">
        <f ca="1">'Intermediate output'!AY8</f>
        <v>69.837354022093393</v>
      </c>
      <c r="AZ8" s="267"/>
      <c r="BA8" s="267">
        <f ca="1">'Intermediate output'!BA8</f>
        <v>69.837354022093393</v>
      </c>
      <c r="BB8" s="267">
        <f ca="1">'Intermediate output'!BB8</f>
        <v>115.42859864757057</v>
      </c>
      <c r="BC8" s="267">
        <f ca="1">'Intermediate output'!BC8</f>
        <v>190.80114950572121</v>
      </c>
      <c r="BD8" s="267">
        <f ca="1">'Intermediate output'!BD8</f>
        <v>315.42107081978503</v>
      </c>
      <c r="BE8" s="267">
        <f ca="1">'Intermediate output'!BE8</f>
        <v>521.48617151177393</v>
      </c>
      <c r="BF8" s="267">
        <f ca="1">'Intermediate output'!BF8</f>
        <v>689.67530682847894</v>
      </c>
      <c r="BG8" s="267">
        <f ca="1">'Intermediate output'!BG8</f>
        <v>912.10861348452363</v>
      </c>
      <c r="BH8" s="267">
        <f ca="1">'Intermediate output'!BH8</f>
        <v>970.55849777696983</v>
      </c>
      <c r="BI8" s="267">
        <f ca="1">'Intermediate output'!BI8</f>
        <v>1032.7539765340366</v>
      </c>
      <c r="BJ8" s="1166"/>
      <c r="BK8" s="1167"/>
    </row>
    <row r="9" spans="1:76" s="2850" customFormat="1">
      <c r="B9" s="2851"/>
      <c r="C9" s="2852" t="s">
        <v>2139</v>
      </c>
      <c r="D9" s="2852" t="s">
        <v>2140</v>
      </c>
      <c r="E9" s="178"/>
      <c r="F9" s="2853"/>
      <c r="G9" s="2853"/>
      <c r="H9" s="3301"/>
      <c r="I9" s="3301"/>
      <c r="J9" s="3301"/>
      <c r="K9" s="3301"/>
      <c r="L9" s="3301"/>
      <c r="M9" s="3301"/>
      <c r="N9" s="3301"/>
      <c r="O9" s="3301"/>
      <c r="P9" s="3301"/>
      <c r="Q9" s="3301"/>
      <c r="R9" s="3301"/>
      <c r="S9" s="3301"/>
      <c r="T9" s="3301"/>
      <c r="U9" s="3301"/>
      <c r="V9" s="3301"/>
      <c r="W9" s="3301"/>
      <c r="X9" s="3301"/>
      <c r="Y9" s="3301"/>
      <c r="Z9" s="3301"/>
      <c r="AA9" s="3301"/>
      <c r="AB9" s="3301"/>
      <c r="AC9" s="3301"/>
      <c r="AD9" s="3301"/>
      <c r="AE9" s="3301"/>
      <c r="AF9" s="3301"/>
      <c r="AG9" s="3301"/>
      <c r="AH9" s="3301"/>
      <c r="AI9" s="3301"/>
      <c r="AJ9" s="3301"/>
      <c r="AK9" s="3301"/>
      <c r="AL9" s="3301"/>
      <c r="AM9" s="3301"/>
      <c r="AN9" s="3301"/>
      <c r="AO9" s="3301"/>
      <c r="AP9" s="3302"/>
      <c r="AQ9" s="3302"/>
      <c r="AR9" s="3302"/>
      <c r="AS9" s="3302"/>
      <c r="AT9" s="3302"/>
      <c r="AU9" s="3302"/>
      <c r="AV9" s="3302"/>
      <c r="AW9" s="3303"/>
      <c r="AX9" s="178"/>
      <c r="AY9" s="267">
        <f ca="1">'Intermediate output'!AY9</f>
        <v>195.04686356435622</v>
      </c>
      <c r="AZ9" s="2853"/>
      <c r="BA9" s="267">
        <f ca="1">'Intermediate output'!BA9</f>
        <v>239.51357277241706</v>
      </c>
      <c r="BB9" s="267">
        <f ca="1">'Intermediate output'!BB9</f>
        <v>415.43937846394886</v>
      </c>
      <c r="BC9" s="267">
        <f ca="1">'Intermediate output'!BC9</f>
        <v>687.04608464062051</v>
      </c>
      <c r="BD9" s="267">
        <f ca="1">'Intermediate output'!BD9</f>
        <v>1089.5830300801267</v>
      </c>
      <c r="BE9" s="267">
        <f ca="1">'Intermediate output'!BE9</f>
        <v>1681.1144958506338</v>
      </c>
      <c r="BF9" s="267">
        <f ca="1">'Intermediate output'!BF9</f>
        <v>2143.1893083636123</v>
      </c>
      <c r="BG9" s="267">
        <f ca="1">'Intermediate output'!BG9</f>
        <v>2716.1990958498081</v>
      </c>
      <c r="BH9" s="267">
        <f ca="1">'Intermediate output'!BH9</f>
        <v>3174.6434844524338</v>
      </c>
      <c r="BI9" s="267">
        <f ca="1">'Intermediate output'!BI9</f>
        <v>3704.1900397353238</v>
      </c>
      <c r="BJ9" s="2854"/>
      <c r="BK9" s="2855"/>
    </row>
    <row r="10" spans="1:76" s="2850" customFormat="1">
      <c r="B10" s="2851"/>
      <c r="C10" s="2852" t="s">
        <v>13</v>
      </c>
      <c r="D10" s="2852" t="str">
        <f>INDEX(Vectors[Description], MATCH($C10, Vectors[Code], 0))</f>
        <v>Industry</v>
      </c>
      <c r="E10" s="178"/>
      <c r="F10" s="2853"/>
      <c r="G10" s="2853"/>
      <c r="H10" s="3302">
        <f>2.7*Unit.TWh</f>
        <v>2.7</v>
      </c>
      <c r="I10" s="3302">
        <f>3*Unit.TWh</f>
        <v>3</v>
      </c>
      <c r="J10" s="3302">
        <f>3.1*Unit.TWh</f>
        <v>3.1</v>
      </c>
      <c r="K10" s="3302">
        <f>3.4*Unit.TWh</f>
        <v>3.4</v>
      </c>
      <c r="L10" s="3302">
        <f>2.9*Unit.TWh</f>
        <v>2.9</v>
      </c>
      <c r="M10" s="3302">
        <f>3*Unit.TWh</f>
        <v>3</v>
      </c>
      <c r="N10" s="3302">
        <f>3.1*Unit.TWh</f>
        <v>3.1</v>
      </c>
      <c r="O10" s="3302">
        <f>3.3*Unit.TWh</f>
        <v>3.3</v>
      </c>
      <c r="P10" s="3302">
        <f>3.5*Unit.TWh</f>
        <v>3.5</v>
      </c>
      <c r="Q10" s="3302">
        <f>3.6*Unit.TWh</f>
        <v>3.6</v>
      </c>
      <c r="R10" s="3302">
        <f>3.7*Unit.TWh</f>
        <v>3.7</v>
      </c>
      <c r="S10" s="3302">
        <f>3.5*Unit.TWh</f>
        <v>3.5</v>
      </c>
      <c r="T10" s="3302">
        <f>3.5*Unit.TWh</f>
        <v>3.5</v>
      </c>
      <c r="U10" s="3302">
        <f>3.6*Unit.TWh</f>
        <v>3.6</v>
      </c>
      <c r="V10" s="3302">
        <f>3.8*Unit.TWh</f>
        <v>3.8</v>
      </c>
      <c r="W10" s="3302">
        <f>3.9*Unit.TWh</f>
        <v>3.9</v>
      </c>
      <c r="X10" s="3302">
        <f>4.3*Unit.TWh</f>
        <v>4.3</v>
      </c>
      <c r="Y10" s="3302">
        <f>4.5*Unit.TWh</f>
        <v>4.5</v>
      </c>
      <c r="Z10" s="3302">
        <f>4.8*Unit.TWh</f>
        <v>4.8</v>
      </c>
      <c r="AA10" s="3302">
        <f>5.1*Unit.TWh</f>
        <v>5.0999999999999996</v>
      </c>
      <c r="AB10" s="3302">
        <f>5.1*Unit.TWh</f>
        <v>5.0999999999999996</v>
      </c>
      <c r="AC10" s="3302">
        <f>4.8*Unit.TWh</f>
        <v>4.8</v>
      </c>
      <c r="AD10" s="3302">
        <f>5.2*Unit.TWh</f>
        <v>5.2</v>
      </c>
      <c r="AE10" s="3302">
        <f>5.5*Unit.TWh</f>
        <v>5.5</v>
      </c>
      <c r="AF10" s="3302">
        <f>5.6*Unit.TWh</f>
        <v>5.6</v>
      </c>
      <c r="AG10" s="3302">
        <f>5.9*Unit.TWh</f>
        <v>5.9</v>
      </c>
      <c r="AH10" s="3302">
        <f>6.2*Unit.TWh</f>
        <v>6.2</v>
      </c>
      <c r="AI10" s="3302">
        <f>6.5*Unit.TWh</f>
        <v>6.5</v>
      </c>
      <c r="AJ10" s="3302">
        <f>7.1*Unit.TWh</f>
        <v>7.1</v>
      </c>
      <c r="AK10" s="3302">
        <f>7.7*Unit.TWh</f>
        <v>7.7</v>
      </c>
      <c r="AL10" s="3302">
        <f>8.4*Unit.TWh</f>
        <v>8.4</v>
      </c>
      <c r="AM10" s="3302">
        <f>8.2*Unit.TWh</f>
        <v>8.1999999999999993</v>
      </c>
      <c r="AN10" s="3302">
        <f>8.1*Unit.TWh</f>
        <v>8.1</v>
      </c>
      <c r="AO10" s="3302">
        <f>8.3*Unit.TWh</f>
        <v>8.3000000000000007</v>
      </c>
      <c r="AP10" s="3302">
        <f>9*Unit.TWh</f>
        <v>9</v>
      </c>
      <c r="AQ10" s="3302">
        <f>9.7*Unit.TWh</f>
        <v>9.6999999999999993</v>
      </c>
      <c r="AR10" s="3302">
        <f>9.8*Unit.TWh</f>
        <v>9.8000000000000007</v>
      </c>
      <c r="AS10" s="3302">
        <f>9.7*Unit.TWh</f>
        <v>9.6999999999999993</v>
      </c>
      <c r="AT10" s="3302">
        <f>9.4*Unit.TWh</f>
        <v>9.4</v>
      </c>
      <c r="AU10" s="3302">
        <f>8.9*Unit.TWh</f>
        <v>8.9</v>
      </c>
      <c r="AV10" s="3302">
        <f>8.6*Unit.TWh</f>
        <v>8.6</v>
      </c>
      <c r="AW10" s="3302" t="s">
        <v>2529</v>
      </c>
      <c r="AX10" s="178"/>
      <c r="AY10" s="267">
        <f ca="1">'Intermediate output'!AY10</f>
        <v>1615.7381002510185</v>
      </c>
      <c r="AZ10" s="2853"/>
      <c r="BA10" s="267">
        <f ca="1">'Intermediate output'!BA10</f>
        <v>2278.7991580746871</v>
      </c>
      <c r="BB10" s="267">
        <f ca="1">'Intermediate output'!BB10</f>
        <v>3188.0989682873605</v>
      </c>
      <c r="BC10" s="267">
        <f ca="1">'Intermediate output'!BC10</f>
        <v>4295.4614477243704</v>
      </c>
      <c r="BD10" s="267">
        <f ca="1">'Intermediate output'!BD10</f>
        <v>5520.8820237437531</v>
      </c>
      <c r="BE10" s="267">
        <f ca="1">'Intermediate output'!BE10</f>
        <v>6883.4692319432552</v>
      </c>
      <c r="BF10" s="267">
        <f ca="1">'Intermediate output'!BF10</f>
        <v>8404.5908555044025</v>
      </c>
      <c r="BG10" s="267">
        <f ca="1">'Intermediate output'!BG10</f>
        <v>9897.3852759882448</v>
      </c>
      <c r="BH10" s="267">
        <f ca="1">'Intermediate output'!BH10</f>
        <v>11326.434333202775</v>
      </c>
      <c r="BI10" s="267">
        <f ca="1">'Intermediate output'!BI10</f>
        <v>12793.271831310853</v>
      </c>
      <c r="BJ10" s="2854"/>
      <c r="BK10" s="2855"/>
    </row>
    <row r="11" spans="1:76" s="410" customFormat="1">
      <c r="B11" s="1162"/>
      <c r="C11" s="1164" t="s">
        <v>27</v>
      </c>
      <c r="D11" s="1164" t="str">
        <f>INDEX(Vectors[Description], MATCH($C11, Vectors[Code], 0))</f>
        <v>Road transport</v>
      </c>
      <c r="E11" s="166"/>
      <c r="F11" s="267"/>
      <c r="G11" s="267"/>
      <c r="H11" s="1165">
        <f>15*Unit.TWh</f>
        <v>15</v>
      </c>
      <c r="I11" s="1165">
        <f>13.3*Unit.TWh</f>
        <v>13.3</v>
      </c>
      <c r="J11" s="1165">
        <f>11.5*Unit.TWh</f>
        <v>11.5</v>
      </c>
      <c r="K11" s="1165">
        <f>12.8*Unit.TWh</f>
        <v>12.8</v>
      </c>
      <c r="L11" s="1165">
        <f>14.5*Unit.TWh</f>
        <v>14.5</v>
      </c>
      <c r="M11" s="1165">
        <f>15.2*Unit.TWh</f>
        <v>15.2</v>
      </c>
      <c r="N11" s="1165">
        <f>15.4*Unit.TWh</f>
        <v>15.4</v>
      </c>
      <c r="O11" s="1165">
        <f>15.4*Unit.TWh</f>
        <v>15.4</v>
      </c>
      <c r="P11" s="1165">
        <f>15.2*Unit.TWh</f>
        <v>15.2</v>
      </c>
      <c r="Q11" s="1165">
        <f>15.9*Unit.TWh</f>
        <v>15.9</v>
      </c>
      <c r="R11" s="1165">
        <f>14.7*Unit.TWh</f>
        <v>14.7</v>
      </c>
      <c r="S11" s="1165">
        <f>12.8*Unit.TWh</f>
        <v>12.8</v>
      </c>
      <c r="T11" s="1165">
        <f>13.8*Unit.TWh</f>
        <v>13.8</v>
      </c>
      <c r="U11" s="1165">
        <f>14.1*Unit.TWh</f>
        <v>14.1</v>
      </c>
      <c r="V11" s="1165">
        <f>15.4*Unit.TWh</f>
        <v>15.4</v>
      </c>
      <c r="W11" s="1165">
        <f>14.6*Unit.TWh</f>
        <v>14.6</v>
      </c>
      <c r="X11" s="1165">
        <f>13.4*Unit.TWh</f>
        <v>13.4</v>
      </c>
      <c r="Y11" s="1165">
        <f>12.8*Unit.TWh</f>
        <v>12.8</v>
      </c>
      <c r="Z11" s="1165">
        <f>13.5*Unit.TWh</f>
        <v>13.5</v>
      </c>
      <c r="AA11" s="1165">
        <f>15.8*Unit.TWh</f>
        <v>15.8</v>
      </c>
      <c r="AB11" s="1165">
        <f>15.9*Unit.TWh</f>
        <v>15.9</v>
      </c>
      <c r="AC11" s="1165">
        <f>16.6*Unit.TWh</f>
        <v>16.600000000000001</v>
      </c>
      <c r="AD11" s="1165">
        <f>16*Unit.TWh</f>
        <v>16</v>
      </c>
      <c r="AE11" s="1165">
        <f>15.6*Unit.TWh</f>
        <v>15.6</v>
      </c>
      <c r="AF11" s="1165">
        <f>14.4*Unit.TWh</f>
        <v>14.4</v>
      </c>
      <c r="AG11" s="1165">
        <f>13.9*Unit.TWh</f>
        <v>13.9</v>
      </c>
      <c r="AH11" s="1165">
        <f>15.1*Unit.TWh</f>
        <v>15.1</v>
      </c>
      <c r="AI11" s="1165">
        <f>14.6*Unit.TWh</f>
        <v>14.6</v>
      </c>
      <c r="AJ11" s="1165">
        <f>13.7*Unit.TWh</f>
        <v>13.7</v>
      </c>
      <c r="AK11" s="1165">
        <f>12.4*Unit.TWh</f>
        <v>12.4</v>
      </c>
      <c r="AL11" s="1165">
        <f>12*Unit.TWh</f>
        <v>12</v>
      </c>
      <c r="AM11" s="1165">
        <f>9.8*Unit.TWh</f>
        <v>9.8000000000000007</v>
      </c>
      <c r="AN11" s="1165">
        <f>8.2*Unit.TWh</f>
        <v>8.1999999999999993</v>
      </c>
      <c r="AO11" s="1165">
        <f>14.4*Unit.TWh</f>
        <v>14.4</v>
      </c>
      <c r="AP11" s="1165">
        <f>13.9*Unit.TWh</f>
        <v>13.9</v>
      </c>
      <c r="AQ11" s="1165">
        <f>15.9*Unit.TWh</f>
        <v>15.9</v>
      </c>
      <c r="AR11" s="1165">
        <f>21*Unit.TWh</f>
        <v>21</v>
      </c>
      <c r="AS11" s="1165">
        <f>18.7*Unit.TWh</f>
        <v>18.7</v>
      </c>
      <c r="AT11" s="1165">
        <f>20.4*Unit.TWh</f>
        <v>20.399999999999999</v>
      </c>
      <c r="AU11" s="1165">
        <f>18.9*Unit.TWh</f>
        <v>18.899999999999999</v>
      </c>
      <c r="AV11" s="1165">
        <f>17.1*Unit.TWh</f>
        <v>17.100000000000001</v>
      </c>
      <c r="AW11" s="1165" t="s">
        <v>2529</v>
      </c>
      <c r="AX11" s="166"/>
      <c r="AY11" s="267">
        <f ca="1">'Intermediate output'!AY11</f>
        <v>787.06155646625621</v>
      </c>
      <c r="AZ11" s="267"/>
      <c r="BA11" s="267">
        <f ca="1">'Intermediate output'!BA11</f>
        <v>787.06155646625621</v>
      </c>
      <c r="BB11" s="267">
        <f ca="1">'Intermediate output'!BB11</f>
        <v>1183.5003505918451</v>
      </c>
      <c r="BC11" s="267">
        <f ca="1">'Intermediate output'!BC11</f>
        <v>1701.3122530102653</v>
      </c>
      <c r="BD11" s="267">
        <f ca="1">'Intermediate output'!BD11</f>
        <v>2314.0471127888795</v>
      </c>
      <c r="BE11" s="267">
        <f ca="1">'Intermediate output'!BE11</f>
        <v>3069.4990489133552</v>
      </c>
      <c r="BF11" s="267">
        <f ca="1">'Intermediate output'!BF11</f>
        <v>3939.7762899745112</v>
      </c>
      <c r="BG11" s="267">
        <f ca="1">'Intermediate output'!BG11</f>
        <v>4775.3737630712158</v>
      </c>
      <c r="BH11" s="267">
        <f ca="1">'Intermediate output'!BH11</f>
        <v>5691.5734456276959</v>
      </c>
      <c r="BI11" s="267">
        <f ca="1">'Intermediate output'!BI11</f>
        <v>6608.0229282688942</v>
      </c>
      <c r="BJ11" s="1166"/>
      <c r="BK11" s="1167"/>
    </row>
    <row r="12" spans="1:76" s="410" customFormat="1">
      <c r="B12" s="1162"/>
      <c r="C12" s="1164" t="s">
        <v>28</v>
      </c>
      <c r="D12" s="1164" t="str">
        <f>INDEX(Vectors[Description], MATCH($C12, Vectors[Code], 0))</f>
        <v>Rail transport</v>
      </c>
      <c r="E12" s="166"/>
      <c r="F12" s="267"/>
      <c r="G12" s="267"/>
      <c r="H12" s="1165">
        <f>42.3*Unit.TWh</f>
        <v>42.3</v>
      </c>
      <c r="I12" s="1165">
        <f>46.4*Unit.TWh</f>
        <v>46.4</v>
      </c>
      <c r="J12" s="1165">
        <f>49.3*Unit.TWh</f>
        <v>49.3</v>
      </c>
      <c r="K12" s="1165">
        <f>52.5*Unit.TWh</f>
        <v>52.5</v>
      </c>
      <c r="L12" s="1165">
        <f>46.1*Unit.TWh</f>
        <v>46.1</v>
      </c>
      <c r="M12" s="1165">
        <f>47.4*Unit.TWh</f>
        <v>47.4</v>
      </c>
      <c r="N12" s="1165">
        <f>48.9*Unit.TWh</f>
        <v>48.9</v>
      </c>
      <c r="O12" s="1165">
        <f>51.1*Unit.TWh</f>
        <v>51.1</v>
      </c>
      <c r="P12" s="1165">
        <f>55.2*Unit.TWh</f>
        <v>55.2</v>
      </c>
      <c r="Q12" s="1165">
        <f>57.1*Unit.TWh</f>
        <v>57.1</v>
      </c>
      <c r="R12" s="1165">
        <f>57.3*Unit.TWh</f>
        <v>57.3</v>
      </c>
      <c r="S12" s="1165">
        <f>54.9*Unit.TWh</f>
        <v>54.9</v>
      </c>
      <c r="T12" s="1165">
        <f>54.6*Unit.TWh</f>
        <v>54.6</v>
      </c>
      <c r="U12" s="1165">
        <f>55.7*Unit.TWh</f>
        <v>55.7</v>
      </c>
      <c r="V12" s="1165">
        <f>58.8*Unit.TWh</f>
        <v>58.8</v>
      </c>
      <c r="W12" s="1165">
        <f>61*Unit.TWh</f>
        <v>61</v>
      </c>
      <c r="X12" s="1165">
        <f>67*Unit.TWh</f>
        <v>67</v>
      </c>
      <c r="Y12" s="1165">
        <f>70.8*Unit.TWh</f>
        <v>70.8</v>
      </c>
      <c r="Z12" s="1165">
        <f>75.5*Unit.TWh</f>
        <v>75.5</v>
      </c>
      <c r="AA12" s="1165">
        <f>79.9*Unit.TWh</f>
        <v>79.900000000000006</v>
      </c>
      <c r="AB12" s="1165">
        <f>80.2*Unit.TWh</f>
        <v>80.2</v>
      </c>
      <c r="AC12" s="1165">
        <f>75.1*Unit.TWh</f>
        <v>75.099999999999994</v>
      </c>
      <c r="AD12" s="1165">
        <f>81.3*Unit.TWh</f>
        <v>81.3</v>
      </c>
      <c r="AE12" s="1165">
        <f>86*Unit.TWh</f>
        <v>86</v>
      </c>
      <c r="AF12" s="1165">
        <f>88.2*Unit.TWh</f>
        <v>88.2</v>
      </c>
      <c r="AG12" s="1165">
        <f>92.8*Unit.TWh</f>
        <v>92.8</v>
      </c>
      <c r="AH12" s="1165">
        <f>97.5*Unit.TWh</f>
        <v>97.5</v>
      </c>
      <c r="AI12" s="1165">
        <f>101.9*Unit.TWh</f>
        <v>101.9</v>
      </c>
      <c r="AJ12" s="1165">
        <f>111.9*Unit.TWh</f>
        <v>111.9</v>
      </c>
      <c r="AK12" s="1165">
        <f>120.4*Unit.TWh</f>
        <v>120.4</v>
      </c>
      <c r="AL12" s="1165">
        <f>130.9*Unit.TWh</f>
        <v>130.9</v>
      </c>
      <c r="AM12" s="1165">
        <f>128.7*Unit.TWh</f>
        <v>128.69999999999999</v>
      </c>
      <c r="AN12" s="1165">
        <f>127.4*Unit.TWh</f>
        <v>127.4</v>
      </c>
      <c r="AO12" s="1165">
        <f>130.5*Unit.TWh</f>
        <v>130.5</v>
      </c>
      <c r="AP12" s="1165">
        <f>141.1*Unit.TWh</f>
        <v>141.1</v>
      </c>
      <c r="AQ12" s="1165">
        <f>151.5*Unit.TWh</f>
        <v>151.5</v>
      </c>
      <c r="AR12" s="1165">
        <f>153*Unit.TWh</f>
        <v>153</v>
      </c>
      <c r="AS12" s="1165">
        <f>152*Unit.TWh</f>
        <v>152</v>
      </c>
      <c r="AT12" s="1165">
        <f>147.7*Unit.TWh</f>
        <v>147.69999999999999</v>
      </c>
      <c r="AU12" s="1165">
        <f>139.4*Unit.TWh</f>
        <v>139.4</v>
      </c>
      <c r="AV12" s="1165">
        <f>134.3*Unit.TWh</f>
        <v>134.30000000000001</v>
      </c>
      <c r="AW12" s="1165" t="s">
        <v>2529</v>
      </c>
      <c r="AX12" s="166"/>
      <c r="AY12" s="267">
        <f ca="1">'Intermediate output'!AY12</f>
        <v>40.532439000000011</v>
      </c>
      <c r="AZ12" s="267"/>
      <c r="BA12" s="267">
        <f ca="1">'Intermediate output'!BA12</f>
        <v>40.532439000000011</v>
      </c>
      <c r="BB12" s="267">
        <f ca="1">'Intermediate output'!BB12</f>
        <v>51.889640514935813</v>
      </c>
      <c r="BC12" s="267">
        <f ca="1">'Intermediate output'!BC12</f>
        <v>64.646055064107586</v>
      </c>
      <c r="BD12" s="267">
        <f ca="1">'Intermediate output'!BD12</f>
        <v>78.303037740055146</v>
      </c>
      <c r="BE12" s="267">
        <f ca="1">'Intermediate output'!BE12</f>
        <v>93.684977873310913</v>
      </c>
      <c r="BF12" s="267">
        <f ca="1">'Intermediate output'!BF12</f>
        <v>110.98195843630529</v>
      </c>
      <c r="BG12" s="267">
        <f ca="1">'Intermediate output'!BG12</f>
        <v>119.53006725946128</v>
      </c>
      <c r="BH12" s="267">
        <f ca="1">'Intermediate output'!BH12</f>
        <v>128.80789870764113</v>
      </c>
      <c r="BI12" s="267">
        <f ca="1">'Intermediate output'!BI12</f>
        <v>137.98743134823923</v>
      </c>
      <c r="BJ12" s="1166"/>
      <c r="BK12" s="1167"/>
    </row>
    <row r="13" spans="1:76" s="410" customFormat="1">
      <c r="B13" s="1162"/>
      <c r="C13" s="1164" t="s">
        <v>29</v>
      </c>
      <c r="D13" s="1164" t="str">
        <f>INDEX(Vectors[Description], MATCH($C13, Vectors[Code], 0))</f>
        <v>Domestic aviation</v>
      </c>
      <c r="E13" s="166"/>
      <c r="F13" s="267"/>
      <c r="G13" s="267"/>
      <c r="H13" s="1165"/>
      <c r="I13" s="1165"/>
      <c r="J13" s="1165"/>
      <c r="K13" s="1165"/>
      <c r="L13" s="1165"/>
      <c r="M13" s="1165"/>
      <c r="N13" s="1165"/>
      <c r="O13" s="1165"/>
      <c r="P13" s="1165"/>
      <c r="Q13" s="1165"/>
      <c r="R13" s="1165"/>
      <c r="S13" s="1165"/>
      <c r="T13" s="1165"/>
      <c r="U13" s="1165"/>
      <c r="V13" s="1165"/>
      <c r="W13" s="1165"/>
      <c r="X13" s="1165"/>
      <c r="Y13" s="1165"/>
      <c r="Z13" s="1165"/>
      <c r="AA13" s="1165"/>
      <c r="AB13" s="3299">
        <f>40.1*Unit.TWh</f>
        <v>40.1</v>
      </c>
      <c r="AC13" s="3299">
        <f>40.6*Unit.TWh</f>
        <v>40.6</v>
      </c>
      <c r="AD13" s="3299">
        <f>40*Unit.TWh</f>
        <v>40</v>
      </c>
      <c r="AE13" s="3299">
        <f>40.5*Unit.TWh</f>
        <v>40.5</v>
      </c>
      <c r="AF13" s="3299">
        <f>40.7*Unit.TWh</f>
        <v>40.700000000000003</v>
      </c>
      <c r="AG13" s="3299">
        <f>39.1*Unit.TWh</f>
        <v>39.1</v>
      </c>
      <c r="AH13" s="3299">
        <f>39.4*Unit.TWh</f>
        <v>39.4</v>
      </c>
      <c r="AI13" s="3299">
        <f>41.9*Unit.TWh</f>
        <v>41.9</v>
      </c>
      <c r="AJ13" s="3299">
        <f>41.5*Unit.TWh</f>
        <v>41.5</v>
      </c>
      <c r="AK13" s="3299">
        <f>39.9*Unit.TWh</f>
        <v>39.9</v>
      </c>
      <c r="AL13" s="3299">
        <f>43.4*Unit.TWh</f>
        <v>43.4</v>
      </c>
      <c r="AM13" s="3299">
        <f>45.2*Unit.TWh</f>
        <v>45.2</v>
      </c>
      <c r="AN13" s="3299">
        <f>40.7*Unit.TWh</f>
        <v>40.700000000000003</v>
      </c>
      <c r="AO13" s="3299">
        <f>43.9*Unit.TWh</f>
        <v>43.9</v>
      </c>
      <c r="AP13" s="3299">
        <f>47.4*Unit.TWh</f>
        <v>47.4</v>
      </c>
      <c r="AQ13" s="3299">
        <f>48.3*Unit.TWh</f>
        <v>48.3</v>
      </c>
      <c r="AR13" s="3299">
        <f>47*Unit.TWh</f>
        <v>47</v>
      </c>
      <c r="AS13" s="1165"/>
      <c r="AT13" s="1165"/>
      <c r="AU13" s="1165"/>
      <c r="AV13" s="1165"/>
      <c r="AW13" s="1165" t="s">
        <v>2531</v>
      </c>
      <c r="AX13" s="166"/>
      <c r="AY13" s="267">
        <f ca="1">'Intermediate output'!AY13</f>
        <v>20.278462364171851</v>
      </c>
      <c r="AZ13" s="267"/>
      <c r="BA13" s="267">
        <f ca="1">'Intermediate output'!BA13</f>
        <v>20.278462364171851</v>
      </c>
      <c r="BB13" s="267">
        <f ca="1">'Intermediate output'!BB13</f>
        <v>36.12439727059617</v>
      </c>
      <c r="BC13" s="267">
        <f ca="1">'Intermediate output'!BC13</f>
        <v>59.137226964286882</v>
      </c>
      <c r="BD13" s="267">
        <f ca="1">'Intermediate output'!BD13</f>
        <v>88.317186557985124</v>
      </c>
      <c r="BE13" s="267">
        <f ca="1">'Intermediate output'!BE13</f>
        <v>124.7495741974252</v>
      </c>
      <c r="BF13" s="267">
        <f ca="1">'Intermediate output'!BF13</f>
        <v>167.86358992348687</v>
      </c>
      <c r="BG13" s="267">
        <f ca="1">'Intermediate output'!BG13</f>
        <v>213.51120810629951</v>
      </c>
      <c r="BH13" s="267">
        <f ca="1">'Intermediate output'!BH13</f>
        <v>264.94707888033457</v>
      </c>
      <c r="BI13" s="267">
        <f ca="1">'Intermediate output'!BI13</f>
        <v>324.82761580889445</v>
      </c>
      <c r="BJ13" s="1166"/>
      <c r="BK13" s="2706"/>
    </row>
    <row r="14" spans="1:76" s="2850" customFormat="1">
      <c r="B14" s="2851"/>
      <c r="C14" s="2852" t="s">
        <v>2141</v>
      </c>
      <c r="D14" s="2852" t="s">
        <v>113</v>
      </c>
      <c r="E14" s="178"/>
      <c r="F14" s="2853"/>
      <c r="G14" s="2853"/>
      <c r="H14" s="3302"/>
      <c r="I14" s="3302"/>
      <c r="J14" s="3302"/>
      <c r="K14" s="3302"/>
      <c r="L14" s="3302"/>
      <c r="M14" s="3302"/>
      <c r="N14" s="3302"/>
      <c r="O14" s="3302"/>
      <c r="P14" s="3302"/>
      <c r="Q14" s="3302"/>
      <c r="R14" s="3302"/>
      <c r="S14" s="3302"/>
      <c r="T14" s="3302"/>
      <c r="U14" s="3302"/>
      <c r="V14" s="3302"/>
      <c r="W14" s="3302"/>
      <c r="X14" s="3302"/>
      <c r="Y14" s="3302"/>
      <c r="Z14" s="3302"/>
      <c r="AA14" s="3302"/>
      <c r="AB14" s="3301"/>
      <c r="AC14" s="3301"/>
      <c r="AD14" s="3301"/>
      <c r="AE14" s="3301"/>
      <c r="AF14" s="3301"/>
      <c r="AG14" s="3301"/>
      <c r="AH14" s="3301"/>
      <c r="AI14" s="3301"/>
      <c r="AJ14" s="3301"/>
      <c r="AK14" s="3301"/>
      <c r="AL14" s="3301"/>
      <c r="AM14" s="3301"/>
      <c r="AN14" s="3301"/>
      <c r="AO14" s="3301"/>
      <c r="AP14" s="3301"/>
      <c r="AQ14" s="3301"/>
      <c r="AR14" s="3301"/>
      <c r="AS14" s="3302"/>
      <c r="AT14" s="3302"/>
      <c r="AU14" s="3302"/>
      <c r="AV14" s="3302"/>
      <c r="AW14" s="3302"/>
      <c r="AX14" s="178"/>
      <c r="AY14" s="267">
        <f ca="1">'Intermediate output'!AY14</f>
        <v>847.87245783042817</v>
      </c>
      <c r="AZ14" s="2853"/>
      <c r="BA14" s="267">
        <f ca="1">'Intermediate output'!BA14</f>
        <v>847.87245783042817</v>
      </c>
      <c r="BB14" s="267">
        <f ca="1">'Intermediate output'!BB14</f>
        <v>1271.5143883773769</v>
      </c>
      <c r="BC14" s="267">
        <f ca="1">'Intermediate output'!BC14</f>
        <v>1825.0955350386596</v>
      </c>
      <c r="BD14" s="267">
        <f ca="1">'Intermediate output'!BD14</f>
        <v>2480.6673370869198</v>
      </c>
      <c r="BE14" s="267">
        <f ca="1">'Intermediate output'!BE14</f>
        <v>3287.9336009840913</v>
      </c>
      <c r="BF14" s="267">
        <f ca="1">'Intermediate output'!BF14</f>
        <v>4218.6218383343039</v>
      </c>
      <c r="BG14" s="267">
        <f ca="1">'Intermediate output'!BG14</f>
        <v>5108.4150384369768</v>
      </c>
      <c r="BH14" s="267">
        <f ca="1">'Intermediate output'!BH14</f>
        <v>6085.328423215672</v>
      </c>
      <c r="BI14" s="267">
        <f ca="1">'Intermediate output'!BI14</f>
        <v>7070.8379754260286</v>
      </c>
      <c r="BJ14" s="2854"/>
      <c r="BK14" s="2856"/>
    </row>
    <row r="15" spans="1:76">
      <c r="B15" s="164"/>
      <c r="C15" s="166" t="s">
        <v>1528</v>
      </c>
      <c r="D15" s="1164" t="str">
        <f>INDEX(Vectors[Description], MATCH($C15, Vectors[Code], 0))</f>
        <v>Green Building Design &amp; Envelope Savings</v>
      </c>
      <c r="E15" s="166"/>
      <c r="F15" s="1168"/>
      <c r="G15" s="1168"/>
      <c r="H15" s="3304">
        <f>365.6*Unit.TWh</f>
        <v>365.6</v>
      </c>
      <c r="I15" s="3304">
        <f>378.7*Unit.TWh</f>
        <v>378.7</v>
      </c>
      <c r="J15" s="3304">
        <f>391.9*Unit.TWh</f>
        <v>391.9</v>
      </c>
      <c r="K15" s="3304">
        <f>415.1*Unit.TWh</f>
        <v>415.1</v>
      </c>
      <c r="L15" s="3304">
        <f>401.5*Unit.TWh</f>
        <v>401.5</v>
      </c>
      <c r="M15" s="3304">
        <f>397.1*Unit.TWh</f>
        <v>397.1</v>
      </c>
      <c r="N15" s="3304">
        <f>410.4*Unit.TWh</f>
        <v>410.4</v>
      </c>
      <c r="O15" s="3304">
        <f>420.2*Unit.TWh</f>
        <v>420.2</v>
      </c>
      <c r="P15" s="3304">
        <f>439.9*Unit.TWh</f>
        <v>439.9</v>
      </c>
      <c r="Q15" s="3304">
        <f>449.1*Unit.TWh</f>
        <v>449.1</v>
      </c>
      <c r="R15" s="3304">
        <f>451.2*Unit.TWh</f>
        <v>451.2</v>
      </c>
      <c r="S15" s="3304">
        <f>436.8*Unit.TWh</f>
        <v>436.8</v>
      </c>
      <c r="T15" s="3304">
        <f>445.4*Unit.TWh</f>
        <v>445.4</v>
      </c>
      <c r="U15" s="3304">
        <f>457.3*Unit.TWh</f>
        <v>457.3</v>
      </c>
      <c r="V15" s="3304">
        <f>477.3*Unit.TWh</f>
        <v>477.3</v>
      </c>
      <c r="W15" s="3304">
        <f>485.6*Unit.TWh</f>
        <v>485.6</v>
      </c>
      <c r="X15" s="3304">
        <f>514.2*Unit.TWh</f>
        <v>514.20000000000005</v>
      </c>
      <c r="Y15" s="3304">
        <f>534.2*Unit.TWh</f>
        <v>534.20000000000005</v>
      </c>
      <c r="Z15" s="3304">
        <f>565.2*Unit.TWh</f>
        <v>565.20000000000005</v>
      </c>
      <c r="AA15" s="3304">
        <f>589.6*Unit.TWh</f>
        <v>589.6</v>
      </c>
      <c r="AB15" s="3304">
        <f>603.5*Unit.TWh</f>
        <v>603.5</v>
      </c>
      <c r="AC15" s="3304">
        <f>595.8*Unit.TWh</f>
        <v>595.79999999999995</v>
      </c>
      <c r="AD15" s="3304">
        <f>611.8*Unit.TWh</f>
        <v>611.79999999999995</v>
      </c>
      <c r="AE15" s="3304">
        <f>619.6*Unit.TWh</f>
        <v>619.6</v>
      </c>
      <c r="AF15" s="3304">
        <f>622.3*Unit.TWh</f>
        <v>622.29999999999995</v>
      </c>
      <c r="AG15" s="3304">
        <f>622.1*Unit.TWh</f>
        <v>622.1</v>
      </c>
      <c r="AH15" s="3304">
        <f>646.4*Unit.TWh</f>
        <v>646.4</v>
      </c>
      <c r="AI15" s="3304">
        <f>655.2*Unit.TWh</f>
        <v>655.20000000000005</v>
      </c>
      <c r="AJ15" s="3304">
        <f>663.3*Unit.TWh</f>
        <v>663.3</v>
      </c>
      <c r="AK15" s="3304">
        <f>666.7*Unit.TWh</f>
        <v>666.7</v>
      </c>
      <c r="AL15" s="3304">
        <f>670.7*Unit.TWh</f>
        <v>670.7</v>
      </c>
      <c r="AM15" s="3304">
        <f>669.5*Unit.TWh</f>
        <v>669.5</v>
      </c>
      <c r="AN15" s="3304">
        <f>671.4*Unit.TWh</f>
        <v>671.4</v>
      </c>
      <c r="AO15" s="3304">
        <f>677.4*Unit.TWh</f>
        <v>677.4</v>
      </c>
      <c r="AP15" s="3304">
        <f>693.1*Unit.TWh</f>
        <v>693.1</v>
      </c>
      <c r="AQ15" s="3304">
        <f>708.6*Unit.TWh</f>
        <v>708.6</v>
      </c>
      <c r="AR15" s="3304">
        <f>721.2*Unit.TWh</f>
        <v>721.2</v>
      </c>
      <c r="AS15" s="3304">
        <f>724.2*Unit.TWh</f>
        <v>724.2</v>
      </c>
      <c r="AT15" s="3304">
        <f>711.8*Unit.TWh</f>
        <v>711.8</v>
      </c>
      <c r="AU15" s="3304">
        <f>683.4*Unit.TWh</f>
        <v>683.4</v>
      </c>
      <c r="AV15" s="3304">
        <f>674*Unit.TWh</f>
        <v>674</v>
      </c>
      <c r="AW15" s="1165" t="s">
        <v>2532</v>
      </c>
      <c r="AX15" s="166"/>
      <c r="AY15" s="267">
        <f ca="1">'Intermediate output'!AY15</f>
        <v>-1.8782351383851339E-2</v>
      </c>
      <c r="AZ15" s="267"/>
      <c r="BA15" s="267">
        <f ca="1">'Intermediate output'!BA15</f>
        <v>-1.8835814608099886E-2</v>
      </c>
      <c r="BB15" s="267">
        <f ca="1">'Intermediate output'!BB15</f>
        <v>-3.3534846536453375E-2</v>
      </c>
      <c r="BC15" s="267">
        <f ca="1">'Intermediate output'!BC15</f>
        <v>-6.0794893445987486E-2</v>
      </c>
      <c r="BD15" s="267">
        <f ca="1">'Intermediate output'!BD15</f>
        <v>-0.11024317342604743</v>
      </c>
      <c r="BE15" s="267">
        <f ca="1">'Intermediate output'!BE15</f>
        <v>-0.20356103070805628</v>
      </c>
      <c r="BF15" s="267">
        <f ca="1">'Intermediate output'!BF15</f>
        <v>-0.2702004695738901</v>
      </c>
      <c r="BG15" s="267">
        <f ca="1">'Intermediate output'!BG15</f>
        <v>-0.35871092809590743</v>
      </c>
      <c r="BH15" s="267">
        <f ca="1">'Intermediate output'!BH15</f>
        <v>-0.38321313705787546</v>
      </c>
      <c r="BI15" s="267">
        <f ca="1">'Intermediate output'!BI15</f>
        <v>-0.40944569733879987</v>
      </c>
      <c r="BJ15" s="1169"/>
      <c r="BK15" s="22"/>
      <c r="BM15" s="22"/>
      <c r="BN15" s="22"/>
    </row>
    <row r="16" spans="1:76" s="423" customFormat="1">
      <c r="B16" s="1179"/>
      <c r="C16" s="1180" t="s">
        <v>1218</v>
      </c>
      <c r="D16" s="2852" t="s">
        <v>106</v>
      </c>
      <c r="E16" s="178"/>
      <c r="F16" s="3305"/>
      <c r="G16" s="3305"/>
      <c r="H16" s="3306"/>
      <c r="I16" s="3306"/>
      <c r="J16" s="3306"/>
      <c r="K16" s="3306"/>
      <c r="L16" s="3306"/>
      <c r="M16" s="3306"/>
      <c r="N16" s="3306"/>
      <c r="O16" s="3306"/>
      <c r="P16" s="3306"/>
      <c r="Q16" s="3306"/>
      <c r="R16" s="3306"/>
      <c r="S16" s="3306"/>
      <c r="T16" s="3306"/>
      <c r="U16" s="3306"/>
      <c r="V16" s="3306"/>
      <c r="W16" s="3306"/>
      <c r="X16" s="3306"/>
      <c r="Y16" s="3306"/>
      <c r="Z16" s="3306"/>
      <c r="AA16" s="3306"/>
      <c r="AB16" s="3306"/>
      <c r="AC16" s="3306"/>
      <c r="AD16" s="3306"/>
      <c r="AE16" s="3306"/>
      <c r="AF16" s="3306"/>
      <c r="AG16" s="3306"/>
      <c r="AH16" s="3306"/>
      <c r="AI16" s="3306"/>
      <c r="AJ16" s="3306"/>
      <c r="AK16" s="3306">
        <f>482.5*Unit.TWh</f>
        <v>482.5</v>
      </c>
      <c r="AL16" s="3306">
        <f>521.7*Unit.TWh</f>
        <v>521.70000000000005</v>
      </c>
      <c r="AM16" s="3306">
        <f>508.2*Unit.TWh</f>
        <v>508.2</v>
      </c>
      <c r="AN16" s="3306">
        <f>481.5*Unit.TWh</f>
        <v>481.5</v>
      </c>
      <c r="AO16" s="3306">
        <f>487.8*Unit.TWh</f>
        <v>487.8</v>
      </c>
      <c r="AP16" s="3306">
        <f>469.8*Unit.TWh</f>
        <v>469.8</v>
      </c>
      <c r="AQ16" s="3306">
        <f>468.3*Unit.TWh</f>
        <v>468.3</v>
      </c>
      <c r="AR16" s="3306">
        <f>460.1*Unit.TWh</f>
        <v>460.1</v>
      </c>
      <c r="AS16" s="3306">
        <f>449.7*Unit.TWh</f>
        <v>449.7</v>
      </c>
      <c r="AT16" s="3306">
        <f>444.7*Unit.TWh</f>
        <v>444.7</v>
      </c>
      <c r="AU16" s="3306">
        <f>388.9*Unit.TWh</f>
        <v>388.9</v>
      </c>
      <c r="AV16" s="3306">
        <f>400.8*Unit.TWh</f>
        <v>400.8</v>
      </c>
      <c r="AW16" s="3302" t="s">
        <v>2533</v>
      </c>
      <c r="AX16" s="178"/>
      <c r="AY16" s="267">
        <f ca="1">'Intermediate output'!AY16</f>
        <v>177.82856075231598</v>
      </c>
      <c r="AZ16" s="2853"/>
      <c r="BA16" s="267">
        <f ca="1">'Intermediate output'!BA16</f>
        <v>237.20689383625</v>
      </c>
      <c r="BB16" s="267">
        <f ca="1">'Intermediate output'!BB16</f>
        <v>328.28524058963927</v>
      </c>
      <c r="BC16" s="267">
        <f ca="1">'Intermediate output'!BC16</f>
        <v>453.51772092097099</v>
      </c>
      <c r="BD16" s="267">
        <f ca="1">'Intermediate output'!BD16</f>
        <v>591.38499180914857</v>
      </c>
      <c r="BE16" s="267">
        <f ca="1">'Intermediate output'!BE16</f>
        <v>750.10240185765565</v>
      </c>
      <c r="BF16" s="267">
        <f ca="1">'Intermediate output'!BF16</f>
        <v>850.28842752484661</v>
      </c>
      <c r="BG16" s="267">
        <f ca="1">'Intermediate output'!BG16</f>
        <v>969.30878318682096</v>
      </c>
      <c r="BH16" s="267">
        <f ca="1">'Intermediate output'!BH16</f>
        <v>1047.8059052018175</v>
      </c>
      <c r="BI16" s="267">
        <f ca="1">'Intermediate output'!BI16</f>
        <v>1134.4954568667354</v>
      </c>
      <c r="BJ16" s="1181"/>
      <c r="BK16" s="73"/>
    </row>
    <row r="17" spans="2:63" s="423" customFormat="1">
      <c r="B17" s="1179"/>
      <c r="C17" s="1180" t="s">
        <v>851</v>
      </c>
      <c r="D17" s="2852" t="s">
        <v>1078</v>
      </c>
      <c r="E17" s="178"/>
      <c r="F17" s="3305"/>
      <c r="G17" s="3305"/>
      <c r="H17" s="3306"/>
      <c r="I17" s="3306"/>
      <c r="J17" s="3306"/>
      <c r="K17" s="3306"/>
      <c r="L17" s="3306"/>
      <c r="M17" s="3306"/>
      <c r="N17" s="3306"/>
      <c r="O17" s="3306"/>
      <c r="P17" s="3306"/>
      <c r="Q17" s="3306"/>
      <c r="R17" s="3306"/>
      <c r="S17" s="3306"/>
      <c r="T17" s="3306"/>
      <c r="U17" s="3306"/>
      <c r="V17" s="3306"/>
      <c r="W17" s="3306"/>
      <c r="X17" s="3306"/>
      <c r="Y17" s="3306"/>
      <c r="Z17" s="3306"/>
      <c r="AA17" s="3306"/>
      <c r="AB17" s="3306"/>
      <c r="AC17" s="3306"/>
      <c r="AD17" s="3306"/>
      <c r="AE17" s="3306"/>
      <c r="AF17" s="3306"/>
      <c r="AG17" s="3306"/>
      <c r="AH17" s="3306"/>
      <c r="AI17" s="3306"/>
      <c r="AJ17" s="3306"/>
      <c r="AK17" s="3306"/>
      <c r="AL17" s="3306">
        <f>616.2*Unit.TWh</f>
        <v>616.20000000000005</v>
      </c>
      <c r="AM17" s="3306">
        <f>629.3*Unit.TWh</f>
        <v>629.29999999999995</v>
      </c>
      <c r="AN17" s="3306">
        <f>592.7*Unit.TWh</f>
        <v>592.70000000000005</v>
      </c>
      <c r="AO17" s="3306">
        <f>601.2*Unit.TWh</f>
        <v>601.20000000000005</v>
      </c>
      <c r="AP17" s="3306">
        <f>614.1*Unit.TWh</f>
        <v>614.1</v>
      </c>
      <c r="AQ17" s="3306">
        <f>590.6*Unit.TWh</f>
        <v>590.6</v>
      </c>
      <c r="AR17" s="3306">
        <f>568.9*Unit.TWh</f>
        <v>568.9</v>
      </c>
      <c r="AS17" s="3306">
        <f>546*Unit.TWh</f>
        <v>546</v>
      </c>
      <c r="AT17" s="3306">
        <f>548.9*Unit.TWh</f>
        <v>548.9</v>
      </c>
      <c r="AU17" s="3306"/>
      <c r="AV17" s="3306"/>
      <c r="AW17" s="3302" t="s">
        <v>2534</v>
      </c>
      <c r="AX17" s="178"/>
      <c r="AY17" s="267">
        <f ca="1">'Intermediate output'!AY17</f>
        <v>13.886920800000002</v>
      </c>
      <c r="AZ17" s="2853"/>
      <c r="BA17" s="267">
        <f ca="1">'Intermediate output'!BA17</f>
        <v>82.680180507719996</v>
      </c>
      <c r="BB17" s="267">
        <f ca="1">'Intermediate output'!BB17</f>
        <v>99.664904892716379</v>
      </c>
      <c r="BC17" s="267">
        <f ca="1">'Intermediate output'!BC17</f>
        <v>122.4937137883776</v>
      </c>
      <c r="BD17" s="267">
        <f ca="1">'Intermediate output'!BD17</f>
        <v>159.42605002636802</v>
      </c>
      <c r="BE17" s="267">
        <f ca="1">'Intermediate output'!BE17</f>
        <v>182.09914419246934</v>
      </c>
      <c r="BF17" s="267">
        <f ca="1">'Intermediate output'!BF17</f>
        <v>192.06311941056913</v>
      </c>
      <c r="BG17" s="267">
        <f ca="1">'Intermediate output'!BG17</f>
        <v>201.26218130858288</v>
      </c>
      <c r="BH17" s="267">
        <f ca="1">'Intermediate output'!BH17</f>
        <v>236.97670613572353</v>
      </c>
      <c r="BI17" s="267">
        <f ca="1">'Intermediate output'!BI17</f>
        <v>299.8511332140688</v>
      </c>
      <c r="BJ17" s="1181"/>
      <c r="BK17" s="73"/>
    </row>
    <row r="18" spans="2:63">
      <c r="B18" s="164"/>
      <c r="C18" s="1170" t="s">
        <v>1052</v>
      </c>
      <c r="D18" s="1164" t="s">
        <v>1946</v>
      </c>
      <c r="E18" s="166"/>
      <c r="F18" s="1168"/>
      <c r="G18" s="1168"/>
      <c r="H18" s="3304"/>
      <c r="I18" s="3304"/>
      <c r="J18" s="3304"/>
      <c r="K18" s="3304"/>
      <c r="L18" s="3304"/>
      <c r="M18" s="3304"/>
      <c r="N18" s="3304"/>
      <c r="O18" s="3304"/>
      <c r="P18" s="3304"/>
      <c r="Q18" s="3304"/>
      <c r="R18" s="3304"/>
      <c r="S18" s="3304"/>
      <c r="T18" s="3304"/>
      <c r="U18" s="3304"/>
      <c r="V18" s="3304"/>
      <c r="W18" s="3304"/>
      <c r="X18" s="3304"/>
      <c r="Y18" s="3304"/>
      <c r="Z18" s="3304"/>
      <c r="AA18" s="3304"/>
      <c r="AB18" s="3304"/>
      <c r="AC18" s="3304"/>
      <c r="AD18" s="3304"/>
      <c r="AE18" s="3304"/>
      <c r="AF18" s="3304"/>
      <c r="AG18" s="3304"/>
      <c r="AH18" s="3304"/>
      <c r="AI18" s="3304"/>
      <c r="AJ18" s="3304"/>
      <c r="AK18" s="3304"/>
      <c r="AL18" s="3304">
        <f>173*Unit.TWh</f>
        <v>173</v>
      </c>
      <c r="AM18" s="3304">
        <f>172*Unit.TWh</f>
        <v>172</v>
      </c>
      <c r="AN18" s="3304">
        <f>177.3*Unit.TWh</f>
        <v>177.3</v>
      </c>
      <c r="AO18" s="3304">
        <f>178.4*Unit.TWh</f>
        <v>178.4</v>
      </c>
      <c r="AP18" s="3304">
        <f>177.9*Unit.TWh</f>
        <v>177.9</v>
      </c>
      <c r="AQ18" s="3304">
        <f>184.1*Unit.TWh</f>
        <v>184.1</v>
      </c>
      <c r="AR18" s="3304">
        <f>185.9*Unit.TWh</f>
        <v>185.9</v>
      </c>
      <c r="AS18" s="3304">
        <f>185.5*Unit.TWh</f>
        <v>185.5</v>
      </c>
      <c r="AT18" s="3304">
        <f>180.4*Unit.TWh</f>
        <v>180.4</v>
      </c>
      <c r="AU18" s="3304"/>
      <c r="AV18" s="3304"/>
      <c r="AW18" s="1165" t="s">
        <v>2534</v>
      </c>
      <c r="AX18" s="166"/>
      <c r="AY18" s="267">
        <f ca="1">'Intermediate output'!AY18</f>
        <v>1045.8611113960574</v>
      </c>
      <c r="AZ18" s="267"/>
      <c r="BA18" s="267">
        <f ca="1">'Intermediate output'!BA18</f>
        <v>1153.7282449630281</v>
      </c>
      <c r="BB18" s="267">
        <f ca="1">'Intermediate output'!BB18</f>
        <v>1148.4989388784084</v>
      </c>
      <c r="BC18" s="267">
        <f ca="1">'Intermediate output'!BC18</f>
        <v>1155.9568110410034</v>
      </c>
      <c r="BD18" s="267">
        <f ca="1">'Intermediate output'!BD18</f>
        <v>1156.4277437769356</v>
      </c>
      <c r="BE18" s="267">
        <f ca="1">'Intermediate output'!BE18</f>
        <v>1145.5431763602155</v>
      </c>
      <c r="BF18" s="267">
        <f ca="1">'Intermediate output'!BF18</f>
        <v>1128.6766748639811</v>
      </c>
      <c r="BG18" s="267">
        <f ca="1">'Intermediate output'!BG18</f>
        <v>1099.7850738372154</v>
      </c>
      <c r="BH18" s="267">
        <f ca="1">'Intermediate output'!BH18</f>
        <v>1069.2095057928398</v>
      </c>
      <c r="BI18" s="267">
        <f ca="1">'Intermediate output'!BI18</f>
        <v>1079.9753438946816</v>
      </c>
      <c r="BJ18" s="1169"/>
      <c r="BK18" s="22"/>
    </row>
    <row r="19" spans="2:63">
      <c r="B19" s="164"/>
      <c r="C19" s="1170" t="s">
        <v>1090</v>
      </c>
      <c r="D19" s="1164" t="s">
        <v>878</v>
      </c>
      <c r="E19" s="166"/>
      <c r="F19" s="1168"/>
      <c r="G19" s="1168"/>
      <c r="H19" s="3304"/>
      <c r="I19" s="3304"/>
      <c r="J19" s="3304"/>
      <c r="K19" s="3304"/>
      <c r="L19" s="3304"/>
      <c r="M19" s="3304"/>
      <c r="N19" s="3304"/>
      <c r="O19" s="3304"/>
      <c r="P19" s="3304"/>
      <c r="Q19" s="3304"/>
      <c r="R19" s="3304"/>
      <c r="S19" s="3304"/>
      <c r="T19" s="3304"/>
      <c r="U19" s="3304"/>
      <c r="V19" s="3304"/>
      <c r="W19" s="3304"/>
      <c r="X19" s="3304"/>
      <c r="Y19" s="3304"/>
      <c r="Z19" s="3304"/>
      <c r="AA19" s="3304"/>
      <c r="AB19" s="3304"/>
      <c r="AC19" s="3304"/>
      <c r="AD19" s="3304"/>
      <c r="AE19" s="3304"/>
      <c r="AF19" s="3304"/>
      <c r="AG19" s="3304"/>
      <c r="AH19" s="3304"/>
      <c r="AI19" s="3304"/>
      <c r="AJ19" s="3304"/>
      <c r="AK19" s="3304"/>
      <c r="AL19" s="3304"/>
      <c r="AM19" s="3304"/>
      <c r="AN19" s="3304"/>
      <c r="AO19" s="3304"/>
      <c r="AP19" s="3304"/>
      <c r="AQ19" s="3304"/>
      <c r="AR19" s="3304"/>
      <c r="AS19" s="3304"/>
      <c r="AT19" s="3304"/>
      <c r="AU19" s="3304"/>
      <c r="AV19" s="3304"/>
      <c r="AW19" s="1171"/>
      <c r="AX19" s="166"/>
      <c r="AY19" s="267">
        <f ca="1">'Intermediate output'!AY19</f>
        <v>42.636687837081858</v>
      </c>
      <c r="AZ19" s="267"/>
      <c r="BA19" s="267">
        <f ca="1">'Intermediate output'!BA19</f>
        <v>64.767224585824962</v>
      </c>
      <c r="BB19" s="267">
        <f ca="1">'Intermediate output'!BB19</f>
        <v>96.64390987736526</v>
      </c>
      <c r="BC19" s="267">
        <f ca="1">'Intermediate output'!BC19</f>
        <v>143.41278923679616</v>
      </c>
      <c r="BD19" s="267">
        <f ca="1">'Intermediate output'!BD19</f>
        <v>210.74579320156334</v>
      </c>
      <c r="BE19" s="267">
        <f ca="1">'Intermediate output'!BE19</f>
        <v>308.34342741085425</v>
      </c>
      <c r="BF19" s="267">
        <f ca="1">'Intermediate output'!BF19</f>
        <v>412.63306124605418</v>
      </c>
      <c r="BG19" s="267">
        <f ca="1">'Intermediate output'!BG19</f>
        <v>552.19611672285725</v>
      </c>
      <c r="BH19" s="267">
        <f ca="1">'Intermediate output'!BH19</f>
        <v>738.96296724992294</v>
      </c>
      <c r="BI19" s="267">
        <f ca="1">'Intermediate output'!BI19</f>
        <v>988.89914367303845</v>
      </c>
      <c r="BJ19" s="1169"/>
      <c r="BK19" s="22"/>
    </row>
    <row r="20" spans="2:63" s="423" customFormat="1">
      <c r="B20" s="1179"/>
      <c r="C20" s="1180" t="s">
        <v>2142</v>
      </c>
      <c r="D20" s="2852" t="s">
        <v>1051</v>
      </c>
      <c r="E20" s="178"/>
      <c r="F20" s="3305"/>
      <c r="G20" s="3305"/>
      <c r="H20" s="3306"/>
      <c r="I20" s="3306"/>
      <c r="J20" s="3306"/>
      <c r="K20" s="3306"/>
      <c r="L20" s="3306"/>
      <c r="M20" s="3306"/>
      <c r="N20" s="3306"/>
      <c r="O20" s="3306"/>
      <c r="P20" s="3306"/>
      <c r="Q20" s="3306"/>
      <c r="R20" s="3306"/>
      <c r="S20" s="3306"/>
      <c r="T20" s="3306"/>
      <c r="U20" s="3306"/>
      <c r="V20" s="3306"/>
      <c r="W20" s="3306"/>
      <c r="X20" s="3306"/>
      <c r="Y20" s="3306"/>
      <c r="Z20" s="3306"/>
      <c r="AA20" s="3306"/>
      <c r="AB20" s="3306"/>
      <c r="AC20" s="3306"/>
      <c r="AD20" s="3306"/>
      <c r="AE20" s="3306"/>
      <c r="AF20" s="3306"/>
      <c r="AG20" s="3306"/>
      <c r="AH20" s="3306"/>
      <c r="AI20" s="3306"/>
      <c r="AJ20" s="3306"/>
      <c r="AK20" s="3306"/>
      <c r="AL20" s="3306"/>
      <c r="AM20" s="3306"/>
      <c r="AN20" s="3306"/>
      <c r="AO20" s="3306"/>
      <c r="AP20" s="3306"/>
      <c r="AQ20" s="3306"/>
      <c r="AR20" s="3306"/>
      <c r="AS20" s="3306"/>
      <c r="AT20" s="3306"/>
      <c r="AU20" s="3306"/>
      <c r="AV20" s="3306"/>
      <c r="AW20" s="1171"/>
      <c r="AX20" s="178"/>
      <c r="AY20" s="267">
        <f ca="1">'Intermediate output'!AY20</f>
        <v>1088.4977992331392</v>
      </c>
      <c r="AZ20" s="2853"/>
      <c r="BA20" s="267">
        <f ca="1">'Intermediate output'!BA20</f>
        <v>1218.4954695488532</v>
      </c>
      <c r="BB20" s="267">
        <f ca="1">'Intermediate output'!BB20</f>
        <v>1245.1428487557737</v>
      </c>
      <c r="BC20" s="267">
        <f ca="1">'Intermediate output'!BC20</f>
        <v>1299.3696002777997</v>
      </c>
      <c r="BD20" s="267">
        <f ca="1">'Intermediate output'!BD20</f>
        <v>1367.173536978499</v>
      </c>
      <c r="BE20" s="267">
        <f ca="1">'Intermediate output'!BE20</f>
        <v>1453.8866037710698</v>
      </c>
      <c r="BF20" s="267">
        <f ca="1">'Intermediate output'!BF20</f>
        <v>1541.3097361100354</v>
      </c>
      <c r="BG20" s="267">
        <f ca="1">'Intermediate output'!BG20</f>
        <v>1651.9811905600727</v>
      </c>
      <c r="BH20" s="267">
        <f ca="1">'Intermediate output'!BH20</f>
        <v>1808.1724730427627</v>
      </c>
      <c r="BI20" s="267">
        <f ca="1">'Intermediate output'!BI20</f>
        <v>2068.8744875677203</v>
      </c>
      <c r="BJ20" s="1181"/>
      <c r="BK20" s="73"/>
    </row>
    <row r="21" spans="2:63" s="859" customFormat="1" ht="18">
      <c r="B21" s="1172"/>
      <c r="C21" s="1173"/>
      <c r="D21" s="1174" t="s">
        <v>2535</v>
      </c>
      <c r="E21" s="166"/>
      <c r="F21" s="1175"/>
      <c r="G21" s="1176"/>
      <c r="H21" s="1171"/>
      <c r="I21" s="1171"/>
      <c r="J21" s="1171"/>
      <c r="K21" s="1171"/>
      <c r="L21" s="1171"/>
      <c r="M21" s="1171"/>
      <c r="N21" s="1171"/>
      <c r="O21" s="1171"/>
      <c r="P21" s="1171"/>
      <c r="Q21" s="1171"/>
      <c r="R21" s="1171"/>
      <c r="S21" s="1171"/>
      <c r="T21" s="1171"/>
      <c r="U21" s="1171"/>
      <c r="V21" s="1171"/>
      <c r="W21" s="1171"/>
      <c r="X21" s="1171"/>
      <c r="Y21" s="1171"/>
      <c r="Z21" s="1171"/>
      <c r="AA21" s="1171"/>
      <c r="AB21" s="1171"/>
      <c r="AC21" s="1171"/>
      <c r="AD21" s="1171"/>
      <c r="AE21" s="1171"/>
      <c r="AF21" s="1171"/>
      <c r="AG21" s="1171"/>
      <c r="AH21" s="1171"/>
      <c r="AI21" s="1171"/>
      <c r="AJ21" s="1171"/>
      <c r="AK21" s="1171"/>
      <c r="AL21" s="1171">
        <f t="shared" ref="AL21:AQ21" si="1">AL16+AL15+AL17+AL18</f>
        <v>1981.6000000000001</v>
      </c>
      <c r="AM21" s="1171">
        <f t="shared" si="1"/>
        <v>1979</v>
      </c>
      <c r="AN21" s="1171">
        <f t="shared" si="1"/>
        <v>1922.9</v>
      </c>
      <c r="AO21" s="1171">
        <f t="shared" si="1"/>
        <v>1944.8000000000002</v>
      </c>
      <c r="AP21" s="1171">
        <f t="shared" si="1"/>
        <v>1954.9</v>
      </c>
      <c r="AQ21" s="1171">
        <f t="shared" si="1"/>
        <v>1951.6</v>
      </c>
      <c r="AR21" s="1171">
        <f>AR16+AR15+AR17+AR18</f>
        <v>1936.1000000000004</v>
      </c>
      <c r="AS21" s="1171"/>
      <c r="AT21" s="1171"/>
      <c r="AU21" s="1171"/>
      <c r="AV21" s="1171"/>
      <c r="AW21" s="1171"/>
      <c r="AX21" s="166"/>
      <c r="AY21" s="1175">
        <f ca="1">'Intermediate output'!AY21</f>
        <v>3938.870702431258</v>
      </c>
      <c r="AZ21" s="1175">
        <f>'Intermediate output'!AZ21</f>
        <v>0</v>
      </c>
      <c r="BA21" s="1175">
        <f ca="1">'Intermediate output'!BA21</f>
        <v>4904.5677325703546</v>
      </c>
      <c r="BB21" s="1175">
        <f ca="1">'Intermediate output'!BB21</f>
        <v>6548.1457293668154</v>
      </c>
      <c r="BC21" s="1175">
        <f ca="1">'Intermediate output'!BC21</f>
        <v>8682.9841023907975</v>
      </c>
      <c r="BD21" s="1175">
        <f ca="1">'Intermediate output'!BD21</f>
        <v>11209.116969724815</v>
      </c>
      <c r="BE21" s="1175">
        <f ca="1">'Intermediate output'!BE21</f>
        <v>14238.605478599175</v>
      </c>
      <c r="BF21" s="1175">
        <f ca="1">'Intermediate output'!BF21</f>
        <v>17350.063285247772</v>
      </c>
      <c r="BG21" s="1175">
        <f ca="1">'Intermediate output'!BG21</f>
        <v>20544.551565330505</v>
      </c>
      <c r="BH21" s="1175">
        <f ca="1">'Intermediate output'!BH21</f>
        <v>23679.361325251186</v>
      </c>
      <c r="BI21" s="1175">
        <f ca="1">'Intermediate output'!BI21</f>
        <v>27071.520924120727</v>
      </c>
      <c r="BJ21" s="1177"/>
      <c r="BK21" s="2707"/>
    </row>
    <row r="22" spans="2:63" s="423" customFormat="1">
      <c r="B22" s="1179"/>
      <c r="C22" s="1180"/>
      <c r="D22" s="178"/>
      <c r="E22" s="166"/>
      <c r="F22" s="3305"/>
      <c r="G22" s="3305"/>
      <c r="H22" s="3306"/>
      <c r="I22" s="3306"/>
      <c r="J22" s="3306"/>
      <c r="K22" s="3306"/>
      <c r="L22" s="3306"/>
      <c r="M22" s="3306"/>
      <c r="N22" s="3306"/>
      <c r="O22" s="3306"/>
      <c r="P22" s="3306"/>
      <c r="Q22" s="3306"/>
      <c r="R22" s="3306"/>
      <c r="S22" s="3306"/>
      <c r="T22" s="3306"/>
      <c r="U22" s="3306"/>
      <c r="V22" s="3306"/>
      <c r="W22" s="3306"/>
      <c r="X22" s="3306"/>
      <c r="Y22" s="3306"/>
      <c r="Z22" s="3306"/>
      <c r="AA22" s="3306"/>
      <c r="AB22" s="3306"/>
      <c r="AC22" s="3306"/>
      <c r="AD22" s="3306"/>
      <c r="AE22" s="3306"/>
      <c r="AF22" s="3306"/>
      <c r="AG22" s="3306"/>
      <c r="AH22" s="3306"/>
      <c r="AI22" s="3306"/>
      <c r="AJ22" s="3306"/>
      <c r="AK22" s="3306"/>
      <c r="AL22" s="3306"/>
      <c r="AM22" s="3306"/>
      <c r="AN22" s="3306"/>
      <c r="AO22" s="3306"/>
      <c r="AP22" s="3306"/>
      <c r="AQ22" s="3306"/>
      <c r="AR22" s="3306"/>
      <c r="AS22" s="3306"/>
      <c r="AT22" s="3306"/>
      <c r="AU22" s="3306"/>
      <c r="AV22" s="3306"/>
      <c r="AW22" s="3306"/>
      <c r="AX22" s="166"/>
      <c r="AY22" s="3305"/>
      <c r="AZ22" s="3305"/>
      <c r="BA22" s="3305"/>
      <c r="BB22" s="3305"/>
      <c r="BC22" s="3305"/>
      <c r="BD22" s="3305"/>
      <c r="BE22" s="3305"/>
      <c r="BF22" s="3305"/>
      <c r="BG22" s="3305"/>
      <c r="BH22" s="3305"/>
      <c r="BI22" s="3305"/>
      <c r="BJ22" s="1181"/>
      <c r="BK22" s="73"/>
    </row>
    <row r="23" spans="2:63" s="37" customFormat="1">
      <c r="B23" s="1182"/>
      <c r="C23" s="1183"/>
      <c r="D23" s="1184"/>
      <c r="E23" s="166"/>
      <c r="F23" s="1185"/>
      <c r="G23" s="1185"/>
      <c r="H23" s="3307"/>
      <c r="I23" s="3307"/>
      <c r="J23" s="3307"/>
      <c r="K23" s="3307"/>
      <c r="L23" s="3307"/>
      <c r="M23" s="3307"/>
      <c r="N23" s="3307"/>
      <c r="O23" s="3307"/>
      <c r="P23" s="3307"/>
      <c r="Q23" s="3307"/>
      <c r="R23" s="3307"/>
      <c r="S23" s="3307"/>
      <c r="T23" s="3307"/>
      <c r="U23" s="3307"/>
      <c r="V23" s="3307"/>
      <c r="W23" s="3307"/>
      <c r="X23" s="3307"/>
      <c r="Y23" s="3307"/>
      <c r="Z23" s="3307"/>
      <c r="AA23" s="3307"/>
      <c r="AB23" s="3307"/>
      <c r="AC23" s="3307"/>
      <c r="AD23" s="3307"/>
      <c r="AE23" s="3307"/>
      <c r="AF23" s="3307"/>
      <c r="AG23" s="3307"/>
      <c r="AH23" s="3307"/>
      <c r="AI23" s="3307"/>
      <c r="AJ23" s="3307"/>
      <c r="AK23" s="3307"/>
      <c r="AL23" s="3307"/>
      <c r="AM23" s="3307"/>
      <c r="AN23" s="3307"/>
      <c r="AO23" s="3307"/>
      <c r="AP23" s="3307"/>
      <c r="AQ23" s="3307"/>
      <c r="AR23" s="3307"/>
      <c r="AS23" s="3307"/>
      <c r="AT23" s="3307"/>
      <c r="AU23" s="3307"/>
      <c r="AV23" s="3307"/>
      <c r="AW23" s="3307"/>
      <c r="AX23" s="166"/>
      <c r="AY23" s="1185"/>
      <c r="AZ23" s="1185"/>
      <c r="BA23" s="1185"/>
      <c r="BB23" s="1185"/>
      <c r="BC23" s="1185"/>
      <c r="BD23" s="1185"/>
      <c r="BE23" s="1185"/>
      <c r="BF23" s="1185"/>
      <c r="BG23" s="1185"/>
      <c r="BH23" s="1185"/>
      <c r="BI23" s="1185"/>
      <c r="BJ23" s="1186"/>
      <c r="BK23" s="141"/>
    </row>
    <row r="24" spans="2:63" s="37" customFormat="1">
      <c r="B24" s="1182"/>
      <c r="C24" s="1183"/>
      <c r="D24" s="2857" t="s">
        <v>2536</v>
      </c>
      <c r="E24" s="166"/>
      <c r="F24" s="1185"/>
      <c r="G24" s="1185"/>
      <c r="H24" s="3307"/>
      <c r="I24" s="3307"/>
      <c r="J24" s="3307"/>
      <c r="K24" s="3307"/>
      <c r="L24" s="3307"/>
      <c r="M24" s="3307"/>
      <c r="N24" s="3307"/>
      <c r="O24" s="3307"/>
      <c r="P24" s="3307"/>
      <c r="Q24" s="3307"/>
      <c r="R24" s="3307"/>
      <c r="S24" s="3307"/>
      <c r="T24" s="3307"/>
      <c r="U24" s="3307"/>
      <c r="V24" s="3307"/>
      <c r="W24" s="3307"/>
      <c r="X24" s="3307"/>
      <c r="Y24" s="3307"/>
      <c r="Z24" s="3307"/>
      <c r="AA24" s="3307"/>
      <c r="AB24" s="3307"/>
      <c r="AC24" s="3307"/>
      <c r="AD24" s="3307"/>
      <c r="AE24" s="3307"/>
      <c r="AF24" s="3307"/>
      <c r="AG24" s="3307"/>
      <c r="AH24" s="3307"/>
      <c r="AI24" s="3307"/>
      <c r="AJ24" s="3307"/>
      <c r="AK24" s="3307"/>
      <c r="AL24" s="3307"/>
      <c r="AM24" s="3307"/>
      <c r="AN24" s="3307"/>
      <c r="AO24" s="3307"/>
      <c r="AP24" s="3307"/>
      <c r="AQ24" s="3307"/>
      <c r="AR24" s="3307"/>
      <c r="AS24" s="3307"/>
      <c r="AT24" s="3307"/>
      <c r="AU24" s="3307"/>
      <c r="AV24" s="3307"/>
      <c r="AW24" s="3307"/>
      <c r="AX24" s="166"/>
      <c r="AY24" s="2405">
        <v>2007</v>
      </c>
      <c r="AZ24" s="1185"/>
      <c r="BA24" s="2405">
        <v>2012</v>
      </c>
      <c r="BB24" s="2405">
        <f t="shared" ref="BB24:BH24" si="2">BA24+5</f>
        <v>2017</v>
      </c>
      <c r="BC24" s="2405">
        <f t="shared" si="2"/>
        <v>2022</v>
      </c>
      <c r="BD24" s="2405">
        <f t="shared" si="2"/>
        <v>2027</v>
      </c>
      <c r="BE24" s="2405">
        <f t="shared" si="2"/>
        <v>2032</v>
      </c>
      <c r="BF24" s="2405">
        <f t="shared" si="2"/>
        <v>2037</v>
      </c>
      <c r="BG24" s="2405">
        <f t="shared" si="2"/>
        <v>2042</v>
      </c>
      <c r="BH24" s="2405">
        <f t="shared" si="2"/>
        <v>2047</v>
      </c>
      <c r="BI24" s="2405">
        <v>2052</v>
      </c>
      <c r="BJ24" s="1186"/>
      <c r="BK24" s="141"/>
    </row>
    <row r="25" spans="2:63" s="37" customFormat="1">
      <c r="B25" s="1182"/>
      <c r="C25" s="1183"/>
      <c r="D25" s="1184" t="s">
        <v>2140</v>
      </c>
      <c r="E25" s="166"/>
      <c r="F25" s="1185"/>
      <c r="G25" s="1185"/>
      <c r="H25" s="3307"/>
      <c r="I25" s="3307"/>
      <c r="J25" s="3307"/>
      <c r="K25" s="3307"/>
      <c r="L25" s="3307"/>
      <c r="M25" s="3307"/>
      <c r="N25" s="3307"/>
      <c r="O25" s="3307"/>
      <c r="P25" s="3307"/>
      <c r="Q25" s="3307"/>
      <c r="R25" s="3307"/>
      <c r="S25" s="3307"/>
      <c r="T25" s="3307"/>
      <c r="U25" s="3307"/>
      <c r="V25" s="3307"/>
      <c r="W25" s="3307"/>
      <c r="X25" s="3307"/>
      <c r="Y25" s="3307"/>
      <c r="Z25" s="3307"/>
      <c r="AA25" s="3307"/>
      <c r="AB25" s="3307"/>
      <c r="AC25" s="3307"/>
      <c r="AD25" s="3307"/>
      <c r="AE25" s="3307"/>
      <c r="AF25" s="3307"/>
      <c r="AG25" s="3307"/>
      <c r="AH25" s="3307"/>
      <c r="AI25" s="3307"/>
      <c r="AJ25" s="3307"/>
      <c r="AK25" s="3307"/>
      <c r="AL25" s="3307"/>
      <c r="AM25" s="3307"/>
      <c r="AN25" s="3307"/>
      <c r="AO25" s="3307"/>
      <c r="AP25" s="3307"/>
      <c r="AQ25" s="3307"/>
      <c r="AR25" s="3307"/>
      <c r="AS25" s="3307"/>
      <c r="AT25" s="3307"/>
      <c r="AU25" s="3307"/>
      <c r="AV25" s="3307"/>
      <c r="AW25" s="3307"/>
      <c r="AX25" s="166"/>
      <c r="AY25" s="3308">
        <f ca="1">AY9/AY21</f>
        <v>4.9518473262898433E-2</v>
      </c>
      <c r="AZ25" s="1185"/>
      <c r="BA25" s="3308">
        <f ca="1">BA9/BA21</f>
        <v>4.8834797648292301E-2</v>
      </c>
      <c r="BB25" s="3308">
        <f t="shared" ref="BB25:BI25" ca="1" si="3">BB9/BB21</f>
        <v>6.3443819920012759E-2</v>
      </c>
      <c r="BC25" s="3308">
        <f t="shared" ca="1" si="3"/>
        <v>7.9125572100431155E-2</v>
      </c>
      <c r="BD25" s="3308">
        <f t="shared" ca="1" si="3"/>
        <v>9.7205072712063606E-2</v>
      </c>
      <c r="BE25" s="3308">
        <f t="shared" ca="1" si="3"/>
        <v>0.11806735556915125</v>
      </c>
      <c r="BF25" s="3308">
        <f t="shared" ca="1" si="3"/>
        <v>0.1235263107187569</v>
      </c>
      <c r="BG25" s="3308">
        <f t="shared" ca="1" si="3"/>
        <v>0.13221019145696364</v>
      </c>
      <c r="BH25" s="3308">
        <f t="shared" ca="1" si="3"/>
        <v>0.13406795229173091</v>
      </c>
      <c r="BI25" s="3308">
        <f t="shared" ca="1" si="3"/>
        <v>0.13682977214755934</v>
      </c>
      <c r="BJ25" s="1186"/>
      <c r="BK25" s="141"/>
    </row>
    <row r="26" spans="2:63" s="37" customFormat="1">
      <c r="B26" s="1182"/>
      <c r="C26" s="1183"/>
      <c r="D26" s="1184" t="s">
        <v>33</v>
      </c>
      <c r="E26" s="166"/>
      <c r="F26" s="1185"/>
      <c r="G26" s="1185"/>
      <c r="H26" s="3307"/>
      <c r="I26" s="3307"/>
      <c r="J26" s="3307"/>
      <c r="K26" s="3307"/>
      <c r="L26" s="3307"/>
      <c r="M26" s="3307"/>
      <c r="N26" s="3307"/>
      <c r="O26" s="3307"/>
      <c r="P26" s="3307"/>
      <c r="Q26" s="3307"/>
      <c r="R26" s="3307"/>
      <c r="S26" s="3307"/>
      <c r="T26" s="3307"/>
      <c r="U26" s="3307"/>
      <c r="V26" s="3307"/>
      <c r="W26" s="3307"/>
      <c r="X26" s="3307"/>
      <c r="Y26" s="3307"/>
      <c r="Z26" s="3307"/>
      <c r="AA26" s="3307"/>
      <c r="AB26" s="3307"/>
      <c r="AC26" s="3307"/>
      <c r="AD26" s="3307"/>
      <c r="AE26" s="3307"/>
      <c r="AF26" s="3307"/>
      <c r="AG26" s="3307"/>
      <c r="AH26" s="3307"/>
      <c r="AI26" s="3307"/>
      <c r="AJ26" s="3307"/>
      <c r="AK26" s="3307"/>
      <c r="AL26" s="3307"/>
      <c r="AM26" s="3307"/>
      <c r="AN26" s="3307"/>
      <c r="AO26" s="3307"/>
      <c r="AP26" s="3307"/>
      <c r="AQ26" s="3307"/>
      <c r="AR26" s="3307"/>
      <c r="AS26" s="3307"/>
      <c r="AT26" s="3307"/>
      <c r="AU26" s="3307"/>
      <c r="AV26" s="3307"/>
      <c r="AW26" s="3307"/>
      <c r="AX26" s="166"/>
      <c r="AY26" s="3308">
        <f ca="1">AY10/AY21</f>
        <v>0.41020338627863773</v>
      </c>
      <c r="AZ26" s="1185"/>
      <c r="BA26" s="3308">
        <f ca="1">BA10/BA21</f>
        <v>0.46462793100839256</v>
      </c>
      <c r="BB26" s="3308">
        <f t="shared" ref="BB26:BI26" ca="1" si="4">BB10/BB21</f>
        <v>0.48687049739738147</v>
      </c>
      <c r="BC26" s="3308">
        <f t="shared" ca="1" si="4"/>
        <v>0.49469875760127741</v>
      </c>
      <c r="BD26" s="3308">
        <f t="shared" ca="1" si="4"/>
        <v>0.49253496405250657</v>
      </c>
      <c r="BE26" s="3308">
        <f t="shared" ca="1" si="4"/>
        <v>0.48343703618231482</v>
      </c>
      <c r="BF26" s="3308">
        <f t="shared" ca="1" si="4"/>
        <v>0.48441269160387262</v>
      </c>
      <c r="BG26" s="3308">
        <f t="shared" ca="1" si="4"/>
        <v>0.48175231493932213</v>
      </c>
      <c r="BH26" s="3308">
        <f t="shared" ca="1" si="4"/>
        <v>0.47832516163028843</v>
      </c>
      <c r="BI26" s="3308">
        <f t="shared" ca="1" si="4"/>
        <v>0.47257307290452405</v>
      </c>
      <c r="BJ26" s="1186"/>
      <c r="BK26" s="141"/>
    </row>
    <row r="27" spans="2:63" s="37" customFormat="1">
      <c r="B27" s="1182"/>
      <c r="C27" s="1183"/>
      <c r="D27" s="1184" t="s">
        <v>113</v>
      </c>
      <c r="E27" s="166"/>
      <c r="F27" s="1185"/>
      <c r="G27" s="1185"/>
      <c r="H27" s="3307"/>
      <c r="I27" s="3307"/>
      <c r="J27" s="3307"/>
      <c r="K27" s="3307"/>
      <c r="L27" s="3307"/>
      <c r="M27" s="3307"/>
      <c r="N27" s="3307"/>
      <c r="O27" s="3307"/>
      <c r="P27" s="3307"/>
      <c r="Q27" s="3307"/>
      <c r="R27" s="3307"/>
      <c r="S27" s="3307"/>
      <c r="T27" s="3307"/>
      <c r="U27" s="3307"/>
      <c r="V27" s="3307"/>
      <c r="W27" s="3307"/>
      <c r="X27" s="3307"/>
      <c r="Y27" s="3307"/>
      <c r="Z27" s="3307"/>
      <c r="AA27" s="3307"/>
      <c r="AB27" s="3307"/>
      <c r="AC27" s="3307"/>
      <c r="AD27" s="3307"/>
      <c r="AE27" s="3307"/>
      <c r="AF27" s="3307"/>
      <c r="AG27" s="3307"/>
      <c r="AH27" s="3307"/>
      <c r="AI27" s="3307"/>
      <c r="AJ27" s="3307"/>
      <c r="AK27" s="3307"/>
      <c r="AL27" s="3307"/>
      <c r="AM27" s="3307"/>
      <c r="AN27" s="3307"/>
      <c r="AO27" s="3307"/>
      <c r="AP27" s="3307"/>
      <c r="AQ27" s="3307"/>
      <c r="AR27" s="3307"/>
      <c r="AS27" s="3307"/>
      <c r="AT27" s="3307"/>
      <c r="AU27" s="3307"/>
      <c r="AV27" s="3307"/>
      <c r="AW27" s="3307"/>
      <c r="AX27" s="166"/>
      <c r="AY27" s="3308">
        <f ca="1">AY14/AY21</f>
        <v>0.21525775327102792</v>
      </c>
      <c r="AZ27" s="1185"/>
      <c r="BA27" s="3308">
        <f ca="1">BA14/BA21</f>
        <v>0.17287404396515094</v>
      </c>
      <c r="BB27" s="3308">
        <f t="shared" ref="BB27:BI27" ca="1" si="5">BB14/BB21</f>
        <v>0.19417930524590329</v>
      </c>
      <c r="BC27" s="3308">
        <f t="shared" ca="1" si="5"/>
        <v>0.21019220045976275</v>
      </c>
      <c r="BD27" s="3308">
        <f t="shared" ca="1" si="5"/>
        <v>0.22130800702562572</v>
      </c>
      <c r="BE27" s="3308">
        <f t="shared" ca="1" si="5"/>
        <v>0.23091682720796655</v>
      </c>
      <c r="BF27" s="3308">
        <f t="shared" ca="1" si="5"/>
        <v>0.24314734586134154</v>
      </c>
      <c r="BG27" s="3308">
        <f t="shared" ca="1" si="5"/>
        <v>0.24865059829573344</v>
      </c>
      <c r="BH27" s="3308">
        <f t="shared" ca="1" si="5"/>
        <v>0.25698870588736711</v>
      </c>
      <c r="BI27" s="3308">
        <f t="shared" ca="1" si="5"/>
        <v>0.26119101306664716</v>
      </c>
      <c r="BJ27" s="1186"/>
      <c r="BK27" s="141"/>
    </row>
    <row r="28" spans="2:63" s="37" customFormat="1">
      <c r="B28" s="1182"/>
      <c r="C28" s="1183"/>
      <c r="D28" s="1184" t="s">
        <v>106</v>
      </c>
      <c r="E28" s="166"/>
      <c r="F28" s="1185"/>
      <c r="G28" s="1185"/>
      <c r="H28" s="3307"/>
      <c r="I28" s="3307"/>
      <c r="J28" s="3307"/>
      <c r="K28" s="3307"/>
      <c r="L28" s="3307"/>
      <c r="M28" s="3307"/>
      <c r="N28" s="3307"/>
      <c r="O28" s="3307"/>
      <c r="P28" s="3307"/>
      <c r="Q28" s="3307"/>
      <c r="R28" s="3307"/>
      <c r="S28" s="3307"/>
      <c r="T28" s="3307"/>
      <c r="U28" s="3307"/>
      <c r="V28" s="3307"/>
      <c r="W28" s="3307"/>
      <c r="X28" s="3307"/>
      <c r="Y28" s="3307"/>
      <c r="Z28" s="3307"/>
      <c r="AA28" s="3307"/>
      <c r="AB28" s="3307"/>
      <c r="AC28" s="3307"/>
      <c r="AD28" s="3307"/>
      <c r="AE28" s="3307"/>
      <c r="AF28" s="3307"/>
      <c r="AG28" s="3307"/>
      <c r="AH28" s="3307"/>
      <c r="AI28" s="3307"/>
      <c r="AJ28" s="3307"/>
      <c r="AK28" s="3307"/>
      <c r="AL28" s="3307"/>
      <c r="AM28" s="3307"/>
      <c r="AN28" s="3307"/>
      <c r="AO28" s="3307"/>
      <c r="AP28" s="3307"/>
      <c r="AQ28" s="3307"/>
      <c r="AR28" s="3307"/>
      <c r="AS28" s="3307"/>
      <c r="AT28" s="3307"/>
      <c r="AU28" s="3307"/>
      <c r="AV28" s="3307"/>
      <c r="AW28" s="3307"/>
      <c r="AX28" s="166"/>
      <c r="AY28" s="3308">
        <f ca="1">AY16/AY21</f>
        <v>4.5147092704147851E-2</v>
      </c>
      <c r="AZ28" s="1185"/>
      <c r="BA28" s="3308">
        <f ca="1">BA16/BA21</f>
        <v>4.836448526564361E-2</v>
      </c>
      <c r="BB28" s="3308">
        <f t="shared" ref="BB28:BI28" ca="1" si="6">BB16/BB21</f>
        <v>5.0134076753570268E-2</v>
      </c>
      <c r="BC28" s="3308">
        <f t="shared" ca="1" si="6"/>
        <v>5.223062896039371E-2</v>
      </c>
      <c r="BD28" s="3308">
        <f t="shared" ca="1" si="6"/>
        <v>5.2759284554389579E-2</v>
      </c>
      <c r="BE28" s="3308">
        <f t="shared" ca="1" si="6"/>
        <v>5.2680889500384721E-2</v>
      </c>
      <c r="BF28" s="3308">
        <f t="shared" ca="1" si="6"/>
        <v>4.9007799772570332E-2</v>
      </c>
      <c r="BG28" s="3308">
        <f t="shared" ca="1" si="6"/>
        <v>4.7180819698326062E-2</v>
      </c>
      <c r="BH28" s="3308">
        <f t="shared" ca="1" si="6"/>
        <v>4.4249753648737927E-2</v>
      </c>
      <c r="BI28" s="3308">
        <f t="shared" ca="1" si="6"/>
        <v>4.1907340930220874E-2</v>
      </c>
      <c r="BJ28" s="1186"/>
      <c r="BK28" s="141"/>
    </row>
    <row r="29" spans="2:63" s="37" customFormat="1">
      <c r="B29" s="1182"/>
      <c r="C29" s="1183"/>
      <c r="D29" s="1184" t="s">
        <v>1078</v>
      </c>
      <c r="E29" s="166"/>
      <c r="F29" s="1185"/>
      <c r="G29" s="1185"/>
      <c r="H29" s="3307"/>
      <c r="I29" s="3307"/>
      <c r="J29" s="3307"/>
      <c r="K29" s="3307"/>
      <c r="L29" s="3307"/>
      <c r="M29" s="3307"/>
      <c r="N29" s="3307"/>
      <c r="O29" s="3307"/>
      <c r="P29" s="3307"/>
      <c r="Q29" s="3307"/>
      <c r="R29" s="3307"/>
      <c r="S29" s="3307"/>
      <c r="T29" s="3307"/>
      <c r="U29" s="3307"/>
      <c r="V29" s="3307"/>
      <c r="W29" s="3307"/>
      <c r="X29" s="3307"/>
      <c r="Y29" s="3307"/>
      <c r="Z29" s="3307"/>
      <c r="AA29" s="3307"/>
      <c r="AB29" s="3307"/>
      <c r="AC29" s="3307"/>
      <c r="AD29" s="3307"/>
      <c r="AE29" s="3307"/>
      <c r="AF29" s="3307"/>
      <c r="AG29" s="3307"/>
      <c r="AH29" s="3307"/>
      <c r="AI29" s="3307"/>
      <c r="AJ29" s="3307"/>
      <c r="AK29" s="3307"/>
      <c r="AL29" s="3307"/>
      <c r="AM29" s="3307"/>
      <c r="AN29" s="3307"/>
      <c r="AO29" s="3307"/>
      <c r="AP29" s="3307"/>
      <c r="AQ29" s="3307"/>
      <c r="AR29" s="3307"/>
      <c r="AS29" s="3307"/>
      <c r="AT29" s="3307"/>
      <c r="AU29" s="3307"/>
      <c r="AV29" s="3307"/>
      <c r="AW29" s="3307"/>
      <c r="AX29" s="166"/>
      <c r="AY29" s="3308">
        <f ca="1">AY17/AY21</f>
        <v>3.5256097112881454E-3</v>
      </c>
      <c r="AZ29" s="1185"/>
      <c r="BA29" s="3308">
        <f ca="1">BA17/BA21</f>
        <v>1.6857791555952167E-2</v>
      </c>
      <c r="BB29" s="3308">
        <f t="shared" ref="BB29:BI29" ca="1" si="7">BB17/BB21</f>
        <v>1.5220324808249747E-2</v>
      </c>
      <c r="BC29" s="3308">
        <f t="shared" ca="1" si="7"/>
        <v>1.4107329040790232E-2</v>
      </c>
      <c r="BD29" s="3308">
        <f t="shared" ca="1" si="7"/>
        <v>1.4222891103462358E-2</v>
      </c>
      <c r="BE29" s="3308">
        <f t="shared" ca="1" si="7"/>
        <v>1.2789113685758548E-2</v>
      </c>
      <c r="BF29" s="3308">
        <f t="shared" ca="1" si="7"/>
        <v>1.1069880049018295E-2</v>
      </c>
      <c r="BG29" s="3308">
        <f t="shared" ca="1" si="7"/>
        <v>9.7963774321664122E-3</v>
      </c>
      <c r="BH29" s="3308">
        <f t="shared" ca="1" si="7"/>
        <v>1.0007732171518343E-2</v>
      </c>
      <c r="BI29" s="3308">
        <f t="shared" ca="1" si="7"/>
        <v>1.1076257372259474E-2</v>
      </c>
      <c r="BJ29" s="1186"/>
      <c r="BK29" s="141"/>
    </row>
    <row r="30" spans="2:63" s="37" customFormat="1">
      <c r="B30" s="1182"/>
      <c r="C30" s="1183"/>
      <c r="D30" s="1184" t="s">
        <v>1051</v>
      </c>
      <c r="E30" s="166"/>
      <c r="F30" s="1185"/>
      <c r="G30" s="1185"/>
      <c r="H30" s="3307"/>
      <c r="I30" s="3307"/>
      <c r="J30" s="3307"/>
      <c r="K30" s="3307"/>
      <c r="L30" s="3307"/>
      <c r="M30" s="3307"/>
      <c r="N30" s="3307"/>
      <c r="O30" s="3307"/>
      <c r="P30" s="3307"/>
      <c r="Q30" s="3307"/>
      <c r="R30" s="3307"/>
      <c r="S30" s="3307"/>
      <c r="T30" s="3307"/>
      <c r="U30" s="3307"/>
      <c r="V30" s="3307"/>
      <c r="W30" s="3307"/>
      <c r="X30" s="3307"/>
      <c r="Y30" s="3307"/>
      <c r="Z30" s="3307"/>
      <c r="AA30" s="3307"/>
      <c r="AB30" s="3307"/>
      <c r="AC30" s="3307"/>
      <c r="AD30" s="3307"/>
      <c r="AE30" s="3307"/>
      <c r="AF30" s="3307"/>
      <c r="AG30" s="3307"/>
      <c r="AH30" s="3307"/>
      <c r="AI30" s="3307"/>
      <c r="AJ30" s="3307"/>
      <c r="AK30" s="3307"/>
      <c r="AL30" s="3307"/>
      <c r="AM30" s="3307"/>
      <c r="AN30" s="3307"/>
      <c r="AO30" s="3307"/>
      <c r="AP30" s="3307"/>
      <c r="AQ30" s="3307"/>
      <c r="AR30" s="3307"/>
      <c r="AS30" s="3307"/>
      <c r="AT30" s="3307"/>
      <c r="AU30" s="3307"/>
      <c r="AV30" s="3307"/>
      <c r="AW30" s="3307"/>
      <c r="AX30" s="166"/>
      <c r="AY30" s="3308">
        <f ca="1">AY20/AY21</f>
        <v>0.27634768477199989</v>
      </c>
      <c r="AZ30" s="1185"/>
      <c r="BA30" s="3308">
        <f ca="1">BA20/BA21</f>
        <v>0.24844095055656859</v>
      </c>
      <c r="BB30" s="3308">
        <f t="shared" ref="BB30:BI30" ca="1" si="8">BB20/BB21</f>
        <v>0.19015197587488253</v>
      </c>
      <c r="BC30" s="3308">
        <f t="shared" ca="1" si="8"/>
        <v>0.1496455118373449</v>
      </c>
      <c r="BD30" s="3308">
        <f t="shared" ca="1" si="8"/>
        <v>0.12196978055195219</v>
      </c>
      <c r="BE30" s="3308">
        <f t="shared" ca="1" si="8"/>
        <v>0.10210877785442415</v>
      </c>
      <c r="BF30" s="3308">
        <f t="shared" ca="1" si="8"/>
        <v>8.8835971994440155E-2</v>
      </c>
      <c r="BG30" s="3308">
        <f t="shared" ca="1" si="8"/>
        <v>8.0409698177488401E-2</v>
      </c>
      <c r="BH30" s="3308">
        <f t="shared" ca="1" si="8"/>
        <v>7.6360694370357224E-2</v>
      </c>
      <c r="BI30" s="3308">
        <f t="shared" ca="1" si="8"/>
        <v>7.642254357878922E-2</v>
      </c>
      <c r="BJ30" s="1186"/>
      <c r="BK30" s="141"/>
    </row>
    <row r="31" spans="2:63" s="37" customFormat="1">
      <c r="B31" s="1182"/>
      <c r="C31" s="1183"/>
      <c r="D31" s="1184"/>
      <c r="E31" s="166"/>
      <c r="F31" s="1185"/>
      <c r="G31" s="1185"/>
      <c r="H31" s="3307"/>
      <c r="I31" s="3307"/>
      <c r="J31" s="3307"/>
      <c r="K31" s="3307"/>
      <c r="L31" s="3307"/>
      <c r="M31" s="3307"/>
      <c r="N31" s="3307"/>
      <c r="O31" s="3307"/>
      <c r="P31" s="3307"/>
      <c r="Q31" s="3307"/>
      <c r="R31" s="3307"/>
      <c r="S31" s="3307"/>
      <c r="T31" s="3307"/>
      <c r="U31" s="3307"/>
      <c r="V31" s="3307"/>
      <c r="W31" s="3307"/>
      <c r="X31" s="3307"/>
      <c r="Y31" s="3307"/>
      <c r="Z31" s="3307"/>
      <c r="AA31" s="3307"/>
      <c r="AB31" s="3307"/>
      <c r="AC31" s="3307"/>
      <c r="AD31" s="3307"/>
      <c r="AE31" s="3307"/>
      <c r="AF31" s="3307"/>
      <c r="AG31" s="3307"/>
      <c r="AH31" s="3307"/>
      <c r="AI31" s="3307"/>
      <c r="AJ31" s="3307"/>
      <c r="AK31" s="3307"/>
      <c r="AL31" s="3307"/>
      <c r="AM31" s="3307"/>
      <c r="AN31" s="3307"/>
      <c r="AO31" s="3307"/>
      <c r="AP31" s="3307"/>
      <c r="AQ31" s="3307"/>
      <c r="AR31" s="3307"/>
      <c r="AS31" s="3307"/>
      <c r="AT31" s="3307"/>
      <c r="AU31" s="3307"/>
      <c r="AV31" s="3307"/>
      <c r="AW31" s="3307"/>
      <c r="AX31" s="166"/>
      <c r="AY31" s="1185"/>
      <c r="AZ31" s="1185"/>
      <c r="BA31" s="1185"/>
      <c r="BB31" s="1185"/>
      <c r="BC31" s="1185"/>
      <c r="BD31" s="1185"/>
      <c r="BE31" s="1185"/>
      <c r="BF31" s="1185"/>
      <c r="BG31" s="1185"/>
      <c r="BH31" s="1185"/>
      <c r="BI31" s="1185"/>
      <c r="BJ31" s="1186"/>
      <c r="BK31" s="141"/>
    </row>
    <row r="32" spans="2:63">
      <c r="B32" s="164"/>
      <c r="C32" s="1170"/>
      <c r="D32" s="166"/>
      <c r="E32" s="166"/>
      <c r="F32" s="166"/>
      <c r="G32" s="166"/>
      <c r="H32" s="1156"/>
      <c r="I32" s="1156"/>
      <c r="J32" s="1156"/>
      <c r="K32" s="1156"/>
      <c r="L32" s="1156"/>
      <c r="M32" s="1156"/>
      <c r="N32" s="1156"/>
      <c r="O32" s="1156"/>
      <c r="P32" s="1156"/>
      <c r="Q32" s="1156"/>
      <c r="R32" s="1156"/>
      <c r="S32" s="1156"/>
      <c r="T32" s="1156"/>
      <c r="U32" s="1156"/>
      <c r="V32" s="1156"/>
      <c r="W32" s="1156"/>
      <c r="X32" s="1156"/>
      <c r="Y32" s="1156"/>
      <c r="Z32" s="1156"/>
      <c r="AA32" s="1156"/>
      <c r="AB32" s="1156"/>
      <c r="AC32" s="1156"/>
      <c r="AD32" s="1156"/>
      <c r="AE32" s="1156"/>
      <c r="AF32" s="1156"/>
      <c r="AG32" s="1156"/>
      <c r="AH32" s="1156"/>
      <c r="AI32" s="1156"/>
      <c r="AJ32" s="1156"/>
      <c r="AK32" s="1156"/>
      <c r="AL32" s="1156"/>
      <c r="AM32" s="1156"/>
      <c r="AN32" s="1156"/>
      <c r="AO32" s="1156"/>
      <c r="AP32" s="1156"/>
      <c r="AQ32" s="1156"/>
      <c r="AR32" s="1156"/>
      <c r="AS32" s="1156"/>
      <c r="AT32" s="1156"/>
      <c r="AU32" s="1156"/>
      <c r="AV32" s="1156"/>
      <c r="AW32" s="1156"/>
      <c r="AX32" s="166"/>
      <c r="AY32" s="1168"/>
      <c r="AZ32" s="1168"/>
      <c r="BA32" s="1168"/>
      <c r="BB32" s="1168"/>
      <c r="BC32" s="1168"/>
      <c r="BD32" s="1168"/>
      <c r="BE32" s="1168"/>
      <c r="BF32" s="1168"/>
      <c r="BG32" s="1168"/>
      <c r="BH32" s="1168"/>
      <c r="BI32" s="1168"/>
      <c r="BJ32" s="1169"/>
      <c r="BK32" s="22"/>
    </row>
    <row r="33" spans="2:63" s="410" customFormat="1">
      <c r="B33" s="1162"/>
      <c r="C33" s="1163" t="s">
        <v>1129</v>
      </c>
      <c r="D33" s="1164"/>
      <c r="E33" s="166"/>
      <c r="F33" s="267"/>
      <c r="G33" s="267"/>
      <c r="H33" s="1165"/>
      <c r="I33" s="1165"/>
      <c r="J33" s="1165"/>
      <c r="K33" s="1165"/>
      <c r="L33" s="1165"/>
      <c r="M33" s="1165"/>
      <c r="N33" s="1165"/>
      <c r="O33" s="1165"/>
      <c r="P33" s="1165"/>
      <c r="Q33" s="1165"/>
      <c r="R33" s="1165"/>
      <c r="S33" s="1165"/>
      <c r="T33" s="1165"/>
      <c r="U33" s="1165"/>
      <c r="V33" s="1165"/>
      <c r="W33" s="1165"/>
      <c r="X33" s="1165"/>
      <c r="Y33" s="1165"/>
      <c r="Z33" s="1165"/>
      <c r="AA33" s="1165"/>
      <c r="AB33" s="1165"/>
      <c r="AC33" s="1165"/>
      <c r="AD33" s="1165"/>
      <c r="AE33" s="1165"/>
      <c r="AF33" s="1165"/>
      <c r="AG33" s="1165"/>
      <c r="AH33" s="1165"/>
      <c r="AI33" s="1165"/>
      <c r="AJ33" s="1165"/>
      <c r="AK33" s="1165"/>
      <c r="AL33" s="1165"/>
      <c r="AM33" s="1165"/>
      <c r="AN33" s="1165"/>
      <c r="AO33" s="1165"/>
      <c r="AP33" s="1165"/>
      <c r="AQ33" s="1165"/>
      <c r="AR33" s="1165"/>
      <c r="AS33" s="1165"/>
      <c r="AT33" s="1165"/>
      <c r="AU33" s="1165"/>
      <c r="AV33" s="1165"/>
      <c r="AW33" s="1165"/>
      <c r="AX33" s="166"/>
      <c r="AY33" s="267"/>
      <c r="AZ33" s="267"/>
      <c r="BA33" s="267"/>
      <c r="BB33" s="267"/>
      <c r="BC33" s="267"/>
      <c r="BD33" s="267"/>
      <c r="BE33" s="267"/>
      <c r="BF33" s="267"/>
      <c r="BG33" s="267"/>
      <c r="BH33" s="267"/>
      <c r="BI33" s="267"/>
      <c r="BJ33" s="1166"/>
      <c r="BK33" s="1167"/>
    </row>
    <row r="34" spans="2:63" s="410" customFormat="1">
      <c r="B34" s="1162"/>
      <c r="C34" s="1187" t="s">
        <v>7</v>
      </c>
      <c r="D34" s="1164" t="str">
        <f>INDEX(Vectors[Description], MATCH($C34, Vectors[Code], 0))</f>
        <v>Nuclear fission</v>
      </c>
      <c r="E34" s="166"/>
      <c r="F34" s="267"/>
      <c r="G34" s="267"/>
      <c r="H34" s="1165"/>
      <c r="I34" s="1165"/>
      <c r="J34" s="1165"/>
      <c r="K34" s="1165"/>
      <c r="L34" s="1165"/>
      <c r="M34" s="1165"/>
      <c r="N34" s="1165"/>
      <c r="O34" s="1165"/>
      <c r="P34" s="1165"/>
      <c r="Q34" s="1165"/>
      <c r="R34" s="1165"/>
      <c r="S34" s="1165"/>
      <c r="T34" s="1165"/>
      <c r="U34" s="1165"/>
      <c r="V34" s="1165"/>
      <c r="W34" s="1165"/>
      <c r="X34" s="1165"/>
      <c r="Y34" s="1165"/>
      <c r="Z34" s="1165"/>
      <c r="AA34" s="1165"/>
      <c r="AB34" s="1165"/>
      <c r="AC34" s="1165"/>
      <c r="AD34" s="1165"/>
      <c r="AE34" s="1165"/>
      <c r="AF34" s="1165"/>
      <c r="AG34" s="1165"/>
      <c r="AH34" s="1165">
        <f>258*Unit.TWh</f>
        <v>258</v>
      </c>
      <c r="AI34" s="1165">
        <f>267.4*Unit.TWh</f>
        <v>267.39999999999998</v>
      </c>
      <c r="AJ34" s="1165">
        <f>272.6*Unit.TWh</f>
        <v>272.60000000000002</v>
      </c>
      <c r="AK34" s="1165">
        <f>258.4*Unit.TWh</f>
        <v>258.39999999999998</v>
      </c>
      <c r="AL34" s="1165">
        <f>228.4*Unit.TWh</f>
        <v>228.4</v>
      </c>
      <c r="AM34" s="1165">
        <f>241.5*Unit.TWh</f>
        <v>241.5</v>
      </c>
      <c r="AN34" s="1165">
        <f>233.8*Unit.TWh</f>
        <v>233.8</v>
      </c>
      <c r="AO34" s="1165">
        <f>233.1*Unit.TWh</f>
        <v>233.1</v>
      </c>
      <c r="AP34" s="1165">
        <f>211.2*Unit.TWh</f>
        <v>211.2</v>
      </c>
      <c r="AQ34" s="1165">
        <f>213.7*Unit.TWh</f>
        <v>213.7</v>
      </c>
      <c r="AR34" s="1165">
        <f>199.2*Unit.TWh</f>
        <v>199.2</v>
      </c>
      <c r="AS34" s="1165">
        <f>163.2*Unit.TWh</f>
        <v>163.19999999999999</v>
      </c>
      <c r="AT34" s="1165">
        <f>138.5*Unit.TWh</f>
        <v>138.5</v>
      </c>
      <c r="AU34" s="1165">
        <f>177.1*Unit.TWh</f>
        <v>177.1</v>
      </c>
      <c r="AV34" s="1165">
        <f>162.2*Unit.TWh</f>
        <v>162.19999999999999</v>
      </c>
      <c r="AW34" s="1165" t="s">
        <v>2537</v>
      </c>
      <c r="AX34" s="166"/>
      <c r="AY34" s="267">
        <f ca="1">'Intermediate output'!AY26</f>
        <v>80.94774857142859</v>
      </c>
      <c r="AZ34" s="267">
        <f>'Intermediate output'!AZ26</f>
        <v>0</v>
      </c>
      <c r="BA34" s="267">
        <f ca="1">'Intermediate output'!BA26</f>
        <v>93.771154285714289</v>
      </c>
      <c r="BB34" s="267">
        <f ca="1">'Intermediate output'!BB26</f>
        <v>199.9649828571429</v>
      </c>
      <c r="BC34" s="267">
        <f ca="1">'Intermediate output'!BC26</f>
        <v>193.55328000000003</v>
      </c>
      <c r="BD34" s="267">
        <f ca="1">'Intermediate output'!BD26</f>
        <v>193.55328000000003</v>
      </c>
      <c r="BE34" s="267">
        <f ca="1">'Intermediate output'!BE26</f>
        <v>189.54596571428576</v>
      </c>
      <c r="BF34" s="267">
        <f ca="1">'Intermediate output'!BF26</f>
        <v>180.72987428571432</v>
      </c>
      <c r="BG34" s="267">
        <f ca="1">'Intermediate output'!BG26</f>
        <v>176.3218285714286</v>
      </c>
      <c r="BH34" s="267">
        <f ca="1">'Intermediate output'!BH26</f>
        <v>167.50573714285716</v>
      </c>
      <c r="BI34" s="267">
        <f ca="1">'Intermediate output'!BI26</f>
        <v>167.50573714285716</v>
      </c>
      <c r="BJ34" s="1166"/>
      <c r="BK34" s="1021"/>
    </row>
    <row r="35" spans="2:63" s="410" customFormat="1">
      <c r="B35" s="1162"/>
      <c r="C35" s="1187" t="s">
        <v>24</v>
      </c>
      <c r="D35" s="1164" t="str">
        <f>INDEX(Vectors[Description], MATCH($C35, Vectors[Code], 0))</f>
        <v>Solar</v>
      </c>
      <c r="E35" s="166"/>
      <c r="F35" s="267"/>
      <c r="G35" s="267"/>
      <c r="H35" s="1165"/>
      <c r="I35" s="1165"/>
      <c r="J35" s="1165"/>
      <c r="K35" s="1165"/>
      <c r="L35" s="1165"/>
      <c r="M35" s="1165"/>
      <c r="N35" s="1165"/>
      <c r="O35" s="1165"/>
      <c r="P35" s="1165"/>
      <c r="Q35" s="1165"/>
      <c r="R35" s="1165"/>
      <c r="S35" s="1165"/>
      <c r="T35" s="1165"/>
      <c r="U35" s="1165"/>
      <c r="V35" s="1165"/>
      <c r="W35" s="1165"/>
      <c r="X35" s="1165"/>
      <c r="Y35" s="1165"/>
      <c r="Z35" s="1165"/>
      <c r="AA35" s="1165"/>
      <c r="AB35" s="1165"/>
      <c r="AC35" s="1165"/>
      <c r="AD35" s="1165"/>
      <c r="AE35" s="1165"/>
      <c r="AF35" s="1165"/>
      <c r="AG35" s="1165"/>
      <c r="AH35" s="1165"/>
      <c r="AI35" s="1165"/>
      <c r="AJ35" s="1165">
        <f>0*Unit.TWh</f>
        <v>0</v>
      </c>
      <c r="AK35" s="1165">
        <f>0*Unit.TWh</f>
        <v>0</v>
      </c>
      <c r="AL35" s="1165">
        <f>0.1*Unit.TWh</f>
        <v>0.1</v>
      </c>
      <c r="AM35" s="1165">
        <f>0.2*Unit.TWh</f>
        <v>0.2</v>
      </c>
      <c r="AN35" s="1165">
        <f>0.2*Unit.TWh</f>
        <v>0.2</v>
      </c>
      <c r="AO35" s="1165">
        <f>0.2*Unit.TWh</f>
        <v>0.2</v>
      </c>
      <c r="AP35" s="1165">
        <f>0.3*Unit.TWh</f>
        <v>0.3</v>
      </c>
      <c r="AQ35" s="1165">
        <f>0.3*Unit.TWh</f>
        <v>0.3</v>
      </c>
      <c r="AR35" s="1165">
        <f>0.4*Unit.TWh</f>
        <v>0.4</v>
      </c>
      <c r="AS35" s="1165">
        <f>0.5*Unit.TWh</f>
        <v>0.5</v>
      </c>
      <c r="AT35" s="1165">
        <f>0.7*Unit.TWh</f>
        <v>0.7</v>
      </c>
      <c r="AU35" s="1165">
        <f>0.8*Unit.TWh</f>
        <v>0.8</v>
      </c>
      <c r="AV35" s="1165">
        <f>1*Unit.TWh</f>
        <v>1</v>
      </c>
      <c r="AW35" s="1165" t="s">
        <v>2538</v>
      </c>
      <c r="AX35" s="166"/>
      <c r="AY35" s="267">
        <f ca="1">'Intermediate output'!AY27</f>
        <v>0</v>
      </c>
      <c r="AZ35" s="267">
        <f>'Intermediate output'!AZ27</f>
        <v>0</v>
      </c>
      <c r="BA35" s="267">
        <f ca="1">'Intermediate output'!BA27</f>
        <v>1.56727314</v>
      </c>
      <c r="BB35" s="267">
        <f ca="1">'Intermediate output'!BB27</f>
        <v>10.99938034075161</v>
      </c>
      <c r="BC35" s="267">
        <f ca="1">'Intermediate output'!BC27</f>
        <v>27.366299513783936</v>
      </c>
      <c r="BD35" s="267">
        <f ca="1">'Intermediate output'!BD27</f>
        <v>49.233277769900653</v>
      </c>
      <c r="BE35" s="267">
        <f ca="1">'Intermediate output'!BE27</f>
        <v>74.393168287263421</v>
      </c>
      <c r="BF35" s="267">
        <f ca="1">'Intermediate output'!BF27</f>
        <v>96.634101460999375</v>
      </c>
      <c r="BG35" s="267">
        <f ca="1">'Intermediate output'!BG27</f>
        <v>108.73461587841729</v>
      </c>
      <c r="BH35" s="267">
        <f ca="1">'Intermediate output'!BH27</f>
        <v>106.76952554064533</v>
      </c>
      <c r="BI35" s="267">
        <f ca="1">'Intermediate output'!BI27</f>
        <v>93.110973518033461</v>
      </c>
      <c r="BJ35" s="1166"/>
      <c r="BK35" s="1021"/>
    </row>
    <row r="36" spans="2:63" s="410" customFormat="1">
      <c r="B36" s="1162"/>
      <c r="C36" s="1187" t="s">
        <v>8</v>
      </c>
      <c r="D36" s="1164" t="str">
        <f>INDEX(Vectors[Description], MATCH($C36, Vectors[Code], 0))</f>
        <v>Wind</v>
      </c>
      <c r="E36" s="166"/>
      <c r="F36" s="267"/>
      <c r="G36" s="267"/>
      <c r="H36" s="1165"/>
      <c r="I36" s="1165"/>
      <c r="J36" s="1165"/>
      <c r="K36" s="1165"/>
      <c r="L36" s="1165"/>
      <c r="M36" s="1165"/>
      <c r="N36" s="1165"/>
      <c r="O36" s="1165"/>
      <c r="P36" s="1165"/>
      <c r="Q36" s="1165"/>
      <c r="R36" s="1165"/>
      <c r="S36" s="1165"/>
      <c r="T36" s="1165"/>
      <c r="U36" s="1165"/>
      <c r="V36" s="1165"/>
      <c r="W36" s="1165"/>
      <c r="X36" s="1165"/>
      <c r="Y36" s="1165"/>
      <c r="Z36" s="1165"/>
      <c r="AA36" s="1165"/>
      <c r="AB36" s="1165"/>
      <c r="AC36" s="1165"/>
      <c r="AD36" s="1165"/>
      <c r="AE36" s="1165"/>
      <c r="AF36" s="1165"/>
      <c r="AG36" s="1165"/>
      <c r="AH36" s="1165">
        <f>0*Unit.TWh</f>
        <v>0</v>
      </c>
      <c r="AI36" s="1165">
        <f>0*Unit.TWh</f>
        <v>0</v>
      </c>
      <c r="AJ36" s="1165">
        <f>0.9*Unit.TWh</f>
        <v>0.9</v>
      </c>
      <c r="AK36" s="1165">
        <f>0.9*Unit.TWh</f>
        <v>0.9</v>
      </c>
      <c r="AL36" s="1165">
        <f>0.9*Unit.TWh</f>
        <v>0.9</v>
      </c>
      <c r="AM36" s="1165">
        <f>1*Unit.TWh</f>
        <v>1</v>
      </c>
      <c r="AN36" s="1165">
        <f>1.3*Unit.TWh</f>
        <v>1.3</v>
      </c>
      <c r="AO36" s="1165">
        <f>1.3*Unit.TWh</f>
        <v>1.3</v>
      </c>
      <c r="AP36" s="1165">
        <f>1.9*Unit.TWh</f>
        <v>1.9</v>
      </c>
      <c r="AQ36" s="1165">
        <f>2.9*Unit.TWh</f>
        <v>2.9</v>
      </c>
      <c r="AR36" s="1165">
        <f>4.2*Unit.TWh</f>
        <v>4.2</v>
      </c>
      <c r="AS36" s="1165">
        <f>5.3*Unit.TWh</f>
        <v>5.3</v>
      </c>
      <c r="AT36" s="1165">
        <f>7.1*Unit.TWh</f>
        <v>7.1</v>
      </c>
      <c r="AU36" s="1165">
        <f>9.3*Unit.TWh</f>
        <v>9.3000000000000007</v>
      </c>
      <c r="AV36" s="1165">
        <f>10.2*Unit.TWh</f>
        <v>10.199999999999999</v>
      </c>
      <c r="AW36" s="1165" t="s">
        <v>2539</v>
      </c>
      <c r="AX36" s="166"/>
      <c r="AY36" s="267">
        <f ca="1">'Intermediate output'!AY28</f>
        <v>12.437183268</v>
      </c>
      <c r="AZ36" s="267">
        <f>'Intermediate output'!AZ28</f>
        <v>0</v>
      </c>
      <c r="BA36" s="267">
        <f ca="1">'Intermediate output'!BA28</f>
        <v>18.722249233199999</v>
      </c>
      <c r="BB36" s="267">
        <f ca="1">'Intermediate output'!BB28</f>
        <v>36.604889233199998</v>
      </c>
      <c r="BC36" s="267">
        <f ca="1">'Intermediate output'!BC28</f>
        <v>59.966279233199998</v>
      </c>
      <c r="BD36" s="267">
        <f ca="1">'Intermediate output'!BD28</f>
        <v>84.335759233199994</v>
      </c>
      <c r="BE36" s="267">
        <f ca="1">'Intermediate output'!BE28</f>
        <v>115.49888923319999</v>
      </c>
      <c r="BF36" s="267">
        <f ca="1">'Intermediate output'!BF28</f>
        <v>136.98612596519999</v>
      </c>
      <c r="BG36" s="267">
        <f ca="1">'Intermediate output'!BG28</f>
        <v>151.03817999999998</v>
      </c>
      <c r="BH36" s="267">
        <f ca="1">'Intermediate output'!BH28</f>
        <v>161.16290999999998</v>
      </c>
      <c r="BI36" s="267">
        <f ca="1">'Intermediate output'!BI28</f>
        <v>161.95184999999998</v>
      </c>
      <c r="BJ36" s="1166"/>
      <c r="BK36" s="1021"/>
    </row>
    <row r="37" spans="2:63" s="410" customFormat="1">
      <c r="B37" s="1162"/>
      <c r="C37" s="1187" t="s">
        <v>9</v>
      </c>
      <c r="D37" s="1164" t="str">
        <f>INDEX(Vectors[Description], MATCH($C37, Vectors[Code], 0))</f>
        <v>Tidal</v>
      </c>
      <c r="E37" s="166"/>
      <c r="F37" s="267"/>
      <c r="G37" s="267"/>
      <c r="H37" s="1165">
        <v>0</v>
      </c>
      <c r="I37" s="1165">
        <v>0</v>
      </c>
      <c r="J37" s="1165">
        <v>0</v>
      </c>
      <c r="K37" s="1165">
        <v>0</v>
      </c>
      <c r="L37" s="1165">
        <v>0</v>
      </c>
      <c r="M37" s="1165">
        <v>0</v>
      </c>
      <c r="N37" s="1165">
        <v>0</v>
      </c>
      <c r="O37" s="1165">
        <v>0</v>
      </c>
      <c r="P37" s="1165">
        <v>0</v>
      </c>
      <c r="Q37" s="1165">
        <v>0</v>
      </c>
      <c r="R37" s="1165">
        <v>0</v>
      </c>
      <c r="S37" s="1165">
        <v>0</v>
      </c>
      <c r="T37" s="1165">
        <v>0</v>
      </c>
      <c r="U37" s="1165">
        <v>0</v>
      </c>
      <c r="V37" s="1165">
        <v>0</v>
      </c>
      <c r="W37" s="1165">
        <v>0</v>
      </c>
      <c r="X37" s="1165">
        <v>0</v>
      </c>
      <c r="Y37" s="1165">
        <v>0</v>
      </c>
      <c r="Z37" s="1165">
        <v>0</v>
      </c>
      <c r="AA37" s="1165">
        <v>0</v>
      </c>
      <c r="AB37" s="1165">
        <v>0</v>
      </c>
      <c r="AC37" s="1165">
        <v>0</v>
      </c>
      <c r="AD37" s="1165">
        <v>0</v>
      </c>
      <c r="AE37" s="1165">
        <v>0</v>
      </c>
      <c r="AF37" s="1165">
        <v>0</v>
      </c>
      <c r="AG37" s="1165">
        <v>0</v>
      </c>
      <c r="AH37" s="1165">
        <v>0</v>
      </c>
      <c r="AI37" s="1165">
        <v>0</v>
      </c>
      <c r="AJ37" s="1165">
        <v>0</v>
      </c>
      <c r="AK37" s="1165">
        <v>0</v>
      </c>
      <c r="AL37" s="1165">
        <v>0</v>
      </c>
      <c r="AM37" s="1165">
        <v>0</v>
      </c>
      <c r="AN37" s="1165">
        <v>0</v>
      </c>
      <c r="AO37" s="1165">
        <v>0</v>
      </c>
      <c r="AP37" s="1165">
        <v>0</v>
      </c>
      <c r="AQ37" s="1165">
        <v>0</v>
      </c>
      <c r="AR37" s="1165">
        <v>0</v>
      </c>
      <c r="AS37" s="1165">
        <v>0</v>
      </c>
      <c r="AT37" s="1165">
        <v>0</v>
      </c>
      <c r="AU37" s="1165">
        <v>0</v>
      </c>
      <c r="AV37" s="1165">
        <v>0</v>
      </c>
      <c r="AW37" s="1165" t="s">
        <v>2540</v>
      </c>
      <c r="AX37" s="166"/>
      <c r="AY37" s="267">
        <f ca="1">'Intermediate output'!AY29</f>
        <v>0</v>
      </c>
      <c r="AZ37" s="267">
        <f>'Intermediate output'!AZ29</f>
        <v>0</v>
      </c>
      <c r="BA37" s="267">
        <f ca="1">'Intermediate output'!BA29</f>
        <v>0</v>
      </c>
      <c r="BB37" s="267">
        <f ca="1">'Intermediate output'!BB29</f>
        <v>0</v>
      </c>
      <c r="BC37" s="267">
        <f ca="1">'Intermediate output'!BC29</f>
        <v>0</v>
      </c>
      <c r="BD37" s="267">
        <f ca="1">'Intermediate output'!BD29</f>
        <v>0</v>
      </c>
      <c r="BE37" s="267">
        <f ca="1">'Intermediate output'!BE29</f>
        <v>0</v>
      </c>
      <c r="BF37" s="267">
        <f ca="1">'Intermediate output'!BF29</f>
        <v>0</v>
      </c>
      <c r="BG37" s="267">
        <f ca="1">'Intermediate output'!BG29</f>
        <v>0</v>
      </c>
      <c r="BH37" s="267">
        <f ca="1">'Intermediate output'!BH29</f>
        <v>0</v>
      </c>
      <c r="BI37" s="267">
        <f ca="1">'Intermediate output'!BI29</f>
        <v>0</v>
      </c>
      <c r="BJ37" s="1166"/>
      <c r="BK37" s="1021"/>
    </row>
    <row r="38" spans="2:63" s="410" customFormat="1">
      <c r="B38" s="1162"/>
      <c r="C38" s="1187" t="s">
        <v>10</v>
      </c>
      <c r="D38" s="1164" t="str">
        <f>INDEX(Vectors[Description], MATCH($C38, Vectors[Code], 0))</f>
        <v>Wave</v>
      </c>
      <c r="E38" s="166"/>
      <c r="F38" s="267"/>
      <c r="G38" s="267"/>
      <c r="H38" s="1165">
        <v>0</v>
      </c>
      <c r="I38" s="1165">
        <v>0</v>
      </c>
      <c r="J38" s="1165">
        <v>0</v>
      </c>
      <c r="K38" s="1165">
        <v>0</v>
      </c>
      <c r="L38" s="1165">
        <v>0</v>
      </c>
      <c r="M38" s="1165">
        <v>0</v>
      </c>
      <c r="N38" s="1165">
        <v>0</v>
      </c>
      <c r="O38" s="1165">
        <v>0</v>
      </c>
      <c r="P38" s="1165">
        <v>0</v>
      </c>
      <c r="Q38" s="1165">
        <v>0</v>
      </c>
      <c r="R38" s="1165">
        <v>0</v>
      </c>
      <c r="S38" s="1165">
        <v>0</v>
      </c>
      <c r="T38" s="1165">
        <v>0</v>
      </c>
      <c r="U38" s="1165">
        <v>0</v>
      </c>
      <c r="V38" s="1165">
        <v>0</v>
      </c>
      <c r="W38" s="1165">
        <v>0</v>
      </c>
      <c r="X38" s="1165">
        <v>0</v>
      </c>
      <c r="Y38" s="1165">
        <v>0</v>
      </c>
      <c r="Z38" s="1165">
        <v>0</v>
      </c>
      <c r="AA38" s="1165">
        <v>0</v>
      </c>
      <c r="AB38" s="1165">
        <v>0</v>
      </c>
      <c r="AC38" s="1165">
        <v>0</v>
      </c>
      <c r="AD38" s="1165">
        <v>0</v>
      </c>
      <c r="AE38" s="1165">
        <v>0</v>
      </c>
      <c r="AF38" s="1165">
        <v>0</v>
      </c>
      <c r="AG38" s="1165">
        <v>0</v>
      </c>
      <c r="AH38" s="1165">
        <v>0</v>
      </c>
      <c r="AI38" s="1165">
        <v>0</v>
      </c>
      <c r="AJ38" s="1165">
        <v>0</v>
      </c>
      <c r="AK38" s="1165">
        <v>0</v>
      </c>
      <c r="AL38" s="1165">
        <v>0</v>
      </c>
      <c r="AM38" s="1165">
        <v>0</v>
      </c>
      <c r="AN38" s="1165">
        <v>0</v>
      </c>
      <c r="AO38" s="1165">
        <v>0</v>
      </c>
      <c r="AP38" s="1165">
        <v>0</v>
      </c>
      <c r="AQ38" s="1165">
        <v>0</v>
      </c>
      <c r="AR38" s="1165">
        <v>0</v>
      </c>
      <c r="AS38" s="1165">
        <v>0</v>
      </c>
      <c r="AT38" s="1165">
        <v>0</v>
      </c>
      <c r="AU38" s="1165">
        <v>0</v>
      </c>
      <c r="AV38" s="1165">
        <v>0</v>
      </c>
      <c r="AW38" s="1165" t="s">
        <v>2540</v>
      </c>
      <c r="AX38" s="166"/>
      <c r="AY38" s="267">
        <f ca="1">'Intermediate output'!AY30</f>
        <v>0</v>
      </c>
      <c r="AZ38" s="267">
        <f>'Intermediate output'!AZ30</f>
        <v>0</v>
      </c>
      <c r="BA38" s="267">
        <f ca="1">'Intermediate output'!BA30</f>
        <v>0</v>
      </c>
      <c r="BB38" s="267">
        <f ca="1">'Intermediate output'!BB30</f>
        <v>0</v>
      </c>
      <c r="BC38" s="267">
        <f ca="1">'Intermediate output'!BC30</f>
        <v>0</v>
      </c>
      <c r="BD38" s="267">
        <f ca="1">'Intermediate output'!BD30</f>
        <v>0</v>
      </c>
      <c r="BE38" s="267">
        <f ca="1">'Intermediate output'!BE30</f>
        <v>0</v>
      </c>
      <c r="BF38" s="267">
        <f ca="1">'Intermediate output'!BF30</f>
        <v>0</v>
      </c>
      <c r="BG38" s="267">
        <f ca="1">'Intermediate output'!BG30</f>
        <v>0</v>
      </c>
      <c r="BH38" s="267">
        <f ca="1">'Intermediate output'!BH30</f>
        <v>0</v>
      </c>
      <c r="BI38" s="267">
        <f ca="1">'Intermediate output'!BI30</f>
        <v>0</v>
      </c>
      <c r="BJ38" s="1166"/>
      <c r="BK38" s="1021"/>
    </row>
    <row r="39" spans="2:63" s="410" customFormat="1">
      <c r="B39" s="1162"/>
      <c r="C39" s="1187" t="s">
        <v>11</v>
      </c>
      <c r="D39" s="1164" t="str">
        <f>INDEX(Vectors[Description], MATCH($C39, Vectors[Code], 0))</f>
        <v>Geothermal</v>
      </c>
      <c r="E39" s="166"/>
      <c r="F39" s="267"/>
      <c r="G39" s="267"/>
      <c r="H39" s="1165">
        <v>0</v>
      </c>
      <c r="I39" s="1165">
        <v>0</v>
      </c>
      <c r="J39" s="1165">
        <v>0</v>
      </c>
      <c r="K39" s="1165">
        <v>0</v>
      </c>
      <c r="L39" s="1165">
        <v>0</v>
      </c>
      <c r="M39" s="1165">
        <v>0</v>
      </c>
      <c r="N39" s="1165">
        <v>0</v>
      </c>
      <c r="O39" s="1165">
        <v>0</v>
      </c>
      <c r="P39" s="1165">
        <v>0</v>
      </c>
      <c r="Q39" s="1165">
        <v>0</v>
      </c>
      <c r="R39" s="1165">
        <v>0</v>
      </c>
      <c r="S39" s="1165">
        <v>0</v>
      </c>
      <c r="T39" s="1165">
        <v>0</v>
      </c>
      <c r="U39" s="1165">
        <v>0</v>
      </c>
      <c r="V39" s="1165">
        <v>0</v>
      </c>
      <c r="W39" s="1165">
        <v>0</v>
      </c>
      <c r="X39" s="1165">
        <v>0</v>
      </c>
      <c r="Y39" s="1165">
        <v>0</v>
      </c>
      <c r="Z39" s="1165">
        <v>0</v>
      </c>
      <c r="AA39" s="1165">
        <v>0</v>
      </c>
      <c r="AB39" s="1165">
        <v>0</v>
      </c>
      <c r="AC39" s="1165">
        <v>0</v>
      </c>
      <c r="AD39" s="1165">
        <v>0</v>
      </c>
      <c r="AE39" s="1165">
        <v>0</v>
      </c>
      <c r="AF39" s="1165">
        <v>0</v>
      </c>
      <c r="AG39" s="1165">
        <v>0</v>
      </c>
      <c r="AH39" s="1165">
        <v>0</v>
      </c>
      <c r="AI39" s="1165">
        <v>0</v>
      </c>
      <c r="AJ39" s="1165">
        <v>0</v>
      </c>
      <c r="AK39" s="1165">
        <v>0</v>
      </c>
      <c r="AL39" s="1165">
        <v>0</v>
      </c>
      <c r="AM39" s="1165">
        <v>0</v>
      </c>
      <c r="AN39" s="1165">
        <v>0</v>
      </c>
      <c r="AO39" s="1165">
        <v>0</v>
      </c>
      <c r="AP39" s="1165">
        <v>0</v>
      </c>
      <c r="AQ39" s="1165">
        <v>0</v>
      </c>
      <c r="AR39" s="1165">
        <v>0</v>
      </c>
      <c r="AS39" s="1165">
        <v>0</v>
      </c>
      <c r="AT39" s="1165">
        <v>0</v>
      </c>
      <c r="AU39" s="1165">
        <v>0</v>
      </c>
      <c r="AV39" s="1165">
        <v>0</v>
      </c>
      <c r="AW39" s="1165" t="s">
        <v>2540</v>
      </c>
      <c r="AX39" s="166"/>
      <c r="AY39" s="267">
        <f ca="1">'Intermediate output'!AY31</f>
        <v>0</v>
      </c>
      <c r="AZ39" s="267">
        <f>'Intermediate output'!AZ31</f>
        <v>0</v>
      </c>
      <c r="BA39" s="267">
        <f ca="1">'Intermediate output'!BA31</f>
        <v>0</v>
      </c>
      <c r="BB39" s="267">
        <f ca="1">'Intermediate output'!BB31</f>
        <v>0</v>
      </c>
      <c r="BC39" s="267">
        <f ca="1">'Intermediate output'!BC31</f>
        <v>0</v>
      </c>
      <c r="BD39" s="267">
        <f ca="1">'Intermediate output'!BD31</f>
        <v>0</v>
      </c>
      <c r="BE39" s="267">
        <f ca="1">'Intermediate output'!BE31</f>
        <v>0</v>
      </c>
      <c r="BF39" s="267">
        <f ca="1">'Intermediate output'!BF31</f>
        <v>0</v>
      </c>
      <c r="BG39" s="267">
        <f ca="1">'Intermediate output'!BG31</f>
        <v>0</v>
      </c>
      <c r="BH39" s="267">
        <f ca="1">'Intermediate output'!BH31</f>
        <v>0</v>
      </c>
      <c r="BI39" s="267">
        <f ca="1">'Intermediate output'!BI31</f>
        <v>0</v>
      </c>
      <c r="BJ39" s="1166"/>
      <c r="BK39" s="1021"/>
    </row>
    <row r="40" spans="2:63" s="410" customFormat="1">
      <c r="B40" s="1162"/>
      <c r="C40" s="1187" t="s">
        <v>12</v>
      </c>
      <c r="D40" s="1164" t="str">
        <f>INDEX(Vectors[Description], MATCH($C40, Vectors[Code], 0))</f>
        <v>Hydro</v>
      </c>
      <c r="E40" s="166"/>
      <c r="F40" s="267"/>
      <c r="G40" s="267"/>
      <c r="H40" s="1165"/>
      <c r="I40" s="1165"/>
      <c r="J40" s="1165"/>
      <c r="K40" s="1165"/>
      <c r="L40" s="1165"/>
      <c r="M40" s="1165"/>
      <c r="N40" s="1165"/>
      <c r="O40" s="1165"/>
      <c r="P40" s="1165"/>
      <c r="Q40" s="1165"/>
      <c r="R40" s="1165"/>
      <c r="S40" s="1165"/>
      <c r="T40" s="1165"/>
      <c r="U40" s="1165"/>
      <c r="V40" s="1165"/>
      <c r="W40" s="1165"/>
      <c r="X40" s="1165"/>
      <c r="Y40" s="1165"/>
      <c r="Z40" s="1165"/>
      <c r="AA40" s="1165"/>
      <c r="AB40" s="1165"/>
      <c r="AC40" s="1165"/>
      <c r="AD40" s="1165"/>
      <c r="AE40" s="1165"/>
      <c r="AF40" s="1165"/>
      <c r="AG40" s="1165"/>
      <c r="AH40" s="1165">
        <f>2.8*Unit.TWh</f>
        <v>2.8</v>
      </c>
      <c r="AI40" s="1165">
        <f>3.3*Unit.TWh</f>
        <v>3.3</v>
      </c>
      <c r="AJ40" s="1165">
        <f>5.1*Unit.TWh</f>
        <v>5.0999999999999996</v>
      </c>
      <c r="AK40" s="1165">
        <f>5.3*Unit.TWh</f>
        <v>5.3</v>
      </c>
      <c r="AL40" s="1165">
        <f>5.1*Unit.TWh</f>
        <v>5.0999999999999996</v>
      </c>
      <c r="AM40" s="1165">
        <f>4.1*Unit.TWh</f>
        <v>4.0999999999999996</v>
      </c>
      <c r="AN40" s="1165">
        <f>4.8*Unit.TWh</f>
        <v>4.8</v>
      </c>
      <c r="AO40" s="1165">
        <f>3.2*Unit.TWh</f>
        <v>3.2</v>
      </c>
      <c r="AP40" s="1165">
        <f>4.8*Unit.TWh</f>
        <v>4.8</v>
      </c>
      <c r="AQ40" s="1165">
        <f>4.9*Unit.TWh</f>
        <v>4.9000000000000004</v>
      </c>
      <c r="AR40" s="1165">
        <f>4.6*Unit.TWh</f>
        <v>4.5999999999999996</v>
      </c>
      <c r="AS40" s="1165">
        <f>5.1*Unit.TWh</f>
        <v>5.0999999999999996</v>
      </c>
      <c r="AT40" s="1165">
        <f>5.2*Unit.TWh</f>
        <v>5.2</v>
      </c>
      <c r="AU40" s="1165">
        <f>5.3*Unit.TWh</f>
        <v>5.3</v>
      </c>
      <c r="AV40" s="1165">
        <f>3.6*Unit.TWh</f>
        <v>3.6</v>
      </c>
      <c r="AW40" s="1165" t="s">
        <v>2541</v>
      </c>
      <c r="AX40" s="166"/>
      <c r="AY40" s="267">
        <f ca="1">'Intermediate output'!AY32</f>
        <v>128.51059438799999</v>
      </c>
      <c r="AZ40" s="267">
        <f>'Intermediate output'!AZ32</f>
        <v>0</v>
      </c>
      <c r="BA40" s="267">
        <f ca="1">'Intermediate output'!BA32</f>
        <v>155.84385898800002</v>
      </c>
      <c r="BB40" s="267">
        <f ca="1">'Intermediate output'!BB32</f>
        <v>189.41763898800005</v>
      </c>
      <c r="BC40" s="267">
        <f ca="1">'Intermediate output'!BC32</f>
        <v>195.75107398800003</v>
      </c>
      <c r="BD40" s="267">
        <f ca="1">'Intermediate output'!BD32</f>
        <v>199.56428398800003</v>
      </c>
      <c r="BE40" s="267">
        <f ca="1">'Intermediate output'!BE32</f>
        <v>203.46515398800005</v>
      </c>
      <c r="BF40" s="267">
        <f ca="1">'Intermediate output'!BF32</f>
        <v>205.43750398800003</v>
      </c>
      <c r="BG40" s="267">
        <f ca="1">'Intermediate output'!BG32</f>
        <v>205.71585955200004</v>
      </c>
      <c r="BH40" s="267">
        <f ca="1">'Intermediate output'!BH32</f>
        <v>206.60431118400004</v>
      </c>
      <c r="BI40" s="267">
        <f ca="1">'Intermediate output'!BI32</f>
        <v>207.19601618400003</v>
      </c>
      <c r="BJ40" s="1166"/>
      <c r="BK40" s="1021"/>
    </row>
    <row r="41" spans="2:63" s="410" customFormat="1">
      <c r="B41" s="1162"/>
      <c r="C41" s="1187" t="s">
        <v>47</v>
      </c>
      <c r="D41" s="1164" t="str">
        <f>INDEX(Vectors[Description], MATCH($C41, Vectors[Code], 0))</f>
        <v>Electricity oversupply (imports)</v>
      </c>
      <c r="E41" s="166"/>
      <c r="F41" s="267"/>
      <c r="G41" s="267"/>
      <c r="H41" s="1165">
        <f>0.6*Unit.TWh</f>
        <v>0.6</v>
      </c>
      <c r="I41" s="1165">
        <f>0.1*Unit.TWh</f>
        <v>0.1</v>
      </c>
      <c r="J41" s="1165">
        <f>0.5*Unit.TWh</f>
        <v>0.5</v>
      </c>
      <c r="K41" s="1165">
        <f>0.1*Unit.TWh</f>
        <v>0.1</v>
      </c>
      <c r="L41" s="1165">
        <f>0.1*Unit.TWh</f>
        <v>0.1</v>
      </c>
      <c r="M41" s="1165">
        <f>0.1*Unit.TWh</f>
        <v>0.1</v>
      </c>
      <c r="N41" s="1165">
        <f>-0.1*Unit.TWh</f>
        <v>-0.1</v>
      </c>
      <c r="O41" s="1165">
        <f>0*Unit.TWh</f>
        <v>0</v>
      </c>
      <c r="P41" s="1165">
        <f>(0.1)</f>
        <v>0.1</v>
      </c>
      <c r="Q41" s="1165">
        <f>0*Unit.TWh</f>
        <v>0</v>
      </c>
      <c r="R41" s="1165">
        <f t="shared" ref="R41:W41" si="9">0*Unit.TWh</f>
        <v>0</v>
      </c>
      <c r="S41" s="1165">
        <f t="shared" si="9"/>
        <v>0</v>
      </c>
      <c r="T41" s="1165">
        <f t="shared" si="9"/>
        <v>0</v>
      </c>
      <c r="U41" s="1165">
        <f t="shared" si="9"/>
        <v>0</v>
      </c>
      <c r="V41" s="1165">
        <f t="shared" si="9"/>
        <v>0</v>
      </c>
      <c r="W41" s="1165">
        <f t="shared" si="9"/>
        <v>0</v>
      </c>
      <c r="X41" s="1165">
        <f>4.3*Unit.TWh</f>
        <v>4.3</v>
      </c>
      <c r="Y41" s="1165">
        <f>11.6*Unit.TWh</f>
        <v>11.6</v>
      </c>
      <c r="Z41" s="1165">
        <f>12.1*Unit.TWh</f>
        <v>12.1</v>
      </c>
      <c r="AA41" s="1165">
        <f>12.6*Unit.TWh</f>
        <v>12.6</v>
      </c>
      <c r="AB41" s="1165">
        <f>11.9*Unit.TWh</f>
        <v>11.9</v>
      </c>
      <c r="AC41" s="1165">
        <f>16.4*Unit.TWh</f>
        <v>16.399999999999999</v>
      </c>
      <c r="AD41" s="1165">
        <f>16.7*Unit.TWh</f>
        <v>16.7</v>
      </c>
      <c r="AE41" s="1165">
        <f>16.7*Unit.TWh</f>
        <v>16.7</v>
      </c>
      <c r="AF41" s="1165">
        <f>16.9*Unit.TWh</f>
        <v>16.899999999999999</v>
      </c>
      <c r="AG41" s="1165">
        <f>16.6*Unit.TWh</f>
        <v>16.600000000000001</v>
      </c>
      <c r="AH41" s="1165">
        <f>16.8*Unit.TWh</f>
        <v>16.8</v>
      </c>
      <c r="AI41" s="1165">
        <f>16.6*Unit.TWh</f>
        <v>16.600000000000001</v>
      </c>
      <c r="AJ41" s="1165">
        <f>12.5*Unit.TWh</f>
        <v>12.5</v>
      </c>
      <c r="AK41" s="1165">
        <f>14.2*Unit.TWh</f>
        <v>14.2</v>
      </c>
      <c r="AL41" s="1165">
        <f>14.2*Unit.TWh</f>
        <v>14.2</v>
      </c>
      <c r="AM41" s="1165">
        <f>10.4*Unit.TWh</f>
        <v>10.4</v>
      </c>
      <c r="AN41" s="1165">
        <f>8.4*Unit.TWh</f>
        <v>8.4</v>
      </c>
      <c r="AO41" s="1165">
        <f>2.2*Unit.TWh</f>
        <v>2.2000000000000002</v>
      </c>
      <c r="AP41" s="1165">
        <f>7.5*Unit.TWh</f>
        <v>7.5</v>
      </c>
      <c r="AQ41" s="1165">
        <f>8.3*Unit.TWh</f>
        <v>8.3000000000000007</v>
      </c>
      <c r="AR41" s="1165">
        <f>7.5*Unit.TWh</f>
        <v>7.5</v>
      </c>
      <c r="AS41" s="1165">
        <f>5.2*Unit.TWh</f>
        <v>5.2</v>
      </c>
      <c r="AT41" s="1165">
        <f>11*Unit.TWh</f>
        <v>11</v>
      </c>
      <c r="AU41" s="1165">
        <f>2.9*Unit.TWh</f>
        <v>2.9</v>
      </c>
      <c r="AV41" s="1165">
        <f>2.7*Unit.TWh</f>
        <v>2.7</v>
      </c>
      <c r="AW41" s="1165" t="s">
        <v>2542</v>
      </c>
      <c r="AX41" s="166"/>
      <c r="AY41" s="267">
        <f ca="1">'Intermediate output'!AY33</f>
        <v>1</v>
      </c>
      <c r="AZ41" s="267">
        <f>'Intermediate output'!AZ33</f>
        <v>0</v>
      </c>
      <c r="BA41" s="267">
        <f ca="1">'Intermediate output'!BA33</f>
        <v>4.0000000000002274</v>
      </c>
      <c r="BB41" s="267">
        <f ca="1">'Intermediate output'!BB33</f>
        <v>14.000000000000455</v>
      </c>
      <c r="BC41" s="267">
        <f ca="1">'Intermediate output'!BC33</f>
        <v>21.000000000000227</v>
      </c>
      <c r="BD41" s="267">
        <f ca="1">'Intermediate output'!BD33</f>
        <v>30.999999999999545</v>
      </c>
      <c r="BE41" s="267">
        <f ca="1">'Intermediate output'!BE33</f>
        <v>39.999999999999545</v>
      </c>
      <c r="BF41" s="267">
        <f ca="1">'Intermediate output'!BF33</f>
        <v>49</v>
      </c>
      <c r="BG41" s="267">
        <f ca="1">'Intermediate output'!BG33</f>
        <v>55.000000000000909</v>
      </c>
      <c r="BH41" s="267">
        <f ca="1">'Intermediate output'!BH33</f>
        <v>55.000000000000909</v>
      </c>
      <c r="BI41" s="267">
        <f ca="1">'Intermediate output'!BI33</f>
        <v>55.000000000000909</v>
      </c>
      <c r="BJ41" s="1166"/>
      <c r="BK41" s="1021"/>
    </row>
    <row r="42" spans="2:63">
      <c r="B42" s="1162"/>
      <c r="C42" s="1170"/>
      <c r="D42" s="166" t="s">
        <v>1130</v>
      </c>
      <c r="E42" s="166"/>
      <c r="F42" s="1168"/>
      <c r="G42" s="1168"/>
      <c r="H42" s="3304"/>
      <c r="I42" s="3304"/>
      <c r="J42" s="3304"/>
      <c r="K42" s="3304"/>
      <c r="L42" s="3304"/>
      <c r="M42" s="3304"/>
      <c r="N42" s="3304"/>
      <c r="O42" s="3304"/>
      <c r="P42" s="3304"/>
      <c r="Q42" s="3304"/>
      <c r="R42" s="3304"/>
      <c r="S42" s="3304"/>
      <c r="T42" s="3304"/>
      <c r="U42" s="3304"/>
      <c r="V42" s="3304"/>
      <c r="W42" s="3304"/>
      <c r="X42" s="3304"/>
      <c r="Y42" s="3304"/>
      <c r="Z42" s="3304"/>
      <c r="AA42" s="3304"/>
      <c r="AB42" s="3304"/>
      <c r="AC42" s="3304"/>
      <c r="AD42" s="3304"/>
      <c r="AE42" s="3304"/>
      <c r="AF42" s="3304"/>
      <c r="AG42" s="3304"/>
      <c r="AH42" s="3304"/>
      <c r="AI42" s="3304"/>
      <c r="AJ42" s="3304">
        <f>291.1*Unit.TWh</f>
        <v>291.10000000000002</v>
      </c>
      <c r="AK42" s="3304">
        <f>278.8*Unit.TWh</f>
        <v>278.8</v>
      </c>
      <c r="AL42" s="3304">
        <f>248.7*Unit.TWh</f>
        <v>248.7</v>
      </c>
      <c r="AM42" s="3304">
        <f>257.1*Unit.TWh</f>
        <v>257.10000000000002</v>
      </c>
      <c r="AN42" s="3304">
        <f>248.4*Unit.TWh</f>
        <v>248.4</v>
      </c>
      <c r="AO42" s="3304">
        <f>240*Unit.TWh</f>
        <v>240</v>
      </c>
      <c r="AP42" s="3304">
        <f>225.8*Unit.TWh</f>
        <v>225.8</v>
      </c>
      <c r="AQ42" s="3304">
        <f>230.2*Unit.TWh</f>
        <v>230.2</v>
      </c>
      <c r="AR42" s="3304">
        <f>216*Unit.TWh</f>
        <v>216</v>
      </c>
      <c r="AS42" s="3304">
        <f>179.4*Unit.TWh</f>
        <v>179.4</v>
      </c>
      <c r="AT42" s="3304">
        <f>162.5*Unit.TWh</f>
        <v>162.5</v>
      </c>
      <c r="AU42" s="3304">
        <f>195.4*Unit.TWh</f>
        <v>195.4</v>
      </c>
      <c r="AV42" s="3304">
        <f>179.7*Unit.TWh</f>
        <v>179.7</v>
      </c>
      <c r="AW42" s="3304"/>
      <c r="AX42" s="166"/>
      <c r="AY42" s="267">
        <f ca="1">'Intermediate output'!AY34</f>
        <v>221.89552622742858</v>
      </c>
      <c r="AZ42" s="267">
        <f>'Intermediate output'!AZ34</f>
        <v>0</v>
      </c>
      <c r="BA42" s="267">
        <f ca="1">'Intermediate output'!BA34</f>
        <v>269.90453564691433</v>
      </c>
      <c r="BB42" s="267">
        <f ca="1">'Intermediate output'!BB34</f>
        <v>436.98689141909455</v>
      </c>
      <c r="BC42" s="267">
        <f ca="1">'Intermediate output'!BC34</f>
        <v>476.63693273498399</v>
      </c>
      <c r="BD42" s="267">
        <f ca="1">'Intermediate output'!BD34</f>
        <v>526.6866009911007</v>
      </c>
      <c r="BE42" s="267">
        <f ca="1">'Intermediate output'!BE34</f>
        <v>582.90317722274926</v>
      </c>
      <c r="BF42" s="267">
        <f ca="1">'Intermediate output'!BF34</f>
        <v>619.78760569991368</v>
      </c>
      <c r="BG42" s="267">
        <f ca="1">'Intermediate output'!BG34</f>
        <v>641.81048400184591</v>
      </c>
      <c r="BH42" s="267">
        <f ca="1">'Intermediate output'!BH34</f>
        <v>642.04248386750248</v>
      </c>
      <c r="BI42" s="267">
        <f ca="1">'Intermediate output'!BI34</f>
        <v>629.7645768448906</v>
      </c>
      <c r="BJ42" s="1169"/>
      <c r="BK42" s="1021"/>
    </row>
    <row r="43" spans="2:63">
      <c r="B43" s="1162"/>
      <c r="C43" s="1170" t="s">
        <v>90</v>
      </c>
      <c r="D43" s="1164" t="str">
        <f>INDEX(Vectors[Description], MATCH($C43, Vectors[Code], 0))</f>
        <v>Environmental heat</v>
      </c>
      <c r="E43" s="166"/>
      <c r="F43" s="1168"/>
      <c r="G43" s="1168"/>
      <c r="H43" s="3304">
        <v>0</v>
      </c>
      <c r="I43" s="3304">
        <v>0</v>
      </c>
      <c r="J43" s="3304">
        <v>0</v>
      </c>
      <c r="K43" s="3304">
        <v>0</v>
      </c>
      <c r="L43" s="3304">
        <v>0</v>
      </c>
      <c r="M43" s="3304">
        <v>0</v>
      </c>
      <c r="N43" s="3304">
        <v>0</v>
      </c>
      <c r="O43" s="3304">
        <v>0</v>
      </c>
      <c r="P43" s="3304">
        <v>0</v>
      </c>
      <c r="Q43" s="3304">
        <v>0</v>
      </c>
      <c r="R43" s="3304">
        <v>0</v>
      </c>
      <c r="S43" s="3304">
        <v>0</v>
      </c>
      <c r="T43" s="3304">
        <v>0</v>
      </c>
      <c r="U43" s="3304">
        <v>0</v>
      </c>
      <c r="V43" s="3304">
        <v>0</v>
      </c>
      <c r="W43" s="3304">
        <v>0</v>
      </c>
      <c r="X43" s="3304">
        <v>0</v>
      </c>
      <c r="Y43" s="3304">
        <v>0</v>
      </c>
      <c r="Z43" s="3304">
        <v>0</v>
      </c>
      <c r="AA43" s="3304">
        <v>0</v>
      </c>
      <c r="AB43" s="3304">
        <v>0</v>
      </c>
      <c r="AC43" s="3304">
        <v>0</v>
      </c>
      <c r="AD43" s="3304">
        <v>0</v>
      </c>
      <c r="AE43" s="3304">
        <v>0</v>
      </c>
      <c r="AF43" s="3304">
        <v>0</v>
      </c>
      <c r="AG43" s="3304">
        <v>0</v>
      </c>
      <c r="AH43" s="3304">
        <v>0</v>
      </c>
      <c r="AI43" s="3304">
        <v>0</v>
      </c>
      <c r="AJ43" s="3304">
        <v>0</v>
      </c>
      <c r="AK43" s="3304">
        <v>0</v>
      </c>
      <c r="AL43" s="3304">
        <v>0</v>
      </c>
      <c r="AM43" s="3304">
        <v>0</v>
      </c>
      <c r="AN43" s="3304">
        <v>0</v>
      </c>
      <c r="AO43" s="3304">
        <v>0</v>
      </c>
      <c r="AP43" s="3304">
        <v>0</v>
      </c>
      <c r="AQ43" s="3304">
        <v>0</v>
      </c>
      <c r="AR43" s="3304">
        <v>0</v>
      </c>
      <c r="AS43" s="3304">
        <v>0</v>
      </c>
      <c r="AT43" s="3304">
        <v>0</v>
      </c>
      <c r="AU43" s="3304">
        <v>0</v>
      </c>
      <c r="AV43" s="3304">
        <v>0</v>
      </c>
      <c r="AW43" s="3304" t="s">
        <v>2540</v>
      </c>
      <c r="AX43" s="166"/>
      <c r="AY43" s="267">
        <f ca="1">'Intermediate output'!AY35</f>
        <v>222.89552622742858</v>
      </c>
      <c r="AZ43" s="267">
        <f>'Intermediate output'!AZ35</f>
        <v>0</v>
      </c>
      <c r="BA43" s="267">
        <f ca="1">'Intermediate output'!BA35</f>
        <v>273.90453564691455</v>
      </c>
      <c r="BB43" s="267">
        <f ca="1">'Intermediate output'!BB35</f>
        <v>450.986891419095</v>
      </c>
      <c r="BC43" s="267">
        <f ca="1">'Intermediate output'!BC35</f>
        <v>497.63693273498421</v>
      </c>
      <c r="BD43" s="267">
        <f ca="1">'Intermediate output'!BD35</f>
        <v>557.68660099110025</v>
      </c>
      <c r="BE43" s="267">
        <f ca="1">'Intermediate output'!BE35</f>
        <v>622.90317722274881</v>
      </c>
      <c r="BF43" s="267">
        <f ca="1">'Intermediate output'!BF35</f>
        <v>668.78760569991368</v>
      </c>
      <c r="BG43" s="267">
        <f ca="1">'Intermediate output'!BG35</f>
        <v>696.81048400184682</v>
      </c>
      <c r="BH43" s="267">
        <f ca="1">'Intermediate output'!BH35</f>
        <v>697.04248386750339</v>
      </c>
      <c r="BI43" s="267">
        <f ca="1">'Intermediate output'!BI35</f>
        <v>684.76457684489151</v>
      </c>
      <c r="BJ43" s="1169"/>
      <c r="BK43" s="1021"/>
    </row>
    <row r="44" spans="2:63" s="410" customFormat="1">
      <c r="B44" s="164"/>
      <c r="C44" s="1164" t="s">
        <v>42</v>
      </c>
      <c r="D44" s="1164" t="str">
        <f>INDEX(Vectors[Description], MATCH($C44, Vectors[Code], 0))</f>
        <v>Waste</v>
      </c>
      <c r="E44" s="166"/>
      <c r="F44" s="267"/>
      <c r="G44" s="267"/>
      <c r="H44" s="1165"/>
      <c r="I44" s="1165"/>
      <c r="J44" s="1165"/>
      <c r="K44" s="1165"/>
      <c r="L44" s="1165"/>
      <c r="M44" s="1165"/>
      <c r="N44" s="1165"/>
      <c r="O44" s="1165"/>
      <c r="P44" s="1165"/>
      <c r="Q44" s="1165"/>
      <c r="R44" s="1165"/>
      <c r="S44" s="1165"/>
      <c r="T44" s="1165"/>
      <c r="U44" s="1165"/>
      <c r="V44" s="1165"/>
      <c r="W44" s="1165"/>
      <c r="X44" s="1165"/>
      <c r="Y44" s="1165"/>
      <c r="Z44" s="1165"/>
      <c r="AA44" s="1165"/>
      <c r="AB44" s="1165"/>
      <c r="AC44" s="1165"/>
      <c r="AD44" s="1165"/>
      <c r="AE44" s="1165"/>
      <c r="AF44" s="1165"/>
      <c r="AG44" s="1165"/>
      <c r="AH44" s="1165"/>
      <c r="AI44" s="1165"/>
      <c r="AJ44" s="1165">
        <f>8.1*Unit.TWh</f>
        <v>8.1</v>
      </c>
      <c r="AK44" s="1165">
        <f>8.7*Unit.TWh</f>
        <v>8.6999999999999993</v>
      </c>
      <c r="AL44" s="1165">
        <f>10.4*Unit.TWh</f>
        <v>10.4</v>
      </c>
      <c r="AM44" s="1165">
        <f>12.1*Unit.TWh</f>
        <v>12.1</v>
      </c>
      <c r="AN44" s="1165">
        <f>13.9*Unit.TWh</f>
        <v>13.9</v>
      </c>
      <c r="AO44" s="1165">
        <f>16*Unit.TWh</f>
        <v>16</v>
      </c>
      <c r="AP44" s="1165">
        <f>11.9*Unit.TWh</f>
        <v>11.9</v>
      </c>
      <c r="AQ44" s="1165">
        <f>11.9*Unit.TWh</f>
        <v>11.9</v>
      </c>
      <c r="AR44" s="1165">
        <f>12.7*Unit.TWh</f>
        <v>12.7</v>
      </c>
      <c r="AS44" s="1165">
        <f>14.2*Unit.TWh</f>
        <v>14.2</v>
      </c>
      <c r="AT44" s="1165">
        <f>15.1*Unit.TWh</f>
        <v>15.1</v>
      </c>
      <c r="AU44" s="1165">
        <f>16.7*Unit.TWh</f>
        <v>16.7</v>
      </c>
      <c r="AV44" s="1165">
        <f>17.5*Unit.TWh</f>
        <v>17.5</v>
      </c>
      <c r="AW44" s="1165" t="s">
        <v>2543</v>
      </c>
      <c r="AX44" s="166"/>
      <c r="AY44" s="267">
        <f ca="1">'Intermediate output'!AY36</f>
        <v>0</v>
      </c>
      <c r="AZ44" s="267">
        <f>'Intermediate output'!AZ36</f>
        <v>0</v>
      </c>
      <c r="BA44" s="267">
        <f ca="1">'Intermediate output'!BA36</f>
        <v>0</v>
      </c>
      <c r="BB44" s="267">
        <f ca="1">'Intermediate output'!BB36</f>
        <v>0</v>
      </c>
      <c r="BC44" s="267">
        <f ca="1">'Intermediate output'!BC36</f>
        <v>0</v>
      </c>
      <c r="BD44" s="267">
        <f ca="1">'Intermediate output'!BD36</f>
        <v>0</v>
      </c>
      <c r="BE44" s="267">
        <f ca="1">'Intermediate output'!BE36</f>
        <v>0</v>
      </c>
      <c r="BF44" s="267">
        <f ca="1">'Intermediate output'!BF36</f>
        <v>0</v>
      </c>
      <c r="BG44" s="267">
        <f ca="1">'Intermediate output'!BG36</f>
        <v>0</v>
      </c>
      <c r="BH44" s="267">
        <f ca="1">'Intermediate output'!BH36</f>
        <v>0</v>
      </c>
      <c r="BI44" s="267">
        <f ca="1">'Intermediate output'!BI36</f>
        <v>0</v>
      </c>
      <c r="BJ44" s="1166"/>
      <c r="BK44" s="1021"/>
    </row>
    <row r="45" spans="2:63" s="410" customFormat="1">
      <c r="B45" s="164"/>
      <c r="C45" s="1164" t="s">
        <v>334</v>
      </c>
      <c r="D45" s="1164" t="str">
        <f>INDEX(Vectors[Description], MATCH($C45, Vectors[Code], 0))</f>
        <v>Agriculture</v>
      </c>
      <c r="E45" s="166"/>
      <c r="F45" s="267"/>
      <c r="G45" s="267"/>
      <c r="H45" s="1165"/>
      <c r="I45" s="1165"/>
      <c r="J45" s="1165"/>
      <c r="K45" s="1165"/>
      <c r="L45" s="1165"/>
      <c r="M45" s="1165"/>
      <c r="N45" s="1165"/>
      <c r="O45" s="1165"/>
      <c r="P45" s="1165"/>
      <c r="Q45" s="1165"/>
      <c r="R45" s="1165"/>
      <c r="S45" s="1165"/>
      <c r="T45" s="1165"/>
      <c r="U45" s="1165"/>
      <c r="V45" s="1165"/>
      <c r="W45" s="1165"/>
      <c r="X45" s="1165"/>
      <c r="Y45" s="1165"/>
      <c r="Z45" s="1165"/>
      <c r="AA45" s="1165"/>
      <c r="AB45" s="1165"/>
      <c r="AC45" s="1165"/>
      <c r="AD45" s="1165"/>
      <c r="AE45" s="1165"/>
      <c r="AF45" s="1165"/>
      <c r="AG45" s="1165"/>
      <c r="AH45" s="1165"/>
      <c r="AI45" s="1165"/>
      <c r="AJ45" s="1165">
        <f>42.4*Unit.TWh</f>
        <v>42.4</v>
      </c>
      <c r="AK45" s="1165">
        <f>43.5*Unit.TWh</f>
        <v>43.5</v>
      </c>
      <c r="AL45" s="1165">
        <f>44*Unit.TWh</f>
        <v>44</v>
      </c>
      <c r="AM45" s="1165">
        <f>45.2*Unit.TWh</f>
        <v>45.2</v>
      </c>
      <c r="AN45" s="1165">
        <f>46.4*Unit.TWh</f>
        <v>46.4</v>
      </c>
      <c r="AO45" s="1165">
        <f>43.3*Unit.TWh</f>
        <v>43.3</v>
      </c>
      <c r="AP45" s="1165">
        <f>47.7*Unit.TWh</f>
        <v>47.7</v>
      </c>
      <c r="AQ45" s="1165">
        <f>54.9*Unit.TWh</f>
        <v>54.9</v>
      </c>
      <c r="AR45" s="1165">
        <f>58.1*Unit.TWh</f>
        <v>58.1</v>
      </c>
      <c r="AS45" s="1165">
        <f>58.7*Unit.TWh</f>
        <v>58.7</v>
      </c>
      <c r="AT45" s="1165">
        <f>58.4*Unit.TWh</f>
        <v>58.4</v>
      </c>
      <c r="AU45" s="1165">
        <f>61*Unit.TWh</f>
        <v>61</v>
      </c>
      <c r="AV45" s="1165">
        <f>66.2 *Unit.TWh</f>
        <v>66.2</v>
      </c>
      <c r="AW45" s="1165" t="s">
        <v>2544</v>
      </c>
      <c r="AX45" s="166"/>
      <c r="AY45" s="267">
        <f ca="1">'Intermediate output'!AY37</f>
        <v>946.41133333333335</v>
      </c>
      <c r="AZ45" s="267">
        <f>'Intermediate output'!AZ37</f>
        <v>0</v>
      </c>
      <c r="BA45" s="267">
        <f ca="1">'Intermediate output'!BA37</f>
        <v>958.71557777777775</v>
      </c>
      <c r="BB45" s="267">
        <f ca="1">'Intermediate output'!BB37</f>
        <v>961.65269558323416</v>
      </c>
      <c r="BC45" s="267">
        <f ca="1">'Intermediate output'!BC37</f>
        <v>965.3605542966875</v>
      </c>
      <c r="BD45" s="267">
        <f ca="1">'Intermediate output'!BD37</f>
        <v>969.99783378851419</v>
      </c>
      <c r="BE45" s="267">
        <f ca="1">'Intermediate output'!BE37</f>
        <v>975.83974092558583</v>
      </c>
      <c r="BF45" s="267">
        <f ca="1">'Intermediate output'!BF37</f>
        <v>982.30162109759806</v>
      </c>
      <c r="BG45" s="267">
        <f ca="1">'Intermediate output'!BG37</f>
        <v>986.67052821417678</v>
      </c>
      <c r="BH45" s="267">
        <f ca="1">'Intermediate output'!BH37</f>
        <v>992.22893791457784</v>
      </c>
      <c r="BI45" s="267">
        <f ca="1">'Intermediate output'!BI37</f>
        <v>999.85024920758985</v>
      </c>
      <c r="BJ45" s="1166"/>
      <c r="BK45" s="1021"/>
    </row>
    <row r="46" spans="2:63" s="410" customFormat="1">
      <c r="B46" s="1162"/>
      <c r="C46" s="1164" t="s">
        <v>46</v>
      </c>
      <c r="D46" s="1164" t="str">
        <f>INDEX(Vectors[Description], MATCH($C46, Vectors[Code], 0))</f>
        <v>Biomass oversupply (imports)</v>
      </c>
      <c r="E46" s="166"/>
      <c r="F46" s="267"/>
      <c r="G46" s="267"/>
      <c r="H46" s="1165"/>
      <c r="I46" s="1165"/>
      <c r="J46" s="1165"/>
      <c r="K46" s="1165"/>
      <c r="L46" s="1165"/>
      <c r="M46" s="1165"/>
      <c r="N46" s="1165"/>
      <c r="O46" s="1165"/>
      <c r="P46" s="1165"/>
      <c r="Q46" s="1165"/>
      <c r="R46" s="1165"/>
      <c r="S46" s="1165"/>
      <c r="T46" s="1165"/>
      <c r="U46" s="1165"/>
      <c r="V46" s="1165"/>
      <c r="W46" s="1165"/>
      <c r="X46" s="1165"/>
      <c r="Y46" s="1165"/>
      <c r="Z46" s="1165"/>
      <c r="AA46" s="1165"/>
      <c r="AB46" s="1165"/>
      <c r="AC46" s="1165"/>
      <c r="AD46" s="1165"/>
      <c r="AE46" s="1165"/>
      <c r="AF46" s="1165"/>
      <c r="AG46" s="1165"/>
      <c r="AH46" s="1165"/>
      <c r="AI46" s="1165"/>
      <c r="AJ46" s="1165">
        <f>25.6*Unit.TWh</f>
        <v>25.6</v>
      </c>
      <c r="AK46" s="1165">
        <f>25.6*Unit.TWh</f>
        <v>25.6</v>
      </c>
      <c r="AL46" s="1165">
        <f>25.7*Unit.TWh</f>
        <v>25.7</v>
      </c>
      <c r="AM46" s="1165">
        <f>25.8*Unit.TWh</f>
        <v>25.8</v>
      </c>
      <c r="AN46" s="1165">
        <f>25.9*Unit.TWh</f>
        <v>25.9</v>
      </c>
      <c r="AO46" s="1165">
        <f>26*Unit.TWh</f>
        <v>26</v>
      </c>
      <c r="AP46" s="1165">
        <f>26.1*Unit.TWh</f>
        <v>26.1</v>
      </c>
      <c r="AQ46" s="1165">
        <f>26.3*Unit.TWh</f>
        <v>26.3</v>
      </c>
      <c r="AR46" s="1165">
        <f>26.4*Unit.TWh</f>
        <v>26.4</v>
      </c>
      <c r="AS46" s="1165">
        <f>26.6*Unit.TWh</f>
        <v>26.6</v>
      </c>
      <c r="AT46" s="1165">
        <f>26.8*Unit.TWh</f>
        <v>26.8</v>
      </c>
      <c r="AU46" s="1165">
        <f>27*Unit.TWh</f>
        <v>27</v>
      </c>
      <c r="AV46" s="1165">
        <f>27.1*Unit.TWh</f>
        <v>27.1</v>
      </c>
      <c r="AW46" s="1165" t="s">
        <v>2545</v>
      </c>
      <c r="AX46" s="166"/>
      <c r="AY46" s="267">
        <f ca="1">'Intermediate output'!AY38</f>
        <v>0</v>
      </c>
      <c r="AZ46" s="267">
        <f>'Intermediate output'!AZ38</f>
        <v>0</v>
      </c>
      <c r="BA46" s="267">
        <f ca="1">'Intermediate output'!BA38</f>
        <v>0.13142242804166665</v>
      </c>
      <c r="BB46" s="267">
        <f ca="1">'Intermediate output'!BB38</f>
        <v>0.21232334500000016</v>
      </c>
      <c r="BC46" s="267">
        <f ca="1">'Intermediate output'!BC38</f>
        <v>0.30591778749999998</v>
      </c>
      <c r="BD46" s="267">
        <f ca="1">'Intermediate output'!BD38</f>
        <v>0.41826750874999996</v>
      </c>
      <c r="BE46" s="267">
        <f ca="1">'Intermediate output'!BE38</f>
        <v>0.51589118749999996</v>
      </c>
      <c r="BF46" s="267">
        <f ca="1">'Intermediate output'!BF38</f>
        <v>0.63055692916666661</v>
      </c>
      <c r="BG46" s="267">
        <f ca="1">'Intermediate output'!BG38</f>
        <v>0.79227782291666671</v>
      </c>
      <c r="BH46" s="267">
        <f ca="1">'Intermediate output'!BH38</f>
        <v>0.90559611458333333</v>
      </c>
      <c r="BI46" s="267">
        <f ca="1">'Intermediate output'!BI38</f>
        <v>1.01891440625</v>
      </c>
      <c r="BJ46" s="1166"/>
      <c r="BK46" s="1021"/>
    </row>
    <row r="47" spans="2:63">
      <c r="B47" s="1162"/>
      <c r="C47" s="166"/>
      <c r="D47" s="166" t="s">
        <v>2046</v>
      </c>
      <c r="E47" s="166"/>
      <c r="F47" s="1168"/>
      <c r="G47" s="1168"/>
      <c r="H47" s="3304"/>
      <c r="I47" s="3304"/>
      <c r="J47" s="3304"/>
      <c r="K47" s="3304"/>
      <c r="L47" s="3304"/>
      <c r="M47" s="3304"/>
      <c r="N47" s="3304"/>
      <c r="O47" s="3304"/>
      <c r="P47" s="3304"/>
      <c r="Q47" s="3304"/>
      <c r="R47" s="3304"/>
      <c r="S47" s="3304"/>
      <c r="T47" s="3304"/>
      <c r="U47" s="3304"/>
      <c r="V47" s="3304"/>
      <c r="W47" s="3304"/>
      <c r="X47" s="3304"/>
      <c r="Y47" s="3304"/>
      <c r="Z47" s="3304"/>
      <c r="AA47" s="3304"/>
      <c r="AB47" s="3304"/>
      <c r="AC47" s="3304"/>
      <c r="AD47" s="3304"/>
      <c r="AE47" s="3304"/>
      <c r="AF47" s="3304"/>
      <c r="AG47" s="3304"/>
      <c r="AH47" s="3304"/>
      <c r="AI47" s="3304"/>
      <c r="AJ47" s="3304">
        <f>76.1*Unit.TWh</f>
        <v>76.099999999999994</v>
      </c>
      <c r="AK47" s="3304">
        <f>77.8*Unit.TWh</f>
        <v>77.8</v>
      </c>
      <c r="AL47" s="3304">
        <f>80.2*Unit.TWh</f>
        <v>80.2</v>
      </c>
      <c r="AM47" s="3304">
        <f>83.2*Unit.TWh</f>
        <v>83.2</v>
      </c>
      <c r="AN47" s="3304">
        <f>86.2*Unit.TWh</f>
        <v>86.2</v>
      </c>
      <c r="AO47" s="3304">
        <f>85.3*Unit.TWh</f>
        <v>85.3</v>
      </c>
      <c r="AP47" s="3304">
        <f>85.7*Unit.TWh</f>
        <v>85.7</v>
      </c>
      <c r="AQ47" s="3304">
        <f>93*Unit.TWh</f>
        <v>93</v>
      </c>
      <c r="AR47" s="3304">
        <f>97.2*Unit.TWh</f>
        <v>97.2</v>
      </c>
      <c r="AS47" s="3304">
        <f>99.5*Unit.TWh</f>
        <v>99.5</v>
      </c>
      <c r="AT47" s="3304">
        <f>100.3*Unit.TWh</f>
        <v>100.3</v>
      </c>
      <c r="AU47" s="3304">
        <f>104.6*Unit.TWh</f>
        <v>104.6</v>
      </c>
      <c r="AV47" s="3304">
        <f>110.8*Unit.TWh</f>
        <v>110.8</v>
      </c>
      <c r="AW47" s="3304"/>
      <c r="AX47" s="166"/>
      <c r="AY47" s="267">
        <f ca="1">'Intermediate output'!AY39</f>
        <v>0</v>
      </c>
      <c r="AZ47" s="267">
        <f>'Intermediate output'!AZ39</f>
        <v>0</v>
      </c>
      <c r="BA47" s="267">
        <f ca="1">'Intermediate output'!BA39</f>
        <v>0</v>
      </c>
      <c r="BB47" s="267">
        <f ca="1">'Intermediate output'!BB39</f>
        <v>0</v>
      </c>
      <c r="BC47" s="267">
        <f ca="1">'Intermediate output'!BC39</f>
        <v>0</v>
      </c>
      <c r="BD47" s="267">
        <f ca="1">'Intermediate output'!BD39</f>
        <v>0</v>
      </c>
      <c r="BE47" s="267">
        <f ca="1">'Intermediate output'!BE39</f>
        <v>0</v>
      </c>
      <c r="BF47" s="267">
        <f ca="1">'Intermediate output'!BF39</f>
        <v>0</v>
      </c>
      <c r="BG47" s="267">
        <f ca="1">'Intermediate output'!BG39</f>
        <v>0</v>
      </c>
      <c r="BH47" s="267">
        <f ca="1">'Intermediate output'!BH39</f>
        <v>0</v>
      </c>
      <c r="BI47" s="267">
        <f ca="1">'Intermediate output'!BI39</f>
        <v>0</v>
      </c>
      <c r="BJ47" s="1169"/>
      <c r="BK47" s="1021"/>
    </row>
    <row r="48" spans="2:63" s="410" customFormat="1">
      <c r="B48" s="1162"/>
      <c r="C48" s="1164" t="s">
        <v>315</v>
      </c>
      <c r="D48" s="1164" t="str">
        <f>INDEX(Vectors[Description], MATCH($C48, Vectors[Code], 0))</f>
        <v>Coal oversupply (imports)</v>
      </c>
      <c r="E48" s="166"/>
      <c r="F48" s="267"/>
      <c r="G48" s="267"/>
      <c r="H48" s="1165">
        <f>-29.52857*Unit.TWh</f>
        <v>-29.528569999999998</v>
      </c>
      <c r="I48" s="1165">
        <f>9.75757*Unit.TWh</f>
        <v>9.7575699999999994</v>
      </c>
      <c r="J48" s="1165">
        <f>22.96925*Unit.TWh</f>
        <v>22.969249999999999</v>
      </c>
      <c r="K48" s="1165">
        <f>-10.66471*Unit.TWh</f>
        <v>-10.664709999999999</v>
      </c>
      <c r="L48" s="1165">
        <f>1.95384*Unit.TWh</f>
        <v>1.95384</v>
      </c>
      <c r="M48" s="1165">
        <f>14.35142*Unit.TWh</f>
        <v>14.351419999999999</v>
      </c>
      <c r="N48" s="1165">
        <f>5.86152*Unit.TWh</f>
        <v>5.8615199999999996</v>
      </c>
      <c r="O48" s="1165">
        <f>0.09304*Unit.TWh</f>
        <v>9.3039999999999998E-2</v>
      </c>
      <c r="P48" s="1165">
        <f>-4.97764*Unit.TWh</f>
        <v>-4.9776400000000001</v>
      </c>
      <c r="Q48" s="1165">
        <f>13.30472*Unit.TWh</f>
        <v>13.30472</v>
      </c>
      <c r="R48" s="1165">
        <f>19.8873*Unit.TWh</f>
        <v>19.8873</v>
      </c>
      <c r="S48" s="1165">
        <f>-42.93796*Unit.TWh</f>
        <v>-42.937959999999997</v>
      </c>
      <c r="T48" s="1165">
        <f>-27.13279*Unit.TWh</f>
        <v>-27.13279</v>
      </c>
      <c r="U48" s="1165">
        <f>-13.15353*Unit.TWh</f>
        <v>-13.15353</v>
      </c>
      <c r="V48" s="1165">
        <f>73.40856*Unit.TWh</f>
        <v>73.408559999999994</v>
      </c>
      <c r="W48" s="1165">
        <f>81.88683*Unit.TWh</f>
        <v>81.886830000000003</v>
      </c>
      <c r="X48" s="1165">
        <f>60.23177*Unit.TWh</f>
        <v>60.231769999999997</v>
      </c>
      <c r="Y48" s="1165">
        <f>63.86033*Unit.TWh</f>
        <v>63.860329999999998</v>
      </c>
      <c r="Z48" s="1165">
        <f>89.26025*Unit.TWh</f>
        <v>89.260249999999999</v>
      </c>
      <c r="AA48" s="1165">
        <f>82.59626*Unit.TWh</f>
        <v>82.596260000000001</v>
      </c>
      <c r="AB48" s="1165">
        <f>97.58733*Unit.TWh</f>
        <v>97.587329999999994</v>
      </c>
      <c r="AC48" s="1165">
        <f>139.17621*Unit.TWh</f>
        <v>139.17621</v>
      </c>
      <c r="AD48" s="1165">
        <f>152.36463*Unit.TWh</f>
        <v>152.36463000000001</v>
      </c>
      <c r="AE48" s="1165">
        <f>141.29287*Unit.TWh</f>
        <v>141.29286999999999</v>
      </c>
      <c r="AF48" s="1165">
        <f>113.29946*Unit.TWh</f>
        <v>113.29946</v>
      </c>
      <c r="AG48" s="1165">
        <f>124.74338*Unit.TWh</f>
        <v>124.74338</v>
      </c>
      <c r="AH48" s="1165">
        <f>142.419426770673*Unit.TWh</f>
        <v>142.419426770673</v>
      </c>
      <c r="AI48" s="1165">
        <f>155.127946717844*Unit.TWh</f>
        <v>155.127946717844</v>
      </c>
      <c r="AJ48" s="1165">
        <f>167.939798014946*Unit.TWh</f>
        <v>167.93979801494601</v>
      </c>
      <c r="AK48" s="1165">
        <f>154.269390475848*Unit.TWh</f>
        <v>154.26939047584801</v>
      </c>
      <c r="AL48" s="1165">
        <f>177.54271957614*Unit.TWh</f>
        <v>177.54271957614</v>
      </c>
      <c r="AM48" s="1165">
        <f>266.164196212801*Unit.TWh</f>
        <v>266.16419621280102</v>
      </c>
      <c r="AN48" s="1165">
        <f>213.157281152347*Unit.TWh</f>
        <v>213.157281152347</v>
      </c>
      <c r="AO48" s="1165">
        <f>242.680946975591*Unit.TWh</f>
        <v>242.68094697559101</v>
      </c>
      <c r="AP48" s="1165">
        <f>274.594113303141*Unit.TWh</f>
        <v>274.594113303141</v>
      </c>
      <c r="AQ48" s="1165">
        <f>333.178454490771*Unit.TWh</f>
        <v>333.178454490771</v>
      </c>
      <c r="AR48" s="1165">
        <f>382.634191991217*Unit.TWh</f>
        <v>382.63419199121699</v>
      </c>
      <c r="AS48" s="1165">
        <f>329.578033333439*Unit.TWh</f>
        <v>329.57803333343901</v>
      </c>
      <c r="AT48" s="1165">
        <f>329.254958699124*Unit.TWh</f>
        <v>329.25495869912402</v>
      </c>
      <c r="AU48" s="1165">
        <f>281.378070222345*Unit.TWh</f>
        <v>281.378070222345</v>
      </c>
      <c r="AV48" s="1165">
        <f>192.811684484113*Unit.TWh</f>
        <v>192.81168448411299</v>
      </c>
      <c r="AW48" s="1165" t="s">
        <v>1131</v>
      </c>
      <c r="AX48" s="166"/>
      <c r="AY48" s="267">
        <f ca="1">'Intermediate output'!AY40</f>
        <v>946.41133333333335</v>
      </c>
      <c r="AZ48" s="267">
        <f>'Intermediate output'!AZ40</f>
        <v>0</v>
      </c>
      <c r="BA48" s="267">
        <f ca="1">'Intermediate output'!BA40</f>
        <v>958.84700020581943</v>
      </c>
      <c r="BB48" s="267">
        <f ca="1">'Intermediate output'!BB40</f>
        <v>961.86501892823412</v>
      </c>
      <c r="BC48" s="267">
        <f ca="1">'Intermediate output'!BC40</f>
        <v>965.66647208418749</v>
      </c>
      <c r="BD48" s="267">
        <f ca="1">'Intermediate output'!BD40</f>
        <v>970.41610129726416</v>
      </c>
      <c r="BE48" s="267">
        <f ca="1">'Intermediate output'!BE40</f>
        <v>976.35563211308579</v>
      </c>
      <c r="BF48" s="267">
        <f ca="1">'Intermediate output'!BF40</f>
        <v>982.93217802676475</v>
      </c>
      <c r="BG48" s="267">
        <f ca="1">'Intermediate output'!BG40</f>
        <v>987.4628060370934</v>
      </c>
      <c r="BH48" s="267">
        <f ca="1">'Intermediate output'!BH40</f>
        <v>993.13453402916116</v>
      </c>
      <c r="BI48" s="267">
        <f ca="1">'Intermediate output'!BI40</f>
        <v>1000.8691636138399</v>
      </c>
      <c r="BJ48" s="1166"/>
      <c r="BK48" s="1021"/>
    </row>
    <row r="49" spans="2:75" s="410" customFormat="1">
      <c r="B49" s="164"/>
      <c r="C49" s="1164" t="s">
        <v>320</v>
      </c>
      <c r="D49" s="1164" t="str">
        <f>INDEX(Vectors[Description], MATCH($C49, Vectors[Code], 0))</f>
        <v>Coal reserves</v>
      </c>
      <c r="E49" s="166"/>
      <c r="F49" s="267"/>
      <c r="G49" s="267"/>
      <c r="H49" s="1165">
        <f>1178.5*Unit.TWh</f>
        <v>1178.5</v>
      </c>
      <c r="I49" s="1165">
        <f>1013.3*Unit.TWh</f>
        <v>1013.3</v>
      </c>
      <c r="J49" s="1165">
        <f>873.6*Unit.TWh</f>
        <v>873.6</v>
      </c>
      <c r="K49" s="1165">
        <f>978*Unit.TWh</f>
        <v>978</v>
      </c>
      <c r="L49" s="1165">
        <f>854.4*Unit.TWh</f>
        <v>854.4</v>
      </c>
      <c r="M49" s="1165">
        <f>845.3*Unit.TWh</f>
        <v>845.3</v>
      </c>
      <c r="N49" s="1165">
        <f>865.2*Unit.TWh</f>
        <v>865.2</v>
      </c>
      <c r="O49" s="1165">
        <f>876.5*Unit.TWh</f>
        <v>876.5</v>
      </c>
      <c r="P49" s="1165">
        <f>861.9*Unit.TWh</f>
        <v>861.9</v>
      </c>
      <c r="Q49" s="1165">
        <f>902.8*Unit.TWh</f>
        <v>902.8</v>
      </c>
      <c r="R49" s="1165">
        <f>834*Unit.TWh</f>
        <v>834</v>
      </c>
      <c r="S49" s="1165">
        <f>883.8*Unit.TWh</f>
        <v>883.8</v>
      </c>
      <c r="T49" s="1165">
        <f>818.9*Unit.TWh</f>
        <v>818.9</v>
      </c>
      <c r="U49" s="1165">
        <f>808.1*Unit.TWh</f>
        <v>808.1</v>
      </c>
      <c r="V49" s="1165">
        <f>495*Unit.TWh</f>
        <v>495</v>
      </c>
      <c r="W49" s="1165">
        <f>674.9*Unit.TWh</f>
        <v>674.9</v>
      </c>
      <c r="X49" s="1165">
        <f>740.9*Unit.TWh</f>
        <v>740.9</v>
      </c>
      <c r="Y49" s="1165">
        <f>774.4*Unit.TWh</f>
        <v>774.4</v>
      </c>
      <c r="Z49" s="1165">
        <f>718.2*Unit.TWh</f>
        <v>718.2</v>
      </c>
      <c r="AA49" s="1165">
        <f>687.3*Unit.TWh</f>
        <v>687.3</v>
      </c>
      <c r="AB49" s="1165">
        <f>666.8*Unit.TWh</f>
        <v>666.8</v>
      </c>
      <c r="AC49" s="1165">
        <f>629.8*Unit.TWh</f>
        <v>629.79999999999995</v>
      </c>
      <c r="AD49" s="1165">
        <f>570.7*Unit.TWh</f>
        <v>570.70000000000005</v>
      </c>
      <c r="AE49" s="1165">
        <f>492.6*Unit.TWh</f>
        <v>492.6</v>
      </c>
      <c r="AF49" s="1165">
        <f>474*Unit.TWh</f>
        <v>474</v>
      </c>
      <c r="AG49" s="1165">
        <f>440.1*Unit.TWh</f>
        <v>440.1</v>
      </c>
      <c r="AH49" s="1165">
        <f>391.4*Unit.TWh</f>
        <v>391.4</v>
      </c>
      <c r="AI49" s="1165">
        <f>324.7*Unit.TWh</f>
        <v>324.7</v>
      </c>
      <c r="AJ49" s="1165">
        <f>308.5*Unit.TWh</f>
        <v>308.5</v>
      </c>
      <c r="AK49" s="1165">
        <f>264.3*Unit.TWh</f>
        <v>264.3</v>
      </c>
      <c r="AL49" s="1165">
        <f>270.7*Unit.TWh</f>
        <v>270.7</v>
      </c>
      <c r="AM49" s="1165">
        <f>208.1*Unit.TWh</f>
        <v>208.1</v>
      </c>
      <c r="AN49" s="1165">
        <f>225.3*Unit.TWh</f>
        <v>225.3</v>
      </c>
      <c r="AO49" s="1165">
        <f>228.1*Unit.TWh</f>
        <v>228.1</v>
      </c>
      <c r="AP49" s="1165">
        <f>179.7*Unit.TWh</f>
        <v>179.7</v>
      </c>
      <c r="AQ49" s="1165">
        <f>130.4*Unit.TWh</f>
        <v>130.4</v>
      </c>
      <c r="AR49" s="1165">
        <f>121.6*Unit.TWh</f>
        <v>121.6</v>
      </c>
      <c r="AS49" s="1165">
        <f>146.8*Unit.TWh</f>
        <v>146.80000000000001</v>
      </c>
      <c r="AT49" s="1165">
        <f>110.4*Unit.TWh</f>
        <v>110.4</v>
      </c>
      <c r="AU49" s="1165">
        <f>79.3*Unit.TWh</f>
        <v>79.3</v>
      </c>
      <c r="AV49" s="1165">
        <f>185.3*Unit.TWh</f>
        <v>185.3</v>
      </c>
      <c r="AW49" s="1165" t="s">
        <v>1132</v>
      </c>
      <c r="AX49" s="166"/>
      <c r="AY49" s="267">
        <f ca="1">'Intermediate output'!AY41</f>
        <v>312.87744559290513</v>
      </c>
      <c r="AZ49" s="267">
        <f>'Intermediate output'!AZ41</f>
        <v>0</v>
      </c>
      <c r="BA49" s="267">
        <f ca="1">'Intermediate output'!BA41</f>
        <v>533.85548221406225</v>
      </c>
      <c r="BB49" s="267">
        <f ca="1">'Intermediate output'!BB41</f>
        <v>1349.5453480108031</v>
      </c>
      <c r="BC49" s="267">
        <f ca="1">'Intermediate output'!BC41</f>
        <v>3068.214410803027</v>
      </c>
      <c r="BD49" s="267">
        <f ca="1">'Intermediate output'!BD41</f>
        <v>5462.9307882709118</v>
      </c>
      <c r="BE49" s="267">
        <f ca="1">'Intermediate output'!BE41</f>
        <v>8849.3886004507167</v>
      </c>
      <c r="BF49" s="267">
        <f ca="1">'Intermediate output'!BF41</f>
        <v>11988.489821833136</v>
      </c>
      <c r="BG49" s="267">
        <f ca="1">'Intermediate output'!BG41</f>
        <v>16113.370591179753</v>
      </c>
      <c r="BH49" s="267">
        <f ca="1">'Intermediate output'!BH41</f>
        <v>19769.818192917424</v>
      </c>
      <c r="BI49" s="267">
        <f ca="1">'Intermediate output'!BI41</f>
        <v>23701.654511114481</v>
      </c>
      <c r="BJ49" s="1166"/>
      <c r="BK49" s="1021"/>
    </row>
    <row r="50" spans="2:75">
      <c r="B50" s="1162"/>
      <c r="C50" s="166"/>
      <c r="D50" s="166" t="s">
        <v>102</v>
      </c>
      <c r="E50" s="166"/>
      <c r="F50" s="1168"/>
      <c r="G50" s="1168"/>
      <c r="H50" s="3304">
        <f>1149*Unit.TWh</f>
        <v>1149</v>
      </c>
      <c r="I50" s="3304">
        <f>1023.1*Unit.TWh</f>
        <v>1023.1</v>
      </c>
      <c r="J50" s="3304">
        <f>896.5*Unit.TWh</f>
        <v>896.5</v>
      </c>
      <c r="K50" s="3304">
        <f>967.3*Unit.TWh</f>
        <v>967.3</v>
      </c>
      <c r="L50" s="3304">
        <f>856.4*Unit.TWh</f>
        <v>856.4</v>
      </c>
      <c r="M50" s="3304">
        <f>859.7*Unit.TWh</f>
        <v>859.7</v>
      </c>
      <c r="N50" s="3304">
        <f>871*Unit.TWh</f>
        <v>871</v>
      </c>
      <c r="O50" s="3304">
        <f>876.6*Unit.TWh</f>
        <v>876.6</v>
      </c>
      <c r="P50" s="3304">
        <f>856.9*Unit.TWh</f>
        <v>856.9</v>
      </c>
      <c r="Q50" s="3304">
        <f>916.1*Unit.TWh</f>
        <v>916.1</v>
      </c>
      <c r="R50" s="3304">
        <f>853.9*Unit.TWh</f>
        <v>853.9</v>
      </c>
      <c r="S50" s="3304">
        <f>840.9*Unit.TWh</f>
        <v>840.9</v>
      </c>
      <c r="T50" s="3304">
        <f>791.7*Unit.TWh</f>
        <v>791.7</v>
      </c>
      <c r="U50" s="3304">
        <f>795*Unit.TWh</f>
        <v>795</v>
      </c>
      <c r="V50" s="3304">
        <f>568.4*Unit.TWh</f>
        <v>568.4</v>
      </c>
      <c r="W50" s="3304">
        <f>756.8*Unit.TWh</f>
        <v>756.8</v>
      </c>
      <c r="X50" s="3304">
        <f>801.1*Unit.TWh</f>
        <v>801.1</v>
      </c>
      <c r="Y50" s="3304">
        <f>838.2*Unit.TWh</f>
        <v>838.2</v>
      </c>
      <c r="Z50" s="3304">
        <f>807.5*Unit.TWh</f>
        <v>807.5</v>
      </c>
      <c r="AA50" s="3304">
        <f>769.9*Unit.TWh</f>
        <v>769.9</v>
      </c>
      <c r="AB50" s="3304">
        <f>764.4*Unit.TWh</f>
        <v>764.4</v>
      </c>
      <c r="AC50" s="3304">
        <f>769*Unit.TWh</f>
        <v>769</v>
      </c>
      <c r="AD50" s="3304">
        <f>723.1*Unit.TWh</f>
        <v>723.1</v>
      </c>
      <c r="AE50" s="3304">
        <f>633.9*Unit.TWh</f>
        <v>633.9</v>
      </c>
      <c r="AF50" s="3304">
        <f>587.3*Unit.TWh</f>
        <v>587.29999999999995</v>
      </c>
      <c r="AG50" s="3304">
        <f>564.8*Unit.TWh</f>
        <v>564.79999999999995</v>
      </c>
      <c r="AH50" s="3304">
        <f>533.8*Unit.TWh</f>
        <v>533.79999999999995</v>
      </c>
      <c r="AI50" s="3304">
        <f>479.8*Unit.TWh</f>
        <v>479.8</v>
      </c>
      <c r="AJ50" s="3304">
        <f>476.5*Unit.TWh</f>
        <v>476.5</v>
      </c>
      <c r="AK50" s="3304">
        <f>418.6*Unit.TWh</f>
        <v>418.6</v>
      </c>
      <c r="AL50" s="3304">
        <f>448.2*Unit.TWh</f>
        <v>448.2</v>
      </c>
      <c r="AM50" s="3304">
        <f>474.2*Unit.TWh</f>
        <v>474.2</v>
      </c>
      <c r="AN50" s="3304">
        <f>438.4*Unit.TWh</f>
        <v>438.4</v>
      </c>
      <c r="AO50" s="3304">
        <f>470.8*Unit.TWh</f>
        <v>470.8</v>
      </c>
      <c r="AP50" s="3304">
        <f>454.3*Unit.TWh</f>
        <v>454.3</v>
      </c>
      <c r="AQ50" s="3304">
        <f>463.6*Unit.TWh</f>
        <v>463.6</v>
      </c>
      <c r="AR50" s="3304">
        <f>504.2*Unit.TWh</f>
        <v>504.2</v>
      </c>
      <c r="AS50" s="3304">
        <f>476.4*Unit.TWh</f>
        <v>476.4</v>
      </c>
      <c r="AT50" s="3304">
        <f>439.7*Unit.TWh</f>
        <v>439.7</v>
      </c>
      <c r="AU50" s="3304">
        <f>360.7*Unit.TWh</f>
        <v>360.7</v>
      </c>
      <c r="AV50" s="3304">
        <f>378.1*Unit.TWh</f>
        <v>378.1</v>
      </c>
      <c r="AW50" s="3304"/>
      <c r="AX50" s="166"/>
      <c r="AY50" s="267">
        <f ca="1">'Intermediate output'!AY42</f>
        <v>2003.3688000000002</v>
      </c>
      <c r="AZ50" s="267">
        <f>'Intermediate output'!AZ42</f>
        <v>0</v>
      </c>
      <c r="BA50" s="267">
        <f ca="1">'Intermediate output'!BA42</f>
        <v>2704.3935000000001</v>
      </c>
      <c r="BB50" s="267">
        <f ca="1">'Intermediate output'!BB42</f>
        <v>3143.1914134327285</v>
      </c>
      <c r="BC50" s="267">
        <f ca="1">'Intermediate output'!BC42</f>
        <v>3584.1507638983121</v>
      </c>
      <c r="BD50" s="267">
        <f ca="1">'Intermediate output'!BD42</f>
        <v>3874.5049279836685</v>
      </c>
      <c r="BE50" s="267">
        <f ca="1">'Intermediate output'!BE42</f>
        <v>3958.482454759453</v>
      </c>
      <c r="BF50" s="267">
        <f ca="1">'Intermediate output'!BF42</f>
        <v>4025.5714811854732</v>
      </c>
      <c r="BG50" s="267">
        <f ca="1">'Intermediate output'!BG42</f>
        <v>3406.6022071917232</v>
      </c>
      <c r="BH50" s="267">
        <f ca="1">'Intermediate output'!BH42</f>
        <v>2878.2636796999973</v>
      </c>
      <c r="BI50" s="267">
        <f ca="1">'Intermediate output'!BI42</f>
        <v>2435.1118288080042</v>
      </c>
      <c r="BJ50" s="1169"/>
      <c r="BK50" s="1021"/>
      <c r="BM50" s="22"/>
      <c r="BN50" s="22"/>
    </row>
    <row r="51" spans="2:75" s="410" customFormat="1">
      <c r="B51" s="1162"/>
      <c r="C51" s="1164" t="s">
        <v>321</v>
      </c>
      <c r="D51" s="1164" t="str">
        <f>INDEX(Vectors[Description], MATCH($C51, Vectors[Code], 0))</f>
        <v>Oil reserves</v>
      </c>
      <c r="E51" s="166"/>
      <c r="F51" s="267"/>
      <c r="G51" s="267"/>
      <c r="H51" s="1165"/>
      <c r="I51" s="1165"/>
      <c r="J51" s="1165"/>
      <c r="K51" s="1165"/>
      <c r="L51" s="1165"/>
      <c r="M51" s="1165"/>
      <c r="N51" s="1165"/>
      <c r="O51" s="1165"/>
      <c r="P51" s="1165"/>
      <c r="Q51" s="1165"/>
      <c r="R51" s="1165"/>
      <c r="S51" s="1165"/>
      <c r="T51" s="1165"/>
      <c r="U51" s="1165"/>
      <c r="V51" s="1165"/>
      <c r="W51" s="1165"/>
      <c r="X51" s="1165"/>
      <c r="Y51" s="1165"/>
      <c r="Z51" s="1165"/>
      <c r="AA51" s="1165"/>
      <c r="AB51" s="1165"/>
      <c r="AC51" s="1165"/>
      <c r="AD51" s="1165"/>
      <c r="AE51" s="1165"/>
      <c r="AF51" s="1165"/>
      <c r="AG51" s="1165"/>
      <c r="AH51" s="1165"/>
      <c r="AI51" s="1165"/>
      <c r="AJ51" s="1165">
        <f>1544.6*Unit.TWh</f>
        <v>1544.6</v>
      </c>
      <c r="AK51" s="1165">
        <f>1613.5*Unit.TWh</f>
        <v>1613.5</v>
      </c>
      <c r="AL51" s="1165">
        <f>1489.1*Unit.TWh</f>
        <v>1489.1</v>
      </c>
      <c r="AM51" s="1165">
        <f>1357.7*Unit.TWh</f>
        <v>1357.7</v>
      </c>
      <c r="AN51" s="1165">
        <f>1371.6*Unit.TWh</f>
        <v>1371.6</v>
      </c>
      <c r="AO51" s="1165">
        <f>1221.6*Unit.TWh</f>
        <v>1221.5999999999999</v>
      </c>
      <c r="AP51" s="1165">
        <f>1075.8*Unit.TWh</f>
        <v>1075.8</v>
      </c>
      <c r="AQ51" s="1165">
        <f>955.5*Unit.TWh</f>
        <v>955.5</v>
      </c>
      <c r="AR51" s="1165">
        <f>836.4*Unit.TWh</f>
        <v>836.4</v>
      </c>
      <c r="AS51" s="1165">
        <f>896.7*Unit.TWh</f>
        <v>896.7</v>
      </c>
      <c r="AT51" s="1165">
        <f>817.1*Unit.TWh</f>
        <v>817.1</v>
      </c>
      <c r="AU51" s="1165">
        <f>785*Unit.TWh</f>
        <v>785</v>
      </c>
      <c r="AV51" s="1165">
        <f>712.9*Unit.TWh</f>
        <v>712.9</v>
      </c>
      <c r="AW51" s="1165" t="s">
        <v>1133</v>
      </c>
      <c r="AX51" s="166"/>
      <c r="AY51" s="267">
        <f ca="1">'Intermediate output'!AY43</f>
        <v>2316.2462455929053</v>
      </c>
      <c r="AZ51" s="267">
        <f>'Intermediate output'!AZ43</f>
        <v>0</v>
      </c>
      <c r="BA51" s="267">
        <f ca="1">'Intermediate output'!BA43</f>
        <v>3238.2489822140624</v>
      </c>
      <c r="BB51" s="267">
        <f ca="1">'Intermediate output'!BB43</f>
        <v>4492.7367614435316</v>
      </c>
      <c r="BC51" s="267">
        <f ca="1">'Intermediate output'!BC43</f>
        <v>6652.3651747013391</v>
      </c>
      <c r="BD51" s="267">
        <f ca="1">'Intermediate output'!BD43</f>
        <v>9337.4357162545803</v>
      </c>
      <c r="BE51" s="267">
        <f ca="1">'Intermediate output'!BE43</f>
        <v>12807.871055210169</v>
      </c>
      <c r="BF51" s="267">
        <f ca="1">'Intermediate output'!BF43</f>
        <v>16014.06130301861</v>
      </c>
      <c r="BG51" s="267">
        <f ca="1">'Intermediate output'!BG43</f>
        <v>19519.972798371477</v>
      </c>
      <c r="BH51" s="267">
        <f ca="1">'Intermediate output'!BH43</f>
        <v>22648.081872617422</v>
      </c>
      <c r="BI51" s="267">
        <f ca="1">'Intermediate output'!BI43</f>
        <v>26136.766339922484</v>
      </c>
      <c r="BJ51" s="1166"/>
      <c r="BK51" s="1021"/>
      <c r="BM51" s="1167"/>
    </row>
    <row r="52" spans="2:75" s="410" customFormat="1">
      <c r="B52" s="164"/>
      <c r="C52" s="1164" t="s">
        <v>316</v>
      </c>
      <c r="D52" s="1164" t="str">
        <f>INDEX(Vectors[Description], MATCH($C52, Vectors[Code], 0))</f>
        <v>Oil and petroleum products oversupply (imports)</v>
      </c>
      <c r="E52" s="166"/>
      <c r="F52" s="267"/>
      <c r="G52" s="267"/>
      <c r="H52" s="1165"/>
      <c r="I52" s="1165"/>
      <c r="J52" s="1165"/>
      <c r="K52" s="1165"/>
      <c r="L52" s="1165"/>
      <c r="M52" s="1165"/>
      <c r="N52" s="1165"/>
      <c r="O52" s="1165"/>
      <c r="P52" s="1165"/>
      <c r="Q52" s="1165"/>
      <c r="R52" s="1165"/>
      <c r="S52" s="1165"/>
      <c r="T52" s="1165"/>
      <c r="U52" s="1165"/>
      <c r="V52" s="1165"/>
      <c r="W52" s="1165"/>
      <c r="X52" s="1165"/>
      <c r="Y52" s="1165"/>
      <c r="Z52" s="1165"/>
      <c r="AA52" s="1165"/>
      <c r="AB52" s="1165"/>
      <c r="AC52" s="1165"/>
      <c r="AD52" s="1165"/>
      <c r="AE52" s="1165"/>
      <c r="AF52" s="1165"/>
      <c r="AG52" s="1165"/>
      <c r="AH52" s="1165"/>
      <c r="AI52" s="1165"/>
      <c r="AJ52" s="1165">
        <f>-467.10732*Unit.TWh</f>
        <v>-467.10732000000002</v>
      </c>
      <c r="AK52" s="1165">
        <f>-598.15416*Unit.TWh</f>
        <v>-598.15416000000005</v>
      </c>
      <c r="AL52" s="1165">
        <f>-491.289015345148*Unit.TWh</f>
        <v>-491.28901534514802</v>
      </c>
      <c r="AM52" s="1165">
        <f>-425.923816553362*Unit.TWh</f>
        <v>-425.92381655336197</v>
      </c>
      <c r="AN52" s="1165">
        <f>-385.362040231585*Unit.TWh</f>
        <v>-385.36204023158501</v>
      </c>
      <c r="AO52" s="1165">
        <f>-265.313047678547*Unit.TWh</f>
        <v>-265.31304767854698</v>
      </c>
      <c r="AP52" s="1165">
        <f>-26.7418072519548*Unit.TWh</f>
        <v>-26.7418072519548</v>
      </c>
      <c r="AQ52" s="1165">
        <f>59.0560078145415*Unit.TWh</f>
        <v>59.056007814541502</v>
      </c>
      <c r="AR52" s="1165">
        <f>116.268946233383*Unit.TWh</f>
        <v>116.26894623338301</v>
      </c>
      <c r="AS52" s="1165">
        <f>79.7439769052016*Unit.TWh</f>
        <v>79.743976905201606</v>
      </c>
      <c r="AT52" s="1165">
        <f>146.439372991402*Unit.TWh</f>
        <v>146.439372991402</v>
      </c>
      <c r="AU52" s="1165">
        <f>115.647880946813*Unit.TWh</f>
        <v>115.647880946813</v>
      </c>
      <c r="AV52" s="1165">
        <f>156.542161812907*Unit.TWh</f>
        <v>156.54216181290701</v>
      </c>
      <c r="AW52" s="1165" t="s">
        <v>1134</v>
      </c>
      <c r="AX52" s="166"/>
      <c r="AY52" s="267">
        <f ca="1">'Intermediate output'!AY44</f>
        <v>395.28044</v>
      </c>
      <c r="AZ52" s="267">
        <f>'Intermediate output'!AZ44</f>
        <v>0</v>
      </c>
      <c r="BA52" s="267">
        <f ca="1">'Intermediate output'!BA44</f>
        <v>442.98669999999993</v>
      </c>
      <c r="BB52" s="267">
        <f ca="1">'Intermediate output'!BB44</f>
        <v>480.4207945988</v>
      </c>
      <c r="BC52" s="267">
        <f ca="1">'Intermediate output'!BC44</f>
        <v>406.8218875356273</v>
      </c>
      <c r="BD52" s="267">
        <f ca="1">'Intermediate output'!BD44</f>
        <v>404.69271243177428</v>
      </c>
      <c r="BE52" s="267">
        <f ca="1">'Intermediate output'!BE44</f>
        <v>402.83638767071136</v>
      </c>
      <c r="BF52" s="267">
        <f ca="1">'Intermediate output'!BF44</f>
        <v>401.68501767071086</v>
      </c>
      <c r="BG52" s="267">
        <f ca="1">'Intermediate output'!BG44</f>
        <v>401.13024685060918</v>
      </c>
      <c r="BH52" s="267">
        <f ca="1">'Intermediate output'!BH44</f>
        <v>401.18988105870324</v>
      </c>
      <c r="BI52" s="267">
        <f ca="1">'Intermediate output'!BI44</f>
        <v>401.88812295573837</v>
      </c>
      <c r="BJ52" s="1166"/>
      <c r="BK52" s="1021"/>
      <c r="BM52" s="1167"/>
    </row>
    <row r="53" spans="2:75">
      <c r="B53" s="1162"/>
      <c r="C53" s="166"/>
      <c r="D53" s="166" t="s">
        <v>422</v>
      </c>
      <c r="E53" s="166"/>
      <c r="F53" s="1168"/>
      <c r="G53" s="1168"/>
      <c r="H53" s="3304"/>
      <c r="I53" s="3304"/>
      <c r="J53" s="3304"/>
      <c r="K53" s="3304"/>
      <c r="L53" s="3304"/>
      <c r="M53" s="3304"/>
      <c r="N53" s="3304"/>
      <c r="O53" s="3304"/>
      <c r="P53" s="3304"/>
      <c r="Q53" s="3304"/>
      <c r="R53" s="3304"/>
      <c r="S53" s="3304"/>
      <c r="T53" s="3304"/>
      <c r="U53" s="3304"/>
      <c r="V53" s="3304"/>
      <c r="W53" s="3304"/>
      <c r="X53" s="3304"/>
      <c r="Y53" s="3304"/>
      <c r="Z53" s="3304"/>
      <c r="AA53" s="3304"/>
      <c r="AB53" s="3304"/>
      <c r="AC53" s="3304"/>
      <c r="AD53" s="3304"/>
      <c r="AE53" s="3304"/>
      <c r="AF53" s="3304"/>
      <c r="AG53" s="3304"/>
      <c r="AH53" s="3304"/>
      <c r="AI53" s="3304"/>
      <c r="AJ53" s="3304">
        <f>914.3*Unit.TWh</f>
        <v>914.3</v>
      </c>
      <c r="AK53" s="3304">
        <f>917.6*Unit.TWh</f>
        <v>917.6</v>
      </c>
      <c r="AL53" s="3304">
        <f>917.9*Unit.TWh</f>
        <v>917.9</v>
      </c>
      <c r="AM53" s="3304">
        <f>910.6*Unit.TWh</f>
        <v>910.6</v>
      </c>
      <c r="AN53" s="3304">
        <f>878.3*Unit.TWh</f>
        <v>878.3</v>
      </c>
      <c r="AO53" s="3304">
        <f>871*Unit.TWh</f>
        <v>871</v>
      </c>
      <c r="AP53" s="3304">
        <f>898.7*Unit.TWh</f>
        <v>898.7</v>
      </c>
      <c r="AQ53" s="3304">
        <f>924.8*Unit.TWh</f>
        <v>924.8</v>
      </c>
      <c r="AR53" s="3304">
        <f>928.3*Unit.TWh</f>
        <v>928.3</v>
      </c>
      <c r="AS53" s="3304">
        <f>916.3*Unit.TWh</f>
        <v>916.3</v>
      </c>
      <c r="AT53" s="3304">
        <f>906.5*Unit.TWh</f>
        <v>906.5</v>
      </c>
      <c r="AU53" s="3304">
        <f>859.3*Unit.TWh</f>
        <v>859.3</v>
      </c>
      <c r="AV53" s="3304">
        <f>846.5*Unit.TWh</f>
        <v>846.5</v>
      </c>
      <c r="AW53" s="3304" t="s">
        <v>1135</v>
      </c>
      <c r="AX53" s="166"/>
      <c r="AY53" s="267">
        <f ca="1">'Intermediate output'!AY45</f>
        <v>1217.3455995924837</v>
      </c>
      <c r="AZ53" s="267">
        <f>'Intermediate output'!AZ45</f>
        <v>0</v>
      </c>
      <c r="BA53" s="267">
        <f ca="1">'Intermediate output'!BA45</f>
        <v>1466.5905800259968</v>
      </c>
      <c r="BB53" s="267">
        <f ca="1">'Intermediate output'!BB45</f>
        <v>2100.3206137516681</v>
      </c>
      <c r="BC53" s="267">
        <f ca="1">'Intermediate output'!BC45</f>
        <v>3054.2541317150194</v>
      </c>
      <c r="BD53" s="267">
        <f ca="1">'Intermediate output'!BD45</f>
        <v>4102.7795788608364</v>
      </c>
      <c r="BE53" s="267">
        <f ca="1">'Intermediate output'!BE45</f>
        <v>5330.667265334645</v>
      </c>
      <c r="BF53" s="267">
        <f ca="1">'Intermediate output'!BF45</f>
        <v>6703.2930240172882</v>
      </c>
      <c r="BG53" s="267">
        <f ca="1">'Intermediate output'!BG45</f>
        <v>8096.4219235944875</v>
      </c>
      <c r="BH53" s="267">
        <f ca="1">'Intermediate output'!BH45</f>
        <v>9663.2311319982509</v>
      </c>
      <c r="BI53" s="267">
        <f ca="1">'Intermediate output'!BI45</f>
        <v>11338.566432233665</v>
      </c>
      <c r="BJ53" s="1169"/>
      <c r="BK53" s="250"/>
      <c r="BM53" s="22"/>
      <c r="BN53" s="22"/>
    </row>
    <row r="54" spans="2:75" s="410" customFormat="1">
      <c r="B54" s="1162"/>
      <c r="C54" s="1164" t="s">
        <v>317</v>
      </c>
      <c r="D54" s="1164" t="str">
        <f>INDEX(Vectors[Description], MATCH($C54, Vectors[Code], 0))</f>
        <v>Gas oversupply (imports)</v>
      </c>
      <c r="E54" s="166"/>
      <c r="F54" s="267"/>
      <c r="G54" s="267"/>
      <c r="H54" s="1165">
        <f>9.759*Unit.TWh</f>
        <v>9.7590000000000003</v>
      </c>
      <c r="I54" s="1165">
        <f>9.73*Unit.TWh</f>
        <v>9.73</v>
      </c>
      <c r="J54" s="1165">
        <f>8.968*Unit.TWh</f>
        <v>8.968</v>
      </c>
      <c r="K54" s="1165">
        <f>8.587*Unit.TWh</f>
        <v>8.5869999999999997</v>
      </c>
      <c r="L54" s="1165">
        <f>7.122*Unit.TWh</f>
        <v>7.1219999999999999</v>
      </c>
      <c r="M54" s="1165">
        <f>9.818*Unit.TWh</f>
        <v>9.8179999999999996</v>
      </c>
      <c r="N54" s="1165">
        <f>11.254*Unit.TWh</f>
        <v>11.254</v>
      </c>
      <c r="O54" s="1165">
        <f>19.548*Unit.TWh</f>
        <v>19.547999999999998</v>
      </c>
      <c r="P54" s="1165">
        <f>55.361*Unit.TWh</f>
        <v>55.360999999999997</v>
      </c>
      <c r="Q54" s="1165">
        <f>95.424*Unit.TWh</f>
        <v>95.424000000000007</v>
      </c>
      <c r="R54" s="1165">
        <f>116.291*Unit.TWh</f>
        <v>116.291</v>
      </c>
      <c r="S54" s="1165">
        <f>124.262*Unit.TWh</f>
        <v>124.262</v>
      </c>
      <c r="T54" s="1165">
        <f>115.001*Unit.TWh</f>
        <v>115.001</v>
      </c>
      <c r="U54" s="1165">
        <f>124.497*Unit.TWh</f>
        <v>124.497</v>
      </c>
      <c r="V54" s="1165">
        <f>147.415*Unit.TWh</f>
        <v>147.41499999999999</v>
      </c>
      <c r="W54" s="1165">
        <f>147.122*Unit.TWh</f>
        <v>147.12200000000001</v>
      </c>
      <c r="X54" s="1165">
        <f>137.099*Unit.TWh</f>
        <v>137.09899999999999</v>
      </c>
      <c r="Y54" s="1165">
        <f>128.893*Unit.TWh</f>
        <v>128.893</v>
      </c>
      <c r="Z54" s="1165">
        <f>115.441*Unit.TWh</f>
        <v>115.441</v>
      </c>
      <c r="AA54" s="1165">
        <f>113.77*Unit.TWh</f>
        <v>113.77</v>
      </c>
      <c r="AB54" s="1165">
        <f>79.833*Unit.TWh</f>
        <v>79.832999999999998</v>
      </c>
      <c r="AC54" s="1165">
        <f>72.007*Unit.TWh</f>
        <v>72.007000000000005</v>
      </c>
      <c r="AD54" s="1165">
        <f>60.635*Unit.TWh</f>
        <v>60.634999999999998</v>
      </c>
      <c r="AE54" s="1165">
        <f>41.704*Unit.TWh</f>
        <v>41.704000000000001</v>
      </c>
      <c r="AF54" s="1165">
        <f>23.496*Unit.TWh</f>
        <v>23.495999999999999</v>
      </c>
      <c r="AG54" s="1165">
        <f>8.225*Unit.TWh</f>
        <v>8.2249999999999996</v>
      </c>
      <c r="AH54" s="1165">
        <f>4.601*Unit.TWh</f>
        <v>4.601</v>
      </c>
      <c r="AI54" s="1165">
        <f>-7.604*Unit.TWh</f>
        <v>-7.6040000000000001</v>
      </c>
      <c r="AJ54" s="1165">
        <f>-21.022*Unit.TWh</f>
        <v>-21.021999999999998</v>
      </c>
      <c r="AK54" s="1165">
        <f>-71.571*Unit.TWh</f>
        <v>-71.570999999999998</v>
      </c>
      <c r="AL54" s="1165">
        <f>-120.31*Unit.TWh</f>
        <v>-120.31</v>
      </c>
      <c r="AM54" s="1165">
        <f>-107.866*Unit.TWh</f>
        <v>-107.866</v>
      </c>
      <c r="AN54" s="1165">
        <f>-90.238*Unit.TWh</f>
        <v>-90.238</v>
      </c>
      <c r="AO54" s="1165">
        <f>-90.741*Unit.TWh</f>
        <v>-90.741</v>
      </c>
      <c r="AP54" s="1165">
        <f>18.9210152317339*Unit.TWh</f>
        <v>18.9210152317339</v>
      </c>
      <c r="AQ54" s="1165">
        <f>77.1469066294905*Unit.TWh</f>
        <v>77.146906629490502</v>
      </c>
      <c r="AR54" s="1165">
        <f>123.438611928566*Unit.TWh</f>
        <v>123.438611928566</v>
      </c>
      <c r="AS54" s="1165">
        <f>214.868653082757*Unit.TWh</f>
        <v>214.86865308275699</v>
      </c>
      <c r="AT54" s="1165">
        <f>284.384233699597*Unit.TWh</f>
        <v>284.38423369959702</v>
      </c>
      <c r="AU54" s="1165">
        <f>318.688961523769*Unit.TWh</f>
        <v>318.68896152376902</v>
      </c>
      <c r="AV54" s="1165">
        <f>413.098109925268*Unit.TWh</f>
        <v>413.09810992526798</v>
      </c>
      <c r="AW54" s="1165" t="s">
        <v>1136</v>
      </c>
      <c r="AX54" s="166"/>
      <c r="AY54" s="267">
        <f ca="1">'Intermediate output'!AY47</f>
        <v>153.83385468740386</v>
      </c>
      <c r="AZ54" s="267">
        <f>'Intermediate output'!AZ46</f>
        <v>0</v>
      </c>
      <c r="BA54" s="267">
        <f ca="1">'Intermediate output'!BA46</f>
        <v>1909.5772800259967</v>
      </c>
      <c r="BB54" s="267">
        <f ca="1">'Intermediate output'!BB46</f>
        <v>2580.7414083504682</v>
      </c>
      <c r="BC54" s="267">
        <f ca="1">'Intermediate output'!BC46</f>
        <v>3461.0760192506468</v>
      </c>
      <c r="BD54" s="267">
        <f ca="1">'Intermediate output'!BD46</f>
        <v>4507.4722912926109</v>
      </c>
      <c r="BE54" s="267">
        <f ca="1">'Intermediate output'!BE46</f>
        <v>5733.5036530053567</v>
      </c>
      <c r="BF54" s="267">
        <f ca="1">'Intermediate output'!BF46</f>
        <v>7104.9780416879994</v>
      </c>
      <c r="BG54" s="267">
        <f ca="1">'Intermediate output'!BG46</f>
        <v>8497.5521704450966</v>
      </c>
      <c r="BH54" s="267">
        <f ca="1">'Intermediate output'!BH46</f>
        <v>10064.421013056954</v>
      </c>
      <c r="BI54" s="267">
        <f ca="1">'Intermediate output'!BI46</f>
        <v>11740.454555189404</v>
      </c>
      <c r="BJ54" s="1166"/>
      <c r="BK54" s="1167"/>
      <c r="BM54" s="1167"/>
    </row>
    <row r="55" spans="2:75" s="410" customFormat="1">
      <c r="B55" s="164"/>
      <c r="C55" s="1164" t="s">
        <v>322</v>
      </c>
      <c r="D55" s="1164" t="str">
        <f>INDEX(Vectors[Description], MATCH($C55, Vectors[Code], 0))</f>
        <v>Gas reserves</v>
      </c>
      <c r="E55" s="166"/>
      <c r="F55" s="267"/>
      <c r="G55" s="267"/>
      <c r="H55" s="1165"/>
      <c r="I55" s="1165"/>
      <c r="J55" s="1165"/>
      <c r="K55" s="1165"/>
      <c r="L55" s="1165"/>
      <c r="M55" s="1165"/>
      <c r="N55" s="1165"/>
      <c r="O55" s="1165"/>
      <c r="P55" s="1165"/>
      <c r="Q55" s="1165"/>
      <c r="R55" s="1165"/>
      <c r="S55" s="1165"/>
      <c r="T55" s="1165"/>
      <c r="U55" s="1165"/>
      <c r="V55" s="1165"/>
      <c r="W55" s="1165"/>
      <c r="X55" s="1165"/>
      <c r="Y55" s="1165"/>
      <c r="Z55" s="1165"/>
      <c r="AA55" s="1165"/>
      <c r="AB55" s="1165"/>
      <c r="AC55" s="1165"/>
      <c r="AD55" s="1165"/>
      <c r="AE55" s="1165"/>
      <c r="AF55" s="1165"/>
      <c r="AG55" s="1165"/>
      <c r="AH55" s="1165"/>
      <c r="AI55" s="1165"/>
      <c r="AJ55" s="1165">
        <f>1036.5*Unit.TWh</f>
        <v>1036.5</v>
      </c>
      <c r="AK55" s="1165">
        <f>1147.5*Unit.TWh</f>
        <v>1147.5</v>
      </c>
      <c r="AL55" s="1165">
        <f>1235.3*Unit.TWh</f>
        <v>1235.3</v>
      </c>
      <c r="AM55" s="1165">
        <f>1219.2*Unit.TWh</f>
        <v>1219.2</v>
      </c>
      <c r="AN55" s="1165">
        <f>1187.3*Unit.TWh</f>
        <v>1187.3</v>
      </c>
      <c r="AO55" s="1165">
        <f>1191.4*Unit.TWh</f>
        <v>1191.4000000000001</v>
      </c>
      <c r="AP55" s="1165">
        <f>1105*Unit.TWh</f>
        <v>1105</v>
      </c>
      <c r="AQ55" s="1165">
        <f>1019.4*Unit.TWh</f>
        <v>1019.4</v>
      </c>
      <c r="AR55" s="1165">
        <f>916.2*Unit.TWh</f>
        <v>916.2</v>
      </c>
      <c r="AS55" s="1165">
        <f>834.1*Unit.TWh</f>
        <v>834.1</v>
      </c>
      <c r="AT55" s="1165">
        <f>797.7*Unit.TWh</f>
        <v>797.7</v>
      </c>
      <c r="AU55" s="1165">
        <f>681.9*Unit.TWh</f>
        <v>681.9</v>
      </c>
      <c r="AV55" s="1165">
        <f>671.9*Unit.TWh</f>
        <v>671.9</v>
      </c>
      <c r="AW55" s="1165" t="s">
        <v>1137</v>
      </c>
      <c r="AX55" s="166"/>
      <c r="AY55" s="267">
        <f ca="1">'Intermediate output'!AY47</f>
        <v>153.83385468740386</v>
      </c>
      <c r="AZ55" s="267">
        <f>'Intermediate output'!AZ47</f>
        <v>0</v>
      </c>
      <c r="BA55" s="267">
        <f ca="1">'Intermediate output'!BA47</f>
        <v>158.80496962180251</v>
      </c>
      <c r="BB55" s="267">
        <f ca="1">'Intermediate output'!BB47</f>
        <v>447.28146847936694</v>
      </c>
      <c r="BC55" s="267">
        <f ca="1">'Intermediate output'!BC47</f>
        <v>580.82834753994018</v>
      </c>
      <c r="BD55" s="267">
        <f ca="1">'Intermediate output'!BD47</f>
        <v>719.79234346908368</v>
      </c>
      <c r="BE55" s="267">
        <f ca="1">'Intermediate output'!BE47</f>
        <v>883.00958491906431</v>
      </c>
      <c r="BF55" s="267">
        <f ca="1">'Intermediate output'!BF47</f>
        <v>1091.1358234381285</v>
      </c>
      <c r="BG55" s="267">
        <f ca="1">'Intermediate output'!BG47</f>
        <v>1323.7322738925393</v>
      </c>
      <c r="BH55" s="267">
        <f ca="1">'Intermediate output'!BH47</f>
        <v>1577.3126958590992</v>
      </c>
      <c r="BI55" s="267">
        <f ca="1">'Intermediate output'!BI47</f>
        <v>1879.4436261638216</v>
      </c>
      <c r="BJ55" s="1166"/>
      <c r="BK55" s="1167"/>
      <c r="BM55" s="1167"/>
    </row>
    <row r="56" spans="2:75">
      <c r="B56" s="1162"/>
      <c r="C56" s="166"/>
      <c r="D56" s="166" t="s">
        <v>117</v>
      </c>
      <c r="E56" s="166"/>
      <c r="F56" s="1168"/>
      <c r="G56" s="1168"/>
      <c r="H56" s="3304"/>
      <c r="I56" s="3304"/>
      <c r="J56" s="3304"/>
      <c r="K56" s="3304"/>
      <c r="L56" s="3304"/>
      <c r="M56" s="3304"/>
      <c r="N56" s="3304"/>
      <c r="O56" s="3304"/>
      <c r="P56" s="3304"/>
      <c r="Q56" s="3304"/>
      <c r="R56" s="3304"/>
      <c r="S56" s="3304"/>
      <c r="T56" s="3304"/>
      <c r="U56" s="3304"/>
      <c r="V56" s="3304"/>
      <c r="W56" s="3304"/>
      <c r="X56" s="3304"/>
      <c r="Y56" s="3304"/>
      <c r="Z56" s="3304"/>
      <c r="AA56" s="3304"/>
      <c r="AB56" s="3304"/>
      <c r="AC56" s="3304"/>
      <c r="AD56" s="3304"/>
      <c r="AE56" s="3304"/>
      <c r="AF56" s="3304"/>
      <c r="AG56" s="3304"/>
      <c r="AH56" s="3304"/>
      <c r="AI56" s="3304"/>
      <c r="AJ56" s="3304">
        <f>1015.5*Unit.TWh</f>
        <v>1015.5</v>
      </c>
      <c r="AK56" s="3304">
        <f>1075.9*Unit.TWh</f>
        <v>1075.9000000000001</v>
      </c>
      <c r="AL56" s="3304">
        <f>1114.9*Unit.TWh</f>
        <v>1114.9000000000001</v>
      </c>
      <c r="AM56" s="3304">
        <f>1111.4*Unit.TWh</f>
        <v>1111.4000000000001</v>
      </c>
      <c r="AN56" s="3304">
        <f>1097*Unit.TWh</f>
        <v>1097</v>
      </c>
      <c r="AO56" s="3304">
        <f>1100.6*Unit.TWh</f>
        <v>1100.5999999999999</v>
      </c>
      <c r="AP56" s="3304">
        <f>1123.9*Unit.TWh</f>
        <v>1123.9000000000001</v>
      </c>
      <c r="AQ56" s="3304">
        <f>1096.5*Unit.TWh</f>
        <v>1096.5</v>
      </c>
      <c r="AR56" s="3304">
        <f>1039.6*Unit.TWh</f>
        <v>1039.5999999999999</v>
      </c>
      <c r="AS56" s="3304">
        <f>1048.9*Unit.TWh</f>
        <v>1048.9000000000001</v>
      </c>
      <c r="AT56" s="3304">
        <f>1082.1*Unit.TWh</f>
        <v>1082.0999999999999</v>
      </c>
      <c r="AU56" s="3304">
        <f>1000.6*Unit.TWh</f>
        <v>1000.6</v>
      </c>
      <c r="AV56" s="3304">
        <f>1085*Unit.TWh</f>
        <v>1085</v>
      </c>
      <c r="AW56" s="3304" t="s">
        <v>1135</v>
      </c>
      <c r="AX56" s="166"/>
      <c r="AY56" s="267">
        <f ca="1">'Intermediate output'!AY48</f>
        <v>296.5420125</v>
      </c>
      <c r="AZ56" s="267">
        <f>'Intermediate output'!AZ48</f>
        <v>0</v>
      </c>
      <c r="BA56" s="267">
        <f ca="1">'Intermediate output'!BA48</f>
        <v>449.1920925</v>
      </c>
      <c r="BB56" s="267">
        <f ca="1">'Intermediate output'!BB48</f>
        <v>507.09261100499998</v>
      </c>
      <c r="BC56" s="267">
        <f ca="1">'Intermediate output'!BC48</f>
        <v>548.56099701000005</v>
      </c>
      <c r="BD56" s="267">
        <f ca="1">'Intermediate output'!BD48</f>
        <v>586.57321805615095</v>
      </c>
      <c r="BE56" s="267">
        <f ca="1">'Intermediate output'!BE48</f>
        <v>641.54155989156084</v>
      </c>
      <c r="BF56" s="267">
        <f ca="1">'Intermediate output'!BF48</f>
        <v>680.54187544379761</v>
      </c>
      <c r="BG56" s="267">
        <f ca="1">'Intermediate output'!BG48</f>
        <v>722.92972840858988</v>
      </c>
      <c r="BH56" s="267">
        <f ca="1">'Intermediate output'!BH48</f>
        <v>769.07133311204609</v>
      </c>
      <c r="BI56" s="267">
        <f ca="1">'Intermediate output'!BI48</f>
        <v>803.22299999999996</v>
      </c>
      <c r="BJ56" s="1169"/>
      <c r="BK56" s="250"/>
      <c r="BM56" s="22"/>
      <c r="BN56" s="22"/>
    </row>
    <row r="57" spans="2:75" s="859" customFormat="1">
      <c r="B57" s="1162"/>
      <c r="C57" s="266"/>
      <c r="D57" s="1174" t="s">
        <v>1138</v>
      </c>
      <c r="E57" s="166"/>
      <c r="F57" s="1175"/>
      <c r="G57" s="1176"/>
      <c r="H57" s="1171"/>
      <c r="I57" s="1171"/>
      <c r="J57" s="1171"/>
      <c r="K57" s="1171"/>
      <c r="L57" s="1171"/>
      <c r="M57" s="1171"/>
      <c r="N57" s="1171"/>
      <c r="O57" s="1171"/>
      <c r="P57" s="1171"/>
      <c r="Q57" s="1171"/>
      <c r="R57" s="1171"/>
      <c r="S57" s="1171"/>
      <c r="T57" s="1171"/>
      <c r="U57" s="1171"/>
      <c r="V57" s="1171"/>
      <c r="W57" s="1171"/>
      <c r="X57" s="1171"/>
      <c r="Y57" s="1171"/>
      <c r="Z57" s="1171"/>
      <c r="AA57" s="1171"/>
      <c r="AB57" s="1171"/>
      <c r="AC57" s="1171"/>
      <c r="AD57" s="1171"/>
      <c r="AE57" s="1171"/>
      <c r="AF57" s="1171"/>
      <c r="AG57" s="1171"/>
      <c r="AH57" s="1171"/>
      <c r="AI57" s="1171"/>
      <c r="AJ57" s="1171">
        <f>2773.5*Unit.TWh</f>
        <v>2773.5</v>
      </c>
      <c r="AK57" s="1171">
        <f>2768.8*Unit.TWh</f>
        <v>2768.8</v>
      </c>
      <c r="AL57" s="1171">
        <f>2810*Unit.TWh</f>
        <v>2810</v>
      </c>
      <c r="AM57" s="1171">
        <f>2836.5*Unit.TWh</f>
        <v>2836.5</v>
      </c>
      <c r="AN57" s="1171">
        <f>2748.5*Unit.TWh</f>
        <v>2748.5</v>
      </c>
      <c r="AO57" s="1171">
        <f>2767.7*Unit.TWh</f>
        <v>2767.7</v>
      </c>
      <c r="AP57" s="1171">
        <f>2788.5*Unit.TWh</f>
        <v>2788.5</v>
      </c>
      <c r="AQ57" s="1171">
        <f>2808.1*Unit.TWh</f>
        <v>2808.1</v>
      </c>
      <c r="AR57" s="1171">
        <f>2785.4*Unit.TWh</f>
        <v>2785.4</v>
      </c>
      <c r="AS57" s="1171">
        <f>2720.5*Unit.TWh</f>
        <v>2720.5</v>
      </c>
      <c r="AT57" s="1171">
        <f>2691*Unit.TWh</f>
        <v>2691</v>
      </c>
      <c r="AU57" s="1171">
        <f>2520.5*Unit.TWh</f>
        <v>2520.5</v>
      </c>
      <c r="AV57" s="1171">
        <f>2600.1*Unit.TWh</f>
        <v>2600.1</v>
      </c>
      <c r="AW57" s="1171" t="s">
        <v>1135</v>
      </c>
      <c r="AX57" s="166"/>
      <c r="AY57" s="267">
        <f ca="1">'Intermediate output'!AY49</f>
        <v>450.37586718740386</v>
      </c>
      <c r="AZ57" s="267">
        <f>'Intermediate output'!AZ49</f>
        <v>0</v>
      </c>
      <c r="BA57" s="267">
        <f ca="1">'Intermediate output'!BA49</f>
        <v>607.99706212180251</v>
      </c>
      <c r="BB57" s="267">
        <f ca="1">'Intermediate output'!BB49</f>
        <v>954.37407948436692</v>
      </c>
      <c r="BC57" s="267">
        <f ca="1">'Intermediate output'!BC49</f>
        <v>1129.3893445499402</v>
      </c>
      <c r="BD57" s="267">
        <f ca="1">'Intermediate output'!BD49</f>
        <v>1306.3655615252346</v>
      </c>
      <c r="BE57" s="267">
        <f ca="1">'Intermediate output'!BE49</f>
        <v>1524.5511448106251</v>
      </c>
      <c r="BF57" s="267">
        <f ca="1">'Intermediate output'!BF49</f>
        <v>1771.6776988819261</v>
      </c>
      <c r="BG57" s="267">
        <f ca="1">'Intermediate output'!BG49</f>
        <v>2046.6620023011292</v>
      </c>
      <c r="BH57" s="267">
        <f ca="1">'Intermediate output'!BH49</f>
        <v>2346.3840289711452</v>
      </c>
      <c r="BI57" s="267">
        <f ca="1">'Intermediate output'!BI49</f>
        <v>2682.6666261638215</v>
      </c>
      <c r="BJ57" s="1177"/>
      <c r="BK57" s="1178"/>
      <c r="BL57" s="1085"/>
      <c r="BM57" s="1178"/>
    </row>
    <row r="58" spans="2:75" s="37" customFormat="1">
      <c r="B58" s="164"/>
      <c r="C58" s="1184"/>
      <c r="D58" s="1184"/>
      <c r="E58" s="166"/>
      <c r="F58" s="1184"/>
      <c r="G58" s="1184"/>
      <c r="H58" s="1188"/>
      <c r="I58" s="1188"/>
      <c r="J58" s="1188"/>
      <c r="K58" s="1188"/>
      <c r="L58" s="1188"/>
      <c r="M58" s="1188"/>
      <c r="N58" s="1188"/>
      <c r="O58" s="1188"/>
      <c r="P58" s="1188"/>
      <c r="Q58" s="1188"/>
      <c r="R58" s="1188"/>
      <c r="S58" s="1188"/>
      <c r="T58" s="1188"/>
      <c r="U58" s="1188"/>
      <c r="V58" s="1188"/>
      <c r="W58" s="1188"/>
      <c r="X58" s="1188"/>
      <c r="Y58" s="1188"/>
      <c r="Z58" s="1188"/>
      <c r="AA58" s="1188"/>
      <c r="AB58" s="1188"/>
      <c r="AC58" s="1188"/>
      <c r="AD58" s="1188"/>
      <c r="AE58" s="1188"/>
      <c r="AF58" s="1188"/>
      <c r="AG58" s="1188"/>
      <c r="AH58" s="1188"/>
      <c r="AI58" s="1188"/>
      <c r="AJ58" s="1188"/>
      <c r="AK58" s="1188"/>
      <c r="AL58" s="1188"/>
      <c r="AM58" s="1188"/>
      <c r="AN58" s="1188"/>
      <c r="AO58" s="1188"/>
      <c r="AP58" s="1188"/>
      <c r="AQ58" s="1188"/>
      <c r="AR58" s="1188"/>
      <c r="AS58" s="1188"/>
      <c r="AT58" s="1188"/>
      <c r="AU58" s="1188"/>
      <c r="AV58" s="1188"/>
      <c r="AW58" s="1188"/>
      <c r="AX58" s="166"/>
      <c r="AY58" s="1185"/>
      <c r="AZ58" s="1185"/>
      <c r="BA58" s="1185"/>
      <c r="BB58" s="1185"/>
      <c r="BC58" s="1185"/>
      <c r="BD58" s="1185"/>
      <c r="BE58" s="1185"/>
      <c r="BF58" s="1185"/>
      <c r="BG58" s="1185"/>
      <c r="BH58" s="1185"/>
      <c r="BI58" s="1185"/>
      <c r="BJ58" s="1186"/>
      <c r="BK58" s="90"/>
      <c r="BL58" s="423"/>
      <c r="BM58" s="90"/>
      <c r="BN58" s="145"/>
      <c r="BO58" s="145"/>
      <c r="BP58" s="145"/>
      <c r="BQ58" s="145"/>
      <c r="BR58" s="145"/>
      <c r="BS58" s="145"/>
      <c r="BT58" s="145"/>
      <c r="BU58" s="145"/>
      <c r="BV58" s="145"/>
      <c r="BW58" s="145"/>
    </row>
    <row r="59" spans="2:75" s="37" customFormat="1" ht="18">
      <c r="B59" s="1172"/>
      <c r="C59" s="1184"/>
      <c r="D59" s="1184" t="s">
        <v>2546</v>
      </c>
      <c r="E59" s="166"/>
      <c r="F59" s="1184"/>
      <c r="G59" s="1184"/>
      <c r="H59" s="1188"/>
      <c r="I59" s="1188"/>
      <c r="J59" s="1188"/>
      <c r="K59" s="1188"/>
      <c r="L59" s="1188"/>
      <c r="M59" s="1188"/>
      <c r="N59" s="1188"/>
      <c r="O59" s="1188"/>
      <c r="P59" s="1188"/>
      <c r="Q59" s="1188"/>
      <c r="R59" s="1188"/>
      <c r="S59" s="1188"/>
      <c r="T59" s="1188"/>
      <c r="U59" s="1188"/>
      <c r="V59" s="1188"/>
      <c r="W59" s="1188"/>
      <c r="X59" s="1188"/>
      <c r="Y59" s="1188"/>
      <c r="Z59" s="1188"/>
      <c r="AA59" s="1188"/>
      <c r="AB59" s="1188"/>
      <c r="AC59" s="1188"/>
      <c r="AD59" s="1188"/>
      <c r="AE59" s="1188"/>
      <c r="AF59" s="1188"/>
      <c r="AG59" s="1188"/>
      <c r="AH59" s="1188"/>
      <c r="AI59" s="1188"/>
      <c r="AJ59" s="1188"/>
      <c r="AK59" s="1188"/>
      <c r="AL59" s="1188"/>
      <c r="AM59" s="1188"/>
      <c r="AN59" s="1188"/>
      <c r="AO59" s="1188"/>
      <c r="AP59" s="1188"/>
      <c r="AQ59" s="1188"/>
      <c r="AR59" s="1188"/>
      <c r="AS59" s="1188"/>
      <c r="AT59" s="1188"/>
      <c r="AU59" s="1188"/>
      <c r="AV59" s="1188"/>
      <c r="AW59" s="1188"/>
      <c r="AX59" s="166"/>
      <c r="AY59" s="1185">
        <f t="shared" ref="AY59:BI59" ca="1" si="10">MAX(0,-(AY$57-AY$21))</f>
        <v>3488.4948352438541</v>
      </c>
      <c r="AZ59" s="1185"/>
      <c r="BA59" s="1185">
        <f t="shared" ca="1" si="10"/>
        <v>4296.5706704485519</v>
      </c>
      <c r="BB59" s="1185">
        <f t="shared" ca="1" si="10"/>
        <v>5593.7716498824484</v>
      </c>
      <c r="BC59" s="1185">
        <f t="shared" ca="1" si="10"/>
        <v>7553.5947578408577</v>
      </c>
      <c r="BD59" s="1185">
        <f t="shared" ca="1" si="10"/>
        <v>9902.7514081995796</v>
      </c>
      <c r="BE59" s="1185">
        <f t="shared" ca="1" si="10"/>
        <v>12714.05433378855</v>
      </c>
      <c r="BF59" s="1185">
        <f t="shared" ca="1" si="10"/>
        <v>15578.385586365846</v>
      </c>
      <c r="BG59" s="1185">
        <f t="shared" ca="1" si="10"/>
        <v>18497.889563029377</v>
      </c>
      <c r="BH59" s="1185">
        <f t="shared" ca="1" si="10"/>
        <v>21332.977296280042</v>
      </c>
      <c r="BI59" s="1185">
        <f t="shared" ca="1" si="10"/>
        <v>24388.854297956907</v>
      </c>
      <c r="BJ59" s="1186"/>
      <c r="BK59" s="141"/>
      <c r="BL59" s="145"/>
      <c r="BM59" s="145"/>
      <c r="BN59" s="145"/>
      <c r="BO59" s="145"/>
      <c r="BP59" s="145"/>
      <c r="BQ59" s="145"/>
      <c r="BR59" s="145"/>
      <c r="BS59" s="145"/>
      <c r="BT59" s="145"/>
      <c r="BU59" s="145"/>
      <c r="BV59" s="145"/>
      <c r="BW59" s="145"/>
    </row>
    <row r="60" spans="2:75">
      <c r="B60" s="1182"/>
      <c r="C60" s="166"/>
      <c r="D60" s="166"/>
      <c r="E60" s="166"/>
      <c r="F60" s="166"/>
      <c r="G60" s="166"/>
      <c r="H60" s="1156"/>
      <c r="I60" s="1156"/>
      <c r="J60" s="1156"/>
      <c r="K60" s="1156"/>
      <c r="L60" s="1156"/>
      <c r="M60" s="1156"/>
      <c r="N60" s="1156"/>
      <c r="O60" s="1156"/>
      <c r="P60" s="1156"/>
      <c r="Q60" s="1156"/>
      <c r="R60" s="1156"/>
      <c r="S60" s="1156"/>
      <c r="T60" s="1156"/>
      <c r="U60" s="1156"/>
      <c r="V60" s="1156"/>
      <c r="W60" s="1156"/>
      <c r="X60" s="1156"/>
      <c r="Y60" s="1156"/>
      <c r="Z60" s="1156"/>
      <c r="AA60" s="1156"/>
      <c r="AB60" s="1156"/>
      <c r="AC60" s="1156"/>
      <c r="AD60" s="1156"/>
      <c r="AE60" s="1156"/>
      <c r="AF60" s="1156"/>
      <c r="AG60" s="1156"/>
      <c r="AH60" s="1156"/>
      <c r="AI60" s="1156"/>
      <c r="AJ60" s="1156"/>
      <c r="AK60" s="1156"/>
      <c r="AL60" s="1156"/>
      <c r="AM60" s="1156"/>
      <c r="AN60" s="1156"/>
      <c r="AO60" s="1156"/>
      <c r="AP60" s="1156"/>
      <c r="AQ60" s="1156"/>
      <c r="AR60" s="1156"/>
      <c r="AS60" s="1156"/>
      <c r="AT60" s="1156"/>
      <c r="AU60" s="1156"/>
      <c r="AV60" s="1156"/>
      <c r="AW60" s="1156"/>
      <c r="AX60" s="166"/>
      <c r="AY60" s="1168"/>
      <c r="AZ60" s="1168"/>
      <c r="BA60" s="1168"/>
      <c r="BB60" s="1168"/>
      <c r="BC60" s="1168"/>
      <c r="BD60" s="1168"/>
      <c r="BE60" s="1168"/>
      <c r="BF60" s="1168"/>
      <c r="BG60" s="1168"/>
      <c r="BH60" s="1168"/>
      <c r="BI60" s="1168"/>
      <c r="BJ60" s="1169"/>
      <c r="BK60" s="22"/>
    </row>
    <row r="61" spans="2:75">
      <c r="B61" s="1182"/>
      <c r="C61" s="1179" t="s">
        <v>1139</v>
      </c>
      <c r="D61" s="166"/>
      <c r="E61" s="166"/>
      <c r="F61" s="166"/>
      <c r="G61" s="166"/>
      <c r="H61" s="1156"/>
      <c r="I61" s="1156"/>
      <c r="J61" s="1156"/>
      <c r="K61" s="1156"/>
      <c r="L61" s="1156"/>
      <c r="M61" s="1156"/>
      <c r="N61" s="1156"/>
      <c r="O61" s="1156"/>
      <c r="P61" s="1156"/>
      <c r="Q61" s="1156"/>
      <c r="R61" s="1156"/>
      <c r="S61" s="1156"/>
      <c r="T61" s="1156"/>
      <c r="U61" s="1156"/>
      <c r="V61" s="1156"/>
      <c r="W61" s="1156"/>
      <c r="X61" s="1156"/>
      <c r="Y61" s="1156"/>
      <c r="Z61" s="1156"/>
      <c r="AA61" s="1156"/>
      <c r="AB61" s="1156"/>
      <c r="AC61" s="1156"/>
      <c r="AD61" s="1156"/>
      <c r="AE61" s="1156"/>
      <c r="AF61" s="1156"/>
      <c r="AG61" s="1156"/>
      <c r="AH61" s="1156"/>
      <c r="AI61" s="1156"/>
      <c r="AJ61" s="1156"/>
      <c r="AK61" s="1156"/>
      <c r="AL61" s="1156"/>
      <c r="AM61" s="1156"/>
      <c r="AN61" s="1156"/>
      <c r="AO61" s="1156"/>
      <c r="AP61" s="1156"/>
      <c r="AQ61" s="1156"/>
      <c r="AR61" s="1156"/>
      <c r="AS61" s="1156"/>
      <c r="AT61" s="1156"/>
      <c r="AU61" s="1156"/>
      <c r="AV61" s="1156"/>
      <c r="AW61" s="1156"/>
      <c r="AX61" s="166"/>
      <c r="AY61" s="1168"/>
      <c r="AZ61" s="1168"/>
      <c r="BA61" s="1168"/>
      <c r="BB61" s="1168"/>
      <c r="BC61" s="1168"/>
      <c r="BD61" s="1168"/>
      <c r="BE61" s="1168"/>
      <c r="BF61" s="1168"/>
      <c r="BG61" s="1168"/>
      <c r="BH61" s="1168"/>
      <c r="BI61" s="1168"/>
      <c r="BJ61" s="1169"/>
      <c r="BK61" s="22"/>
    </row>
    <row r="62" spans="2:75">
      <c r="B62" s="164"/>
      <c r="C62" s="1170" t="s">
        <v>25</v>
      </c>
      <c r="D62" s="1164" t="str">
        <f>INDEX(Vectors[Description], MATCH($C62, Vectors[Code], 0))</f>
        <v>Conversion losses</v>
      </c>
      <c r="E62" s="166"/>
      <c r="F62" s="267"/>
      <c r="G62" s="267"/>
      <c r="H62" s="1165"/>
      <c r="I62" s="1165"/>
      <c r="J62" s="1165"/>
      <c r="K62" s="1165"/>
      <c r="L62" s="1165"/>
      <c r="M62" s="1165"/>
      <c r="N62" s="1165"/>
      <c r="O62" s="1165"/>
      <c r="P62" s="1165"/>
      <c r="Q62" s="1165"/>
      <c r="R62" s="1165"/>
      <c r="S62" s="1165"/>
      <c r="T62" s="1165"/>
      <c r="U62" s="1165"/>
      <c r="V62" s="1165"/>
      <c r="W62" s="1165"/>
      <c r="X62" s="1165"/>
      <c r="Y62" s="1165"/>
      <c r="Z62" s="1165"/>
      <c r="AA62" s="1165"/>
      <c r="AB62" s="1165"/>
      <c r="AC62" s="1165"/>
      <c r="AD62" s="1165"/>
      <c r="AE62" s="1165"/>
      <c r="AF62" s="1165"/>
      <c r="AG62" s="1165"/>
      <c r="AH62" s="1165"/>
      <c r="AI62" s="1165"/>
      <c r="AJ62" s="1165"/>
      <c r="AK62" s="1165"/>
      <c r="AL62" s="1165"/>
      <c r="AM62" s="1165"/>
      <c r="AN62" s="1165"/>
      <c r="AO62" s="1165"/>
      <c r="AP62" s="1165"/>
      <c r="AQ62" s="1165"/>
      <c r="AR62" s="1165"/>
      <c r="AS62" s="1165"/>
      <c r="AT62" s="1165"/>
      <c r="AU62" s="1165"/>
      <c r="AV62" s="1165"/>
      <c r="AW62" s="1165"/>
      <c r="AX62" s="166"/>
      <c r="AY62" s="1168">
        <f ca="1">'Intermediate output'!AY95</f>
        <v>-595.68681516482502</v>
      </c>
      <c r="AZ62" s="1168">
        <f>'Intermediate output'!AZ95</f>
        <v>0</v>
      </c>
      <c r="BA62" s="1168">
        <f ca="1">'Intermediate output'!BA95</f>
        <v>-798.39296177664801</v>
      </c>
      <c r="BB62" s="1168">
        <f ca="1">'Intermediate output'!BB95</f>
        <v>-1142.8498773739643</v>
      </c>
      <c r="BC62" s="1168">
        <f ca="1">'Intermediate output'!BC95</f>
        <v>-1640.0251055308779</v>
      </c>
      <c r="BD62" s="1168">
        <f ca="1">'Intermediate output'!BD95</f>
        <v>-2290.662235710573</v>
      </c>
      <c r="BE62" s="1168">
        <f ca="1">'Intermediate output'!BE95</f>
        <v>-3170.4883780648101</v>
      </c>
      <c r="BF62" s="1168">
        <f ca="1">'Intermediate output'!BF95</f>
        <v>-3970.4133793283249</v>
      </c>
      <c r="BG62" s="1168">
        <f ca="1">'Intermediate output'!BG95</f>
        <v>-4914.3042732371441</v>
      </c>
      <c r="BH62" s="1168">
        <f ca="1">'Intermediate output'!BH95</f>
        <v>-5747.5586114860871</v>
      </c>
      <c r="BI62" s="1168">
        <f ca="1">'Intermediate output'!BI95</f>
        <v>-6680.5573002001365</v>
      </c>
      <c r="BJ62" s="1169"/>
      <c r="BK62" s="22"/>
    </row>
    <row r="63" spans="2:75">
      <c r="B63" s="164"/>
      <c r="C63" s="1170" t="s">
        <v>26</v>
      </c>
      <c r="D63" s="1164" t="str">
        <f>INDEX(Vectors[Description], MATCH($C63, Vectors[Code], 0))</f>
        <v>Distribution losses and own use</v>
      </c>
      <c r="E63" s="166"/>
      <c r="F63" s="267"/>
      <c r="G63" s="267"/>
      <c r="H63" s="1165"/>
      <c r="I63" s="1165"/>
      <c r="J63" s="1165"/>
      <c r="K63" s="1165"/>
      <c r="L63" s="1165"/>
      <c r="M63" s="1165"/>
      <c r="N63" s="1165"/>
      <c r="O63" s="1165"/>
      <c r="P63" s="1165"/>
      <c r="Q63" s="1165"/>
      <c r="R63" s="1165"/>
      <c r="S63" s="1165"/>
      <c r="T63" s="1165"/>
      <c r="U63" s="1165"/>
      <c r="V63" s="1165"/>
      <c r="W63" s="1165"/>
      <c r="X63" s="1165"/>
      <c r="Y63" s="1165"/>
      <c r="Z63" s="1165"/>
      <c r="AA63" s="1165"/>
      <c r="AB63" s="1165"/>
      <c r="AC63" s="1165"/>
      <c r="AD63" s="1165"/>
      <c r="AE63" s="1165"/>
      <c r="AF63" s="1165"/>
      <c r="AG63" s="1165"/>
      <c r="AH63" s="1165"/>
      <c r="AI63" s="1165"/>
      <c r="AJ63" s="1165"/>
      <c r="AK63" s="1165"/>
      <c r="AL63" s="1165"/>
      <c r="AM63" s="1165"/>
      <c r="AN63" s="1165"/>
      <c r="AO63" s="1165"/>
      <c r="AP63" s="1165"/>
      <c r="AQ63" s="1165"/>
      <c r="AR63" s="1165"/>
      <c r="AS63" s="1165"/>
      <c r="AT63" s="1165"/>
      <c r="AU63" s="1165"/>
      <c r="AV63" s="1165"/>
      <c r="AW63" s="1165"/>
      <c r="AX63" s="166"/>
      <c r="AY63" s="1168">
        <f ca="1">'Intermediate output'!AY96</f>
        <v>595.68681516482502</v>
      </c>
      <c r="AZ63" s="1168">
        <f>'Intermediate output'!AZ96</f>
        <v>0</v>
      </c>
      <c r="BA63" s="1168">
        <f ca="1">'Intermediate output'!BA96</f>
        <v>798.39296177664801</v>
      </c>
      <c r="BB63" s="1168">
        <f ca="1">'Intermediate output'!BB96</f>
        <v>1142.8498773739643</v>
      </c>
      <c r="BC63" s="1168">
        <f ca="1">'Intermediate output'!BC96</f>
        <v>1640.0251055308779</v>
      </c>
      <c r="BD63" s="1168">
        <f ca="1">'Intermediate output'!BD96</f>
        <v>2290.662235710573</v>
      </c>
      <c r="BE63" s="1168">
        <f ca="1">'Intermediate output'!BE96</f>
        <v>3170.4883780648101</v>
      </c>
      <c r="BF63" s="1168">
        <f ca="1">'Intermediate output'!BF96</f>
        <v>3970.4133793283249</v>
      </c>
      <c r="BG63" s="1168">
        <f ca="1">'Intermediate output'!BG96</f>
        <v>4914.3042732371441</v>
      </c>
      <c r="BH63" s="1168">
        <f ca="1">'Intermediate output'!BH96</f>
        <v>5747.5586114860871</v>
      </c>
      <c r="BI63" s="1168">
        <f ca="1">'Intermediate output'!BI96</f>
        <v>6680.5573002001365</v>
      </c>
      <c r="BJ63" s="1169"/>
      <c r="BK63" s="22"/>
    </row>
    <row r="64" spans="2:75" s="51" customFormat="1">
      <c r="B64" s="164"/>
      <c r="C64" s="60"/>
      <c r="D64" s="1174" t="s">
        <v>1140</v>
      </c>
      <c r="E64" s="166"/>
      <c r="F64" s="1175"/>
      <c r="G64" s="1176"/>
      <c r="H64" s="1171"/>
      <c r="I64" s="1171"/>
      <c r="J64" s="1171"/>
      <c r="K64" s="1171"/>
      <c r="L64" s="1171"/>
      <c r="M64" s="1171"/>
      <c r="N64" s="1171"/>
      <c r="O64" s="1171"/>
      <c r="P64" s="1171"/>
      <c r="Q64" s="1171"/>
      <c r="R64" s="1171"/>
      <c r="S64" s="1171"/>
      <c r="T64" s="1171"/>
      <c r="U64" s="1171"/>
      <c r="V64" s="1171"/>
      <c r="W64" s="1171"/>
      <c r="X64" s="1171"/>
      <c r="Y64" s="1171"/>
      <c r="Z64" s="1171"/>
      <c r="AA64" s="1171"/>
      <c r="AB64" s="1171"/>
      <c r="AC64" s="1171"/>
      <c r="AD64" s="1171"/>
      <c r="AE64" s="1171"/>
      <c r="AF64" s="1171"/>
      <c r="AG64" s="1171"/>
      <c r="AH64" s="1171"/>
      <c r="AI64" s="1171"/>
      <c r="AJ64" s="1171"/>
      <c r="AK64" s="1171"/>
      <c r="AL64" s="1171"/>
      <c r="AM64" s="1171"/>
      <c r="AN64" s="1171"/>
      <c r="AO64" s="1171"/>
      <c r="AP64" s="1171"/>
      <c r="AQ64" s="1171"/>
      <c r="AR64" s="1171"/>
      <c r="AS64" s="1171"/>
      <c r="AT64" s="1171"/>
      <c r="AU64" s="1171"/>
      <c r="AV64" s="1171"/>
      <c r="AW64" s="1171"/>
      <c r="AX64" s="166"/>
      <c r="AY64" s="1168">
        <f ca="1">'Intermediate output'!AY97</f>
        <v>0</v>
      </c>
      <c r="AZ64" s="1168">
        <f>'Intermediate output'!AZ97</f>
        <v>0</v>
      </c>
      <c r="BA64" s="1168">
        <f ca="1">'Intermediate output'!BA97</f>
        <v>0</v>
      </c>
      <c r="BB64" s="1168">
        <f ca="1">'Intermediate output'!BB97</f>
        <v>0</v>
      </c>
      <c r="BC64" s="1168">
        <f ca="1">'Intermediate output'!BC97</f>
        <v>0</v>
      </c>
      <c r="BD64" s="1168">
        <f ca="1">'Intermediate output'!BD97</f>
        <v>0</v>
      </c>
      <c r="BE64" s="1168">
        <f ca="1">'Intermediate output'!BE97</f>
        <v>0</v>
      </c>
      <c r="BF64" s="1168">
        <f ca="1">'Intermediate output'!BF97</f>
        <v>0</v>
      </c>
      <c r="BG64" s="1168">
        <f ca="1">'Intermediate output'!BG97</f>
        <v>0</v>
      </c>
      <c r="BH64" s="1168">
        <f ca="1">'Intermediate output'!BH97</f>
        <v>0</v>
      </c>
      <c r="BI64" s="1168">
        <f ca="1">'Intermediate output'!BI97</f>
        <v>0</v>
      </c>
      <c r="BJ64" s="1190"/>
      <c r="BK64" s="97"/>
    </row>
    <row r="65" spans="2:63" s="51" customFormat="1">
      <c r="B65" s="164"/>
      <c r="C65" s="60"/>
      <c r="D65" s="266"/>
      <c r="E65" s="166"/>
      <c r="F65" s="1176"/>
      <c r="G65" s="1176"/>
      <c r="H65" s="1171"/>
      <c r="I65" s="1171"/>
      <c r="J65" s="1171"/>
      <c r="K65" s="1171"/>
      <c r="L65" s="1171"/>
      <c r="M65" s="1171"/>
      <c r="N65" s="1171"/>
      <c r="O65" s="1171"/>
      <c r="P65" s="1171"/>
      <c r="Q65" s="1171"/>
      <c r="R65" s="1171"/>
      <c r="S65" s="1171"/>
      <c r="T65" s="1171"/>
      <c r="U65" s="1171"/>
      <c r="V65" s="1171"/>
      <c r="W65" s="1171"/>
      <c r="X65" s="1171"/>
      <c r="Y65" s="1171"/>
      <c r="Z65" s="1171"/>
      <c r="AA65" s="1171"/>
      <c r="AB65" s="1171"/>
      <c r="AC65" s="1171"/>
      <c r="AD65" s="1171"/>
      <c r="AE65" s="1171"/>
      <c r="AF65" s="1171"/>
      <c r="AG65" s="1171"/>
      <c r="AH65" s="1171"/>
      <c r="AI65" s="1171"/>
      <c r="AJ65" s="1171"/>
      <c r="AK65" s="1171"/>
      <c r="AL65" s="1171"/>
      <c r="AM65" s="1171"/>
      <c r="AN65" s="1171"/>
      <c r="AO65" s="1171"/>
      <c r="AP65" s="1171"/>
      <c r="AQ65" s="1171"/>
      <c r="AR65" s="1171"/>
      <c r="AS65" s="1171"/>
      <c r="AT65" s="1171"/>
      <c r="AU65" s="1171"/>
      <c r="AV65" s="1171"/>
      <c r="AW65" s="1171"/>
      <c r="AX65" s="166"/>
      <c r="AY65" s="1176"/>
      <c r="AZ65" s="1176"/>
      <c r="BA65" s="1176"/>
      <c r="BB65" s="1176"/>
      <c r="BC65" s="1176"/>
      <c r="BD65" s="1176"/>
      <c r="BE65" s="1176"/>
      <c r="BF65" s="1176"/>
      <c r="BG65" s="1176"/>
      <c r="BH65" s="1176"/>
      <c r="BI65" s="1176"/>
      <c r="BJ65" s="1190"/>
      <c r="BK65" s="97"/>
    </row>
    <row r="66" spans="2:63" s="51" customFormat="1">
      <c r="B66" s="164"/>
      <c r="C66" s="266" t="s">
        <v>2079</v>
      </c>
      <c r="D66" s="266"/>
      <c r="E66" s="166"/>
      <c r="F66" s="166"/>
      <c r="G66" s="1176"/>
      <c r="H66" s="1171"/>
      <c r="I66" s="1171"/>
      <c r="J66" s="1171"/>
      <c r="K66" s="1171"/>
      <c r="L66" s="1171"/>
      <c r="M66" s="1171"/>
      <c r="N66" s="1171"/>
      <c r="O66" s="1171"/>
      <c r="P66" s="1171"/>
      <c r="Q66" s="1171"/>
      <c r="R66" s="1171"/>
      <c r="S66" s="1171"/>
      <c r="T66" s="1171"/>
      <c r="U66" s="1171"/>
      <c r="V66" s="1171"/>
      <c r="W66" s="1171"/>
      <c r="X66" s="1171"/>
      <c r="Y66" s="1171"/>
      <c r="Z66" s="1171"/>
      <c r="AA66" s="1171"/>
      <c r="AB66" s="1171"/>
      <c r="AC66" s="1171"/>
      <c r="AD66" s="1171"/>
      <c r="AE66" s="1171"/>
      <c r="AF66" s="1171"/>
      <c r="AG66" s="1171"/>
      <c r="AH66" s="1171"/>
      <c r="AI66" s="1171"/>
      <c r="AJ66" s="1171"/>
      <c r="AK66" s="1171"/>
      <c r="AL66" s="1171"/>
      <c r="AM66" s="1171"/>
      <c r="AN66" s="1171"/>
      <c r="AO66" s="1171"/>
      <c r="AP66" s="1171"/>
      <c r="AQ66" s="1171"/>
      <c r="AR66" s="1171"/>
      <c r="AS66" s="1171"/>
      <c r="AT66" s="1171"/>
      <c r="AU66" s="1171"/>
      <c r="AV66" s="1171"/>
      <c r="AW66" s="1171"/>
      <c r="AX66" s="166"/>
      <c r="AY66" s="1176"/>
      <c r="AZ66" s="1176"/>
      <c r="BA66" s="1176"/>
      <c r="BB66" s="1176"/>
      <c r="BC66" s="1176"/>
      <c r="BD66" s="1176"/>
      <c r="BE66" s="1176"/>
      <c r="BF66" s="1176"/>
      <c r="BG66" s="1176"/>
      <c r="BH66" s="1176"/>
      <c r="BI66" s="1176"/>
      <c r="BJ66" s="1190"/>
      <c r="BK66" s="97"/>
    </row>
    <row r="67" spans="2:63" s="51" customFormat="1">
      <c r="B67" s="164"/>
      <c r="C67" s="60" t="s">
        <v>36</v>
      </c>
      <c r="D67" s="166" t="str">
        <f>INDEX(Vectors[Description],MATCH($C67,Vectors[Code],0))</f>
        <v>Solid hydrocarbons</v>
      </c>
      <c r="E67" s="166"/>
      <c r="F67" s="267"/>
      <c r="G67" s="1176"/>
      <c r="H67" s="1171"/>
      <c r="I67" s="1171"/>
      <c r="J67" s="1171"/>
      <c r="K67" s="1171"/>
      <c r="L67" s="1171"/>
      <c r="M67" s="1171"/>
      <c r="N67" s="1171"/>
      <c r="O67" s="1171"/>
      <c r="P67" s="1171"/>
      <c r="Q67" s="1171"/>
      <c r="R67" s="1171"/>
      <c r="S67" s="1171"/>
      <c r="T67" s="1171"/>
      <c r="U67" s="1171"/>
      <c r="V67" s="1171"/>
      <c r="W67" s="1171"/>
      <c r="X67" s="1171"/>
      <c r="Y67" s="1171"/>
      <c r="Z67" s="1171"/>
      <c r="AA67" s="1171"/>
      <c r="AB67" s="1171"/>
      <c r="AC67" s="1171"/>
      <c r="AD67" s="1171"/>
      <c r="AE67" s="1171"/>
      <c r="AF67" s="1171"/>
      <c r="AG67" s="1171"/>
      <c r="AH67" s="1171"/>
      <c r="AI67" s="1171"/>
      <c r="AJ67" s="1171"/>
      <c r="AK67" s="1171"/>
      <c r="AL67" s="1171"/>
      <c r="AM67" s="1171"/>
      <c r="AN67" s="1171"/>
      <c r="AO67" s="1171"/>
      <c r="AP67" s="1171"/>
      <c r="AQ67" s="1171"/>
      <c r="AR67" s="1171"/>
      <c r="AS67" s="1171"/>
      <c r="AT67" s="1171"/>
      <c r="AU67" s="1171"/>
      <c r="AV67" s="1171"/>
      <c r="AW67" s="1171"/>
      <c r="AX67" s="166"/>
      <c r="AY67" s="1275">
        <f ca="1">-(INDEX(INDIRECT(AY$71&amp;"!Year.Matrix"),MATCH("Subtotal.Supply",INDIRECT(AY$71&amp;"!Year.Modules"),0),MATCH("V.03",INDIRECT(AY$71&amp;"!Year.Vectors"),0))+INDEX(INDIRECT(AY$71&amp;"!Year.Matrix"),MATCH("Subtotal.Consumption",INDIRECT(AY$71&amp;"!Year.Modules"),0),MATCH("V.03",INDIRECT(AY$71&amp;"!Year.Vectors"),0)))+AY261</f>
        <v>3253.4798011484609</v>
      </c>
      <c r="AZ67" s="1275"/>
      <c r="BA67" s="1275">
        <f t="shared" ref="BA67:BI67" ca="1" si="11">-(INDEX(INDIRECT(BA$71&amp;"!Year.Matrix"),MATCH("Subtotal.Supply",INDIRECT(BA$71&amp;"!Year.Modules"),0),MATCH("V.03",INDIRECT(BA$71&amp;"!Year.Vectors"),0))+INDEX(INDIRECT(BA$71&amp;"!Year.Matrix"),MATCH("Subtotal.Consumption",INDIRECT(BA$71&amp;"!Year.Modules"),0),MATCH("V.03",INDIRECT(BA$71&amp;"!Year.Vectors"),0)))+BA261</f>
        <v>4186.6587822140627</v>
      </c>
      <c r="BB67" s="1275">
        <f t="shared" ca="1" si="11"/>
        <v>5440.2416760911601</v>
      </c>
      <c r="BC67" s="1275">
        <f t="shared" ca="1" si="11"/>
        <v>7599.0050414244033</v>
      </c>
      <c r="BD67" s="1275">
        <f t="shared" ca="1" si="11"/>
        <v>10283.250772451853</v>
      </c>
      <c r="BE67" s="1275">
        <f t="shared" ca="1" si="11"/>
        <v>13752.901942267128</v>
      </c>
      <c r="BF67" s="1275">
        <f t="shared" ca="1" si="11"/>
        <v>16958.349070363496</v>
      </c>
      <c r="BG67" s="1275">
        <f t="shared" ca="1" si="11"/>
        <v>20459.946248371478</v>
      </c>
      <c r="BH67" s="1275">
        <f t="shared" ca="1" si="11"/>
        <v>23583.182597617422</v>
      </c>
      <c r="BI67" s="1275">
        <f t="shared" ca="1" si="11"/>
        <v>27066.994339922483</v>
      </c>
      <c r="BJ67" s="1190"/>
      <c r="BK67" s="97"/>
    </row>
    <row r="68" spans="2:63" s="51" customFormat="1">
      <c r="B68" s="164"/>
      <c r="C68" s="60" t="s">
        <v>38</v>
      </c>
      <c r="D68" s="166" t="str">
        <f>INDEX(Vectors[Description],MATCH($C68,Vectors[Code],0))</f>
        <v>Liquid hydrocarbons</v>
      </c>
      <c r="E68" s="166"/>
      <c r="F68" s="267"/>
      <c r="G68" s="1176"/>
      <c r="H68" s="1171"/>
      <c r="I68" s="1171"/>
      <c r="J68" s="1171"/>
      <c r="K68" s="1171"/>
      <c r="L68" s="1171"/>
      <c r="M68" s="1171"/>
      <c r="N68" s="1171"/>
      <c r="O68" s="1171"/>
      <c r="P68" s="1171"/>
      <c r="Q68" s="1171"/>
      <c r="R68" s="1171"/>
      <c r="S68" s="1171"/>
      <c r="T68" s="1171"/>
      <c r="U68" s="1171"/>
      <c r="V68" s="1171"/>
      <c r="W68" s="1171"/>
      <c r="X68" s="1171"/>
      <c r="Y68" s="1171"/>
      <c r="Z68" s="1171"/>
      <c r="AA68" s="1171"/>
      <c r="AB68" s="1171"/>
      <c r="AC68" s="1171"/>
      <c r="AD68" s="1171"/>
      <c r="AE68" s="1171"/>
      <c r="AF68" s="1171"/>
      <c r="AG68" s="1171"/>
      <c r="AH68" s="1171"/>
      <c r="AI68" s="1171"/>
      <c r="AJ68" s="1171"/>
      <c r="AK68" s="1171"/>
      <c r="AL68" s="1171"/>
      <c r="AM68" s="1171"/>
      <c r="AN68" s="1171"/>
      <c r="AO68" s="1171"/>
      <c r="AP68" s="1171"/>
      <c r="AQ68" s="1171"/>
      <c r="AR68" s="1171"/>
      <c r="AS68" s="1171"/>
      <c r="AT68" s="1171"/>
      <c r="AU68" s="1171"/>
      <c r="AV68" s="1171"/>
      <c r="AW68" s="1171"/>
      <c r="AX68" s="166"/>
      <c r="AY68" s="1275">
        <f ca="1">-(INDEX(INDIRECT(AY$71&amp;"!Year.Matrix"),MATCH("Subtotal.Supply",INDIRECT(AY$71&amp;"!Year.Modules"),0),MATCH("V.04",INDIRECT(AY$71&amp;"!Year.Vectors"),0))+INDEX(INDIRECT(AY$71&amp;"!Year.Matrix"),MATCH("Subtotal.Consumption",INDIRECT(AY$71&amp;"!Year.Modules"),0),MATCH("V.04",INDIRECT(AY$71&amp;"!Year.Vectors"),0)))+AY262</f>
        <v>1507.1271398060596</v>
      </c>
      <c r="AZ68" s="1275"/>
      <c r="BA68" s="1275">
        <f t="shared" ref="BA68:BI68" ca="1" si="12">-(INDEX(INDIRECT(BA$71&amp;"!Year.Matrix"),MATCH("Subtotal.Supply",INDIRECT(BA$71&amp;"!Year.Modules"),0),MATCH("V.04",INDIRECT(BA$71&amp;"!Year.Vectors"),0))+INDEX(INDIRECT(BA$71&amp;"!Year.Matrix"),MATCH("Subtotal.Consumption",INDIRECT(BA$71&amp;"!Year.Modules"),0),MATCH("V.04",INDIRECT(BA$71&amp;"!Year.Vectors"),0)))+BA262</f>
        <v>1784.7830860037395</v>
      </c>
      <c r="BB68" s="1275">
        <f t="shared" ca="1" si="12"/>
        <v>2414.9219458854045</v>
      </c>
      <c r="BC68" s="1275">
        <f t="shared" ca="1" si="12"/>
        <v>3241.2908350865459</v>
      </c>
      <c r="BD68" s="1275">
        <f t="shared" ca="1" si="12"/>
        <v>4223.7654770972395</v>
      </c>
      <c r="BE68" s="1275">
        <f t="shared" ca="1" si="12"/>
        <v>5375.2726406997626</v>
      </c>
      <c r="BF68" s="1275">
        <f t="shared" ca="1" si="12"/>
        <v>6663.9787683041413</v>
      </c>
      <c r="BG68" s="1275">
        <f t="shared" ca="1" si="12"/>
        <v>7973.920334522948</v>
      </c>
      <c r="BH68" s="1275">
        <f t="shared" ca="1" si="12"/>
        <v>9448.4442070287369</v>
      </c>
      <c r="BI68" s="1275">
        <f t="shared" ca="1" si="12"/>
        <v>11027.044368693952</v>
      </c>
      <c r="BJ68" s="1190"/>
      <c r="BK68" s="97"/>
    </row>
    <row r="69" spans="2:63" s="51" customFormat="1">
      <c r="B69" s="164"/>
      <c r="C69" s="60" t="s">
        <v>39</v>
      </c>
      <c r="D69" s="166" t="str">
        <f>INDEX(Vectors[Description],MATCH($C69,Vectors[Code],0))</f>
        <v>Gaseous hydrocarbons</v>
      </c>
      <c r="E69" s="166"/>
      <c r="F69" s="1175"/>
      <c r="G69" s="1176"/>
      <c r="H69" s="1171"/>
      <c r="I69" s="1171"/>
      <c r="J69" s="1171"/>
      <c r="K69" s="1171"/>
      <c r="L69" s="1171"/>
      <c r="M69" s="1171"/>
      <c r="N69" s="1171"/>
      <c r="O69" s="1171"/>
      <c r="P69" s="1171"/>
      <c r="Q69" s="1171"/>
      <c r="R69" s="1171"/>
      <c r="S69" s="1171"/>
      <c r="T69" s="1171"/>
      <c r="U69" s="1171"/>
      <c r="V69" s="1171"/>
      <c r="W69" s="1171"/>
      <c r="X69" s="1171"/>
      <c r="Y69" s="1171"/>
      <c r="Z69" s="1171"/>
      <c r="AA69" s="1171"/>
      <c r="AB69" s="1171"/>
      <c r="AC69" s="1171"/>
      <c r="AD69" s="1171"/>
      <c r="AE69" s="1171"/>
      <c r="AF69" s="1171"/>
      <c r="AG69" s="1171"/>
      <c r="AH69" s="1171"/>
      <c r="AI69" s="1171"/>
      <c r="AJ69" s="1171"/>
      <c r="AK69" s="1171"/>
      <c r="AL69" s="1171"/>
      <c r="AM69" s="1171"/>
      <c r="AN69" s="1171"/>
      <c r="AO69" s="1171"/>
      <c r="AP69" s="1171"/>
      <c r="AQ69" s="1171"/>
      <c r="AR69" s="1171"/>
      <c r="AS69" s="1171"/>
      <c r="AT69" s="1171"/>
      <c r="AU69" s="1171"/>
      <c r="AV69" s="1171"/>
      <c r="AW69" s="1171"/>
      <c r="AX69" s="166"/>
      <c r="AY69" s="1275">
        <f ca="1">-(INDEX(INDIRECT(AY$71&amp;"!Year.Matrix"),MATCH("Subtotal.Supply",INDIRECT(AY$71&amp;"!Year.Modules"),0),MATCH("V.05",INDIRECT(AY$71&amp;"!Year.Vectors"),0))+INDEX(INDIRECT(AY$71&amp;"!Year.Matrix"),MATCH("Subtotal.Consumption",INDIRECT(AY$71&amp;"!Year.Modules"),0),MATCH("V.05",INDIRECT(AY$71&amp;"!Year.Vectors"),0)))+AY263</f>
        <v>400.80896663638987</v>
      </c>
      <c r="AZ69" s="1275"/>
      <c r="BA69" s="1275">
        <f t="shared" ref="BA69:BI69" ca="1" si="13">-(INDEX(INDIRECT(BA$71&amp;"!Year.Matrix"),MATCH("Subtotal.Supply",INDIRECT(BA$71&amp;"!Year.Modules"),0),MATCH("V.05",INDIRECT(BA$71&amp;"!Year.Vectors"),0))+INDEX(INDIRECT(BA$71&amp;"!Year.Matrix"),MATCH("Subtotal.Consumption",INDIRECT(BA$71&amp;"!Year.Modules"),0),MATCH("V.05",INDIRECT(BA$71&amp;"!Year.Vectors"),0)))+BA263</f>
        <v>538.99887527499732</v>
      </c>
      <c r="BB69" s="1275">
        <f t="shared" ca="1" si="13"/>
        <v>841.23652056611616</v>
      </c>
      <c r="BC69" s="1275">
        <f t="shared" ca="1" si="13"/>
        <v>994.46394646854696</v>
      </c>
      <c r="BD69" s="1275">
        <f t="shared" ca="1" si="13"/>
        <v>1149.3965479446485</v>
      </c>
      <c r="BE69" s="1275">
        <f t="shared" ca="1" si="13"/>
        <v>1340.1633809947466</v>
      </c>
      <c r="BF69" s="1275">
        <f t="shared" ca="1" si="13"/>
        <v>1555.4213398542583</v>
      </c>
      <c r="BG69" s="1275">
        <f t="shared" ca="1" si="13"/>
        <v>1794.9126529437026</v>
      </c>
      <c r="BH69" s="1275">
        <f t="shared" ca="1" si="13"/>
        <v>2055.9244870184016</v>
      </c>
      <c r="BI69" s="1275">
        <f t="shared" ca="1" si="13"/>
        <v>2348.7378176448806</v>
      </c>
      <c r="BJ69" s="1190"/>
      <c r="BK69" s="97"/>
    </row>
    <row r="70" spans="2:63" s="51" customFormat="1">
      <c r="B70" s="164"/>
      <c r="C70" s="60"/>
      <c r="D70" s="266"/>
      <c r="E70" s="166"/>
      <c r="F70" s="1176"/>
      <c r="G70" s="1176"/>
      <c r="H70" s="1171"/>
      <c r="I70" s="1171"/>
      <c r="J70" s="1171"/>
      <c r="K70" s="1171"/>
      <c r="L70" s="1171"/>
      <c r="M70" s="1171"/>
      <c r="N70" s="1171"/>
      <c r="O70" s="1171"/>
      <c r="P70" s="1171"/>
      <c r="Q70" s="1171"/>
      <c r="R70" s="1171"/>
      <c r="S70" s="1171"/>
      <c r="T70" s="1171"/>
      <c r="U70" s="1171"/>
      <c r="V70" s="1171"/>
      <c r="W70" s="1171"/>
      <c r="X70" s="1171"/>
      <c r="Y70" s="1171"/>
      <c r="Z70" s="1171"/>
      <c r="AA70" s="1171"/>
      <c r="AB70" s="1171"/>
      <c r="AC70" s="1171"/>
      <c r="AD70" s="1171"/>
      <c r="AE70" s="1171"/>
      <c r="AF70" s="1171"/>
      <c r="AG70" s="1171"/>
      <c r="AH70" s="1171"/>
      <c r="AI70" s="1171"/>
      <c r="AJ70" s="1171"/>
      <c r="AK70" s="1171"/>
      <c r="AL70" s="1171"/>
      <c r="AM70" s="1171"/>
      <c r="AN70" s="1171"/>
      <c r="AO70" s="1171"/>
      <c r="AP70" s="1171"/>
      <c r="AQ70" s="1171"/>
      <c r="AR70" s="1171"/>
      <c r="AS70" s="1171"/>
      <c r="AT70" s="1171"/>
      <c r="AU70" s="1171"/>
      <c r="AV70" s="1171"/>
      <c r="AW70" s="1171"/>
      <c r="AX70" s="166"/>
      <c r="AY70" s="1176"/>
      <c r="AZ70" s="1176"/>
      <c r="BA70" s="1176"/>
      <c r="BB70" s="1176"/>
      <c r="BC70" s="1176"/>
      <c r="BD70" s="1176"/>
      <c r="BE70" s="1176"/>
      <c r="BF70" s="1176"/>
      <c r="BG70" s="1176"/>
      <c r="BH70" s="1176"/>
      <c r="BI70" s="1176"/>
      <c r="BJ70" s="1190"/>
      <c r="BK70" s="97"/>
    </row>
    <row r="71" spans="2:63" s="51" customFormat="1" ht="18">
      <c r="B71" s="1189"/>
      <c r="C71" s="266" t="s">
        <v>2002</v>
      </c>
      <c r="D71" s="266"/>
      <c r="E71" s="166"/>
      <c r="F71" s="1176"/>
      <c r="G71" s="1176"/>
      <c r="H71" s="1171"/>
      <c r="I71" s="1171"/>
      <c r="J71" s="1171"/>
      <c r="K71" s="1171"/>
      <c r="L71" s="1171"/>
      <c r="M71" s="1171"/>
      <c r="N71" s="1171"/>
      <c r="O71" s="1171"/>
      <c r="P71" s="1171"/>
      <c r="Q71" s="1171"/>
      <c r="R71" s="1171"/>
      <c r="S71" s="1171"/>
      <c r="T71" s="1171"/>
      <c r="U71" s="1171"/>
      <c r="V71" s="1171"/>
      <c r="W71" s="1171"/>
      <c r="X71" s="1171"/>
      <c r="Y71" s="1171"/>
      <c r="Z71" s="1171"/>
      <c r="AA71" s="1171"/>
      <c r="AB71" s="1171"/>
      <c r="AC71" s="1171"/>
      <c r="AD71" s="1171"/>
      <c r="AE71" s="1171"/>
      <c r="AF71" s="1171"/>
      <c r="AG71" s="1171"/>
      <c r="AH71" s="1171"/>
      <c r="AI71" s="1171"/>
      <c r="AJ71" s="1171"/>
      <c r="AK71" s="1171"/>
      <c r="AL71" s="1171"/>
      <c r="AM71" s="1171"/>
      <c r="AN71" s="1171"/>
      <c r="AO71" s="1171"/>
      <c r="AP71" s="1171"/>
      <c r="AQ71" s="1171"/>
      <c r="AR71" s="1171"/>
      <c r="AS71" s="1171"/>
      <c r="AT71" s="1171"/>
      <c r="AU71" s="1171"/>
      <c r="AV71" s="1171"/>
      <c r="AW71" s="1171"/>
      <c r="AX71" s="166"/>
      <c r="AY71" s="2405">
        <v>2007</v>
      </c>
      <c r="AZ71" s="2405"/>
      <c r="BA71" s="2405">
        <f>AY71+5</f>
        <v>2012</v>
      </c>
      <c r="BB71" s="2405">
        <f t="shared" ref="BB71:BI71" si="14">BA71+5</f>
        <v>2017</v>
      </c>
      <c r="BC71" s="2405">
        <f t="shared" si="14"/>
        <v>2022</v>
      </c>
      <c r="BD71" s="2405">
        <f t="shared" si="14"/>
        <v>2027</v>
      </c>
      <c r="BE71" s="2405">
        <f t="shared" si="14"/>
        <v>2032</v>
      </c>
      <c r="BF71" s="2405">
        <f t="shared" si="14"/>
        <v>2037</v>
      </c>
      <c r="BG71" s="2405">
        <f t="shared" si="14"/>
        <v>2042</v>
      </c>
      <c r="BH71" s="2405">
        <f t="shared" si="14"/>
        <v>2047</v>
      </c>
      <c r="BI71" s="2405">
        <f t="shared" si="14"/>
        <v>2052</v>
      </c>
      <c r="BJ71" s="1190"/>
      <c r="BK71" s="97"/>
    </row>
    <row r="72" spans="2:63" s="51" customFormat="1" ht="18">
      <c r="B72" s="1189"/>
      <c r="C72" s="60"/>
      <c r="D72" s="266" t="s">
        <v>768</v>
      </c>
      <c r="E72" s="166"/>
      <c r="F72" s="1176"/>
      <c r="G72" s="1176"/>
      <c r="H72" s="1171"/>
      <c r="I72" s="1171"/>
      <c r="J72" s="1171"/>
      <c r="K72" s="1171"/>
      <c r="L72" s="1171"/>
      <c r="M72" s="1171"/>
      <c r="N72" s="1171"/>
      <c r="O72" s="1171"/>
      <c r="P72" s="1171"/>
      <c r="Q72" s="1171"/>
      <c r="R72" s="1171"/>
      <c r="S72" s="1171"/>
      <c r="T72" s="1171"/>
      <c r="U72" s="1171"/>
      <c r="V72" s="1171"/>
      <c r="W72" s="1171"/>
      <c r="X72" s="1171"/>
      <c r="Y72" s="1171"/>
      <c r="Z72" s="1171"/>
      <c r="AA72" s="1171"/>
      <c r="AB72" s="1171"/>
      <c r="AC72" s="1171"/>
      <c r="AD72" s="1171"/>
      <c r="AE72" s="1171"/>
      <c r="AF72" s="1171"/>
      <c r="AG72" s="1171"/>
      <c r="AH72" s="1171"/>
      <c r="AI72" s="1171"/>
      <c r="AJ72" s="1171"/>
      <c r="AK72" s="1171"/>
      <c r="AL72" s="1171"/>
      <c r="AM72" s="1171"/>
      <c r="AN72" s="1171"/>
      <c r="AO72" s="1171"/>
      <c r="AP72" s="1171"/>
      <c r="AQ72" s="1171"/>
      <c r="AR72" s="1171"/>
      <c r="AS72" s="1171"/>
      <c r="AT72" s="1171"/>
      <c r="AU72" s="1171"/>
      <c r="AV72" s="1171"/>
      <c r="AW72" s="1171"/>
      <c r="AX72" s="166"/>
      <c r="AY72" s="2498">
        <f ca="1">'Intermediate output'!AY65</f>
        <v>0.13507952627584974</v>
      </c>
      <c r="AZ72" s="2498"/>
      <c r="BA72" s="2498">
        <f ca="1">'Intermediate output'!BA65</f>
        <v>0.16485930672602372</v>
      </c>
      <c r="BB72" s="2498">
        <f ca="1">'Intermediate output'!BB65</f>
        <v>0.30038380160452349</v>
      </c>
      <c r="BC72" s="2498">
        <f ca="1">'Intermediate output'!BC65</f>
        <v>0.46122158513957046</v>
      </c>
      <c r="BD72" s="2498">
        <f ca="1">'Intermediate output'!BD65</f>
        <v>0.58505685653728867</v>
      </c>
      <c r="BE72" s="2498">
        <f ca="1">'Intermediate output'!BE65</f>
        <v>0.69093361123828889</v>
      </c>
      <c r="BF72" s="2498">
        <f ca="1">'Intermediate output'!BF65</f>
        <v>0.74862270069949943</v>
      </c>
      <c r="BG72" s="2498">
        <f ca="1">'Intermediate output'!BG65</f>
        <v>0.82548120110721002</v>
      </c>
      <c r="BH72" s="2498">
        <f ca="1">'Intermediate output'!BH65</f>
        <v>0.87291357847041562</v>
      </c>
      <c r="BI72" s="2498">
        <f ca="1">'Intermediate output'!BI65</f>
        <v>0.90683193945501583</v>
      </c>
      <c r="BJ72" s="1190"/>
      <c r="BK72" s="97"/>
    </row>
    <row r="73" spans="2:63" s="51" customFormat="1" ht="18">
      <c r="B73" s="1189"/>
      <c r="C73" s="60"/>
      <c r="D73" s="266" t="s">
        <v>877</v>
      </c>
      <c r="E73" s="166"/>
      <c r="F73" s="1176"/>
      <c r="G73" s="1176"/>
      <c r="H73" s="1171"/>
      <c r="I73" s="1171"/>
      <c r="J73" s="1171"/>
      <c r="K73" s="1171"/>
      <c r="L73" s="1171"/>
      <c r="M73" s="1171"/>
      <c r="N73" s="1171"/>
      <c r="O73" s="1171"/>
      <c r="P73" s="1171"/>
      <c r="Q73" s="1171"/>
      <c r="R73" s="1171"/>
      <c r="S73" s="1171"/>
      <c r="T73" s="1171"/>
      <c r="U73" s="1171"/>
      <c r="V73" s="1171"/>
      <c r="W73" s="1171"/>
      <c r="X73" s="1171"/>
      <c r="Y73" s="1171"/>
      <c r="Z73" s="1171"/>
      <c r="AA73" s="1171"/>
      <c r="AB73" s="1171"/>
      <c r="AC73" s="1171"/>
      <c r="AD73" s="1171"/>
      <c r="AE73" s="1171"/>
      <c r="AF73" s="1171"/>
      <c r="AG73" s="1171"/>
      <c r="AH73" s="1171"/>
      <c r="AI73" s="1171"/>
      <c r="AJ73" s="1171"/>
      <c r="AK73" s="1171"/>
      <c r="AL73" s="1171"/>
      <c r="AM73" s="1171"/>
      <c r="AN73" s="1171"/>
      <c r="AO73" s="1171"/>
      <c r="AP73" s="1171"/>
      <c r="AQ73" s="1171"/>
      <c r="AR73" s="1171"/>
      <c r="AS73" s="1171"/>
      <c r="AT73" s="1171"/>
      <c r="AU73" s="1171"/>
      <c r="AV73" s="1171"/>
      <c r="AW73" s="1171"/>
      <c r="AX73" s="166"/>
      <c r="AY73" s="2498">
        <f ca="1">'Intermediate output'!AY66</f>
        <v>0.7548840026793262</v>
      </c>
      <c r="AZ73" s="2498"/>
      <c r="BA73" s="2498">
        <f ca="1">'Intermediate output'!BA66</f>
        <v>0.76801844856785839</v>
      </c>
      <c r="BB73" s="2498">
        <f ca="1">'Intermediate output'!BB66</f>
        <v>0.81384388492225168</v>
      </c>
      <c r="BC73" s="2498">
        <f ca="1">'Intermediate output'!BC66</f>
        <v>0.88245797397316117</v>
      </c>
      <c r="BD73" s="2498">
        <f ca="1">'Intermediate output'!BD66</f>
        <v>0.9102173710055752</v>
      </c>
      <c r="BE73" s="2498">
        <f ca="1">'Intermediate output'!BE66</f>
        <v>0.92973992657010773</v>
      </c>
      <c r="BF73" s="2498">
        <f ca="1">'Intermediate output'!BF66</f>
        <v>0.9434642844335549</v>
      </c>
      <c r="BG73" s="2498">
        <f ca="1">'Intermediate output'!BG66</f>
        <v>0.95279461204771887</v>
      </c>
      <c r="BH73" s="2498">
        <f ca="1">'Intermediate output'!BH66</f>
        <v>0.96013780817215177</v>
      </c>
      <c r="BI73" s="2498">
        <f ca="1">'Intermediate output'!BI66</f>
        <v>0.96576894692905224</v>
      </c>
      <c r="BJ73" s="1190"/>
      <c r="BK73" s="2556">
        <f>34/124</f>
        <v>0.27419354838709675</v>
      </c>
    </row>
    <row r="74" spans="2:63" s="51" customFormat="1" ht="18">
      <c r="B74" s="1189"/>
      <c r="C74" s="60"/>
      <c r="D74" s="266" t="s">
        <v>876</v>
      </c>
      <c r="E74" s="166"/>
      <c r="F74" s="1176"/>
      <c r="G74" s="1176"/>
      <c r="H74" s="1171"/>
      <c r="I74" s="1171"/>
      <c r="J74" s="1171"/>
      <c r="K74" s="1171"/>
      <c r="L74" s="1171"/>
      <c r="M74" s="1171"/>
      <c r="N74" s="1171"/>
      <c r="O74" s="1171"/>
      <c r="P74" s="1171"/>
      <c r="Q74" s="1171"/>
      <c r="R74" s="1171"/>
      <c r="S74" s="1171"/>
      <c r="T74" s="1171"/>
      <c r="U74" s="1171"/>
      <c r="V74" s="1171"/>
      <c r="W74" s="1171"/>
      <c r="X74" s="1171"/>
      <c r="Y74" s="1171"/>
      <c r="Z74" s="1171"/>
      <c r="AA74" s="1171"/>
      <c r="AB74" s="1171"/>
      <c r="AC74" s="1171"/>
      <c r="AD74" s="1171"/>
      <c r="AE74" s="1171"/>
      <c r="AF74" s="1171"/>
      <c r="AG74" s="1171"/>
      <c r="AH74" s="1171"/>
      <c r="AI74" s="1171"/>
      <c r="AJ74" s="1171"/>
      <c r="AK74" s="1171"/>
      <c r="AL74" s="1171"/>
      <c r="AM74" s="1171"/>
      <c r="AN74" s="1171"/>
      <c r="AO74" s="1171"/>
      <c r="AP74" s="1171"/>
      <c r="AQ74" s="1171"/>
      <c r="AR74" s="1171"/>
      <c r="AS74" s="1171"/>
      <c r="AT74" s="1171"/>
      <c r="AU74" s="1171"/>
      <c r="AV74" s="1171"/>
      <c r="AW74" s="1171"/>
      <c r="AX74" s="166"/>
      <c r="AY74" s="2498">
        <f ca="1">'Intermediate output'!AY67</f>
        <v>0.38380841620981121</v>
      </c>
      <c r="AZ74" s="2498"/>
      <c r="BA74" s="2498">
        <f ca="1">'Intermediate output'!BA67</f>
        <v>0.26119364634362074</v>
      </c>
      <c r="BB74" s="2498">
        <f ca="1">'Intermediate output'!BB67</f>
        <v>0.46866472811271864</v>
      </c>
      <c r="BC74" s="2498">
        <f ca="1">'Intermediate output'!BC67</f>
        <v>0.51428530855442001</v>
      </c>
      <c r="BD74" s="2498">
        <f ca="1">'Intermediate output'!BD67</f>
        <v>0.55098845581071276</v>
      </c>
      <c r="BE74" s="2498">
        <f ca="1">'Intermediate output'!BE67</f>
        <v>0.57919315329283294</v>
      </c>
      <c r="BF74" s="2498">
        <f ca="1">'Intermediate output'!BF67</f>
        <v>0.61587715650918029</v>
      </c>
      <c r="BG74" s="2498">
        <f ca="1">'Intermediate output'!BG67</f>
        <v>0.64677620066441044</v>
      </c>
      <c r="BH74" s="2498">
        <f ca="1">'Intermediate output'!BH67</f>
        <v>0.67223126154277801</v>
      </c>
      <c r="BI74" s="2498">
        <f ca="1">'Intermediate output'!BI67</f>
        <v>0.70058784339200642</v>
      </c>
      <c r="BJ74" s="1190"/>
      <c r="BK74" s="97"/>
    </row>
    <row r="75" spans="2:63" s="51" customFormat="1" ht="18">
      <c r="B75" s="1189"/>
      <c r="C75" s="60"/>
      <c r="D75" s="266" t="s">
        <v>2057</v>
      </c>
      <c r="E75" s="166"/>
      <c r="F75" s="1176"/>
      <c r="G75" s="1176"/>
      <c r="H75" s="1171"/>
      <c r="I75" s="1171"/>
      <c r="J75" s="1171"/>
      <c r="K75" s="1171"/>
      <c r="L75" s="1171"/>
      <c r="M75" s="1171"/>
      <c r="N75" s="1171"/>
      <c r="O75" s="1171"/>
      <c r="P75" s="1171"/>
      <c r="Q75" s="1171"/>
      <c r="R75" s="1171"/>
      <c r="S75" s="1171"/>
      <c r="T75" s="1171"/>
      <c r="U75" s="1171"/>
      <c r="V75" s="1171"/>
      <c r="W75" s="1171"/>
      <c r="X75" s="1171"/>
      <c r="Y75" s="1171"/>
      <c r="Z75" s="1171"/>
      <c r="AA75" s="1171"/>
      <c r="AB75" s="1171"/>
      <c r="AC75" s="1171"/>
      <c r="AD75" s="1171"/>
      <c r="AE75" s="1171"/>
      <c r="AF75" s="1171"/>
      <c r="AG75" s="1171"/>
      <c r="AH75" s="1171"/>
      <c r="AI75" s="1171"/>
      <c r="AJ75" s="1171"/>
      <c r="AK75" s="1171"/>
      <c r="AL75" s="1171"/>
      <c r="AM75" s="1171"/>
      <c r="AN75" s="1171"/>
      <c r="AO75" s="1171"/>
      <c r="AP75" s="1171"/>
      <c r="AQ75" s="1171"/>
      <c r="AR75" s="1171"/>
      <c r="AS75" s="1171"/>
      <c r="AT75" s="1171"/>
      <c r="AU75" s="1171"/>
      <c r="AV75" s="1171"/>
      <c r="AW75" s="1171"/>
      <c r="AX75" s="166"/>
      <c r="AY75" s="2498">
        <f ca="1">'Intermediate output'!AY68</f>
        <v>0.30694137298932872</v>
      </c>
      <c r="AZ75" s="2498"/>
      <c r="BA75" s="2498">
        <f ca="1">'Intermediate output'!BA68</f>
        <v>0.30896872038307943</v>
      </c>
      <c r="BB75" s="2498">
        <f ca="1">'Intermediate output'!BB68</f>
        <v>0.41280262195996537</v>
      </c>
      <c r="BC75" s="2498">
        <f ca="1">'Intermediate output'!BC68</f>
        <v>0.52756384593140027</v>
      </c>
      <c r="BD75" s="2498">
        <f ca="1">'Intermediate output'!BD68</f>
        <v>0.61665991241300089</v>
      </c>
      <c r="BE75" s="2498">
        <f ca="1">'Intermediate output'!BE68</f>
        <v>0.69526596174704458</v>
      </c>
      <c r="BF75" s="2498">
        <f ca="1">'Intermediate output'!BF68</f>
        <v>0.74533166634231784</v>
      </c>
      <c r="BG75" s="2498">
        <f ca="1">'Intermediate output'!BG68</f>
        <v>0.80424450756455557</v>
      </c>
      <c r="BH75" s="2498">
        <f ca="1">'Intermediate output'!BH68</f>
        <v>0.84384086837418315</v>
      </c>
      <c r="BI75" s="2498">
        <f ca="1">'Intermediate output'!BI68</f>
        <v>0.87393085626223332</v>
      </c>
      <c r="BJ75" s="1190"/>
      <c r="BK75" s="97"/>
    </row>
    <row r="76" spans="2:63" s="51" customFormat="1" ht="18">
      <c r="B76" s="1189"/>
      <c r="C76" s="60"/>
      <c r="D76" s="266"/>
      <c r="E76" s="166"/>
      <c r="F76" s="1176"/>
      <c r="G76" s="1176"/>
      <c r="H76" s="1171"/>
      <c r="I76" s="1171"/>
      <c r="J76" s="1171"/>
      <c r="K76" s="1171"/>
      <c r="L76" s="1171"/>
      <c r="M76" s="1171"/>
      <c r="N76" s="1171"/>
      <c r="O76" s="1171"/>
      <c r="P76" s="1171"/>
      <c r="Q76" s="1171"/>
      <c r="R76" s="1171"/>
      <c r="S76" s="1171"/>
      <c r="T76" s="1171"/>
      <c r="U76" s="1171"/>
      <c r="V76" s="1171"/>
      <c r="W76" s="1171"/>
      <c r="X76" s="1171"/>
      <c r="Y76" s="1171"/>
      <c r="Z76" s="1171"/>
      <c r="AA76" s="1171"/>
      <c r="AB76" s="1171"/>
      <c r="AC76" s="1171"/>
      <c r="AD76" s="1171"/>
      <c r="AE76" s="1171"/>
      <c r="AF76" s="1171"/>
      <c r="AG76" s="1171"/>
      <c r="AH76" s="1171"/>
      <c r="AI76" s="1171"/>
      <c r="AJ76" s="1171"/>
      <c r="AK76" s="1171"/>
      <c r="AL76" s="1171"/>
      <c r="AM76" s="1171"/>
      <c r="AN76" s="1171"/>
      <c r="AO76" s="1171"/>
      <c r="AP76" s="1171"/>
      <c r="AQ76" s="1171"/>
      <c r="AR76" s="1171"/>
      <c r="AS76" s="1171"/>
      <c r="AT76" s="1171"/>
      <c r="AU76" s="1171"/>
      <c r="AV76" s="1171"/>
      <c r="AW76" s="1171"/>
      <c r="AX76" s="166"/>
      <c r="AY76" s="1176"/>
      <c r="AZ76" s="1176"/>
      <c r="BA76" s="1176"/>
      <c r="BB76" s="1176"/>
      <c r="BC76" s="1176"/>
      <c r="BD76" s="1176"/>
      <c r="BE76" s="1176"/>
      <c r="BF76" s="1176"/>
      <c r="BG76" s="1176"/>
      <c r="BH76" s="1176"/>
      <c r="BI76" s="1176"/>
      <c r="BJ76" s="1190"/>
      <c r="BK76" s="97"/>
    </row>
    <row r="77" spans="2:63" ht="18">
      <c r="B77" s="1189"/>
      <c r="C77" s="166"/>
      <c r="D77" s="166"/>
      <c r="E77" s="166"/>
      <c r="F77" s="166"/>
      <c r="G77" s="166"/>
      <c r="H77" s="1156"/>
      <c r="I77" s="1156"/>
      <c r="J77" s="1156"/>
      <c r="K77" s="1156"/>
      <c r="L77" s="1156"/>
      <c r="M77" s="1156"/>
      <c r="N77" s="1156"/>
      <c r="O77" s="1156"/>
      <c r="P77" s="1156"/>
      <c r="Q77" s="1156"/>
      <c r="R77" s="1156"/>
      <c r="S77" s="1156"/>
      <c r="T77" s="1156"/>
      <c r="U77" s="1156"/>
      <c r="V77" s="1156"/>
      <c r="W77" s="1156"/>
      <c r="X77" s="1156"/>
      <c r="Y77" s="1156"/>
      <c r="Z77" s="1156"/>
      <c r="AA77" s="1156"/>
      <c r="AB77" s="1156"/>
      <c r="AC77" s="1156"/>
      <c r="AD77" s="1156"/>
      <c r="AE77" s="1156"/>
      <c r="AF77" s="1156"/>
      <c r="AG77" s="1156"/>
      <c r="AH77" s="1156"/>
      <c r="AI77" s="1156"/>
      <c r="AJ77" s="1156"/>
      <c r="AK77" s="1156"/>
      <c r="AL77" s="1156"/>
      <c r="AM77" s="1156"/>
      <c r="AN77" s="1156"/>
      <c r="AO77" s="1156"/>
      <c r="AP77" s="1156"/>
      <c r="AQ77" s="1156"/>
      <c r="AR77" s="1156"/>
      <c r="AS77" s="1156"/>
      <c r="AT77" s="1156"/>
      <c r="AU77" s="1156"/>
      <c r="AV77" s="1156"/>
      <c r="AW77" s="1156"/>
      <c r="AX77" s="166"/>
      <c r="AY77" s="1168"/>
      <c r="AZ77" s="1168"/>
      <c r="BA77" s="1168"/>
      <c r="BB77" s="1168"/>
      <c r="BC77" s="1168"/>
      <c r="BD77" s="1168"/>
      <c r="BE77" s="1168"/>
      <c r="BF77" s="1168"/>
      <c r="BG77" s="1168"/>
      <c r="BH77" s="1168"/>
      <c r="BI77" s="1168"/>
      <c r="BJ77" s="1169"/>
      <c r="BK77" s="22"/>
    </row>
    <row r="78" spans="2:63" ht="18">
      <c r="B78" s="1189"/>
      <c r="C78" s="1179" t="s">
        <v>1141</v>
      </c>
      <c r="D78" s="166"/>
      <c r="E78" s="166"/>
      <c r="F78" s="166"/>
      <c r="G78" s="166"/>
      <c r="H78" s="1156"/>
      <c r="I78" s="1156"/>
      <c r="J78" s="1156"/>
      <c r="K78" s="1156"/>
      <c r="L78" s="1156"/>
      <c r="M78" s="1156"/>
      <c r="N78" s="1156"/>
      <c r="O78" s="1156"/>
      <c r="P78" s="1156"/>
      <c r="Q78" s="1156"/>
      <c r="R78" s="1156"/>
      <c r="S78" s="1156"/>
      <c r="T78" s="1156"/>
      <c r="U78" s="1156"/>
      <c r="V78" s="1156"/>
      <c r="W78" s="1156"/>
      <c r="X78" s="1156"/>
      <c r="Y78" s="1156"/>
      <c r="Z78" s="1156"/>
      <c r="AA78" s="1156"/>
      <c r="AB78" s="1156"/>
      <c r="AC78" s="1156"/>
      <c r="AD78" s="1156"/>
      <c r="AE78" s="1156"/>
      <c r="AF78" s="1156"/>
      <c r="AG78" s="1156"/>
      <c r="AH78" s="1156"/>
      <c r="AI78" s="1156"/>
      <c r="AJ78" s="1156"/>
      <c r="AK78" s="1156"/>
      <c r="AL78" s="1156"/>
      <c r="AM78" s="1156"/>
      <c r="AN78" s="1156"/>
      <c r="AO78" s="1156"/>
      <c r="AP78" s="1156"/>
      <c r="AQ78" s="1156"/>
      <c r="AR78" s="1156"/>
      <c r="AS78" s="1156"/>
      <c r="AT78" s="1156"/>
      <c r="AU78" s="1156"/>
      <c r="AV78" s="1156"/>
      <c r="AW78" s="1156"/>
      <c r="AX78" s="166"/>
      <c r="AY78" s="1168"/>
      <c r="AZ78" s="1168"/>
      <c r="BA78" s="1168"/>
      <c r="BB78" s="1168"/>
      <c r="BC78" s="1168"/>
      <c r="BD78" s="1168"/>
      <c r="BE78" s="1168"/>
      <c r="BF78" s="1168"/>
      <c r="BG78" s="1168"/>
      <c r="BH78" s="1168"/>
      <c r="BI78" s="1168"/>
      <c r="BJ78" s="1169"/>
      <c r="BK78" s="22"/>
    </row>
    <row r="79" spans="2:63">
      <c r="B79" s="164"/>
      <c r="C79" s="166"/>
      <c r="D79" s="166"/>
      <c r="E79" s="166"/>
      <c r="F79" s="166"/>
      <c r="G79" s="166"/>
      <c r="H79" s="1156"/>
      <c r="I79" s="1156"/>
      <c r="J79" s="1156"/>
      <c r="K79" s="1156"/>
      <c r="L79" s="1156"/>
      <c r="M79" s="1156"/>
      <c r="N79" s="1156"/>
      <c r="O79" s="1156"/>
      <c r="P79" s="1156"/>
      <c r="Q79" s="1156"/>
      <c r="R79" s="1156"/>
      <c r="S79" s="1156"/>
      <c r="T79" s="1156"/>
      <c r="U79" s="1156"/>
      <c r="V79" s="1156"/>
      <c r="W79" s="1156"/>
      <c r="X79" s="1156"/>
      <c r="Y79" s="1156"/>
      <c r="Z79" s="1156"/>
      <c r="AA79" s="1156"/>
      <c r="AB79" s="1156"/>
      <c r="AC79" s="1156"/>
      <c r="AD79" s="1156"/>
      <c r="AE79" s="1156"/>
      <c r="AF79" s="1156"/>
      <c r="AG79" s="1156"/>
      <c r="AH79" s="1156"/>
      <c r="AI79" s="1156"/>
      <c r="AJ79" s="1156"/>
      <c r="AK79" s="1156"/>
      <c r="AL79" s="1156"/>
      <c r="AM79" s="1156"/>
      <c r="AN79" s="1156"/>
      <c r="AO79" s="1156"/>
      <c r="AP79" s="1156"/>
      <c r="AQ79" s="1156"/>
      <c r="AR79" s="1156"/>
      <c r="AS79" s="1156"/>
      <c r="AT79" s="1156"/>
      <c r="AU79" s="1156"/>
      <c r="AV79" s="1156"/>
      <c r="AW79" s="1156"/>
      <c r="AX79" s="166"/>
      <c r="AY79" s="1168"/>
      <c r="AZ79" s="1168"/>
      <c r="BA79" s="1168"/>
      <c r="BB79" s="1168"/>
      <c r="BC79" s="1168"/>
      <c r="BD79" s="1168"/>
      <c r="BE79" s="1168"/>
      <c r="BF79" s="1168"/>
      <c r="BG79" s="1168"/>
      <c r="BH79" s="1168"/>
      <c r="BI79" s="1168"/>
      <c r="BJ79" s="1169"/>
      <c r="BK79" s="1020"/>
    </row>
    <row r="80" spans="2:63">
      <c r="B80" s="164"/>
      <c r="C80" s="1170" t="s">
        <v>51</v>
      </c>
      <c r="D80" s="166" t="str">
        <f>INDEX(Vectors[Description],MATCH($C80,Vectors[Code],0))</f>
        <v>Coal indigenous production</v>
      </c>
      <c r="E80" s="166"/>
      <c r="F80" s="267"/>
      <c r="G80" s="267"/>
      <c r="H80" s="1165"/>
      <c r="I80" s="1165"/>
      <c r="J80" s="1165"/>
      <c r="K80" s="1165"/>
      <c r="L80" s="1165"/>
      <c r="M80" s="1165"/>
      <c r="N80" s="1165"/>
      <c r="O80" s="1165"/>
      <c r="P80" s="1165"/>
      <c r="Q80" s="1165"/>
      <c r="R80" s="1165"/>
      <c r="S80" s="1165"/>
      <c r="T80" s="1165"/>
      <c r="U80" s="1165"/>
      <c r="V80" s="1165"/>
      <c r="W80" s="1165"/>
      <c r="X80" s="1165"/>
      <c r="Y80" s="1165"/>
      <c r="Z80" s="1165"/>
      <c r="AA80" s="1165"/>
      <c r="AB80" s="1165"/>
      <c r="AC80" s="1165"/>
      <c r="AD80" s="1165"/>
      <c r="AE80" s="1165"/>
      <c r="AF80" s="1165"/>
      <c r="AG80" s="1165"/>
      <c r="AH80" s="1165"/>
      <c r="AI80" s="1165"/>
      <c r="AJ80" s="1165"/>
      <c r="AK80" s="1165"/>
      <c r="AL80" s="1165"/>
      <c r="AM80" s="1165"/>
      <c r="AN80" s="1165"/>
      <c r="AO80" s="1165"/>
      <c r="AP80" s="1165"/>
      <c r="AQ80" s="1165"/>
      <c r="AR80" s="1165"/>
      <c r="AS80" s="1165"/>
      <c r="AT80" s="1165"/>
      <c r="AU80" s="1165"/>
      <c r="AV80" s="1165"/>
      <c r="AW80" s="1165"/>
      <c r="AX80" s="166"/>
      <c r="AY80" s="1168">
        <f ca="1">'Intermediate output'!AY75</f>
        <v>0</v>
      </c>
      <c r="AZ80" s="1168">
        <f>'Intermediate output'!AZ75</f>
        <v>0</v>
      </c>
      <c r="BA80" s="1168">
        <f ca="1">'Intermediate output'!BA75</f>
        <v>0</v>
      </c>
      <c r="BB80" s="1168">
        <f ca="1">'Intermediate output'!BB75</f>
        <v>0</v>
      </c>
      <c r="BC80" s="1168">
        <f ca="1">'Intermediate output'!BC75</f>
        <v>0</v>
      </c>
      <c r="BD80" s="1168">
        <f ca="1">'Intermediate output'!BD75</f>
        <v>0</v>
      </c>
      <c r="BE80" s="1168">
        <f ca="1">'Intermediate output'!BE75</f>
        <v>0</v>
      </c>
      <c r="BF80" s="1168">
        <f ca="1">'Intermediate output'!BF75</f>
        <v>0</v>
      </c>
      <c r="BG80" s="1168">
        <f ca="1">'Intermediate output'!BG75</f>
        <v>0</v>
      </c>
      <c r="BH80" s="1168">
        <f ca="1">'Intermediate output'!BH75</f>
        <v>0</v>
      </c>
      <c r="BI80" s="1168">
        <f ca="1">'Intermediate output'!BI75</f>
        <v>0</v>
      </c>
      <c r="BJ80" s="1169"/>
      <c r="BK80" s="1020"/>
    </row>
    <row r="81" spans="2:63">
      <c r="B81" s="164"/>
      <c r="C81" s="1170" t="s">
        <v>52</v>
      </c>
      <c r="D81" s="166" t="str">
        <f>INDEX(Vectors[Description],MATCH($C81,Vectors[Code],0))</f>
        <v>Oil and petroleum products</v>
      </c>
      <c r="E81" s="166"/>
      <c r="F81" s="267"/>
      <c r="G81" s="267"/>
      <c r="H81" s="1165"/>
      <c r="I81" s="1165"/>
      <c r="J81" s="1165"/>
      <c r="K81" s="1165"/>
      <c r="L81" s="1165"/>
      <c r="M81" s="1165"/>
      <c r="N81" s="1165"/>
      <c r="O81" s="1165"/>
      <c r="P81" s="1165"/>
      <c r="Q81" s="1165"/>
      <c r="R81" s="1165"/>
      <c r="S81" s="1165"/>
      <c r="T81" s="1165"/>
      <c r="U81" s="1165"/>
      <c r="V81" s="1165"/>
      <c r="W81" s="1165"/>
      <c r="X81" s="1165"/>
      <c r="Y81" s="1165"/>
      <c r="Z81" s="1165"/>
      <c r="AA81" s="1165"/>
      <c r="AB81" s="1165"/>
      <c r="AC81" s="1165"/>
      <c r="AD81" s="1165"/>
      <c r="AE81" s="1165"/>
      <c r="AF81" s="1165"/>
      <c r="AG81" s="1165"/>
      <c r="AH81" s="1165"/>
      <c r="AI81" s="1165"/>
      <c r="AJ81" s="1165"/>
      <c r="AK81" s="1165"/>
      <c r="AL81" s="1165"/>
      <c r="AM81" s="1165"/>
      <c r="AN81" s="1165"/>
      <c r="AO81" s="1165"/>
      <c r="AP81" s="1165"/>
      <c r="AQ81" s="1165"/>
      <c r="AR81" s="1165"/>
      <c r="AS81" s="1165"/>
      <c r="AT81" s="1165"/>
      <c r="AU81" s="1165"/>
      <c r="AV81" s="1165"/>
      <c r="AW81" s="1165"/>
      <c r="AX81" s="166"/>
      <c r="AY81" s="1168">
        <f ca="1">'Intermediate output'!AY76</f>
        <v>0</v>
      </c>
      <c r="AZ81" s="1168">
        <f>'Intermediate output'!AZ76</f>
        <v>0</v>
      </c>
      <c r="BA81" s="1168">
        <f ca="1">'Intermediate output'!BA76</f>
        <v>0</v>
      </c>
      <c r="BB81" s="1168">
        <f ca="1">'Intermediate output'!BB76</f>
        <v>0</v>
      </c>
      <c r="BC81" s="1168">
        <f ca="1">'Intermediate output'!BC76</f>
        <v>0</v>
      </c>
      <c r="BD81" s="1168">
        <f ca="1">'Intermediate output'!BD76</f>
        <v>0</v>
      </c>
      <c r="BE81" s="1168">
        <f ca="1">'Intermediate output'!BE76</f>
        <v>0</v>
      </c>
      <c r="BF81" s="1168">
        <f ca="1">'Intermediate output'!BF76</f>
        <v>0</v>
      </c>
      <c r="BG81" s="1168">
        <f ca="1">'Intermediate output'!BG76</f>
        <v>0</v>
      </c>
      <c r="BH81" s="1168">
        <f ca="1">'Intermediate output'!BH76</f>
        <v>5.6843418860808015E-13</v>
      </c>
      <c r="BI81" s="1168">
        <f ca="1">'Intermediate output'!BI76</f>
        <v>-7.9580786405131221E-13</v>
      </c>
      <c r="BJ81" s="1169"/>
      <c r="BK81" s="1020"/>
    </row>
    <row r="82" spans="2:63">
      <c r="B82" s="164"/>
      <c r="C82" s="1170" t="s">
        <v>53</v>
      </c>
      <c r="D82" s="166" t="str">
        <f>INDEX(Vectors[Description],MATCH($C82,Vectors[Code],0))</f>
        <v>Natural gas</v>
      </c>
      <c r="E82" s="166"/>
      <c r="F82" s="267"/>
      <c r="G82" s="267"/>
      <c r="H82" s="1165"/>
      <c r="I82" s="1165"/>
      <c r="J82" s="1165"/>
      <c r="K82" s="1165"/>
      <c r="L82" s="1165"/>
      <c r="M82" s="1165"/>
      <c r="N82" s="1165"/>
      <c r="O82" s="1165"/>
      <c r="P82" s="1165"/>
      <c r="Q82" s="1165"/>
      <c r="R82" s="1165"/>
      <c r="S82" s="1165"/>
      <c r="T82" s="1165"/>
      <c r="U82" s="1165"/>
      <c r="V82" s="1165"/>
      <c r="W82" s="1165"/>
      <c r="X82" s="1165"/>
      <c r="Y82" s="1165"/>
      <c r="Z82" s="1165"/>
      <c r="AA82" s="1165"/>
      <c r="AB82" s="1165"/>
      <c r="AC82" s="1165"/>
      <c r="AD82" s="1165"/>
      <c r="AE82" s="1165"/>
      <c r="AF82" s="1165"/>
      <c r="AG82" s="1165"/>
      <c r="AH82" s="1165"/>
      <c r="AI82" s="1165"/>
      <c r="AJ82" s="1165"/>
      <c r="AK82" s="1165"/>
      <c r="AL82" s="1165"/>
      <c r="AM82" s="1165"/>
      <c r="AN82" s="1165"/>
      <c r="AO82" s="1165"/>
      <c r="AP82" s="1165"/>
      <c r="AQ82" s="1165"/>
      <c r="AR82" s="1165"/>
      <c r="AS82" s="1165"/>
      <c r="AT82" s="1165"/>
      <c r="AU82" s="1165"/>
      <c r="AV82" s="1165"/>
      <c r="AW82" s="1165"/>
      <c r="AX82" s="166"/>
      <c r="AY82" s="1168">
        <f ca="1">'Intermediate output'!AY77</f>
        <v>0</v>
      </c>
      <c r="AZ82" s="1168">
        <f>'Intermediate output'!AZ77</f>
        <v>0</v>
      </c>
      <c r="BA82" s="1168">
        <f ca="1">'Intermediate output'!BA77</f>
        <v>0</v>
      </c>
      <c r="BB82" s="1168">
        <f ca="1">'Intermediate output'!BB77</f>
        <v>0</v>
      </c>
      <c r="BC82" s="1168">
        <f ca="1">'Intermediate output'!BC77</f>
        <v>0</v>
      </c>
      <c r="BD82" s="1168">
        <f ca="1">'Intermediate output'!BD77</f>
        <v>0</v>
      </c>
      <c r="BE82" s="1168">
        <f ca="1">'Intermediate output'!BE77</f>
        <v>0</v>
      </c>
      <c r="BF82" s="1168">
        <f ca="1">'Intermediate output'!BF77</f>
        <v>0</v>
      </c>
      <c r="BG82" s="1168">
        <f ca="1">'Intermediate output'!BG77</f>
        <v>0</v>
      </c>
      <c r="BH82" s="1168">
        <f ca="1">'Intermediate output'!BH77</f>
        <v>0</v>
      </c>
      <c r="BI82" s="1168">
        <f ca="1">'Intermediate output'!BI77</f>
        <v>0</v>
      </c>
      <c r="BJ82" s="1169"/>
      <c r="BK82" s="1020"/>
    </row>
    <row r="83" spans="2:63">
      <c r="B83" s="164"/>
      <c r="C83" s="1170" t="s">
        <v>36</v>
      </c>
      <c r="D83" s="166" t="str">
        <f>INDEX(Vectors[Description],MATCH($C83,Vectors[Code],0))</f>
        <v>Solid hydrocarbons</v>
      </c>
      <c r="E83" s="166"/>
      <c r="F83" s="267"/>
      <c r="G83" s="267"/>
      <c r="H83" s="1165"/>
      <c r="I83" s="1165"/>
      <c r="J83" s="1165"/>
      <c r="K83" s="1165"/>
      <c r="L83" s="1165"/>
      <c r="M83" s="1165"/>
      <c r="N83" s="1165"/>
      <c r="O83" s="1165"/>
      <c r="P83" s="1165"/>
      <c r="Q83" s="1165"/>
      <c r="R83" s="1165"/>
      <c r="S83" s="1165"/>
      <c r="T83" s="1165"/>
      <c r="U83" s="1165"/>
      <c r="V83" s="1165"/>
      <c r="W83" s="1165"/>
      <c r="X83" s="1165"/>
      <c r="Y83" s="1165"/>
      <c r="Z83" s="1165"/>
      <c r="AA83" s="1165"/>
      <c r="AB83" s="1165"/>
      <c r="AC83" s="1165"/>
      <c r="AD83" s="1165"/>
      <c r="AE83" s="1165"/>
      <c r="AF83" s="1165"/>
      <c r="AG83" s="1165"/>
      <c r="AH83" s="1165"/>
      <c r="AI83" s="1165"/>
      <c r="AJ83" s="1165"/>
      <c r="AK83" s="1165"/>
      <c r="AL83" s="1165"/>
      <c r="AM83" s="1165"/>
      <c r="AN83" s="1165"/>
      <c r="AO83" s="1165"/>
      <c r="AP83" s="1165"/>
      <c r="AQ83" s="1165"/>
      <c r="AR83" s="1165"/>
      <c r="AS83" s="1165"/>
      <c r="AT83" s="1165"/>
      <c r="AU83" s="1165"/>
      <c r="AV83" s="1165"/>
      <c r="AW83" s="1165"/>
      <c r="AX83" s="166"/>
      <c r="AY83" s="1168">
        <f ca="1">'Intermediate output'!AY78</f>
        <v>0</v>
      </c>
      <c r="AZ83" s="1168">
        <f>'Intermediate output'!AZ78</f>
        <v>0</v>
      </c>
      <c r="BA83" s="1168">
        <f ca="1">'Intermediate output'!BA78</f>
        <v>0</v>
      </c>
      <c r="BB83" s="1168">
        <f ca="1">'Intermediate output'!BB78</f>
        <v>0</v>
      </c>
      <c r="BC83" s="1168">
        <f ca="1">'Intermediate output'!BC78</f>
        <v>0</v>
      </c>
      <c r="BD83" s="1168">
        <f ca="1">'Intermediate output'!BD78</f>
        <v>0</v>
      </c>
      <c r="BE83" s="1168">
        <f ca="1">'Intermediate output'!BE78</f>
        <v>0</v>
      </c>
      <c r="BF83" s="1168">
        <f ca="1">'Intermediate output'!BF78</f>
        <v>0</v>
      </c>
      <c r="BG83" s="1168">
        <f ca="1">'Intermediate output'!BG78</f>
        <v>0</v>
      </c>
      <c r="BH83" s="1168">
        <f ca="1">'Intermediate output'!BH78</f>
        <v>0</v>
      </c>
      <c r="BI83" s="1168">
        <f ca="1">'Intermediate output'!BI78</f>
        <v>0</v>
      </c>
      <c r="BJ83" s="1169"/>
      <c r="BK83" s="1020"/>
    </row>
    <row r="84" spans="2:63">
      <c r="B84" s="164"/>
      <c r="C84" s="1170" t="s">
        <v>38</v>
      </c>
      <c r="D84" s="166" t="str">
        <f>INDEX(Vectors[Description],MATCH($C84,Vectors[Code],0))</f>
        <v>Liquid hydrocarbons</v>
      </c>
      <c r="E84" s="166"/>
      <c r="F84" s="267"/>
      <c r="G84" s="267"/>
      <c r="H84" s="1165"/>
      <c r="I84" s="1165"/>
      <c r="J84" s="1165"/>
      <c r="K84" s="1165"/>
      <c r="L84" s="1165"/>
      <c r="M84" s="1165"/>
      <c r="N84" s="1165"/>
      <c r="O84" s="1165"/>
      <c r="P84" s="1165"/>
      <c r="Q84" s="1165"/>
      <c r="R84" s="1165"/>
      <c r="S84" s="1165"/>
      <c r="T84" s="1165"/>
      <c r="U84" s="1165"/>
      <c r="V84" s="1165"/>
      <c r="W84" s="1165"/>
      <c r="X84" s="1165"/>
      <c r="Y84" s="1165"/>
      <c r="Z84" s="1165"/>
      <c r="AA84" s="1165"/>
      <c r="AB84" s="1165"/>
      <c r="AC84" s="1165"/>
      <c r="AD84" s="1165"/>
      <c r="AE84" s="1165"/>
      <c r="AF84" s="1165"/>
      <c r="AG84" s="1165"/>
      <c r="AH84" s="1165"/>
      <c r="AI84" s="1165"/>
      <c r="AJ84" s="1165"/>
      <c r="AK84" s="1165"/>
      <c r="AL84" s="1165"/>
      <c r="AM84" s="1165"/>
      <c r="AN84" s="1165"/>
      <c r="AO84" s="1165"/>
      <c r="AP84" s="1165"/>
      <c r="AQ84" s="1165"/>
      <c r="AR84" s="1165"/>
      <c r="AS84" s="1165"/>
      <c r="AT84" s="1165"/>
      <c r="AU84" s="1165"/>
      <c r="AV84" s="1165"/>
      <c r="AW84" s="1165"/>
      <c r="AX84" s="166"/>
      <c r="AY84" s="1168">
        <f ca="1">'Intermediate output'!AY79</f>
        <v>0</v>
      </c>
      <c r="AZ84" s="1168">
        <f>'Intermediate output'!AZ79</f>
        <v>0</v>
      </c>
      <c r="BA84" s="1168">
        <f ca="1">'Intermediate output'!BA79</f>
        <v>0</v>
      </c>
      <c r="BB84" s="1168">
        <f ca="1">'Intermediate output'!BB79</f>
        <v>0</v>
      </c>
      <c r="BC84" s="1168">
        <f ca="1">'Intermediate output'!BC79</f>
        <v>0</v>
      </c>
      <c r="BD84" s="1168">
        <f ca="1">'Intermediate output'!BD79</f>
        <v>0</v>
      </c>
      <c r="BE84" s="1168">
        <f ca="1">'Intermediate output'!BE79</f>
        <v>0</v>
      </c>
      <c r="BF84" s="1168">
        <f ca="1">'Intermediate output'!BF79</f>
        <v>0</v>
      </c>
      <c r="BG84" s="1168">
        <f ca="1">'Intermediate output'!BG79</f>
        <v>0</v>
      </c>
      <c r="BH84" s="1168">
        <f ca="1">'Intermediate output'!BH79</f>
        <v>0</v>
      </c>
      <c r="BI84" s="1168">
        <f ca="1">'Intermediate output'!BI79</f>
        <v>0</v>
      </c>
      <c r="BJ84" s="1169"/>
      <c r="BK84" s="1020"/>
    </row>
    <row r="85" spans="2:63">
      <c r="B85" s="164"/>
      <c r="C85" s="1170" t="s">
        <v>39</v>
      </c>
      <c r="D85" s="166" t="str">
        <f>INDEX(Vectors[Description],MATCH($C85,Vectors[Code],0))</f>
        <v>Gaseous hydrocarbons</v>
      </c>
      <c r="E85" s="166"/>
      <c r="F85" s="267"/>
      <c r="G85" s="267"/>
      <c r="H85" s="1165"/>
      <c r="I85" s="1165"/>
      <c r="J85" s="1165"/>
      <c r="K85" s="1165"/>
      <c r="L85" s="1165"/>
      <c r="M85" s="1165"/>
      <c r="N85" s="1165"/>
      <c r="O85" s="1165"/>
      <c r="P85" s="1165"/>
      <c r="Q85" s="1165"/>
      <c r="R85" s="1165"/>
      <c r="S85" s="1165"/>
      <c r="T85" s="1165"/>
      <c r="U85" s="1165"/>
      <c r="V85" s="1165"/>
      <c r="W85" s="1165"/>
      <c r="X85" s="1165"/>
      <c r="Y85" s="1165"/>
      <c r="Z85" s="1165"/>
      <c r="AA85" s="1165"/>
      <c r="AB85" s="1165"/>
      <c r="AC85" s="1165"/>
      <c r="AD85" s="1165"/>
      <c r="AE85" s="1165"/>
      <c r="AF85" s="1165"/>
      <c r="AG85" s="1165"/>
      <c r="AH85" s="1165"/>
      <c r="AI85" s="1165"/>
      <c r="AJ85" s="1165"/>
      <c r="AK85" s="1165"/>
      <c r="AL85" s="1165"/>
      <c r="AM85" s="1165"/>
      <c r="AN85" s="1165"/>
      <c r="AO85" s="1165"/>
      <c r="AP85" s="1165"/>
      <c r="AQ85" s="1165"/>
      <c r="AR85" s="1165"/>
      <c r="AS85" s="1165"/>
      <c r="AT85" s="1165"/>
      <c r="AU85" s="1165"/>
      <c r="AV85" s="1165"/>
      <c r="AW85" s="1165"/>
      <c r="AX85" s="166"/>
      <c r="AY85" s="1168">
        <f ca="1">'Intermediate output'!AY80</f>
        <v>0</v>
      </c>
      <c r="AZ85" s="1168">
        <f>'Intermediate output'!AZ80</f>
        <v>0</v>
      </c>
      <c r="BA85" s="1168">
        <f ca="1">'Intermediate output'!BA80</f>
        <v>0</v>
      </c>
      <c r="BB85" s="1168">
        <f ca="1">'Intermediate output'!BB80</f>
        <v>0</v>
      </c>
      <c r="BC85" s="1168">
        <f ca="1">'Intermediate output'!BC80</f>
        <v>0</v>
      </c>
      <c r="BD85" s="1168">
        <f ca="1">'Intermediate output'!BD80</f>
        <v>0</v>
      </c>
      <c r="BE85" s="1168">
        <f ca="1">'Intermediate output'!BE80</f>
        <v>0</v>
      </c>
      <c r="BF85" s="1168">
        <f ca="1">'Intermediate output'!BF80</f>
        <v>0</v>
      </c>
      <c r="BG85" s="1168">
        <f ca="1">'Intermediate output'!BG80</f>
        <v>0</v>
      </c>
      <c r="BH85" s="1168">
        <f ca="1">'Intermediate output'!BH80</f>
        <v>0</v>
      </c>
      <c r="BI85" s="1168">
        <f ca="1">'Intermediate output'!BI80</f>
        <v>0</v>
      </c>
      <c r="BJ85" s="1169"/>
      <c r="BK85" s="1020"/>
    </row>
    <row r="86" spans="2:63">
      <c r="B86" s="164"/>
      <c r="C86" s="1170" t="s">
        <v>93</v>
      </c>
      <c r="D86" s="166" t="str">
        <f>INDEX(Vectors[Description],MATCH($C86,Vectors[Code],0))</f>
        <v>Solid Biomass Hydrocarbons</v>
      </c>
      <c r="E86" s="166"/>
      <c r="F86" s="267"/>
      <c r="G86" s="267"/>
      <c r="H86" s="1165"/>
      <c r="I86" s="1165"/>
      <c r="J86" s="1165"/>
      <c r="K86" s="1165"/>
      <c r="L86" s="1165"/>
      <c r="M86" s="1165"/>
      <c r="N86" s="1165"/>
      <c r="O86" s="1165"/>
      <c r="P86" s="1165"/>
      <c r="Q86" s="1165"/>
      <c r="R86" s="1165"/>
      <c r="S86" s="1165"/>
      <c r="T86" s="1165"/>
      <c r="U86" s="1165"/>
      <c r="V86" s="1165"/>
      <c r="W86" s="1165"/>
      <c r="X86" s="1165"/>
      <c r="Y86" s="1165"/>
      <c r="Z86" s="1165"/>
      <c r="AA86" s="1165"/>
      <c r="AB86" s="1165"/>
      <c r="AC86" s="1165"/>
      <c r="AD86" s="1165"/>
      <c r="AE86" s="1165"/>
      <c r="AF86" s="1165"/>
      <c r="AG86" s="1165"/>
      <c r="AH86" s="1165"/>
      <c r="AI86" s="1165"/>
      <c r="AJ86" s="1165"/>
      <c r="AK86" s="1165"/>
      <c r="AL86" s="1165"/>
      <c r="AM86" s="1165"/>
      <c r="AN86" s="1165"/>
      <c r="AO86" s="1165"/>
      <c r="AP86" s="1165"/>
      <c r="AQ86" s="1165"/>
      <c r="AR86" s="1165"/>
      <c r="AS86" s="1165"/>
      <c r="AT86" s="1165"/>
      <c r="AU86" s="1165"/>
      <c r="AV86" s="1165"/>
      <c r="AW86" s="1165"/>
      <c r="AX86" s="166"/>
      <c r="AY86" s="1168">
        <f ca="1">'Intermediate output'!AY81</f>
        <v>0</v>
      </c>
      <c r="AZ86" s="1168">
        <f>'Intermediate output'!AZ81</f>
        <v>0</v>
      </c>
      <c r="BA86" s="1168">
        <f ca="1">'Intermediate output'!BA81</f>
        <v>0</v>
      </c>
      <c r="BB86" s="1168">
        <f ca="1">'Intermediate output'!BB81</f>
        <v>0</v>
      </c>
      <c r="BC86" s="1168">
        <f ca="1">'Intermediate output'!BC81</f>
        <v>0</v>
      </c>
      <c r="BD86" s="1168">
        <f ca="1">'Intermediate output'!BD81</f>
        <v>0</v>
      </c>
      <c r="BE86" s="1168">
        <f ca="1">'Intermediate output'!BE81</f>
        <v>0</v>
      </c>
      <c r="BF86" s="1168">
        <f ca="1">'Intermediate output'!BF81</f>
        <v>0</v>
      </c>
      <c r="BG86" s="1168">
        <f ca="1">'Intermediate output'!BG81</f>
        <v>0</v>
      </c>
      <c r="BH86" s="1168">
        <f ca="1">'Intermediate output'!BH81</f>
        <v>0</v>
      </c>
      <c r="BI86" s="1168">
        <f ca="1">'Intermediate output'!BI81</f>
        <v>0</v>
      </c>
      <c r="BJ86" s="1169"/>
      <c r="BK86" s="1020"/>
    </row>
    <row r="87" spans="2:63">
      <c r="B87" s="164"/>
      <c r="C87" s="1170" t="s">
        <v>254</v>
      </c>
      <c r="D87" s="166" t="str">
        <f>INDEX(Vectors[Description],MATCH($C87,Vectors[Code],0))</f>
        <v>Edible biomass</v>
      </c>
      <c r="E87" s="166"/>
      <c r="F87" s="267"/>
      <c r="G87" s="267"/>
      <c r="H87" s="1165"/>
      <c r="I87" s="1165"/>
      <c r="J87" s="1165"/>
      <c r="K87" s="1165"/>
      <c r="L87" s="1165"/>
      <c r="M87" s="1165"/>
      <c r="N87" s="1165"/>
      <c r="O87" s="1165"/>
      <c r="P87" s="1165"/>
      <c r="Q87" s="1165"/>
      <c r="R87" s="1165"/>
      <c r="S87" s="1165"/>
      <c r="T87" s="1165"/>
      <c r="U87" s="1165"/>
      <c r="V87" s="1165"/>
      <c r="W87" s="1165"/>
      <c r="X87" s="1165"/>
      <c r="Y87" s="1165"/>
      <c r="Z87" s="1165"/>
      <c r="AA87" s="1165"/>
      <c r="AB87" s="1165"/>
      <c r="AC87" s="1165"/>
      <c r="AD87" s="1165"/>
      <c r="AE87" s="1165"/>
      <c r="AF87" s="1165"/>
      <c r="AG87" s="1165"/>
      <c r="AH87" s="1165"/>
      <c r="AI87" s="1165"/>
      <c r="AJ87" s="1165"/>
      <c r="AK87" s="1165"/>
      <c r="AL87" s="1165"/>
      <c r="AM87" s="1165"/>
      <c r="AN87" s="1165"/>
      <c r="AO87" s="1165"/>
      <c r="AP87" s="1165"/>
      <c r="AQ87" s="1165"/>
      <c r="AR87" s="1165"/>
      <c r="AS87" s="1165"/>
      <c r="AT87" s="1165"/>
      <c r="AU87" s="1165"/>
      <c r="AV87" s="1165"/>
      <c r="AW87" s="1165"/>
      <c r="AX87" s="166"/>
      <c r="AY87" s="1168">
        <f ca="1">'Intermediate output'!AY82</f>
        <v>0</v>
      </c>
      <c r="AZ87" s="1168">
        <f>'Intermediate output'!AZ82</f>
        <v>0</v>
      </c>
      <c r="BA87" s="1168">
        <f ca="1">'Intermediate output'!BA82</f>
        <v>0</v>
      </c>
      <c r="BB87" s="1168">
        <f ca="1">'Intermediate output'!BB82</f>
        <v>0</v>
      </c>
      <c r="BC87" s="1168">
        <f ca="1">'Intermediate output'!BC82</f>
        <v>0</v>
      </c>
      <c r="BD87" s="1168">
        <f ca="1">'Intermediate output'!BD82</f>
        <v>0</v>
      </c>
      <c r="BE87" s="1168">
        <f ca="1">'Intermediate output'!BE82</f>
        <v>0</v>
      </c>
      <c r="BF87" s="1168">
        <f ca="1">'Intermediate output'!BF82</f>
        <v>0</v>
      </c>
      <c r="BG87" s="1168">
        <f ca="1">'Intermediate output'!BG82</f>
        <v>0</v>
      </c>
      <c r="BH87" s="1168">
        <f ca="1">'Intermediate output'!BH82</f>
        <v>0</v>
      </c>
      <c r="BI87" s="1168">
        <f ca="1">'Intermediate output'!BI82</f>
        <v>0</v>
      </c>
      <c r="BJ87" s="1169"/>
      <c r="BK87" s="1020"/>
    </row>
    <row r="88" spans="2:63">
      <c r="B88" s="164"/>
      <c r="C88" s="1170" t="s">
        <v>253</v>
      </c>
      <c r="D88" s="166" t="str">
        <f>INDEX(Vectors[Description],MATCH($C88,Vectors[Code],0))</f>
        <v xml:space="preserve"> Gaseous Biomass Hydrocarbons</v>
      </c>
      <c r="E88" s="166"/>
      <c r="F88" s="267"/>
      <c r="G88" s="267"/>
      <c r="H88" s="1165"/>
      <c r="I88" s="1165"/>
      <c r="J88" s="1165"/>
      <c r="K88" s="1165"/>
      <c r="L88" s="1165"/>
      <c r="M88" s="1165"/>
      <c r="N88" s="1165"/>
      <c r="O88" s="1165"/>
      <c r="P88" s="1165"/>
      <c r="Q88" s="1165"/>
      <c r="R88" s="1165"/>
      <c r="S88" s="1165"/>
      <c r="T88" s="1165"/>
      <c r="U88" s="1165"/>
      <c r="V88" s="1165"/>
      <c r="W88" s="1165"/>
      <c r="X88" s="1165"/>
      <c r="Y88" s="1165"/>
      <c r="Z88" s="1165"/>
      <c r="AA88" s="1165"/>
      <c r="AB88" s="1165"/>
      <c r="AC88" s="1165"/>
      <c r="AD88" s="1165"/>
      <c r="AE88" s="1165"/>
      <c r="AF88" s="1165"/>
      <c r="AG88" s="1165"/>
      <c r="AH88" s="1165"/>
      <c r="AI88" s="1165"/>
      <c r="AJ88" s="1165"/>
      <c r="AK88" s="1165"/>
      <c r="AL88" s="1165"/>
      <c r="AM88" s="1165"/>
      <c r="AN88" s="1165"/>
      <c r="AO88" s="1165"/>
      <c r="AP88" s="1165"/>
      <c r="AQ88" s="1165"/>
      <c r="AR88" s="1165"/>
      <c r="AS88" s="1165"/>
      <c r="AT88" s="1165"/>
      <c r="AU88" s="1165"/>
      <c r="AV88" s="1165"/>
      <c r="AW88" s="1165"/>
      <c r="AX88" s="166"/>
      <c r="AY88" s="1168">
        <f ca="1">'Intermediate output'!AY83</f>
        <v>0</v>
      </c>
      <c r="AZ88" s="1168">
        <f>'Intermediate output'!AZ83</f>
        <v>0</v>
      </c>
      <c r="BA88" s="1168">
        <f ca="1">'Intermediate output'!BA83</f>
        <v>0</v>
      </c>
      <c r="BB88" s="1168">
        <f ca="1">'Intermediate output'!BB83</f>
        <v>0</v>
      </c>
      <c r="BC88" s="1168">
        <f ca="1">'Intermediate output'!BC83</f>
        <v>0</v>
      </c>
      <c r="BD88" s="1168">
        <f ca="1">'Intermediate output'!BD83</f>
        <v>0</v>
      </c>
      <c r="BE88" s="1168">
        <f ca="1">'Intermediate output'!BE83</f>
        <v>0</v>
      </c>
      <c r="BF88" s="1168">
        <f ca="1">'Intermediate output'!BF83</f>
        <v>0</v>
      </c>
      <c r="BG88" s="1168">
        <f ca="1">'Intermediate output'!BG83</f>
        <v>0</v>
      </c>
      <c r="BH88" s="1168">
        <f ca="1">'Intermediate output'!BH83</f>
        <v>0</v>
      </c>
      <c r="BI88" s="1168">
        <f ca="1">'Intermediate output'!BI83</f>
        <v>0</v>
      </c>
      <c r="BJ88" s="1169"/>
      <c r="BK88" s="1020"/>
    </row>
    <row r="89" spans="2:63">
      <c r="B89" s="164"/>
      <c r="C89" s="1170" t="s">
        <v>255</v>
      </c>
      <c r="D89" s="166" t="str">
        <f>INDEX(Vectors[Description],MATCH($C89,Vectors[Code],0))</f>
        <v>Dry biomass and waste</v>
      </c>
      <c r="E89" s="166"/>
      <c r="F89" s="267"/>
      <c r="G89" s="267"/>
      <c r="H89" s="1165"/>
      <c r="I89" s="1165"/>
      <c r="J89" s="1165"/>
      <c r="K89" s="1165"/>
      <c r="L89" s="1165"/>
      <c r="M89" s="1165"/>
      <c r="N89" s="1165"/>
      <c r="O89" s="1165"/>
      <c r="P89" s="1165"/>
      <c r="Q89" s="1165"/>
      <c r="R89" s="1165"/>
      <c r="S89" s="1165"/>
      <c r="T89" s="1165"/>
      <c r="U89" s="1165"/>
      <c r="V89" s="1165"/>
      <c r="W89" s="1165"/>
      <c r="X89" s="1165"/>
      <c r="Y89" s="1165"/>
      <c r="Z89" s="1165"/>
      <c r="AA89" s="1165"/>
      <c r="AB89" s="1165"/>
      <c r="AC89" s="1165"/>
      <c r="AD89" s="1165"/>
      <c r="AE89" s="1165"/>
      <c r="AF89" s="1165"/>
      <c r="AG89" s="1165"/>
      <c r="AH89" s="1165"/>
      <c r="AI89" s="1165"/>
      <c r="AJ89" s="1165"/>
      <c r="AK89" s="1165"/>
      <c r="AL89" s="1165"/>
      <c r="AM89" s="1165"/>
      <c r="AN89" s="1165"/>
      <c r="AO89" s="1165"/>
      <c r="AP89" s="1165"/>
      <c r="AQ89" s="1165"/>
      <c r="AR89" s="1165"/>
      <c r="AS89" s="1165"/>
      <c r="AT89" s="1165"/>
      <c r="AU89" s="1165"/>
      <c r="AV89" s="1165"/>
      <c r="AW89" s="1165"/>
      <c r="AX89" s="166"/>
      <c r="AY89" s="1168">
        <f ca="1">'Intermediate output'!AY84</f>
        <v>0</v>
      </c>
      <c r="AZ89" s="1168">
        <f>'Intermediate output'!AZ84</f>
        <v>0</v>
      </c>
      <c r="BA89" s="1168">
        <f ca="1">'Intermediate output'!BA84</f>
        <v>0</v>
      </c>
      <c r="BB89" s="1168">
        <f ca="1">'Intermediate output'!BB84</f>
        <v>0</v>
      </c>
      <c r="BC89" s="1168">
        <f ca="1">'Intermediate output'!BC84</f>
        <v>0</v>
      </c>
      <c r="BD89" s="1168">
        <f ca="1">'Intermediate output'!BD84</f>
        <v>0</v>
      </c>
      <c r="BE89" s="1168">
        <f ca="1">'Intermediate output'!BE84</f>
        <v>0</v>
      </c>
      <c r="BF89" s="1168">
        <f ca="1">'Intermediate output'!BF84</f>
        <v>0</v>
      </c>
      <c r="BG89" s="1168">
        <f ca="1">'Intermediate output'!BG84</f>
        <v>0</v>
      </c>
      <c r="BH89" s="1168">
        <f ca="1">'Intermediate output'!BH84</f>
        <v>0</v>
      </c>
      <c r="BI89" s="1168">
        <f ca="1">'Intermediate output'!BI84</f>
        <v>0</v>
      </c>
      <c r="BJ89" s="1169"/>
      <c r="BK89" s="1020"/>
    </row>
    <row r="90" spans="2:63">
      <c r="B90" s="164"/>
      <c r="C90" s="1170" t="s">
        <v>297</v>
      </c>
      <c r="D90" s="166" t="str">
        <f>INDEX(Vectors[Description],MATCH($C90,Vectors[Code],0))</f>
        <v>Wet biomass and waste</v>
      </c>
      <c r="E90" s="166"/>
      <c r="F90" s="267"/>
      <c r="G90" s="267"/>
      <c r="H90" s="1165"/>
      <c r="I90" s="1165"/>
      <c r="J90" s="1165"/>
      <c r="K90" s="1165"/>
      <c r="L90" s="1165"/>
      <c r="M90" s="1165"/>
      <c r="N90" s="1165"/>
      <c r="O90" s="1165"/>
      <c r="P90" s="1165"/>
      <c r="Q90" s="1165"/>
      <c r="R90" s="1165"/>
      <c r="S90" s="1165"/>
      <c r="T90" s="1165"/>
      <c r="U90" s="1165"/>
      <c r="V90" s="1165"/>
      <c r="W90" s="1165"/>
      <c r="X90" s="1165"/>
      <c r="Y90" s="1165"/>
      <c r="Z90" s="1165"/>
      <c r="AA90" s="1165"/>
      <c r="AB90" s="1165"/>
      <c r="AC90" s="1165"/>
      <c r="AD90" s="1165"/>
      <c r="AE90" s="1165"/>
      <c r="AF90" s="1165"/>
      <c r="AG90" s="1165"/>
      <c r="AH90" s="1165"/>
      <c r="AI90" s="1165"/>
      <c r="AJ90" s="1165"/>
      <c r="AK90" s="1165"/>
      <c r="AL90" s="1165"/>
      <c r="AM90" s="1165"/>
      <c r="AN90" s="1165"/>
      <c r="AO90" s="1165"/>
      <c r="AP90" s="1165"/>
      <c r="AQ90" s="1165"/>
      <c r="AR90" s="1165"/>
      <c r="AS90" s="1165"/>
      <c r="AT90" s="1165"/>
      <c r="AU90" s="1165"/>
      <c r="AV90" s="1165"/>
      <c r="AW90" s="1165"/>
      <c r="AX90" s="166"/>
      <c r="AY90" s="1168">
        <f ca="1">'Intermediate output'!AY85</f>
        <v>0</v>
      </c>
      <c r="AZ90" s="1168">
        <f>'Intermediate output'!AZ85</f>
        <v>0</v>
      </c>
      <c r="BA90" s="1168">
        <f ca="1">'Intermediate output'!BA85</f>
        <v>0</v>
      </c>
      <c r="BB90" s="1168">
        <f ca="1">'Intermediate output'!BB85</f>
        <v>0</v>
      </c>
      <c r="BC90" s="1168">
        <f ca="1">'Intermediate output'!BC85</f>
        <v>0</v>
      </c>
      <c r="BD90" s="1168">
        <f ca="1">'Intermediate output'!BD85</f>
        <v>0</v>
      </c>
      <c r="BE90" s="1168">
        <f ca="1">'Intermediate output'!BE85</f>
        <v>0</v>
      </c>
      <c r="BF90" s="1168">
        <f ca="1">'Intermediate output'!BF85</f>
        <v>0</v>
      </c>
      <c r="BG90" s="1168">
        <f ca="1">'Intermediate output'!BG85</f>
        <v>0</v>
      </c>
      <c r="BH90" s="1168">
        <f ca="1">'Intermediate output'!BH85</f>
        <v>0</v>
      </c>
      <c r="BI90" s="1168">
        <f ca="1">'Intermediate output'!BI85</f>
        <v>1.7763568394002505E-15</v>
      </c>
      <c r="BJ90" s="1169"/>
      <c r="BK90" s="1020"/>
    </row>
    <row r="91" spans="2:63">
      <c r="B91" s="164"/>
      <c r="C91" s="1170" t="s">
        <v>408</v>
      </c>
      <c r="D91" s="166" t="str">
        <f>INDEX(Vectors[Description],MATCH($C91,Vectors[Code],0))</f>
        <v>Off Grid Renewables</v>
      </c>
      <c r="E91" s="166"/>
      <c r="F91" s="267"/>
      <c r="G91" s="267"/>
      <c r="H91" s="1165"/>
      <c r="I91" s="1165"/>
      <c r="J91" s="1165"/>
      <c r="K91" s="1165"/>
      <c r="L91" s="1165"/>
      <c r="M91" s="1165"/>
      <c r="N91" s="1165"/>
      <c r="O91" s="1165"/>
      <c r="P91" s="1165"/>
      <c r="Q91" s="1165"/>
      <c r="R91" s="1165"/>
      <c r="S91" s="1165"/>
      <c r="T91" s="1165"/>
      <c r="U91" s="1165"/>
      <c r="V91" s="1165"/>
      <c r="W91" s="1165"/>
      <c r="X91" s="1165"/>
      <c r="Y91" s="1165"/>
      <c r="Z91" s="1165"/>
      <c r="AA91" s="1165"/>
      <c r="AB91" s="1165"/>
      <c r="AC91" s="1165"/>
      <c r="AD91" s="1165"/>
      <c r="AE91" s="1165"/>
      <c r="AF91" s="1165"/>
      <c r="AG91" s="1165"/>
      <c r="AH91" s="1165"/>
      <c r="AI91" s="1165"/>
      <c r="AJ91" s="1165"/>
      <c r="AK91" s="1165"/>
      <c r="AL91" s="1165"/>
      <c r="AM91" s="1165"/>
      <c r="AN91" s="1165"/>
      <c r="AO91" s="1165"/>
      <c r="AP91" s="1165"/>
      <c r="AQ91" s="1165"/>
      <c r="AR91" s="1165"/>
      <c r="AS91" s="1165"/>
      <c r="AT91" s="1165"/>
      <c r="AU91" s="1165"/>
      <c r="AV91" s="1165"/>
      <c r="AW91" s="1165"/>
      <c r="AX91" s="166"/>
      <c r="AY91" s="1168">
        <f ca="1">'Intermediate output'!AY86</f>
        <v>0</v>
      </c>
      <c r="AZ91" s="1168">
        <f>'Intermediate output'!AZ86</f>
        <v>0</v>
      </c>
      <c r="BA91" s="1168">
        <f ca="1">'Intermediate output'!BA86</f>
        <v>0</v>
      </c>
      <c r="BB91" s="1168">
        <f ca="1">'Intermediate output'!BB86</f>
        <v>0</v>
      </c>
      <c r="BC91" s="1168">
        <f ca="1">'Intermediate output'!BC86</f>
        <v>0</v>
      </c>
      <c r="BD91" s="1168">
        <f ca="1">'Intermediate output'!BD86</f>
        <v>0</v>
      </c>
      <c r="BE91" s="1168">
        <f ca="1">'Intermediate output'!BE86</f>
        <v>0</v>
      </c>
      <c r="BF91" s="1168">
        <f ca="1">'Intermediate output'!BF86</f>
        <v>0</v>
      </c>
      <c r="BG91" s="1168">
        <f ca="1">'Intermediate output'!BG86</f>
        <v>0</v>
      </c>
      <c r="BH91" s="1168">
        <f ca="1">'Intermediate output'!BH86</f>
        <v>0</v>
      </c>
      <c r="BI91" s="1168">
        <f ca="1">'Intermediate output'!BI86</f>
        <v>0</v>
      </c>
      <c r="BJ91" s="1169"/>
      <c r="BK91" s="1020"/>
    </row>
    <row r="92" spans="2:63">
      <c r="B92" s="164"/>
      <c r="C92" s="1170" t="s">
        <v>427</v>
      </c>
      <c r="D92" s="166" t="str">
        <f>INDEX(Vectors[Description],MATCH($C92,Vectors[Code],0))</f>
        <v>H2</v>
      </c>
      <c r="E92" s="166"/>
      <c r="F92" s="267"/>
      <c r="G92" s="267"/>
      <c r="H92" s="1165"/>
      <c r="I92" s="1165"/>
      <c r="J92" s="1165"/>
      <c r="K92" s="1165"/>
      <c r="L92" s="1165"/>
      <c r="M92" s="1165"/>
      <c r="N92" s="1165"/>
      <c r="O92" s="1165"/>
      <c r="P92" s="1165"/>
      <c r="Q92" s="1165"/>
      <c r="R92" s="1165"/>
      <c r="S92" s="1165"/>
      <c r="T92" s="1165"/>
      <c r="U92" s="1165"/>
      <c r="V92" s="1165"/>
      <c r="W92" s="1165"/>
      <c r="X92" s="1165"/>
      <c r="Y92" s="1165"/>
      <c r="Z92" s="1165"/>
      <c r="AA92" s="1165"/>
      <c r="AB92" s="1165"/>
      <c r="AC92" s="1165"/>
      <c r="AD92" s="1165"/>
      <c r="AE92" s="1165"/>
      <c r="AF92" s="1165"/>
      <c r="AG92" s="1165"/>
      <c r="AH92" s="1165"/>
      <c r="AI92" s="1165"/>
      <c r="AJ92" s="1165"/>
      <c r="AK92" s="1165"/>
      <c r="AL92" s="1165"/>
      <c r="AM92" s="1165"/>
      <c r="AN92" s="1165"/>
      <c r="AO92" s="1165"/>
      <c r="AP92" s="1165"/>
      <c r="AQ92" s="1165"/>
      <c r="AR92" s="1165"/>
      <c r="AS92" s="1165"/>
      <c r="AT92" s="1165"/>
      <c r="AU92" s="1165"/>
      <c r="AV92" s="1165"/>
      <c r="AW92" s="1165"/>
      <c r="AX92" s="166"/>
      <c r="AY92" s="1168">
        <f ca="1">'Intermediate output'!AY87</f>
        <v>0</v>
      </c>
      <c r="AZ92" s="1168">
        <f>'Intermediate output'!AZ87</f>
        <v>0</v>
      </c>
      <c r="BA92" s="1168">
        <f ca="1">'Intermediate output'!BA87</f>
        <v>0</v>
      </c>
      <c r="BB92" s="1168">
        <f ca="1">'Intermediate output'!BB87</f>
        <v>0</v>
      </c>
      <c r="BC92" s="1168">
        <f ca="1">'Intermediate output'!BC87</f>
        <v>0</v>
      </c>
      <c r="BD92" s="1168">
        <f ca="1">'Intermediate output'!BD87</f>
        <v>0</v>
      </c>
      <c r="BE92" s="1168">
        <f ca="1">'Intermediate output'!BE87</f>
        <v>0</v>
      </c>
      <c r="BF92" s="1168">
        <f ca="1">'Intermediate output'!BF87</f>
        <v>0</v>
      </c>
      <c r="BG92" s="1168">
        <f ca="1">'Intermediate output'!BG87</f>
        <v>0</v>
      </c>
      <c r="BH92" s="1168">
        <f ca="1">'Intermediate output'!BH87</f>
        <v>0</v>
      </c>
      <c r="BI92" s="1168">
        <f ca="1">'Intermediate output'!BI87</f>
        <v>0</v>
      </c>
      <c r="BJ92" s="1169"/>
      <c r="BK92" s="1020"/>
    </row>
    <row r="93" spans="2:63">
      <c r="B93" s="164"/>
      <c r="C93" s="1170" t="s">
        <v>435</v>
      </c>
      <c r="D93" s="166" t="str">
        <f>INDEX(Vectors[Description],MATCH($C93,Vectors[Code],0))</f>
        <v>Energy crops (second generation)</v>
      </c>
      <c r="E93" s="166"/>
      <c r="F93" s="267"/>
      <c r="G93" s="267"/>
      <c r="H93" s="1165"/>
      <c r="I93" s="1165"/>
      <c r="J93" s="1165"/>
      <c r="K93" s="1165"/>
      <c r="L93" s="1165"/>
      <c r="M93" s="1165"/>
      <c r="N93" s="1165"/>
      <c r="O93" s="1165"/>
      <c r="P93" s="1165"/>
      <c r="Q93" s="1165"/>
      <c r="R93" s="1165"/>
      <c r="S93" s="1165"/>
      <c r="T93" s="1165"/>
      <c r="U93" s="1165"/>
      <c r="V93" s="1165"/>
      <c r="W93" s="1165"/>
      <c r="X93" s="1165"/>
      <c r="Y93" s="1165"/>
      <c r="Z93" s="1165"/>
      <c r="AA93" s="1165"/>
      <c r="AB93" s="1165"/>
      <c r="AC93" s="1165"/>
      <c r="AD93" s="1165"/>
      <c r="AE93" s="1165"/>
      <c r="AF93" s="1165"/>
      <c r="AG93" s="1165"/>
      <c r="AH93" s="1165"/>
      <c r="AI93" s="1165"/>
      <c r="AJ93" s="1165"/>
      <c r="AK93" s="1165"/>
      <c r="AL93" s="1165"/>
      <c r="AM93" s="1165"/>
      <c r="AN93" s="1165"/>
      <c r="AO93" s="1165"/>
      <c r="AP93" s="1165"/>
      <c r="AQ93" s="1165"/>
      <c r="AR93" s="1165"/>
      <c r="AS93" s="1165"/>
      <c r="AT93" s="1165"/>
      <c r="AU93" s="1165"/>
      <c r="AV93" s="1165"/>
      <c r="AW93" s="1165"/>
      <c r="AX93" s="166"/>
      <c r="AY93" s="1168">
        <f ca="1">'Intermediate output'!AY88</f>
        <v>0</v>
      </c>
      <c r="AZ93" s="1168">
        <f>'Intermediate output'!AZ88</f>
        <v>0</v>
      </c>
      <c r="BA93" s="1168">
        <f ca="1">'Intermediate output'!BA88</f>
        <v>0</v>
      </c>
      <c r="BB93" s="1168">
        <f ca="1">'Intermediate output'!BB88</f>
        <v>0</v>
      </c>
      <c r="BC93" s="1168">
        <f ca="1">'Intermediate output'!BC88</f>
        <v>0</v>
      </c>
      <c r="BD93" s="1168">
        <f ca="1">'Intermediate output'!BD88</f>
        <v>0</v>
      </c>
      <c r="BE93" s="1168">
        <f ca="1">'Intermediate output'!BE88</f>
        <v>0</v>
      </c>
      <c r="BF93" s="1168">
        <f ca="1">'Intermediate output'!BF88</f>
        <v>0</v>
      </c>
      <c r="BG93" s="1168">
        <f ca="1">'Intermediate output'!BG88</f>
        <v>0</v>
      </c>
      <c r="BH93" s="1168">
        <f ca="1">'Intermediate output'!BH88</f>
        <v>0</v>
      </c>
      <c r="BI93" s="1168">
        <f ca="1">'Intermediate output'!BI88</f>
        <v>0</v>
      </c>
      <c r="BJ93" s="1169"/>
      <c r="BK93" s="1020"/>
    </row>
    <row r="94" spans="2:63" s="51" customFormat="1">
      <c r="B94" s="164"/>
      <c r="C94" s="60"/>
      <c r="D94" s="1174" t="s">
        <v>1142</v>
      </c>
      <c r="E94" s="166"/>
      <c r="F94" s="1175"/>
      <c r="G94" s="1176"/>
      <c r="H94" s="1171"/>
      <c r="I94" s="1171"/>
      <c r="J94" s="1171"/>
      <c r="K94" s="1171"/>
      <c r="L94" s="1171"/>
      <c r="M94" s="1171"/>
      <c r="N94" s="1171"/>
      <c r="O94" s="1171"/>
      <c r="P94" s="1171"/>
      <c r="Q94" s="1171"/>
      <c r="R94" s="1171"/>
      <c r="S94" s="1171"/>
      <c r="T94" s="1171"/>
      <c r="U94" s="1171"/>
      <c r="V94" s="1171"/>
      <c r="W94" s="1171"/>
      <c r="X94" s="1171"/>
      <c r="Y94" s="1171"/>
      <c r="Z94" s="1171"/>
      <c r="AA94" s="1171"/>
      <c r="AB94" s="1171"/>
      <c r="AC94" s="1171"/>
      <c r="AD94" s="1171"/>
      <c r="AE94" s="1171"/>
      <c r="AF94" s="1171"/>
      <c r="AG94" s="1171"/>
      <c r="AH94" s="1171"/>
      <c r="AI94" s="1171"/>
      <c r="AJ94" s="1171"/>
      <c r="AK94" s="1171"/>
      <c r="AL94" s="1171"/>
      <c r="AM94" s="1171"/>
      <c r="AN94" s="1171"/>
      <c r="AO94" s="1171"/>
      <c r="AP94" s="1171"/>
      <c r="AQ94" s="1171"/>
      <c r="AR94" s="1171"/>
      <c r="AS94" s="1171"/>
      <c r="AT94" s="1171"/>
      <c r="AU94" s="1171"/>
      <c r="AV94" s="1171"/>
      <c r="AW94" s="1171"/>
      <c r="AX94" s="166"/>
      <c r="AY94" s="1168">
        <f ca="1">'Intermediate output'!AY89</f>
        <v>0</v>
      </c>
      <c r="AZ94" s="1168">
        <f>'Intermediate output'!AZ89</f>
        <v>0</v>
      </c>
      <c r="BA94" s="1168">
        <f ca="1">'Intermediate output'!BA89</f>
        <v>0</v>
      </c>
      <c r="BB94" s="1168">
        <f ca="1">'Intermediate output'!BB89</f>
        <v>0</v>
      </c>
      <c r="BC94" s="1168">
        <f ca="1">'Intermediate output'!BC89</f>
        <v>0</v>
      </c>
      <c r="BD94" s="1168">
        <f ca="1">'Intermediate output'!BD89</f>
        <v>0</v>
      </c>
      <c r="BE94" s="1168">
        <f ca="1">'Intermediate output'!BE89</f>
        <v>0</v>
      </c>
      <c r="BF94" s="1168">
        <f ca="1">'Intermediate output'!BF89</f>
        <v>0</v>
      </c>
      <c r="BG94" s="1168">
        <f ca="1">'Intermediate output'!BG89</f>
        <v>0</v>
      </c>
      <c r="BH94" s="1168">
        <f ca="1">'Intermediate output'!BH89</f>
        <v>5.6843418860808015E-13</v>
      </c>
      <c r="BI94" s="1168">
        <f ca="1">'Intermediate output'!BI89</f>
        <v>-7.9403150721191196E-13</v>
      </c>
      <c r="BJ94" s="1190"/>
      <c r="BK94" s="1020"/>
    </row>
    <row r="95" spans="2:63">
      <c r="B95" s="164"/>
      <c r="C95" s="166"/>
      <c r="D95" s="166"/>
      <c r="E95" s="166"/>
      <c r="F95" s="166"/>
      <c r="G95" s="16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66"/>
      <c r="AY95" s="1168">
        <f>'Intermediate output'!AY90</f>
        <v>0</v>
      </c>
      <c r="AZ95" s="1168">
        <f>'Intermediate output'!AZ90</f>
        <v>0</v>
      </c>
      <c r="BA95" s="1168">
        <f>'Intermediate output'!BA90</f>
        <v>0</v>
      </c>
      <c r="BB95" s="1168">
        <f>'Intermediate output'!BB90</f>
        <v>0</v>
      </c>
      <c r="BC95" s="1168">
        <f>'Intermediate output'!BC90</f>
        <v>0</v>
      </c>
      <c r="BD95" s="1168">
        <f>'Intermediate output'!BD90</f>
        <v>0</v>
      </c>
      <c r="BE95" s="1168">
        <f>'Intermediate output'!BE90</f>
        <v>0</v>
      </c>
      <c r="BF95" s="1168">
        <f>'Intermediate output'!BF90</f>
        <v>0</v>
      </c>
      <c r="BG95" s="1168">
        <f>'Intermediate output'!BG90</f>
        <v>0</v>
      </c>
      <c r="BH95" s="1168">
        <f>'Intermediate output'!BH90</f>
        <v>0</v>
      </c>
      <c r="BI95" s="1168">
        <f>'Intermediate output'!BI90</f>
        <v>0</v>
      </c>
      <c r="BJ95" s="1169"/>
      <c r="BK95" s="1020"/>
    </row>
    <row r="96" spans="2:63" s="859" customFormat="1" ht="18">
      <c r="B96" s="1189"/>
      <c r="C96" s="266"/>
      <c r="D96" s="2872" t="s">
        <v>1143</v>
      </c>
      <c r="E96" s="3309"/>
      <c r="F96" s="3310"/>
      <c r="G96" s="3310"/>
      <c r="H96" s="3311"/>
      <c r="I96" s="3311"/>
      <c r="J96" s="3311"/>
      <c r="K96" s="3311"/>
      <c r="L96" s="3311"/>
      <c r="M96" s="3311"/>
      <c r="N96" s="3311"/>
      <c r="O96" s="3311"/>
      <c r="P96" s="3311"/>
      <c r="Q96" s="3311"/>
      <c r="R96" s="3311"/>
      <c r="S96" s="3311"/>
      <c r="T96" s="3311"/>
      <c r="U96" s="3311"/>
      <c r="V96" s="3311"/>
      <c r="W96" s="3311"/>
      <c r="X96" s="3311"/>
      <c r="Y96" s="3311"/>
      <c r="Z96" s="3311"/>
      <c r="AA96" s="3311"/>
      <c r="AB96" s="3311"/>
      <c r="AC96" s="3311"/>
      <c r="AD96" s="3311"/>
      <c r="AE96" s="3311"/>
      <c r="AF96" s="3311"/>
      <c r="AG96" s="3311"/>
      <c r="AH96" s="3311"/>
      <c r="AI96" s="3311"/>
      <c r="AJ96" s="3311"/>
      <c r="AK96" s="3311"/>
      <c r="AL96" s="3311"/>
      <c r="AM96" s="3311"/>
      <c r="AN96" s="3311"/>
      <c r="AO96" s="3311"/>
      <c r="AP96" s="3311"/>
      <c r="AQ96" s="3311"/>
      <c r="AR96" s="3311"/>
      <c r="AS96" s="3311"/>
      <c r="AT96" s="3311"/>
      <c r="AU96" s="3311"/>
      <c r="AV96" s="3311"/>
      <c r="AW96" s="3311"/>
      <c r="AX96" s="3309"/>
      <c r="AY96" s="3312">
        <f ca="1">'Intermediate output'!AY91</f>
        <v>4.5474735088646412E-13</v>
      </c>
      <c r="AZ96" s="3312">
        <f>'Intermediate output'!AZ91</f>
        <v>0</v>
      </c>
      <c r="BA96" s="3312">
        <f ca="1">'Intermediate output'!BA91</f>
        <v>0</v>
      </c>
      <c r="BB96" s="3312">
        <f ca="1">'Intermediate output'!BB91</f>
        <v>0</v>
      </c>
      <c r="BC96" s="3312">
        <f ca="1">'Intermediate output'!BC91</f>
        <v>-1.8189894035458565E-12</v>
      </c>
      <c r="BD96" s="3312">
        <f ca="1">'Intermediate output'!BD91</f>
        <v>1.8189894035458565E-12</v>
      </c>
      <c r="BE96" s="3312">
        <f ca="1">'Intermediate output'!BE91</f>
        <v>-3.637978807091713E-12</v>
      </c>
      <c r="BF96" s="3312">
        <f ca="1">'Intermediate output'!BF91</f>
        <v>0</v>
      </c>
      <c r="BG96" s="3312">
        <f ca="1">'Intermediate output'!BG91</f>
        <v>0</v>
      </c>
      <c r="BH96" s="3312">
        <f ca="1">'Intermediate output'!BH91</f>
        <v>4.2064129956997931E-12</v>
      </c>
      <c r="BI96" s="3312">
        <f ca="1">'Intermediate output'!BI91</f>
        <v>-7.9403150721191196E-13</v>
      </c>
      <c r="BJ96" s="3313"/>
      <c r="BK96" s="1020"/>
    </row>
    <row r="97" spans="1:63" s="859" customFormat="1">
      <c r="B97" s="164"/>
      <c r="C97" s="266"/>
      <c r="D97" s="266"/>
      <c r="E97" s="166"/>
      <c r="F97" s="1176"/>
      <c r="G97" s="1176"/>
      <c r="H97" s="1171"/>
      <c r="I97" s="1171"/>
      <c r="J97" s="1171"/>
      <c r="K97" s="1171"/>
      <c r="L97" s="1171"/>
      <c r="M97" s="1171"/>
      <c r="N97" s="1171"/>
      <c r="O97" s="1171"/>
      <c r="P97" s="1171"/>
      <c r="Q97" s="1171"/>
      <c r="R97" s="1171"/>
      <c r="S97" s="1171"/>
      <c r="T97" s="1171"/>
      <c r="U97" s="1171"/>
      <c r="V97" s="1171"/>
      <c r="W97" s="1171"/>
      <c r="X97" s="1171"/>
      <c r="Y97" s="1171"/>
      <c r="Z97" s="1171"/>
      <c r="AA97" s="1171"/>
      <c r="AB97" s="1171"/>
      <c r="AC97" s="1171"/>
      <c r="AD97" s="1171"/>
      <c r="AE97" s="1171"/>
      <c r="AF97" s="1171"/>
      <c r="AG97" s="1171"/>
      <c r="AH97" s="1171"/>
      <c r="AI97" s="1171"/>
      <c r="AJ97" s="1171"/>
      <c r="AK97" s="1171"/>
      <c r="AL97" s="1171"/>
      <c r="AM97" s="1171"/>
      <c r="AN97" s="1171"/>
      <c r="AO97" s="1171"/>
      <c r="AP97" s="1171"/>
      <c r="AQ97" s="1171"/>
      <c r="AR97" s="1171"/>
      <c r="AS97" s="1171"/>
      <c r="AT97" s="1171"/>
      <c r="AU97" s="1171"/>
      <c r="AV97" s="1171"/>
      <c r="AW97" s="1171"/>
      <c r="AX97" s="166"/>
      <c r="AY97" s="1176"/>
      <c r="AZ97" s="1176"/>
      <c r="BA97" s="1176"/>
      <c r="BB97" s="1176"/>
      <c r="BC97" s="1176"/>
      <c r="BD97" s="1176"/>
      <c r="BE97" s="1176"/>
      <c r="BF97" s="1176"/>
      <c r="BG97" s="1176"/>
      <c r="BH97" s="1176"/>
      <c r="BI97" s="1176"/>
      <c r="BJ97" s="1177"/>
      <c r="BK97" s="1178"/>
    </row>
    <row r="98" spans="1:63" s="859" customFormat="1" ht="18">
      <c r="B98" s="1172"/>
      <c r="C98" s="3314"/>
      <c r="D98" s="3314"/>
      <c r="E98" s="172"/>
      <c r="F98" s="3315"/>
      <c r="G98" s="3315"/>
      <c r="H98" s="3316"/>
      <c r="I98" s="3316"/>
      <c r="J98" s="3316"/>
      <c r="K98" s="3316"/>
      <c r="L98" s="3316"/>
      <c r="M98" s="3316"/>
      <c r="N98" s="3316"/>
      <c r="O98" s="3316"/>
      <c r="P98" s="3316"/>
      <c r="Q98" s="3316"/>
      <c r="R98" s="3316"/>
      <c r="S98" s="3316"/>
      <c r="T98" s="3316"/>
      <c r="U98" s="3316"/>
      <c r="V98" s="3316"/>
      <c r="W98" s="3316"/>
      <c r="X98" s="3316"/>
      <c r="Y98" s="3316"/>
      <c r="Z98" s="3316"/>
      <c r="AA98" s="3316"/>
      <c r="AB98" s="3316"/>
      <c r="AC98" s="3316"/>
      <c r="AD98" s="3316"/>
      <c r="AE98" s="3316"/>
      <c r="AF98" s="3316"/>
      <c r="AG98" s="3316"/>
      <c r="AH98" s="3316"/>
      <c r="AI98" s="3316"/>
      <c r="AJ98" s="3316"/>
      <c r="AK98" s="3316"/>
      <c r="AL98" s="3316"/>
      <c r="AM98" s="3316"/>
      <c r="AN98" s="3316"/>
      <c r="AO98" s="3316"/>
      <c r="AP98" s="3316"/>
      <c r="AQ98" s="3316"/>
      <c r="AR98" s="3316"/>
      <c r="AS98" s="3316"/>
      <c r="AT98" s="3316"/>
      <c r="AU98" s="3316"/>
      <c r="AV98" s="3316"/>
      <c r="AW98" s="3316"/>
      <c r="AX98" s="172"/>
      <c r="AY98" s="3315"/>
      <c r="AZ98" s="3315"/>
      <c r="BA98" s="3315"/>
      <c r="BB98" s="3315"/>
      <c r="BC98" s="3315"/>
      <c r="BD98" s="3315"/>
      <c r="BE98" s="3315"/>
      <c r="BF98" s="3315"/>
      <c r="BG98" s="3315"/>
      <c r="BH98" s="3315"/>
      <c r="BI98" s="3315"/>
      <c r="BJ98" s="3317"/>
      <c r="BK98" s="1178"/>
    </row>
    <row r="99" spans="1:63" s="859" customFormat="1" ht="18">
      <c r="B99" s="1172"/>
      <c r="D99" s="1191"/>
      <c r="E99" s="3297"/>
      <c r="F99" s="1192"/>
      <c r="G99" s="1192"/>
      <c r="H99" s="1193"/>
      <c r="I99" s="1193"/>
      <c r="J99" s="1193"/>
      <c r="K99" s="1193"/>
      <c r="L99" s="1193"/>
      <c r="M99" s="1193"/>
      <c r="N99" s="1193"/>
      <c r="O99" s="1193"/>
      <c r="P99" s="1193"/>
      <c r="Q99" s="1193"/>
      <c r="R99" s="1193"/>
      <c r="S99" s="1193"/>
      <c r="T99" s="1193"/>
      <c r="U99" s="1193"/>
      <c r="V99" s="1193"/>
      <c r="W99" s="1193"/>
      <c r="X99" s="1193"/>
      <c r="Y99" s="1193"/>
      <c r="Z99" s="1193"/>
      <c r="AA99" s="1193"/>
      <c r="AB99" s="1193"/>
      <c r="AC99" s="1193"/>
      <c r="AD99" s="1193"/>
      <c r="AE99" s="1193"/>
      <c r="AF99" s="1193"/>
      <c r="AG99" s="1193"/>
      <c r="AH99" s="1193"/>
      <c r="AI99" s="1193"/>
      <c r="AJ99" s="1193"/>
      <c r="AK99" s="1193"/>
      <c r="AL99" s="1193"/>
      <c r="AM99" s="1193"/>
      <c r="AN99" s="1193"/>
      <c r="AO99" s="1193"/>
      <c r="AP99" s="1193"/>
      <c r="AQ99" s="1193"/>
      <c r="AR99" s="1193"/>
      <c r="AS99" s="1193"/>
      <c r="AT99" s="1193"/>
      <c r="AU99" s="1193"/>
      <c r="AV99" s="1193"/>
      <c r="AW99" s="1193"/>
      <c r="AX99" s="3297"/>
      <c r="AY99" s="1192"/>
      <c r="AZ99" s="1192"/>
      <c r="BA99" s="1192"/>
      <c r="BB99" s="1192"/>
      <c r="BC99" s="1192"/>
      <c r="BD99" s="1192"/>
      <c r="BE99" s="1192"/>
      <c r="BF99" s="1192"/>
      <c r="BG99" s="1192"/>
      <c r="BH99" s="1192"/>
      <c r="BI99" s="1192"/>
      <c r="BJ99" s="1178"/>
      <c r="BK99" s="1178"/>
    </row>
    <row r="100" spans="1:63" ht="21" customHeight="1">
      <c r="A100" s="420"/>
      <c r="B100" s="1194" t="s">
        <v>1144</v>
      </c>
      <c r="C100" s="1195"/>
      <c r="D100" s="1195"/>
      <c r="E100" s="1195"/>
      <c r="F100" s="1195"/>
      <c r="G100" s="1195"/>
      <c r="H100" s="1196"/>
      <c r="I100" s="1196"/>
      <c r="J100" s="1196"/>
      <c r="K100" s="1196"/>
      <c r="L100" s="1196"/>
      <c r="M100" s="1196"/>
      <c r="N100" s="1196"/>
      <c r="O100" s="1196"/>
      <c r="P100" s="1196"/>
      <c r="Q100" s="1196"/>
      <c r="R100" s="1196"/>
      <c r="S100" s="1196"/>
      <c r="T100" s="1196"/>
      <c r="U100" s="1196"/>
      <c r="V100" s="1196"/>
      <c r="W100" s="1196"/>
      <c r="X100" s="1196"/>
      <c r="Y100" s="1196"/>
      <c r="Z100" s="1196"/>
      <c r="AA100" s="1196"/>
      <c r="AB100" s="1196"/>
      <c r="AC100" s="1196"/>
      <c r="AD100" s="1196"/>
      <c r="AE100" s="1196"/>
      <c r="AF100" s="1196"/>
      <c r="AG100" s="1196"/>
      <c r="AH100" s="1196"/>
      <c r="AI100" s="1196"/>
      <c r="AJ100" s="1196"/>
      <c r="AK100" s="1196"/>
      <c r="AL100" s="1196"/>
      <c r="AM100" s="1196"/>
      <c r="AN100" s="1196"/>
      <c r="AO100" s="1196"/>
      <c r="AP100" s="1196"/>
      <c r="AQ100" s="1196"/>
      <c r="AR100" s="1196"/>
      <c r="AS100" s="1196"/>
      <c r="AT100" s="1196"/>
      <c r="AU100" s="1196"/>
      <c r="AV100" s="1196"/>
      <c r="AW100" s="1196"/>
      <c r="AX100" s="1195"/>
      <c r="AY100" s="1197"/>
      <c r="AZ100" s="1197"/>
      <c r="BA100" s="1197"/>
      <c r="BB100" s="1197"/>
      <c r="BC100" s="1197"/>
      <c r="BD100" s="1197"/>
      <c r="BE100" s="1197"/>
      <c r="BF100" s="1197"/>
      <c r="BG100" s="1197"/>
      <c r="BH100" s="1197"/>
      <c r="BI100" s="1197"/>
      <c r="BJ100" s="1198"/>
      <c r="BK100" s="22"/>
    </row>
    <row r="101" spans="1:63" ht="18">
      <c r="B101" s="2569"/>
      <c r="C101" s="191"/>
      <c r="D101" s="191"/>
      <c r="E101" s="191"/>
      <c r="F101" s="191"/>
      <c r="G101" s="191"/>
      <c r="H101" s="2570"/>
      <c r="I101" s="2570"/>
      <c r="J101" s="2570"/>
      <c r="K101" s="2570"/>
      <c r="L101" s="2570"/>
      <c r="M101" s="2570"/>
      <c r="N101" s="2570"/>
      <c r="O101" s="2570"/>
      <c r="P101" s="2570"/>
      <c r="Q101" s="2570"/>
      <c r="R101" s="2570"/>
      <c r="S101" s="2570"/>
      <c r="T101" s="2570"/>
      <c r="U101" s="2570"/>
      <c r="V101" s="2570"/>
      <c r="W101" s="2570"/>
      <c r="X101" s="2570"/>
      <c r="Y101" s="2570"/>
      <c r="Z101" s="2570"/>
      <c r="AA101" s="2570"/>
      <c r="AB101" s="2570"/>
      <c r="AC101" s="2570"/>
      <c r="AD101" s="2570"/>
      <c r="AE101" s="2570"/>
      <c r="AF101" s="2570"/>
      <c r="AG101" s="2570"/>
      <c r="AH101" s="2570"/>
      <c r="AI101" s="2570"/>
      <c r="AJ101" s="2570"/>
      <c r="AK101" s="2570"/>
      <c r="AL101" s="2570"/>
      <c r="AM101" s="2570"/>
      <c r="AN101" s="2570"/>
      <c r="AO101" s="2570"/>
      <c r="AP101" s="2570"/>
      <c r="AQ101" s="2570"/>
      <c r="AR101" s="2570"/>
      <c r="AS101" s="2570"/>
      <c r="AT101" s="2570"/>
      <c r="AU101" s="2570"/>
      <c r="AV101" s="2570"/>
      <c r="AW101" s="2570"/>
      <c r="AX101" s="191"/>
      <c r="AY101" s="2571"/>
      <c r="AZ101" s="2571"/>
      <c r="BA101" s="2571"/>
      <c r="BB101" s="2571"/>
      <c r="BC101" s="2571"/>
      <c r="BD101" s="2571"/>
      <c r="BE101" s="2571"/>
      <c r="BF101" s="2571"/>
      <c r="BG101" s="2571"/>
      <c r="BH101" s="2571"/>
      <c r="BI101" s="2571"/>
      <c r="BJ101" s="2572"/>
      <c r="BK101" s="22"/>
    </row>
    <row r="102" spans="1:63" ht="15.75">
      <c r="B102" s="2573"/>
      <c r="C102" s="187" t="s">
        <v>34</v>
      </c>
      <c r="D102" s="187" t="str">
        <f>INDEX(Vectors[Description],MATCH($C102,Vectors[Code],0))</f>
        <v>Electricity (delivered to end user)</v>
      </c>
      <c r="E102" s="187"/>
      <c r="F102" s="2574"/>
      <c r="G102" s="2574"/>
      <c r="H102" s="2575"/>
      <c r="I102" s="2575"/>
      <c r="J102" s="2575"/>
      <c r="K102" s="2575"/>
      <c r="L102" s="2575"/>
      <c r="M102" s="2575"/>
      <c r="N102" s="2575"/>
      <c r="O102" s="2575"/>
      <c r="P102" s="2575"/>
      <c r="Q102" s="2575"/>
      <c r="R102" s="2575"/>
      <c r="S102" s="2575"/>
      <c r="T102" s="2575"/>
      <c r="U102" s="2575"/>
      <c r="V102" s="2575"/>
      <c r="W102" s="2575"/>
      <c r="X102" s="2575"/>
      <c r="Y102" s="2575"/>
      <c r="Z102" s="2575"/>
      <c r="AA102" s="2575"/>
      <c r="AB102" s="2575"/>
      <c r="AC102" s="2575"/>
      <c r="AD102" s="2575"/>
      <c r="AE102" s="2575"/>
      <c r="AF102" s="2575"/>
      <c r="AG102" s="2575"/>
      <c r="AH102" s="2575"/>
      <c r="AI102" s="2575"/>
      <c r="AJ102" s="2575"/>
      <c r="AK102" s="2575"/>
      <c r="AL102" s="2575"/>
      <c r="AM102" s="2575"/>
      <c r="AN102" s="2575"/>
      <c r="AO102" s="2575"/>
      <c r="AP102" s="2575"/>
      <c r="AQ102" s="2575"/>
      <c r="AR102" s="2575"/>
      <c r="AS102" s="2575"/>
      <c r="AT102" s="2575"/>
      <c r="AU102" s="2575"/>
      <c r="AV102" s="2575"/>
      <c r="AW102" s="2575"/>
      <c r="AX102" s="187"/>
      <c r="AY102" s="2576">
        <f ca="1">'Intermediate output'!AY95</f>
        <v>-595.68681516482502</v>
      </c>
      <c r="AZ102" s="2576">
        <f>'Intermediate output'!AZ95</f>
        <v>0</v>
      </c>
      <c r="BA102" s="2576">
        <f ca="1">'Intermediate output'!BA95</f>
        <v>-798.39296177664801</v>
      </c>
      <c r="BB102" s="2576">
        <f ca="1">'Intermediate output'!BB95</f>
        <v>-1142.8498773739643</v>
      </c>
      <c r="BC102" s="2576">
        <f ca="1">'Intermediate output'!BC95</f>
        <v>-1640.0251055308779</v>
      </c>
      <c r="BD102" s="2576">
        <f ca="1">'Intermediate output'!BD95</f>
        <v>-2290.662235710573</v>
      </c>
      <c r="BE102" s="2576">
        <f ca="1">'Intermediate output'!BE95</f>
        <v>-3170.4883780648101</v>
      </c>
      <c r="BF102" s="2576">
        <f ca="1">'Intermediate output'!BF95</f>
        <v>-3970.4133793283249</v>
      </c>
      <c r="BG102" s="2576">
        <f ca="1">'Intermediate output'!BG95</f>
        <v>-4914.3042732371441</v>
      </c>
      <c r="BH102" s="2576">
        <f ca="1">'Intermediate output'!BH95</f>
        <v>-5747.5586114860871</v>
      </c>
      <c r="BI102" s="2576">
        <f ca="1">'Intermediate output'!BI95</f>
        <v>-6680.5573002001365</v>
      </c>
      <c r="BJ102" s="2577" t="s">
        <v>1145</v>
      </c>
      <c r="BK102" s="22"/>
    </row>
    <row r="103" spans="1:63">
      <c r="B103" s="190"/>
      <c r="C103" s="187" t="s">
        <v>35</v>
      </c>
      <c r="D103" s="187" t="str">
        <f>INDEX(Vectors[Description],MATCH($C103,Vectors[Code],0))</f>
        <v>Electricity (supplied to grid)</v>
      </c>
      <c r="E103" s="187"/>
      <c r="F103" s="2574"/>
      <c r="G103" s="2574"/>
      <c r="H103" s="2575"/>
      <c r="I103" s="2575"/>
      <c r="J103" s="2575"/>
      <c r="K103" s="2575"/>
      <c r="L103" s="2575"/>
      <c r="M103" s="2575"/>
      <c r="N103" s="2575"/>
      <c r="O103" s="2575"/>
      <c r="P103" s="2575"/>
      <c r="Q103" s="2575"/>
      <c r="R103" s="2575"/>
      <c r="S103" s="2575"/>
      <c r="T103" s="2575"/>
      <c r="U103" s="2575"/>
      <c r="V103" s="2575"/>
      <c r="W103" s="2575"/>
      <c r="X103" s="2575"/>
      <c r="Y103" s="2575"/>
      <c r="Z103" s="2575"/>
      <c r="AA103" s="2575"/>
      <c r="AB103" s="2575"/>
      <c r="AC103" s="2575"/>
      <c r="AD103" s="2575"/>
      <c r="AE103" s="2575"/>
      <c r="AF103" s="2575"/>
      <c r="AG103" s="2575"/>
      <c r="AH103" s="2575"/>
      <c r="AI103" s="2575"/>
      <c r="AJ103" s="2575"/>
      <c r="AK103" s="2575"/>
      <c r="AL103" s="2575"/>
      <c r="AM103" s="2575"/>
      <c r="AN103" s="2575"/>
      <c r="AO103" s="2575"/>
      <c r="AP103" s="2575"/>
      <c r="AQ103" s="2575"/>
      <c r="AR103" s="2575"/>
      <c r="AS103" s="2575"/>
      <c r="AT103" s="2575"/>
      <c r="AU103" s="2575"/>
      <c r="AV103" s="2575"/>
      <c r="AW103" s="2575"/>
      <c r="AX103" s="187"/>
      <c r="AY103" s="2576">
        <f ca="1">'Intermediate output'!AY96</f>
        <v>595.68681516482502</v>
      </c>
      <c r="AZ103" s="2576">
        <f>'Intermediate output'!AZ96</f>
        <v>0</v>
      </c>
      <c r="BA103" s="2576">
        <f ca="1">'Intermediate output'!BA96</f>
        <v>798.39296177664801</v>
      </c>
      <c r="BB103" s="2576">
        <f ca="1">'Intermediate output'!BB96</f>
        <v>1142.8498773739643</v>
      </c>
      <c r="BC103" s="2576">
        <f ca="1">'Intermediate output'!BC96</f>
        <v>1640.0251055308779</v>
      </c>
      <c r="BD103" s="2576">
        <f ca="1">'Intermediate output'!BD96</f>
        <v>2290.662235710573</v>
      </c>
      <c r="BE103" s="2576">
        <f ca="1">'Intermediate output'!BE96</f>
        <v>3170.4883780648101</v>
      </c>
      <c r="BF103" s="2576">
        <f ca="1">'Intermediate output'!BF96</f>
        <v>3970.4133793283249</v>
      </c>
      <c r="BG103" s="2576">
        <f ca="1">'Intermediate output'!BG96</f>
        <v>4914.3042732371441</v>
      </c>
      <c r="BH103" s="2576">
        <f ca="1">'Intermediate output'!BH96</f>
        <v>5747.5586114860871</v>
      </c>
      <c r="BI103" s="2576">
        <f ca="1">'Intermediate output'!BI96</f>
        <v>6680.5573002001365</v>
      </c>
      <c r="BJ103" s="2577"/>
      <c r="BK103" s="22"/>
    </row>
    <row r="104" spans="1:63" s="51" customFormat="1">
      <c r="B104" s="193"/>
      <c r="C104" s="189"/>
      <c r="D104" s="2578" t="s">
        <v>1146</v>
      </c>
      <c r="E104" s="187"/>
      <c r="F104" s="2579"/>
      <c r="G104" s="2580"/>
      <c r="H104" s="2581"/>
      <c r="I104" s="2581"/>
      <c r="J104" s="2581"/>
      <c r="K104" s="2581"/>
      <c r="L104" s="2581"/>
      <c r="M104" s="2581"/>
      <c r="N104" s="2581"/>
      <c r="O104" s="2581"/>
      <c r="P104" s="2581"/>
      <c r="Q104" s="2581"/>
      <c r="R104" s="2581"/>
      <c r="S104" s="2581"/>
      <c r="T104" s="2581"/>
      <c r="U104" s="2581"/>
      <c r="V104" s="2581"/>
      <c r="W104" s="2581"/>
      <c r="X104" s="2581"/>
      <c r="Y104" s="2581"/>
      <c r="Z104" s="2581"/>
      <c r="AA104" s="2581"/>
      <c r="AB104" s="2581"/>
      <c r="AC104" s="2581"/>
      <c r="AD104" s="2581"/>
      <c r="AE104" s="2581"/>
      <c r="AF104" s="2581"/>
      <c r="AG104" s="2581"/>
      <c r="AH104" s="2581"/>
      <c r="AI104" s="2581"/>
      <c r="AJ104" s="2581"/>
      <c r="AK104" s="2581"/>
      <c r="AL104" s="2581"/>
      <c r="AM104" s="2581"/>
      <c r="AN104" s="2581"/>
      <c r="AO104" s="2581"/>
      <c r="AP104" s="2581"/>
      <c r="AQ104" s="2581"/>
      <c r="AR104" s="2581"/>
      <c r="AS104" s="2581"/>
      <c r="AT104" s="2581"/>
      <c r="AU104" s="2581"/>
      <c r="AV104" s="2581"/>
      <c r="AW104" s="2581"/>
      <c r="AX104" s="187"/>
      <c r="AY104" s="2576">
        <f ca="1">'Intermediate output'!AY97</f>
        <v>0</v>
      </c>
      <c r="AZ104" s="2576">
        <f>'Intermediate output'!AZ97</f>
        <v>0</v>
      </c>
      <c r="BA104" s="2576">
        <f ca="1">'Intermediate output'!BA97</f>
        <v>0</v>
      </c>
      <c r="BB104" s="2576">
        <f ca="1">'Intermediate output'!BB97</f>
        <v>0</v>
      </c>
      <c r="BC104" s="2576">
        <f ca="1">'Intermediate output'!BC97</f>
        <v>0</v>
      </c>
      <c r="BD104" s="2576">
        <f ca="1">'Intermediate output'!BD97</f>
        <v>0</v>
      </c>
      <c r="BE104" s="2576">
        <f ca="1">'Intermediate output'!BE97</f>
        <v>0</v>
      </c>
      <c r="BF104" s="2576">
        <f ca="1">'Intermediate output'!BF97</f>
        <v>0</v>
      </c>
      <c r="BG104" s="2576">
        <f ca="1">'Intermediate output'!BG97</f>
        <v>0</v>
      </c>
      <c r="BH104" s="2576">
        <f ca="1">'Intermediate output'!BH97</f>
        <v>0</v>
      </c>
      <c r="BI104" s="2576">
        <f ca="1">'Intermediate output'!BI97</f>
        <v>0</v>
      </c>
      <c r="BJ104" s="2582"/>
      <c r="BK104" s="97"/>
    </row>
    <row r="105" spans="1:63" ht="4.5" customHeight="1">
      <c r="B105" s="193"/>
      <c r="C105" s="187"/>
      <c r="D105" s="187"/>
      <c r="E105" s="187"/>
      <c r="F105" s="187"/>
      <c r="G105" s="187"/>
      <c r="H105" s="2583"/>
      <c r="I105" s="2583"/>
      <c r="J105" s="2583"/>
      <c r="K105" s="2583"/>
      <c r="L105" s="2583"/>
      <c r="M105" s="2583"/>
      <c r="N105" s="2583"/>
      <c r="O105" s="2583"/>
      <c r="P105" s="2583"/>
      <c r="Q105" s="2583"/>
      <c r="R105" s="2583"/>
      <c r="S105" s="2583"/>
      <c r="T105" s="2583"/>
      <c r="U105" s="2583"/>
      <c r="V105" s="2583"/>
      <c r="W105" s="2583"/>
      <c r="X105" s="2583"/>
      <c r="Y105" s="2583"/>
      <c r="Z105" s="2583"/>
      <c r="AA105" s="2583"/>
      <c r="AB105" s="2583"/>
      <c r="AC105" s="2583"/>
      <c r="AD105" s="2583"/>
      <c r="AE105" s="2583"/>
      <c r="AF105" s="2583"/>
      <c r="AG105" s="2583"/>
      <c r="AH105" s="2583"/>
      <c r="AI105" s="2583"/>
      <c r="AJ105" s="2583"/>
      <c r="AK105" s="2583"/>
      <c r="AL105" s="2583"/>
      <c r="AM105" s="2583"/>
      <c r="AN105" s="2583"/>
      <c r="AO105" s="2583"/>
      <c r="AP105" s="2583"/>
      <c r="AQ105" s="2583"/>
      <c r="AR105" s="2583"/>
      <c r="AS105" s="2583"/>
      <c r="AT105" s="2583"/>
      <c r="AU105" s="2583"/>
      <c r="AV105" s="2583"/>
      <c r="AW105" s="2583"/>
      <c r="AX105" s="187"/>
      <c r="AY105" s="2576">
        <f>'Intermediate output'!AY98</f>
        <v>0</v>
      </c>
      <c r="AZ105" s="2576">
        <f>'Intermediate output'!AZ98</f>
        <v>0</v>
      </c>
      <c r="BA105" s="2576">
        <f>'Intermediate output'!BA98</f>
        <v>0</v>
      </c>
      <c r="BB105" s="2576">
        <f>'Intermediate output'!BB98</f>
        <v>0</v>
      </c>
      <c r="BC105" s="2576">
        <f>'Intermediate output'!BC98</f>
        <v>0</v>
      </c>
      <c r="BD105" s="2576">
        <f>'Intermediate output'!BD98</f>
        <v>0</v>
      </c>
      <c r="BE105" s="2576">
        <f>'Intermediate output'!BE98</f>
        <v>0</v>
      </c>
      <c r="BF105" s="2576">
        <f>'Intermediate output'!BF98</f>
        <v>0</v>
      </c>
      <c r="BG105" s="2576">
        <f>'Intermediate output'!BG98</f>
        <v>0</v>
      </c>
      <c r="BH105" s="2576">
        <f>'Intermediate output'!BH98</f>
        <v>0</v>
      </c>
      <c r="BI105" s="2576">
        <f>'Intermediate output'!BI98</f>
        <v>0</v>
      </c>
      <c r="BJ105" s="2577"/>
      <c r="BK105" s="22"/>
    </row>
    <row r="106" spans="1:63" s="37" customFormat="1" ht="18">
      <c r="B106" s="2584"/>
      <c r="C106" s="2585" t="s">
        <v>35</v>
      </c>
      <c r="D106" s="2585" t="s">
        <v>45</v>
      </c>
      <c r="E106" s="2585"/>
      <c r="F106" s="2585"/>
      <c r="G106" s="2585"/>
      <c r="H106" s="2586"/>
      <c r="I106" s="2586"/>
      <c r="J106" s="2586"/>
      <c r="K106" s="2586"/>
      <c r="L106" s="2586"/>
      <c r="M106" s="2586"/>
      <c r="N106" s="2586"/>
      <c r="O106" s="2586"/>
      <c r="P106" s="2586"/>
      <c r="Q106" s="2586"/>
      <c r="R106" s="2586"/>
      <c r="S106" s="2586"/>
      <c r="T106" s="2586"/>
      <c r="U106" s="2586"/>
      <c r="V106" s="2586"/>
      <c r="W106" s="2586"/>
      <c r="X106" s="2586"/>
      <c r="Y106" s="2586"/>
      <c r="Z106" s="2586"/>
      <c r="AA106" s="2586"/>
      <c r="AB106" s="2586"/>
      <c r="AC106" s="2586"/>
      <c r="AD106" s="2586"/>
      <c r="AE106" s="2586"/>
      <c r="AF106" s="2586"/>
      <c r="AG106" s="2586"/>
      <c r="AH106" s="2586"/>
      <c r="AI106" s="2586"/>
      <c r="AJ106" s="2586"/>
      <c r="AK106" s="2586"/>
      <c r="AL106" s="2586"/>
      <c r="AM106" s="2586"/>
      <c r="AN106" s="2586"/>
      <c r="AO106" s="2586"/>
      <c r="AP106" s="2586"/>
      <c r="AQ106" s="2586"/>
      <c r="AR106" s="2586"/>
      <c r="AS106" s="2586"/>
      <c r="AT106" s="2586"/>
      <c r="AU106" s="2586"/>
      <c r="AV106" s="2586"/>
      <c r="AW106" s="2586"/>
      <c r="AX106" s="2585"/>
      <c r="AY106" s="2576">
        <f ca="1">'Intermediate output'!AY99</f>
        <v>-195.08288504070401</v>
      </c>
      <c r="AZ106" s="2576">
        <f>'Intermediate output'!AZ99</f>
        <v>0</v>
      </c>
      <c r="BA106" s="2576">
        <f ca="1">'Intermediate output'!BA99</f>
        <v>-234.32332560745226</v>
      </c>
      <c r="BB106" s="2576">
        <f ca="1">'Intermediate output'!BB99</f>
        <v>-313.04693193832941</v>
      </c>
      <c r="BC106" s="2576">
        <f ca="1">'Intermediate output'!BC99</f>
        <v>-423.93802753088653</v>
      </c>
      <c r="BD106" s="2576">
        <f ca="1">'Intermediate output'!BD99</f>
        <v>-557.71159630953753</v>
      </c>
      <c r="BE106" s="2576">
        <f ca="1">'Intermediate output'!BE99</f>
        <v>-729.63510033996545</v>
      </c>
      <c r="BF106" s="2576">
        <f ca="1">'Intermediate output'!BF99</f>
        <v>-865.89214021991711</v>
      </c>
      <c r="BG106" s="2576">
        <f ca="1">'Intermediate output'!BG99</f>
        <v>-978.85350735662541</v>
      </c>
      <c r="BH106" s="2576">
        <f ca="1">'Intermediate output'!BH99</f>
        <v>-1090.2145534112278</v>
      </c>
      <c r="BI106" s="2576">
        <f ca="1">'Intermediate output'!BI99</f>
        <v>-1227.112144415446</v>
      </c>
      <c r="BJ106" s="2588"/>
      <c r="BK106" s="141"/>
    </row>
    <row r="107" spans="1:63" s="113" customFormat="1">
      <c r="B107" s="193"/>
      <c r="C107" s="2589"/>
      <c r="D107" s="2589" t="s">
        <v>1147</v>
      </c>
      <c r="E107" s="2585"/>
      <c r="F107" s="2590"/>
      <c r="G107" s="2590"/>
      <c r="H107" s="2591"/>
      <c r="I107" s="2591"/>
      <c r="J107" s="2591"/>
      <c r="K107" s="2591"/>
      <c r="L107" s="2591"/>
      <c r="M107" s="2591"/>
      <c r="N107" s="2591"/>
      <c r="O107" s="2591"/>
      <c r="P107" s="2591"/>
      <c r="Q107" s="2591"/>
      <c r="R107" s="2591"/>
      <c r="S107" s="2591"/>
      <c r="T107" s="2591"/>
      <c r="U107" s="2591"/>
      <c r="V107" s="2591"/>
      <c r="W107" s="2591"/>
      <c r="X107" s="2591"/>
      <c r="Y107" s="2591"/>
      <c r="Z107" s="2591"/>
      <c r="AA107" s="2591"/>
      <c r="AB107" s="2591"/>
      <c r="AC107" s="2591"/>
      <c r="AD107" s="2591"/>
      <c r="AE107" s="2591"/>
      <c r="AF107" s="2591"/>
      <c r="AG107" s="2591"/>
      <c r="AH107" s="2591"/>
      <c r="AI107" s="2591"/>
      <c r="AJ107" s="2591"/>
      <c r="AK107" s="2591"/>
      <c r="AL107" s="2591"/>
      <c r="AM107" s="2591"/>
      <c r="AN107" s="2591"/>
      <c r="AO107" s="2591"/>
      <c r="AP107" s="2591"/>
      <c r="AQ107" s="2591"/>
      <c r="AR107" s="2591"/>
      <c r="AS107" s="2591"/>
      <c r="AT107" s="2591"/>
      <c r="AU107" s="2591"/>
      <c r="AV107" s="2591"/>
      <c r="AW107" s="2591"/>
      <c r="AX107" s="2585"/>
      <c r="AY107" s="2576">
        <f ca="1">'Intermediate output'!AY100</f>
        <v>790.76970020552903</v>
      </c>
      <c r="AZ107" s="2576">
        <f>'Intermediate output'!AZ100</f>
        <v>0</v>
      </c>
      <c r="BA107" s="2576">
        <f ca="1">'Intermediate output'!BA100</f>
        <v>1032.7162873841003</v>
      </c>
      <c r="BB107" s="2576">
        <f ca="1">'Intermediate output'!BB100</f>
        <v>1455.8968093122937</v>
      </c>
      <c r="BC107" s="2576">
        <f ca="1">'Intermediate output'!BC100</f>
        <v>2063.9631330617644</v>
      </c>
      <c r="BD107" s="2576">
        <f ca="1">'Intermediate output'!BD100</f>
        <v>2848.3738320201105</v>
      </c>
      <c r="BE107" s="2576">
        <f ca="1">'Intermediate output'!BE100</f>
        <v>3900.1234784047756</v>
      </c>
      <c r="BF107" s="2576">
        <f ca="1">'Intermediate output'!BF100</f>
        <v>4836.305519548242</v>
      </c>
      <c r="BG107" s="2576">
        <f ca="1">'Intermediate output'!BG100</f>
        <v>5893.1577805937695</v>
      </c>
      <c r="BH107" s="2576">
        <f ca="1">'Intermediate output'!BH100</f>
        <v>6837.7731648973149</v>
      </c>
      <c r="BI107" s="2576">
        <f ca="1">'Intermediate output'!BI100</f>
        <v>7907.6694446155825</v>
      </c>
      <c r="BJ107" s="2592"/>
    </row>
    <row r="108" spans="1:63" s="113" customFormat="1">
      <c r="B108" s="2593"/>
      <c r="C108" s="2589"/>
      <c r="D108" s="2589" t="s">
        <v>1148</v>
      </c>
      <c r="E108" s="2585"/>
      <c r="F108" s="2590"/>
      <c r="G108" s="2590"/>
      <c r="H108" s="2591"/>
      <c r="I108" s="2591"/>
      <c r="J108" s="2591"/>
      <c r="K108" s="2591"/>
      <c r="L108" s="2591"/>
      <c r="M108" s="2591"/>
      <c r="N108" s="2591"/>
      <c r="O108" s="2591"/>
      <c r="P108" s="2591"/>
      <c r="Q108" s="2591"/>
      <c r="R108" s="2591"/>
      <c r="S108" s="2591"/>
      <c r="T108" s="2591"/>
      <c r="U108" s="2591"/>
      <c r="V108" s="2591"/>
      <c r="W108" s="2591"/>
      <c r="X108" s="2591"/>
      <c r="Y108" s="2591"/>
      <c r="Z108" s="2591"/>
      <c r="AA108" s="2591"/>
      <c r="AB108" s="2591"/>
      <c r="AC108" s="2591"/>
      <c r="AD108" s="2591"/>
      <c r="AE108" s="2591"/>
      <c r="AF108" s="2591"/>
      <c r="AG108" s="2591"/>
      <c r="AH108" s="2591"/>
      <c r="AI108" s="2591"/>
      <c r="AJ108" s="2591"/>
      <c r="AK108" s="2591"/>
      <c r="AL108" s="2591"/>
      <c r="AM108" s="2591"/>
      <c r="AN108" s="2591"/>
      <c r="AO108" s="2591"/>
      <c r="AP108" s="2591"/>
      <c r="AQ108" s="2591"/>
      <c r="AR108" s="2591"/>
      <c r="AS108" s="2591"/>
      <c r="AT108" s="2591"/>
      <c r="AU108" s="2591"/>
      <c r="AV108" s="2591"/>
      <c r="AW108" s="2591"/>
      <c r="AX108" s="2585"/>
      <c r="AY108" s="2576">
        <f ca="1">'Intermediate output'!AY101</f>
        <v>790.76970020552903</v>
      </c>
      <c r="AZ108" s="2576">
        <f>'Intermediate output'!AZ101</f>
        <v>0</v>
      </c>
      <c r="BA108" s="2576">
        <f ca="1">'Intermediate output'!BA101</f>
        <v>1032.7162873841003</v>
      </c>
      <c r="BB108" s="2576">
        <f ca="1">'Intermediate output'!BB101</f>
        <v>1455.8968093122935</v>
      </c>
      <c r="BC108" s="2576">
        <f ca="1">'Intermediate output'!BC101</f>
        <v>2063.963133061764</v>
      </c>
      <c r="BD108" s="2576">
        <f ca="1">'Intermediate output'!BD101</f>
        <v>2848.373832020111</v>
      </c>
      <c r="BE108" s="2576">
        <f ca="1">'Intermediate output'!BE101</f>
        <v>3900.1234784047761</v>
      </c>
      <c r="BF108" s="2576">
        <f ca="1">'Intermediate output'!BF101</f>
        <v>4836.305519548242</v>
      </c>
      <c r="BG108" s="2576">
        <f ca="1">'Intermediate output'!BG101</f>
        <v>5893.1577805937686</v>
      </c>
      <c r="BH108" s="2576">
        <f ca="1">'Intermediate output'!BH101</f>
        <v>6837.773164897314</v>
      </c>
      <c r="BI108" s="2576">
        <f ca="1">'Intermediate output'!BI101</f>
        <v>7907.6694446155816</v>
      </c>
      <c r="BJ108" s="2592"/>
    </row>
    <row r="109" spans="1:63">
      <c r="B109" s="2594"/>
      <c r="C109" s="187"/>
      <c r="D109" s="187"/>
      <c r="E109" s="187"/>
      <c r="F109" s="187"/>
      <c r="G109" s="187"/>
      <c r="H109" s="2583"/>
      <c r="I109" s="2583"/>
      <c r="J109" s="2583"/>
      <c r="K109" s="2583"/>
      <c r="L109" s="2583"/>
      <c r="M109" s="2583"/>
      <c r="N109" s="2583"/>
      <c r="O109" s="2583"/>
      <c r="P109" s="2583"/>
      <c r="Q109" s="2583"/>
      <c r="R109" s="2583"/>
      <c r="S109" s="2583"/>
      <c r="T109" s="2583"/>
      <c r="U109" s="2583"/>
      <c r="V109" s="2583"/>
      <c r="W109" s="2583"/>
      <c r="X109" s="2583"/>
      <c r="Y109" s="2583"/>
      <c r="Z109" s="2583"/>
      <c r="AA109" s="2583"/>
      <c r="AB109" s="2583"/>
      <c r="AC109" s="2583"/>
      <c r="AD109" s="2583"/>
      <c r="AE109" s="2583"/>
      <c r="AF109" s="2583"/>
      <c r="AG109" s="2583"/>
      <c r="AH109" s="2583"/>
      <c r="AI109" s="2583"/>
      <c r="AJ109" s="2583"/>
      <c r="AK109" s="2583"/>
      <c r="AL109" s="2583"/>
      <c r="AM109" s="2583"/>
      <c r="AN109" s="2583"/>
      <c r="AO109" s="2583"/>
      <c r="AP109" s="2583"/>
      <c r="AQ109" s="2583"/>
      <c r="AR109" s="2583"/>
      <c r="AS109" s="2583"/>
      <c r="AT109" s="2583"/>
      <c r="AU109" s="2583"/>
      <c r="AV109" s="2583"/>
      <c r="AW109" s="2583"/>
      <c r="AX109" s="187"/>
      <c r="AY109" s="2576">
        <f>'Intermediate output'!AY102</f>
        <v>0</v>
      </c>
      <c r="AZ109" s="2576">
        <f>'Intermediate output'!AZ102</f>
        <v>0</v>
      </c>
      <c r="BA109" s="2576">
        <f>'Intermediate output'!BA102</f>
        <v>0</v>
      </c>
      <c r="BB109" s="2576">
        <f>'Intermediate output'!BB102</f>
        <v>0</v>
      </c>
      <c r="BC109" s="2576">
        <f>'Intermediate output'!BC102</f>
        <v>0</v>
      </c>
      <c r="BD109" s="2576">
        <f>'Intermediate output'!BD102</f>
        <v>0</v>
      </c>
      <c r="BE109" s="2576">
        <f>'Intermediate output'!BE102</f>
        <v>0</v>
      </c>
      <c r="BF109" s="2576">
        <f>'Intermediate output'!BF102</f>
        <v>0</v>
      </c>
      <c r="BG109" s="2576">
        <f>'Intermediate output'!BG102</f>
        <v>0</v>
      </c>
      <c r="BH109" s="2576">
        <f>'Intermediate output'!BH102</f>
        <v>0</v>
      </c>
      <c r="BI109" s="2576">
        <f>'Intermediate output'!BI102</f>
        <v>0</v>
      </c>
      <c r="BJ109" s="194"/>
    </row>
    <row r="110" spans="1:63">
      <c r="B110" s="2594"/>
      <c r="C110" s="187"/>
      <c r="D110" s="187"/>
      <c r="E110" s="187"/>
      <c r="F110" s="187"/>
      <c r="G110" s="187"/>
      <c r="H110" s="2583"/>
      <c r="I110" s="2583"/>
      <c r="J110" s="2583"/>
      <c r="K110" s="2583"/>
      <c r="L110" s="2583"/>
      <c r="M110" s="2583"/>
      <c r="N110" s="2583"/>
      <c r="O110" s="2583"/>
      <c r="P110" s="2583"/>
      <c r="Q110" s="2583"/>
      <c r="R110" s="2583"/>
      <c r="S110" s="2583"/>
      <c r="T110" s="2583"/>
      <c r="U110" s="2583"/>
      <c r="V110" s="2583"/>
      <c r="W110" s="2583"/>
      <c r="X110" s="2583"/>
      <c r="Y110" s="2583"/>
      <c r="Z110" s="2583"/>
      <c r="AA110" s="2583"/>
      <c r="AB110" s="2583"/>
      <c r="AC110" s="2583"/>
      <c r="AD110" s="2583"/>
      <c r="AE110" s="2583"/>
      <c r="AF110" s="2583"/>
      <c r="AG110" s="2583"/>
      <c r="AH110" s="2583"/>
      <c r="AI110" s="2583"/>
      <c r="AJ110" s="2583"/>
      <c r="AK110" s="2583"/>
      <c r="AL110" s="2583"/>
      <c r="AM110" s="2583"/>
      <c r="AN110" s="2583"/>
      <c r="AO110" s="2583"/>
      <c r="AP110" s="2583"/>
      <c r="AQ110" s="2583"/>
      <c r="AR110" s="2583"/>
      <c r="AS110" s="2583"/>
      <c r="AT110" s="2583"/>
      <c r="AU110" s="2583"/>
      <c r="AV110" s="2583"/>
      <c r="AW110" s="2583"/>
      <c r="AX110" s="187"/>
      <c r="AY110" s="2576">
        <f>'Intermediate output'!AY103</f>
        <v>0</v>
      </c>
      <c r="AZ110" s="2576">
        <f>'Intermediate output'!AZ103</f>
        <v>0</v>
      </c>
      <c r="BA110" s="2576">
        <f>'Intermediate output'!BA103</f>
        <v>0</v>
      </c>
      <c r="BB110" s="2576">
        <f>'Intermediate output'!BB103</f>
        <v>0</v>
      </c>
      <c r="BC110" s="2576">
        <f>'Intermediate output'!BC103</f>
        <v>0</v>
      </c>
      <c r="BD110" s="2576">
        <f>'Intermediate output'!BD103</f>
        <v>0</v>
      </c>
      <c r="BE110" s="2576">
        <f>'Intermediate output'!BE103</f>
        <v>0</v>
      </c>
      <c r="BF110" s="2576">
        <f>'Intermediate output'!BF103</f>
        <v>0</v>
      </c>
      <c r="BG110" s="2576">
        <f>'Intermediate output'!BG103</f>
        <v>0</v>
      </c>
      <c r="BH110" s="2576">
        <f>'Intermediate output'!BH103</f>
        <v>0</v>
      </c>
      <c r="BI110" s="2576">
        <f>'Intermediate output'!BI103</f>
        <v>0</v>
      </c>
      <c r="BJ110" s="194"/>
    </row>
    <row r="111" spans="1:63">
      <c r="B111" s="1502"/>
      <c r="C111" s="187" t="s">
        <v>48</v>
      </c>
      <c r="D111" s="187" t="str">
        <f>INDEX(Vectors[Description],MATCH($C111,Vectors[Code],0))</f>
        <v>Unallocated</v>
      </c>
      <c r="E111" s="187"/>
      <c r="F111" s="2576"/>
      <c r="G111" s="2576"/>
      <c r="H111" s="2595"/>
      <c r="I111" s="2595"/>
      <c r="J111" s="2595"/>
      <c r="K111" s="2595"/>
      <c r="L111" s="2595"/>
      <c r="M111" s="2595"/>
      <c r="N111" s="2595"/>
      <c r="O111" s="2595"/>
      <c r="P111" s="2595"/>
      <c r="Q111" s="2595"/>
      <c r="R111" s="2595"/>
      <c r="S111" s="2595"/>
      <c r="T111" s="2595"/>
      <c r="U111" s="2595"/>
      <c r="V111" s="2595"/>
      <c r="W111" s="2595"/>
      <c r="X111" s="2595"/>
      <c r="Y111" s="2595"/>
      <c r="Z111" s="2595"/>
      <c r="AA111" s="2595"/>
      <c r="AB111" s="2595"/>
      <c r="AC111" s="2595"/>
      <c r="AD111" s="2595"/>
      <c r="AE111" s="2595"/>
      <c r="AF111" s="2595"/>
      <c r="AG111" s="2595"/>
      <c r="AH111" s="2595"/>
      <c r="AI111" s="2595"/>
      <c r="AJ111" s="2595"/>
      <c r="AK111" s="2595"/>
      <c r="AL111" s="2595"/>
      <c r="AM111" s="2595"/>
      <c r="AN111" s="2595"/>
      <c r="AO111" s="2595"/>
      <c r="AP111" s="2595"/>
      <c r="AQ111" s="2595"/>
      <c r="AR111" s="2595"/>
      <c r="AS111" s="2595"/>
      <c r="AT111" s="2595"/>
      <c r="AU111" s="2595"/>
      <c r="AV111" s="2595"/>
      <c r="AW111" s="2595"/>
      <c r="AX111" s="187"/>
      <c r="AY111" s="2576">
        <f ca="1">'Intermediate output'!AY104</f>
        <v>0</v>
      </c>
      <c r="AZ111" s="2576">
        <f>'Intermediate output'!AZ104</f>
        <v>0</v>
      </c>
      <c r="BA111" s="2576">
        <f ca="1">'Intermediate output'!BA104</f>
        <v>0</v>
      </c>
      <c r="BB111" s="2576">
        <f ca="1">'Intermediate output'!BB104</f>
        <v>0</v>
      </c>
      <c r="BC111" s="2576">
        <f ca="1">'Intermediate output'!BC104</f>
        <v>0</v>
      </c>
      <c r="BD111" s="2576">
        <f ca="1">'Intermediate output'!BD104</f>
        <v>0</v>
      </c>
      <c r="BE111" s="2576">
        <f ca="1">'Intermediate output'!BE104</f>
        <v>-9.0949470177292824E-12</v>
      </c>
      <c r="BF111" s="2576">
        <f ca="1">'Intermediate output'!BF104</f>
        <v>0</v>
      </c>
      <c r="BG111" s="2576">
        <f ca="1">'Intermediate output'!BG104</f>
        <v>0</v>
      </c>
      <c r="BH111" s="2576">
        <f ca="1">'Intermediate output'!BH104</f>
        <v>0</v>
      </c>
      <c r="BI111" s="2576">
        <f ca="1">'Intermediate output'!BI104</f>
        <v>0</v>
      </c>
      <c r="BJ111" s="2577"/>
      <c r="BK111" s="22"/>
    </row>
    <row r="112" spans="1:63" ht="4.5" customHeight="1">
      <c r="B112" s="193"/>
      <c r="C112" s="187"/>
      <c r="D112" s="187"/>
      <c r="E112" s="187"/>
      <c r="F112" s="2574"/>
      <c r="G112" s="2574"/>
      <c r="H112" s="2575"/>
      <c r="I112" s="2575"/>
      <c r="J112" s="2575"/>
      <c r="K112" s="2575"/>
      <c r="L112" s="2575"/>
      <c r="M112" s="2575"/>
      <c r="N112" s="2575"/>
      <c r="O112" s="2575"/>
      <c r="P112" s="2575"/>
      <c r="Q112" s="2575"/>
      <c r="R112" s="2575"/>
      <c r="S112" s="2575"/>
      <c r="T112" s="2575"/>
      <c r="U112" s="2575"/>
      <c r="V112" s="2575"/>
      <c r="W112" s="2575"/>
      <c r="X112" s="2575"/>
      <c r="Y112" s="2575"/>
      <c r="Z112" s="2575"/>
      <c r="AA112" s="2575"/>
      <c r="AB112" s="2575"/>
      <c r="AC112" s="2575"/>
      <c r="AD112" s="2575"/>
      <c r="AE112" s="2575"/>
      <c r="AF112" s="2575"/>
      <c r="AG112" s="2575"/>
      <c r="AH112" s="2575"/>
      <c r="AI112" s="2575"/>
      <c r="AJ112" s="2575"/>
      <c r="AK112" s="2575"/>
      <c r="AL112" s="2575"/>
      <c r="AM112" s="2575"/>
      <c r="AN112" s="2575"/>
      <c r="AO112" s="2575"/>
      <c r="AP112" s="2575"/>
      <c r="AQ112" s="2575"/>
      <c r="AR112" s="2575"/>
      <c r="AS112" s="2575"/>
      <c r="AT112" s="2575"/>
      <c r="AU112" s="2575"/>
      <c r="AV112" s="2575"/>
      <c r="AW112" s="2575"/>
      <c r="AX112" s="187"/>
      <c r="AY112" s="2576">
        <f>'Intermediate output'!AY105</f>
        <v>0</v>
      </c>
      <c r="AZ112" s="2576">
        <f>'Intermediate output'!AZ105</f>
        <v>0</v>
      </c>
      <c r="BA112" s="2576">
        <f>'Intermediate output'!BA105</f>
        <v>0</v>
      </c>
      <c r="BB112" s="2576">
        <f>'Intermediate output'!BB105</f>
        <v>0</v>
      </c>
      <c r="BC112" s="2576">
        <f>'Intermediate output'!BC105</f>
        <v>0</v>
      </c>
      <c r="BD112" s="2576">
        <f>'Intermediate output'!BD105</f>
        <v>0</v>
      </c>
      <c r="BE112" s="2576">
        <f>'Intermediate output'!BE105</f>
        <v>0</v>
      </c>
      <c r="BF112" s="2576">
        <f>'Intermediate output'!BF105</f>
        <v>0</v>
      </c>
      <c r="BG112" s="2576">
        <f>'Intermediate output'!BG105</f>
        <v>0</v>
      </c>
      <c r="BH112" s="2576">
        <f>'Intermediate output'!BH105</f>
        <v>0</v>
      </c>
      <c r="BI112" s="2576">
        <f>'Intermediate output'!BI105</f>
        <v>0</v>
      </c>
      <c r="BJ112" s="194"/>
    </row>
    <row r="113" spans="1:64" s="51" customFormat="1">
      <c r="B113" s="193"/>
      <c r="C113" s="189"/>
      <c r="D113" s="2578" t="s">
        <v>1149</v>
      </c>
      <c r="E113" s="187"/>
      <c r="F113" s="2579"/>
      <c r="G113" s="2580"/>
      <c r="H113" s="2581"/>
      <c r="I113" s="2581"/>
      <c r="J113" s="2581"/>
      <c r="K113" s="2581"/>
      <c r="L113" s="2581"/>
      <c r="M113" s="2581"/>
      <c r="N113" s="2581"/>
      <c r="O113" s="2581"/>
      <c r="P113" s="2581"/>
      <c r="Q113" s="2581"/>
      <c r="R113" s="2581"/>
      <c r="S113" s="2581"/>
      <c r="T113" s="2581"/>
      <c r="U113" s="2581"/>
      <c r="V113" s="2581"/>
      <c r="W113" s="2581"/>
      <c r="X113" s="2581"/>
      <c r="Y113" s="2581"/>
      <c r="Z113" s="2581"/>
      <c r="AA113" s="2581"/>
      <c r="AB113" s="2581"/>
      <c r="AC113" s="2581"/>
      <c r="AD113" s="2581"/>
      <c r="AE113" s="2581"/>
      <c r="AF113" s="2581"/>
      <c r="AG113" s="2581"/>
      <c r="AH113" s="2581"/>
      <c r="AI113" s="2581"/>
      <c r="AJ113" s="2581"/>
      <c r="AK113" s="2581"/>
      <c r="AL113" s="2581"/>
      <c r="AM113" s="2581"/>
      <c r="AN113" s="2581"/>
      <c r="AO113" s="2581"/>
      <c r="AP113" s="2581"/>
      <c r="AQ113" s="2581"/>
      <c r="AR113" s="2581"/>
      <c r="AS113" s="2581"/>
      <c r="AT113" s="2581"/>
      <c r="AU113" s="2581"/>
      <c r="AV113" s="2581"/>
      <c r="AW113" s="2581"/>
      <c r="AX113" s="187"/>
      <c r="AY113" s="2576">
        <f ca="1">'Intermediate output'!AY106</f>
        <v>4.5474735088646412E-13</v>
      </c>
      <c r="AZ113" s="2576">
        <f>'Intermediate output'!AZ106</f>
        <v>0</v>
      </c>
      <c r="BA113" s="2576">
        <f ca="1">'Intermediate output'!BA106</f>
        <v>0</v>
      </c>
      <c r="BB113" s="2576">
        <f ca="1">'Intermediate output'!BB106</f>
        <v>0</v>
      </c>
      <c r="BC113" s="2576">
        <f ca="1">'Intermediate output'!BC106</f>
        <v>-1.8189894035458565E-12</v>
      </c>
      <c r="BD113" s="2576">
        <f ca="1">'Intermediate output'!BD106</f>
        <v>1.8189894035458565E-12</v>
      </c>
      <c r="BE113" s="2576">
        <f ca="1">'Intermediate output'!BE106</f>
        <v>-1.2732925824820995E-11</v>
      </c>
      <c r="BF113" s="2576">
        <f ca="1">'Intermediate output'!BF106</f>
        <v>0</v>
      </c>
      <c r="BG113" s="2576">
        <f ca="1">'Intermediate output'!BG106</f>
        <v>0</v>
      </c>
      <c r="BH113" s="2576">
        <f ca="1">'Intermediate output'!BH106</f>
        <v>4.2064129956997931E-12</v>
      </c>
      <c r="BI113" s="2576">
        <f ca="1">'Intermediate output'!BI106</f>
        <v>-7.9403150721191196E-13</v>
      </c>
      <c r="BJ113" s="2596"/>
    </row>
    <row r="114" spans="1:64" s="242" customFormat="1">
      <c r="B114" s="631"/>
      <c r="C114" s="35"/>
      <c r="D114" s="35"/>
      <c r="E114" s="35"/>
      <c r="F114" s="35"/>
      <c r="G114" s="35"/>
      <c r="H114" s="1203"/>
      <c r="I114" s="1203"/>
      <c r="J114" s="1203"/>
      <c r="K114" s="1203"/>
      <c r="L114" s="1203"/>
      <c r="M114" s="1203"/>
      <c r="N114" s="1203"/>
      <c r="O114" s="1203"/>
      <c r="P114" s="1203"/>
      <c r="Q114" s="1203"/>
      <c r="R114" s="1203"/>
      <c r="S114" s="1203"/>
      <c r="T114" s="1203"/>
      <c r="U114" s="1203"/>
      <c r="V114" s="1203"/>
      <c r="W114" s="1203"/>
      <c r="X114" s="1203"/>
      <c r="Y114" s="1203"/>
      <c r="Z114" s="1203"/>
      <c r="AA114" s="1203"/>
      <c r="AB114" s="1203"/>
      <c r="AC114" s="1203"/>
      <c r="AD114" s="1203"/>
      <c r="AE114" s="1203"/>
      <c r="AF114" s="1203"/>
      <c r="AG114" s="1203"/>
      <c r="AH114" s="1203"/>
      <c r="AI114" s="1203"/>
      <c r="AJ114" s="1203"/>
      <c r="AK114" s="1203"/>
      <c r="AL114" s="1203"/>
      <c r="AM114" s="1203"/>
      <c r="AN114" s="1203"/>
      <c r="AO114" s="1203"/>
      <c r="AP114" s="1203"/>
      <c r="AQ114" s="1203"/>
      <c r="AR114" s="1203"/>
      <c r="AS114" s="1203"/>
      <c r="AT114" s="1203"/>
      <c r="AU114" s="1203"/>
      <c r="AV114" s="1203"/>
      <c r="AW114" s="1203"/>
      <c r="AX114" s="35"/>
      <c r="AY114" s="35"/>
      <c r="AZ114" s="35"/>
      <c r="BA114" s="35"/>
      <c r="BB114" s="35"/>
      <c r="BC114" s="35"/>
      <c r="BD114" s="35"/>
      <c r="BE114" s="35"/>
      <c r="BF114" s="35"/>
      <c r="BG114" s="35"/>
      <c r="BH114" s="35"/>
      <c r="BI114" s="35"/>
      <c r="BJ114" s="632"/>
    </row>
    <row r="115" spans="1:64" ht="22.5">
      <c r="A115" s="420"/>
      <c r="B115" s="1194" t="s">
        <v>401</v>
      </c>
      <c r="C115" s="1195"/>
      <c r="D115" s="1195"/>
      <c r="E115" s="1195"/>
      <c r="F115" s="1195"/>
      <c r="G115" s="1195"/>
      <c r="H115" s="1196"/>
      <c r="I115" s="1196"/>
      <c r="J115" s="1196"/>
      <c r="K115" s="1196"/>
      <c r="L115" s="1196"/>
      <c r="M115" s="1196"/>
      <c r="N115" s="1196"/>
      <c r="O115" s="1196"/>
      <c r="P115" s="1196"/>
      <c r="Q115" s="1196"/>
      <c r="R115" s="1196"/>
      <c r="S115" s="1196"/>
      <c r="T115" s="1196"/>
      <c r="U115" s="1196"/>
      <c r="V115" s="1196"/>
      <c r="W115" s="1196"/>
      <c r="X115" s="1196"/>
      <c r="Y115" s="1196"/>
      <c r="Z115" s="1196"/>
      <c r="AA115" s="1196"/>
      <c r="AB115" s="1196"/>
      <c r="AC115" s="1196"/>
      <c r="AD115" s="1196"/>
      <c r="AE115" s="1196"/>
      <c r="AF115" s="1196"/>
      <c r="AG115" s="1196"/>
      <c r="AH115" s="1196"/>
      <c r="AI115" s="1196"/>
      <c r="AJ115" s="1196"/>
      <c r="AK115" s="1196"/>
      <c r="AL115" s="1196"/>
      <c r="AM115" s="1196"/>
      <c r="AN115" s="1196"/>
      <c r="AO115" s="1196"/>
      <c r="AP115" s="1196"/>
      <c r="AQ115" s="1196"/>
      <c r="AR115" s="1196"/>
      <c r="AS115" s="1196"/>
      <c r="AT115" s="1196"/>
      <c r="AU115" s="1196"/>
      <c r="AV115" s="1196"/>
      <c r="AW115" s="1196"/>
      <c r="AX115" s="1195"/>
      <c r="AY115" s="1197"/>
      <c r="AZ115" s="1197"/>
      <c r="BA115" s="1197"/>
      <c r="BB115" s="1197"/>
      <c r="BC115" s="1197"/>
      <c r="BD115" s="1197"/>
      <c r="BE115" s="1197"/>
      <c r="BF115" s="1197"/>
      <c r="BG115" s="1197"/>
      <c r="BH115" s="1197"/>
      <c r="BI115" s="1197"/>
      <c r="BJ115" s="1198"/>
    </row>
    <row r="116" spans="1:64" s="242" customFormat="1">
      <c r="A116" s="1204"/>
      <c r="B116" s="193"/>
      <c r="C116" s="187"/>
      <c r="D116" s="191"/>
      <c r="E116" s="191"/>
      <c r="F116" s="191"/>
      <c r="G116" s="191"/>
      <c r="H116" s="2570"/>
      <c r="I116" s="2570"/>
      <c r="J116" s="2570"/>
      <c r="K116" s="2570"/>
      <c r="L116" s="2570"/>
      <c r="M116" s="2570"/>
      <c r="N116" s="2570"/>
      <c r="O116" s="2570"/>
      <c r="P116" s="2570"/>
      <c r="Q116" s="2570"/>
      <c r="R116" s="2570"/>
      <c r="S116" s="2570"/>
      <c r="T116" s="2570"/>
      <c r="U116" s="2570"/>
      <c r="V116" s="2570"/>
      <c r="W116" s="2570"/>
      <c r="X116" s="2570"/>
      <c r="Y116" s="2570"/>
      <c r="Z116" s="2570"/>
      <c r="AA116" s="2570"/>
      <c r="AB116" s="2570"/>
      <c r="AC116" s="2570"/>
      <c r="AD116" s="2570"/>
      <c r="AE116" s="2570"/>
      <c r="AF116" s="2570"/>
      <c r="AG116" s="2570"/>
      <c r="AH116" s="2570"/>
      <c r="AI116" s="2570"/>
      <c r="AJ116" s="2570"/>
      <c r="AK116" s="2570"/>
      <c r="AL116" s="2570"/>
      <c r="AM116" s="2570"/>
      <c r="AN116" s="2570"/>
      <c r="AO116" s="2570"/>
      <c r="AP116" s="2570"/>
      <c r="AQ116" s="2570"/>
      <c r="AR116" s="2570"/>
      <c r="AS116" s="2570"/>
      <c r="AT116" s="2570"/>
      <c r="AU116" s="2570"/>
      <c r="AV116" s="2570"/>
      <c r="AW116" s="2570"/>
      <c r="AX116" s="191"/>
      <c r="AY116" s="2571"/>
      <c r="AZ116" s="2576"/>
      <c r="BA116" s="2576"/>
      <c r="BB116" s="2576"/>
      <c r="BC116" s="2576"/>
      <c r="BD116" s="2576"/>
      <c r="BE116" s="2576"/>
      <c r="BF116" s="2576"/>
      <c r="BG116" s="2576"/>
      <c r="BH116" s="2576"/>
      <c r="BI116" s="2576"/>
      <c r="BJ116" s="2577"/>
    </row>
    <row r="117" spans="1:64" ht="15.75">
      <c r="B117" s="2573"/>
      <c r="C117" s="187" t="s">
        <v>35</v>
      </c>
      <c r="D117" s="2600" t="str">
        <f>preferences.energyunits&amp;"/year"</f>
        <v>TWh/year</v>
      </c>
      <c r="E117" s="187"/>
      <c r="F117" s="2600"/>
      <c r="G117" s="187"/>
      <c r="H117" s="2583"/>
      <c r="I117" s="2583"/>
      <c r="J117" s="2583"/>
      <c r="K117" s="2583"/>
      <c r="L117" s="2583"/>
      <c r="M117" s="2583"/>
      <c r="N117" s="2583"/>
      <c r="O117" s="2583"/>
      <c r="P117" s="2583"/>
      <c r="Q117" s="2583"/>
      <c r="R117" s="2583"/>
      <c r="S117" s="2583"/>
      <c r="T117" s="2583"/>
      <c r="U117" s="2583"/>
      <c r="V117" s="2583"/>
      <c r="W117" s="2583"/>
      <c r="X117" s="2583"/>
      <c r="Y117" s="2583"/>
      <c r="Z117" s="2583"/>
      <c r="AA117" s="2583"/>
      <c r="AB117" s="2583"/>
      <c r="AC117" s="2583"/>
      <c r="AD117" s="2583"/>
      <c r="AE117" s="2583"/>
      <c r="AF117" s="2583"/>
      <c r="AG117" s="2583"/>
      <c r="AH117" s="2583"/>
      <c r="AI117" s="2583"/>
      <c r="AJ117" s="2583"/>
      <c r="AK117" s="2583"/>
      <c r="AL117" s="2583"/>
      <c r="AM117" s="2583"/>
      <c r="AN117" s="2583"/>
      <c r="AO117" s="2583"/>
      <c r="AP117" s="2583"/>
      <c r="AQ117" s="2583"/>
      <c r="AR117" s="2583"/>
      <c r="AS117" s="2583"/>
      <c r="AT117" s="2583"/>
      <c r="AU117" s="2583"/>
      <c r="AV117" s="2583"/>
      <c r="AW117" s="2583"/>
      <c r="AX117" s="187"/>
      <c r="AY117" s="2601">
        <v>2007</v>
      </c>
      <c r="AZ117" s="2601"/>
      <c r="BA117" s="2601">
        <f>AY117+5</f>
        <v>2012</v>
      </c>
      <c r="BB117" s="2601">
        <f t="shared" ref="BB117:BI117" si="15">BA117+5</f>
        <v>2017</v>
      </c>
      <c r="BC117" s="2601">
        <f t="shared" si="15"/>
        <v>2022</v>
      </c>
      <c r="BD117" s="2601">
        <f t="shared" si="15"/>
        <v>2027</v>
      </c>
      <c r="BE117" s="2601">
        <f t="shared" si="15"/>
        <v>2032</v>
      </c>
      <c r="BF117" s="2601">
        <f t="shared" si="15"/>
        <v>2037</v>
      </c>
      <c r="BG117" s="2601">
        <f t="shared" si="15"/>
        <v>2042</v>
      </c>
      <c r="BH117" s="2601">
        <f t="shared" si="15"/>
        <v>2047</v>
      </c>
      <c r="BI117" s="2601">
        <f t="shared" si="15"/>
        <v>2052</v>
      </c>
      <c r="BJ117" s="194"/>
    </row>
    <row r="118" spans="1:64" ht="15.75">
      <c r="B118" s="2597"/>
      <c r="C118" s="1503" t="s">
        <v>248</v>
      </c>
      <c r="D118" s="187" t="str">
        <f>INDEX(Modules[Module], MATCH($C118, Modules[Code], 0))</f>
        <v>Gas Power Stations</v>
      </c>
      <c r="E118" s="1503"/>
      <c r="F118" s="2576"/>
      <c r="G118" s="2576"/>
      <c r="H118" s="2595"/>
      <c r="I118" s="2595"/>
      <c r="J118" s="2595"/>
      <c r="K118" s="2595"/>
      <c r="L118" s="2595"/>
      <c r="M118" s="2595"/>
      <c r="N118" s="2595"/>
      <c r="O118" s="2595"/>
      <c r="P118" s="2595"/>
      <c r="Q118" s="2595"/>
      <c r="R118" s="2595"/>
      <c r="S118" s="2595"/>
      <c r="T118" s="2595"/>
      <c r="U118" s="2595"/>
      <c r="V118" s="2595"/>
      <c r="W118" s="2595"/>
      <c r="X118" s="2595"/>
      <c r="Y118" s="2595"/>
      <c r="Z118" s="2595"/>
      <c r="AA118" s="2595"/>
      <c r="AB118" s="2595"/>
      <c r="AC118" s="2595"/>
      <c r="AD118" s="2595"/>
      <c r="AE118" s="2595"/>
      <c r="AF118" s="2595"/>
      <c r="AG118" s="2595"/>
      <c r="AH118" s="2595">
        <f>221.2*Unit.TWh</f>
        <v>221.2</v>
      </c>
      <c r="AI118" s="2595">
        <f>214.6*Unit.TWh</f>
        <v>214.6</v>
      </c>
      <c r="AJ118" s="2595">
        <f>221.2*Unit.TWh</f>
        <v>221.2</v>
      </c>
      <c r="AK118" s="2595">
        <f>226.3*Unit.TWh</f>
        <v>226.3</v>
      </c>
      <c r="AL118" s="2595">
        <f>241.6*Unit.TWh</f>
        <v>241.6</v>
      </c>
      <c r="AM118" s="2595">
        <f>248.5*Unit.TWh</f>
        <v>248.5</v>
      </c>
      <c r="AN118" s="2595">
        <f>250.7*Unit.TWh</f>
        <v>250.7</v>
      </c>
      <c r="AO118" s="2595">
        <f>258.7*Unit.TWh</f>
        <v>258.7</v>
      </c>
      <c r="AP118" s="2595">
        <f>262.6*Unit.TWh</f>
        <v>262.60000000000002</v>
      </c>
      <c r="AQ118" s="2595">
        <f>264.2*Unit.TWh</f>
        <v>264.2</v>
      </c>
      <c r="AR118" s="2595">
        <f>267.6*Unit.TWh</f>
        <v>267.60000000000002</v>
      </c>
      <c r="AS118" s="2595">
        <f>276.5*Unit.TWh</f>
        <v>276.5</v>
      </c>
      <c r="AT118" s="2595">
        <f>279.3*Unit.TWh</f>
        <v>279.3</v>
      </c>
      <c r="AU118" s="2595">
        <f>250.1*Unit.TWh</f>
        <v>250.1</v>
      </c>
      <c r="AV118" s="2595">
        <f>263.1*Unit.TWh</f>
        <v>263.10000000000002</v>
      </c>
      <c r="AW118" s="2595" t="s">
        <v>1150</v>
      </c>
      <c r="AX118" s="1503"/>
      <c r="AY118" s="2576">
        <f ca="1">'Intermediate output'!AY111</f>
        <v>64.008837597600007</v>
      </c>
      <c r="AZ118" s="2576">
        <f>'Intermediate output'!AZ111</f>
        <v>0</v>
      </c>
      <c r="BA118" s="2576">
        <f ca="1">'Intermediate output'!BA111</f>
        <v>96.596143677000001</v>
      </c>
      <c r="BB118" s="2576">
        <f ca="1">'Intermediate output'!BB111</f>
        <v>109.8605340414</v>
      </c>
      <c r="BC118" s="2576">
        <f ca="1">'Intermediate output'!BC111</f>
        <v>109.8605340414</v>
      </c>
      <c r="BD118" s="2576">
        <f ca="1">'Intermediate output'!BD111</f>
        <v>109.8605340414</v>
      </c>
      <c r="BE118" s="2576">
        <f ca="1">'Intermediate output'!BE111</f>
        <v>109.8605340414</v>
      </c>
      <c r="BF118" s="2576">
        <f ca="1">'Intermediate output'!BF111</f>
        <v>109.8605340414</v>
      </c>
      <c r="BG118" s="2576">
        <f ca="1">'Intermediate output'!BG111</f>
        <v>109.8605340414</v>
      </c>
      <c r="BH118" s="2576">
        <f ca="1">'Intermediate output'!BH111</f>
        <v>109.8605340414</v>
      </c>
      <c r="BI118" s="2576">
        <f ca="1">'Intermediate output'!BI111</f>
        <v>109.8605340414</v>
      </c>
      <c r="BJ118" s="194"/>
      <c r="BL118" s="15"/>
    </row>
    <row r="119" spans="1:64" s="410" customFormat="1">
      <c r="B119" s="193"/>
      <c r="C119" s="2598" t="s">
        <v>278</v>
      </c>
      <c r="D119" s="187" t="str">
        <f>INDEX(Modules[Module], MATCH($C119, Modules[Code], 0))</f>
        <v>Coal power stations</v>
      </c>
      <c r="E119" s="1503"/>
      <c r="F119" s="2602"/>
      <c r="G119" s="2602"/>
      <c r="H119" s="2603"/>
      <c r="I119" s="2603"/>
      <c r="J119" s="2603"/>
      <c r="K119" s="2603"/>
      <c r="L119" s="2603"/>
      <c r="M119" s="2603"/>
      <c r="N119" s="2603"/>
      <c r="O119" s="2603"/>
      <c r="P119" s="2603"/>
      <c r="Q119" s="2603"/>
      <c r="R119" s="2603"/>
      <c r="S119" s="2603"/>
      <c r="T119" s="2603"/>
      <c r="U119" s="2603"/>
      <c r="V119" s="2603"/>
      <c r="W119" s="2603"/>
      <c r="X119" s="2603"/>
      <c r="Y119" s="2603"/>
      <c r="Z119" s="2603"/>
      <c r="AA119" s="2603"/>
      <c r="AB119" s="2603"/>
      <c r="AC119" s="2603"/>
      <c r="AD119" s="2603"/>
      <c r="AE119" s="2603"/>
      <c r="AF119" s="2603"/>
      <c r="AG119" s="2603"/>
      <c r="AH119" s="2603"/>
      <c r="AI119" s="2603"/>
      <c r="AJ119" s="2603"/>
      <c r="AK119" s="2603"/>
      <c r="AL119" s="2603"/>
      <c r="AM119" s="2603"/>
      <c r="AN119" s="2603"/>
      <c r="AO119" s="2603"/>
      <c r="AP119" s="2603"/>
      <c r="AQ119" s="2603"/>
      <c r="AR119" s="2603"/>
      <c r="AS119" s="2603"/>
      <c r="AT119" s="2603"/>
      <c r="AU119" s="2603"/>
      <c r="AV119" s="2603"/>
      <c r="AW119" s="2603"/>
      <c r="AX119" s="1503"/>
      <c r="AY119" s="2576">
        <f ca="1">'Intermediate output'!AY112</f>
        <v>489.68979840000003</v>
      </c>
      <c r="AZ119" s="2576">
        <f>'Intermediate output'!AZ112</f>
        <v>0</v>
      </c>
      <c r="BA119" s="2576">
        <f ca="1">'Intermediate output'!BA112</f>
        <v>710.86285644904808</v>
      </c>
      <c r="BB119" s="2576">
        <f ca="1">'Intermediate output'!BB112</f>
        <v>987.43322456128158</v>
      </c>
      <c r="BC119" s="2576">
        <f ca="1">'Intermediate output'!BC112</f>
        <v>936.05697418960165</v>
      </c>
      <c r="BD119" s="2576">
        <f ca="1">'Intermediate output'!BD112</f>
        <v>857.50498844560173</v>
      </c>
      <c r="BE119" s="2576">
        <f ca="1">'Intermediate output'!BE112</f>
        <v>774.08352476560174</v>
      </c>
      <c r="BF119" s="2576">
        <f ca="1">'Intermediate output'!BF112</f>
        <v>711.69800024920607</v>
      </c>
      <c r="BG119" s="2576">
        <f ca="1">'Intermediate output'!BG112</f>
        <v>631.66170278920595</v>
      </c>
      <c r="BH119" s="2576">
        <f ca="1">'Intermediate output'!BH112</f>
        <v>563.12045398120586</v>
      </c>
      <c r="BI119" s="2576">
        <f ca="1">'Intermediate output'!BI112</f>
        <v>336.94328475400596</v>
      </c>
      <c r="BJ119" s="2604"/>
      <c r="BL119" s="1205"/>
    </row>
    <row r="120" spans="1:64" s="410" customFormat="1">
      <c r="B120" s="193"/>
      <c r="C120" s="2598" t="s">
        <v>696</v>
      </c>
      <c r="D120" s="187" t="str">
        <f>INDEX(Modules[Module], MATCH($C120, Modules[Code], 0))</f>
        <v>Carbon Capture Storage (CCS)</v>
      </c>
      <c r="E120" s="1503"/>
      <c r="F120" s="2602"/>
      <c r="G120" s="2602"/>
      <c r="H120" s="2603"/>
      <c r="I120" s="2603"/>
      <c r="J120" s="2603"/>
      <c r="K120" s="2603"/>
      <c r="L120" s="2603"/>
      <c r="M120" s="2603"/>
      <c r="N120" s="2603"/>
      <c r="O120" s="2603"/>
      <c r="P120" s="2603"/>
      <c r="Q120" s="2603"/>
      <c r="R120" s="2603"/>
      <c r="S120" s="2603"/>
      <c r="T120" s="2603"/>
      <c r="U120" s="2603"/>
      <c r="V120" s="2603"/>
      <c r="W120" s="2603"/>
      <c r="X120" s="2603"/>
      <c r="Y120" s="2603"/>
      <c r="Z120" s="2603"/>
      <c r="AA120" s="2603"/>
      <c r="AB120" s="2603"/>
      <c r="AC120" s="2603"/>
      <c r="AD120" s="2603"/>
      <c r="AE120" s="2603"/>
      <c r="AF120" s="2603"/>
      <c r="AG120" s="2603"/>
      <c r="AH120" s="2603"/>
      <c r="AI120" s="2603"/>
      <c r="AJ120" s="2603"/>
      <c r="AK120" s="2603"/>
      <c r="AL120" s="2603"/>
      <c r="AM120" s="2603"/>
      <c r="AN120" s="2603"/>
      <c r="AO120" s="2603"/>
      <c r="AP120" s="2603"/>
      <c r="AQ120" s="2603"/>
      <c r="AR120" s="2603"/>
      <c r="AS120" s="2603"/>
      <c r="AT120" s="2603"/>
      <c r="AU120" s="2603"/>
      <c r="AV120" s="2603"/>
      <c r="AW120" s="2603"/>
      <c r="AX120" s="1503"/>
      <c r="AY120" s="2576">
        <f ca="1">'Intermediate output'!AY113</f>
        <v>0</v>
      </c>
      <c r="AZ120" s="2576">
        <f>'Intermediate output'!AZ113</f>
        <v>0</v>
      </c>
      <c r="BA120" s="2576">
        <f ca="1">'Intermediate output'!BA113</f>
        <v>0</v>
      </c>
      <c r="BB120" s="2576">
        <f ca="1">'Intermediate output'!BB113</f>
        <v>0</v>
      </c>
      <c r="BC120" s="2576">
        <f ca="1">'Intermediate output'!BC113</f>
        <v>0</v>
      </c>
      <c r="BD120" s="2576">
        <f ca="1">'Intermediate output'!BD113</f>
        <v>0</v>
      </c>
      <c r="BE120" s="2576">
        <f ca="1">'Intermediate output'!BE113</f>
        <v>2.5772040000000001</v>
      </c>
      <c r="BF120" s="2576">
        <f ca="1">'Intermediate output'!BF113</f>
        <v>6.1362000000000005</v>
      </c>
      <c r="BG120" s="2576">
        <f ca="1">'Intermediate output'!BG113</f>
        <v>14.358708</v>
      </c>
      <c r="BH120" s="2576">
        <f ca="1">'Intermediate output'!BH113</f>
        <v>19.513116000000004</v>
      </c>
      <c r="BI120" s="2576">
        <f ca="1">'Intermediate output'!BI113</f>
        <v>27.244728000000002</v>
      </c>
      <c r="BJ120" s="2604"/>
      <c r="BL120" s="1205"/>
    </row>
    <row r="121" spans="1:64" s="410" customFormat="1">
      <c r="B121" s="2599"/>
      <c r="C121" s="2598" t="s">
        <v>1819</v>
      </c>
      <c r="D121" s="187" t="str">
        <f>INDEX(Modules[Module], MATCH($C121, Modules[Code], 0))</f>
        <v>Electricity Balancing Requirement</v>
      </c>
      <c r="E121" s="1503"/>
      <c r="F121" s="2602"/>
      <c r="G121" s="2602"/>
      <c r="H121" s="2603"/>
      <c r="I121" s="2603"/>
      <c r="J121" s="2603"/>
      <c r="K121" s="2603"/>
      <c r="L121" s="2603"/>
      <c r="M121" s="2603"/>
      <c r="N121" s="2603"/>
      <c r="O121" s="2603"/>
      <c r="P121" s="2603"/>
      <c r="Q121" s="2603"/>
      <c r="R121" s="2603"/>
      <c r="S121" s="2603"/>
      <c r="T121" s="2603"/>
      <c r="U121" s="2603"/>
      <c r="V121" s="2603"/>
      <c r="W121" s="2603"/>
      <c r="X121" s="2603"/>
      <c r="Y121" s="2603"/>
      <c r="Z121" s="2603"/>
      <c r="AA121" s="2603"/>
      <c r="AB121" s="2603"/>
      <c r="AC121" s="2603"/>
      <c r="AD121" s="2603"/>
      <c r="AE121" s="2603"/>
      <c r="AF121" s="2603"/>
      <c r="AG121" s="2603"/>
      <c r="AH121" s="2603">
        <f>221.2*Unit.TWh</f>
        <v>221.2</v>
      </c>
      <c r="AI121" s="2603">
        <f>214.6*Unit.TWh</f>
        <v>214.6</v>
      </c>
      <c r="AJ121" s="2603">
        <f>221.2*Unit.TWh</f>
        <v>221.2</v>
      </c>
      <c r="AK121" s="2603">
        <f>226.3*Unit.TWh</f>
        <v>226.3</v>
      </c>
      <c r="AL121" s="2603">
        <f>241.6*Unit.TWh</f>
        <v>241.6</v>
      </c>
      <c r="AM121" s="2603">
        <f>248.5*Unit.TWh</f>
        <v>248.5</v>
      </c>
      <c r="AN121" s="2603">
        <f>250.7*Unit.TWh</f>
        <v>250.7</v>
      </c>
      <c r="AO121" s="2603">
        <f>258.7*Unit.TWh</f>
        <v>258.7</v>
      </c>
      <c r="AP121" s="2603">
        <f>262.6*Unit.TWh</f>
        <v>262.60000000000002</v>
      </c>
      <c r="AQ121" s="2603">
        <f>264.2*Unit.TWh</f>
        <v>264.2</v>
      </c>
      <c r="AR121" s="2603">
        <f>267.6*Unit.TWh</f>
        <v>267.60000000000002</v>
      </c>
      <c r="AS121" s="2603">
        <f>276.5*Unit.TWh</f>
        <v>276.5</v>
      </c>
      <c r="AT121" s="2603">
        <f>279.3*Unit.TWh</f>
        <v>279.3</v>
      </c>
      <c r="AU121" s="2603">
        <f>250.1*Unit.TWh</f>
        <v>250.1</v>
      </c>
      <c r="AV121" s="2603">
        <f>263.1*Unit.TWh</f>
        <v>263.10000000000002</v>
      </c>
      <c r="AW121" s="2603" t="s">
        <v>1135</v>
      </c>
      <c r="AX121" s="2602">
        <f>AX118+AX119+AX120</f>
        <v>0</v>
      </c>
      <c r="AY121" s="2576">
        <f ca="1">'Intermediate output'!AY114</f>
        <v>57.253185663040085</v>
      </c>
      <c r="AZ121" s="2576">
        <f>'Intermediate output'!AZ114</f>
        <v>0</v>
      </c>
      <c r="BA121" s="2576">
        <f ca="1">'Intermediate output'!BA114</f>
        <v>2.5585518968521228</v>
      </c>
      <c r="BB121" s="2576">
        <f ca="1">'Intermediate output'!BB114</f>
        <v>26.676280792411944</v>
      </c>
      <c r="BC121" s="2576">
        <f ca="1">'Intermediate output'!BC114</f>
        <v>633.96028414856255</v>
      </c>
      <c r="BD121" s="2576">
        <f ca="1">'Intermediate output'!BD114</f>
        <v>1436.0672738769088</v>
      </c>
      <c r="BE121" s="2576">
        <f ca="1">'Intermediate output'!BE114</f>
        <v>2499.5140421615743</v>
      </c>
      <c r="BF121" s="2576">
        <f ca="1">'Intermediate output'!BF114</f>
        <v>3442.540621324436</v>
      </c>
      <c r="BG121" s="2576">
        <f ca="1">'Intermediate output'!BG114</f>
        <v>4538.886109711163</v>
      </c>
      <c r="BH121" s="2576">
        <f ca="1">'Intermediate output'!BH114</f>
        <v>5541.1197894407087</v>
      </c>
      <c r="BI121" s="2576">
        <f ca="1">'Intermediate output'!BI114</f>
        <v>6841.2588476361761</v>
      </c>
      <c r="BJ121" s="2604"/>
      <c r="BL121" s="1205"/>
    </row>
    <row r="122" spans="1:64" s="410" customFormat="1">
      <c r="B122" s="2599"/>
      <c r="C122" s="2598"/>
      <c r="D122" s="186" t="s">
        <v>1947</v>
      </c>
      <c r="E122" s="1503"/>
      <c r="F122" s="2602"/>
      <c r="G122" s="2602"/>
      <c r="H122" s="2603"/>
      <c r="I122" s="2603"/>
      <c r="J122" s="2603"/>
      <c r="K122" s="2603"/>
      <c r="L122" s="2603"/>
      <c r="M122" s="2603"/>
      <c r="N122" s="2603"/>
      <c r="O122" s="2603"/>
      <c r="P122" s="2603"/>
      <c r="Q122" s="2603"/>
      <c r="R122" s="2603"/>
      <c r="S122" s="2603"/>
      <c r="T122" s="2603"/>
      <c r="U122" s="2603"/>
      <c r="V122" s="2603"/>
      <c r="W122" s="2603"/>
      <c r="X122" s="2603"/>
      <c r="Y122" s="2603"/>
      <c r="Z122" s="2603"/>
      <c r="AA122" s="2603"/>
      <c r="AB122" s="2603"/>
      <c r="AC122" s="2603"/>
      <c r="AD122" s="2603"/>
      <c r="AE122" s="2603"/>
      <c r="AF122" s="2603"/>
      <c r="AG122" s="2603"/>
      <c r="AH122" s="2603"/>
      <c r="AI122" s="2603"/>
      <c r="AJ122" s="2603"/>
      <c r="AK122" s="2603"/>
      <c r="AL122" s="2603"/>
      <c r="AM122" s="2603"/>
      <c r="AN122" s="2603"/>
      <c r="AO122" s="2603"/>
      <c r="AP122" s="2603"/>
      <c r="AQ122" s="2603"/>
      <c r="AR122" s="2603"/>
      <c r="AS122" s="2603"/>
      <c r="AT122" s="2603"/>
      <c r="AU122" s="2603"/>
      <c r="AV122" s="2603"/>
      <c r="AW122" s="2603"/>
      <c r="AX122" s="2602"/>
      <c r="AY122" s="2576">
        <f ca="1">'Intermediate output'!AY115</f>
        <v>610.95182166064012</v>
      </c>
      <c r="AZ122" s="2576">
        <f>'Intermediate output'!AZ115</f>
        <v>0</v>
      </c>
      <c r="BA122" s="2576">
        <f ca="1">'Intermediate output'!BA115</f>
        <v>810.01755202290019</v>
      </c>
      <c r="BB122" s="2576">
        <f ca="1">'Intermediate output'!BB115</f>
        <v>1123.9700393950934</v>
      </c>
      <c r="BC122" s="2576">
        <f ca="1">'Intermediate output'!BC115</f>
        <v>1679.8777923795642</v>
      </c>
      <c r="BD122" s="2576">
        <f ca="1">'Intermediate output'!BD115</f>
        <v>2403.4327963639107</v>
      </c>
      <c r="BE122" s="2576">
        <f ca="1">'Intermediate output'!BE115</f>
        <v>3386.0353049685759</v>
      </c>
      <c r="BF122" s="2576">
        <f ca="1">'Intermediate output'!BF115</f>
        <v>4270.235355615042</v>
      </c>
      <c r="BG122" s="2576">
        <f ca="1">'Intermediate output'!BG115</f>
        <v>5294.7670545417686</v>
      </c>
      <c r="BH122" s="2576">
        <f ca="1">'Intermediate output'!BH115</f>
        <v>6233.6138934633145</v>
      </c>
      <c r="BI122" s="2576">
        <f ca="1">'Intermediate output'!BI115</f>
        <v>7315.307394431582</v>
      </c>
      <c r="BJ122" s="2604"/>
      <c r="BL122" s="1205"/>
    </row>
    <row r="123" spans="1:64">
      <c r="B123" s="2599"/>
      <c r="C123" s="1503" t="s">
        <v>61</v>
      </c>
      <c r="D123" s="187" t="str">
        <f>INDEX(Modules[Module], MATCH($C123, Modules[Code], 0))</f>
        <v>Nuclear power</v>
      </c>
      <c r="E123" s="1503"/>
      <c r="F123" s="2576"/>
      <c r="G123" s="2576"/>
      <c r="H123" s="2595"/>
      <c r="I123" s="2595"/>
      <c r="J123" s="2595"/>
      <c r="K123" s="2595"/>
      <c r="L123" s="2595"/>
      <c r="M123" s="2595"/>
      <c r="N123" s="2595"/>
      <c r="O123" s="2595"/>
      <c r="P123" s="2595"/>
      <c r="Q123" s="2595"/>
      <c r="R123" s="2595"/>
      <c r="S123" s="2595"/>
      <c r="T123" s="2595"/>
      <c r="U123" s="2595"/>
      <c r="V123" s="2595"/>
      <c r="W123" s="2595"/>
      <c r="X123" s="2595"/>
      <c r="Y123" s="2595"/>
      <c r="Z123" s="2595"/>
      <c r="AA123" s="2595"/>
      <c r="AB123" s="2595"/>
      <c r="AC123" s="2595"/>
      <c r="AD123" s="2595"/>
      <c r="AE123" s="2595"/>
      <c r="AF123" s="2595"/>
      <c r="AG123" s="2595"/>
      <c r="AH123" s="2595"/>
      <c r="AI123" s="2595"/>
      <c r="AJ123" s="2595"/>
      <c r="AK123" s="2595"/>
      <c r="AL123" s="2595"/>
      <c r="AM123" s="2595"/>
      <c r="AN123" s="2595"/>
      <c r="AO123" s="2595"/>
      <c r="AP123" s="2595"/>
      <c r="AQ123" s="2595"/>
      <c r="AR123" s="2595"/>
      <c r="AS123" s="2595"/>
      <c r="AT123" s="2595"/>
      <c r="AU123" s="2595"/>
      <c r="AV123" s="2595"/>
      <c r="AW123" s="2595"/>
      <c r="AX123" s="1503"/>
      <c r="AY123" s="2576">
        <f ca="1">'Intermediate output'!AY116</f>
        <v>28.331712000000003</v>
      </c>
      <c r="AZ123" s="2576">
        <f>'Intermediate output'!AZ116</f>
        <v>0</v>
      </c>
      <c r="BA123" s="2576">
        <f ca="1">'Intermediate output'!BA116</f>
        <v>32.819904000000001</v>
      </c>
      <c r="BB123" s="2576">
        <f ca="1">'Intermediate output'!BB116</f>
        <v>69.987744000000006</v>
      </c>
      <c r="BC123" s="2576">
        <f ca="1">'Intermediate output'!BC116</f>
        <v>67.743648000000007</v>
      </c>
      <c r="BD123" s="2576">
        <f ca="1">'Intermediate output'!BD116</f>
        <v>67.743648000000007</v>
      </c>
      <c r="BE123" s="2576">
        <f ca="1">'Intermediate output'!BE116</f>
        <v>66.341088000000013</v>
      </c>
      <c r="BF123" s="2576">
        <f ca="1">'Intermediate output'!BF116</f>
        <v>63.255456000000002</v>
      </c>
      <c r="BG123" s="2576">
        <f ca="1">'Intermediate output'!BG116</f>
        <v>61.712640000000007</v>
      </c>
      <c r="BH123" s="2576">
        <f ca="1">'Intermediate output'!BH116</f>
        <v>58.627007999999996</v>
      </c>
      <c r="BI123" s="2576">
        <f ca="1">'Intermediate output'!BI116</f>
        <v>58.627007999999996</v>
      </c>
      <c r="BJ123" s="194"/>
      <c r="BL123" s="15"/>
    </row>
    <row r="124" spans="1:64">
      <c r="B124" s="2599"/>
      <c r="C124" s="1503" t="s">
        <v>62</v>
      </c>
      <c r="D124" s="187" t="str">
        <f>INDEX(Modules[Module], MATCH($C124, Modules[Code], 0))</f>
        <v>Hydro Power Generation</v>
      </c>
      <c r="E124" s="1503"/>
      <c r="F124" s="2576"/>
      <c r="G124" s="2576"/>
      <c r="H124" s="2595"/>
      <c r="I124" s="2595"/>
      <c r="J124" s="2595"/>
      <c r="K124" s="2595"/>
      <c r="L124" s="2595"/>
      <c r="M124" s="2595"/>
      <c r="N124" s="2595"/>
      <c r="O124" s="2595"/>
      <c r="P124" s="2595"/>
      <c r="Q124" s="2595"/>
      <c r="R124" s="2595"/>
      <c r="S124" s="2595"/>
      <c r="T124" s="2595"/>
      <c r="U124" s="2595"/>
      <c r="V124" s="2595"/>
      <c r="W124" s="2595"/>
      <c r="X124" s="2595"/>
      <c r="Y124" s="2595"/>
      <c r="Z124" s="2595"/>
      <c r="AA124" s="2595"/>
      <c r="AB124" s="2595"/>
      <c r="AC124" s="2595"/>
      <c r="AD124" s="2595"/>
      <c r="AE124" s="2595"/>
      <c r="AF124" s="2595"/>
      <c r="AG124" s="2595"/>
      <c r="AH124" s="2595">
        <f>85.8*Unit.TWh</f>
        <v>85.8</v>
      </c>
      <c r="AI124" s="2595">
        <f>89.3*Unit.TWh</f>
        <v>89.3</v>
      </c>
      <c r="AJ124" s="2595">
        <f>90.6*Unit.TWh</f>
        <v>90.6</v>
      </c>
      <c r="AK124" s="2595">
        <f>87.7*Unit.TWh</f>
        <v>87.7</v>
      </c>
      <c r="AL124" s="2595">
        <f>78.3*Unit.TWh</f>
        <v>78.3</v>
      </c>
      <c r="AM124" s="2595">
        <f>83*Unit.TWh</f>
        <v>83</v>
      </c>
      <c r="AN124" s="2595">
        <f>81.1*Unit.TWh</f>
        <v>81.099999999999994</v>
      </c>
      <c r="AO124" s="2595">
        <f>81.9*Unit.TWh</f>
        <v>81.900000000000006</v>
      </c>
      <c r="AP124" s="2595">
        <f>73.7*Unit.TWh</f>
        <v>73.7</v>
      </c>
      <c r="AQ124" s="2595">
        <f>75.2*Unit.TWh</f>
        <v>75.2</v>
      </c>
      <c r="AR124" s="2595">
        <f>69.2*Unit.TWh</f>
        <v>69.2</v>
      </c>
      <c r="AS124" s="2595">
        <f>57.2*Unit.TWh</f>
        <v>57.2</v>
      </c>
      <c r="AT124" s="2595">
        <f>47.7*Unit.TWh</f>
        <v>47.7</v>
      </c>
      <c r="AU124" s="2595">
        <f>62.8*Unit.TWh</f>
        <v>62.8</v>
      </c>
      <c r="AV124" s="2595">
        <f>56.5 *Unit.TWh</f>
        <v>56.5</v>
      </c>
      <c r="AW124" s="2595" t="s">
        <v>1151</v>
      </c>
      <c r="AX124" s="1503"/>
      <c r="AY124" s="2576">
        <f ca="1">'Intermediate output'!AY117</f>
        <v>121.49675999999999</v>
      </c>
      <c r="AZ124" s="2576">
        <f>'Intermediate output'!AZ117</f>
        <v>0</v>
      </c>
      <c r="BA124" s="2576">
        <f ca="1">'Intermediate output'!BA117</f>
        <v>143.76240000000001</v>
      </c>
      <c r="BB124" s="2576">
        <f ca="1">'Intermediate output'!BB117</f>
        <v>171.81360000000004</v>
      </c>
      <c r="BC124" s="2576">
        <f ca="1">'Intermediate output'!BC117</f>
        <v>171.81360000000004</v>
      </c>
      <c r="BD124" s="2576">
        <f ca="1">'Intermediate output'!BD117</f>
        <v>171.81360000000004</v>
      </c>
      <c r="BE124" s="2576">
        <f ca="1">'Intermediate output'!BE117</f>
        <v>171.81360000000004</v>
      </c>
      <c r="BF124" s="2576">
        <f ca="1">'Intermediate output'!BF117</f>
        <v>171.81360000000004</v>
      </c>
      <c r="BG124" s="2576">
        <f ca="1">'Intermediate output'!BG117</f>
        <v>171.81360000000004</v>
      </c>
      <c r="BH124" s="2576">
        <f ca="1">'Intermediate output'!BH117</f>
        <v>171.81360000000004</v>
      </c>
      <c r="BI124" s="2576">
        <f ca="1">'Intermediate output'!BI117</f>
        <v>171.81360000000004</v>
      </c>
      <c r="BJ124" s="194"/>
      <c r="BL124" s="15"/>
    </row>
    <row r="125" spans="1:64">
      <c r="B125" s="193"/>
      <c r="C125" s="1503"/>
      <c r="D125" s="186" t="s">
        <v>1949</v>
      </c>
      <c r="E125" s="1503"/>
      <c r="F125" s="2576"/>
      <c r="G125" s="2576"/>
      <c r="H125" s="2595"/>
      <c r="I125" s="2595"/>
      <c r="J125" s="2595"/>
      <c r="K125" s="2595"/>
      <c r="L125" s="2595"/>
      <c r="M125" s="2595"/>
      <c r="N125" s="2595"/>
      <c r="O125" s="2595"/>
      <c r="P125" s="2595"/>
      <c r="Q125" s="2595"/>
      <c r="R125" s="2595"/>
      <c r="S125" s="2595"/>
      <c r="T125" s="2595"/>
      <c r="U125" s="2595"/>
      <c r="V125" s="2595"/>
      <c r="W125" s="2595"/>
      <c r="X125" s="2595"/>
      <c r="Y125" s="2595"/>
      <c r="Z125" s="2595"/>
      <c r="AA125" s="2595"/>
      <c r="AB125" s="2595"/>
      <c r="AC125" s="2595"/>
      <c r="AD125" s="2595"/>
      <c r="AE125" s="2595"/>
      <c r="AF125" s="2595"/>
      <c r="AG125" s="2595"/>
      <c r="AH125" s="2595"/>
      <c r="AI125" s="2595"/>
      <c r="AJ125" s="2595"/>
      <c r="AK125" s="2595"/>
      <c r="AL125" s="2595"/>
      <c r="AM125" s="2595"/>
      <c r="AN125" s="2595"/>
      <c r="AO125" s="2595"/>
      <c r="AP125" s="2595"/>
      <c r="AQ125" s="2595"/>
      <c r="AR125" s="2595"/>
      <c r="AS125" s="2595"/>
      <c r="AT125" s="2595"/>
      <c r="AU125" s="2595"/>
      <c r="AV125" s="2595"/>
      <c r="AW125" s="2595"/>
      <c r="AX125" s="1503"/>
      <c r="AY125" s="2576">
        <f ca="1">'Intermediate output'!AY118</f>
        <v>149.828472</v>
      </c>
      <c r="AZ125" s="2576">
        <f>'Intermediate output'!AZ118</f>
        <v>0</v>
      </c>
      <c r="BA125" s="2576">
        <f ca="1">'Intermediate output'!BA118</f>
        <v>176.58230400000002</v>
      </c>
      <c r="BB125" s="2576">
        <f ca="1">'Intermediate output'!BB118</f>
        <v>241.80134400000003</v>
      </c>
      <c r="BC125" s="2576">
        <f ca="1">'Intermediate output'!BC118</f>
        <v>239.55724800000004</v>
      </c>
      <c r="BD125" s="2576">
        <f ca="1">'Intermediate output'!BD118</f>
        <v>239.55724800000004</v>
      </c>
      <c r="BE125" s="2576">
        <f ca="1">'Intermediate output'!BE118</f>
        <v>238.15468800000005</v>
      </c>
      <c r="BF125" s="2576">
        <f ca="1">'Intermediate output'!BF118</f>
        <v>235.06905600000005</v>
      </c>
      <c r="BG125" s="2576">
        <f ca="1">'Intermediate output'!BG118</f>
        <v>233.52624000000003</v>
      </c>
      <c r="BH125" s="2576">
        <f ca="1">'Intermediate output'!BH118</f>
        <v>230.44060800000003</v>
      </c>
      <c r="BI125" s="2576">
        <f ca="1">'Intermediate output'!BI118</f>
        <v>230.44060800000003</v>
      </c>
      <c r="BJ125" s="194"/>
      <c r="BL125" s="15"/>
    </row>
    <row r="126" spans="1:64" s="410" customFormat="1">
      <c r="B126" s="193"/>
      <c r="C126" s="2598" t="s">
        <v>311</v>
      </c>
      <c r="D126" s="187" t="str">
        <f>INDEX(Modules[Module], MATCH($C126, Modules[Code], 0))</f>
        <v>Solar PV</v>
      </c>
      <c r="E126" s="1503"/>
      <c r="F126" s="2602"/>
      <c r="G126" s="2602"/>
      <c r="H126" s="2603"/>
      <c r="I126" s="2603"/>
      <c r="J126" s="2603"/>
      <c r="K126" s="2603"/>
      <c r="L126" s="2603"/>
      <c r="M126" s="2603"/>
      <c r="N126" s="2603"/>
      <c r="O126" s="2603"/>
      <c r="P126" s="2603"/>
      <c r="Q126" s="2603"/>
      <c r="R126" s="2603"/>
      <c r="S126" s="2603"/>
      <c r="T126" s="2603"/>
      <c r="U126" s="2603"/>
      <c r="V126" s="2603"/>
      <c r="W126" s="2603"/>
      <c r="X126" s="2603"/>
      <c r="Y126" s="2603"/>
      <c r="Z126" s="2603"/>
      <c r="AA126" s="2603"/>
      <c r="AB126" s="2603"/>
      <c r="AC126" s="2603"/>
      <c r="AD126" s="2603"/>
      <c r="AE126" s="2603"/>
      <c r="AF126" s="2603"/>
      <c r="AG126" s="2603"/>
      <c r="AH126" s="2603"/>
      <c r="AI126" s="2603"/>
      <c r="AJ126" s="2603"/>
      <c r="AK126" s="2603"/>
      <c r="AL126" s="2603"/>
      <c r="AM126" s="2603"/>
      <c r="AN126" s="2603"/>
      <c r="AO126" s="2603"/>
      <c r="AP126" s="2603"/>
      <c r="AQ126" s="2603"/>
      <c r="AR126" s="2603">
        <f>3.6*Unit.TWh</f>
        <v>3.6</v>
      </c>
      <c r="AS126" s="2603">
        <f>4.5*Unit.TWh</f>
        <v>4.5</v>
      </c>
      <c r="AT126" s="2603">
        <f>5.8*Unit.TWh</f>
        <v>5.8</v>
      </c>
      <c r="AU126" s="2603">
        <f>7.6*Unit.TWh</f>
        <v>7.6</v>
      </c>
      <c r="AV126" s="2603">
        <f>7.1*Unit.TWh</f>
        <v>7.1</v>
      </c>
      <c r="AW126" s="2603" t="s">
        <v>1152</v>
      </c>
      <c r="AX126" s="1503"/>
      <c r="AY126" s="2576">
        <f ca="1">'Intermediate output'!AY119</f>
        <v>0</v>
      </c>
      <c r="AZ126" s="2576">
        <f>'Intermediate output'!AZ119</f>
        <v>0</v>
      </c>
      <c r="BA126" s="2576">
        <f ca="1">'Intermediate output'!BA119</f>
        <v>1.56727314</v>
      </c>
      <c r="BB126" s="2576">
        <f ca="1">'Intermediate output'!BB119</f>
        <v>8.2727459460000006</v>
      </c>
      <c r="BC126" s="2576">
        <f ca="1">'Intermediate output'!BC119</f>
        <v>18.558353960999998</v>
      </c>
      <c r="BD126" s="2576">
        <f ca="1">'Intermediate output'!BD119</f>
        <v>32.792269185000002</v>
      </c>
      <c r="BE126" s="2576">
        <f ca="1">'Intermediate output'!BE119</f>
        <v>47.823373215000004</v>
      </c>
      <c r="BF126" s="2576">
        <f ca="1">'Intermediate output'!BF119</f>
        <v>60.992995229999998</v>
      </c>
      <c r="BG126" s="2576">
        <f ca="1">'Intermediate output'!BG119</f>
        <v>69.119910000000004</v>
      </c>
      <c r="BH126" s="2576">
        <f ca="1">'Intermediate output'!BH119</f>
        <v>68.111819999999994</v>
      </c>
      <c r="BI126" s="2576">
        <f ca="1">'Intermediate output'!BI119</f>
        <v>59.608800000000002</v>
      </c>
      <c r="BJ126" s="2604"/>
      <c r="BL126" s="1205"/>
    </row>
    <row r="127" spans="1:64" s="410" customFormat="1">
      <c r="B127" s="193"/>
      <c r="C127" s="2598" t="s">
        <v>407</v>
      </c>
      <c r="D127" s="187" t="str">
        <f>INDEX(Modules[Module], MATCH($C127, Modules[Code], 0))</f>
        <v>Solar CSP</v>
      </c>
      <c r="E127" s="1503"/>
      <c r="F127" s="2602"/>
      <c r="G127" s="2602"/>
      <c r="H127" s="2603"/>
      <c r="I127" s="2603"/>
      <c r="J127" s="2603"/>
      <c r="K127" s="2603"/>
      <c r="L127" s="2603"/>
      <c r="M127" s="2603"/>
      <c r="N127" s="2603"/>
      <c r="O127" s="2603"/>
      <c r="P127" s="2603"/>
      <c r="Q127" s="2603"/>
      <c r="R127" s="2603"/>
      <c r="S127" s="2603"/>
      <c r="T127" s="2603"/>
      <c r="U127" s="2603"/>
      <c r="V127" s="2603"/>
      <c r="W127" s="2603"/>
      <c r="X127" s="2603"/>
      <c r="Y127" s="2603"/>
      <c r="Z127" s="2603"/>
      <c r="AA127" s="2603"/>
      <c r="AB127" s="2603"/>
      <c r="AC127" s="2603"/>
      <c r="AD127" s="2603"/>
      <c r="AE127" s="2603"/>
      <c r="AF127" s="2603"/>
      <c r="AG127" s="2603"/>
      <c r="AH127" s="2603"/>
      <c r="AI127" s="2603"/>
      <c r="AJ127" s="2603"/>
      <c r="AK127" s="2603"/>
      <c r="AL127" s="2603"/>
      <c r="AM127" s="2603"/>
      <c r="AN127" s="2603"/>
      <c r="AO127" s="2603"/>
      <c r="AP127" s="2603"/>
      <c r="AQ127" s="2603"/>
      <c r="AR127" s="2603">
        <f>0.7*Unit.TWh</f>
        <v>0.7</v>
      </c>
      <c r="AS127" s="2603">
        <f>0.8*Unit.TWh</f>
        <v>0.8</v>
      </c>
      <c r="AT127" s="2603">
        <f>1.3*Unit.TWh</f>
        <v>1.3</v>
      </c>
      <c r="AU127" s="2603">
        <f>1.7*Unit.TWh</f>
        <v>1.7</v>
      </c>
      <c r="AV127" s="2603">
        <f>3*Unit.TWh</f>
        <v>3</v>
      </c>
      <c r="AW127" s="2603" t="s">
        <v>1153</v>
      </c>
      <c r="AX127" s="1503"/>
      <c r="AY127" s="2576">
        <f ca="1">'Intermediate output'!AY120</f>
        <v>0</v>
      </c>
      <c r="AZ127" s="2576">
        <f>'Intermediate output'!AZ120</f>
        <v>0</v>
      </c>
      <c r="BA127" s="2576">
        <f ca="1">'Intermediate output'!BA120</f>
        <v>0</v>
      </c>
      <c r="BB127" s="2576">
        <f ca="1">'Intermediate output'!BB120</f>
        <v>2.5246079999999997</v>
      </c>
      <c r="BC127" s="2576">
        <f ca="1">'Intermediate output'!BC120</f>
        <v>8.5731479999999998</v>
      </c>
      <c r="BD127" s="2576">
        <f ca="1">'Intermediate output'!BD120</f>
        <v>15.638544</v>
      </c>
      <c r="BE127" s="2576">
        <f ca="1">'Intermediate output'!BE120</f>
        <v>25.719444000000003</v>
      </c>
      <c r="BF127" s="2576">
        <f ca="1">'Intermediate output'!BF120</f>
        <v>33.784163999999997</v>
      </c>
      <c r="BG127" s="2576">
        <f ca="1">'Intermediate output'!BG120</f>
        <v>37.816524000000008</v>
      </c>
      <c r="BH127" s="2576">
        <f ca="1">'Intermediate output'!BH120</f>
        <v>35.291916000000001</v>
      </c>
      <c r="BI127" s="2576">
        <f ca="1">'Intermediate output'!BI120</f>
        <v>29.243376000000001</v>
      </c>
      <c r="BJ127" s="2604"/>
      <c r="BL127" s="1205"/>
    </row>
    <row r="128" spans="1:64" s="410" customFormat="1">
      <c r="B128" s="2599"/>
      <c r="C128" s="2598" t="s">
        <v>1071</v>
      </c>
      <c r="D128" s="187" t="str">
        <f>INDEX(Modules[Module], MATCH($C128, Modules[Code], 0))</f>
        <v>Onshore Wind</v>
      </c>
      <c r="E128" s="1503"/>
      <c r="F128" s="2602"/>
      <c r="G128" s="2602"/>
      <c r="H128" s="2603"/>
      <c r="I128" s="2603"/>
      <c r="J128" s="2603"/>
      <c r="K128" s="2603"/>
      <c r="L128" s="2603"/>
      <c r="M128" s="2603"/>
      <c r="N128" s="2603"/>
      <c r="O128" s="2603"/>
      <c r="P128" s="2603"/>
      <c r="Q128" s="2603"/>
      <c r="R128" s="2603"/>
      <c r="S128" s="2603"/>
      <c r="T128" s="2603"/>
      <c r="U128" s="2603"/>
      <c r="V128" s="2603"/>
      <c r="W128" s="2603"/>
      <c r="X128" s="2603"/>
      <c r="Y128" s="2603"/>
      <c r="Z128" s="2603"/>
      <c r="AA128" s="2603"/>
      <c r="AB128" s="2603"/>
      <c r="AC128" s="2603"/>
      <c r="AD128" s="2603"/>
      <c r="AE128" s="2603"/>
      <c r="AF128" s="2603"/>
      <c r="AG128" s="2603"/>
      <c r="AH128" s="2603">
        <f>2.8*Unit.TWh</f>
        <v>2.8</v>
      </c>
      <c r="AI128" s="2603">
        <f>3.3*Unit.TWh</f>
        <v>3.3</v>
      </c>
      <c r="AJ128" s="2603">
        <f>4.2*Unit.TWh</f>
        <v>4.2</v>
      </c>
      <c r="AK128" s="2603">
        <f>4.4*Unit.TWh</f>
        <v>4.4000000000000004</v>
      </c>
      <c r="AL128" s="2603">
        <f>4.3*Unit.TWh</f>
        <v>4.3</v>
      </c>
      <c r="AM128" s="2603">
        <f>3.2*Unit.TWh</f>
        <v>3.2</v>
      </c>
      <c r="AN128" s="2603">
        <f>3.9*Unit.TWh</f>
        <v>3.9</v>
      </c>
      <c r="AO128" s="2603">
        <f>2.6*Unit.TWh</f>
        <v>2.6</v>
      </c>
      <c r="AP128" s="2603">
        <f>3.9*Unit.TWh</f>
        <v>3.9</v>
      </c>
      <c r="AQ128" s="2603">
        <f>3.8*Unit.TWh</f>
        <v>3.8</v>
      </c>
      <c r="AR128" s="2603">
        <f>3.7*Unit.TWh</f>
        <v>3.7</v>
      </c>
      <c r="AS128" s="2603">
        <f>4.1*Unit.TWh</f>
        <v>4.0999999999999996</v>
      </c>
      <c r="AT128" s="2603">
        <f>4.2*Unit.TWh</f>
        <v>4.2</v>
      </c>
      <c r="AU128" s="2603">
        <f>4.3*Unit.TWh</f>
        <v>4.3</v>
      </c>
      <c r="AV128" s="2603">
        <f>2.7*Unit.TWh</f>
        <v>2.7</v>
      </c>
      <c r="AW128" s="2603" t="s">
        <v>1154</v>
      </c>
      <c r="AX128" s="1503"/>
      <c r="AY128" s="2576">
        <f ca="1">'Intermediate output'!AY121</f>
        <v>12.437183268</v>
      </c>
      <c r="AZ128" s="2576">
        <f>'Intermediate output'!AZ121</f>
        <v>0</v>
      </c>
      <c r="BA128" s="2576">
        <f ca="1">'Intermediate output'!BA121</f>
        <v>18.722249233199999</v>
      </c>
      <c r="BB128" s="2576">
        <f ca="1">'Intermediate output'!BB121</f>
        <v>36.604889233199998</v>
      </c>
      <c r="BC128" s="2576">
        <f ca="1">'Intermediate output'!BC121</f>
        <v>58.519889233199997</v>
      </c>
      <c r="BD128" s="2576">
        <f ca="1">'Intermediate output'!BD121</f>
        <v>81.311489233199993</v>
      </c>
      <c r="BE128" s="2576">
        <f ca="1">'Intermediate output'!BE121</f>
        <v>110.89673923319999</v>
      </c>
      <c r="BF128" s="2576">
        <f ca="1">'Intermediate output'!BF121</f>
        <v>129.14055596519998</v>
      </c>
      <c r="BG128" s="2576">
        <f ca="1">'Intermediate output'!BG121</f>
        <v>139.86152999999999</v>
      </c>
      <c r="BH128" s="2576">
        <f ca="1">'Intermediate output'!BH121</f>
        <v>148.27688999999998</v>
      </c>
      <c r="BI128" s="2576">
        <f ca="1">'Intermediate output'!BI121</f>
        <v>148.80284999999998</v>
      </c>
      <c r="BJ128" s="2604"/>
      <c r="BL128" s="1205"/>
    </row>
    <row r="129" spans="2:64" s="410" customFormat="1">
      <c r="B129" s="2599"/>
      <c r="C129" s="2598" t="s">
        <v>1285</v>
      </c>
      <c r="D129" s="187" t="str">
        <f>INDEX(Modules[Module], MATCH($C129, Modules[Code], 0))</f>
        <v>Offshore Wind</v>
      </c>
      <c r="E129" s="1503"/>
      <c r="F129" s="2602"/>
      <c r="G129" s="2602"/>
      <c r="H129" s="2603"/>
      <c r="I129" s="2603"/>
      <c r="J129" s="2603"/>
      <c r="K129" s="2603"/>
      <c r="L129" s="2603"/>
      <c r="M129" s="2603"/>
      <c r="N129" s="2603"/>
      <c r="O129" s="2603"/>
      <c r="P129" s="2603"/>
      <c r="Q129" s="2603"/>
      <c r="R129" s="2603"/>
      <c r="S129" s="2603"/>
      <c r="T129" s="2603"/>
      <c r="U129" s="2603"/>
      <c r="V129" s="2603"/>
      <c r="W129" s="2603"/>
      <c r="X129" s="2603"/>
      <c r="Y129" s="2603"/>
      <c r="Z129" s="2603"/>
      <c r="AA129" s="2603"/>
      <c r="AB129" s="2603"/>
      <c r="AC129" s="2603"/>
      <c r="AD129" s="2603"/>
      <c r="AE129" s="2603"/>
      <c r="AF129" s="2603"/>
      <c r="AG129" s="2603"/>
      <c r="AH129" s="2603"/>
      <c r="AI129" s="2603"/>
      <c r="AJ129" s="2603"/>
      <c r="AK129" s="2603"/>
      <c r="AL129" s="2603"/>
      <c r="AM129" s="2603"/>
      <c r="AN129" s="2603"/>
      <c r="AO129" s="2603"/>
      <c r="AP129" s="2603"/>
      <c r="AQ129" s="2603"/>
      <c r="AR129" s="2603"/>
      <c r="AS129" s="2603"/>
      <c r="AT129" s="2603"/>
      <c r="AU129" s="2603"/>
      <c r="AV129" s="2603"/>
      <c r="AW129" s="2603"/>
      <c r="AX129" s="1503"/>
      <c r="AY129" s="2576">
        <f ca="1">'Intermediate output'!AY122</f>
        <v>0</v>
      </c>
      <c r="AZ129" s="2576">
        <f>'Intermediate output'!AZ122</f>
        <v>0</v>
      </c>
      <c r="BA129" s="2576">
        <f ca="1">'Intermediate output'!BA122</f>
        <v>0</v>
      </c>
      <c r="BB129" s="2576">
        <f ca="1">'Intermediate output'!BB122</f>
        <v>0</v>
      </c>
      <c r="BC129" s="2576">
        <f ca="1">'Intermediate output'!BC122</f>
        <v>1.4463900000000003</v>
      </c>
      <c r="BD129" s="2576">
        <f ca="1">'Intermediate output'!BD122</f>
        <v>3.02427</v>
      </c>
      <c r="BE129" s="2576">
        <f ca="1">'Intermediate output'!BE122</f>
        <v>4.6021499999999991</v>
      </c>
      <c r="BF129" s="2576">
        <f ca="1">'Intermediate output'!BF122</f>
        <v>7.8455700000000004</v>
      </c>
      <c r="BG129" s="2576">
        <f ca="1">'Intermediate output'!BG122</f>
        <v>11.176649999999999</v>
      </c>
      <c r="BH129" s="2576">
        <f ca="1">'Intermediate output'!BH122</f>
        <v>12.88602</v>
      </c>
      <c r="BI129" s="2576">
        <f ca="1">'Intermediate output'!BI122</f>
        <v>13.148999999999999</v>
      </c>
      <c r="BJ129" s="2604"/>
      <c r="BL129" s="1205"/>
    </row>
    <row r="130" spans="2:64" s="410" customFormat="1">
      <c r="B130" s="2599"/>
      <c r="C130" s="2598" t="s">
        <v>1073</v>
      </c>
      <c r="D130" s="187" t="str">
        <f>INDEX(Modules[Module], MATCH($C130, Modules[Code], 0))</f>
        <v>Small Hydro</v>
      </c>
      <c r="E130" s="1503"/>
      <c r="F130" s="2602"/>
      <c r="G130" s="2602"/>
      <c r="H130" s="2603"/>
      <c r="I130" s="2603"/>
      <c r="J130" s="2603"/>
      <c r="K130" s="2603"/>
      <c r="L130" s="2603"/>
      <c r="M130" s="2603"/>
      <c r="N130" s="2603"/>
      <c r="O130" s="2603"/>
      <c r="P130" s="2603"/>
      <c r="Q130" s="2603"/>
      <c r="R130" s="2603"/>
      <c r="S130" s="2603"/>
      <c r="T130" s="2603"/>
      <c r="U130" s="2603"/>
      <c r="V130" s="2603"/>
      <c r="W130" s="2603"/>
      <c r="X130" s="2603"/>
      <c r="Y130" s="2603"/>
      <c r="Z130" s="2603"/>
      <c r="AA130" s="2603"/>
      <c r="AB130" s="2603"/>
      <c r="AC130" s="2603"/>
      <c r="AD130" s="2603"/>
      <c r="AE130" s="2603"/>
      <c r="AF130" s="2603"/>
      <c r="AG130" s="2603"/>
      <c r="AH130" s="2603"/>
      <c r="AI130" s="2603"/>
      <c r="AJ130" s="2603"/>
      <c r="AK130" s="2603"/>
      <c r="AL130" s="2603"/>
      <c r="AM130" s="2603"/>
      <c r="AN130" s="2603"/>
      <c r="AO130" s="2603"/>
      <c r="AP130" s="2603"/>
      <c r="AQ130" s="2603"/>
      <c r="AR130" s="2603"/>
      <c r="AS130" s="2603"/>
      <c r="AT130" s="2603"/>
      <c r="AU130" s="2603"/>
      <c r="AV130" s="2603"/>
      <c r="AW130" s="2603"/>
      <c r="AX130" s="1503"/>
      <c r="AY130" s="2576">
        <f ca="1">'Intermediate output'!AY123</f>
        <v>7.0138343880000011</v>
      </c>
      <c r="AZ130" s="2576">
        <f>'Intermediate output'!AZ123</f>
        <v>0</v>
      </c>
      <c r="BA130" s="2576">
        <f ca="1">'Intermediate output'!BA123</f>
        <v>12.081458988000001</v>
      </c>
      <c r="BB130" s="2576">
        <f ca="1">'Intermediate output'!BB123</f>
        <v>17.604038988000003</v>
      </c>
      <c r="BC130" s="2576">
        <f ca="1">'Intermediate output'!BC123</f>
        <v>23.937473988000004</v>
      </c>
      <c r="BD130" s="2576">
        <f ca="1">'Intermediate output'!BD123</f>
        <v>27.750683988000002</v>
      </c>
      <c r="BE130" s="2576">
        <f ca="1">'Intermediate output'!BE123</f>
        <v>31.651553988000003</v>
      </c>
      <c r="BF130" s="2576">
        <f ca="1">'Intermediate output'!BF123</f>
        <v>33.623903988000002</v>
      </c>
      <c r="BG130" s="2576">
        <f ca="1">'Intermediate output'!BG123</f>
        <v>33.902259552000004</v>
      </c>
      <c r="BH130" s="2576">
        <f ca="1">'Intermediate output'!BH123</f>
        <v>34.790711183999996</v>
      </c>
      <c r="BI130" s="2576">
        <f ca="1">'Intermediate output'!BI123</f>
        <v>35.382416183999993</v>
      </c>
      <c r="BJ130" s="2604"/>
      <c r="BL130" s="1205"/>
    </row>
    <row r="131" spans="2:64" s="410" customFormat="1">
      <c r="B131" s="2599"/>
      <c r="C131" s="2598" t="s">
        <v>304</v>
      </c>
      <c r="D131" s="187" t="str">
        <f>INDEX(Modules[Module], MATCH($C131, Modules[Code], 0))</f>
        <v>Biomass Based Electricity&amp; Biogas</v>
      </c>
      <c r="E131" s="1503"/>
      <c r="F131" s="2602"/>
      <c r="G131" s="2602"/>
      <c r="H131" s="2603"/>
      <c r="I131" s="2603"/>
      <c r="J131" s="2603"/>
      <c r="K131" s="2603"/>
      <c r="L131" s="2603"/>
      <c r="M131" s="2603"/>
      <c r="N131" s="2603"/>
      <c r="O131" s="2603"/>
      <c r="P131" s="2603"/>
      <c r="Q131" s="2603"/>
      <c r="R131" s="2603"/>
      <c r="S131" s="2603"/>
      <c r="T131" s="2603"/>
      <c r="U131" s="2603"/>
      <c r="V131" s="2603"/>
      <c r="W131" s="2603"/>
      <c r="X131" s="2603"/>
      <c r="Y131" s="2603"/>
      <c r="Z131" s="2603"/>
      <c r="AA131" s="2603"/>
      <c r="AB131" s="2603"/>
      <c r="AC131" s="2603"/>
      <c r="AD131" s="2603"/>
      <c r="AE131" s="2603"/>
      <c r="AF131" s="2603"/>
      <c r="AG131" s="2603"/>
      <c r="AH131" s="2603"/>
      <c r="AI131" s="2603"/>
      <c r="AJ131" s="2603"/>
      <c r="AK131" s="2603"/>
      <c r="AL131" s="2603"/>
      <c r="AM131" s="2603"/>
      <c r="AN131" s="2603"/>
      <c r="AO131" s="2603"/>
      <c r="AP131" s="2603"/>
      <c r="AQ131" s="2603"/>
      <c r="AR131" s="2603"/>
      <c r="AS131" s="2603"/>
      <c r="AT131" s="2603"/>
      <c r="AU131" s="2603"/>
      <c r="AV131" s="2603"/>
      <c r="AW131" s="2603"/>
      <c r="AX131" s="1503"/>
      <c r="AY131" s="2576">
        <f ca="1">'Intermediate output'!AY124</f>
        <v>9.538388888888889</v>
      </c>
      <c r="AZ131" s="2576">
        <f>'Intermediate output'!AZ124</f>
        <v>0</v>
      </c>
      <c r="BA131" s="2576">
        <f ca="1">'Intermediate output'!BA124</f>
        <v>9.7454499999999999</v>
      </c>
      <c r="BB131" s="2576">
        <f ca="1">'Intermediate output'!BB124</f>
        <v>11.119143750000001</v>
      </c>
      <c r="BC131" s="2576">
        <f ca="1">'Intermediate output'!BC124</f>
        <v>12.4928375</v>
      </c>
      <c r="BD131" s="2576">
        <f ca="1">'Intermediate output'!BD124</f>
        <v>13.866531250000003</v>
      </c>
      <c r="BE131" s="2576">
        <f ca="1">'Intermediate output'!BE124</f>
        <v>15.240225000000006</v>
      </c>
      <c r="BF131" s="2576">
        <f ca="1">'Intermediate output'!BF124</f>
        <v>16.613918750000003</v>
      </c>
      <c r="BG131" s="2576">
        <f ca="1">'Intermediate output'!BG124</f>
        <v>17.987612500000004</v>
      </c>
      <c r="BH131" s="2576">
        <f ca="1">'Intermediate output'!BH124</f>
        <v>19.361306250000005</v>
      </c>
      <c r="BI131" s="2576">
        <f ca="1">'Intermediate output'!BI124</f>
        <v>20.735000000000003</v>
      </c>
      <c r="BJ131" s="2604"/>
      <c r="BL131" s="1205"/>
    </row>
    <row r="132" spans="2:64" s="410" customFormat="1">
      <c r="B132" s="2599"/>
      <c r="C132" s="2598" t="s">
        <v>296</v>
      </c>
      <c r="D132" s="187" t="str">
        <f>INDEX(Modules[Module], MATCH($C132, Modules[Code], 0))</f>
        <v>Waste to Electricity</v>
      </c>
      <c r="E132" s="1503"/>
      <c r="F132" s="2602"/>
      <c r="G132" s="2602"/>
      <c r="H132" s="2603"/>
      <c r="I132" s="2603"/>
      <c r="J132" s="2603"/>
      <c r="K132" s="2603"/>
      <c r="L132" s="2603"/>
      <c r="M132" s="2603"/>
      <c r="N132" s="2603"/>
      <c r="O132" s="2603"/>
      <c r="P132" s="2603"/>
      <c r="Q132" s="2603"/>
      <c r="R132" s="2603"/>
      <c r="S132" s="2603"/>
      <c r="T132" s="2603"/>
      <c r="U132" s="2603"/>
      <c r="V132" s="2603"/>
      <c r="W132" s="2603"/>
      <c r="X132" s="2603"/>
      <c r="Y132" s="2603"/>
      <c r="Z132" s="2603"/>
      <c r="AA132" s="2603"/>
      <c r="AB132" s="2603"/>
      <c r="AC132" s="2603"/>
      <c r="AD132" s="2603"/>
      <c r="AE132" s="2603"/>
      <c r="AF132" s="2603"/>
      <c r="AG132" s="2603"/>
      <c r="AH132" s="2603"/>
      <c r="AI132" s="2603"/>
      <c r="AJ132" s="2603"/>
      <c r="AK132" s="2603"/>
      <c r="AL132" s="2603"/>
      <c r="AM132" s="2603"/>
      <c r="AN132" s="2603"/>
      <c r="AO132" s="2603"/>
      <c r="AP132" s="2603"/>
      <c r="AQ132" s="2603"/>
      <c r="AR132" s="2603"/>
      <c r="AS132" s="2603"/>
      <c r="AT132" s="2603"/>
      <c r="AU132" s="2603"/>
      <c r="AV132" s="2603"/>
      <c r="AW132" s="2603"/>
      <c r="AX132" s="1503"/>
      <c r="AY132" s="2576">
        <f ca="1">'Intermediate output'!AY125</f>
        <v>0</v>
      </c>
      <c r="AZ132" s="2576">
        <f>'Intermediate output'!AZ125</f>
        <v>0</v>
      </c>
      <c r="BA132" s="2576">
        <f ca="1">'Intermediate output'!BA125</f>
        <v>0</v>
      </c>
      <c r="BB132" s="2576">
        <f ca="1">'Intermediate output'!BB125</f>
        <v>0</v>
      </c>
      <c r="BC132" s="2576">
        <f ca="1">'Intermediate output'!BC125</f>
        <v>0</v>
      </c>
      <c r="BD132" s="2576">
        <f ca="1">'Intermediate output'!BD125</f>
        <v>0</v>
      </c>
      <c r="BE132" s="2576">
        <f ca="1">'Intermediate output'!BE125</f>
        <v>0</v>
      </c>
      <c r="BF132" s="2576">
        <f ca="1">'Intermediate output'!BF125</f>
        <v>0</v>
      </c>
      <c r="BG132" s="2576">
        <f ca="1">'Intermediate output'!BG125</f>
        <v>0</v>
      </c>
      <c r="BH132" s="2576">
        <f ca="1">'Intermediate output'!BH125</f>
        <v>0</v>
      </c>
      <c r="BI132" s="2576">
        <f ca="1">'Intermediate output'!BI125</f>
        <v>0</v>
      </c>
      <c r="BJ132" s="2604"/>
      <c r="BL132" s="1205"/>
    </row>
    <row r="133" spans="2:64" s="410" customFormat="1">
      <c r="B133" s="2599"/>
      <c r="C133" s="2598"/>
      <c r="D133" s="186" t="s">
        <v>1948</v>
      </c>
      <c r="E133" s="1503"/>
      <c r="F133" s="2602"/>
      <c r="G133" s="2602"/>
      <c r="H133" s="2603"/>
      <c r="I133" s="2603"/>
      <c r="J133" s="2603"/>
      <c r="K133" s="2603"/>
      <c r="L133" s="2603"/>
      <c r="M133" s="2603"/>
      <c r="N133" s="2603"/>
      <c r="O133" s="2603"/>
      <c r="P133" s="2603"/>
      <c r="Q133" s="2603"/>
      <c r="R133" s="2603"/>
      <c r="S133" s="2603"/>
      <c r="T133" s="2603"/>
      <c r="U133" s="2603"/>
      <c r="V133" s="2603"/>
      <c r="W133" s="2603"/>
      <c r="X133" s="2603"/>
      <c r="Y133" s="2603"/>
      <c r="Z133" s="2603"/>
      <c r="AA133" s="2603"/>
      <c r="AB133" s="2603"/>
      <c r="AC133" s="2603"/>
      <c r="AD133" s="2603"/>
      <c r="AE133" s="2603"/>
      <c r="AF133" s="2603"/>
      <c r="AG133" s="2603"/>
      <c r="AH133" s="2603"/>
      <c r="AI133" s="2603"/>
      <c r="AJ133" s="2603"/>
      <c r="AK133" s="2603"/>
      <c r="AL133" s="2603"/>
      <c r="AM133" s="2603"/>
      <c r="AN133" s="2603"/>
      <c r="AO133" s="2603"/>
      <c r="AP133" s="2603"/>
      <c r="AQ133" s="2603"/>
      <c r="AR133" s="2603"/>
      <c r="AS133" s="2603"/>
      <c r="AT133" s="2603"/>
      <c r="AU133" s="2603"/>
      <c r="AV133" s="2603"/>
      <c r="AW133" s="2603"/>
      <c r="AX133" s="1503"/>
      <c r="AY133" s="2576">
        <f ca="1">'Intermediate output'!AY126</f>
        <v>28.98940654488889</v>
      </c>
      <c r="AZ133" s="2576">
        <f>'Intermediate output'!AZ126</f>
        <v>0</v>
      </c>
      <c r="BA133" s="2576">
        <f ca="1">'Intermediate output'!BA126</f>
        <v>42.1164313612</v>
      </c>
      <c r="BB133" s="2576">
        <f ca="1">'Intermediate output'!BB126</f>
        <v>76.125425917200005</v>
      </c>
      <c r="BC133" s="2576">
        <f ca="1">'Intermediate output'!BC126</f>
        <v>123.5280926822</v>
      </c>
      <c r="BD133" s="2576">
        <f ca="1">'Intermediate output'!BD126</f>
        <v>174.38378765619998</v>
      </c>
      <c r="BE133" s="2576">
        <f ca="1">'Intermediate output'!BE126</f>
        <v>235.93348543619999</v>
      </c>
      <c r="BF133" s="2576">
        <f ca="1">'Intermediate output'!BF126</f>
        <v>282.00110793319999</v>
      </c>
      <c r="BG133" s="2576">
        <f ca="1">'Intermediate output'!BG126</f>
        <v>309.86448605200002</v>
      </c>
      <c r="BH133" s="2576">
        <f ca="1">'Intermediate output'!BH126</f>
        <v>318.71866343399989</v>
      </c>
      <c r="BI133" s="2576">
        <f ca="1">'Intermediate output'!BI126</f>
        <v>306.92144218399994</v>
      </c>
      <c r="BJ133" s="2604"/>
      <c r="BL133" s="1205"/>
    </row>
    <row r="134" spans="2:64">
      <c r="B134" s="2599"/>
      <c r="C134" s="1503" t="s">
        <v>263</v>
      </c>
      <c r="D134" s="186" t="str">
        <f>INDEX(Modules[Module], MATCH($C134, Modules[Code], 0))</f>
        <v>Electricity imports</v>
      </c>
      <c r="E134" s="1503"/>
      <c r="F134" s="2576"/>
      <c r="G134" s="2576"/>
      <c r="H134" s="2595"/>
      <c r="I134" s="2595"/>
      <c r="J134" s="2595"/>
      <c r="K134" s="2595"/>
      <c r="L134" s="2595"/>
      <c r="M134" s="2595"/>
      <c r="N134" s="2595"/>
      <c r="O134" s="2595"/>
      <c r="P134" s="2595"/>
      <c r="Q134" s="2595"/>
      <c r="R134" s="2595"/>
      <c r="S134" s="2595"/>
      <c r="T134" s="2595"/>
      <c r="U134" s="2595"/>
      <c r="V134" s="2595"/>
      <c r="W134" s="2595"/>
      <c r="X134" s="2595"/>
      <c r="Y134" s="2595"/>
      <c r="Z134" s="2595"/>
      <c r="AA134" s="2595"/>
      <c r="AB134" s="2595"/>
      <c r="AC134" s="2595"/>
      <c r="AD134" s="2595"/>
      <c r="AE134" s="2595"/>
      <c r="AF134" s="2595"/>
      <c r="AG134" s="2595"/>
      <c r="AH134" s="2595"/>
      <c r="AI134" s="2595"/>
      <c r="AJ134" s="2595"/>
      <c r="AK134" s="2595"/>
      <c r="AL134" s="2595"/>
      <c r="AM134" s="2595"/>
      <c r="AN134" s="2595"/>
      <c r="AO134" s="2595"/>
      <c r="AP134" s="2595"/>
      <c r="AQ134" s="2595"/>
      <c r="AR134" s="2595">
        <f>7.9*Unit.TWh</f>
        <v>7.9</v>
      </c>
      <c r="AS134" s="2595">
        <f>9.4*Unit.TWh</f>
        <v>9.4</v>
      </c>
      <c r="AT134" s="2595">
        <f>11.3*Unit.TWh</f>
        <v>11.3</v>
      </c>
      <c r="AU134" s="2595">
        <f>13.6*Unit.TWh</f>
        <v>13.6</v>
      </c>
      <c r="AV134" s="2595">
        <f>12.9*Unit.TWh</f>
        <v>12.9</v>
      </c>
      <c r="AW134" s="2595" t="s">
        <v>1135</v>
      </c>
      <c r="AX134" s="1503"/>
      <c r="AY134" s="2576">
        <f ca="1">'Intermediate output'!AY127</f>
        <v>1</v>
      </c>
      <c r="AZ134" s="2576">
        <f>'Intermediate output'!AZ127</f>
        <v>0</v>
      </c>
      <c r="BA134" s="2576">
        <f ca="1">'Intermediate output'!BA127</f>
        <v>4</v>
      </c>
      <c r="BB134" s="2576">
        <f ca="1">'Intermediate output'!BB127</f>
        <v>14</v>
      </c>
      <c r="BC134" s="2576">
        <f ca="1">'Intermediate output'!BC127</f>
        <v>21</v>
      </c>
      <c r="BD134" s="2576">
        <f ca="1">'Intermediate output'!BD127</f>
        <v>31</v>
      </c>
      <c r="BE134" s="2576">
        <f ca="1">'Intermediate output'!BE127</f>
        <v>40</v>
      </c>
      <c r="BF134" s="2576">
        <f ca="1">'Intermediate output'!BF127</f>
        <v>49</v>
      </c>
      <c r="BG134" s="2576">
        <f ca="1">'Intermediate output'!BG127</f>
        <v>55</v>
      </c>
      <c r="BH134" s="2576">
        <f ca="1">'Intermediate output'!BH127</f>
        <v>55</v>
      </c>
      <c r="BI134" s="2576">
        <f ca="1">'Intermediate output'!BI127</f>
        <v>55</v>
      </c>
      <c r="BJ134" s="194"/>
      <c r="BL134" s="15"/>
    </row>
    <row r="135" spans="2:64">
      <c r="B135" s="2599"/>
      <c r="C135" s="1503"/>
      <c r="D135" s="187"/>
      <c r="E135" s="1503"/>
      <c r="F135" s="2576"/>
      <c r="G135" s="2576"/>
      <c r="H135" s="2595"/>
      <c r="I135" s="2595"/>
      <c r="J135" s="2595"/>
      <c r="K135" s="2595"/>
      <c r="L135" s="2595"/>
      <c r="M135" s="2595"/>
      <c r="N135" s="2595"/>
      <c r="O135" s="2595"/>
      <c r="P135" s="2595"/>
      <c r="Q135" s="2595"/>
      <c r="R135" s="2595"/>
      <c r="S135" s="2595"/>
      <c r="T135" s="2595"/>
      <c r="U135" s="2595"/>
      <c r="V135" s="2595"/>
      <c r="W135" s="2595"/>
      <c r="X135" s="2595"/>
      <c r="Y135" s="2595"/>
      <c r="Z135" s="2595"/>
      <c r="AA135" s="2595"/>
      <c r="AB135" s="2595"/>
      <c r="AC135" s="2595"/>
      <c r="AD135" s="2595"/>
      <c r="AE135" s="2595"/>
      <c r="AF135" s="2595"/>
      <c r="AG135" s="2595"/>
      <c r="AH135" s="2595"/>
      <c r="AI135" s="2595"/>
      <c r="AJ135" s="2595"/>
      <c r="AK135" s="2595"/>
      <c r="AL135" s="2595"/>
      <c r="AM135" s="2595"/>
      <c r="AN135" s="2595"/>
      <c r="AO135" s="2595"/>
      <c r="AP135" s="2595"/>
      <c r="AQ135" s="2595"/>
      <c r="AR135" s="2595"/>
      <c r="AS135" s="2595"/>
      <c r="AT135" s="2595"/>
      <c r="AU135" s="2595"/>
      <c r="AV135" s="2595"/>
      <c r="AW135" s="2595"/>
      <c r="AX135" s="1503"/>
      <c r="AY135" s="2576">
        <f>'Intermediate output'!AY128</f>
        <v>0</v>
      </c>
      <c r="AZ135" s="2576">
        <f>'Intermediate output'!AZ128</f>
        <v>0</v>
      </c>
      <c r="BA135" s="2576">
        <f>'Intermediate output'!BA128</f>
        <v>0</v>
      </c>
      <c r="BB135" s="2576">
        <f>'Intermediate output'!BB128</f>
        <v>0</v>
      </c>
      <c r="BC135" s="2576">
        <f>'Intermediate output'!BC128</f>
        <v>0</v>
      </c>
      <c r="BD135" s="2576">
        <f>'Intermediate output'!BD128</f>
        <v>0</v>
      </c>
      <c r="BE135" s="2576">
        <f>'Intermediate output'!BE128</f>
        <v>0</v>
      </c>
      <c r="BF135" s="2576">
        <f>'Intermediate output'!BF128</f>
        <v>0</v>
      </c>
      <c r="BG135" s="2576">
        <f>'Intermediate output'!BG128</f>
        <v>0</v>
      </c>
      <c r="BH135" s="2576">
        <f>'Intermediate output'!BH128</f>
        <v>0</v>
      </c>
      <c r="BI135" s="2576">
        <f>'Intermediate output'!BI128</f>
        <v>0</v>
      </c>
      <c r="BJ135" s="194"/>
      <c r="BL135" s="15"/>
    </row>
    <row r="136" spans="2:64">
      <c r="B136" s="193"/>
      <c r="C136" s="1503"/>
      <c r="D136" s="2605" t="s">
        <v>1155</v>
      </c>
      <c r="E136" s="1503"/>
      <c r="F136" s="2606"/>
      <c r="G136" s="2607"/>
      <c r="H136" s="2608"/>
      <c r="I136" s="2608"/>
      <c r="J136" s="2608"/>
      <c r="K136" s="2608"/>
      <c r="L136" s="2608"/>
      <c r="M136" s="2608"/>
      <c r="N136" s="2608"/>
      <c r="O136" s="2608"/>
      <c r="P136" s="2608"/>
      <c r="Q136" s="2608"/>
      <c r="R136" s="2608"/>
      <c r="S136" s="2608"/>
      <c r="T136" s="2608"/>
      <c r="U136" s="2608"/>
      <c r="V136" s="2608"/>
      <c r="W136" s="2608"/>
      <c r="X136" s="2608"/>
      <c r="Y136" s="2608"/>
      <c r="Z136" s="2608"/>
      <c r="AA136" s="2608"/>
      <c r="AB136" s="2608"/>
      <c r="AC136" s="2608"/>
      <c r="AD136" s="2608"/>
      <c r="AE136" s="2608"/>
      <c r="AF136" s="2608"/>
      <c r="AG136" s="2608"/>
      <c r="AH136" s="2608"/>
      <c r="AI136" s="2608"/>
      <c r="AJ136" s="2608"/>
      <c r="AK136" s="2608"/>
      <c r="AL136" s="2608"/>
      <c r="AM136" s="2608"/>
      <c r="AN136" s="2608"/>
      <c r="AO136" s="2608"/>
      <c r="AP136" s="2608"/>
      <c r="AQ136" s="2608"/>
      <c r="AR136" s="2608">
        <f>352.2*Unit.TWh</f>
        <v>352.2</v>
      </c>
      <c r="AS136" s="2608">
        <f>348.4*Unit.TWh</f>
        <v>348.4</v>
      </c>
      <c r="AT136" s="2608">
        <f>349.3*Unit.TWh</f>
        <v>349.3</v>
      </c>
      <c r="AU136" s="2608">
        <f>329.3*Unit.TWh</f>
        <v>329.3</v>
      </c>
      <c r="AV136" s="2608">
        <f>335.1*Unit.TWh</f>
        <v>335.1</v>
      </c>
      <c r="AW136" s="2608" t="s">
        <v>1135</v>
      </c>
      <c r="AX136" s="1503"/>
      <c r="AY136" s="2576">
        <f ca="1">'Intermediate output'!AY129</f>
        <v>790.76970020552903</v>
      </c>
      <c r="AZ136" s="2576">
        <f>'Intermediate output'!AZ129</f>
        <v>0</v>
      </c>
      <c r="BA136" s="2576">
        <f ca="1">'Intermediate output'!BA129</f>
        <v>1032.7162873841003</v>
      </c>
      <c r="BB136" s="2576">
        <f ca="1">'Intermediate output'!BB129</f>
        <v>1455.8968093122935</v>
      </c>
      <c r="BC136" s="2576">
        <f ca="1">'Intermediate output'!BC129</f>
        <v>2063.963133061764</v>
      </c>
      <c r="BD136" s="2576">
        <f ca="1">'Intermediate output'!BD129</f>
        <v>2848.373832020111</v>
      </c>
      <c r="BE136" s="2576">
        <f ca="1">'Intermediate output'!BE129</f>
        <v>3900.1234784047761</v>
      </c>
      <c r="BF136" s="2576">
        <f ca="1">'Intermediate output'!BF129</f>
        <v>4836.305519548242</v>
      </c>
      <c r="BG136" s="2576">
        <f ca="1">'Intermediate output'!BG129</f>
        <v>5893.1577805937686</v>
      </c>
      <c r="BH136" s="2576">
        <f ca="1">'Intermediate output'!BH129</f>
        <v>6837.773164897314</v>
      </c>
      <c r="BI136" s="2576">
        <f ca="1">'Intermediate output'!BI129</f>
        <v>7907.6694446155816</v>
      </c>
      <c r="BJ136" s="194"/>
      <c r="BK136" s="310">
        <f ca="1">BI136-BI106</f>
        <v>9134.7815890310267</v>
      </c>
    </row>
    <row r="137" spans="2:64">
      <c r="B137" s="193"/>
      <c r="C137" s="1503"/>
      <c r="D137" s="186" t="s">
        <v>2056</v>
      </c>
      <c r="E137" s="1503"/>
      <c r="F137" s="2607"/>
      <c r="G137" s="2607"/>
      <c r="H137" s="2608"/>
      <c r="I137" s="2608"/>
      <c r="J137" s="2608"/>
      <c r="K137" s="2608"/>
      <c r="L137" s="2608"/>
      <c r="M137" s="2608"/>
      <c r="N137" s="2608"/>
      <c r="O137" s="2608"/>
      <c r="P137" s="2608"/>
      <c r="Q137" s="2608"/>
      <c r="R137" s="2608"/>
      <c r="S137" s="2608"/>
      <c r="T137" s="2608"/>
      <c r="U137" s="2608"/>
      <c r="V137" s="2608"/>
      <c r="W137" s="2608"/>
      <c r="X137" s="2608"/>
      <c r="Y137" s="2608"/>
      <c r="Z137" s="2608"/>
      <c r="AA137" s="2608"/>
      <c r="AB137" s="2608"/>
      <c r="AC137" s="2608"/>
      <c r="AD137" s="2608"/>
      <c r="AE137" s="2608"/>
      <c r="AF137" s="2608"/>
      <c r="AG137" s="2608"/>
      <c r="AH137" s="2608"/>
      <c r="AI137" s="2608"/>
      <c r="AJ137" s="2608"/>
      <c r="AK137" s="2608"/>
      <c r="AL137" s="2608"/>
      <c r="AM137" s="2608"/>
      <c r="AN137" s="2608"/>
      <c r="AO137" s="2608"/>
      <c r="AP137" s="2608"/>
      <c r="AQ137" s="2608"/>
      <c r="AR137" s="2608"/>
      <c r="AS137" s="2608"/>
      <c r="AT137" s="2608"/>
      <c r="AU137" s="2608"/>
      <c r="AV137" s="2608"/>
      <c r="AW137" s="2608"/>
      <c r="AX137" s="1503"/>
      <c r="AY137" s="2576">
        <f ca="1">'Intermediate output'!AY130</f>
        <v>3.6659733595450418E-2</v>
      </c>
      <c r="AZ137" s="2576">
        <f>'Intermediate output'!AZ130</f>
        <v>0</v>
      </c>
      <c r="BA137" s="2576">
        <f ca="1">'Intermediate output'!BA130</f>
        <v>4.0782189528434883E-2</v>
      </c>
      <c r="BB137" s="2576">
        <f ca="1">'Intermediate output'!BB130</f>
        <v>5.2287652140098145E-2</v>
      </c>
      <c r="BC137" s="2576">
        <f ca="1">'Intermediate output'!BC130</f>
        <v>5.9849951146633891E-2</v>
      </c>
      <c r="BD137" s="2576">
        <f ca="1">'Intermediate output'!BD130</f>
        <v>6.1222226414193774E-2</v>
      </c>
      <c r="BE137" s="2576">
        <f ca="1">'Intermediate output'!BE130</f>
        <v>6.0493850192840877E-2</v>
      </c>
      <c r="BF137" s="2576">
        <f ca="1">'Intermediate output'!BF130</f>
        <v>5.8309200440989022E-2</v>
      </c>
      <c r="BG137" s="2576">
        <f ca="1">'Intermediate output'!BG130</f>
        <v>5.2580381789944106E-2</v>
      </c>
      <c r="BH137" s="2576">
        <f ca="1">'Intermediate output'!BH130</f>
        <v>4.6611470686127421E-2</v>
      </c>
      <c r="BI137" s="2576">
        <f ca="1">'Intermediate output'!BI130</f>
        <v>3.8813135062567151E-2</v>
      </c>
      <c r="BJ137" s="194"/>
    </row>
    <row r="138" spans="2:64">
      <c r="B138" s="193"/>
      <c r="C138" s="187"/>
      <c r="D138" s="2585" t="s">
        <v>1156</v>
      </c>
      <c r="E138" s="187"/>
      <c r="F138" s="2610"/>
      <c r="G138" s="2610"/>
      <c r="H138" s="2595"/>
      <c r="I138" s="2595"/>
      <c r="J138" s="2595"/>
      <c r="K138" s="2595"/>
      <c r="L138" s="2595"/>
      <c r="M138" s="2595"/>
      <c r="N138" s="2595"/>
      <c r="O138" s="2595"/>
      <c r="P138" s="2595"/>
      <c r="Q138" s="2595"/>
      <c r="R138" s="2595"/>
      <c r="S138" s="2595"/>
      <c r="T138" s="2595"/>
      <c r="U138" s="2595"/>
      <c r="V138" s="2595"/>
      <c r="W138" s="2595"/>
      <c r="X138" s="2595"/>
      <c r="Y138" s="2595"/>
      <c r="Z138" s="2595"/>
      <c r="AA138" s="2595"/>
      <c r="AB138" s="2595"/>
      <c r="AC138" s="2595"/>
      <c r="AD138" s="2595"/>
      <c r="AE138" s="2595"/>
      <c r="AF138" s="2595"/>
      <c r="AG138" s="2595"/>
      <c r="AH138" s="2595"/>
      <c r="AI138" s="2595"/>
      <c r="AJ138" s="2595"/>
      <c r="AK138" s="2595"/>
      <c r="AL138" s="2595"/>
      <c r="AM138" s="2595"/>
      <c r="AN138" s="2595"/>
      <c r="AO138" s="2595"/>
      <c r="AP138" s="2595"/>
      <c r="AQ138" s="2595"/>
      <c r="AR138" s="2595"/>
      <c r="AS138" s="2595"/>
      <c r="AT138" s="2595"/>
      <c r="AU138" s="2595"/>
      <c r="AV138" s="2595"/>
      <c r="AW138" s="2595"/>
      <c r="AX138" s="2610">
        <f>AX41</f>
        <v>0</v>
      </c>
      <c r="AY138" s="2576">
        <f ca="1">'Intermediate output'!AY131</f>
        <v>0</v>
      </c>
      <c r="AZ138" s="2576">
        <f>'Intermediate output'!AZ131</f>
        <v>0</v>
      </c>
      <c r="BA138" s="2576">
        <f ca="1">'Intermediate output'!BA131</f>
        <v>2.2737367544323206E-13</v>
      </c>
      <c r="BB138" s="2576">
        <f ca="1">'Intermediate output'!BB131</f>
        <v>4.5474735088646412E-13</v>
      </c>
      <c r="BC138" s="2576">
        <f ca="1">'Intermediate output'!BC131</f>
        <v>2.2737367544323206E-13</v>
      </c>
      <c r="BD138" s="2576">
        <f ca="1">'Intermediate output'!BD131</f>
        <v>-4.5474735088646412E-13</v>
      </c>
      <c r="BE138" s="2576">
        <f ca="1">'Intermediate output'!BE131</f>
        <v>-4.5474735088646412E-13</v>
      </c>
      <c r="BF138" s="2576">
        <f ca="1">'Intermediate output'!BF131</f>
        <v>0</v>
      </c>
      <c r="BG138" s="2576">
        <f ca="1">'Intermediate output'!BG131</f>
        <v>9.0949470177292824E-13</v>
      </c>
      <c r="BH138" s="2576">
        <f ca="1">'Intermediate output'!BH131</f>
        <v>9.0949470177292824E-13</v>
      </c>
      <c r="BI138" s="2576">
        <f ca="1">'Intermediate output'!BI131</f>
        <v>9.0949470177292824E-13</v>
      </c>
      <c r="BJ138" s="194" t="s">
        <v>1145</v>
      </c>
    </row>
    <row r="139" spans="2:64">
      <c r="B139" s="193"/>
      <c r="C139" s="187"/>
      <c r="D139" s="2585" t="s">
        <v>2076</v>
      </c>
      <c r="E139" s="187"/>
      <c r="F139" s="2610"/>
      <c r="G139" s="2610"/>
      <c r="H139" s="2595"/>
      <c r="I139" s="2595"/>
      <c r="J139" s="2595"/>
      <c r="K139" s="2595"/>
      <c r="L139" s="2595"/>
      <c r="M139" s="2595"/>
      <c r="N139" s="2595"/>
      <c r="O139" s="2595"/>
      <c r="P139" s="2595"/>
      <c r="Q139" s="2595"/>
      <c r="R139" s="2595"/>
      <c r="S139" s="2595"/>
      <c r="T139" s="2595"/>
      <c r="U139" s="2595"/>
      <c r="V139" s="2595"/>
      <c r="W139" s="2595"/>
      <c r="X139" s="2595"/>
      <c r="Y139" s="2595"/>
      <c r="Z139" s="2595"/>
      <c r="AA139" s="2595"/>
      <c r="AB139" s="2595"/>
      <c r="AC139" s="2595"/>
      <c r="AD139" s="2595"/>
      <c r="AE139" s="2595"/>
      <c r="AF139" s="2595"/>
      <c r="AG139" s="2595"/>
      <c r="AH139" s="2595"/>
      <c r="AI139" s="2595"/>
      <c r="AJ139" s="2595"/>
      <c r="AK139" s="2595"/>
      <c r="AL139" s="2595"/>
      <c r="AM139" s="2595"/>
      <c r="AN139" s="2595"/>
      <c r="AO139" s="2595"/>
      <c r="AP139" s="2595"/>
      <c r="AQ139" s="2595"/>
      <c r="AR139" s="2595"/>
      <c r="AS139" s="2595"/>
      <c r="AT139" s="2595"/>
      <c r="AU139" s="2595"/>
      <c r="AV139" s="2595"/>
      <c r="AW139" s="2595"/>
      <c r="AX139" s="2610">
        <f t="shared" ref="AX139" si="16">IF(AX138&lt;0,AX138+AX136,AX136)</f>
        <v>0</v>
      </c>
      <c r="AY139" s="2576">
        <f ca="1">'Intermediate output'!AY132</f>
        <v>790.76970020552903</v>
      </c>
      <c r="AZ139" s="2576">
        <f>'Intermediate output'!AZ132</f>
        <v>0</v>
      </c>
      <c r="BA139" s="2576">
        <f ca="1">'Intermediate output'!BA132</f>
        <v>1032.7162873841003</v>
      </c>
      <c r="BB139" s="2576">
        <f ca="1">'Intermediate output'!BB132</f>
        <v>1455.8968093122935</v>
      </c>
      <c r="BC139" s="2576">
        <f ca="1">'Intermediate output'!BC132</f>
        <v>2063.963133061764</v>
      </c>
      <c r="BD139" s="2576">
        <f ca="1">'Intermediate output'!BD132</f>
        <v>2848.3738320201105</v>
      </c>
      <c r="BE139" s="2576">
        <f ca="1">'Intermediate output'!BE132</f>
        <v>3900.1234784047756</v>
      </c>
      <c r="BF139" s="2576">
        <f ca="1">'Intermediate output'!BF132</f>
        <v>4836.305519548242</v>
      </c>
      <c r="BG139" s="2576">
        <f ca="1">'Intermediate output'!BG132</f>
        <v>5893.1577805937686</v>
      </c>
      <c r="BH139" s="2576">
        <f ca="1">'Intermediate output'!BH132</f>
        <v>6837.773164897314</v>
      </c>
      <c r="BI139" s="2576">
        <f ca="1">'Intermediate output'!BI132</f>
        <v>7907.6694446155816</v>
      </c>
      <c r="BJ139" s="194"/>
    </row>
    <row r="140" spans="2:64">
      <c r="B140" s="193"/>
      <c r="C140" s="186"/>
      <c r="D140" s="187"/>
      <c r="E140" s="2607"/>
      <c r="F140" s="187"/>
      <c r="G140" s="187"/>
      <c r="H140" s="2583"/>
      <c r="I140" s="2583"/>
      <c r="J140" s="2583"/>
      <c r="K140" s="2583"/>
      <c r="L140" s="2583"/>
      <c r="M140" s="2583"/>
      <c r="N140" s="2583"/>
      <c r="O140" s="2583"/>
      <c r="P140" s="2583"/>
      <c r="Q140" s="2583"/>
      <c r="R140" s="2583"/>
      <c r="S140" s="2583"/>
      <c r="T140" s="2583"/>
      <c r="U140" s="2583"/>
      <c r="V140" s="2583"/>
      <c r="W140" s="2583"/>
      <c r="X140" s="2583"/>
      <c r="Y140" s="2583"/>
      <c r="Z140" s="2583"/>
      <c r="AA140" s="2583"/>
      <c r="AB140" s="2583"/>
      <c r="AC140" s="2583"/>
      <c r="AD140" s="2583"/>
      <c r="AE140" s="2583"/>
      <c r="AF140" s="2583"/>
      <c r="AG140" s="2583"/>
      <c r="AH140" s="2583"/>
      <c r="AI140" s="2583"/>
      <c r="AJ140" s="2583"/>
      <c r="AK140" s="2583"/>
      <c r="AL140" s="2583"/>
      <c r="AM140" s="2583"/>
      <c r="AN140" s="2583"/>
      <c r="AO140" s="2583"/>
      <c r="AP140" s="2583"/>
      <c r="AQ140" s="2583"/>
      <c r="AR140" s="2583"/>
      <c r="AS140" s="2583"/>
      <c r="AT140" s="2583"/>
      <c r="AU140" s="2583"/>
      <c r="AV140" s="2583"/>
      <c r="AW140" s="2583"/>
      <c r="AX140" s="2607"/>
      <c r="AY140" s="2576">
        <f>'Intermediate output'!AY133</f>
        <v>0</v>
      </c>
      <c r="AZ140" s="2576">
        <f>'Intermediate output'!AZ133</f>
        <v>0</v>
      </c>
      <c r="BA140" s="2576">
        <f>'Intermediate output'!BA133</f>
        <v>0</v>
      </c>
      <c r="BB140" s="2576">
        <f>'Intermediate output'!BB133</f>
        <v>0</v>
      </c>
      <c r="BC140" s="2576">
        <f>'Intermediate output'!BC133</f>
        <v>0</v>
      </c>
      <c r="BD140" s="2576">
        <f>'Intermediate output'!BD133</f>
        <v>0</v>
      </c>
      <c r="BE140" s="2576">
        <f>'Intermediate output'!BE133</f>
        <v>0</v>
      </c>
      <c r="BF140" s="2576">
        <f>'Intermediate output'!BF133</f>
        <v>0</v>
      </c>
      <c r="BG140" s="2576">
        <f>'Intermediate output'!BG133</f>
        <v>0</v>
      </c>
      <c r="BH140" s="2576">
        <f>'Intermediate output'!BH133</f>
        <v>0</v>
      </c>
      <c r="BI140" s="2576">
        <f>'Intermediate output'!BI133</f>
        <v>0</v>
      </c>
      <c r="BJ140" s="194"/>
    </row>
    <row r="141" spans="2:64">
      <c r="B141" s="193"/>
      <c r="C141" s="2600"/>
      <c r="D141" s="2600" t="str">
        <f>Preferences.PowerUnits&amp;" installed capacity"</f>
        <v>GW installed capacity</v>
      </c>
      <c r="E141" s="2600"/>
      <c r="F141" s="2600"/>
      <c r="G141" s="2600"/>
      <c r="H141" s="2611"/>
      <c r="I141" s="2611"/>
      <c r="J141" s="2611"/>
      <c r="K141" s="2611"/>
      <c r="L141" s="2611"/>
      <c r="M141" s="2611"/>
      <c r="N141" s="2611"/>
      <c r="O141" s="2611"/>
      <c r="P141" s="2611"/>
      <c r="Q141" s="2611"/>
      <c r="R141" s="2611"/>
      <c r="S141" s="2611"/>
      <c r="T141" s="2611"/>
      <c r="U141" s="2611"/>
      <c r="V141" s="2611"/>
      <c r="W141" s="2611"/>
      <c r="X141" s="2611"/>
      <c r="Y141" s="2611"/>
      <c r="Z141" s="2611"/>
      <c r="AA141" s="2611"/>
      <c r="AB141" s="2611"/>
      <c r="AC141" s="2611"/>
      <c r="AD141" s="2611"/>
      <c r="AE141" s="2611"/>
      <c r="AF141" s="2611"/>
      <c r="AG141" s="2611"/>
      <c r="AH141" s="2611"/>
      <c r="AI141" s="2611"/>
      <c r="AJ141" s="2611"/>
      <c r="AK141" s="2611"/>
      <c r="AL141" s="2611"/>
      <c r="AM141" s="2611"/>
      <c r="AN141" s="2611"/>
      <c r="AO141" s="2611"/>
      <c r="AP141" s="2611"/>
      <c r="AQ141" s="2611"/>
      <c r="AR141" s="2611"/>
      <c r="AS141" s="2611"/>
      <c r="AT141" s="2611"/>
      <c r="AU141" s="2611"/>
      <c r="AV141" s="2611"/>
      <c r="AW141" s="2611"/>
      <c r="AX141" s="2600"/>
      <c r="AY141" s="2601">
        <v>2007</v>
      </c>
      <c r="AZ141" s="2601"/>
      <c r="BA141" s="2601">
        <f>AY141+5</f>
        <v>2012</v>
      </c>
      <c r="BB141" s="2601">
        <f t="shared" ref="BB141:BI141" si="17">BA141+5</f>
        <v>2017</v>
      </c>
      <c r="BC141" s="2601">
        <f t="shared" si="17"/>
        <v>2022</v>
      </c>
      <c r="BD141" s="2601">
        <f t="shared" si="17"/>
        <v>2027</v>
      </c>
      <c r="BE141" s="2601">
        <f t="shared" si="17"/>
        <v>2032</v>
      </c>
      <c r="BF141" s="2601">
        <f t="shared" si="17"/>
        <v>2037</v>
      </c>
      <c r="BG141" s="2601">
        <f t="shared" si="17"/>
        <v>2042</v>
      </c>
      <c r="BH141" s="2601">
        <f t="shared" si="17"/>
        <v>2047</v>
      </c>
      <c r="BI141" s="2601">
        <f t="shared" si="17"/>
        <v>2052</v>
      </c>
      <c r="BJ141" s="194"/>
    </row>
    <row r="142" spans="2:64">
      <c r="B142" s="193"/>
      <c r="C142" s="1503" t="s">
        <v>248</v>
      </c>
      <c r="D142" s="187" t="str">
        <f>INDEX(Modules[Module], MATCH($C142, Modules[Code], 0))</f>
        <v>Gas Power Stations</v>
      </c>
      <c r="E142" s="1503"/>
      <c r="F142" s="2607"/>
      <c r="G142" s="2607"/>
      <c r="H142" s="2608"/>
      <c r="I142" s="2608"/>
      <c r="J142" s="2608"/>
      <c r="K142" s="2608"/>
      <c r="L142" s="2608"/>
      <c r="M142" s="2608"/>
      <c r="N142" s="2608"/>
      <c r="O142" s="2608"/>
      <c r="P142" s="2608"/>
      <c r="Q142" s="2608"/>
      <c r="R142" s="2608"/>
      <c r="S142" s="2608"/>
      <c r="T142" s="2608"/>
      <c r="U142" s="2608"/>
      <c r="V142" s="2608"/>
      <c r="W142" s="2608"/>
      <c r="X142" s="2608"/>
      <c r="Y142" s="2608"/>
      <c r="Z142" s="2608"/>
      <c r="AA142" s="2608"/>
      <c r="AB142" s="2608"/>
      <c r="AC142" s="2608"/>
      <c r="AD142" s="2608"/>
      <c r="AE142" s="2608"/>
      <c r="AF142" s="2608"/>
      <c r="AG142" s="2608"/>
      <c r="AH142" s="2608"/>
      <c r="AI142" s="2608"/>
      <c r="AJ142" s="2608"/>
      <c r="AK142" s="2608"/>
      <c r="AL142" s="2608"/>
      <c r="AM142" s="2608"/>
      <c r="AN142" s="2608"/>
      <c r="AO142" s="2608"/>
      <c r="AP142" s="2608"/>
      <c r="AQ142" s="2608"/>
      <c r="AR142" s="2608">
        <f>63.6*Unit.GW</f>
        <v>63.6</v>
      </c>
      <c r="AS142" s="2608">
        <f>63.6*Unit.GW</f>
        <v>63.6</v>
      </c>
      <c r="AT142" s="2608">
        <f>63.7*Unit.GW</f>
        <v>63.7</v>
      </c>
      <c r="AU142" s="2608">
        <f>64.5*Unit.GW</f>
        <v>64.5</v>
      </c>
      <c r="AV142" s="2608">
        <f>69.3*Unit.GW</f>
        <v>69.3</v>
      </c>
      <c r="AW142" s="2608" t="s">
        <v>1157</v>
      </c>
      <c r="AX142" s="1503"/>
      <c r="AY142" s="2576">
        <f ca="1">'Intermediate output'!AY135</f>
        <v>0</v>
      </c>
      <c r="AZ142" s="2576">
        <f>'Intermediate output'!AZ135</f>
        <v>0</v>
      </c>
      <c r="BA142" s="2576">
        <f ca="1">'Intermediate output'!BA135</f>
        <v>18.381</v>
      </c>
      <c r="BB142" s="2576">
        <f ca="1">'Intermediate output'!BB135</f>
        <v>20.919</v>
      </c>
      <c r="BC142" s="2576">
        <f ca="1">'Intermediate output'!BC135</f>
        <v>20.919</v>
      </c>
      <c r="BD142" s="2576">
        <f ca="1">'Intermediate output'!BD135</f>
        <v>20.919</v>
      </c>
      <c r="BE142" s="2576">
        <f ca="1">'Intermediate output'!BE135</f>
        <v>20.919</v>
      </c>
      <c r="BF142" s="2576">
        <f ca="1">'Intermediate output'!BF135</f>
        <v>20.919</v>
      </c>
      <c r="BG142" s="2576">
        <f ca="1">'Intermediate output'!BG135</f>
        <v>20.919</v>
      </c>
      <c r="BH142" s="2576">
        <f ca="1">'Intermediate output'!BH135</f>
        <v>20.919</v>
      </c>
      <c r="BI142" s="2576">
        <f ca="1">'Intermediate output'!BI135</f>
        <v>20.919</v>
      </c>
      <c r="BJ142" s="194"/>
    </row>
    <row r="143" spans="2:64">
      <c r="B143" s="193"/>
      <c r="C143" s="2598" t="s">
        <v>278</v>
      </c>
      <c r="D143" s="187" t="str">
        <f>INDEX(Modules[Module], MATCH($C143, Modules[Code], 0))</f>
        <v>Coal power stations</v>
      </c>
      <c r="E143" s="1503"/>
      <c r="F143" s="2607"/>
      <c r="G143" s="2607"/>
      <c r="H143" s="2608"/>
      <c r="I143" s="2608"/>
      <c r="J143" s="2608"/>
      <c r="K143" s="2608"/>
      <c r="L143" s="2608"/>
      <c r="M143" s="2608"/>
      <c r="N143" s="2608"/>
      <c r="O143" s="2608"/>
      <c r="P143" s="2608"/>
      <c r="Q143" s="2608"/>
      <c r="R143" s="2608"/>
      <c r="S143" s="2608"/>
      <c r="T143" s="2608"/>
      <c r="U143" s="2608"/>
      <c r="V143" s="2608"/>
      <c r="W143" s="2608"/>
      <c r="X143" s="2608"/>
      <c r="Y143" s="2608"/>
      <c r="Z143" s="2608"/>
      <c r="AA143" s="2608"/>
      <c r="AB143" s="2608"/>
      <c r="AC143" s="2608"/>
      <c r="AD143" s="2608"/>
      <c r="AE143" s="2608"/>
      <c r="AF143" s="2608"/>
      <c r="AG143" s="2608"/>
      <c r="AH143" s="2608"/>
      <c r="AI143" s="2608"/>
      <c r="AJ143" s="2608"/>
      <c r="AK143" s="2608"/>
      <c r="AL143" s="2608"/>
      <c r="AM143" s="2608"/>
      <c r="AN143" s="2608"/>
      <c r="AO143" s="2608"/>
      <c r="AP143" s="2608"/>
      <c r="AQ143" s="2608"/>
      <c r="AR143" s="2608"/>
      <c r="AS143" s="2608"/>
      <c r="AT143" s="2608"/>
      <c r="AU143" s="2608"/>
      <c r="AV143" s="2608"/>
      <c r="AW143" s="2608" t="s">
        <v>1158</v>
      </c>
      <c r="AX143" s="1503"/>
      <c r="AY143" s="2576">
        <f ca="1">'Intermediate output'!AY136</f>
        <v>82</v>
      </c>
      <c r="AZ143" s="2576">
        <f>'Intermediate output'!AZ136</f>
        <v>0</v>
      </c>
      <c r="BA143" s="2576">
        <f ca="1">'Intermediate output'!BA136</f>
        <v>125.02330000000001</v>
      </c>
      <c r="BB143" s="2576">
        <f ca="1">'Intermediate output'!BB136</f>
        <v>175.2914387382277</v>
      </c>
      <c r="BC143" s="2576">
        <f ca="1">'Intermediate output'!BC136</f>
        <v>165.92363873822771</v>
      </c>
      <c r="BD143" s="2576">
        <f ca="1">'Intermediate output'!BD136</f>
        <v>152.38363873822772</v>
      </c>
      <c r="BE143" s="2576">
        <f ca="1">'Intermediate output'!BE136</f>
        <v>137.6836387382277</v>
      </c>
      <c r="BF143" s="2576">
        <f ca="1">'Intermediate output'!BF136</f>
        <v>124.92613873822771</v>
      </c>
      <c r="BG143" s="2576">
        <f ca="1">'Intermediate output'!BG136</f>
        <v>109.53513873822772</v>
      </c>
      <c r="BH143" s="2576">
        <f ca="1">'Intermediate output'!BH136</f>
        <v>98.050138738227716</v>
      </c>
      <c r="BI143" s="2576">
        <f ca="1">'Intermediate output'!BI136</f>
        <v>60.151138738227722</v>
      </c>
      <c r="BJ143" s="194"/>
    </row>
    <row r="144" spans="2:64">
      <c r="B144" s="193"/>
      <c r="C144" s="2598" t="s">
        <v>696</v>
      </c>
      <c r="D144" s="187" t="str">
        <f>INDEX(Modules[Module], MATCH($C144, Modules[Code], 0))</f>
        <v>Carbon Capture Storage (CCS)</v>
      </c>
      <c r="E144" s="1503"/>
      <c r="F144" s="2607"/>
      <c r="G144" s="2607"/>
      <c r="H144" s="2608"/>
      <c r="I144" s="2608"/>
      <c r="J144" s="2608"/>
      <c r="K144" s="2608"/>
      <c r="L144" s="2608"/>
      <c r="M144" s="2608"/>
      <c r="N144" s="2608"/>
      <c r="O144" s="2608"/>
      <c r="P144" s="2608"/>
      <c r="Q144" s="2608"/>
      <c r="R144" s="2608"/>
      <c r="S144" s="2608"/>
      <c r="T144" s="2608"/>
      <c r="U144" s="2608"/>
      <c r="V144" s="2608"/>
      <c r="W144" s="2608"/>
      <c r="X144" s="2608"/>
      <c r="Y144" s="2608"/>
      <c r="Z144" s="2608"/>
      <c r="AA144" s="2608"/>
      <c r="AB144" s="2608"/>
      <c r="AC144" s="2608"/>
      <c r="AD144" s="2608"/>
      <c r="AE144" s="2608"/>
      <c r="AF144" s="2608"/>
      <c r="AG144" s="2608"/>
      <c r="AH144" s="2608"/>
      <c r="AI144" s="2608"/>
      <c r="AJ144" s="2608"/>
      <c r="AK144" s="2608"/>
      <c r="AL144" s="2608"/>
      <c r="AM144" s="2608"/>
      <c r="AN144" s="2608"/>
      <c r="AO144" s="2608"/>
      <c r="AP144" s="2608"/>
      <c r="AQ144" s="2608"/>
      <c r="AR144" s="2608"/>
      <c r="AS144" s="2608"/>
      <c r="AT144" s="2608"/>
      <c r="AU144" s="2608"/>
      <c r="AV144" s="2608"/>
      <c r="AW144" s="2608"/>
      <c r="AX144" s="1503"/>
      <c r="AY144" s="2576">
        <f ca="1">'Intermediate output'!AY137</f>
        <v>0</v>
      </c>
      <c r="AZ144" s="2576">
        <f>'Intermediate output'!AZ137</f>
        <v>0</v>
      </c>
      <c r="BA144" s="2576">
        <f ca="1">'Intermediate output'!BA137</f>
        <v>0</v>
      </c>
      <c r="BB144" s="2576">
        <f ca="1">'Intermediate output'!BB137</f>
        <v>0</v>
      </c>
      <c r="BC144" s="2576">
        <f ca="1">'Intermediate output'!BC137</f>
        <v>0</v>
      </c>
      <c r="BD144" s="2576">
        <f ca="1">'Intermediate output'!BD137</f>
        <v>0</v>
      </c>
      <c r="BE144" s="2576">
        <f ca="1">'Intermediate output'!BE137</f>
        <v>1</v>
      </c>
      <c r="BF144" s="2576">
        <f ca="1">'Intermediate output'!BF137</f>
        <v>2</v>
      </c>
      <c r="BG144" s="2576">
        <f ca="1">'Intermediate output'!BG137</f>
        <v>5</v>
      </c>
      <c r="BH144" s="2576">
        <f ca="1">'Intermediate output'!BH137</f>
        <v>7</v>
      </c>
      <c r="BI144" s="2576">
        <f ca="1">'Intermediate output'!BI137</f>
        <v>10</v>
      </c>
      <c r="BJ144" s="194"/>
    </row>
    <row r="145" spans="1:62">
      <c r="B145" s="193"/>
      <c r="C145" s="2598" t="s">
        <v>1819</v>
      </c>
      <c r="D145" s="187" t="str">
        <f>INDEX(Modules[Module], MATCH($C145, Modules[Code], 0))</f>
        <v>Electricity Balancing Requirement</v>
      </c>
      <c r="E145" s="1503"/>
      <c r="F145" s="2607"/>
      <c r="G145" s="2607"/>
      <c r="H145" s="2608"/>
      <c r="I145" s="2608"/>
      <c r="J145" s="2608"/>
      <c r="K145" s="2608"/>
      <c r="L145" s="2608"/>
      <c r="M145" s="2608"/>
      <c r="N145" s="2608"/>
      <c r="O145" s="2608"/>
      <c r="P145" s="2608"/>
      <c r="Q145" s="2608"/>
      <c r="R145" s="2608"/>
      <c r="S145" s="2608"/>
      <c r="T145" s="2608"/>
      <c r="U145" s="2608"/>
      <c r="V145" s="2608"/>
      <c r="W145" s="2608"/>
      <c r="X145" s="2608"/>
      <c r="Y145" s="2608"/>
      <c r="Z145" s="2608"/>
      <c r="AA145" s="2608"/>
      <c r="AB145" s="2608"/>
      <c r="AC145" s="2608"/>
      <c r="AD145" s="2608"/>
      <c r="AE145" s="2608"/>
      <c r="AF145" s="2608"/>
      <c r="AG145" s="2608"/>
      <c r="AH145" s="2608"/>
      <c r="AI145" s="2608"/>
      <c r="AJ145" s="2608"/>
      <c r="AK145" s="2608"/>
      <c r="AL145" s="2608"/>
      <c r="AM145" s="2608"/>
      <c r="AN145" s="2608"/>
      <c r="AO145" s="2608"/>
      <c r="AP145" s="2608"/>
      <c r="AQ145" s="2608"/>
      <c r="AR145" s="2608"/>
      <c r="AS145" s="2608"/>
      <c r="AT145" s="2608"/>
      <c r="AU145" s="2608"/>
      <c r="AV145" s="2608"/>
      <c r="AW145" s="2608"/>
      <c r="AX145" s="1503"/>
      <c r="AY145" s="2576">
        <f ca="1">'Intermediate output'!AY138</f>
        <v>11.506446686594195</v>
      </c>
      <c r="AZ145" s="2576">
        <f>'Intermediate output'!AZ138</f>
        <v>0</v>
      </c>
      <c r="BA145" s="2576">
        <f ca="1">'Intermediate output'!BA138</f>
        <v>0.51077638826046257</v>
      </c>
      <c r="BB145" s="2576">
        <f ca="1">'Intermediate output'!BB138</f>
        <v>4.5647297728288754</v>
      </c>
      <c r="BC145" s="2576">
        <f ca="1">'Intermediate output'!BC138</f>
        <v>94.920473755987715</v>
      </c>
      <c r="BD145" s="2576">
        <f ca="1">'Intermediate output'!BD138</f>
        <v>215.01691728992043</v>
      </c>
      <c r="BE145" s="2576">
        <f ca="1">'Intermediate output'!BE138</f>
        <v>374.24277667545812</v>
      </c>
      <c r="BF145" s="2576">
        <f ca="1">'Intermediate output'!BF138</f>
        <v>515.43857694368262</v>
      </c>
      <c r="BG145" s="2576">
        <f ca="1">'Intermediate output'!BG138</f>
        <v>679.59023716585682</v>
      </c>
      <c r="BH145" s="2576">
        <f ca="1">'Intermediate output'!BH138</f>
        <v>829.6508924983948</v>
      </c>
      <c r="BI145" s="2576">
        <f ca="1">'Intermediate output'!BI138</f>
        <v>1024.3157925533287</v>
      </c>
      <c r="BJ145" s="194"/>
    </row>
    <row r="146" spans="1:62">
      <c r="B146" s="193"/>
      <c r="C146" s="1503" t="s">
        <v>61</v>
      </c>
      <c r="D146" s="1503" t="str">
        <f>INDEX(Modules[Module], MATCH($C146, Modules[Code], 0))</f>
        <v>Nuclear power</v>
      </c>
      <c r="E146" s="1503"/>
      <c r="F146" s="2607"/>
      <c r="G146" s="2607"/>
      <c r="H146" s="2608"/>
      <c r="I146" s="2608"/>
      <c r="J146" s="2608"/>
      <c r="K146" s="2608"/>
      <c r="L146" s="2608"/>
      <c r="M146" s="2608"/>
      <c r="N146" s="2608"/>
      <c r="O146" s="2608"/>
      <c r="P146" s="2608"/>
      <c r="Q146" s="2608"/>
      <c r="R146" s="2608"/>
      <c r="S146" s="2608"/>
      <c r="T146" s="2608"/>
      <c r="U146" s="2608"/>
      <c r="V146" s="2608"/>
      <c r="W146" s="2608"/>
      <c r="X146" s="2608"/>
      <c r="Y146" s="2608"/>
      <c r="Z146" s="2608"/>
      <c r="AA146" s="2608"/>
      <c r="AB146" s="2608"/>
      <c r="AC146" s="2608"/>
      <c r="AD146" s="2608"/>
      <c r="AE146" s="2608"/>
      <c r="AF146" s="2608"/>
      <c r="AG146" s="2608"/>
      <c r="AH146" s="2608"/>
      <c r="AI146" s="2608"/>
      <c r="AJ146" s="2608"/>
      <c r="AK146" s="2608"/>
      <c r="AL146" s="2608"/>
      <c r="AM146" s="2608"/>
      <c r="AN146" s="2608"/>
      <c r="AO146" s="2608"/>
      <c r="AP146" s="2608"/>
      <c r="AQ146" s="2608"/>
      <c r="AR146" s="2608"/>
      <c r="AS146" s="2608"/>
      <c r="AT146" s="2608"/>
      <c r="AU146" s="2608"/>
      <c r="AV146" s="2608"/>
      <c r="AW146" s="2608"/>
      <c r="AX146" s="1503"/>
      <c r="AY146" s="2576">
        <f ca="1">'Intermediate output'!AY139</f>
        <v>4.04</v>
      </c>
      <c r="AZ146" s="2576">
        <f>'Intermediate output'!AZ139</f>
        <v>0</v>
      </c>
      <c r="BA146" s="2576">
        <f ca="1">'Intermediate output'!BA139</f>
        <v>4.68</v>
      </c>
      <c r="BB146" s="2576">
        <f ca="1">'Intermediate output'!BB139</f>
        <v>9.98</v>
      </c>
      <c r="BC146" s="2576">
        <f ca="1">'Intermediate output'!BC139</f>
        <v>9.66</v>
      </c>
      <c r="BD146" s="2576">
        <f ca="1">'Intermediate output'!BD139</f>
        <v>9.66</v>
      </c>
      <c r="BE146" s="2576">
        <f ca="1">'Intermediate output'!BE139</f>
        <v>9.4600000000000009</v>
      </c>
      <c r="BF146" s="2576">
        <f ca="1">'Intermediate output'!BF139</f>
        <v>9.02</v>
      </c>
      <c r="BG146" s="2576">
        <f ca="1">'Intermediate output'!BG139</f>
        <v>8.8000000000000007</v>
      </c>
      <c r="BH146" s="2576">
        <f ca="1">'Intermediate output'!BH139</f>
        <v>8.36</v>
      </c>
      <c r="BI146" s="2576">
        <f ca="1">'Intermediate output'!BI139</f>
        <v>8.36</v>
      </c>
      <c r="BJ146" s="194"/>
    </row>
    <row r="147" spans="1:62">
      <c r="B147" s="193"/>
      <c r="C147" s="1503" t="s">
        <v>62</v>
      </c>
      <c r="D147" s="187" t="str">
        <f>INDEX(Modules[Module], MATCH($C147, Modules[Code], 0))</f>
        <v>Hydro Power Generation</v>
      </c>
      <c r="E147" s="1503"/>
      <c r="F147" s="2607"/>
      <c r="G147" s="2607"/>
      <c r="H147" s="2608"/>
      <c r="I147" s="2608"/>
      <c r="J147" s="2608"/>
      <c r="K147" s="2608"/>
      <c r="L147" s="2608"/>
      <c r="M147" s="2608"/>
      <c r="N147" s="2608"/>
      <c r="O147" s="2608"/>
      <c r="P147" s="2608"/>
      <c r="Q147" s="2608"/>
      <c r="R147" s="2608"/>
      <c r="S147" s="2608"/>
      <c r="T147" s="2608"/>
      <c r="U147" s="2608"/>
      <c r="V147" s="2608"/>
      <c r="W147" s="2608"/>
      <c r="X147" s="2608"/>
      <c r="Y147" s="2608"/>
      <c r="Z147" s="2608"/>
      <c r="AA147" s="2608"/>
      <c r="AB147" s="2608"/>
      <c r="AC147" s="2608"/>
      <c r="AD147" s="2608"/>
      <c r="AE147" s="2608"/>
      <c r="AF147" s="2608"/>
      <c r="AG147" s="2608"/>
      <c r="AH147" s="2608"/>
      <c r="AI147" s="2608"/>
      <c r="AJ147" s="2608"/>
      <c r="AK147" s="2608"/>
      <c r="AL147" s="2608"/>
      <c r="AM147" s="2608"/>
      <c r="AN147" s="2608"/>
      <c r="AO147" s="2608"/>
      <c r="AP147" s="2608"/>
      <c r="AQ147" s="2608"/>
      <c r="AR147" s="2608">
        <f>11*Unit.GW</f>
        <v>11</v>
      </c>
      <c r="AS147" s="2608">
        <f>11*Unit.GW</f>
        <v>11</v>
      </c>
      <c r="AT147" s="2608">
        <f>11*Unit.GW</f>
        <v>11</v>
      </c>
      <c r="AU147" s="2608">
        <f>10.9*Unit.GW</f>
        <v>10.9</v>
      </c>
      <c r="AV147" s="2608">
        <f>10.9*Unit.GW</f>
        <v>10.9</v>
      </c>
      <c r="AW147" s="2608" t="s">
        <v>1159</v>
      </c>
      <c r="AX147" s="1503"/>
      <c r="AY147" s="2576">
        <f ca="1">'Intermediate output'!AY140</f>
        <v>34.65</v>
      </c>
      <c r="AZ147" s="2576">
        <f>'Intermediate output'!AZ140</f>
        <v>0</v>
      </c>
      <c r="BA147" s="2576">
        <f ca="1">'Intermediate output'!BA140</f>
        <v>41</v>
      </c>
      <c r="BB147" s="2576">
        <f ca="1">'Intermediate output'!BB140</f>
        <v>49</v>
      </c>
      <c r="BC147" s="2576">
        <f ca="1">'Intermediate output'!BC140</f>
        <v>49</v>
      </c>
      <c r="BD147" s="2576">
        <f ca="1">'Intermediate output'!BD140</f>
        <v>49</v>
      </c>
      <c r="BE147" s="2576">
        <f ca="1">'Intermediate output'!BE140</f>
        <v>49</v>
      </c>
      <c r="BF147" s="2576">
        <f ca="1">'Intermediate output'!BF140</f>
        <v>49</v>
      </c>
      <c r="BG147" s="2576">
        <f ca="1">'Intermediate output'!BG140</f>
        <v>49</v>
      </c>
      <c r="BH147" s="2576">
        <f ca="1">'Intermediate output'!BH140</f>
        <v>49</v>
      </c>
      <c r="BI147" s="2576">
        <f ca="1">'Intermediate output'!BI140</f>
        <v>49</v>
      </c>
      <c r="BJ147" s="194"/>
    </row>
    <row r="148" spans="1:62">
      <c r="B148" s="193"/>
      <c r="C148" s="2598" t="s">
        <v>311</v>
      </c>
      <c r="D148" s="187" t="str">
        <f>INDEX(Modules[Module], MATCH($C148, Modules[Code], 0))</f>
        <v>Solar PV</v>
      </c>
      <c r="E148" s="1503"/>
      <c r="F148" s="2607"/>
      <c r="G148" s="2607"/>
      <c r="H148" s="2608"/>
      <c r="I148" s="2608"/>
      <c r="J148" s="2608"/>
      <c r="K148" s="2608"/>
      <c r="L148" s="2608"/>
      <c r="M148" s="2608"/>
      <c r="N148" s="2608"/>
      <c r="O148" s="2608"/>
      <c r="P148" s="2608"/>
      <c r="Q148" s="2608"/>
      <c r="R148" s="2608"/>
      <c r="S148" s="2608"/>
      <c r="T148" s="2608"/>
      <c r="U148" s="2608"/>
      <c r="V148" s="2608"/>
      <c r="W148" s="2608"/>
      <c r="X148" s="2608"/>
      <c r="Y148" s="2608"/>
      <c r="Z148" s="2608"/>
      <c r="AA148" s="2608"/>
      <c r="AB148" s="2608"/>
      <c r="AC148" s="2608"/>
      <c r="AD148" s="2608"/>
      <c r="AE148" s="2608"/>
      <c r="AF148" s="2608"/>
      <c r="AG148" s="2608"/>
      <c r="AH148" s="2608"/>
      <c r="AI148" s="2608"/>
      <c r="AJ148" s="2608"/>
      <c r="AK148" s="2608"/>
      <c r="AL148" s="2608"/>
      <c r="AM148" s="2608"/>
      <c r="AN148" s="2608"/>
      <c r="AO148" s="2608"/>
      <c r="AP148" s="2608"/>
      <c r="AQ148" s="2608"/>
      <c r="AR148" s="2608"/>
      <c r="AS148" s="2608"/>
      <c r="AT148" s="2608"/>
      <c r="AU148" s="2608"/>
      <c r="AV148" s="2608"/>
      <c r="AW148" s="2608" t="s">
        <v>1160</v>
      </c>
      <c r="AX148" s="1503"/>
      <c r="AY148" s="2576">
        <f ca="1">'Intermediate output'!AY141</f>
        <v>0</v>
      </c>
      <c r="AZ148" s="2576">
        <f>'Intermediate output'!AZ141</f>
        <v>0</v>
      </c>
      <c r="BA148" s="2576">
        <f ca="1">'Intermediate output'!BA141</f>
        <v>0.94100000000000006</v>
      </c>
      <c r="BB148" s="2576">
        <f ca="1">'Intermediate output'!BB141</f>
        <v>4.9409999999999998</v>
      </c>
      <c r="BC148" s="2576">
        <f ca="1">'Intermediate output'!BC141</f>
        <v>10.940999999999999</v>
      </c>
      <c r="BD148" s="2576">
        <f ca="1">'Intermediate output'!BD141</f>
        <v>18.940999999999999</v>
      </c>
      <c r="BE148" s="2576">
        <f ca="1">'Intermediate output'!BE141</f>
        <v>26.940999999999999</v>
      </c>
      <c r="BF148" s="2576">
        <f ca="1">'Intermediate output'!BF141</f>
        <v>33.941000000000003</v>
      </c>
      <c r="BG148" s="2576">
        <f ca="1">'Intermediate output'!BG141</f>
        <v>38</v>
      </c>
      <c r="BH148" s="2576">
        <f ca="1">'Intermediate output'!BH141</f>
        <v>37</v>
      </c>
      <c r="BI148" s="2576">
        <f ca="1">'Intermediate output'!BI141</f>
        <v>32</v>
      </c>
      <c r="BJ148" s="194"/>
    </row>
    <row r="149" spans="1:62">
      <c r="B149" s="193"/>
      <c r="C149" s="2598" t="s">
        <v>407</v>
      </c>
      <c r="D149" s="1503" t="str">
        <f>INDEX(Modules[Module], MATCH($C149, Modules[Code], 0))</f>
        <v>Solar CSP</v>
      </c>
      <c r="E149" s="1503"/>
      <c r="F149" s="2607"/>
      <c r="G149" s="2607"/>
      <c r="H149" s="2608"/>
      <c r="I149" s="2608"/>
      <c r="J149" s="2608"/>
      <c r="K149" s="2608"/>
      <c r="L149" s="2608"/>
      <c r="M149" s="2608"/>
      <c r="N149" s="2608"/>
      <c r="O149" s="2608"/>
      <c r="P149" s="2608"/>
      <c r="Q149" s="2608"/>
      <c r="R149" s="2608"/>
      <c r="S149" s="2608"/>
      <c r="T149" s="2608"/>
      <c r="U149" s="2608"/>
      <c r="V149" s="2608"/>
      <c r="W149" s="2608"/>
      <c r="X149" s="2608"/>
      <c r="Y149" s="2608"/>
      <c r="Z149" s="2608"/>
      <c r="AA149" s="2608"/>
      <c r="AB149" s="2608"/>
      <c r="AC149" s="2608"/>
      <c r="AD149" s="2608"/>
      <c r="AE149" s="2608"/>
      <c r="AF149" s="2608"/>
      <c r="AG149" s="2608"/>
      <c r="AH149" s="2608"/>
      <c r="AI149" s="2608"/>
      <c r="AJ149" s="2608"/>
      <c r="AK149" s="2608"/>
      <c r="AL149" s="2608"/>
      <c r="AM149" s="2608"/>
      <c r="AN149" s="2608"/>
      <c r="AO149" s="2608"/>
      <c r="AP149" s="2608"/>
      <c r="AQ149" s="2608"/>
      <c r="AR149" s="2608"/>
      <c r="AS149" s="2608"/>
      <c r="AT149" s="2608"/>
      <c r="AU149" s="2608"/>
      <c r="AV149" s="2608"/>
      <c r="AW149" s="2608"/>
      <c r="AX149" s="1503"/>
      <c r="AY149" s="2576">
        <f ca="1">'Intermediate output'!AY142</f>
        <v>0</v>
      </c>
      <c r="AZ149" s="2576">
        <f>'Intermediate output'!AZ142</f>
        <v>0</v>
      </c>
      <c r="BA149" s="2576">
        <f ca="1">'Intermediate output'!BA142</f>
        <v>0</v>
      </c>
      <c r="BB149" s="2576">
        <f ca="1">'Intermediate output'!BB142</f>
        <v>1</v>
      </c>
      <c r="BC149" s="2576">
        <f ca="1">'Intermediate output'!BC142</f>
        <v>3</v>
      </c>
      <c r="BD149" s="2576">
        <f ca="1">'Intermediate output'!BD142</f>
        <v>5</v>
      </c>
      <c r="BE149" s="2576">
        <f ca="1">'Intermediate output'!BE142</f>
        <v>7.5</v>
      </c>
      <c r="BF149" s="2576">
        <f ca="1">'Intermediate output'!BF142</f>
        <v>9.5</v>
      </c>
      <c r="BG149" s="2576">
        <f ca="1">'Intermediate output'!BG142</f>
        <v>10.5</v>
      </c>
      <c r="BH149" s="2576">
        <f ca="1">'Intermediate output'!BH142</f>
        <v>9.5</v>
      </c>
      <c r="BI149" s="2576">
        <f ca="1">'Intermediate output'!BI142</f>
        <v>7.5</v>
      </c>
      <c r="BJ149" s="194"/>
    </row>
    <row r="150" spans="1:62">
      <c r="B150" s="193"/>
      <c r="C150" s="2598" t="s">
        <v>1071</v>
      </c>
      <c r="D150" s="187" t="str">
        <f>INDEX(Modules[Module], MATCH($C150, Modules[Code], 0))</f>
        <v>Onshore Wind</v>
      </c>
      <c r="E150" s="1503"/>
      <c r="F150" s="2607"/>
      <c r="G150" s="2607"/>
      <c r="H150" s="2608"/>
      <c r="I150" s="2608"/>
      <c r="J150" s="2608"/>
      <c r="K150" s="2608"/>
      <c r="L150" s="2608"/>
      <c r="M150" s="2608"/>
      <c r="N150" s="2608"/>
      <c r="O150" s="2608"/>
      <c r="P150" s="2608"/>
      <c r="Q150" s="2608"/>
      <c r="R150" s="2608"/>
      <c r="S150" s="2608"/>
      <c r="T150" s="2608"/>
      <c r="U150" s="2608"/>
      <c r="V150" s="2608"/>
      <c r="W150" s="2608"/>
      <c r="X150" s="2608"/>
      <c r="Y150" s="2608"/>
      <c r="Z150" s="2608"/>
      <c r="AA150" s="2608"/>
      <c r="AB150" s="2608"/>
      <c r="AC150" s="2608"/>
      <c r="AD150" s="2608"/>
      <c r="AE150" s="2608"/>
      <c r="AF150" s="2608"/>
      <c r="AG150" s="2608"/>
      <c r="AH150" s="2608"/>
      <c r="AI150" s="2608"/>
      <c r="AJ150" s="2608"/>
      <c r="AK150" s="2608"/>
      <c r="AL150" s="2608"/>
      <c r="AM150" s="2608"/>
      <c r="AN150" s="2608"/>
      <c r="AO150" s="2608"/>
      <c r="AP150" s="2608"/>
      <c r="AQ150" s="2608"/>
      <c r="AR150" s="2608">
        <f>1.4*Unit.GW</f>
        <v>1.4</v>
      </c>
      <c r="AS150" s="2608">
        <f>1.4*Unit.GW</f>
        <v>1.4</v>
      </c>
      <c r="AT150" s="2608">
        <f>1.5*Unit.GW</f>
        <v>1.5</v>
      </c>
      <c r="AU150" s="2608">
        <f>1.5*Unit.GW</f>
        <v>1.5</v>
      </c>
      <c r="AV150" s="2608">
        <f>1.5*Unit.GW</f>
        <v>1.5</v>
      </c>
      <c r="AW150" s="2608" t="s">
        <v>1161</v>
      </c>
      <c r="AX150" s="1503"/>
      <c r="AY150" s="2576">
        <f ca="1">'Intermediate output'!AY143</f>
        <v>7.0939899999999998</v>
      </c>
      <c r="AZ150" s="2576">
        <f>'Intermediate output'!AZ143</f>
        <v>0</v>
      </c>
      <c r="BA150" s="2576">
        <f ca="1">'Intermediate output'!BA143</f>
        <v>10.353</v>
      </c>
      <c r="BB150" s="2576">
        <f ca="1">'Intermediate output'!BB143</f>
        <v>18.853000000000002</v>
      </c>
      <c r="BC150" s="2576">
        <f ca="1">'Intermediate output'!BC143</f>
        <v>28.853000000000002</v>
      </c>
      <c r="BD150" s="2576">
        <f ca="1">'Intermediate output'!BD143</f>
        <v>38.853000000000002</v>
      </c>
      <c r="BE150" s="2576">
        <f ca="1">'Intermediate output'!BE143</f>
        <v>51.353000000000002</v>
      </c>
      <c r="BF150" s="2576">
        <f ca="1">'Intermediate output'!BF143</f>
        <v>56.759010000000004</v>
      </c>
      <c r="BG150" s="2576">
        <f ca="1">'Intermediate output'!BG143</f>
        <v>58.5</v>
      </c>
      <c r="BH150" s="2576">
        <f ca="1">'Intermediate output'!BH143</f>
        <v>60</v>
      </c>
      <c r="BI150" s="2576">
        <f ca="1">'Intermediate output'!BI143</f>
        <v>58</v>
      </c>
      <c r="BJ150" s="194"/>
    </row>
    <row r="151" spans="1:62">
      <c r="B151" s="193"/>
      <c r="C151" s="2598" t="s">
        <v>1285</v>
      </c>
      <c r="D151" s="187" t="str">
        <f>INDEX(Modules[Module], MATCH($C151, Modules[Code], 0))</f>
        <v>Offshore Wind</v>
      </c>
      <c r="E151" s="1503"/>
      <c r="F151" s="2607"/>
      <c r="G151" s="2607"/>
      <c r="H151" s="2608"/>
      <c r="I151" s="2608"/>
      <c r="J151" s="2608"/>
      <c r="K151" s="2608"/>
      <c r="L151" s="2608"/>
      <c r="M151" s="2608"/>
      <c r="N151" s="2608"/>
      <c r="O151" s="2608"/>
      <c r="P151" s="2608"/>
      <c r="Q151" s="2608"/>
      <c r="R151" s="2608"/>
      <c r="S151" s="2608"/>
      <c r="T151" s="2608"/>
      <c r="U151" s="2608"/>
      <c r="V151" s="2608"/>
      <c r="W151" s="2608"/>
      <c r="X151" s="2608"/>
      <c r="Y151" s="2608"/>
      <c r="Z151" s="2608"/>
      <c r="AA151" s="2608"/>
      <c r="AB151" s="2608"/>
      <c r="AC151" s="2608"/>
      <c r="AD151" s="2608"/>
      <c r="AE151" s="2608"/>
      <c r="AF151" s="2608"/>
      <c r="AG151" s="2608"/>
      <c r="AH151" s="2608"/>
      <c r="AI151" s="2608"/>
      <c r="AJ151" s="2608"/>
      <c r="AK151" s="2608"/>
      <c r="AL151" s="2608"/>
      <c r="AM151" s="2608"/>
      <c r="AN151" s="2608"/>
      <c r="AO151" s="2608"/>
      <c r="AP151" s="2608"/>
      <c r="AQ151" s="2608"/>
      <c r="AR151" s="2608"/>
      <c r="AS151" s="2608"/>
      <c r="AT151" s="2608"/>
      <c r="AU151" s="2608"/>
      <c r="AV151" s="2608"/>
      <c r="AW151" s="2608"/>
      <c r="AX151" s="1503"/>
      <c r="AY151" s="2576">
        <f ca="1">'Intermediate output'!AY144</f>
        <v>0</v>
      </c>
      <c r="AZ151" s="2576">
        <f>'Intermediate output'!AZ144</f>
        <v>0</v>
      </c>
      <c r="BA151" s="2576">
        <f ca="1">'Intermediate output'!BA144</f>
        <v>0</v>
      </c>
      <c r="BB151" s="2576">
        <f ca="1">'Intermediate output'!BB144</f>
        <v>0</v>
      </c>
      <c r="BC151" s="2576">
        <f ca="1">'Intermediate output'!BC144</f>
        <v>0.5</v>
      </c>
      <c r="BD151" s="2576">
        <f ca="1">'Intermediate output'!BD144</f>
        <v>1</v>
      </c>
      <c r="BE151" s="2576">
        <f ca="1">'Intermediate output'!BE144</f>
        <v>1.5</v>
      </c>
      <c r="BF151" s="2576">
        <f ca="1">'Intermediate output'!BF144</f>
        <v>2.5</v>
      </c>
      <c r="BG151" s="2576">
        <f ca="1">'Intermediate output'!BG144</f>
        <v>3.5</v>
      </c>
      <c r="BH151" s="2576">
        <f ca="1">'Intermediate output'!BH144</f>
        <v>4</v>
      </c>
      <c r="BI151" s="2576">
        <f ca="1">'Intermediate output'!BI144</f>
        <v>4</v>
      </c>
      <c r="BJ151" s="194"/>
    </row>
    <row r="152" spans="1:62">
      <c r="B152" s="193"/>
      <c r="C152" s="2598" t="s">
        <v>1073</v>
      </c>
      <c r="D152" s="187" t="str">
        <f>INDEX(Modules[Module], MATCH($C152, Modules[Code], 0))</f>
        <v>Small Hydro</v>
      </c>
      <c r="E152" s="1503"/>
      <c r="F152" s="2607"/>
      <c r="G152" s="2607"/>
      <c r="H152" s="2608"/>
      <c r="I152" s="2608"/>
      <c r="J152" s="2608"/>
      <c r="K152" s="2608"/>
      <c r="L152" s="2608"/>
      <c r="M152" s="2608"/>
      <c r="N152" s="2608"/>
      <c r="O152" s="2608"/>
      <c r="P152" s="2608"/>
      <c r="Q152" s="2608"/>
      <c r="R152" s="2608"/>
      <c r="S152" s="2608"/>
      <c r="T152" s="2608"/>
      <c r="U152" s="2608"/>
      <c r="V152" s="2608"/>
      <c r="W152" s="2608"/>
      <c r="X152" s="2608"/>
      <c r="Y152" s="2608"/>
      <c r="Z152" s="2608"/>
      <c r="AA152" s="2608"/>
      <c r="AB152" s="2608"/>
      <c r="AC152" s="2608"/>
      <c r="AD152" s="2608"/>
      <c r="AE152" s="2608"/>
      <c r="AF152" s="2608"/>
      <c r="AG152" s="2608"/>
      <c r="AH152" s="2608"/>
      <c r="AI152" s="2608"/>
      <c r="AJ152" s="2608"/>
      <c r="AK152" s="2608"/>
      <c r="AL152" s="2608"/>
      <c r="AM152" s="2608"/>
      <c r="AN152" s="2608"/>
      <c r="AO152" s="2608"/>
      <c r="AP152" s="2608"/>
      <c r="AQ152" s="2608"/>
      <c r="AR152" s="2608"/>
      <c r="AS152" s="2608"/>
      <c r="AT152" s="2608"/>
      <c r="AU152" s="2608"/>
      <c r="AV152" s="2608"/>
      <c r="AW152" s="2608"/>
      <c r="AX152" s="1503"/>
      <c r="AY152" s="2576">
        <f ca="1">'Intermediate output'!AY145</f>
        <v>1.9756</v>
      </c>
      <c r="AZ152" s="2576">
        <f>'Intermediate output'!AZ145</f>
        <v>0</v>
      </c>
      <c r="BA152" s="2576">
        <f ca="1">'Intermediate output'!BA145</f>
        <v>3.3856000000000002</v>
      </c>
      <c r="BB152" s="2576">
        <f ca="1">'Intermediate output'!BB145</f>
        <v>4.8856000000000002</v>
      </c>
      <c r="BC152" s="2576">
        <f ca="1">'Intermediate output'!BC145</f>
        <v>6.5856000000000003</v>
      </c>
      <c r="BD152" s="2576">
        <f ca="1">'Intermediate output'!BD145</f>
        <v>7.5856000000000003</v>
      </c>
      <c r="BE152" s="2576">
        <f ca="1">'Intermediate output'!BE145</f>
        <v>8.5855999999999995</v>
      </c>
      <c r="BF152" s="2576">
        <f ca="1">'Intermediate output'!BF145</f>
        <v>9.0855999999999995</v>
      </c>
      <c r="BG152" s="2576">
        <f ca="1">'Intermediate output'!BG145</f>
        <v>8.9599999999999991</v>
      </c>
      <c r="BH152" s="2576">
        <f ca="1">'Intermediate output'!BH145</f>
        <v>9.0405999999999995</v>
      </c>
      <c r="BI152" s="2576">
        <f ca="1">'Intermediate output'!BI145</f>
        <v>9.0405999999999995</v>
      </c>
      <c r="BJ152" s="194"/>
    </row>
    <row r="153" spans="1:62">
      <c r="B153" s="193"/>
      <c r="C153" s="2598" t="s">
        <v>304</v>
      </c>
      <c r="D153" s="187" t="s">
        <v>499</v>
      </c>
      <c r="E153" s="1503"/>
      <c r="F153" s="2607"/>
      <c r="G153" s="2607"/>
      <c r="H153" s="2608"/>
      <c r="I153" s="2608"/>
      <c r="J153" s="2608"/>
      <c r="K153" s="2608"/>
      <c r="L153" s="2608"/>
      <c r="M153" s="2608"/>
      <c r="N153" s="2608"/>
      <c r="O153" s="2608"/>
      <c r="P153" s="2608"/>
      <c r="Q153" s="2608"/>
      <c r="R153" s="2608"/>
      <c r="S153" s="2608"/>
      <c r="T153" s="2608"/>
      <c r="U153" s="2608"/>
      <c r="V153" s="2608"/>
      <c r="W153" s="2608"/>
      <c r="X153" s="2608"/>
      <c r="Y153" s="2608"/>
      <c r="Z153" s="2608"/>
      <c r="AA153" s="2608"/>
      <c r="AB153" s="2608"/>
      <c r="AC153" s="2608"/>
      <c r="AD153" s="2608"/>
      <c r="AE153" s="2608"/>
      <c r="AF153" s="2608"/>
      <c r="AG153" s="2608"/>
      <c r="AH153" s="2608"/>
      <c r="AI153" s="2608"/>
      <c r="AJ153" s="2608"/>
      <c r="AK153" s="2608"/>
      <c r="AL153" s="2608"/>
      <c r="AM153" s="2608"/>
      <c r="AN153" s="2608"/>
      <c r="AO153" s="2608"/>
      <c r="AP153" s="2608"/>
      <c r="AQ153" s="2608"/>
      <c r="AR153" s="2608"/>
      <c r="AS153" s="2608"/>
      <c r="AT153" s="2608"/>
      <c r="AU153" s="2608"/>
      <c r="AV153" s="2608"/>
      <c r="AW153" s="2608"/>
      <c r="AX153" s="1503"/>
      <c r="AY153" s="2576">
        <f ca="1">'Intermediate output'!AY146</f>
        <v>1.0101398712196108</v>
      </c>
      <c r="AZ153" s="2576">
        <f>'Intermediate output'!AZ146</f>
        <v>0</v>
      </c>
      <c r="BA153" s="2576">
        <f ca="1">'Intermediate output'!BA146</f>
        <v>1.3896660392425277</v>
      </c>
      <c r="BB153" s="2576">
        <f ca="1">'Intermediate output'!BB146</f>
        <v>1.5855498160506503</v>
      </c>
      <c r="BC153" s="2576">
        <f ca="1">'Intermediate output'!BC146</f>
        <v>1.7814335928587721</v>
      </c>
      <c r="BD153" s="2576">
        <f ca="1">'Intermediate output'!BD146</f>
        <v>1.9773173696668951</v>
      </c>
      <c r="BE153" s="2576">
        <f ca="1">'Intermediate output'!BE146</f>
        <v>2.1732011464750176</v>
      </c>
      <c r="BF153" s="2576">
        <f ca="1">'Intermediate output'!BF146</f>
        <v>2.3690849232831392</v>
      </c>
      <c r="BG153" s="2576">
        <f ca="1">'Intermediate output'!BG146</f>
        <v>2.5649687000912622</v>
      </c>
      <c r="BH153" s="2576">
        <f ca="1">'Intermediate output'!BH146</f>
        <v>2.7608524768993843</v>
      </c>
      <c r="BI153" s="2576">
        <f ca="1">'Intermediate output'!BI146</f>
        <v>2.9567362537075064</v>
      </c>
      <c r="BJ153" s="194"/>
    </row>
    <row r="154" spans="1:62">
      <c r="B154" s="193"/>
      <c r="C154" s="2598" t="s">
        <v>296</v>
      </c>
      <c r="D154" s="187" t="str">
        <f>INDEX(Modules[Module], MATCH($C154, Modules[Code], 0))</f>
        <v>Waste to Electricity</v>
      </c>
      <c r="E154" s="1503"/>
      <c r="F154" s="2607"/>
      <c r="G154" s="2607"/>
      <c r="H154" s="2608"/>
      <c r="I154" s="2608"/>
      <c r="J154" s="2608"/>
      <c r="K154" s="2608"/>
      <c r="L154" s="2608"/>
      <c r="M154" s="2608"/>
      <c r="N154" s="2608"/>
      <c r="O154" s="2608"/>
      <c r="P154" s="2608"/>
      <c r="Q154" s="2608"/>
      <c r="R154" s="2608"/>
      <c r="S154" s="2608"/>
      <c r="T154" s="2608"/>
      <c r="U154" s="2608"/>
      <c r="V154" s="2608"/>
      <c r="W154" s="2608"/>
      <c r="X154" s="2608"/>
      <c r="Y154" s="2608"/>
      <c r="Z154" s="2608"/>
      <c r="AA154" s="2608"/>
      <c r="AB154" s="2608"/>
      <c r="AC154" s="2608"/>
      <c r="AD154" s="2608"/>
      <c r="AE154" s="2608"/>
      <c r="AF154" s="2608"/>
      <c r="AG154" s="2608"/>
      <c r="AH154" s="2608"/>
      <c r="AI154" s="2608"/>
      <c r="AJ154" s="2608"/>
      <c r="AK154" s="2608"/>
      <c r="AL154" s="2608"/>
      <c r="AM154" s="2608"/>
      <c r="AN154" s="2608"/>
      <c r="AO154" s="2608"/>
      <c r="AP154" s="2608"/>
      <c r="AQ154" s="2608"/>
      <c r="AR154" s="2608"/>
      <c r="AS154" s="2608"/>
      <c r="AT154" s="2608"/>
      <c r="AU154" s="2608"/>
      <c r="AV154" s="2608"/>
      <c r="AW154" s="2608" t="s">
        <v>1162</v>
      </c>
      <c r="AX154" s="1503"/>
      <c r="AY154" s="2576">
        <f ca="1">'Intermediate output'!AY147</f>
        <v>0</v>
      </c>
      <c r="AZ154" s="2576">
        <f>'Intermediate output'!AZ147</f>
        <v>0</v>
      </c>
      <c r="BA154" s="2576">
        <f ca="1">'Intermediate output'!BA147</f>
        <v>0</v>
      </c>
      <c r="BB154" s="2576">
        <f ca="1">'Intermediate output'!BB147</f>
        <v>0</v>
      </c>
      <c r="BC154" s="2576">
        <f ca="1">'Intermediate output'!BC147</f>
        <v>0</v>
      </c>
      <c r="BD154" s="2576">
        <f ca="1">'Intermediate output'!BD147</f>
        <v>0</v>
      </c>
      <c r="BE154" s="2576">
        <f ca="1">'Intermediate output'!BE147</f>
        <v>0</v>
      </c>
      <c r="BF154" s="2576">
        <f ca="1">'Intermediate output'!BF147</f>
        <v>0</v>
      </c>
      <c r="BG154" s="2576">
        <f ca="1">'Intermediate output'!BG147</f>
        <v>0</v>
      </c>
      <c r="BH154" s="2576">
        <f ca="1">'Intermediate output'!BH147</f>
        <v>0</v>
      </c>
      <c r="BI154" s="2576">
        <f ca="1">'Intermediate output'!BI147</f>
        <v>0</v>
      </c>
      <c r="BJ154" s="194"/>
    </row>
    <row r="155" spans="1:62">
      <c r="B155" s="193"/>
      <c r="C155" s="2598"/>
      <c r="D155" s="2598"/>
      <c r="E155" s="1503"/>
      <c r="F155" s="2598"/>
      <c r="G155" s="2598"/>
      <c r="H155" s="2612"/>
      <c r="I155" s="2612"/>
      <c r="J155" s="2612"/>
      <c r="K155" s="2612"/>
      <c r="L155" s="2612"/>
      <c r="M155" s="2612"/>
      <c r="N155" s="2612"/>
      <c r="O155" s="2612"/>
      <c r="P155" s="2612"/>
      <c r="Q155" s="2612"/>
      <c r="R155" s="2612"/>
      <c r="S155" s="2612"/>
      <c r="T155" s="2612"/>
      <c r="U155" s="2612"/>
      <c r="V155" s="2612"/>
      <c r="W155" s="2612"/>
      <c r="X155" s="2612"/>
      <c r="Y155" s="2612"/>
      <c r="Z155" s="2612"/>
      <c r="AA155" s="2612"/>
      <c r="AB155" s="2612"/>
      <c r="AC155" s="2612"/>
      <c r="AD155" s="2612"/>
      <c r="AE155" s="2612"/>
      <c r="AF155" s="2612"/>
      <c r="AG155" s="2612"/>
      <c r="AH155" s="2612"/>
      <c r="AI155" s="2612"/>
      <c r="AJ155" s="2612"/>
      <c r="AK155" s="2612"/>
      <c r="AL155" s="2612"/>
      <c r="AM155" s="2612"/>
      <c r="AN155" s="2612"/>
      <c r="AO155" s="2612"/>
      <c r="AP155" s="2612"/>
      <c r="AQ155" s="2612"/>
      <c r="AR155" s="2612"/>
      <c r="AS155" s="2612"/>
      <c r="AT155" s="2612"/>
      <c r="AU155" s="2612"/>
      <c r="AV155" s="2612"/>
      <c r="AW155" s="2612"/>
      <c r="AX155" s="1503"/>
      <c r="AY155" s="2576">
        <f ca="1">'Intermediate output'!AY148</f>
        <v>0</v>
      </c>
      <c r="AZ155" s="2576">
        <f>'Intermediate output'!AZ148</f>
        <v>0</v>
      </c>
      <c r="BA155" s="2576">
        <f ca="1">'Intermediate output'!BA148</f>
        <v>0</v>
      </c>
      <c r="BB155" s="2576">
        <f ca="1">'Intermediate output'!BB148</f>
        <v>0</v>
      </c>
      <c r="BC155" s="2576">
        <f ca="1">'Intermediate output'!BC148</f>
        <v>0</v>
      </c>
      <c r="BD155" s="2576">
        <f ca="1">'Intermediate output'!BD148</f>
        <v>0</v>
      </c>
      <c r="BE155" s="2576">
        <f ca="1">'Intermediate output'!BE148</f>
        <v>0</v>
      </c>
      <c r="BF155" s="2576">
        <f ca="1">'Intermediate output'!BF148</f>
        <v>0</v>
      </c>
      <c r="BG155" s="2576">
        <f ca="1">'Intermediate output'!BG148</f>
        <v>0</v>
      </c>
      <c r="BH155" s="2576">
        <f ca="1">'Intermediate output'!BH148</f>
        <v>0</v>
      </c>
      <c r="BI155" s="2576">
        <f ca="1">'Intermediate output'!BI148</f>
        <v>0</v>
      </c>
      <c r="BJ155" s="194"/>
    </row>
    <row r="156" spans="1:62">
      <c r="B156" s="193"/>
      <c r="C156" s="2598" t="s">
        <v>267</v>
      </c>
      <c r="D156" s="2598" t="s">
        <v>1163</v>
      </c>
      <c r="E156" s="1503"/>
      <c r="F156" s="2598"/>
      <c r="G156" s="2598"/>
      <c r="H156" s="2612"/>
      <c r="I156" s="2612"/>
      <c r="J156" s="2612"/>
      <c r="K156" s="2612"/>
      <c r="L156" s="2612"/>
      <c r="M156" s="2612"/>
      <c r="N156" s="2612"/>
      <c r="O156" s="2612"/>
      <c r="P156" s="2612"/>
      <c r="Q156" s="2612"/>
      <c r="R156" s="2612"/>
      <c r="S156" s="2612"/>
      <c r="T156" s="2612"/>
      <c r="U156" s="2612"/>
      <c r="V156" s="2612"/>
      <c r="W156" s="2612"/>
      <c r="X156" s="2612"/>
      <c r="Y156" s="2612"/>
      <c r="Z156" s="2612"/>
      <c r="AA156" s="2612"/>
      <c r="AB156" s="2612"/>
      <c r="AC156" s="2612"/>
      <c r="AD156" s="2612"/>
      <c r="AE156" s="2612"/>
      <c r="AF156" s="2612"/>
      <c r="AG156" s="2612"/>
      <c r="AH156" s="2612"/>
      <c r="AI156" s="2612"/>
      <c r="AJ156" s="2612"/>
      <c r="AK156" s="2612"/>
      <c r="AL156" s="2612"/>
      <c r="AM156" s="2612"/>
      <c r="AN156" s="2612"/>
      <c r="AO156" s="2612"/>
      <c r="AP156" s="2612"/>
      <c r="AQ156" s="2612"/>
      <c r="AR156" s="2612"/>
      <c r="AS156" s="2612"/>
      <c r="AT156" s="2612"/>
      <c r="AU156" s="2612"/>
      <c r="AV156" s="2612"/>
      <c r="AW156" s="2612"/>
      <c r="AX156" s="1503"/>
      <c r="AY156" s="2576">
        <f ca="1">'Intermediate output'!AY149</f>
        <v>0</v>
      </c>
      <c r="AZ156" s="2576">
        <f>'Intermediate output'!AZ149</f>
        <v>0</v>
      </c>
      <c r="BA156" s="2576">
        <f ca="1">'Intermediate output'!BA149</f>
        <v>0</v>
      </c>
      <c r="BB156" s="2576">
        <f ca="1">'Intermediate output'!BB149</f>
        <v>0</v>
      </c>
      <c r="BC156" s="2576">
        <f ca="1">'Intermediate output'!BC149</f>
        <v>0</v>
      </c>
      <c r="BD156" s="2576">
        <f ca="1">'Intermediate output'!BD149</f>
        <v>0</v>
      </c>
      <c r="BE156" s="2576">
        <f ca="1">'Intermediate output'!BE149</f>
        <v>0</v>
      </c>
      <c r="BF156" s="2576">
        <f ca="1">'Intermediate output'!BF149</f>
        <v>0</v>
      </c>
      <c r="BG156" s="2576">
        <f ca="1">'Intermediate output'!BG149</f>
        <v>0</v>
      </c>
      <c r="BH156" s="2576">
        <f ca="1">'Intermediate output'!BH149</f>
        <v>0</v>
      </c>
      <c r="BI156" s="2576">
        <f ca="1">'Intermediate output'!BI149</f>
        <v>0</v>
      </c>
      <c r="BJ156" s="194"/>
    </row>
    <row r="157" spans="1:62">
      <c r="B157" s="193"/>
      <c r="C157" s="1503"/>
      <c r="D157" s="2605" t="s">
        <v>1164</v>
      </c>
      <c r="E157" s="2605"/>
      <c r="F157" s="2605"/>
      <c r="G157" s="2605"/>
      <c r="H157" s="2613"/>
      <c r="I157" s="2613"/>
      <c r="J157" s="2613"/>
      <c r="K157" s="2613"/>
      <c r="L157" s="2613"/>
      <c r="M157" s="2613"/>
      <c r="N157" s="2613"/>
      <c r="O157" s="2613"/>
      <c r="P157" s="2613"/>
      <c r="Q157" s="2613"/>
      <c r="R157" s="2613"/>
      <c r="S157" s="2613"/>
      <c r="T157" s="2613"/>
      <c r="U157" s="2613"/>
      <c r="V157" s="2613"/>
      <c r="W157" s="2613"/>
      <c r="X157" s="2613"/>
      <c r="Y157" s="2613"/>
      <c r="Z157" s="2613"/>
      <c r="AA157" s="2613"/>
      <c r="AB157" s="2613"/>
      <c r="AC157" s="2613"/>
      <c r="AD157" s="2613"/>
      <c r="AE157" s="2613"/>
      <c r="AF157" s="2613"/>
      <c r="AG157" s="2613"/>
      <c r="AH157" s="2613"/>
      <c r="AI157" s="2613"/>
      <c r="AJ157" s="2613"/>
      <c r="AK157" s="2613"/>
      <c r="AL157" s="2613"/>
      <c r="AM157" s="2613"/>
      <c r="AN157" s="2613"/>
      <c r="AO157" s="2613"/>
      <c r="AP157" s="2613"/>
      <c r="AQ157" s="2613"/>
      <c r="AR157" s="2614">
        <f>74.996*Unit.GW</f>
        <v>74.995999999999995</v>
      </c>
      <c r="AS157" s="2614">
        <f>75.97856007*Unit.GW</f>
        <v>75.97856007</v>
      </c>
      <c r="AT157" s="2614">
        <f>76.78237735*Unit.GW</f>
        <v>76.782377350000004</v>
      </c>
      <c r="AU157" s="2614">
        <f>77.67526559*Unit.GW</f>
        <v>77.675265589999995</v>
      </c>
      <c r="AV157" s="2614">
        <f>83.19678575*Unit.GW</f>
        <v>83.196785750000004</v>
      </c>
      <c r="AW157" s="2613"/>
      <c r="AX157" s="2605"/>
      <c r="AY157" s="2576">
        <f ca="1">'Intermediate output'!AY150</f>
        <v>142.27617655781381</v>
      </c>
      <c r="AZ157" s="2576">
        <f>'Intermediate output'!AZ150</f>
        <v>0</v>
      </c>
      <c r="BA157" s="2576">
        <f ca="1">'Intermediate output'!BA150</f>
        <v>187.28334242750304</v>
      </c>
      <c r="BB157" s="2576">
        <f ca="1">'Intermediate output'!BB150</f>
        <v>270.10131832710726</v>
      </c>
      <c r="BC157" s="2576">
        <f ca="1">'Intermediate output'!BC150</f>
        <v>371.16514608707422</v>
      </c>
      <c r="BD157" s="2576">
        <f ca="1">'Intermediate output'!BD150</f>
        <v>499.417473397815</v>
      </c>
      <c r="BE157" s="2576">
        <f ca="1">'Intermediate output'!BE150</f>
        <v>669.43921656016084</v>
      </c>
      <c r="BF157" s="2576">
        <f ca="1">'Intermediate output'!BF150</f>
        <v>814.53941060519344</v>
      </c>
      <c r="BG157" s="2576">
        <f ca="1">'Intermediate output'!BG150</f>
        <v>973.95034460417583</v>
      </c>
      <c r="BH157" s="2576">
        <f ca="1">'Intermediate output'!BH150</f>
        <v>1114.3624837135219</v>
      </c>
      <c r="BI157" s="2576">
        <f ca="1">'Intermediate output'!BI150</f>
        <v>1265.3242675452639</v>
      </c>
      <c r="BJ157" s="194"/>
    </row>
    <row r="158" spans="1:62">
      <c r="B158" s="193"/>
      <c r="C158" s="187"/>
      <c r="D158" s="186"/>
      <c r="E158" s="187"/>
      <c r="F158" s="2607"/>
      <c r="G158" s="2607"/>
      <c r="H158" s="2608"/>
      <c r="I158" s="2608"/>
      <c r="J158" s="2608"/>
      <c r="K158" s="2608"/>
      <c r="L158" s="2608"/>
      <c r="M158" s="2608"/>
      <c r="N158" s="2608"/>
      <c r="O158" s="2608"/>
      <c r="P158" s="2608"/>
      <c r="Q158" s="2608"/>
      <c r="R158" s="2608"/>
      <c r="S158" s="2608"/>
      <c r="T158" s="2608"/>
      <c r="U158" s="2608"/>
      <c r="V158" s="2608"/>
      <c r="W158" s="2608"/>
      <c r="X158" s="2608"/>
      <c r="Y158" s="2608"/>
      <c r="Z158" s="2608"/>
      <c r="AA158" s="2608"/>
      <c r="AB158" s="2608"/>
      <c r="AC158" s="2608"/>
      <c r="AD158" s="2608"/>
      <c r="AE158" s="2608"/>
      <c r="AF158" s="2608"/>
      <c r="AG158" s="2608"/>
      <c r="AH158" s="2608"/>
      <c r="AI158" s="2608"/>
      <c r="AJ158" s="2608"/>
      <c r="AK158" s="2608"/>
      <c r="AL158" s="2608"/>
      <c r="AM158" s="2608"/>
      <c r="AN158" s="2608"/>
      <c r="AO158" s="2608"/>
      <c r="AP158" s="2608"/>
      <c r="AQ158" s="2608"/>
      <c r="AR158" s="2608"/>
      <c r="AS158" s="2608"/>
      <c r="AT158" s="2608"/>
      <c r="AU158" s="2608"/>
      <c r="AV158" s="2608"/>
      <c r="AW158" s="2608"/>
      <c r="AX158" s="187"/>
      <c r="AY158" s="2607"/>
      <c r="AZ158" s="2607"/>
      <c r="BA158" s="2607"/>
      <c r="BB158" s="2607"/>
      <c r="BC158" s="2607"/>
      <c r="BD158" s="2607"/>
      <c r="BE158" s="2607"/>
      <c r="BF158" s="2607"/>
      <c r="BG158" s="2607"/>
      <c r="BH158" s="2607"/>
      <c r="BI158" s="2607"/>
      <c r="BJ158" s="194"/>
    </row>
    <row r="159" spans="1:62">
      <c r="B159" s="1201"/>
      <c r="H159" s="1207"/>
      <c r="I159" s="1207"/>
      <c r="J159" s="1207"/>
      <c r="K159" s="1207"/>
      <c r="L159" s="1207"/>
      <c r="M159" s="1207"/>
      <c r="N159" s="1207"/>
      <c r="O159" s="1207"/>
      <c r="P159" s="1207"/>
      <c r="Q159" s="1207"/>
      <c r="R159" s="1207"/>
      <c r="S159" s="1207"/>
      <c r="T159" s="1207"/>
      <c r="U159" s="1207"/>
      <c r="V159" s="1207"/>
      <c r="W159" s="1207"/>
      <c r="X159" s="1207"/>
      <c r="Y159" s="1207"/>
      <c r="Z159" s="1207"/>
      <c r="AA159" s="1207"/>
      <c r="AB159" s="1207"/>
      <c r="AC159" s="1207"/>
      <c r="AD159" s="1207"/>
      <c r="AE159" s="1207"/>
      <c r="AF159" s="1207"/>
      <c r="AG159" s="1207"/>
      <c r="AH159" s="1207"/>
      <c r="AI159" s="1207"/>
      <c r="AJ159" s="1207"/>
      <c r="AK159" s="1207"/>
      <c r="AL159" s="1207"/>
      <c r="AM159" s="1207"/>
      <c r="AN159" s="1207"/>
      <c r="AO159" s="1207"/>
      <c r="AP159" s="1207"/>
      <c r="AQ159" s="1207"/>
      <c r="AR159" s="1207"/>
      <c r="AS159" s="1207"/>
      <c r="AT159" s="1207"/>
      <c r="AU159" s="1207"/>
      <c r="AV159" s="1207"/>
      <c r="AW159" s="1207"/>
    </row>
    <row r="160" spans="1:62" ht="22.5">
      <c r="A160" s="420"/>
      <c r="B160" s="1208" t="s">
        <v>281</v>
      </c>
      <c r="C160" s="1209"/>
      <c r="D160" s="1209"/>
      <c r="E160" s="1209"/>
      <c r="F160" s="1209"/>
      <c r="G160" s="1209"/>
      <c r="H160" s="1210"/>
      <c r="I160" s="1210"/>
      <c r="J160" s="1210"/>
      <c r="K160" s="1210"/>
      <c r="L160" s="1210"/>
      <c r="M160" s="1210"/>
      <c r="N160" s="1210"/>
      <c r="O160" s="1210"/>
      <c r="P160" s="1210"/>
      <c r="Q160" s="1210"/>
      <c r="R160" s="1210"/>
      <c r="S160" s="1210"/>
      <c r="T160" s="1210"/>
      <c r="U160" s="1210"/>
      <c r="V160" s="1210"/>
      <c r="W160" s="1210"/>
      <c r="X160" s="1210"/>
      <c r="Y160" s="1210"/>
      <c r="Z160" s="1210"/>
      <c r="AA160" s="1210"/>
      <c r="AB160" s="1210"/>
      <c r="AC160" s="1210"/>
      <c r="AD160" s="1210"/>
      <c r="AE160" s="1210"/>
      <c r="AF160" s="1210"/>
      <c r="AG160" s="1210"/>
      <c r="AH160" s="1210"/>
      <c r="AI160" s="1210"/>
      <c r="AJ160" s="1210"/>
      <c r="AK160" s="1210"/>
      <c r="AL160" s="1210"/>
      <c r="AM160" s="1210"/>
      <c r="AN160" s="1210"/>
      <c r="AO160" s="1210"/>
      <c r="AP160" s="1210"/>
      <c r="AQ160" s="1210"/>
      <c r="AR160" s="1210"/>
      <c r="AS160" s="1210"/>
      <c r="AT160" s="1210"/>
      <c r="AU160" s="1210"/>
      <c r="AV160" s="1210"/>
      <c r="AW160" s="1210"/>
      <c r="AX160" s="1209"/>
      <c r="AY160" s="1209"/>
      <c r="AZ160" s="1209"/>
      <c r="BA160" s="1209"/>
      <c r="BB160" s="1209"/>
      <c r="BC160" s="1209"/>
      <c r="BD160" s="1209"/>
      <c r="BE160" s="1209"/>
      <c r="BF160" s="1209"/>
      <c r="BG160" s="1209"/>
      <c r="BH160" s="1209"/>
      <c r="BI160" s="1211"/>
      <c r="BJ160" s="1212"/>
    </row>
    <row r="161" spans="2:62">
      <c r="B161" s="1270"/>
      <c r="C161" s="1214"/>
      <c r="D161" s="1214"/>
      <c r="E161" s="1214"/>
      <c r="F161" s="1214"/>
      <c r="G161" s="1214"/>
      <c r="H161" s="1215"/>
      <c r="I161" s="1215"/>
      <c r="J161" s="1215"/>
      <c r="K161" s="1215"/>
      <c r="L161" s="1215"/>
      <c r="M161" s="1215"/>
      <c r="N161" s="1215"/>
      <c r="O161" s="1215"/>
      <c r="P161" s="1215"/>
      <c r="Q161" s="1215"/>
      <c r="R161" s="1215"/>
      <c r="S161" s="1215"/>
      <c r="T161" s="1215"/>
      <c r="U161" s="1215"/>
      <c r="V161" s="1215"/>
      <c r="W161" s="1215"/>
      <c r="X161" s="1215"/>
      <c r="Y161" s="1215"/>
      <c r="Z161" s="1215"/>
      <c r="AA161" s="1215"/>
      <c r="AB161" s="1215"/>
      <c r="AC161" s="1215"/>
      <c r="AD161" s="1215"/>
      <c r="AE161" s="1215"/>
      <c r="AF161" s="1215"/>
      <c r="AG161" s="1215"/>
      <c r="AH161" s="1215"/>
      <c r="AI161" s="1215"/>
      <c r="AJ161" s="1215"/>
      <c r="AK161" s="1215"/>
      <c r="AL161" s="1215"/>
      <c r="AM161" s="1215"/>
      <c r="AN161" s="1215"/>
      <c r="AO161" s="1215"/>
      <c r="AP161" s="1215"/>
      <c r="AQ161" s="1215"/>
      <c r="AR161" s="1215"/>
      <c r="AS161" s="1215"/>
      <c r="AT161" s="1215"/>
      <c r="AU161" s="1215"/>
      <c r="AV161" s="1215"/>
      <c r="AW161" s="1215"/>
      <c r="AX161" s="1214"/>
      <c r="AY161" s="1214"/>
      <c r="AZ161" s="1214"/>
      <c r="BA161" s="1214"/>
      <c r="BB161" s="1214"/>
      <c r="BC161" s="1214"/>
      <c r="BD161" s="1214"/>
      <c r="BE161" s="1214"/>
      <c r="BF161" s="1214"/>
      <c r="BG161" s="1214"/>
      <c r="BH161" s="1214"/>
      <c r="BI161" s="1216"/>
      <c r="BJ161" s="1217"/>
    </row>
    <row r="162" spans="2:62" ht="15.75">
      <c r="B162" s="2615"/>
      <c r="C162" s="1218" t="s">
        <v>1165</v>
      </c>
      <c r="D162" s="1214"/>
      <c r="E162" s="1214"/>
      <c r="F162" s="1214"/>
      <c r="G162" s="1214"/>
      <c r="H162" s="1215"/>
      <c r="I162" s="1215"/>
      <c r="J162" s="1215"/>
      <c r="K162" s="1215"/>
      <c r="L162" s="1215"/>
      <c r="M162" s="1215"/>
      <c r="N162" s="1215"/>
      <c r="O162" s="1215"/>
      <c r="P162" s="1215"/>
      <c r="Q162" s="1215"/>
      <c r="R162" s="1215"/>
      <c r="S162" s="1215"/>
      <c r="T162" s="1215"/>
      <c r="U162" s="1215"/>
      <c r="V162" s="1215"/>
      <c r="W162" s="1215"/>
      <c r="X162" s="1215"/>
      <c r="Y162" s="1215"/>
      <c r="Z162" s="1215"/>
      <c r="AA162" s="1215"/>
      <c r="AB162" s="1215"/>
      <c r="AC162" s="1215"/>
      <c r="AD162" s="1215"/>
      <c r="AE162" s="1215"/>
      <c r="AF162" s="1215"/>
      <c r="AG162" s="1215"/>
      <c r="AH162" s="1215"/>
      <c r="AI162" s="1215"/>
      <c r="AJ162" s="1215"/>
      <c r="AK162" s="1215"/>
      <c r="AL162" s="1215"/>
      <c r="AM162" s="1215"/>
      <c r="AN162" s="1215"/>
      <c r="AO162" s="1215"/>
      <c r="AP162" s="1215"/>
      <c r="AQ162" s="1215"/>
      <c r="AR162" s="1215"/>
      <c r="AS162" s="1215"/>
      <c r="AT162" s="1215"/>
      <c r="AU162" s="1215"/>
      <c r="AV162" s="1215"/>
      <c r="AW162" s="1215"/>
      <c r="AX162" s="1214"/>
      <c r="AY162" s="1214"/>
      <c r="AZ162" s="1214"/>
      <c r="BA162" s="1214"/>
      <c r="BB162" s="1214"/>
      <c r="BC162" s="1214"/>
      <c r="BD162" s="1214"/>
      <c r="BE162" s="1214"/>
      <c r="BF162" s="1214"/>
      <c r="BG162" s="1214"/>
      <c r="BH162" s="1214"/>
      <c r="BI162" s="1216"/>
      <c r="BJ162" s="1217"/>
    </row>
    <row r="163" spans="2:62" ht="15.75">
      <c r="B163" s="1213"/>
      <c r="C163" s="1214"/>
      <c r="D163" s="1220"/>
      <c r="E163" s="1214"/>
      <c r="F163" s="1214"/>
      <c r="G163" s="1214"/>
      <c r="H163" s="1215"/>
      <c r="I163" s="1215"/>
      <c r="J163" s="1215"/>
      <c r="K163" s="1215"/>
      <c r="L163" s="1215"/>
      <c r="M163" s="1215"/>
      <c r="N163" s="1215"/>
      <c r="O163" s="1215"/>
      <c r="P163" s="1215"/>
      <c r="Q163" s="1215"/>
      <c r="R163" s="1215"/>
      <c r="S163" s="1215"/>
      <c r="T163" s="1215"/>
      <c r="U163" s="1215"/>
      <c r="V163" s="1215"/>
      <c r="W163" s="1215"/>
      <c r="X163" s="1215"/>
      <c r="Y163" s="1215"/>
      <c r="Z163" s="1215"/>
      <c r="AA163" s="1215"/>
      <c r="AB163" s="1215"/>
      <c r="AC163" s="1215"/>
      <c r="AD163" s="1215"/>
      <c r="AE163" s="1215"/>
      <c r="AF163" s="1215"/>
      <c r="AG163" s="1215"/>
      <c r="AH163" s="1215"/>
      <c r="AI163" s="1215"/>
      <c r="AJ163" s="1215"/>
      <c r="AK163" s="1215"/>
      <c r="AL163" s="1215"/>
      <c r="AM163" s="1215"/>
      <c r="AN163" s="1215"/>
      <c r="AO163" s="1215"/>
      <c r="AP163" s="1215"/>
      <c r="AQ163" s="1215"/>
      <c r="AR163" s="1215"/>
      <c r="AS163" s="1215"/>
      <c r="AT163" s="1215"/>
      <c r="AU163" s="1215"/>
      <c r="AV163" s="1215"/>
      <c r="AW163" s="1215"/>
      <c r="AX163" s="1214"/>
      <c r="AY163" s="2405" t="s">
        <v>2547</v>
      </c>
      <c r="AZ163" s="2405"/>
      <c r="BA163" s="2405" t="s">
        <v>2487</v>
      </c>
      <c r="BB163" s="2405" t="s">
        <v>2048</v>
      </c>
      <c r="BC163" s="2405" t="s">
        <v>2481</v>
      </c>
      <c r="BD163" s="2405" t="s">
        <v>2048</v>
      </c>
      <c r="BE163" s="2405"/>
      <c r="BF163" s="2405"/>
      <c r="BG163" s="2405"/>
      <c r="BH163" s="2405"/>
      <c r="BI163" s="2405"/>
      <c r="BJ163" s="1217"/>
    </row>
    <row r="164" spans="2:62" s="410" customFormat="1" ht="15.75">
      <c r="B164" s="1213"/>
      <c r="C164" s="1222"/>
      <c r="D164" s="1223" t="s">
        <v>799</v>
      </c>
      <c r="E164" s="1214"/>
      <c r="F164" s="1224"/>
      <c r="G164" s="1224"/>
      <c r="H164" s="1225"/>
      <c r="I164" s="1225"/>
      <c r="J164" s="1225"/>
      <c r="K164" s="1225"/>
      <c r="L164" s="1225"/>
      <c r="M164" s="1225"/>
      <c r="N164" s="1225"/>
      <c r="O164" s="1225"/>
      <c r="P164" s="1225"/>
      <c r="Q164" s="1225"/>
      <c r="R164" s="1225"/>
      <c r="S164" s="1225"/>
      <c r="T164" s="1225"/>
      <c r="U164" s="1225"/>
      <c r="V164" s="1225"/>
      <c r="W164" s="1225"/>
      <c r="X164" s="1225"/>
      <c r="Y164" s="1225"/>
      <c r="Z164" s="1225"/>
      <c r="AA164" s="1225"/>
      <c r="AB164" s="1225"/>
      <c r="AC164" s="1225"/>
      <c r="AD164" s="1225"/>
      <c r="AE164" s="1225"/>
      <c r="AF164" s="1225"/>
      <c r="AG164" s="1225"/>
      <c r="AH164" s="1225"/>
      <c r="AI164" s="1225"/>
      <c r="AJ164" s="1225"/>
      <c r="AK164" s="1225"/>
      <c r="AL164" s="1225"/>
      <c r="AM164" s="1225"/>
      <c r="AN164" s="1225"/>
      <c r="AO164" s="1225"/>
      <c r="AP164" s="1225"/>
      <c r="AQ164" s="1225"/>
      <c r="AR164" s="1225"/>
      <c r="AS164" s="1225"/>
      <c r="AT164" s="1225"/>
      <c r="AU164" s="1225"/>
      <c r="AV164" s="1225"/>
      <c r="AW164" s="1225"/>
      <c r="AX164" s="1226"/>
      <c r="AY164" s="1224">
        <f ca="1">BA184</f>
        <v>786.58498080937272</v>
      </c>
      <c r="AZ164" s="1224"/>
      <c r="BA164" s="1224">
        <v>5854.0817122940844</v>
      </c>
      <c r="BB164" s="1224">
        <f ca="1">BH184</f>
        <v>5849.210459291693</v>
      </c>
      <c r="BC164" s="1224">
        <f ca="1">BA164/AY164</f>
        <v>7.4424020990972988</v>
      </c>
      <c r="BD164" s="1224">
        <f ca="1">BB164/AY164</f>
        <v>7.4362091852720456</v>
      </c>
      <c r="BE164" s="1224"/>
      <c r="BF164" s="1224"/>
      <c r="BG164" s="1224"/>
      <c r="BH164" s="1224"/>
      <c r="BI164" s="1224"/>
      <c r="BJ164" s="1227"/>
    </row>
    <row r="165" spans="2:62" s="410" customFormat="1">
      <c r="B165" s="1219"/>
      <c r="C165" s="1222"/>
      <c r="D165" s="1223" t="s">
        <v>2140</v>
      </c>
      <c r="E165" s="1214"/>
      <c r="F165" s="1224"/>
      <c r="G165" s="1224"/>
      <c r="H165" s="1225"/>
      <c r="I165" s="1225"/>
      <c r="J165" s="1225"/>
      <c r="K165" s="1225"/>
      <c r="L165" s="1225"/>
      <c r="M165" s="1225"/>
      <c r="N165" s="1225"/>
      <c r="O165" s="1225"/>
      <c r="P165" s="1225"/>
      <c r="Q165" s="1225"/>
      <c r="R165" s="1225"/>
      <c r="S165" s="1225"/>
      <c r="T165" s="1225"/>
      <c r="U165" s="1225"/>
      <c r="V165" s="1225"/>
      <c r="W165" s="1225"/>
      <c r="X165" s="1225"/>
      <c r="Y165" s="1225"/>
      <c r="Z165" s="1225"/>
      <c r="AA165" s="1225"/>
      <c r="AB165" s="1225"/>
      <c r="AC165" s="1225"/>
      <c r="AD165" s="1225"/>
      <c r="AE165" s="1225"/>
      <c r="AF165" s="1225"/>
      <c r="AG165" s="1225"/>
      <c r="AH165" s="1225"/>
      <c r="AI165" s="1225"/>
      <c r="AJ165" s="1225"/>
      <c r="AK165" s="1225"/>
      <c r="AL165" s="1225"/>
      <c r="AM165" s="1225"/>
      <c r="AN165" s="1225"/>
      <c r="AO165" s="1225"/>
      <c r="AP165" s="1225"/>
      <c r="AQ165" s="1225"/>
      <c r="AR165" s="1225"/>
      <c r="AS165" s="1225"/>
      <c r="AT165" s="1225"/>
      <c r="AU165" s="1225"/>
      <c r="AV165" s="1225"/>
      <c r="AW165" s="1225"/>
      <c r="AX165" s="1226"/>
      <c r="AY165" s="1252">
        <f ca="1">BA193</f>
        <v>1.8329576632390179</v>
      </c>
      <c r="AZ165" s="1252"/>
      <c r="BA165" s="1224">
        <v>0.15320843556214711</v>
      </c>
      <c r="BB165" s="1224">
        <f ca="1">BH193</f>
        <v>0.15320843556214719</v>
      </c>
      <c r="BC165" s="1224">
        <f t="shared" ref="BC165:BC172" ca="1" si="18">BA165/AY165</f>
        <v>8.3585365136809878E-2</v>
      </c>
      <c r="BD165" s="1224">
        <f t="shared" ref="BD165:BD172" ca="1" si="19">BB165/AY165</f>
        <v>8.3585365136809919E-2</v>
      </c>
      <c r="BE165" s="1224"/>
      <c r="BF165" s="1224"/>
      <c r="BG165" s="1224"/>
      <c r="BH165" s="1224"/>
      <c r="BI165" s="1224"/>
      <c r="BJ165" s="1227"/>
    </row>
    <row r="166" spans="2:62">
      <c r="B166" s="1221"/>
      <c r="C166" s="1216"/>
      <c r="D166" s="3318" t="s">
        <v>33</v>
      </c>
      <c r="E166" s="1214"/>
      <c r="F166" s="1228"/>
      <c r="G166" s="1228"/>
      <c r="H166" s="1229"/>
      <c r="I166" s="1229"/>
      <c r="J166" s="1229"/>
      <c r="K166" s="1229"/>
      <c r="L166" s="1229"/>
      <c r="M166" s="1229"/>
      <c r="N166" s="1229"/>
      <c r="O166" s="1229"/>
      <c r="P166" s="1229"/>
      <c r="Q166" s="1229"/>
      <c r="R166" s="1229"/>
      <c r="S166" s="1229"/>
      <c r="T166" s="1229"/>
      <c r="U166" s="1229"/>
      <c r="V166" s="1229"/>
      <c r="W166" s="1229"/>
      <c r="X166" s="1229"/>
      <c r="Y166" s="1229"/>
      <c r="Z166" s="1229"/>
      <c r="AA166" s="1229"/>
      <c r="AB166" s="1229"/>
      <c r="AC166" s="1229"/>
      <c r="AD166" s="1229"/>
      <c r="AE166" s="1229"/>
      <c r="AF166" s="1229"/>
      <c r="AG166" s="1229"/>
      <c r="AH166" s="1229"/>
      <c r="AI166" s="1229"/>
      <c r="AJ166" s="1229"/>
      <c r="AK166" s="1229"/>
      <c r="AL166" s="1229"/>
      <c r="AM166" s="1229"/>
      <c r="AN166" s="1229"/>
      <c r="AO166" s="1229"/>
      <c r="AP166" s="1229"/>
      <c r="AQ166" s="1229"/>
      <c r="AR166" s="1229"/>
      <c r="AS166" s="1229"/>
      <c r="AT166" s="1229"/>
      <c r="AU166" s="1229"/>
      <c r="AV166" s="1229"/>
      <c r="AW166" s="1229"/>
      <c r="AX166" s="1230"/>
      <c r="AY166" s="1252">
        <f ca="1">BA194</f>
        <v>979.12998115429286</v>
      </c>
      <c r="AZ166" s="1252"/>
      <c r="BA166" s="3319">
        <v>5532.5280442787462</v>
      </c>
      <c r="BB166" s="1224">
        <f ca="1">BH194</f>
        <v>5519.430879030032</v>
      </c>
      <c r="BC166" s="1224">
        <f t="shared" ca="1" si="18"/>
        <v>5.6504531071109358</v>
      </c>
      <c r="BD166" s="1224">
        <f t="shared" ca="1" si="19"/>
        <v>5.6370767776135242</v>
      </c>
      <c r="BE166" s="1228"/>
      <c r="BF166" s="1228"/>
      <c r="BG166" s="1228"/>
      <c r="BH166" s="1228"/>
      <c r="BI166" s="1228"/>
      <c r="BJ166" s="1217"/>
    </row>
    <row r="167" spans="2:62">
      <c r="B167" s="1221"/>
      <c r="C167" s="1216"/>
      <c r="D167" s="3318" t="s">
        <v>113</v>
      </c>
      <c r="E167" s="1214"/>
      <c r="F167" s="1228"/>
      <c r="G167" s="1228"/>
      <c r="H167" s="1229"/>
      <c r="I167" s="1229"/>
      <c r="J167" s="1229"/>
      <c r="K167" s="1229"/>
      <c r="L167" s="1229"/>
      <c r="M167" s="1229"/>
      <c r="N167" s="1229"/>
      <c r="O167" s="1229"/>
      <c r="P167" s="1229"/>
      <c r="Q167" s="1229"/>
      <c r="R167" s="1229"/>
      <c r="S167" s="1229"/>
      <c r="T167" s="1229"/>
      <c r="U167" s="1229"/>
      <c r="V167" s="1229"/>
      <c r="W167" s="1229"/>
      <c r="X167" s="1229"/>
      <c r="Y167" s="1229"/>
      <c r="Z167" s="1229"/>
      <c r="AA167" s="1229"/>
      <c r="AB167" s="1229"/>
      <c r="AC167" s="1229"/>
      <c r="AD167" s="1229"/>
      <c r="AE167" s="1229"/>
      <c r="AF167" s="1229"/>
      <c r="AG167" s="1229"/>
      <c r="AH167" s="1229"/>
      <c r="AI167" s="1229"/>
      <c r="AJ167" s="1229"/>
      <c r="AK167" s="1229"/>
      <c r="AL167" s="1229"/>
      <c r="AM167" s="1229"/>
      <c r="AN167" s="1229"/>
      <c r="AO167" s="1229"/>
      <c r="AP167" s="1229"/>
      <c r="AQ167" s="1229"/>
      <c r="AR167" s="1229"/>
      <c r="AS167" s="1229"/>
      <c r="AT167" s="1229"/>
      <c r="AU167" s="1229"/>
      <c r="AV167" s="1229"/>
      <c r="AW167" s="1229"/>
      <c r="AX167" s="1230"/>
      <c r="AY167" s="1252">
        <f ca="1">BA195</f>
        <v>221.70597052391261</v>
      </c>
      <c r="AZ167" s="1252"/>
      <c r="BA167" s="3319">
        <v>1690.8391897791685</v>
      </c>
      <c r="BB167" s="1224">
        <f ca="1">BH195</f>
        <v>1594.8309940816716</v>
      </c>
      <c r="BC167" s="1224">
        <f t="shared" ca="1" si="18"/>
        <v>7.6264937104921087</v>
      </c>
      <c r="BD167" s="1224">
        <f t="shared" ca="1" si="19"/>
        <v>7.1934508137644286</v>
      </c>
      <c r="BE167" s="1228"/>
      <c r="BF167" s="1228"/>
      <c r="BG167" s="1228"/>
      <c r="BH167" s="1228"/>
      <c r="BI167" s="1228"/>
      <c r="BJ167" s="1217"/>
    </row>
    <row r="168" spans="2:62">
      <c r="B168" s="1219"/>
      <c r="C168" s="1216"/>
      <c r="D168" s="3318" t="s">
        <v>1051</v>
      </c>
      <c r="E168" s="1214"/>
      <c r="F168" s="1228"/>
      <c r="G168" s="1228"/>
      <c r="H168" s="1229"/>
      <c r="I168" s="1229"/>
      <c r="J168" s="1229"/>
      <c r="K168" s="1229"/>
      <c r="L168" s="1229"/>
      <c r="M168" s="1229"/>
      <c r="N168" s="1229"/>
      <c r="O168" s="1229"/>
      <c r="P168" s="1229"/>
      <c r="Q168" s="1229"/>
      <c r="R168" s="1229"/>
      <c r="S168" s="1229"/>
      <c r="T168" s="1229"/>
      <c r="U168" s="1229"/>
      <c r="V168" s="1229"/>
      <c r="W168" s="1229"/>
      <c r="X168" s="1229"/>
      <c r="Y168" s="1229"/>
      <c r="Z168" s="1229"/>
      <c r="AA168" s="1229"/>
      <c r="AB168" s="1229"/>
      <c r="AC168" s="1229"/>
      <c r="AD168" s="1229"/>
      <c r="AE168" s="1229"/>
      <c r="AF168" s="1229"/>
      <c r="AG168" s="1229"/>
      <c r="AH168" s="1229"/>
      <c r="AI168" s="1229"/>
      <c r="AJ168" s="1229"/>
      <c r="AK168" s="1229"/>
      <c r="AL168" s="1229"/>
      <c r="AM168" s="1229"/>
      <c r="AN168" s="1229"/>
      <c r="AO168" s="1229"/>
      <c r="AP168" s="1229"/>
      <c r="AQ168" s="1229"/>
      <c r="AR168" s="1229"/>
      <c r="AS168" s="1229"/>
      <c r="AT168" s="1229"/>
      <c r="AU168" s="1229"/>
      <c r="AV168" s="1229"/>
      <c r="AW168" s="1229"/>
      <c r="AX168" s="1230"/>
      <c r="AY168" s="1252">
        <f ca="1">BA196</f>
        <v>16.260888821331829</v>
      </c>
      <c r="AZ168" s="1252"/>
      <c r="BA168" s="3319">
        <v>184.23361666422136</v>
      </c>
      <c r="BB168" s="1224">
        <f ca="1">BH196</f>
        <v>184.23361666422136</v>
      </c>
      <c r="BC168" s="1224">
        <f t="shared" ca="1" si="18"/>
        <v>11.329861404779713</v>
      </c>
      <c r="BD168" s="1224">
        <f t="shared" ca="1" si="19"/>
        <v>11.329861404779713</v>
      </c>
      <c r="BE168" s="1228"/>
      <c r="BF168" s="1228"/>
      <c r="BG168" s="1228"/>
      <c r="BH168" s="1228"/>
      <c r="BI168" s="1228"/>
      <c r="BJ168" s="1217"/>
    </row>
    <row r="169" spans="2:62">
      <c r="B169" s="1219"/>
      <c r="C169" s="1216"/>
      <c r="D169" s="3318" t="s">
        <v>106</v>
      </c>
      <c r="E169" s="1214"/>
      <c r="F169" s="1228"/>
      <c r="G169" s="1228"/>
      <c r="H169" s="1229"/>
      <c r="I169" s="1229"/>
      <c r="J169" s="1229"/>
      <c r="K169" s="1229"/>
      <c r="L169" s="1229"/>
      <c r="M169" s="1229"/>
      <c r="N169" s="1229"/>
      <c r="O169" s="1229"/>
      <c r="P169" s="1229"/>
      <c r="Q169" s="1229"/>
      <c r="R169" s="1229"/>
      <c r="S169" s="1229"/>
      <c r="T169" s="1229"/>
      <c r="U169" s="1229"/>
      <c r="V169" s="1229"/>
      <c r="W169" s="1229"/>
      <c r="X169" s="1229"/>
      <c r="Y169" s="1229"/>
      <c r="Z169" s="1229"/>
      <c r="AA169" s="1229"/>
      <c r="AB169" s="1229"/>
      <c r="AC169" s="1229"/>
      <c r="AD169" s="1229"/>
      <c r="AE169" s="1229"/>
      <c r="AF169" s="1229"/>
      <c r="AG169" s="1229"/>
      <c r="AH169" s="1229"/>
      <c r="AI169" s="1229"/>
      <c r="AJ169" s="1229"/>
      <c r="AK169" s="1229"/>
      <c r="AL169" s="1229"/>
      <c r="AM169" s="1229"/>
      <c r="AN169" s="1229"/>
      <c r="AO169" s="1229"/>
      <c r="AP169" s="1229"/>
      <c r="AQ169" s="1229"/>
      <c r="AR169" s="1229"/>
      <c r="AS169" s="1229"/>
      <c r="AT169" s="1229"/>
      <c r="AU169" s="1229"/>
      <c r="AV169" s="1229"/>
      <c r="AW169" s="1229"/>
      <c r="AX169" s="1230"/>
      <c r="AY169" s="1252">
        <f ca="1">BA197</f>
        <v>27.03601947205911</v>
      </c>
      <c r="AZ169" s="1252"/>
      <c r="BA169" s="3319">
        <v>103.819221533879</v>
      </c>
      <c r="BB169" s="1224">
        <f ca="1">BH197</f>
        <v>103.819221533879</v>
      </c>
      <c r="BC169" s="1224">
        <f t="shared" ca="1" si="18"/>
        <v>3.8400335390042515</v>
      </c>
      <c r="BD169" s="1224">
        <f t="shared" ca="1" si="19"/>
        <v>3.8400335390042515</v>
      </c>
      <c r="BE169" s="1228"/>
      <c r="BF169" s="1228"/>
      <c r="BG169" s="1228"/>
      <c r="BH169" s="1228"/>
      <c r="BI169" s="1228"/>
      <c r="BJ169" s="1217"/>
    </row>
    <row r="170" spans="2:62">
      <c r="B170" s="1219"/>
      <c r="C170" s="1216"/>
      <c r="D170" s="3318" t="s">
        <v>1078</v>
      </c>
      <c r="E170" s="1214"/>
      <c r="F170" s="1228"/>
      <c r="G170" s="1228"/>
      <c r="H170" s="1229"/>
      <c r="I170" s="1229"/>
      <c r="J170" s="1229"/>
      <c r="K170" s="1229"/>
      <c r="L170" s="1229"/>
      <c r="M170" s="1229"/>
      <c r="N170" s="1229"/>
      <c r="O170" s="1229"/>
      <c r="P170" s="1229"/>
      <c r="Q170" s="1229"/>
      <c r="R170" s="1229"/>
      <c r="S170" s="1229"/>
      <c r="T170" s="1229"/>
      <c r="U170" s="1229"/>
      <c r="V170" s="1229"/>
      <c r="W170" s="1229"/>
      <c r="X170" s="1229"/>
      <c r="Y170" s="1229"/>
      <c r="Z170" s="1229"/>
      <c r="AA170" s="1229"/>
      <c r="AB170" s="1229"/>
      <c r="AC170" s="1229"/>
      <c r="AD170" s="1229"/>
      <c r="AE170" s="1229"/>
      <c r="AF170" s="1229"/>
      <c r="AG170" s="1229"/>
      <c r="AH170" s="1229"/>
      <c r="AI170" s="1229"/>
      <c r="AJ170" s="1229"/>
      <c r="AK170" s="1229"/>
      <c r="AL170" s="1229"/>
      <c r="AM170" s="1229"/>
      <c r="AN170" s="1229"/>
      <c r="AO170" s="1229"/>
      <c r="AP170" s="1229"/>
      <c r="AQ170" s="1229"/>
      <c r="AR170" s="1229"/>
      <c r="AS170" s="1229"/>
      <c r="AT170" s="1229"/>
      <c r="AU170" s="1229"/>
      <c r="AV170" s="1229"/>
      <c r="AW170" s="1229"/>
      <c r="AX170" s="1230"/>
      <c r="AY170" s="3320">
        <f ca="1">BA199</f>
        <v>18.29421654212566</v>
      </c>
      <c r="AZ170" s="3320"/>
      <c r="BA170" s="3320">
        <v>33.359279164272778</v>
      </c>
      <c r="BB170" s="3321">
        <f ca="1">BH199</f>
        <v>41.661688969135909</v>
      </c>
      <c r="BC170" s="1224">
        <f t="shared" ca="1" si="18"/>
        <v>1.8234877174137059</v>
      </c>
      <c r="BD170" s="1224">
        <f t="shared" ca="1" si="19"/>
        <v>2.2773147389614921</v>
      </c>
      <c r="BE170" s="1228"/>
      <c r="BF170" s="1228"/>
      <c r="BG170" s="1228"/>
      <c r="BH170" s="1228"/>
      <c r="BI170" s="1228"/>
      <c r="BJ170" s="1217"/>
    </row>
    <row r="171" spans="2:62">
      <c r="B171" s="1219"/>
      <c r="C171" s="1216"/>
      <c r="D171" s="3318" t="s">
        <v>2037</v>
      </c>
      <c r="E171" s="1214"/>
      <c r="F171" s="1228"/>
      <c r="G171" s="1228"/>
      <c r="H171" s="1229"/>
      <c r="I171" s="1229"/>
      <c r="J171" s="1229"/>
      <c r="K171" s="1229"/>
      <c r="L171" s="1229"/>
      <c r="M171" s="1229"/>
      <c r="N171" s="1229"/>
      <c r="O171" s="1229"/>
      <c r="P171" s="1229"/>
      <c r="Q171" s="1229"/>
      <c r="R171" s="1229"/>
      <c r="S171" s="1229"/>
      <c r="T171" s="1229"/>
      <c r="U171" s="1229"/>
      <c r="V171" s="1229"/>
      <c r="W171" s="1229"/>
      <c r="X171" s="1229"/>
      <c r="Y171" s="1229"/>
      <c r="Z171" s="1229"/>
      <c r="AA171" s="1229"/>
      <c r="AB171" s="1229"/>
      <c r="AC171" s="1229"/>
      <c r="AD171" s="1229"/>
      <c r="AE171" s="1229"/>
      <c r="AF171" s="1229"/>
      <c r="AG171" s="1229"/>
      <c r="AH171" s="1229"/>
      <c r="AI171" s="1229"/>
      <c r="AJ171" s="1229"/>
      <c r="AK171" s="1229"/>
      <c r="AL171" s="1229"/>
      <c r="AM171" s="1229"/>
      <c r="AN171" s="1229"/>
      <c r="AO171" s="1229"/>
      <c r="AP171" s="1229"/>
      <c r="AQ171" s="1229"/>
      <c r="AR171" s="1229"/>
      <c r="AS171" s="1229"/>
      <c r="AT171" s="1229"/>
      <c r="AU171" s="1229"/>
      <c r="AV171" s="1229"/>
      <c r="AW171" s="1229"/>
      <c r="AX171" s="1230"/>
      <c r="AY171" s="3320">
        <f ca="1">BA188</f>
        <v>-317.74488604405229</v>
      </c>
      <c r="AZ171" s="3320"/>
      <c r="BA171" s="3320">
        <v>-312.11179177995979</v>
      </c>
      <c r="BB171" s="3322">
        <f ca="1">BH188</f>
        <v>-312.11179177995979</v>
      </c>
      <c r="BC171" s="1224">
        <f ca="1">-BA171/AY171</f>
        <v>-0.98227164460701488</v>
      </c>
      <c r="BD171" s="1224">
        <f ca="1">-BB171/AY171</f>
        <v>-0.98227164460701488</v>
      </c>
      <c r="BE171" s="1228"/>
      <c r="BF171" s="1228"/>
      <c r="BG171" s="1228"/>
      <c r="BH171" s="1228"/>
      <c r="BI171" s="1228"/>
      <c r="BJ171" s="1217"/>
    </row>
    <row r="172" spans="2:62">
      <c r="B172" s="1219"/>
      <c r="C172" s="1216"/>
      <c r="D172" s="3323" t="s">
        <v>103</v>
      </c>
      <c r="E172" s="1214"/>
      <c r="F172" s="1228"/>
      <c r="G172" s="1228"/>
      <c r="H172" s="1229"/>
      <c r="I172" s="1229"/>
      <c r="J172" s="1229"/>
      <c r="K172" s="1229"/>
      <c r="L172" s="1229"/>
      <c r="M172" s="1229"/>
      <c r="N172" s="1229"/>
      <c r="O172" s="1229"/>
      <c r="P172" s="1229"/>
      <c r="Q172" s="1229"/>
      <c r="R172" s="1229"/>
      <c r="S172" s="1229"/>
      <c r="T172" s="1229"/>
      <c r="U172" s="1229"/>
      <c r="V172" s="1229"/>
      <c r="W172" s="1229"/>
      <c r="X172" s="1229"/>
      <c r="Y172" s="1229"/>
      <c r="Z172" s="1229"/>
      <c r="AA172" s="1229"/>
      <c r="AB172" s="1229"/>
      <c r="AC172" s="1229"/>
      <c r="AD172" s="1229"/>
      <c r="AE172" s="1229"/>
      <c r="AF172" s="1229"/>
      <c r="AG172" s="1229"/>
      <c r="AH172" s="1229"/>
      <c r="AI172" s="1229"/>
      <c r="AJ172" s="1229"/>
      <c r="AK172" s="1229"/>
      <c r="AL172" s="1229"/>
      <c r="AM172" s="1229"/>
      <c r="AN172" s="1229"/>
      <c r="AO172" s="1229"/>
      <c r="AP172" s="1229"/>
      <c r="AQ172" s="1229"/>
      <c r="AR172" s="1229"/>
      <c r="AS172" s="1229"/>
      <c r="AT172" s="1229"/>
      <c r="AU172" s="1229"/>
      <c r="AV172" s="1229"/>
      <c r="AW172" s="1229"/>
      <c r="AX172" s="1230"/>
      <c r="AY172" s="3324">
        <f ca="1">SUM(AY164:AY171)</f>
        <v>1733.1001289422811</v>
      </c>
      <c r="AZ172" s="3325"/>
      <c r="BA172" s="3324">
        <v>13532.361821300998</v>
      </c>
      <c r="BB172" s="3324">
        <f ca="1">SUM(BB164:BB171)</f>
        <v>12981.228276226235</v>
      </c>
      <c r="BC172" s="3326">
        <f t="shared" ca="1" si="18"/>
        <v>7.8081823406013244</v>
      </c>
      <c r="BD172" s="3326">
        <f t="shared" ca="1" si="19"/>
        <v>7.4901778953468412</v>
      </c>
      <c r="BE172" s="1228"/>
      <c r="BF172" s="1228"/>
      <c r="BG172" s="1228"/>
      <c r="BH172" s="1228"/>
      <c r="BI172" s="1228"/>
      <c r="BJ172" s="1217"/>
    </row>
    <row r="173" spans="2:62">
      <c r="B173" s="1219"/>
      <c r="C173" s="1216"/>
      <c r="D173" s="1223"/>
      <c r="E173" s="1214"/>
      <c r="F173" s="1228"/>
      <c r="G173" s="1228"/>
      <c r="H173" s="1229"/>
      <c r="I173" s="1229"/>
      <c r="J173" s="1229"/>
      <c r="K173" s="1229"/>
      <c r="L173" s="1229"/>
      <c r="M173" s="1229"/>
      <c r="N173" s="1229"/>
      <c r="O173" s="1229"/>
      <c r="P173" s="1229"/>
      <c r="Q173" s="1229"/>
      <c r="R173" s="1229"/>
      <c r="S173" s="1229"/>
      <c r="T173" s="1229"/>
      <c r="U173" s="1229"/>
      <c r="V173" s="1229"/>
      <c r="W173" s="1229"/>
      <c r="X173" s="1229"/>
      <c r="Y173" s="1229"/>
      <c r="Z173" s="1229"/>
      <c r="AA173" s="1229"/>
      <c r="AB173" s="1229"/>
      <c r="AC173" s="1229"/>
      <c r="AD173" s="1229"/>
      <c r="AE173" s="1229"/>
      <c r="AF173" s="1229"/>
      <c r="AG173" s="1229"/>
      <c r="AH173" s="1229"/>
      <c r="AI173" s="1229"/>
      <c r="AJ173" s="1229"/>
      <c r="AK173" s="1229"/>
      <c r="AL173" s="1229"/>
      <c r="AM173" s="1229"/>
      <c r="AN173" s="1229"/>
      <c r="AO173" s="1229"/>
      <c r="AP173" s="1229"/>
      <c r="AQ173" s="1229"/>
      <c r="AR173" s="1229"/>
      <c r="AS173" s="1229"/>
      <c r="AT173" s="1229"/>
      <c r="AU173" s="1229"/>
      <c r="AV173" s="1229"/>
      <c r="AW173" s="1229"/>
      <c r="AX173" s="1230"/>
      <c r="AY173" s="1228"/>
      <c r="AZ173" s="1228"/>
      <c r="BA173" s="1228"/>
      <c r="BB173" s="1228"/>
      <c r="BC173" s="1228"/>
      <c r="BD173" s="1228"/>
      <c r="BE173" s="1228"/>
      <c r="BF173" s="1228"/>
      <c r="BG173" s="1228"/>
      <c r="BH173" s="1228"/>
      <c r="BI173" s="1228"/>
      <c r="BJ173" s="1217"/>
    </row>
    <row r="174" spans="2:62">
      <c r="B174" s="1219"/>
      <c r="C174" s="1216"/>
      <c r="D174" s="1223"/>
      <c r="E174" s="1214"/>
      <c r="F174" s="1228"/>
      <c r="G174" s="1228"/>
      <c r="H174" s="1229"/>
      <c r="I174" s="1229"/>
      <c r="J174" s="1229"/>
      <c r="K174" s="1229"/>
      <c r="L174" s="1229"/>
      <c r="M174" s="1229"/>
      <c r="N174" s="1229"/>
      <c r="O174" s="1229"/>
      <c r="P174" s="1229"/>
      <c r="Q174" s="1229"/>
      <c r="R174" s="1229"/>
      <c r="S174" s="1229"/>
      <c r="T174" s="1229"/>
      <c r="U174" s="1229"/>
      <c r="V174" s="1229"/>
      <c r="W174" s="1229"/>
      <c r="X174" s="1229"/>
      <c r="Y174" s="1229"/>
      <c r="Z174" s="1229"/>
      <c r="AA174" s="1229"/>
      <c r="AB174" s="1229"/>
      <c r="AC174" s="1229"/>
      <c r="AD174" s="1229"/>
      <c r="AE174" s="1229"/>
      <c r="AF174" s="1229"/>
      <c r="AG174" s="1229"/>
      <c r="AH174" s="1229"/>
      <c r="AI174" s="1229"/>
      <c r="AJ174" s="1229"/>
      <c r="AK174" s="1229"/>
      <c r="AL174" s="1229"/>
      <c r="AM174" s="1229"/>
      <c r="AN174" s="1229"/>
      <c r="AO174" s="1229"/>
      <c r="AP174" s="1229"/>
      <c r="AQ174" s="1229"/>
      <c r="AR174" s="1229"/>
      <c r="AS174" s="1229"/>
      <c r="AT174" s="1229"/>
      <c r="AU174" s="1229"/>
      <c r="AV174" s="1229"/>
      <c r="AW174" s="1229"/>
      <c r="AX174" s="1230"/>
      <c r="AY174" s="1228"/>
      <c r="AZ174" s="1228"/>
      <c r="BA174" s="1228"/>
      <c r="BB174" s="1228"/>
      <c r="BC174" s="1228"/>
      <c r="BD174" s="1228"/>
      <c r="BE174" s="1228"/>
      <c r="BF174" s="1228"/>
      <c r="BG174" s="1228"/>
      <c r="BH174" s="1228"/>
      <c r="BI174" s="1228"/>
      <c r="BJ174" s="1217"/>
    </row>
    <row r="175" spans="2:62" s="410" customFormat="1">
      <c r="B175" s="1219"/>
      <c r="C175" s="1216"/>
      <c r="D175" s="1223"/>
      <c r="E175" s="1214"/>
      <c r="F175" s="1224"/>
      <c r="G175" s="1224"/>
      <c r="H175" s="1225"/>
      <c r="I175" s="1225"/>
      <c r="J175" s="1225"/>
      <c r="K175" s="1225"/>
      <c r="L175" s="1225"/>
      <c r="M175" s="1225"/>
      <c r="N175" s="1225"/>
      <c r="O175" s="1225"/>
      <c r="P175" s="1225"/>
      <c r="Q175" s="1225"/>
      <c r="R175" s="1225"/>
      <c r="S175" s="1225"/>
      <c r="T175" s="1225"/>
      <c r="U175" s="1225"/>
      <c r="V175" s="1225"/>
      <c r="W175" s="1225"/>
      <c r="X175" s="1225"/>
      <c r="Y175" s="1225"/>
      <c r="Z175" s="1225"/>
      <c r="AA175" s="1225"/>
      <c r="AB175" s="1225"/>
      <c r="AC175" s="1225"/>
      <c r="AD175" s="1225"/>
      <c r="AE175" s="1225"/>
      <c r="AF175" s="1225"/>
      <c r="AG175" s="1225"/>
      <c r="AH175" s="1225"/>
      <c r="AI175" s="1225"/>
      <c r="AJ175" s="1225"/>
      <c r="AK175" s="1225"/>
      <c r="AL175" s="1225"/>
      <c r="AM175" s="1225"/>
      <c r="AN175" s="1225"/>
      <c r="AO175" s="1225"/>
      <c r="AP175" s="1225"/>
      <c r="AQ175" s="1225"/>
      <c r="AR175" s="1225"/>
      <c r="AS175" s="1225"/>
      <c r="AT175" s="1225"/>
      <c r="AU175" s="1225"/>
      <c r="AV175" s="1225"/>
      <c r="AW175" s="1225"/>
      <c r="AX175" s="1226"/>
      <c r="AY175" s="1228"/>
      <c r="AZ175" s="1228"/>
      <c r="BA175" s="1228"/>
      <c r="BB175" s="1228"/>
      <c r="BC175" s="1228"/>
      <c r="BD175" s="1228"/>
      <c r="BE175" s="1228"/>
      <c r="BF175" s="1228"/>
      <c r="BG175" s="1228"/>
      <c r="BH175" s="1228"/>
      <c r="BI175" s="1228"/>
      <c r="BJ175" s="1227"/>
    </row>
    <row r="176" spans="2:62">
      <c r="B176" s="1219"/>
      <c r="C176" s="1216"/>
      <c r="D176" s="1223"/>
      <c r="E176" s="1214"/>
      <c r="F176" s="1224"/>
      <c r="G176" s="1224"/>
      <c r="H176" s="1225"/>
      <c r="I176" s="1225"/>
      <c r="J176" s="1225"/>
      <c r="K176" s="1225"/>
      <c r="L176" s="1225"/>
      <c r="M176" s="1225"/>
      <c r="N176" s="1225"/>
      <c r="O176" s="1225"/>
      <c r="P176" s="1225"/>
      <c r="Q176" s="1225"/>
      <c r="R176" s="1225"/>
      <c r="S176" s="1225"/>
      <c r="T176" s="1225"/>
      <c r="U176" s="1225"/>
      <c r="V176" s="1225"/>
      <c r="W176" s="1225"/>
      <c r="X176" s="1225"/>
      <c r="Y176" s="1225"/>
      <c r="Z176" s="1225"/>
      <c r="AA176" s="1225"/>
      <c r="AB176" s="1225"/>
      <c r="AC176" s="1225"/>
      <c r="AD176" s="1225"/>
      <c r="AE176" s="1225"/>
      <c r="AF176" s="1225"/>
      <c r="AG176" s="1225"/>
      <c r="AH176" s="1225"/>
      <c r="AI176" s="1225"/>
      <c r="AJ176" s="1225"/>
      <c r="AK176" s="1225"/>
      <c r="AL176" s="1225"/>
      <c r="AM176" s="1225"/>
      <c r="AN176" s="1225"/>
      <c r="AO176" s="1225"/>
      <c r="AP176" s="1225"/>
      <c r="AQ176" s="1225"/>
      <c r="AR176" s="1225"/>
      <c r="AS176" s="1225"/>
      <c r="AT176" s="1225"/>
      <c r="AU176" s="1225"/>
      <c r="AV176" s="1225"/>
      <c r="AW176" s="1225"/>
      <c r="AX176" s="1226"/>
      <c r="AY176" s="1228"/>
      <c r="AZ176" s="1228"/>
      <c r="BA176" s="1228"/>
      <c r="BB176" s="1228"/>
      <c r="BC176" s="1228"/>
      <c r="BD176" s="1228"/>
      <c r="BE176" s="1228"/>
      <c r="BF176" s="1228"/>
      <c r="BG176" s="1228"/>
      <c r="BH176" s="1228"/>
      <c r="BI176" s="1228"/>
      <c r="BJ176" s="1217"/>
    </row>
    <row r="177" spans="2:63">
      <c r="B177" s="1221"/>
      <c r="C177" s="1214"/>
      <c r="D177" s="1220"/>
      <c r="E177" s="1214"/>
      <c r="F177" s="1231"/>
      <c r="G177" s="1231"/>
      <c r="H177" s="1232"/>
      <c r="I177" s="1232"/>
      <c r="J177" s="1232"/>
      <c r="K177" s="1232"/>
      <c r="L177" s="1232"/>
      <c r="M177" s="1232"/>
      <c r="N177" s="1232"/>
      <c r="O177" s="1232"/>
      <c r="P177" s="1232"/>
      <c r="Q177" s="1232"/>
      <c r="R177" s="1232"/>
      <c r="S177" s="1232"/>
      <c r="T177" s="1232"/>
      <c r="U177" s="1232"/>
      <c r="V177" s="1232"/>
      <c r="W177" s="1232"/>
      <c r="X177" s="1232"/>
      <c r="Y177" s="1232"/>
      <c r="Z177" s="1232"/>
      <c r="AA177" s="1232"/>
      <c r="AB177" s="1232"/>
      <c r="AC177" s="1232"/>
      <c r="AD177" s="1232"/>
      <c r="AE177" s="1232"/>
      <c r="AF177" s="1232"/>
      <c r="AG177" s="1232"/>
      <c r="AH177" s="1232"/>
      <c r="AI177" s="1232"/>
      <c r="AJ177" s="1232"/>
      <c r="AK177" s="1232"/>
      <c r="AL177" s="1232"/>
      <c r="AM177" s="1232"/>
      <c r="AN177" s="1232"/>
      <c r="AO177" s="1232"/>
      <c r="AP177" s="1232"/>
      <c r="AQ177" s="1232"/>
      <c r="AR177" s="1232"/>
      <c r="AS177" s="1232"/>
      <c r="AT177" s="1232"/>
      <c r="AU177" s="1232"/>
      <c r="AV177" s="1232"/>
      <c r="AW177" s="1232"/>
      <c r="AX177" s="1228"/>
      <c r="AY177" s="1231"/>
      <c r="AZ177" s="1231"/>
      <c r="BA177" s="1231"/>
      <c r="BB177" s="1231"/>
      <c r="BC177" s="1231"/>
      <c r="BD177" s="1231"/>
      <c r="BE177" s="1231"/>
      <c r="BF177" s="1231"/>
      <c r="BG177" s="1231"/>
      <c r="BH177" s="1231"/>
      <c r="BI177" s="1231"/>
      <c r="BJ177" s="1217"/>
      <c r="BK177" s="1233"/>
    </row>
    <row r="178" spans="2:63" ht="5.25" customHeight="1">
      <c r="B178" s="1219"/>
      <c r="C178" s="1214"/>
      <c r="D178" s="1214"/>
      <c r="E178" s="1214"/>
      <c r="F178" s="1230"/>
      <c r="G178" s="1230"/>
      <c r="H178" s="1234"/>
      <c r="I178" s="1234"/>
      <c r="J178" s="1234"/>
      <c r="K178" s="1234"/>
      <c r="L178" s="1234"/>
      <c r="M178" s="1234"/>
      <c r="N178" s="1234"/>
      <c r="O178" s="1234"/>
      <c r="P178" s="1234"/>
      <c r="Q178" s="1234"/>
      <c r="R178" s="1234"/>
      <c r="S178" s="1234"/>
      <c r="T178" s="1234"/>
      <c r="U178" s="1234"/>
      <c r="V178" s="1234"/>
      <c r="W178" s="1234"/>
      <c r="X178" s="1234"/>
      <c r="Y178" s="1234"/>
      <c r="Z178" s="1234"/>
      <c r="AA178" s="1234"/>
      <c r="AB178" s="1234"/>
      <c r="AC178" s="1234"/>
      <c r="AD178" s="1234"/>
      <c r="AE178" s="1234"/>
      <c r="AF178" s="1234"/>
      <c r="AG178" s="1234"/>
      <c r="AH178" s="1234"/>
      <c r="AI178" s="1234"/>
      <c r="AJ178" s="1234"/>
      <c r="AK178" s="1234"/>
      <c r="AL178" s="1234"/>
      <c r="AM178" s="1234"/>
      <c r="AN178" s="1234"/>
      <c r="AO178" s="1234"/>
      <c r="AP178" s="1234"/>
      <c r="AQ178" s="1234"/>
      <c r="AR178" s="1234"/>
      <c r="AS178" s="1234"/>
      <c r="AT178" s="1234"/>
      <c r="AU178" s="1234"/>
      <c r="AV178" s="1234"/>
      <c r="AW178" s="1234"/>
      <c r="AX178" s="1230"/>
      <c r="AY178" s="1230"/>
      <c r="AZ178" s="1230"/>
      <c r="BA178" s="1230"/>
      <c r="BB178" s="1230"/>
      <c r="BC178" s="1230"/>
      <c r="BD178" s="1230"/>
      <c r="BE178" s="1230"/>
      <c r="BF178" s="1230"/>
      <c r="BG178" s="1230"/>
      <c r="BH178" s="1230"/>
      <c r="BI178" s="1230"/>
      <c r="BJ178" s="1217"/>
    </row>
    <row r="179" spans="2:63" s="37" customFormat="1">
      <c r="B179" s="1219"/>
      <c r="C179" s="1236" t="s">
        <v>1168</v>
      </c>
      <c r="D179" s="1236"/>
      <c r="E179" s="1236"/>
      <c r="F179" s="1237"/>
      <c r="G179" s="1237"/>
      <c r="H179" s="1238"/>
      <c r="I179" s="1238"/>
      <c r="J179" s="1238"/>
      <c r="K179" s="1238"/>
      <c r="L179" s="1238"/>
      <c r="M179" s="1238"/>
      <c r="N179" s="1238"/>
      <c r="O179" s="1238"/>
      <c r="P179" s="1238"/>
      <c r="Q179" s="1238"/>
      <c r="R179" s="1238"/>
      <c r="S179" s="1238"/>
      <c r="T179" s="1238"/>
      <c r="U179" s="1238"/>
      <c r="V179" s="1238"/>
      <c r="W179" s="1238"/>
      <c r="X179" s="1238"/>
      <c r="Y179" s="1238"/>
      <c r="Z179" s="1238"/>
      <c r="AA179" s="1238"/>
      <c r="AB179" s="1238"/>
      <c r="AC179" s="1238"/>
      <c r="AD179" s="1238"/>
      <c r="AE179" s="1238"/>
      <c r="AF179" s="1238"/>
      <c r="AG179" s="1238"/>
      <c r="AH179" s="1238"/>
      <c r="AI179" s="1238"/>
      <c r="AJ179" s="1238"/>
      <c r="AK179" s="1238"/>
      <c r="AL179" s="1238"/>
      <c r="AM179" s="1238"/>
      <c r="AN179" s="1238"/>
      <c r="AO179" s="1238"/>
      <c r="AP179" s="1238"/>
      <c r="AQ179" s="1238"/>
      <c r="AR179" s="1238"/>
      <c r="AS179" s="1238"/>
      <c r="AT179" s="1238"/>
      <c r="AU179" s="1238"/>
      <c r="AV179" s="1238"/>
      <c r="AW179" s="1238"/>
      <c r="AX179" s="1237"/>
      <c r="AY179" s="1237"/>
      <c r="AZ179" s="1237"/>
      <c r="BA179" s="1237"/>
      <c r="BB179" s="1237"/>
      <c r="BC179" s="1237"/>
      <c r="BD179" s="1237"/>
      <c r="BE179" s="1237"/>
      <c r="BF179" s="1237"/>
      <c r="BG179" s="1237"/>
      <c r="BH179" s="1237"/>
      <c r="BI179" s="1237"/>
      <c r="BJ179" s="1239"/>
    </row>
    <row r="180" spans="2:63">
      <c r="B180" s="1219"/>
      <c r="C180" s="1214"/>
      <c r="D180" s="1214"/>
      <c r="E180" s="1214"/>
      <c r="F180" s="1214"/>
      <c r="G180" s="1214"/>
      <c r="H180" s="1215"/>
      <c r="I180" s="1215"/>
      <c r="J180" s="1215"/>
      <c r="K180" s="1215"/>
      <c r="L180" s="1215"/>
      <c r="M180" s="1215"/>
      <c r="N180" s="1215"/>
      <c r="O180" s="1215"/>
      <c r="P180" s="1215"/>
      <c r="Q180" s="1215"/>
      <c r="R180" s="1215"/>
      <c r="S180" s="1215"/>
      <c r="T180" s="1215"/>
      <c r="U180" s="1215"/>
      <c r="V180" s="1215"/>
      <c r="W180" s="1215"/>
      <c r="X180" s="1215"/>
      <c r="Y180" s="1215"/>
      <c r="Z180" s="1215"/>
      <c r="AA180" s="1215"/>
      <c r="AB180" s="1215"/>
      <c r="AC180" s="1215"/>
      <c r="AD180" s="1215"/>
      <c r="AE180" s="1215"/>
      <c r="AF180" s="1215"/>
      <c r="AG180" s="1215"/>
      <c r="AH180" s="1215"/>
      <c r="AI180" s="1215"/>
      <c r="AJ180" s="1215"/>
      <c r="AK180" s="1215"/>
      <c r="AL180" s="1215"/>
      <c r="AM180" s="1215"/>
      <c r="AN180" s="1215"/>
      <c r="AO180" s="1215"/>
      <c r="AP180" s="1215"/>
      <c r="AQ180" s="1215"/>
      <c r="AR180" s="1215"/>
      <c r="AS180" s="1215"/>
      <c r="AT180" s="1215"/>
      <c r="AU180" s="1215"/>
      <c r="AV180" s="1215"/>
      <c r="AW180" s="1215"/>
      <c r="AX180" s="1214"/>
      <c r="AY180" s="1214"/>
      <c r="AZ180" s="1214"/>
      <c r="BA180" s="1214"/>
      <c r="BB180" s="1214"/>
      <c r="BC180" s="1214"/>
      <c r="BD180" s="1214"/>
      <c r="BE180" s="1214"/>
      <c r="BF180" s="1214"/>
      <c r="BG180" s="1214"/>
      <c r="BH180" s="1214"/>
      <c r="BI180" s="1214"/>
      <c r="BJ180" s="1217"/>
    </row>
    <row r="181" spans="2:63" s="51" customFormat="1" ht="13.5" customHeight="1">
      <c r="B181" s="1235"/>
      <c r="C181" s="1241"/>
      <c r="D181" s="1242"/>
      <c r="E181" s="1242" t="s">
        <v>1169</v>
      </c>
      <c r="F181" s="1243"/>
      <c r="G181" s="1243"/>
      <c r="H181" s="1244"/>
      <c r="I181" s="1244"/>
      <c r="J181" s="1244"/>
      <c r="K181" s="1244"/>
      <c r="L181" s="1244"/>
      <c r="M181" s="1244"/>
      <c r="N181" s="1244"/>
      <c r="O181" s="1244"/>
      <c r="P181" s="1244"/>
      <c r="Q181" s="1244"/>
      <c r="R181" s="1244"/>
      <c r="S181" s="1244"/>
      <c r="T181" s="1244"/>
      <c r="U181" s="1244"/>
      <c r="V181" s="1244"/>
      <c r="W181" s="1244"/>
      <c r="X181" s="1244"/>
      <c r="Y181" s="1244"/>
      <c r="Z181" s="1244"/>
      <c r="AA181" s="1244"/>
      <c r="AB181" s="1244"/>
      <c r="AC181" s="1244"/>
      <c r="AD181" s="1244"/>
      <c r="AE181" s="1244"/>
      <c r="AF181" s="1244"/>
      <c r="AG181" s="1244"/>
      <c r="AH181" s="1244"/>
      <c r="AI181" s="1244"/>
      <c r="AJ181" s="1244"/>
      <c r="AK181" s="1244"/>
      <c r="AL181" s="1244"/>
      <c r="AM181" s="1244"/>
      <c r="AN181" s="1244"/>
      <c r="AO181" s="1244"/>
      <c r="AP181" s="1244"/>
      <c r="AQ181" s="1244"/>
      <c r="AR181" s="1244"/>
      <c r="AS181" s="1244"/>
      <c r="AT181" s="1244"/>
      <c r="AU181" s="1244"/>
      <c r="AV181" s="1244"/>
      <c r="AW181" s="1244"/>
      <c r="AX181" s="1241"/>
      <c r="AY181" s="1245"/>
      <c r="AZ181" s="1245"/>
      <c r="BA181" s="1241"/>
      <c r="BB181" s="1241"/>
      <c r="BC181" s="1241"/>
      <c r="BD181" s="1241"/>
      <c r="BE181" s="1241"/>
      <c r="BF181" s="1241"/>
      <c r="BG181" s="1241"/>
      <c r="BH181" s="1246"/>
      <c r="BI181" s="1247"/>
      <c r="BJ181" s="1248"/>
    </row>
    <row r="182" spans="2:63" s="51" customFormat="1" ht="13.5" customHeight="1">
      <c r="B182" s="1219"/>
      <c r="C182" s="1241"/>
      <c r="D182" s="1242"/>
      <c r="E182" s="1242"/>
      <c r="F182" s="1243"/>
      <c r="G182" s="1243"/>
      <c r="H182" s="1244"/>
      <c r="I182" s="1244"/>
      <c r="J182" s="1244"/>
      <c r="K182" s="1244"/>
      <c r="L182" s="1244"/>
      <c r="M182" s="1244"/>
      <c r="N182" s="1244"/>
      <c r="O182" s="1244"/>
      <c r="P182" s="1244"/>
      <c r="Q182" s="1244"/>
      <c r="R182" s="1244"/>
      <c r="S182" s="1244"/>
      <c r="T182" s="1244"/>
      <c r="U182" s="1244"/>
      <c r="V182" s="1244"/>
      <c r="W182" s="1244"/>
      <c r="X182" s="1244"/>
      <c r="Y182" s="1244"/>
      <c r="Z182" s="1244"/>
      <c r="AA182" s="1244"/>
      <c r="AB182" s="1244"/>
      <c r="AC182" s="1244"/>
      <c r="AD182" s="1244"/>
      <c r="AE182" s="1244"/>
      <c r="AF182" s="1244"/>
      <c r="AG182" s="1244"/>
      <c r="AH182" s="1244"/>
      <c r="AI182" s="1244"/>
      <c r="AJ182" s="1244"/>
      <c r="AK182" s="1244"/>
      <c r="AL182" s="1244"/>
      <c r="AM182" s="1244"/>
      <c r="AN182" s="1244"/>
      <c r="AO182" s="1244"/>
      <c r="AP182" s="1244"/>
      <c r="AQ182" s="1244"/>
      <c r="AR182" s="1244"/>
      <c r="AS182" s="1244"/>
      <c r="AT182" s="1244"/>
      <c r="AU182" s="1244"/>
      <c r="AV182" s="1244"/>
      <c r="AW182" s="1244"/>
      <c r="AX182" s="1241"/>
      <c r="AY182" s="1245"/>
      <c r="AZ182" s="1245"/>
      <c r="BA182" s="1241"/>
      <c r="BB182" s="1241"/>
      <c r="BC182" s="1241"/>
      <c r="BD182" s="1241"/>
      <c r="BE182" s="1241"/>
      <c r="BF182" s="1241"/>
      <c r="BG182" s="1241"/>
      <c r="BH182" s="1246"/>
      <c r="BI182" s="1247"/>
      <c r="BJ182" s="1248"/>
    </row>
    <row r="183" spans="2:63" s="51" customFormat="1" ht="13.5" customHeight="1">
      <c r="B183" s="1240"/>
      <c r="C183" s="1241" t="s">
        <v>1170</v>
      </c>
      <c r="D183" s="1242"/>
      <c r="E183" s="1242"/>
      <c r="F183" s="1242" t="s">
        <v>109</v>
      </c>
      <c r="G183" s="1242"/>
      <c r="H183" s="1249"/>
      <c r="I183" s="1249"/>
      <c r="J183" s="1249"/>
      <c r="K183" s="1249"/>
      <c r="L183" s="1249"/>
      <c r="M183" s="1249"/>
      <c r="N183" s="1249"/>
      <c r="O183" s="1249"/>
      <c r="P183" s="1249"/>
      <c r="Q183" s="1249"/>
      <c r="R183" s="1249"/>
      <c r="S183" s="1249"/>
      <c r="T183" s="1249"/>
      <c r="U183" s="1249"/>
      <c r="V183" s="1249"/>
      <c r="W183" s="1249"/>
      <c r="X183" s="1249"/>
      <c r="Y183" s="1249"/>
      <c r="Z183" s="1249"/>
      <c r="AA183" s="1249"/>
      <c r="AB183" s="1249"/>
      <c r="AC183" s="1249"/>
      <c r="AD183" s="1249"/>
      <c r="AE183" s="1249"/>
      <c r="AF183" s="1249"/>
      <c r="AG183" s="1249"/>
      <c r="AH183" s="1249"/>
      <c r="AI183" s="1249"/>
      <c r="AJ183" s="1249"/>
      <c r="AK183" s="1249"/>
      <c r="AL183" s="1249"/>
      <c r="AM183" s="1249"/>
      <c r="AN183" s="1249"/>
      <c r="AO183" s="1249"/>
      <c r="AP183" s="1249"/>
      <c r="AQ183" s="1249"/>
      <c r="AR183" s="1249"/>
      <c r="AS183" s="1249"/>
      <c r="AT183" s="1249"/>
      <c r="AU183" s="1249"/>
      <c r="AV183" s="1249"/>
      <c r="AW183" s="1249"/>
      <c r="AX183" s="1241"/>
      <c r="AY183" s="2405">
        <v>2007</v>
      </c>
      <c r="AZ183" s="2405"/>
      <c r="BA183" s="2405">
        <f>AY183+5</f>
        <v>2012</v>
      </c>
      <c r="BB183" s="2405">
        <f t="shared" ref="BB183:BI183" si="20">BA183+5</f>
        <v>2017</v>
      </c>
      <c r="BC183" s="2405">
        <f t="shared" si="20"/>
        <v>2022</v>
      </c>
      <c r="BD183" s="2405">
        <f t="shared" si="20"/>
        <v>2027</v>
      </c>
      <c r="BE183" s="2405">
        <f t="shared" si="20"/>
        <v>2032</v>
      </c>
      <c r="BF183" s="2405">
        <v>2037</v>
      </c>
      <c r="BG183" s="2405">
        <f t="shared" si="20"/>
        <v>2042</v>
      </c>
      <c r="BH183" s="2405">
        <f t="shared" si="20"/>
        <v>2047</v>
      </c>
      <c r="BI183" s="2405">
        <f t="shared" si="20"/>
        <v>2052</v>
      </c>
      <c r="BJ183" s="1248"/>
    </row>
    <row r="184" spans="2:63" s="51" customFormat="1" ht="13.5" customHeight="1">
      <c r="B184" s="1240"/>
      <c r="C184" s="1242" t="s">
        <v>60</v>
      </c>
      <c r="D184" s="1242"/>
      <c r="E184" s="1242"/>
      <c r="F184" s="1242" t="str">
        <f>INDEX(Workstreams[Workstream], MATCH($C184, Workstreams[Code], 0))</f>
        <v>Hydrocarbon fuel power generation</v>
      </c>
      <c r="G184" s="1250"/>
      <c r="H184" s="1251"/>
      <c r="I184" s="1251"/>
      <c r="J184" s="1251"/>
      <c r="K184" s="1251"/>
      <c r="L184" s="1251"/>
      <c r="M184" s="1251"/>
      <c r="N184" s="1251"/>
      <c r="O184" s="1251"/>
      <c r="P184" s="1251"/>
      <c r="Q184" s="1251"/>
      <c r="R184" s="1251"/>
      <c r="S184" s="1251"/>
      <c r="T184" s="1251"/>
      <c r="U184" s="1251"/>
      <c r="V184" s="1251"/>
      <c r="W184" s="1251"/>
      <c r="X184" s="1251"/>
      <c r="Y184" s="1251"/>
      <c r="Z184" s="1251"/>
      <c r="AA184" s="1251"/>
      <c r="AB184" s="1251"/>
      <c r="AC184" s="1251"/>
      <c r="AD184" s="1251"/>
      <c r="AE184" s="1251"/>
      <c r="AF184" s="1251"/>
      <c r="AG184" s="1251"/>
      <c r="AH184" s="1251"/>
      <c r="AI184" s="1251"/>
      <c r="AJ184" s="1251"/>
      <c r="AK184" s="1251"/>
      <c r="AL184" s="1251"/>
      <c r="AM184" s="1251"/>
      <c r="AN184" s="1251"/>
      <c r="AO184" s="1251"/>
      <c r="AP184" s="1251"/>
      <c r="AQ184" s="1251"/>
      <c r="AR184" s="1251"/>
      <c r="AS184" s="1251"/>
      <c r="AT184" s="1251"/>
      <c r="AU184" s="1251"/>
      <c r="AV184" s="1251"/>
      <c r="AW184" s="1251"/>
      <c r="AX184" s="1241"/>
      <c r="AY184" s="1252">
        <f ca="1">'Intermediate output'!AY176</f>
        <v>595.06618519645599</v>
      </c>
      <c r="AZ184" s="1252"/>
      <c r="BA184" s="1252">
        <f ca="1">'Intermediate output'!BA176</f>
        <v>786.58498080937272</v>
      </c>
      <c r="BB184" s="1252">
        <f ca="1">'Intermediate output'!BB176</f>
        <v>1087.8432043865573</v>
      </c>
      <c r="BC184" s="1252">
        <f ca="1">'Intermediate output'!BC176</f>
        <v>1606.8342870120703</v>
      </c>
      <c r="BD184" s="1252">
        <f ca="1">'Intermediate output'!BD176</f>
        <v>2280.6290028913718</v>
      </c>
      <c r="BE184" s="1252">
        <f ca="1">'Intermediate output'!BE176</f>
        <v>3196.8110175540182</v>
      </c>
      <c r="BF184" s="1252">
        <f ca="1">'Intermediate output'!BF176</f>
        <v>4021.5588263312093</v>
      </c>
      <c r="BG184" s="1252">
        <f ca="1">'Intermediate output'!BG176</f>
        <v>4974.5893139179325</v>
      </c>
      <c r="BH184" s="1252">
        <f ca="1">'Intermediate output'!BH176</f>
        <v>5849.210459291693</v>
      </c>
      <c r="BI184" s="1252">
        <f ca="1">'Intermediate output'!BI176</f>
        <v>6837.1101374826903</v>
      </c>
      <c r="BJ184" s="1248"/>
    </row>
    <row r="185" spans="2:63" s="51" customFormat="1" ht="13.5" customHeight="1">
      <c r="B185" s="1240"/>
      <c r="C185" s="1242" t="s">
        <v>61</v>
      </c>
      <c r="D185" s="1242"/>
      <c r="E185" s="1242"/>
      <c r="F185" s="1242" t="str">
        <f>INDEX(Workstreams[Workstream], MATCH($C185, Workstreams[Code], 0))</f>
        <v>Nuclear power generation</v>
      </c>
      <c r="G185" s="1250"/>
      <c r="H185" s="1251"/>
      <c r="I185" s="1251"/>
      <c r="J185" s="1251"/>
      <c r="K185" s="1251"/>
      <c r="L185" s="1251"/>
      <c r="M185" s="1251"/>
      <c r="N185" s="1251"/>
      <c r="O185" s="1251"/>
      <c r="P185" s="1251"/>
      <c r="Q185" s="1251"/>
      <c r="R185" s="1251"/>
      <c r="S185" s="1251"/>
      <c r="T185" s="1251"/>
      <c r="U185" s="1251"/>
      <c r="V185" s="1251"/>
      <c r="W185" s="1251"/>
      <c r="X185" s="1251"/>
      <c r="Y185" s="1251"/>
      <c r="Z185" s="1251"/>
      <c r="AA185" s="1251"/>
      <c r="AB185" s="1251"/>
      <c r="AC185" s="1251"/>
      <c r="AD185" s="1251"/>
      <c r="AE185" s="1251"/>
      <c r="AF185" s="1251"/>
      <c r="AG185" s="1251"/>
      <c r="AH185" s="1251"/>
      <c r="AI185" s="1251"/>
      <c r="AJ185" s="1251"/>
      <c r="AK185" s="1251"/>
      <c r="AL185" s="1251"/>
      <c r="AM185" s="1251"/>
      <c r="AN185" s="1251"/>
      <c r="AO185" s="1251"/>
      <c r="AP185" s="1251"/>
      <c r="AQ185" s="1251"/>
      <c r="AR185" s="1251"/>
      <c r="AS185" s="1251"/>
      <c r="AT185" s="1251"/>
      <c r="AU185" s="1251"/>
      <c r="AV185" s="1251"/>
      <c r="AW185" s="1251"/>
      <c r="AX185" s="1241"/>
      <c r="AY185" s="1252">
        <f ca="1">'Intermediate output'!AY177</f>
        <v>0</v>
      </c>
      <c r="AZ185" s="1252"/>
      <c r="BA185" s="1252">
        <f ca="1">'Intermediate output'!BA177</f>
        <v>0</v>
      </c>
      <c r="BB185" s="1252">
        <f ca="1">'Intermediate output'!BB177</f>
        <v>0</v>
      </c>
      <c r="BC185" s="1252">
        <f ca="1">'Intermediate output'!BC177</f>
        <v>0</v>
      </c>
      <c r="BD185" s="1252">
        <f ca="1">'Intermediate output'!BD177</f>
        <v>0</v>
      </c>
      <c r="BE185" s="1252">
        <f ca="1">'Intermediate output'!BE177</f>
        <v>0</v>
      </c>
      <c r="BF185" s="1252">
        <f ca="1">'Intermediate output'!BF177</f>
        <v>0</v>
      </c>
      <c r="BG185" s="1252">
        <f ca="1">'Intermediate output'!BG177</f>
        <v>0</v>
      </c>
      <c r="BH185" s="1252">
        <f ca="1">'Intermediate output'!BH177</f>
        <v>0</v>
      </c>
      <c r="BI185" s="1252">
        <f ca="1">'Intermediate output'!BI177</f>
        <v>0</v>
      </c>
      <c r="BJ185" s="1248"/>
    </row>
    <row r="186" spans="2:63" s="51" customFormat="1" ht="13.5" customHeight="1">
      <c r="B186" s="1240"/>
      <c r="C186" s="1242" t="s">
        <v>62</v>
      </c>
      <c r="D186" s="1242"/>
      <c r="E186" s="1242"/>
      <c r="F186" s="1242" t="str">
        <f>INDEX(Workstreams[Workstream], MATCH($C186, Workstreams[Code], 0))</f>
        <v>Hydro Electric Power Generation</v>
      </c>
      <c r="G186" s="1250"/>
      <c r="H186" s="1251"/>
      <c r="I186" s="1251"/>
      <c r="J186" s="1251"/>
      <c r="K186" s="1251"/>
      <c r="L186" s="1251"/>
      <c r="M186" s="1251"/>
      <c r="N186" s="1251"/>
      <c r="O186" s="1251"/>
      <c r="P186" s="1251"/>
      <c r="Q186" s="1251"/>
      <c r="R186" s="1251"/>
      <c r="S186" s="1251"/>
      <c r="T186" s="1251"/>
      <c r="U186" s="1251"/>
      <c r="V186" s="1251"/>
      <c r="W186" s="1251"/>
      <c r="X186" s="1251"/>
      <c r="Y186" s="1251"/>
      <c r="Z186" s="1251"/>
      <c r="AA186" s="1251"/>
      <c r="AB186" s="1251"/>
      <c r="AC186" s="1251"/>
      <c r="AD186" s="1251"/>
      <c r="AE186" s="1251"/>
      <c r="AF186" s="1251"/>
      <c r="AG186" s="1251"/>
      <c r="AH186" s="1251"/>
      <c r="AI186" s="1251"/>
      <c r="AJ186" s="1251"/>
      <c r="AK186" s="1251"/>
      <c r="AL186" s="1251"/>
      <c r="AM186" s="1251"/>
      <c r="AN186" s="1251"/>
      <c r="AO186" s="1251"/>
      <c r="AP186" s="1251"/>
      <c r="AQ186" s="1251"/>
      <c r="AR186" s="1251"/>
      <c r="AS186" s="1251"/>
      <c r="AT186" s="1251"/>
      <c r="AU186" s="1251"/>
      <c r="AV186" s="1251"/>
      <c r="AW186" s="1251"/>
      <c r="AX186" s="1241"/>
      <c r="AY186" s="1252">
        <f ca="1">'Intermediate output'!AY178</f>
        <v>0</v>
      </c>
      <c r="AZ186" s="1252"/>
      <c r="BA186" s="1252">
        <f ca="1">'Intermediate output'!BA178</f>
        <v>0</v>
      </c>
      <c r="BB186" s="1252">
        <f ca="1">'Intermediate output'!BB178</f>
        <v>0</v>
      </c>
      <c r="BC186" s="1252">
        <f ca="1">'Intermediate output'!BC178</f>
        <v>0</v>
      </c>
      <c r="BD186" s="1252">
        <f ca="1">'Intermediate output'!BD178</f>
        <v>0</v>
      </c>
      <c r="BE186" s="1252">
        <f ca="1">'Intermediate output'!BE178</f>
        <v>0</v>
      </c>
      <c r="BF186" s="1252">
        <f ca="1">'Intermediate output'!BF178</f>
        <v>0</v>
      </c>
      <c r="BG186" s="1252">
        <f ca="1">'Intermediate output'!BG178</f>
        <v>0</v>
      </c>
      <c r="BH186" s="1252">
        <f ca="1">'Intermediate output'!BH178</f>
        <v>0</v>
      </c>
      <c r="BI186" s="1252">
        <f ca="1">'Intermediate output'!BI178</f>
        <v>0</v>
      </c>
      <c r="BJ186" s="1248"/>
    </row>
    <row r="187" spans="2:63" s="51" customFormat="1" ht="13.5" customHeight="1">
      <c r="B187" s="1240"/>
      <c r="C187" s="1242" t="s">
        <v>63</v>
      </c>
      <c r="D187" s="1242"/>
      <c r="E187" s="1242"/>
      <c r="F187" s="1242" t="str">
        <f>INDEX(Workstreams[Workstream], MATCH($C187, Workstreams[Code], 0))</f>
        <v>National  renewable power generation</v>
      </c>
      <c r="G187" s="1250"/>
      <c r="H187" s="1251"/>
      <c r="I187" s="1251"/>
      <c r="J187" s="1251"/>
      <c r="K187" s="1251"/>
      <c r="L187" s="1251"/>
      <c r="M187" s="1251"/>
      <c r="N187" s="1251"/>
      <c r="O187" s="1251"/>
      <c r="P187" s="1251"/>
      <c r="Q187" s="1251"/>
      <c r="R187" s="1251"/>
      <c r="S187" s="1251"/>
      <c r="T187" s="1251"/>
      <c r="U187" s="1251"/>
      <c r="V187" s="1251"/>
      <c r="W187" s="1251"/>
      <c r="X187" s="1251"/>
      <c r="Y187" s="1251"/>
      <c r="Z187" s="1251"/>
      <c r="AA187" s="1251"/>
      <c r="AB187" s="1251"/>
      <c r="AC187" s="1251"/>
      <c r="AD187" s="1251"/>
      <c r="AE187" s="1251"/>
      <c r="AF187" s="1251"/>
      <c r="AG187" s="1251"/>
      <c r="AH187" s="1251"/>
      <c r="AI187" s="1251"/>
      <c r="AJ187" s="1251"/>
      <c r="AK187" s="1251"/>
      <c r="AL187" s="1251"/>
      <c r="AM187" s="1251"/>
      <c r="AN187" s="1251"/>
      <c r="AO187" s="1251"/>
      <c r="AP187" s="1251"/>
      <c r="AQ187" s="1251"/>
      <c r="AR187" s="1251"/>
      <c r="AS187" s="1251"/>
      <c r="AT187" s="1251"/>
      <c r="AU187" s="1251"/>
      <c r="AV187" s="1251"/>
      <c r="AW187" s="1251"/>
      <c r="AX187" s="1241"/>
      <c r="AY187" s="1252">
        <f ca="1">'Intermediate output'!AY179</f>
        <v>0</v>
      </c>
      <c r="AZ187" s="1252"/>
      <c r="BA187" s="1252">
        <f ca="1">'Intermediate output'!BA179</f>
        <v>0</v>
      </c>
      <c r="BB187" s="1252">
        <f ca="1">'Intermediate output'!BB179</f>
        <v>0</v>
      </c>
      <c r="BC187" s="1252">
        <f ca="1">'Intermediate output'!BC179</f>
        <v>0</v>
      </c>
      <c r="BD187" s="1252">
        <f ca="1">'Intermediate output'!BD179</f>
        <v>0</v>
      </c>
      <c r="BE187" s="1252">
        <f ca="1">'Intermediate output'!BE179</f>
        <v>0</v>
      </c>
      <c r="BF187" s="1252">
        <f ca="1">'Intermediate output'!BF179</f>
        <v>0</v>
      </c>
      <c r="BG187" s="1252">
        <f ca="1">'Intermediate output'!BG179</f>
        <v>0</v>
      </c>
      <c r="BH187" s="1252">
        <f ca="1">'Intermediate output'!BH179</f>
        <v>0</v>
      </c>
      <c r="BI187" s="1252">
        <f ca="1">'Intermediate output'!BI179</f>
        <v>0</v>
      </c>
      <c r="BJ187" s="1248"/>
    </row>
    <row r="188" spans="2:63" s="51" customFormat="1" ht="13.5" customHeight="1">
      <c r="B188" s="1240"/>
      <c r="C188" s="1242" t="s">
        <v>190</v>
      </c>
      <c r="D188" s="1242"/>
      <c r="E188" s="1242"/>
      <c r="F188" s="1242" t="str">
        <f>INDEX(Workstreams[Workstream], MATCH($C188, Workstreams[Code], 0))</f>
        <v>Bioenergy</v>
      </c>
      <c r="G188" s="1250"/>
      <c r="H188" s="1251"/>
      <c r="I188" s="1251"/>
      <c r="J188" s="1251"/>
      <c r="K188" s="1251"/>
      <c r="L188" s="1251"/>
      <c r="M188" s="1251"/>
      <c r="N188" s="1251"/>
      <c r="O188" s="1251"/>
      <c r="P188" s="1251"/>
      <c r="Q188" s="1251"/>
      <c r="R188" s="1251"/>
      <c r="S188" s="1251"/>
      <c r="T188" s="1251"/>
      <c r="U188" s="1251"/>
      <c r="V188" s="1251"/>
      <c r="W188" s="1251"/>
      <c r="X188" s="1251"/>
      <c r="Y188" s="1251"/>
      <c r="Z188" s="1251"/>
      <c r="AA188" s="1251"/>
      <c r="AB188" s="1251"/>
      <c r="AC188" s="1251"/>
      <c r="AD188" s="1251"/>
      <c r="AE188" s="1251"/>
      <c r="AF188" s="1251"/>
      <c r="AG188" s="1251"/>
      <c r="AH188" s="1251"/>
      <c r="AI188" s="1251"/>
      <c r="AJ188" s="1251"/>
      <c r="AK188" s="1251"/>
      <c r="AL188" s="1251"/>
      <c r="AM188" s="1251"/>
      <c r="AN188" s="1251"/>
      <c r="AO188" s="1251"/>
      <c r="AP188" s="1251"/>
      <c r="AQ188" s="1251"/>
      <c r="AR188" s="1251"/>
      <c r="AS188" s="1251"/>
      <c r="AT188" s="1251"/>
      <c r="AU188" s="1251"/>
      <c r="AV188" s="1251"/>
      <c r="AW188" s="1251"/>
      <c r="AX188" s="1241"/>
      <c r="AY188" s="1252">
        <f ca="1">'Intermediate output'!AY180</f>
        <v>-313.89366247877757</v>
      </c>
      <c r="AZ188" s="1252"/>
      <c r="BA188" s="1252">
        <f ca="1">'Intermediate output'!BA180</f>
        <v>-317.74488604405229</v>
      </c>
      <c r="BB188" s="1252">
        <f ca="1">'Intermediate output'!BB180</f>
        <v>-316.49941332858305</v>
      </c>
      <c r="BC188" s="1252">
        <f ca="1">'Intermediate output'!BC180</f>
        <v>-315.46610321588201</v>
      </c>
      <c r="BD188" s="1252">
        <f ca="1">'Intermediate output'!BD180</f>
        <v>-314.6889283958385</v>
      </c>
      <c r="BE188" s="1252">
        <f ca="1">'Intermediate output'!BE180</f>
        <v>-314.23239533992523</v>
      </c>
      <c r="BF188" s="1252">
        <f ca="1">'Intermediate output'!BF180</f>
        <v>-313.99481361351673</v>
      </c>
      <c r="BG188" s="1252">
        <f ca="1">'Intermediate output'!BG180</f>
        <v>-312.92388420747147</v>
      </c>
      <c r="BH188" s="1252">
        <f ca="1">'Intermediate output'!BH180</f>
        <v>-312.11179177995979</v>
      </c>
      <c r="BI188" s="1252">
        <f ca="1">'Intermediate output'!BI180</f>
        <v>-311.84926752683651</v>
      </c>
      <c r="BJ188" s="1248"/>
    </row>
    <row r="189" spans="2:63" s="51" customFormat="1" ht="13.5" customHeight="1">
      <c r="B189" s="1240"/>
      <c r="C189" s="1242" t="s">
        <v>191</v>
      </c>
      <c r="D189" s="1242"/>
      <c r="E189" s="1242"/>
      <c r="F189" s="1242" t="str">
        <f>INDEX(Workstreams[Workstream], MATCH($C189, Workstreams[Code], 0))</f>
        <v>Waste</v>
      </c>
      <c r="G189" s="1250"/>
      <c r="H189" s="1251"/>
      <c r="I189" s="1251"/>
      <c r="J189" s="1251"/>
      <c r="K189" s="1251"/>
      <c r="L189" s="1251"/>
      <c r="M189" s="1251"/>
      <c r="N189" s="1251"/>
      <c r="O189" s="1251"/>
      <c r="P189" s="1251"/>
      <c r="Q189" s="1251"/>
      <c r="R189" s="1251"/>
      <c r="S189" s="1251"/>
      <c r="T189" s="1251"/>
      <c r="U189" s="1251"/>
      <c r="V189" s="1251"/>
      <c r="W189" s="1251"/>
      <c r="X189" s="1251"/>
      <c r="Y189" s="1251"/>
      <c r="Z189" s="1251"/>
      <c r="AA189" s="1251"/>
      <c r="AB189" s="1251"/>
      <c r="AC189" s="1251"/>
      <c r="AD189" s="1251"/>
      <c r="AE189" s="1251"/>
      <c r="AF189" s="1251"/>
      <c r="AG189" s="1251"/>
      <c r="AH189" s="1251"/>
      <c r="AI189" s="1251"/>
      <c r="AJ189" s="1251"/>
      <c r="AK189" s="1251"/>
      <c r="AL189" s="1251"/>
      <c r="AM189" s="1251"/>
      <c r="AN189" s="1251"/>
      <c r="AO189" s="1251"/>
      <c r="AP189" s="1251"/>
      <c r="AQ189" s="1251"/>
      <c r="AR189" s="1251"/>
      <c r="AS189" s="1251"/>
      <c r="AT189" s="1251"/>
      <c r="AU189" s="1251"/>
      <c r="AV189" s="1251"/>
      <c r="AW189" s="1251"/>
      <c r="AX189" s="1241"/>
      <c r="AY189" s="1252">
        <f ca="1">'Intermediate output'!AY181</f>
        <v>0</v>
      </c>
      <c r="AZ189" s="1252"/>
      <c r="BA189" s="1252">
        <f ca="1">'Intermediate output'!BA181</f>
        <v>0</v>
      </c>
      <c r="BB189" s="1252">
        <f ca="1">'Intermediate output'!BB181</f>
        <v>0</v>
      </c>
      <c r="BC189" s="1252">
        <f ca="1">'Intermediate output'!BC181</f>
        <v>0</v>
      </c>
      <c r="BD189" s="1252">
        <f ca="1">'Intermediate output'!BD181</f>
        <v>0</v>
      </c>
      <c r="BE189" s="1252">
        <f ca="1">'Intermediate output'!BE181</f>
        <v>0</v>
      </c>
      <c r="BF189" s="1252">
        <f ca="1">'Intermediate output'!BF181</f>
        <v>0</v>
      </c>
      <c r="BG189" s="1252">
        <f ca="1">'Intermediate output'!BG181</f>
        <v>0</v>
      </c>
      <c r="BH189" s="1252">
        <f ca="1">'Intermediate output'!BH181</f>
        <v>0</v>
      </c>
      <c r="BI189" s="1252">
        <f ca="1">'Intermediate output'!BI181</f>
        <v>0</v>
      </c>
      <c r="BJ189" s="1248"/>
    </row>
    <row r="190" spans="2:63" s="51" customFormat="1" ht="13.5" customHeight="1">
      <c r="B190" s="1240"/>
      <c r="C190" s="1242" t="s">
        <v>192</v>
      </c>
      <c r="D190" s="1242"/>
      <c r="E190" s="1242"/>
      <c r="F190" s="1242" t="str">
        <f>INDEX(Workstreams[Workstream], MATCH($C190, Workstreams[Code], 0))</f>
        <v>Electricity distribution, storage, and balancing</v>
      </c>
      <c r="G190" s="1250"/>
      <c r="H190" s="1251"/>
      <c r="I190" s="1251"/>
      <c r="J190" s="1251"/>
      <c r="K190" s="1251"/>
      <c r="L190" s="1251"/>
      <c r="M190" s="1251"/>
      <c r="N190" s="1251"/>
      <c r="O190" s="1251"/>
      <c r="P190" s="1251"/>
      <c r="Q190" s="1251"/>
      <c r="R190" s="1251"/>
      <c r="S190" s="1251"/>
      <c r="T190" s="1251"/>
      <c r="U190" s="1251"/>
      <c r="V190" s="1251"/>
      <c r="W190" s="1251"/>
      <c r="X190" s="1251"/>
      <c r="Y190" s="1251"/>
      <c r="Z190" s="1251"/>
      <c r="AA190" s="1251"/>
      <c r="AB190" s="1251"/>
      <c r="AC190" s="1251"/>
      <c r="AD190" s="1251"/>
      <c r="AE190" s="1251"/>
      <c r="AF190" s="1251"/>
      <c r="AG190" s="1251"/>
      <c r="AH190" s="1251"/>
      <c r="AI190" s="1251"/>
      <c r="AJ190" s="1251"/>
      <c r="AK190" s="1251"/>
      <c r="AL190" s="1251"/>
      <c r="AM190" s="1251"/>
      <c r="AN190" s="1251"/>
      <c r="AO190" s="1251"/>
      <c r="AP190" s="1251"/>
      <c r="AQ190" s="1251"/>
      <c r="AR190" s="1251"/>
      <c r="AS190" s="1251"/>
      <c r="AT190" s="1251"/>
      <c r="AU190" s="1251"/>
      <c r="AV190" s="1251"/>
      <c r="AW190" s="1251"/>
      <c r="AX190" s="1241"/>
      <c r="AY190" s="1252">
        <f ca="1">'Intermediate output'!AY182</f>
        <v>0</v>
      </c>
      <c r="AZ190" s="1252"/>
      <c r="BA190" s="1252">
        <f ca="1">'Intermediate output'!BA182</f>
        <v>0</v>
      </c>
      <c r="BB190" s="1252">
        <f ca="1">'Intermediate output'!BB182</f>
        <v>0</v>
      </c>
      <c r="BC190" s="1252">
        <f ca="1">'Intermediate output'!BC182</f>
        <v>0</v>
      </c>
      <c r="BD190" s="1252">
        <f ca="1">'Intermediate output'!BD182</f>
        <v>0</v>
      </c>
      <c r="BE190" s="1252">
        <f ca="1">'Intermediate output'!BE182</f>
        <v>0</v>
      </c>
      <c r="BF190" s="1252">
        <f ca="1">'Intermediate output'!BF182</f>
        <v>0</v>
      </c>
      <c r="BG190" s="1252">
        <f ca="1">'Intermediate output'!BG182</f>
        <v>0</v>
      </c>
      <c r="BH190" s="1252">
        <f ca="1">'Intermediate output'!BH182</f>
        <v>0</v>
      </c>
      <c r="BI190" s="1252">
        <f ca="1">'Intermediate output'!BI182</f>
        <v>0</v>
      </c>
      <c r="BJ190" s="1248"/>
    </row>
    <row r="191" spans="2:63" s="51" customFormat="1" ht="13.5" customHeight="1">
      <c r="B191" s="1240"/>
      <c r="C191" s="1242"/>
      <c r="D191" s="1242"/>
      <c r="E191" s="1242"/>
      <c r="F191" s="1242"/>
      <c r="G191" s="1250"/>
      <c r="H191" s="1251"/>
      <c r="I191" s="1251"/>
      <c r="J191" s="1251"/>
      <c r="K191" s="1251"/>
      <c r="L191" s="1251"/>
      <c r="M191" s="1251"/>
      <c r="N191" s="1251"/>
      <c r="O191" s="1251"/>
      <c r="P191" s="1251"/>
      <c r="Q191" s="1251"/>
      <c r="R191" s="1251"/>
      <c r="S191" s="1251"/>
      <c r="T191" s="1251"/>
      <c r="U191" s="1251"/>
      <c r="V191" s="1251"/>
      <c r="W191" s="1251"/>
      <c r="X191" s="1251"/>
      <c r="Y191" s="1251"/>
      <c r="Z191" s="1251"/>
      <c r="AA191" s="1251"/>
      <c r="AB191" s="1251"/>
      <c r="AC191" s="1251"/>
      <c r="AD191" s="1251"/>
      <c r="AE191" s="1251"/>
      <c r="AF191" s="1251"/>
      <c r="AG191" s="1251"/>
      <c r="AH191" s="1251"/>
      <c r="AI191" s="1251"/>
      <c r="AJ191" s="1251"/>
      <c r="AK191" s="1251"/>
      <c r="AL191" s="1251"/>
      <c r="AM191" s="1251"/>
      <c r="AN191" s="1251"/>
      <c r="AO191" s="1251"/>
      <c r="AP191" s="1251"/>
      <c r="AQ191" s="1251"/>
      <c r="AR191" s="1251"/>
      <c r="AS191" s="1251"/>
      <c r="AT191" s="1251"/>
      <c r="AU191" s="1251"/>
      <c r="AV191" s="1251"/>
      <c r="AW191" s="1251"/>
      <c r="AX191" s="1241"/>
      <c r="AY191" s="1252">
        <f>'Intermediate output'!AY183</f>
        <v>0</v>
      </c>
      <c r="AZ191" s="1252"/>
      <c r="BA191" s="1252">
        <f>'Intermediate output'!BA183</f>
        <v>0</v>
      </c>
      <c r="BB191" s="1252">
        <f>'Intermediate output'!BB183</f>
        <v>0</v>
      </c>
      <c r="BC191" s="1252">
        <f>'Intermediate output'!BC183</f>
        <v>0</v>
      </c>
      <c r="BD191" s="1252">
        <f>'Intermediate output'!BD183</f>
        <v>0</v>
      </c>
      <c r="BE191" s="1252">
        <f>'Intermediate output'!BE183</f>
        <v>0</v>
      </c>
      <c r="BF191" s="1252">
        <f>'Intermediate output'!BF183</f>
        <v>0</v>
      </c>
      <c r="BG191" s="1252">
        <f>'Intermediate output'!BG183</f>
        <v>0</v>
      </c>
      <c r="BH191" s="1252">
        <f>'Intermediate output'!BH183</f>
        <v>0</v>
      </c>
      <c r="BI191" s="1252">
        <f>'Intermediate output'!BI183</f>
        <v>0</v>
      </c>
      <c r="BJ191" s="1248"/>
    </row>
    <row r="192" spans="2:63" s="51" customFormat="1" ht="13.5" customHeight="1">
      <c r="B192" s="1240"/>
      <c r="C192" s="1242" t="s">
        <v>195</v>
      </c>
      <c r="D192" s="1242"/>
      <c r="E192" s="1242"/>
      <c r="F192" s="1242" t="str">
        <f>INDEX(Workstreams[Workstream], MATCH($C192, Workstreams[Code], 0))</f>
        <v>Buildings</v>
      </c>
      <c r="G192" s="1250"/>
      <c r="H192" s="1251"/>
      <c r="I192" s="1251"/>
      <c r="J192" s="1251"/>
      <c r="K192" s="1251"/>
      <c r="L192" s="1251"/>
      <c r="M192" s="1251"/>
      <c r="N192" s="1251"/>
      <c r="O192" s="1251"/>
      <c r="P192" s="1251"/>
      <c r="Q192" s="1251"/>
      <c r="R192" s="1251"/>
      <c r="S192" s="1251"/>
      <c r="T192" s="1251"/>
      <c r="U192" s="1251"/>
      <c r="V192" s="1251"/>
      <c r="W192" s="1251"/>
      <c r="X192" s="1251"/>
      <c r="Y192" s="1251"/>
      <c r="Z192" s="1251"/>
      <c r="AA192" s="1251"/>
      <c r="AB192" s="1251"/>
      <c r="AC192" s="1251"/>
      <c r="AD192" s="1251"/>
      <c r="AE192" s="1251"/>
      <c r="AF192" s="1251"/>
      <c r="AG192" s="1251"/>
      <c r="AH192" s="1251"/>
      <c r="AI192" s="1251"/>
      <c r="AJ192" s="1251"/>
      <c r="AK192" s="1251"/>
      <c r="AL192" s="1251"/>
      <c r="AM192" s="1251"/>
      <c r="AN192" s="1251"/>
      <c r="AO192" s="1251"/>
      <c r="AP192" s="1251"/>
      <c r="AQ192" s="1251"/>
      <c r="AR192" s="1251"/>
      <c r="AS192" s="1251"/>
      <c r="AT192" s="1251"/>
      <c r="AU192" s="1251"/>
      <c r="AV192" s="1251"/>
      <c r="AW192" s="1251"/>
      <c r="AX192" s="1241"/>
      <c r="AY192" s="1252">
        <f ca="1">'Intermediate output'!AY184</f>
        <v>0</v>
      </c>
      <c r="AZ192" s="1252"/>
      <c r="BA192" s="1252">
        <f ca="1">'Intermediate output'!BA184</f>
        <v>0</v>
      </c>
      <c r="BB192" s="1252">
        <f ca="1">'Intermediate output'!BB184</f>
        <v>0</v>
      </c>
      <c r="BC192" s="1252">
        <f ca="1">'Intermediate output'!BC184</f>
        <v>0</v>
      </c>
      <c r="BD192" s="1252">
        <f ca="1">'Intermediate output'!BD184</f>
        <v>0</v>
      </c>
      <c r="BE192" s="1252">
        <f ca="1">'Intermediate output'!BE184</f>
        <v>0</v>
      </c>
      <c r="BF192" s="1252">
        <f ca="1">'Intermediate output'!BF184</f>
        <v>0</v>
      </c>
      <c r="BG192" s="1252">
        <f ca="1">'Intermediate output'!BG184</f>
        <v>0</v>
      </c>
      <c r="BH192" s="1252">
        <f ca="1">'Intermediate output'!BH184</f>
        <v>0</v>
      </c>
      <c r="BI192" s="1252">
        <f ca="1">'Intermediate output'!BI184</f>
        <v>0</v>
      </c>
      <c r="BJ192" s="1248"/>
    </row>
    <row r="193" spans="2:62" s="51" customFormat="1" ht="13.5" customHeight="1">
      <c r="B193" s="1240"/>
      <c r="C193" s="1242" t="s">
        <v>196</v>
      </c>
      <c r="D193" s="1242"/>
      <c r="E193" s="1242"/>
      <c r="F193" s="1242" t="str">
        <f>INDEX(Workstreams[Workstream], MATCH($C193, Workstreams[Code], 0))</f>
        <v>Lighting and appliances</v>
      </c>
      <c r="G193" s="1250"/>
      <c r="H193" s="1251"/>
      <c r="I193" s="1251"/>
      <c r="J193" s="1251"/>
      <c r="K193" s="1251"/>
      <c r="L193" s="1251"/>
      <c r="M193" s="1251"/>
      <c r="N193" s="1251"/>
      <c r="O193" s="1251"/>
      <c r="P193" s="1251"/>
      <c r="Q193" s="1251"/>
      <c r="R193" s="1251"/>
      <c r="S193" s="1251"/>
      <c r="T193" s="1251"/>
      <c r="U193" s="1251"/>
      <c r="V193" s="1251"/>
      <c r="W193" s="1251"/>
      <c r="X193" s="1251"/>
      <c r="Y193" s="1251"/>
      <c r="Z193" s="1251"/>
      <c r="AA193" s="1251"/>
      <c r="AB193" s="1251"/>
      <c r="AC193" s="1251"/>
      <c r="AD193" s="1251"/>
      <c r="AE193" s="1251"/>
      <c r="AF193" s="1251"/>
      <c r="AG193" s="1251"/>
      <c r="AH193" s="1251"/>
      <c r="AI193" s="1251"/>
      <c r="AJ193" s="1251"/>
      <c r="AK193" s="1251"/>
      <c r="AL193" s="1251"/>
      <c r="AM193" s="1251"/>
      <c r="AN193" s="1251"/>
      <c r="AO193" s="1251"/>
      <c r="AP193" s="1251"/>
      <c r="AQ193" s="1251"/>
      <c r="AR193" s="1251"/>
      <c r="AS193" s="1251"/>
      <c r="AT193" s="1251"/>
      <c r="AU193" s="1251"/>
      <c r="AV193" s="1251"/>
      <c r="AW193" s="1251"/>
      <c r="AX193" s="1241"/>
      <c r="AY193" s="1252">
        <f ca="1">'Intermediate output'!AY185</f>
        <v>1.9940071140643392</v>
      </c>
      <c r="AZ193" s="1252"/>
      <c r="BA193" s="1252">
        <f ca="1">'Intermediate output'!BA185</f>
        <v>1.8329576632390179</v>
      </c>
      <c r="BB193" s="1252">
        <f ca="1">'Intermediate output'!BB185</f>
        <v>1.5593969490007227</v>
      </c>
      <c r="BC193" s="1252">
        <f ca="1">'Intermediate output'!BC185</f>
        <v>1.2520757241189449</v>
      </c>
      <c r="BD193" s="1252">
        <f ca="1">'Intermediate output'!BD185</f>
        <v>0.89960387313435453</v>
      </c>
      <c r="BE193" s="1252">
        <f ca="1">'Intermediate output'!BE185</f>
        <v>0.51206817193927345</v>
      </c>
      <c r="BF193" s="1252">
        <f ca="1">'Intermediate output'!BF185</f>
        <v>0.41076728618570002</v>
      </c>
      <c r="BG193" s="1252">
        <f ca="1">'Intermediate output'!BG185</f>
        <v>0.28960362076092644</v>
      </c>
      <c r="BH193" s="1252">
        <f ca="1">'Intermediate output'!BH185</f>
        <v>0.15320843556214719</v>
      </c>
      <c r="BI193" s="1252">
        <f ca="1">'Intermediate output'!BI185</f>
        <v>0</v>
      </c>
      <c r="BJ193" s="1248"/>
    </row>
    <row r="194" spans="2:62" s="51" customFormat="1" ht="13.5" customHeight="1">
      <c r="B194" s="1240"/>
      <c r="C194" s="1242" t="s">
        <v>197</v>
      </c>
      <c r="D194" s="1242"/>
      <c r="E194" s="1242"/>
      <c r="F194" s="1242" t="str">
        <f>INDEX(Workstreams[Workstream], MATCH($C194, Workstreams[Code], 0))</f>
        <v>Industry</v>
      </c>
      <c r="G194" s="1250"/>
      <c r="H194" s="1251"/>
      <c r="I194" s="1251"/>
      <c r="J194" s="1251"/>
      <c r="K194" s="1251"/>
      <c r="L194" s="1251"/>
      <c r="M194" s="1251"/>
      <c r="N194" s="1251"/>
      <c r="O194" s="1251"/>
      <c r="P194" s="1251"/>
      <c r="Q194" s="1251"/>
      <c r="R194" s="1251"/>
      <c r="S194" s="1251"/>
      <c r="T194" s="1251"/>
      <c r="U194" s="1251"/>
      <c r="V194" s="1251"/>
      <c r="W194" s="1251"/>
      <c r="X194" s="1251"/>
      <c r="Y194" s="1251"/>
      <c r="Z194" s="1251"/>
      <c r="AA194" s="1251"/>
      <c r="AB194" s="1251"/>
      <c r="AC194" s="1251"/>
      <c r="AD194" s="1251"/>
      <c r="AE194" s="1251"/>
      <c r="AF194" s="1251"/>
      <c r="AG194" s="1251"/>
      <c r="AH194" s="1251"/>
      <c r="AI194" s="1251"/>
      <c r="AJ194" s="1251"/>
      <c r="AK194" s="1251"/>
      <c r="AL194" s="1251"/>
      <c r="AM194" s="1251"/>
      <c r="AN194" s="1251"/>
      <c r="AO194" s="1251"/>
      <c r="AP194" s="1251"/>
      <c r="AQ194" s="1251"/>
      <c r="AR194" s="1251"/>
      <c r="AS194" s="1251"/>
      <c r="AT194" s="1251"/>
      <c r="AU194" s="1251"/>
      <c r="AV194" s="1251"/>
      <c r="AW194" s="1251"/>
      <c r="AX194" s="1241"/>
      <c r="AY194" s="1252">
        <f ca="1">'Intermediate output'!AY186</f>
        <v>656.32859095817719</v>
      </c>
      <c r="AZ194" s="1252"/>
      <c r="BA194" s="1252">
        <f ca="1">'Intermediate output'!BA186</f>
        <v>979.12998115429286</v>
      </c>
      <c r="BB194" s="1252">
        <f ca="1">'Intermediate output'!BB186</f>
        <v>1345.4936987492497</v>
      </c>
      <c r="BC194" s="1252">
        <f ca="1">'Intermediate output'!BC186</f>
        <v>1924.2235281328119</v>
      </c>
      <c r="BD194" s="1252">
        <f ca="1">'Intermediate output'!BD186</f>
        <v>2584.2470908653481</v>
      </c>
      <c r="BE194" s="1252">
        <f ca="1">'Intermediate output'!BE186</f>
        <v>3317.3344442972589</v>
      </c>
      <c r="BF194" s="1252">
        <f ca="1">'Intermediate output'!BF186</f>
        <v>4101.1617703764796</v>
      </c>
      <c r="BG194" s="1252">
        <f ca="1">'Intermediate output'!BG186</f>
        <v>4844.097183367986</v>
      </c>
      <c r="BH194" s="1252">
        <f ca="1">'Intermediate output'!BH186</f>
        <v>5519.430879030032</v>
      </c>
      <c r="BI194" s="1252">
        <f ca="1">'Intermediate output'!BI186</f>
        <v>6202.7146584073007</v>
      </c>
      <c r="BJ194" s="1248"/>
    </row>
    <row r="195" spans="2:62" s="51" customFormat="1" ht="13.5" customHeight="1">
      <c r="B195" s="1240"/>
      <c r="C195" s="1242" t="s">
        <v>198</v>
      </c>
      <c r="D195" s="1242"/>
      <c r="E195" s="1242"/>
      <c r="F195" s="1242" t="str">
        <f>INDEX(Workstreams[Workstream], MATCH($C195, Workstreams[Code], 0))</f>
        <v>Transport</v>
      </c>
      <c r="G195" s="1250"/>
      <c r="H195" s="1251"/>
      <c r="I195" s="1251"/>
      <c r="J195" s="1251"/>
      <c r="K195" s="1251"/>
      <c r="L195" s="1251"/>
      <c r="M195" s="1251"/>
      <c r="N195" s="1251"/>
      <c r="O195" s="1251"/>
      <c r="P195" s="1251"/>
      <c r="Q195" s="1251"/>
      <c r="R195" s="1251"/>
      <c r="S195" s="1251"/>
      <c r="T195" s="1251"/>
      <c r="U195" s="1251"/>
      <c r="V195" s="1251"/>
      <c r="W195" s="1251"/>
      <c r="X195" s="1251"/>
      <c r="Y195" s="1251"/>
      <c r="Z195" s="1251"/>
      <c r="AA195" s="1251"/>
      <c r="AB195" s="1251"/>
      <c r="AC195" s="1251"/>
      <c r="AD195" s="1251"/>
      <c r="AE195" s="1251"/>
      <c r="AF195" s="1251"/>
      <c r="AG195" s="1251"/>
      <c r="AH195" s="1251"/>
      <c r="AI195" s="1251"/>
      <c r="AJ195" s="1251"/>
      <c r="AK195" s="1251"/>
      <c r="AL195" s="1251"/>
      <c r="AM195" s="1251"/>
      <c r="AN195" s="1251"/>
      <c r="AO195" s="1251"/>
      <c r="AP195" s="1251"/>
      <c r="AQ195" s="1251"/>
      <c r="AR195" s="1251"/>
      <c r="AS195" s="1251"/>
      <c r="AT195" s="1251"/>
      <c r="AU195" s="1251"/>
      <c r="AV195" s="1251"/>
      <c r="AW195" s="1251"/>
      <c r="AX195" s="1241"/>
      <c r="AY195" s="1252">
        <f ca="1">'Intermediate output'!AY187</f>
        <v>221.70597052391258</v>
      </c>
      <c r="AZ195" s="1252"/>
      <c r="BA195" s="1252">
        <f ca="1">'Intermediate output'!BA187</f>
        <v>221.70597052391261</v>
      </c>
      <c r="BB195" s="1252">
        <f ca="1">'Intermediate output'!BB187</f>
        <v>332.72341446359428</v>
      </c>
      <c r="BC195" s="1252">
        <f ca="1">'Intermediate output'!BC187</f>
        <v>477.73809644813332</v>
      </c>
      <c r="BD195" s="1252">
        <f ca="1">'Intermediate output'!BD187</f>
        <v>649.49680855388033</v>
      </c>
      <c r="BE195" s="1252">
        <f ca="1">'Intermediate output'!BE187</f>
        <v>860.97101632540114</v>
      </c>
      <c r="BF195" s="1252">
        <f ca="1">'Intermediate output'!BF187</f>
        <v>1104.8989516151646</v>
      </c>
      <c r="BG195" s="1252">
        <f ca="1">'Intermediate output'!BG187</f>
        <v>1338.419311507872</v>
      </c>
      <c r="BH195" s="1252">
        <f ca="1">'Intermediate output'!BH187</f>
        <v>1594.8309940816716</v>
      </c>
      <c r="BI195" s="1252">
        <f ca="1">'Intermediate output'!BI187</f>
        <v>1853.5938094630712</v>
      </c>
      <c r="BJ195" s="1248"/>
    </row>
    <row r="196" spans="2:62" s="51" customFormat="1" ht="13.5" customHeight="1">
      <c r="B196" s="1240"/>
      <c r="C196" s="1242" t="s">
        <v>199</v>
      </c>
      <c r="D196" s="1242"/>
      <c r="E196" s="1242"/>
      <c r="F196" s="1242" t="str">
        <f>INDEX(Workstreams[Workstream], MATCH($C196, Workstreams[Code], 0))</f>
        <v>Cooking</v>
      </c>
      <c r="G196" s="1250"/>
      <c r="H196" s="1251"/>
      <c r="I196" s="1251"/>
      <c r="J196" s="1251"/>
      <c r="K196" s="1251"/>
      <c r="L196" s="1251"/>
      <c r="M196" s="1251"/>
      <c r="N196" s="1251"/>
      <c r="O196" s="1251"/>
      <c r="P196" s="1251"/>
      <c r="Q196" s="1251"/>
      <c r="R196" s="1251"/>
      <c r="S196" s="1251"/>
      <c r="T196" s="1251"/>
      <c r="U196" s="1251"/>
      <c r="V196" s="1251"/>
      <c r="W196" s="1251"/>
      <c r="X196" s="1251"/>
      <c r="Y196" s="1251"/>
      <c r="Z196" s="1251"/>
      <c r="AA196" s="1251"/>
      <c r="AB196" s="1251"/>
      <c r="AC196" s="1251"/>
      <c r="AD196" s="1251"/>
      <c r="AE196" s="1251"/>
      <c r="AF196" s="1251"/>
      <c r="AG196" s="1251"/>
      <c r="AH196" s="1251"/>
      <c r="AI196" s="1251"/>
      <c r="AJ196" s="1251"/>
      <c r="AK196" s="1251"/>
      <c r="AL196" s="1251"/>
      <c r="AM196" s="1251"/>
      <c r="AN196" s="1251"/>
      <c r="AO196" s="1251"/>
      <c r="AP196" s="1251"/>
      <c r="AQ196" s="1251"/>
      <c r="AR196" s="1251"/>
      <c r="AS196" s="1251"/>
      <c r="AT196" s="1251"/>
      <c r="AU196" s="1251"/>
      <c r="AV196" s="1251"/>
      <c r="AW196" s="1251"/>
      <c r="AX196" s="1241"/>
      <c r="AY196" s="1252">
        <f ca="1">'Intermediate output'!AY188</f>
        <v>10.704467295035755</v>
      </c>
      <c r="AZ196" s="1252"/>
      <c r="BA196" s="1252">
        <f ca="1">'Intermediate output'!BA188</f>
        <v>16.260888821331829</v>
      </c>
      <c r="BB196" s="1252">
        <f ca="1">'Intermediate output'!BB188</f>
        <v>24.239503543901211</v>
      </c>
      <c r="BC196" s="1252">
        <f ca="1">'Intermediate output'!BC188</f>
        <v>35.933460950189563</v>
      </c>
      <c r="BD196" s="1252">
        <f ca="1">'Intermediate output'!BD188</f>
        <v>52.751366453469238</v>
      </c>
      <c r="BE196" s="1252">
        <f ca="1">'Intermediate output'!BE188</f>
        <v>195.39740644307</v>
      </c>
      <c r="BF196" s="1252">
        <f ca="1">'Intermediate output'!BF188</f>
        <v>103.07922847908272</v>
      </c>
      <c r="BG196" s="1252">
        <f ca="1">'Intermediate output'!BG188</f>
        <v>137.80633413788036</v>
      </c>
      <c r="BH196" s="1252">
        <f ca="1">'Intermediate output'!BH188</f>
        <v>184.23361666422136</v>
      </c>
      <c r="BI196" s="1252">
        <f ca="1">'Intermediate output'!BI188</f>
        <v>246.3033097633579</v>
      </c>
      <c r="BJ196" s="1248"/>
    </row>
    <row r="197" spans="2:62" s="51" customFormat="1" ht="13.5" customHeight="1">
      <c r="B197" s="1240"/>
      <c r="C197" s="1242" t="s">
        <v>194</v>
      </c>
      <c r="D197" s="1242"/>
      <c r="E197" s="1242"/>
      <c r="F197" s="1242" t="str">
        <f>INDEX(Workstreams[Workstream], MATCH($C197, Workstreams[Code], 0))</f>
        <v>Agriculture</v>
      </c>
      <c r="G197" s="1250"/>
      <c r="H197" s="1251"/>
      <c r="I197" s="1251"/>
      <c r="J197" s="1251"/>
      <c r="K197" s="1251"/>
      <c r="L197" s="1251"/>
      <c r="M197" s="1251"/>
      <c r="N197" s="1251"/>
      <c r="O197" s="1251"/>
      <c r="P197" s="1251"/>
      <c r="Q197" s="1251"/>
      <c r="R197" s="1251"/>
      <c r="S197" s="1251"/>
      <c r="T197" s="1251"/>
      <c r="U197" s="1251"/>
      <c r="V197" s="1251"/>
      <c r="W197" s="1251"/>
      <c r="X197" s="1251"/>
      <c r="Y197" s="1251"/>
      <c r="Z197" s="1251"/>
      <c r="AA197" s="1251"/>
      <c r="AB197" s="1251"/>
      <c r="AC197" s="1251"/>
      <c r="AD197" s="1251"/>
      <c r="AE197" s="1251"/>
      <c r="AF197" s="1251"/>
      <c r="AG197" s="1251"/>
      <c r="AH197" s="1251"/>
      <c r="AI197" s="1251"/>
      <c r="AJ197" s="1251"/>
      <c r="AK197" s="1251"/>
      <c r="AL197" s="1251"/>
      <c r="AM197" s="1251"/>
      <c r="AN197" s="1251"/>
      <c r="AO197" s="1251"/>
      <c r="AP197" s="1251"/>
      <c r="AQ197" s="1251"/>
      <c r="AR197" s="1251"/>
      <c r="AS197" s="1251"/>
      <c r="AT197" s="1251"/>
      <c r="AU197" s="1251"/>
      <c r="AV197" s="1251"/>
      <c r="AW197" s="1251"/>
      <c r="AX197" s="1241"/>
      <c r="AY197" s="1252">
        <f ca="1">'Intermediate output'!AY189</f>
        <v>20.879036754401042</v>
      </c>
      <c r="AZ197" s="1252"/>
      <c r="BA197" s="1252">
        <f ca="1">'Intermediate output'!BA189</f>
        <v>27.03601947205911</v>
      </c>
      <c r="BB197" s="1252">
        <f ca="1">'Intermediate output'!BB189</f>
        <v>37.21072446431117</v>
      </c>
      <c r="BC197" s="1252">
        <f ca="1">'Intermediate output'!BC189</f>
        <v>50.995495766927469</v>
      </c>
      <c r="BD197" s="1252">
        <f ca="1">'Intermediate output'!BD189</f>
        <v>68.186469248991159</v>
      </c>
      <c r="BE197" s="1252">
        <f ca="1">'Intermediate output'!BE189</f>
        <v>85.704909681985981</v>
      </c>
      <c r="BF197" s="1252">
        <f ca="1">'Intermediate output'!BF189</f>
        <v>91.587093210349664</v>
      </c>
      <c r="BG197" s="1252">
        <f ca="1">'Intermediate output'!BG189</f>
        <v>98.698794368998193</v>
      </c>
      <c r="BH197" s="1252">
        <f ca="1">'Intermediate output'!BH189</f>
        <v>103.819221533879</v>
      </c>
      <c r="BI197" s="1252">
        <f ca="1">'Intermediate output'!BI189</f>
        <v>109.56385666370986</v>
      </c>
      <c r="BJ197" s="1248"/>
    </row>
    <row r="198" spans="2:62" s="51" customFormat="1" ht="13.5" customHeight="1">
      <c r="B198" s="1240"/>
      <c r="C198" s="1242" t="s">
        <v>308</v>
      </c>
      <c r="D198" s="1242"/>
      <c r="E198" s="1242"/>
      <c r="F198" s="1242" t="str">
        <f>INDEX(Workstreams[Workstream], MATCH($C198, Workstreams[Code], 0))</f>
        <v>Fossil fuel production</v>
      </c>
      <c r="G198" s="1250"/>
      <c r="H198" s="1251"/>
      <c r="I198" s="1251"/>
      <c r="J198" s="1251"/>
      <c r="K198" s="1251"/>
      <c r="L198" s="1251"/>
      <c r="M198" s="1251"/>
      <c r="N198" s="1251"/>
      <c r="O198" s="1251"/>
      <c r="P198" s="1251"/>
      <c r="Q198" s="1251"/>
      <c r="R198" s="1251"/>
      <c r="S198" s="1251"/>
      <c r="T198" s="1251"/>
      <c r="U198" s="1251"/>
      <c r="V198" s="1251"/>
      <c r="W198" s="1251"/>
      <c r="X198" s="1251"/>
      <c r="Y198" s="1251"/>
      <c r="Z198" s="1251"/>
      <c r="AA198" s="1251"/>
      <c r="AB198" s="1251"/>
      <c r="AC198" s="1251"/>
      <c r="AD198" s="1251"/>
      <c r="AE198" s="1251"/>
      <c r="AF198" s="1251"/>
      <c r="AG198" s="1251"/>
      <c r="AH198" s="1251"/>
      <c r="AI198" s="1251"/>
      <c r="AJ198" s="1251"/>
      <c r="AK198" s="1251"/>
      <c r="AL198" s="1251"/>
      <c r="AM198" s="1251"/>
      <c r="AN198" s="1251"/>
      <c r="AO198" s="1251"/>
      <c r="AP198" s="1251"/>
      <c r="AQ198" s="1251"/>
      <c r="AR198" s="1251"/>
      <c r="AS198" s="1251"/>
      <c r="AT198" s="1251"/>
      <c r="AU198" s="1251"/>
      <c r="AV198" s="1251"/>
      <c r="AW198" s="1251"/>
      <c r="AX198" s="1241"/>
      <c r="AY198" s="1252">
        <f ca="1">'Intermediate output'!AY190</f>
        <v>0</v>
      </c>
      <c r="AZ198" s="1252"/>
      <c r="BA198" s="1252">
        <f ca="1">'Intermediate output'!BA190</f>
        <v>0</v>
      </c>
      <c r="BB198" s="1252">
        <f ca="1">'Intermediate output'!BB190</f>
        <v>0</v>
      </c>
      <c r="BC198" s="1252">
        <f ca="1">'Intermediate output'!BC190</f>
        <v>0</v>
      </c>
      <c r="BD198" s="1252">
        <f ca="1">'Intermediate output'!BD190</f>
        <v>0</v>
      </c>
      <c r="BE198" s="1252">
        <f ca="1">'Intermediate output'!BE190</f>
        <v>0</v>
      </c>
      <c r="BF198" s="1252">
        <f ca="1">'Intermediate output'!BF190</f>
        <v>0</v>
      </c>
      <c r="BG198" s="1252">
        <f ca="1">'Intermediate output'!BG190</f>
        <v>0</v>
      </c>
      <c r="BH198" s="1252">
        <f ca="1">'Intermediate output'!BH190</f>
        <v>0</v>
      </c>
      <c r="BI198" s="1252">
        <f ca="1">'Intermediate output'!BI190</f>
        <v>0</v>
      </c>
      <c r="BJ198" s="1248"/>
    </row>
    <row r="199" spans="2:62" s="51" customFormat="1" ht="13.5" customHeight="1">
      <c r="B199" s="1240"/>
      <c r="C199" s="1242" t="s">
        <v>330</v>
      </c>
      <c r="D199" s="1242"/>
      <c r="E199" s="1242"/>
      <c r="F199" s="1242" t="str">
        <f>INDEX(Workstreams[Workstream], MATCH($C199, Workstreams[Code], 0))</f>
        <v>Telecom</v>
      </c>
      <c r="G199" s="1250"/>
      <c r="H199" s="1251"/>
      <c r="I199" s="1251"/>
      <c r="J199" s="1251"/>
      <c r="K199" s="1251"/>
      <c r="L199" s="1251"/>
      <c r="M199" s="1251"/>
      <c r="N199" s="1251"/>
      <c r="O199" s="1251"/>
      <c r="P199" s="1251"/>
      <c r="Q199" s="1251"/>
      <c r="R199" s="1251"/>
      <c r="S199" s="1251"/>
      <c r="T199" s="1251"/>
      <c r="U199" s="1251"/>
      <c r="V199" s="1251"/>
      <c r="W199" s="1251"/>
      <c r="X199" s="1251"/>
      <c r="Y199" s="1251"/>
      <c r="Z199" s="1251"/>
      <c r="AA199" s="1251"/>
      <c r="AB199" s="1251"/>
      <c r="AC199" s="1251"/>
      <c r="AD199" s="1251"/>
      <c r="AE199" s="1251"/>
      <c r="AF199" s="1251"/>
      <c r="AG199" s="1251"/>
      <c r="AH199" s="1251"/>
      <c r="AI199" s="1251"/>
      <c r="AJ199" s="1251"/>
      <c r="AK199" s="1251"/>
      <c r="AL199" s="1251"/>
      <c r="AM199" s="1251"/>
      <c r="AN199" s="1251"/>
      <c r="AO199" s="1251"/>
      <c r="AP199" s="1251"/>
      <c r="AQ199" s="1251"/>
      <c r="AR199" s="1251"/>
      <c r="AS199" s="1251"/>
      <c r="AT199" s="1251"/>
      <c r="AU199" s="1251"/>
      <c r="AV199" s="1251"/>
      <c r="AW199" s="1251"/>
      <c r="AX199" s="1241"/>
      <c r="AY199" s="1252">
        <f ca="1">'Intermediate output'!AY191</f>
        <v>3.0726872469131559</v>
      </c>
      <c r="AZ199" s="1252"/>
      <c r="BA199" s="1252">
        <f ca="1">'Intermediate output'!BA191</f>
        <v>18.29421654212566</v>
      </c>
      <c r="BB199" s="1252">
        <f ca="1">'Intermediate output'!BB191</f>
        <v>21.177514905456842</v>
      </c>
      <c r="BC199" s="1252">
        <f ca="1">'Intermediate output'!BC191</f>
        <v>25.074678438244892</v>
      </c>
      <c r="BD199" s="1252">
        <f ca="1">'Intermediate output'!BD191</f>
        <v>32.320342968977968</v>
      </c>
      <c r="BE199" s="1252">
        <f ca="1">'Intermediate output'!BE191</f>
        <v>36.462928193339295</v>
      </c>
      <c r="BF199" s="1252">
        <f ca="1">'Intermediate output'!BF191</f>
        <v>35.469500008939789</v>
      </c>
      <c r="BG199" s="1252">
        <f ca="1">'Intermediate output'!BG191</f>
        <v>36.23072660274935</v>
      </c>
      <c r="BH199" s="1252">
        <f ca="1">'Intermediate output'!BH191</f>
        <v>41.661688969135909</v>
      </c>
      <c r="BI199" s="1252">
        <f ca="1">'Intermediate output'!BI191</f>
        <v>52.715327395312691</v>
      </c>
      <c r="BJ199" s="1248"/>
    </row>
    <row r="200" spans="2:62" s="51" customFormat="1" ht="13.5" customHeight="1">
      <c r="B200" s="1240"/>
      <c r="C200" s="1242" t="s">
        <v>409</v>
      </c>
      <c r="D200" s="1242"/>
      <c r="E200" s="1242"/>
      <c r="F200" s="1242" t="str">
        <f>INDEX(Workstreams[Workstream], MATCH($C200, Workstreams[Code], 0))</f>
        <v>Transfer</v>
      </c>
      <c r="G200" s="1250"/>
      <c r="H200" s="1251"/>
      <c r="I200" s="1251"/>
      <c r="J200" s="1251"/>
      <c r="K200" s="1251"/>
      <c r="L200" s="1251"/>
      <c r="M200" s="1251"/>
      <c r="N200" s="1251"/>
      <c r="O200" s="1251"/>
      <c r="P200" s="1251"/>
      <c r="Q200" s="1251"/>
      <c r="R200" s="1251"/>
      <c r="S200" s="1251"/>
      <c r="T200" s="1251"/>
      <c r="U200" s="1251"/>
      <c r="V200" s="1251"/>
      <c r="W200" s="1251"/>
      <c r="X200" s="1251"/>
      <c r="Y200" s="1251"/>
      <c r="Z200" s="1251"/>
      <c r="AA200" s="1251"/>
      <c r="AB200" s="1251"/>
      <c r="AC200" s="1251"/>
      <c r="AD200" s="1251"/>
      <c r="AE200" s="1251"/>
      <c r="AF200" s="1251"/>
      <c r="AG200" s="1251"/>
      <c r="AH200" s="1251"/>
      <c r="AI200" s="1251"/>
      <c r="AJ200" s="1251"/>
      <c r="AK200" s="1251"/>
      <c r="AL200" s="1251"/>
      <c r="AM200" s="1251"/>
      <c r="AN200" s="1251"/>
      <c r="AO200" s="1251"/>
      <c r="AP200" s="1251"/>
      <c r="AQ200" s="1251"/>
      <c r="AR200" s="1251"/>
      <c r="AS200" s="1251"/>
      <c r="AT200" s="1251"/>
      <c r="AU200" s="1251"/>
      <c r="AV200" s="1251"/>
      <c r="AW200" s="1251"/>
      <c r="AX200" s="1241"/>
      <c r="AY200" s="1252">
        <f ca="1">'Intermediate output'!AY192</f>
        <v>0</v>
      </c>
      <c r="AZ200" s="1252"/>
      <c r="BA200" s="1252">
        <f ca="1">'Intermediate output'!BA192</f>
        <v>0</v>
      </c>
      <c r="BB200" s="1252">
        <f ca="1">'Intermediate output'!BB192</f>
        <v>0</v>
      </c>
      <c r="BC200" s="1252">
        <f ca="1">'Intermediate output'!BC192</f>
        <v>0</v>
      </c>
      <c r="BD200" s="1252">
        <f ca="1">'Intermediate output'!BD192</f>
        <v>0</v>
      </c>
      <c r="BE200" s="1252">
        <f ca="1">'Intermediate output'!BE192</f>
        <v>0</v>
      </c>
      <c r="BF200" s="1252">
        <f ca="1">'Intermediate output'!BF192</f>
        <v>0</v>
      </c>
      <c r="BG200" s="1252">
        <f ca="1">'Intermediate output'!BG192</f>
        <v>0</v>
      </c>
      <c r="BH200" s="1252">
        <f ca="1">'Intermediate output'!BH192</f>
        <v>0</v>
      </c>
      <c r="BI200" s="1252">
        <f ca="1">'Intermediate output'!BI192</f>
        <v>0</v>
      </c>
      <c r="BJ200" s="1248"/>
    </row>
    <row r="201" spans="2:62" s="51" customFormat="1" ht="13.5" customHeight="1">
      <c r="B201" s="1240"/>
      <c r="C201" s="1241"/>
      <c r="D201" s="1242"/>
      <c r="E201" s="1242"/>
      <c r="F201" s="1242" t="s">
        <v>103</v>
      </c>
      <c r="G201" s="1242"/>
      <c r="H201" s="1249"/>
      <c r="I201" s="1249"/>
      <c r="J201" s="1249"/>
      <c r="K201" s="1249"/>
      <c r="L201" s="1249"/>
      <c r="M201" s="1249"/>
      <c r="N201" s="1249"/>
      <c r="O201" s="1249"/>
      <c r="P201" s="1249"/>
      <c r="Q201" s="1249"/>
      <c r="R201" s="1249"/>
      <c r="S201" s="1249"/>
      <c r="T201" s="1249"/>
      <c r="U201" s="1249"/>
      <c r="V201" s="1249"/>
      <c r="W201" s="1249"/>
      <c r="X201" s="1249"/>
      <c r="Y201" s="1249"/>
      <c r="Z201" s="1249"/>
      <c r="AA201" s="1249"/>
      <c r="AB201" s="1249"/>
      <c r="AC201" s="1249"/>
      <c r="AD201" s="1249"/>
      <c r="AE201" s="1249"/>
      <c r="AF201" s="1249"/>
      <c r="AG201" s="1249"/>
      <c r="AH201" s="1249"/>
      <c r="AI201" s="1249"/>
      <c r="AJ201" s="1249"/>
      <c r="AK201" s="1249"/>
      <c r="AL201" s="1249"/>
      <c r="AM201" s="1249"/>
      <c r="AN201" s="1249"/>
      <c r="AO201" s="1249"/>
      <c r="AP201" s="1249"/>
      <c r="AQ201" s="1249"/>
      <c r="AR201" s="1249"/>
      <c r="AS201" s="1249"/>
      <c r="AT201" s="1249"/>
      <c r="AU201" s="1249"/>
      <c r="AV201" s="1249"/>
      <c r="AW201" s="1249"/>
      <c r="AX201" s="1241"/>
      <c r="AY201" s="1252">
        <f ca="1">'Intermediate output'!AY193</f>
        <v>1195.8572826101824</v>
      </c>
      <c r="AZ201" s="1252"/>
      <c r="BA201" s="1252">
        <f ca="1">'Intermediate output'!BA193</f>
        <v>1733.1001289422813</v>
      </c>
      <c r="BB201" s="1252">
        <f ca="1">'Intermediate output'!BB193</f>
        <v>2533.7480441334887</v>
      </c>
      <c r="BC201" s="1252">
        <f ca="1">'Intermediate output'!BC193</f>
        <v>3806.5855192566146</v>
      </c>
      <c r="BD201" s="1252">
        <f ca="1">'Intermediate output'!BD193</f>
        <v>5353.8417564593346</v>
      </c>
      <c r="BE201" s="1252">
        <f ca="1">'Intermediate output'!BE193</f>
        <v>7378.9613953270882</v>
      </c>
      <c r="BF201" s="1252">
        <f ca="1">'Intermediate output'!BF193</f>
        <v>9144.171323693894</v>
      </c>
      <c r="BG201" s="1252">
        <f ca="1">'Intermediate output'!BG193</f>
        <v>11117.207383316709</v>
      </c>
      <c r="BH201" s="1252">
        <f ca="1">'Intermediate output'!BH193</f>
        <v>12981.228276226235</v>
      </c>
      <c r="BI201" s="1252">
        <f ca="1">'Intermediate output'!BI193</f>
        <v>14990.151831648607</v>
      </c>
      <c r="BJ201" s="1248"/>
    </row>
    <row r="202" spans="2:62">
      <c r="B202" s="1240"/>
      <c r="C202" s="1214"/>
      <c r="D202" s="1214"/>
      <c r="E202" s="1214"/>
      <c r="F202" s="1236" t="s">
        <v>1171</v>
      </c>
      <c r="G202" s="1236"/>
      <c r="H202" s="1254"/>
      <c r="I202" s="1254"/>
      <c r="J202" s="1254"/>
      <c r="K202" s="1254"/>
      <c r="L202" s="1254"/>
      <c r="M202" s="1254"/>
      <c r="N202" s="1254"/>
      <c r="O202" s="1254"/>
      <c r="P202" s="1254"/>
      <c r="Q202" s="1254"/>
      <c r="R202" s="1254"/>
      <c r="S202" s="1254"/>
      <c r="T202" s="1254"/>
      <c r="U202" s="1254"/>
      <c r="V202" s="1254"/>
      <c r="W202" s="1254"/>
      <c r="X202" s="1254"/>
      <c r="Y202" s="1254"/>
      <c r="Z202" s="1254"/>
      <c r="AA202" s="1254"/>
      <c r="AB202" s="1254"/>
      <c r="AC202" s="1254"/>
      <c r="AD202" s="1254"/>
      <c r="AE202" s="1254"/>
      <c r="AF202" s="1254"/>
      <c r="AG202" s="1254"/>
      <c r="AH202" s="1254"/>
      <c r="AI202" s="1254"/>
      <c r="AJ202" s="1254"/>
      <c r="AK202" s="1254"/>
      <c r="AL202" s="1254"/>
      <c r="AM202" s="1254"/>
      <c r="AN202" s="1254"/>
      <c r="AO202" s="1254"/>
      <c r="AP202" s="1254"/>
      <c r="AQ202" s="1254"/>
      <c r="AR202" s="1254"/>
      <c r="AS202" s="1254"/>
      <c r="AT202" s="1254"/>
      <c r="AU202" s="1254"/>
      <c r="AV202" s="1254"/>
      <c r="AW202" s="1254"/>
      <c r="AX202" s="1214"/>
      <c r="AY202" s="1252">
        <f>'Intermediate output'!AY194</f>
        <v>0</v>
      </c>
      <c r="AZ202" s="1252"/>
      <c r="BA202" s="3327">
        <f ca="1">'Intermediate output'!BA194</f>
        <v>8357.0779575917113</v>
      </c>
      <c r="BB202" s="3327">
        <f ca="1">'Intermediate output'!BB194</f>
        <v>11067.444390285029</v>
      </c>
      <c r="BC202" s="3327">
        <f ca="1">'Intermediate output'!BC194</f>
        <v>16487.252646036821</v>
      </c>
      <c r="BD202" s="3327">
        <f ca="1">'Intermediate output'!BD194</f>
        <v>23674.696307891234</v>
      </c>
      <c r="BE202" s="3327">
        <f ca="1">'Intermediate output'!BE194</f>
        <v>32844.567698899933</v>
      </c>
      <c r="BF202" s="3327">
        <f ca="1">'Intermediate output'!BF194</f>
        <v>42190.436761735858</v>
      </c>
      <c r="BG202" s="3327">
        <f ca="1">'Intermediate output'!BG194</f>
        <v>51639.964797337918</v>
      </c>
      <c r="BH202" s="3327">
        <f ca="1">'Intermediate output'!BH194</f>
        <v>61178.099595312116</v>
      </c>
      <c r="BI202" s="3327">
        <f ca="1">'Intermediate output'!BI194</f>
        <v>70932.912047398291</v>
      </c>
      <c r="BJ202" s="1217" t="s">
        <v>1172</v>
      </c>
    </row>
    <row r="203" spans="2:62" ht="15.75">
      <c r="B203" s="1240"/>
      <c r="C203" s="1218" t="s">
        <v>1173</v>
      </c>
      <c r="D203" s="1214"/>
      <c r="E203" s="1214"/>
      <c r="F203" s="1236" t="s">
        <v>1174</v>
      </c>
      <c r="G203" s="1236"/>
      <c r="H203" s="1254"/>
      <c r="I203" s="1254"/>
      <c r="J203" s="1254"/>
      <c r="K203" s="1254"/>
      <c r="L203" s="1254"/>
      <c r="M203" s="1254"/>
      <c r="N203" s="1254"/>
      <c r="O203" s="1254"/>
      <c r="P203" s="1254"/>
      <c r="Q203" s="1254"/>
      <c r="R203" s="1254"/>
      <c r="S203" s="1254"/>
      <c r="T203" s="1254"/>
      <c r="U203" s="1254"/>
      <c r="V203" s="1254"/>
      <c r="W203" s="1254"/>
      <c r="X203" s="1254"/>
      <c r="Y203" s="1254"/>
      <c r="Z203" s="1254"/>
      <c r="AA203" s="1254"/>
      <c r="AB203" s="1254"/>
      <c r="AC203" s="1254"/>
      <c r="AD203" s="1254"/>
      <c r="AE203" s="1254"/>
      <c r="AF203" s="1254"/>
      <c r="AG203" s="1254"/>
      <c r="AH203" s="1254"/>
      <c r="AI203" s="1254"/>
      <c r="AJ203" s="1254"/>
      <c r="AK203" s="1254"/>
      <c r="AL203" s="1254"/>
      <c r="AM203" s="1254"/>
      <c r="AN203" s="1254"/>
      <c r="AO203" s="1254"/>
      <c r="AP203" s="1254"/>
      <c r="AQ203" s="1254"/>
      <c r="AR203" s="1254"/>
      <c r="AS203" s="1254"/>
      <c r="AT203" s="1254"/>
      <c r="AU203" s="1254"/>
      <c r="AV203" s="1254"/>
      <c r="AW203" s="1254"/>
      <c r="AX203" s="1214"/>
      <c r="AY203" s="1252">
        <f>'Intermediate output'!AY195</f>
        <v>0</v>
      </c>
      <c r="AZ203" s="1252"/>
      <c r="BA203" s="1252">
        <f ca="1">'Intermediate output'!BA195</f>
        <v>8357.0779575917113</v>
      </c>
      <c r="BB203" s="1252">
        <f ca="1">'Intermediate output'!BB195</f>
        <v>19424.52234787674</v>
      </c>
      <c r="BC203" s="1252">
        <f ca="1">'Intermediate output'!BC195</f>
        <v>35911.774993913561</v>
      </c>
      <c r="BD203" s="1252">
        <f ca="1">'Intermediate output'!BD195</f>
        <v>59586.471301804791</v>
      </c>
      <c r="BE203" s="1252">
        <f ca="1">'Intermediate output'!BE195</f>
        <v>92431.039000704724</v>
      </c>
      <c r="BF203" s="1252">
        <f ca="1">'Intermediate output'!BF195</f>
        <v>134621.47576244059</v>
      </c>
      <c r="BG203" s="1252">
        <f ca="1">'Intermediate output'!BG195</f>
        <v>186261.44055977851</v>
      </c>
      <c r="BH203" s="1252">
        <f ca="1">'Intermediate output'!BH195</f>
        <v>247439.54015509062</v>
      </c>
      <c r="BI203" s="1252">
        <f ca="1">'Intermediate output'!BI195</f>
        <v>318372.4522024889</v>
      </c>
      <c r="BJ203" s="1217"/>
    </row>
    <row r="204" spans="2:62">
      <c r="B204" s="1219"/>
      <c r="C204" s="1214"/>
      <c r="D204" s="1214"/>
      <c r="E204" s="1214"/>
      <c r="F204" s="1214"/>
      <c r="G204" s="1214"/>
      <c r="H204" s="1215"/>
      <c r="I204" s="1215"/>
      <c r="J204" s="1215"/>
      <c r="K204" s="1215"/>
      <c r="L204" s="1215"/>
      <c r="M204" s="1215"/>
      <c r="N204" s="1215"/>
      <c r="O204" s="1215"/>
      <c r="P204" s="1215"/>
      <c r="Q204" s="1215"/>
      <c r="R204" s="1215"/>
      <c r="S204" s="1215"/>
      <c r="T204" s="1215"/>
      <c r="U204" s="1215"/>
      <c r="V204" s="1215"/>
      <c r="W204" s="1215"/>
      <c r="X204" s="1215"/>
      <c r="Y204" s="1215"/>
      <c r="Z204" s="1215"/>
      <c r="AA204" s="1215"/>
      <c r="AB204" s="1215"/>
      <c r="AC204" s="1215"/>
      <c r="AD204" s="1215"/>
      <c r="AE204" s="1215"/>
      <c r="AF204" s="1215"/>
      <c r="AG204" s="1215"/>
      <c r="AH204" s="1215"/>
      <c r="AI204" s="1215"/>
      <c r="AJ204" s="1215"/>
      <c r="AK204" s="1215"/>
      <c r="AL204" s="1215"/>
      <c r="AM204" s="1215"/>
      <c r="AN204" s="1215"/>
      <c r="AO204" s="1215"/>
      <c r="AP204" s="1215"/>
      <c r="AQ204" s="1215"/>
      <c r="AR204" s="1215"/>
      <c r="AS204" s="1215"/>
      <c r="AT204" s="1215"/>
      <c r="AU204" s="1215"/>
      <c r="AV204" s="1215"/>
      <c r="AW204" s="1215"/>
      <c r="AX204" s="1214"/>
      <c r="AY204" s="1214"/>
      <c r="AZ204" s="1214"/>
      <c r="BA204" s="1214"/>
      <c r="BB204" s="1214"/>
      <c r="BC204" s="1214"/>
      <c r="BD204" s="1214"/>
      <c r="BE204" s="1214"/>
      <c r="BF204" s="1214"/>
      <c r="BG204" s="1214"/>
      <c r="BH204" s="1214"/>
      <c r="BI204" s="1214"/>
      <c r="BJ204" s="1217"/>
    </row>
    <row r="205" spans="2:62">
      <c r="B205" s="1219"/>
      <c r="C205" s="1214"/>
      <c r="D205" s="1220" t="s">
        <v>337</v>
      </c>
      <c r="E205" s="1214"/>
      <c r="F205" s="1214" t="s">
        <v>1175</v>
      </c>
      <c r="G205" s="1214"/>
      <c r="H205" s="1215"/>
      <c r="I205" s="1215"/>
      <c r="J205" s="1215"/>
      <c r="K205" s="1215"/>
      <c r="L205" s="1215"/>
      <c r="M205" s="1215"/>
      <c r="N205" s="1215"/>
      <c r="O205" s="1215"/>
      <c r="P205" s="1215"/>
      <c r="Q205" s="1215"/>
      <c r="R205" s="1215"/>
      <c r="S205" s="1215"/>
      <c r="T205" s="1215"/>
      <c r="U205" s="1215"/>
      <c r="V205" s="1215"/>
      <c r="W205" s="1215"/>
      <c r="X205" s="1215"/>
      <c r="Y205" s="1215"/>
      <c r="Z205" s="1215"/>
      <c r="AA205" s="1215"/>
      <c r="AB205" s="1215">
        <v>1990</v>
      </c>
      <c r="AC205" s="1215">
        <v>1991</v>
      </c>
      <c r="AD205" s="1215">
        <v>1992</v>
      </c>
      <c r="AE205" s="1215">
        <v>1993</v>
      </c>
      <c r="AF205" s="1215">
        <v>1994</v>
      </c>
      <c r="AG205" s="1215">
        <v>1995</v>
      </c>
      <c r="AH205" s="1215">
        <v>1996</v>
      </c>
      <c r="AI205" s="1215">
        <v>1997</v>
      </c>
      <c r="AJ205" s="1215">
        <v>1998</v>
      </c>
      <c r="AK205" s="1215">
        <v>1999</v>
      </c>
      <c r="AL205" s="1215">
        <v>2000</v>
      </c>
      <c r="AM205" s="1215">
        <v>2001</v>
      </c>
      <c r="AN205" s="1215">
        <v>2002</v>
      </c>
      <c r="AO205" s="1215">
        <v>2003</v>
      </c>
      <c r="AP205" s="1215">
        <v>2004</v>
      </c>
      <c r="AQ205" s="1215">
        <v>2005</v>
      </c>
      <c r="AR205" s="1215">
        <v>2006</v>
      </c>
      <c r="AS205" s="1215">
        <v>2007</v>
      </c>
      <c r="AT205" s="1215">
        <v>2008</v>
      </c>
      <c r="AU205" s="1215">
        <v>2009</v>
      </c>
      <c r="AV205" s="1215">
        <v>2010</v>
      </c>
      <c r="AW205" s="1215"/>
      <c r="AX205" s="1214"/>
      <c r="AY205" s="1214"/>
      <c r="AZ205" s="1214"/>
      <c r="BA205" s="1214"/>
      <c r="BB205" s="1214"/>
      <c r="BC205" s="1214"/>
      <c r="BD205" s="1214"/>
      <c r="BE205" s="1214"/>
      <c r="BF205" s="1214"/>
      <c r="BG205" s="1214"/>
      <c r="BH205" s="1214"/>
      <c r="BI205" s="1216" t="s">
        <v>367</v>
      </c>
      <c r="BJ205" s="1217"/>
    </row>
    <row r="206" spans="2:62" s="410" customFormat="1">
      <c r="B206" s="1219"/>
      <c r="C206" s="1222" t="s">
        <v>359</v>
      </c>
      <c r="D206" s="1223" t="str">
        <f>INDEX(IPCC[Sector_description], MATCH($C206, IPCC[Sector_code], 0))</f>
        <v>Fuel Combustion</v>
      </c>
      <c r="E206" s="1214"/>
      <c r="F206" s="1224"/>
      <c r="G206" s="1224"/>
      <c r="H206" s="1225"/>
      <c r="I206" s="1225"/>
      <c r="J206" s="1225"/>
      <c r="K206" s="1225"/>
      <c r="L206" s="1225"/>
      <c r="M206" s="1225"/>
      <c r="N206" s="1225"/>
      <c r="O206" s="1225"/>
      <c r="P206" s="1225"/>
      <c r="Q206" s="1225"/>
      <c r="R206" s="1225"/>
      <c r="S206" s="1225"/>
      <c r="T206" s="1225"/>
      <c r="U206" s="1225"/>
      <c r="V206" s="1225"/>
      <c r="W206" s="1225"/>
      <c r="X206" s="1225"/>
      <c r="Y206" s="1225"/>
      <c r="Z206" s="1225"/>
      <c r="AA206" s="1225"/>
      <c r="AB206" s="1225">
        <v>574.32095470838158</v>
      </c>
      <c r="AC206" s="1225">
        <v>584.07437428245817</v>
      </c>
      <c r="AD206" s="1225">
        <v>567.77562980428604</v>
      </c>
      <c r="AE206" s="1225">
        <v>553.33753691323284</v>
      </c>
      <c r="AF206" s="1225">
        <v>546.2326953595707</v>
      </c>
      <c r="AG206" s="1225">
        <v>536.02033883393392</v>
      </c>
      <c r="AH206" s="1225">
        <v>556.6263616262188</v>
      </c>
      <c r="AI206" s="1225">
        <v>534.74891299255432</v>
      </c>
      <c r="AJ206" s="1225">
        <v>538.75473446895467</v>
      </c>
      <c r="AK206" s="1225">
        <v>530.66566313949943</v>
      </c>
      <c r="AL206" s="1225">
        <v>539.00049895868733</v>
      </c>
      <c r="AM206" s="1225">
        <v>552.19141203114191</v>
      </c>
      <c r="AN206" s="1225">
        <v>536.21693879087923</v>
      </c>
      <c r="AO206" s="1225">
        <v>545.64182602813037</v>
      </c>
      <c r="AP206" s="1225">
        <v>546.91526250414915</v>
      </c>
      <c r="AQ206" s="1225">
        <v>542.80240867747409</v>
      </c>
      <c r="AR206" s="1225">
        <v>542.65668632601535</v>
      </c>
      <c r="AS206" s="1225">
        <v>534.02574552989233</v>
      </c>
      <c r="AT206" s="1225">
        <v>522.9479251564137</v>
      </c>
      <c r="AU206" s="1225">
        <v>475.60178758150977</v>
      </c>
      <c r="AV206" s="1225">
        <v>492.7502706136072</v>
      </c>
      <c r="AW206" s="1257" t="s">
        <v>1176</v>
      </c>
      <c r="AX206" s="1226"/>
      <c r="AY206" s="1224">
        <f t="shared" ref="AY206:BI207" ca="1" si="21">SUMIFS(INDIRECT("'"&amp;AY$4&amp;"'!Year.Emissions"), INDIRECT("'"&amp;AY$4&amp;"'!Year.IPCC"), $C206)</f>
        <v>1178.5139623629584</v>
      </c>
      <c r="AZ206" s="1224"/>
      <c r="BA206" s="1224">
        <f t="shared" ca="1" si="21"/>
        <v>1542.9858078670618</v>
      </c>
      <c r="BB206" s="1224">
        <f t="shared" ca="1" si="21"/>
        <v>2156.3230931819899</v>
      </c>
      <c r="BC206" s="1224">
        <f t="shared" ca="1" si="21"/>
        <v>3134.8651799678455</v>
      </c>
      <c r="BD206" s="1224">
        <f t="shared" ca="1" si="21"/>
        <v>4344.0867964535209</v>
      </c>
      <c r="BE206" s="1224">
        <f t="shared" ca="1" si="21"/>
        <v>6004.0538581476249</v>
      </c>
      <c r="BF206" s="1224">
        <f t="shared" ca="1" si="21"/>
        <v>7384.0961877553927</v>
      </c>
      <c r="BG206" s="1224">
        <f t="shared" ca="1" si="21"/>
        <v>9000.8954295893436</v>
      </c>
      <c r="BH206" s="1224">
        <f t="shared" ca="1" si="21"/>
        <v>10532.623812014712</v>
      </c>
      <c r="BI206" s="1224">
        <f t="shared" ca="1" si="21"/>
        <v>12204.306963259591</v>
      </c>
      <c r="BJ206" s="1227"/>
    </row>
    <row r="207" spans="2:62" s="410" customFormat="1">
      <c r="B207" s="1219"/>
      <c r="C207" s="1222" t="s">
        <v>358</v>
      </c>
      <c r="D207" s="1223" t="str">
        <f>INDEX(IPCC[Sector_description], MATCH($C207, IPCC[Sector_code], 0))</f>
        <v>Fugitive Emissions from Fuels</v>
      </c>
      <c r="E207" s="1214"/>
      <c r="F207" s="1224"/>
      <c r="G207" s="1224"/>
      <c r="H207" s="1225"/>
      <c r="I207" s="1225"/>
      <c r="J207" s="1225"/>
      <c r="K207" s="1225"/>
      <c r="L207" s="1225"/>
      <c r="M207" s="1225"/>
      <c r="N207" s="1225"/>
      <c r="O207" s="1225"/>
      <c r="P207" s="1225"/>
      <c r="Q207" s="1225"/>
      <c r="R207" s="1225"/>
      <c r="S207" s="1225"/>
      <c r="T207" s="1225"/>
      <c r="U207" s="1225"/>
      <c r="V207" s="1225"/>
      <c r="W207" s="1225"/>
      <c r="X207" s="1225"/>
      <c r="Y207" s="1225"/>
      <c r="Z207" s="1225"/>
      <c r="AA207" s="1225"/>
      <c r="AB207" s="1225">
        <v>35.28336958104466</v>
      </c>
      <c r="AC207" s="1225">
        <v>35.182983866091305</v>
      </c>
      <c r="AD207" s="1225">
        <v>35.289835728726885</v>
      </c>
      <c r="AE207" s="1225">
        <v>34.031013507405163</v>
      </c>
      <c r="AF207" s="1225">
        <v>28.324761088666332</v>
      </c>
      <c r="AG207" s="1225">
        <v>31.042353791967415</v>
      </c>
      <c r="AH207" s="1225">
        <v>30.473334583513346</v>
      </c>
      <c r="AI207" s="1225">
        <v>27.620233281205483</v>
      </c>
      <c r="AJ207" s="1225">
        <v>25.397431061510737</v>
      </c>
      <c r="AK207" s="1225">
        <v>22.308283841071088</v>
      </c>
      <c r="AL207" s="1225">
        <v>20.536975736659553</v>
      </c>
      <c r="AM207" s="1225">
        <v>20.019669009851356</v>
      </c>
      <c r="AN207" s="1225">
        <v>19.40477630089951</v>
      </c>
      <c r="AO207" s="1225">
        <v>16.07854267407026</v>
      </c>
      <c r="AP207" s="1225">
        <v>15.736887486965456</v>
      </c>
      <c r="AQ207" s="1225">
        <v>14.992284178784804</v>
      </c>
      <c r="AR207" s="1225">
        <v>13.510923257815429</v>
      </c>
      <c r="AS207" s="1225">
        <v>12.929712235090694</v>
      </c>
      <c r="AT207" s="1225">
        <v>11.879194090477329</v>
      </c>
      <c r="AU207" s="1225">
        <v>12.040107260360204</v>
      </c>
      <c r="AV207" s="1225">
        <v>11.646390385331518</v>
      </c>
      <c r="AW207" s="1257" t="s">
        <v>1176</v>
      </c>
      <c r="AX207" s="1226"/>
      <c r="AY207" s="1224">
        <f t="shared" ca="1" si="21"/>
        <v>0</v>
      </c>
      <c r="AZ207" s="1224"/>
      <c r="BA207" s="1224">
        <f t="shared" ca="1" si="21"/>
        <v>0</v>
      </c>
      <c r="BB207" s="1224">
        <f t="shared" ca="1" si="21"/>
        <v>0</v>
      </c>
      <c r="BC207" s="1224">
        <f t="shared" ca="1" si="21"/>
        <v>0</v>
      </c>
      <c r="BD207" s="1224">
        <f t="shared" ca="1" si="21"/>
        <v>0</v>
      </c>
      <c r="BE207" s="1224">
        <f t="shared" ca="1" si="21"/>
        <v>0</v>
      </c>
      <c r="BF207" s="1224">
        <f t="shared" ca="1" si="21"/>
        <v>0</v>
      </c>
      <c r="BG207" s="1224">
        <f t="shared" ca="1" si="21"/>
        <v>0</v>
      </c>
      <c r="BH207" s="1224">
        <f t="shared" ca="1" si="21"/>
        <v>0</v>
      </c>
      <c r="BI207" s="1224">
        <f t="shared" ca="1" si="21"/>
        <v>0</v>
      </c>
      <c r="BJ207" s="1227"/>
    </row>
    <row r="208" spans="2:62">
      <c r="B208" s="1221"/>
      <c r="C208" s="1216">
        <v>1</v>
      </c>
      <c r="D208" s="1214" t="s">
        <v>338</v>
      </c>
      <c r="E208" s="1214"/>
      <c r="F208" s="1258"/>
      <c r="G208" s="1258"/>
      <c r="H208" s="1257"/>
      <c r="I208" s="1257"/>
      <c r="J208" s="1257"/>
      <c r="K208" s="1257"/>
      <c r="L208" s="1257"/>
      <c r="M208" s="1257"/>
      <c r="N208" s="1257"/>
      <c r="O208" s="1257"/>
      <c r="P208" s="1257"/>
      <c r="Q208" s="1257"/>
      <c r="R208" s="1257"/>
      <c r="S208" s="1257"/>
      <c r="T208" s="1257"/>
      <c r="U208" s="1257"/>
      <c r="V208" s="1257"/>
      <c r="W208" s="1257"/>
      <c r="X208" s="1257"/>
      <c r="Y208" s="1257"/>
      <c r="Z208" s="1257"/>
      <c r="AA208" s="1257"/>
      <c r="AB208" s="1257">
        <v>609.60432428942624</v>
      </c>
      <c r="AC208" s="1257">
        <v>619.25735814854954</v>
      </c>
      <c r="AD208" s="1257">
        <v>603.06546553301303</v>
      </c>
      <c r="AE208" s="1257">
        <v>587.36855042063803</v>
      </c>
      <c r="AF208" s="1257">
        <v>574.55745644823708</v>
      </c>
      <c r="AG208" s="1257">
        <v>567.06269262590126</v>
      </c>
      <c r="AH208" s="1257">
        <v>587.09969620973209</v>
      </c>
      <c r="AI208" s="1257">
        <v>562.36914627375972</v>
      </c>
      <c r="AJ208" s="1257">
        <v>564.15216553046548</v>
      </c>
      <c r="AK208" s="1257">
        <v>552.97394698057042</v>
      </c>
      <c r="AL208" s="1257">
        <v>559.53747469534676</v>
      </c>
      <c r="AM208" s="1257">
        <v>572.21108104099335</v>
      </c>
      <c r="AN208" s="1257">
        <v>555.62171509177858</v>
      </c>
      <c r="AO208" s="1257">
        <v>561.72036870220063</v>
      </c>
      <c r="AP208" s="1257">
        <v>562.65214999111447</v>
      </c>
      <c r="AQ208" s="1257">
        <v>557.79469285625896</v>
      </c>
      <c r="AR208" s="1257">
        <v>556.16760958383077</v>
      </c>
      <c r="AS208" s="1257">
        <v>546.95545776498307</v>
      </c>
      <c r="AT208" s="1257">
        <v>534.82711924689102</v>
      </c>
      <c r="AU208" s="1257">
        <v>487.64189484186994</v>
      </c>
      <c r="AV208" s="1257">
        <v>504.39666099893867</v>
      </c>
      <c r="AW208" s="1257" t="s">
        <v>1176</v>
      </c>
      <c r="AX208" s="1226"/>
      <c r="AY208" s="1258">
        <f t="shared" ref="AY208:BI208" ca="1" si="22">AY206+AY207</f>
        <v>1178.5139623629584</v>
      </c>
      <c r="AZ208" s="1258"/>
      <c r="BA208" s="1258">
        <f t="shared" ca="1" si="22"/>
        <v>1542.9858078670618</v>
      </c>
      <c r="BB208" s="1258">
        <f t="shared" ca="1" si="22"/>
        <v>2156.3230931819899</v>
      </c>
      <c r="BC208" s="1258">
        <f t="shared" ca="1" si="22"/>
        <v>3134.8651799678455</v>
      </c>
      <c r="BD208" s="1258">
        <f t="shared" ca="1" si="22"/>
        <v>4344.0867964535209</v>
      </c>
      <c r="BE208" s="1258">
        <f t="shared" ca="1" si="22"/>
        <v>6004.0538581476249</v>
      </c>
      <c r="BF208" s="1258">
        <f t="shared" ca="1" si="22"/>
        <v>7384.0961877553927</v>
      </c>
      <c r="BG208" s="1258">
        <f t="shared" ca="1" si="22"/>
        <v>9000.8954295893436</v>
      </c>
      <c r="BH208" s="1258">
        <f t="shared" ca="1" si="22"/>
        <v>10532.623812014712</v>
      </c>
      <c r="BI208" s="1258">
        <f t="shared" ca="1" si="22"/>
        <v>12204.306963259591</v>
      </c>
      <c r="BJ208" s="1217"/>
    </row>
    <row r="209" spans="2:63">
      <c r="B209" s="1221"/>
      <c r="C209" s="1216">
        <v>2</v>
      </c>
      <c r="D209" s="1223" t="str">
        <f>INDEX(IPCC[Sector_description], MATCH($C209, IPCC[Sector_code], 0))</f>
        <v>Industrial Processes</v>
      </c>
      <c r="E209" s="1214"/>
      <c r="F209" s="1258"/>
      <c r="G209" s="1258"/>
      <c r="H209" s="1257"/>
      <c r="I209" s="1257"/>
      <c r="J209" s="1257"/>
      <c r="K209" s="1257"/>
      <c r="L209" s="1257"/>
      <c r="M209" s="1257"/>
      <c r="N209" s="1257"/>
      <c r="O209" s="1257"/>
      <c r="P209" s="1257"/>
      <c r="Q209" s="1257"/>
      <c r="R209" s="1257"/>
      <c r="S209" s="1257"/>
      <c r="T209" s="1257"/>
      <c r="U209" s="1257"/>
      <c r="V209" s="1257"/>
      <c r="W209" s="1257"/>
      <c r="X209" s="1257"/>
      <c r="Y209" s="1257"/>
      <c r="Z209" s="1257"/>
      <c r="AA209" s="1257"/>
      <c r="AB209" s="1257">
        <v>54.14857476869939</v>
      </c>
      <c r="AC209" s="1257">
        <v>52.475976085330302</v>
      </c>
      <c r="AD209" s="1257">
        <v>47.09357259520948</v>
      </c>
      <c r="AE209" s="1257">
        <v>43.783266649903538</v>
      </c>
      <c r="AF209" s="1257">
        <v>46.200468631708674</v>
      </c>
      <c r="AG209" s="1257">
        <v>46.438108640865629</v>
      </c>
      <c r="AH209" s="1257">
        <v>48.20629279360756</v>
      </c>
      <c r="AI209" s="1257">
        <v>50.509743157896679</v>
      </c>
      <c r="AJ209" s="1257">
        <v>48.955619513700753</v>
      </c>
      <c r="AK209" s="1257">
        <v>32.394255265102153</v>
      </c>
      <c r="AL209" s="1257">
        <v>31.677024129804071</v>
      </c>
      <c r="AM209" s="1257">
        <v>30.092795678224793</v>
      </c>
      <c r="AN209" s="1257">
        <v>28.177211033386556</v>
      </c>
      <c r="AO209" s="1257">
        <v>30.026667340786869</v>
      </c>
      <c r="AP209" s="1257">
        <v>30.291978553378527</v>
      </c>
      <c r="AQ209" s="1257">
        <v>30.619235422944978</v>
      </c>
      <c r="AR209" s="1257">
        <v>29.927484392152323</v>
      </c>
      <c r="AS209" s="1257">
        <v>31.616603644661854</v>
      </c>
      <c r="AT209" s="1257">
        <v>30.80187951705711</v>
      </c>
      <c r="AU209" s="1257">
        <v>25.47849294203823</v>
      </c>
      <c r="AV209" s="1257">
        <v>26.811492537019994</v>
      </c>
      <c r="AW209" s="1257" t="s">
        <v>1176</v>
      </c>
      <c r="AX209" s="1226"/>
      <c r="AY209" s="1224">
        <f t="shared" ref="AY209:BI217" ca="1" si="23">SUMIFS(INDIRECT("'"&amp;AY$4&amp;"'!Year.Emissions"), INDIRECT("'"&amp;AY$4&amp;"'!Year.IPCC"), $C209)</f>
        <v>0</v>
      </c>
      <c r="AZ209" s="1224"/>
      <c r="BA209" s="1224">
        <f t="shared" ca="1" si="23"/>
        <v>0</v>
      </c>
      <c r="BB209" s="1224">
        <f t="shared" ca="1" si="23"/>
        <v>0</v>
      </c>
      <c r="BC209" s="1224">
        <f t="shared" ca="1" si="23"/>
        <v>0</v>
      </c>
      <c r="BD209" s="1224">
        <f t="shared" ca="1" si="23"/>
        <v>0</v>
      </c>
      <c r="BE209" s="1224">
        <f t="shared" ca="1" si="23"/>
        <v>0</v>
      </c>
      <c r="BF209" s="1224">
        <f t="shared" ca="1" si="23"/>
        <v>0</v>
      </c>
      <c r="BG209" s="1224">
        <f t="shared" ca="1" si="23"/>
        <v>0</v>
      </c>
      <c r="BH209" s="1224">
        <f t="shared" ca="1" si="23"/>
        <v>0</v>
      </c>
      <c r="BI209" s="1224">
        <f t="shared" ca="1" si="23"/>
        <v>0</v>
      </c>
      <c r="BJ209" s="1217"/>
    </row>
    <row r="210" spans="2:63">
      <c r="B210" s="1219"/>
      <c r="C210" s="1216">
        <v>3</v>
      </c>
      <c r="D210" s="1223" t="str">
        <f>INDEX(IPCC[Sector_description], MATCH($C210, IPCC[Sector_code], 0))</f>
        <v>Solvent and Other Product Use</v>
      </c>
      <c r="E210" s="1214"/>
      <c r="F210" s="1258"/>
      <c r="G210" s="1258"/>
      <c r="H210" s="1257"/>
      <c r="I210" s="1257"/>
      <c r="J210" s="1257"/>
      <c r="K210" s="1257"/>
      <c r="L210" s="1257"/>
      <c r="M210" s="1257"/>
      <c r="N210" s="1257"/>
      <c r="O210" s="1257"/>
      <c r="P210" s="1257"/>
      <c r="Q210" s="1257"/>
      <c r="R210" s="1257"/>
      <c r="S210" s="1257"/>
      <c r="T210" s="1257"/>
      <c r="U210" s="1257"/>
      <c r="V210" s="1257"/>
      <c r="W210" s="1257"/>
      <c r="X210" s="1257"/>
      <c r="Y210" s="1257"/>
      <c r="Z210" s="1257"/>
      <c r="AA210" s="1257"/>
      <c r="AB210" s="1257" t="s">
        <v>1177</v>
      </c>
      <c r="AC210" s="1257" t="s">
        <v>1177</v>
      </c>
      <c r="AD210" s="1257" t="s">
        <v>1177</v>
      </c>
      <c r="AE210" s="1257" t="s">
        <v>1177</v>
      </c>
      <c r="AF210" s="1257" t="s">
        <v>1177</v>
      </c>
      <c r="AG210" s="1257" t="s">
        <v>1177</v>
      </c>
      <c r="AH210" s="1257" t="s">
        <v>1177</v>
      </c>
      <c r="AI210" s="1257" t="s">
        <v>1177</v>
      </c>
      <c r="AJ210" s="1257" t="s">
        <v>1177</v>
      </c>
      <c r="AK210" s="1257" t="s">
        <v>1177</v>
      </c>
      <c r="AL210" s="1257" t="s">
        <v>1177</v>
      </c>
      <c r="AM210" s="1257" t="s">
        <v>1177</v>
      </c>
      <c r="AN210" s="1257" t="s">
        <v>1177</v>
      </c>
      <c r="AO210" s="1257" t="s">
        <v>1177</v>
      </c>
      <c r="AP210" s="1257" t="s">
        <v>1177</v>
      </c>
      <c r="AQ210" s="1257" t="s">
        <v>1177</v>
      </c>
      <c r="AR210" s="1257" t="s">
        <v>1177</v>
      </c>
      <c r="AS210" s="1257" t="s">
        <v>1177</v>
      </c>
      <c r="AT210" s="1257" t="s">
        <v>1177</v>
      </c>
      <c r="AU210" s="1257" t="s">
        <v>1177</v>
      </c>
      <c r="AV210" s="1257" t="s">
        <v>1177</v>
      </c>
      <c r="AW210" s="1257" t="s">
        <v>1176</v>
      </c>
      <c r="AX210" s="1226"/>
      <c r="AY210" s="1224">
        <f t="shared" ca="1" si="23"/>
        <v>0</v>
      </c>
      <c r="AZ210" s="1224"/>
      <c r="BA210" s="1224">
        <f t="shared" ca="1" si="23"/>
        <v>0</v>
      </c>
      <c r="BB210" s="1224">
        <f t="shared" ca="1" si="23"/>
        <v>0</v>
      </c>
      <c r="BC210" s="1224">
        <f t="shared" ca="1" si="23"/>
        <v>0</v>
      </c>
      <c r="BD210" s="1224">
        <f t="shared" ca="1" si="23"/>
        <v>0</v>
      </c>
      <c r="BE210" s="1224">
        <f t="shared" ca="1" si="23"/>
        <v>0</v>
      </c>
      <c r="BF210" s="1224">
        <f t="shared" ca="1" si="23"/>
        <v>0</v>
      </c>
      <c r="BG210" s="1224">
        <f t="shared" ca="1" si="23"/>
        <v>0</v>
      </c>
      <c r="BH210" s="1224">
        <f t="shared" ca="1" si="23"/>
        <v>0</v>
      </c>
      <c r="BI210" s="1224">
        <f t="shared" ca="1" si="23"/>
        <v>0</v>
      </c>
      <c r="BJ210" s="1217"/>
    </row>
    <row r="211" spans="2:63">
      <c r="B211" s="1219"/>
      <c r="C211" s="1216">
        <v>4</v>
      </c>
      <c r="D211" s="1223" t="str">
        <f>INDEX(IPCC[Sector_description], MATCH($C211, IPCC[Sector_code], 0))</f>
        <v>Agriculture</v>
      </c>
      <c r="E211" s="1214"/>
      <c r="F211" s="1258"/>
      <c r="G211" s="1258"/>
      <c r="H211" s="1257"/>
      <c r="I211" s="1257"/>
      <c r="J211" s="1257"/>
      <c r="K211" s="1257"/>
      <c r="L211" s="1257"/>
      <c r="M211" s="1257"/>
      <c r="N211" s="1257"/>
      <c r="O211" s="1257"/>
      <c r="P211" s="1257"/>
      <c r="Q211" s="1257"/>
      <c r="R211" s="1257"/>
      <c r="S211" s="1257"/>
      <c r="T211" s="1257"/>
      <c r="U211" s="1257"/>
      <c r="V211" s="1257"/>
      <c r="W211" s="1257"/>
      <c r="X211" s="1257"/>
      <c r="Y211" s="1257"/>
      <c r="Z211" s="1257"/>
      <c r="AA211" s="1257"/>
      <c r="AB211" s="1257">
        <v>57.50148520668305</v>
      </c>
      <c r="AC211" s="1257">
        <v>57.246446553512868</v>
      </c>
      <c r="AD211" s="1257">
        <v>57.064686407982649</v>
      </c>
      <c r="AE211" s="1257">
        <v>56.349782848425512</v>
      </c>
      <c r="AF211" s="1257">
        <v>56.482634229989579</v>
      </c>
      <c r="AG211" s="1257">
        <v>56.062993674503744</v>
      </c>
      <c r="AH211" s="1257">
        <v>56.438650509232893</v>
      </c>
      <c r="AI211" s="1257">
        <v>56.199934507252166</v>
      </c>
      <c r="AJ211" s="1257">
        <v>55.563813765969243</v>
      </c>
      <c r="AK211" s="1257">
        <v>54.890137863427519</v>
      </c>
      <c r="AL211" s="1257">
        <v>52.893308830233281</v>
      </c>
      <c r="AM211" s="1257">
        <v>50.094491750341383</v>
      </c>
      <c r="AN211" s="1257">
        <v>50.07904843936754</v>
      </c>
      <c r="AO211" s="1257">
        <v>49.646482933698181</v>
      </c>
      <c r="AP211" s="1257">
        <v>49.912563723285288</v>
      </c>
      <c r="AQ211" s="1257">
        <v>50.204852733460946</v>
      </c>
      <c r="AR211" s="1257">
        <v>48.573478811345488</v>
      </c>
      <c r="AS211" s="1257">
        <v>47.145361104365769</v>
      </c>
      <c r="AT211" s="1257">
        <v>46.490712439147927</v>
      </c>
      <c r="AU211" s="1257">
        <v>45.808263743996648</v>
      </c>
      <c r="AV211" s="1257">
        <v>46.201383319346213</v>
      </c>
      <c r="AW211" s="1257" t="s">
        <v>1176</v>
      </c>
      <c r="AX211" s="1226"/>
      <c r="AY211" s="1224">
        <f t="shared" ca="1" si="23"/>
        <v>0</v>
      </c>
      <c r="AZ211" s="1224"/>
      <c r="BA211" s="1224">
        <f t="shared" ca="1" si="23"/>
        <v>0</v>
      </c>
      <c r="BB211" s="1224">
        <f t="shared" ca="1" si="23"/>
        <v>0</v>
      </c>
      <c r="BC211" s="1224">
        <f t="shared" ca="1" si="23"/>
        <v>0</v>
      </c>
      <c r="BD211" s="1224">
        <f t="shared" ca="1" si="23"/>
        <v>0</v>
      </c>
      <c r="BE211" s="1224">
        <f t="shared" ca="1" si="23"/>
        <v>0</v>
      </c>
      <c r="BF211" s="1224">
        <f t="shared" ca="1" si="23"/>
        <v>0</v>
      </c>
      <c r="BG211" s="1224">
        <f t="shared" ca="1" si="23"/>
        <v>0</v>
      </c>
      <c r="BH211" s="1224">
        <f t="shared" ca="1" si="23"/>
        <v>0</v>
      </c>
      <c r="BI211" s="1224">
        <f t="shared" ca="1" si="23"/>
        <v>0</v>
      </c>
      <c r="BJ211" s="1217"/>
    </row>
    <row r="212" spans="2:63">
      <c r="B212" s="1219"/>
      <c r="C212" s="1216">
        <v>5</v>
      </c>
      <c r="D212" s="1223" t="str">
        <f>INDEX(IPCC[Sector_description], MATCH($C212, IPCC[Sector_code], 0))</f>
        <v>Land Use, Land-Use Change and Forestry</v>
      </c>
      <c r="E212" s="1214"/>
      <c r="F212" s="1258"/>
      <c r="G212" s="1258"/>
      <c r="H212" s="1257"/>
      <c r="I212" s="1257"/>
      <c r="J212" s="1257"/>
      <c r="K212" s="1257"/>
      <c r="L212" s="1257"/>
      <c r="M212" s="1257"/>
      <c r="N212" s="1257"/>
      <c r="O212" s="1257"/>
      <c r="P212" s="1257"/>
      <c r="Q212" s="1257"/>
      <c r="R212" s="1257"/>
      <c r="S212" s="1257"/>
      <c r="T212" s="1257"/>
      <c r="U212" s="1257"/>
      <c r="V212" s="1257"/>
      <c r="W212" s="1257"/>
      <c r="X212" s="1257"/>
      <c r="Y212" s="1257"/>
      <c r="Z212" s="1257"/>
      <c r="AA212" s="1257"/>
      <c r="AB212" s="1257">
        <v>3.8930087572812679</v>
      </c>
      <c r="AC212" s="1257">
        <v>3.8686000622628693</v>
      </c>
      <c r="AD212" s="1257">
        <v>3.3433147414361009</v>
      </c>
      <c r="AE212" s="1257">
        <v>2.2265845845315693</v>
      </c>
      <c r="AF212" s="1257">
        <v>2.0533141148288525</v>
      </c>
      <c r="AG212" s="1257">
        <v>2.4654776194817205</v>
      </c>
      <c r="AH212" s="1257">
        <v>2.1813341723246857</v>
      </c>
      <c r="AI212" s="1257">
        <v>1.920070200944781</v>
      </c>
      <c r="AJ212" s="1257">
        <v>1.2405726372813575</v>
      </c>
      <c r="AK212" s="1257">
        <v>1.0620443971872269</v>
      </c>
      <c r="AL212" s="1257">
        <v>0.37726047037436505</v>
      </c>
      <c r="AM212" s="1257">
        <v>-0.11419377707044237</v>
      </c>
      <c r="AN212" s="1257">
        <v>-0.93459050389331721</v>
      </c>
      <c r="AO212" s="1257">
        <v>-1.2868015775516333</v>
      </c>
      <c r="AP212" s="1257">
        <v>-2.3579223431888501</v>
      </c>
      <c r="AQ212" s="1257">
        <v>-2.9449125339525444</v>
      </c>
      <c r="AR212" s="1257">
        <v>-3.0969424363046301</v>
      </c>
      <c r="AS212" s="1257">
        <v>-3.4836455180367438</v>
      </c>
      <c r="AT212" s="1257">
        <v>-3.8824317227172771</v>
      </c>
      <c r="AU212" s="1257">
        <v>-4.2078283804095697</v>
      </c>
      <c r="AV212" s="1257">
        <v>-3.8423973221854002</v>
      </c>
      <c r="AW212" s="1257" t="s">
        <v>1176</v>
      </c>
      <c r="AX212" s="1226"/>
      <c r="AY212" s="1224">
        <f t="shared" ca="1" si="23"/>
        <v>0</v>
      </c>
      <c r="AZ212" s="1224"/>
      <c r="BA212" s="1224">
        <f t="shared" ca="1" si="23"/>
        <v>0</v>
      </c>
      <c r="BB212" s="1224">
        <f t="shared" ca="1" si="23"/>
        <v>0</v>
      </c>
      <c r="BC212" s="1224">
        <f t="shared" ca="1" si="23"/>
        <v>0</v>
      </c>
      <c r="BD212" s="1224">
        <f t="shared" ca="1" si="23"/>
        <v>0</v>
      </c>
      <c r="BE212" s="1224">
        <f t="shared" ca="1" si="23"/>
        <v>0</v>
      </c>
      <c r="BF212" s="1224">
        <f t="shared" ca="1" si="23"/>
        <v>0</v>
      </c>
      <c r="BG212" s="1224">
        <f t="shared" ca="1" si="23"/>
        <v>0</v>
      </c>
      <c r="BH212" s="1224">
        <f t="shared" ca="1" si="23"/>
        <v>0</v>
      </c>
      <c r="BI212" s="1224">
        <f t="shared" ca="1" si="23"/>
        <v>0</v>
      </c>
      <c r="BJ212" s="1217"/>
    </row>
    <row r="213" spans="2:63">
      <c r="B213" s="1219"/>
      <c r="C213" s="1216">
        <v>6</v>
      </c>
      <c r="D213" s="1223" t="str">
        <f>INDEX(IPCC[Sector_description], MATCH($C213, IPCC[Sector_code], 0))</f>
        <v>Waste</v>
      </c>
      <c r="E213" s="1214"/>
      <c r="F213" s="1258"/>
      <c r="G213" s="1258"/>
      <c r="H213" s="1257"/>
      <c r="I213" s="1257"/>
      <c r="J213" s="1257"/>
      <c r="K213" s="1257"/>
      <c r="L213" s="1257"/>
      <c r="M213" s="1257"/>
      <c r="N213" s="1257"/>
      <c r="O213" s="1257"/>
      <c r="P213" s="1257"/>
      <c r="Q213" s="1257"/>
      <c r="R213" s="1257"/>
      <c r="S213" s="1257"/>
      <c r="T213" s="1257"/>
      <c r="U213" s="1257"/>
      <c r="V213" s="1257"/>
      <c r="W213" s="1257"/>
      <c r="X213" s="1257"/>
      <c r="Y213" s="1257"/>
      <c r="Z213" s="1257"/>
      <c r="AA213" s="1257"/>
      <c r="AB213" s="1257">
        <v>46.005376459169604</v>
      </c>
      <c r="AC213" s="1257">
        <v>45.106257535550021</v>
      </c>
      <c r="AD213" s="1257">
        <v>43.802323592142784</v>
      </c>
      <c r="AE213" s="1257">
        <v>42.398865017289033</v>
      </c>
      <c r="AF213" s="1257">
        <v>41.175525117813187</v>
      </c>
      <c r="AG213" s="1257">
        <v>40.080722749499124</v>
      </c>
      <c r="AH213" s="1257">
        <v>39.045211708359346</v>
      </c>
      <c r="AI213" s="1257">
        <v>35.946203438881568</v>
      </c>
      <c r="AJ213" s="1257">
        <v>33.903942222331288</v>
      </c>
      <c r="AK213" s="1257">
        <v>31.176954037822373</v>
      </c>
      <c r="AL213" s="1257">
        <v>29.422387452691304</v>
      </c>
      <c r="AM213" s="1257">
        <v>26.000773929539882</v>
      </c>
      <c r="AN213" s="1257">
        <v>23.914147643814456</v>
      </c>
      <c r="AO213" s="1257">
        <v>21.058526850801719</v>
      </c>
      <c r="AP213" s="1257">
        <v>19.538460113710165</v>
      </c>
      <c r="AQ213" s="1257">
        <v>19.037141136861958</v>
      </c>
      <c r="AR213" s="1257">
        <v>18.640862074715724</v>
      </c>
      <c r="AS213" s="1257">
        <v>18.271577747130092</v>
      </c>
      <c r="AT213" s="1257">
        <v>17.712063346383925</v>
      </c>
      <c r="AU213" s="1257">
        <v>17.198378568592883</v>
      </c>
      <c r="AV213" s="1257">
        <v>16.611961862247568</v>
      </c>
      <c r="AW213" s="1257" t="s">
        <v>1176</v>
      </c>
      <c r="AX213" s="1226"/>
      <c r="AY213" s="1224">
        <f t="shared" ca="1" si="23"/>
        <v>0</v>
      </c>
      <c r="AZ213" s="1224"/>
      <c r="BA213" s="1224">
        <f t="shared" ca="1" si="23"/>
        <v>0</v>
      </c>
      <c r="BB213" s="1224">
        <f t="shared" ca="1" si="23"/>
        <v>0</v>
      </c>
      <c r="BC213" s="1224">
        <f t="shared" ca="1" si="23"/>
        <v>0</v>
      </c>
      <c r="BD213" s="1224">
        <f t="shared" ca="1" si="23"/>
        <v>0</v>
      </c>
      <c r="BE213" s="1224">
        <f t="shared" ca="1" si="23"/>
        <v>0</v>
      </c>
      <c r="BF213" s="1224">
        <f t="shared" ca="1" si="23"/>
        <v>0</v>
      </c>
      <c r="BG213" s="1224">
        <f t="shared" ca="1" si="23"/>
        <v>0</v>
      </c>
      <c r="BH213" s="1224">
        <f t="shared" ca="1" si="23"/>
        <v>0</v>
      </c>
      <c r="BI213" s="1224">
        <f t="shared" ca="1" si="23"/>
        <v>0</v>
      </c>
      <c r="BJ213" s="1217"/>
    </row>
    <row r="214" spans="2:63">
      <c r="B214" s="1219"/>
      <c r="C214" s="1216">
        <v>7</v>
      </c>
      <c r="D214" s="1223" t="str">
        <f>INDEX(IPCC[Sector_description], MATCH($C214, IPCC[Sector_code], 0))</f>
        <v>Other</v>
      </c>
      <c r="E214" s="1214"/>
      <c r="F214" s="1226"/>
      <c r="G214" s="1226"/>
      <c r="H214" s="1259"/>
      <c r="I214" s="1259"/>
      <c r="J214" s="1259"/>
      <c r="K214" s="1259"/>
      <c r="L214" s="1259"/>
      <c r="M214" s="1259"/>
      <c r="N214" s="1259"/>
      <c r="O214" s="1259"/>
      <c r="P214" s="1259"/>
      <c r="Q214" s="1259"/>
      <c r="R214" s="1259"/>
      <c r="S214" s="1259"/>
      <c r="T214" s="1259"/>
      <c r="U214" s="1259"/>
      <c r="V214" s="1259"/>
      <c r="W214" s="1259"/>
      <c r="X214" s="1259"/>
      <c r="Y214" s="1259"/>
      <c r="Z214" s="1259"/>
      <c r="AA214" s="1259"/>
      <c r="AB214" s="1259" t="s">
        <v>1178</v>
      </c>
      <c r="AC214" s="1259" t="s">
        <v>1178</v>
      </c>
      <c r="AD214" s="1259" t="s">
        <v>1178</v>
      </c>
      <c r="AE214" s="1259" t="s">
        <v>1178</v>
      </c>
      <c r="AF214" s="1259" t="s">
        <v>1178</v>
      </c>
      <c r="AG214" s="1259" t="s">
        <v>1178</v>
      </c>
      <c r="AH214" s="1259" t="s">
        <v>1178</v>
      </c>
      <c r="AI214" s="1259" t="s">
        <v>1178</v>
      </c>
      <c r="AJ214" s="1259" t="s">
        <v>1178</v>
      </c>
      <c r="AK214" s="1259" t="s">
        <v>1178</v>
      </c>
      <c r="AL214" s="1259" t="s">
        <v>1178</v>
      </c>
      <c r="AM214" s="1259" t="s">
        <v>1178</v>
      </c>
      <c r="AN214" s="1259" t="s">
        <v>1178</v>
      </c>
      <c r="AO214" s="1259" t="s">
        <v>1178</v>
      </c>
      <c r="AP214" s="1259" t="s">
        <v>1178</v>
      </c>
      <c r="AQ214" s="1259" t="s">
        <v>1178</v>
      </c>
      <c r="AR214" s="1259" t="s">
        <v>1178</v>
      </c>
      <c r="AS214" s="1259" t="s">
        <v>1178</v>
      </c>
      <c r="AT214" s="1259" t="s">
        <v>1178</v>
      </c>
      <c r="AU214" s="1259" t="s">
        <v>1178</v>
      </c>
      <c r="AV214" s="1259" t="s">
        <v>1178</v>
      </c>
      <c r="AW214" s="1259" t="s">
        <v>1176</v>
      </c>
      <c r="AX214" s="1226"/>
      <c r="AY214" s="1224">
        <f t="shared" ca="1" si="23"/>
        <v>0</v>
      </c>
      <c r="AZ214" s="1224"/>
      <c r="BA214" s="1224">
        <f t="shared" ca="1" si="23"/>
        <v>0</v>
      </c>
      <c r="BB214" s="1224">
        <f t="shared" ca="1" si="23"/>
        <v>0</v>
      </c>
      <c r="BC214" s="1224">
        <f t="shared" ca="1" si="23"/>
        <v>0</v>
      </c>
      <c r="BD214" s="1224">
        <f t="shared" ca="1" si="23"/>
        <v>0</v>
      </c>
      <c r="BE214" s="1224">
        <f t="shared" ca="1" si="23"/>
        <v>0</v>
      </c>
      <c r="BF214" s="1224">
        <f t="shared" ca="1" si="23"/>
        <v>0</v>
      </c>
      <c r="BG214" s="1224">
        <f t="shared" ca="1" si="23"/>
        <v>0</v>
      </c>
      <c r="BH214" s="1224">
        <f t="shared" ca="1" si="23"/>
        <v>0</v>
      </c>
      <c r="BI214" s="1224">
        <f t="shared" ca="1" si="23"/>
        <v>0</v>
      </c>
      <c r="BJ214" s="1217"/>
    </row>
    <row r="215" spans="2:63">
      <c r="B215" s="1219"/>
      <c r="C215" s="1216" t="s">
        <v>345</v>
      </c>
      <c r="D215" s="1223" t="str">
        <f>INDEX(IPCC[Sector_description], MATCH($C215, IPCC[Sector_code], 0))</f>
        <v>International Aviation and Shipping</v>
      </c>
      <c r="E215" s="1214"/>
      <c r="F215" s="1258"/>
      <c r="G215" s="1258"/>
      <c r="H215" s="1257"/>
      <c r="I215" s="1257"/>
      <c r="J215" s="1257"/>
      <c r="K215" s="1257"/>
      <c r="L215" s="1257"/>
      <c r="M215" s="1257"/>
      <c r="N215" s="1257"/>
      <c r="O215" s="1257"/>
      <c r="P215" s="1257"/>
      <c r="Q215" s="1257"/>
      <c r="R215" s="1257"/>
      <c r="S215" s="1257"/>
      <c r="T215" s="1257"/>
      <c r="U215" s="1257"/>
      <c r="V215" s="1257"/>
      <c r="W215" s="1257"/>
      <c r="X215" s="1257"/>
      <c r="Y215" s="1257"/>
      <c r="Z215" s="1257"/>
      <c r="AA215" s="1257"/>
      <c r="AB215" s="1257">
        <f t="shared" ref="AB215:AR215" si="24">0+0</f>
        <v>0</v>
      </c>
      <c r="AC215" s="1257">
        <f t="shared" si="24"/>
        <v>0</v>
      </c>
      <c r="AD215" s="1257">
        <f t="shared" si="24"/>
        <v>0</v>
      </c>
      <c r="AE215" s="1257">
        <f t="shared" si="24"/>
        <v>0</v>
      </c>
      <c r="AF215" s="1257">
        <f t="shared" si="24"/>
        <v>0</v>
      </c>
      <c r="AG215" s="1257">
        <f t="shared" si="24"/>
        <v>0</v>
      </c>
      <c r="AH215" s="1257">
        <f t="shared" si="24"/>
        <v>0</v>
      </c>
      <c r="AI215" s="1257">
        <f t="shared" si="24"/>
        <v>0</v>
      </c>
      <c r="AJ215" s="1257">
        <f t="shared" si="24"/>
        <v>0</v>
      </c>
      <c r="AK215" s="1257">
        <f t="shared" si="24"/>
        <v>0</v>
      </c>
      <c r="AL215" s="1257">
        <f t="shared" si="24"/>
        <v>0</v>
      </c>
      <c r="AM215" s="1257">
        <f t="shared" si="24"/>
        <v>0</v>
      </c>
      <c r="AN215" s="1257">
        <f t="shared" si="24"/>
        <v>0</v>
      </c>
      <c r="AO215" s="1257">
        <f t="shared" si="24"/>
        <v>0</v>
      </c>
      <c r="AP215" s="1257">
        <f t="shared" si="24"/>
        <v>0</v>
      </c>
      <c r="AQ215" s="1257">
        <f t="shared" si="24"/>
        <v>0</v>
      </c>
      <c r="AR215" s="1257">
        <f t="shared" si="24"/>
        <v>0</v>
      </c>
      <c r="AS215" s="1257"/>
      <c r="AT215" s="1257"/>
      <c r="AU215" s="1257"/>
      <c r="AV215" s="1257"/>
      <c r="AW215" s="1257" t="s">
        <v>1179</v>
      </c>
      <c r="AX215" s="1226"/>
      <c r="AY215" s="1224">
        <f t="shared" ca="1" si="23"/>
        <v>0</v>
      </c>
      <c r="AZ215" s="1224"/>
      <c r="BA215" s="1224">
        <f t="shared" ca="1" si="23"/>
        <v>0</v>
      </c>
      <c r="BB215" s="1224">
        <f t="shared" ca="1" si="23"/>
        <v>0</v>
      </c>
      <c r="BC215" s="1224">
        <f t="shared" ca="1" si="23"/>
        <v>0</v>
      </c>
      <c r="BD215" s="1224">
        <f t="shared" ca="1" si="23"/>
        <v>0</v>
      </c>
      <c r="BE215" s="1224">
        <f t="shared" ca="1" si="23"/>
        <v>0</v>
      </c>
      <c r="BF215" s="1224">
        <f t="shared" ca="1" si="23"/>
        <v>0</v>
      </c>
      <c r="BG215" s="1224">
        <f t="shared" ca="1" si="23"/>
        <v>0</v>
      </c>
      <c r="BH215" s="1224">
        <f t="shared" ca="1" si="23"/>
        <v>0</v>
      </c>
      <c r="BI215" s="1224">
        <f t="shared" ca="1" si="23"/>
        <v>0</v>
      </c>
      <c r="BJ215" s="1217"/>
    </row>
    <row r="216" spans="2:63" s="410" customFormat="1">
      <c r="B216" s="1219"/>
      <c r="C216" s="1216" t="s">
        <v>346</v>
      </c>
      <c r="D216" s="1223" t="str">
        <f>INDEX(IPCC[Sector_description], MATCH($C216, IPCC[Sector_code], 0))</f>
        <v>Bioenergy credit</v>
      </c>
      <c r="E216" s="1214"/>
      <c r="F216" s="1258"/>
      <c r="G216" s="1258"/>
      <c r="H216" s="1257"/>
      <c r="I216" s="1257"/>
      <c r="J216" s="1257"/>
      <c r="K216" s="1257"/>
      <c r="L216" s="1257"/>
      <c r="M216" s="1257"/>
      <c r="N216" s="1257"/>
      <c r="O216" s="1257"/>
      <c r="P216" s="1257"/>
      <c r="Q216" s="1257"/>
      <c r="R216" s="1257"/>
      <c r="S216" s="1257"/>
      <c r="T216" s="1257"/>
      <c r="U216" s="1257"/>
      <c r="V216" s="1257"/>
      <c r="W216" s="1257"/>
      <c r="X216" s="1257"/>
      <c r="Y216" s="1257"/>
      <c r="Z216" s="1257"/>
      <c r="AA216" s="1257"/>
      <c r="AB216" s="1257">
        <v>0</v>
      </c>
      <c r="AC216" s="1257">
        <v>0</v>
      </c>
      <c r="AD216" s="1257">
        <v>0</v>
      </c>
      <c r="AE216" s="1257">
        <v>0</v>
      </c>
      <c r="AF216" s="1257">
        <v>0</v>
      </c>
      <c r="AG216" s="1257">
        <v>0</v>
      </c>
      <c r="AH216" s="1257">
        <v>0</v>
      </c>
      <c r="AI216" s="1257">
        <v>0</v>
      </c>
      <c r="AJ216" s="1257">
        <v>0</v>
      </c>
      <c r="AK216" s="1257">
        <v>0</v>
      </c>
      <c r="AL216" s="1257">
        <v>0</v>
      </c>
      <c r="AM216" s="1257">
        <v>0</v>
      </c>
      <c r="AN216" s="1257">
        <v>0</v>
      </c>
      <c r="AO216" s="1257">
        <v>0</v>
      </c>
      <c r="AP216" s="1257">
        <v>0</v>
      </c>
      <c r="AQ216" s="1257">
        <v>0</v>
      </c>
      <c r="AR216" s="1257">
        <v>0</v>
      </c>
      <c r="AS216" s="1257">
        <v>0</v>
      </c>
      <c r="AT216" s="1257">
        <v>0</v>
      </c>
      <c r="AU216" s="1257">
        <v>0</v>
      </c>
      <c r="AV216" s="1257">
        <v>0</v>
      </c>
      <c r="AW216" s="1257" t="s">
        <v>1176</v>
      </c>
      <c r="AX216" s="1226"/>
      <c r="AY216" s="1224">
        <f t="shared" ca="1" si="23"/>
        <v>0</v>
      </c>
      <c r="AZ216" s="1224"/>
      <c r="BA216" s="1224">
        <f t="shared" ca="1" si="23"/>
        <v>0</v>
      </c>
      <c r="BB216" s="1224">
        <f t="shared" ca="1" si="23"/>
        <v>0</v>
      </c>
      <c r="BC216" s="1224">
        <f t="shared" ca="1" si="23"/>
        <v>0</v>
      </c>
      <c r="BD216" s="1224">
        <f t="shared" ca="1" si="23"/>
        <v>0</v>
      </c>
      <c r="BE216" s="1224">
        <f t="shared" ca="1" si="23"/>
        <v>0</v>
      </c>
      <c r="BF216" s="1224">
        <f t="shared" ca="1" si="23"/>
        <v>0</v>
      </c>
      <c r="BG216" s="1224">
        <f t="shared" ca="1" si="23"/>
        <v>0</v>
      </c>
      <c r="BH216" s="1224">
        <f t="shared" ca="1" si="23"/>
        <v>0</v>
      </c>
      <c r="BI216" s="1224">
        <f t="shared" ca="1" si="23"/>
        <v>0</v>
      </c>
      <c r="BJ216" s="1227"/>
    </row>
    <row r="217" spans="2:63">
      <c r="B217" s="1219"/>
      <c r="C217" s="1216" t="s">
        <v>369</v>
      </c>
      <c r="D217" s="1223" t="str">
        <f>INDEX(IPCC[Sector_description], MATCH($C217, IPCC[Sector_code], 0))</f>
        <v>Carbon capture</v>
      </c>
      <c r="E217" s="1214"/>
      <c r="F217" s="1258"/>
      <c r="G217" s="1258"/>
      <c r="H217" s="1257"/>
      <c r="I217" s="1257"/>
      <c r="J217" s="1257"/>
      <c r="K217" s="1257"/>
      <c r="L217" s="1257"/>
      <c r="M217" s="1257"/>
      <c r="N217" s="1257"/>
      <c r="O217" s="1257"/>
      <c r="P217" s="1257"/>
      <c r="Q217" s="1257"/>
      <c r="R217" s="1257"/>
      <c r="S217" s="1257"/>
      <c r="T217" s="1257"/>
      <c r="U217" s="1257"/>
      <c r="V217" s="1257"/>
      <c r="W217" s="1257"/>
      <c r="X217" s="1257"/>
      <c r="Y217" s="1257"/>
      <c r="Z217" s="1257"/>
      <c r="AA217" s="1257"/>
      <c r="AB217" s="1257">
        <v>0</v>
      </c>
      <c r="AC217" s="1257">
        <v>0</v>
      </c>
      <c r="AD217" s="1257">
        <v>0</v>
      </c>
      <c r="AE217" s="1257">
        <v>0</v>
      </c>
      <c r="AF217" s="1257">
        <v>0</v>
      </c>
      <c r="AG217" s="1257">
        <v>0</v>
      </c>
      <c r="AH217" s="1257">
        <v>0</v>
      </c>
      <c r="AI217" s="1257">
        <v>0</v>
      </c>
      <c r="AJ217" s="1257">
        <v>0</v>
      </c>
      <c r="AK217" s="1257">
        <v>0</v>
      </c>
      <c r="AL217" s="1257">
        <v>0</v>
      </c>
      <c r="AM217" s="1257">
        <v>0</v>
      </c>
      <c r="AN217" s="1257">
        <v>0</v>
      </c>
      <c r="AO217" s="1257">
        <v>0</v>
      </c>
      <c r="AP217" s="1257">
        <v>0</v>
      </c>
      <c r="AQ217" s="1257">
        <v>0</v>
      </c>
      <c r="AR217" s="1257">
        <v>0</v>
      </c>
      <c r="AS217" s="1257">
        <v>0</v>
      </c>
      <c r="AT217" s="1257">
        <v>0</v>
      </c>
      <c r="AU217" s="1257">
        <v>0</v>
      </c>
      <c r="AV217" s="1257">
        <v>0</v>
      </c>
      <c r="AW217" s="1257" t="s">
        <v>1176</v>
      </c>
      <c r="AX217" s="1226"/>
      <c r="AY217" s="2481">
        <f t="shared" ca="1" si="23"/>
        <v>0</v>
      </c>
      <c r="AZ217" s="2481"/>
      <c r="BA217" s="2481">
        <f t="shared" ca="1" si="23"/>
        <v>0</v>
      </c>
      <c r="BB217" s="2481">
        <f t="shared" ca="1" si="23"/>
        <v>0</v>
      </c>
      <c r="BC217" s="2481">
        <f t="shared" ca="1" si="23"/>
        <v>0</v>
      </c>
      <c r="BD217" s="2481">
        <f t="shared" ca="1" si="23"/>
        <v>0</v>
      </c>
      <c r="BE217" s="2481">
        <f t="shared" ca="1" si="23"/>
        <v>-5.9902178225806457</v>
      </c>
      <c r="BF217" s="2481">
        <f t="shared" ca="1" si="23"/>
        <v>-11.98043564516129</v>
      </c>
      <c r="BG217" s="2481">
        <f t="shared" ca="1" si="23"/>
        <v>-29.043480351906162</v>
      </c>
      <c r="BH217" s="2481">
        <f t="shared" ca="1" si="23"/>
        <v>-40.660872492668624</v>
      </c>
      <c r="BI217" s="2481">
        <f t="shared" ca="1" si="23"/>
        <v>-56.378520683111951</v>
      </c>
      <c r="BJ217" s="1217"/>
    </row>
    <row r="218" spans="2:63">
      <c r="B218" s="1221"/>
      <c r="C218" s="1214"/>
      <c r="D218" s="1214" t="s">
        <v>103</v>
      </c>
      <c r="E218" s="1214"/>
      <c r="F218" s="1260"/>
      <c r="G218" s="1260"/>
      <c r="H218" s="1261"/>
      <c r="I218" s="1261"/>
      <c r="J218" s="1261"/>
      <c r="K218" s="1261"/>
      <c r="L218" s="1261"/>
      <c r="M218" s="1261"/>
      <c r="N218" s="1261"/>
      <c r="O218" s="1261"/>
      <c r="P218" s="1261"/>
      <c r="Q218" s="1261"/>
      <c r="R218" s="1261"/>
      <c r="S218" s="1261"/>
      <c r="T218" s="1261"/>
      <c r="U218" s="1261"/>
      <c r="V218" s="1261"/>
      <c r="W218" s="1261"/>
      <c r="X218" s="1261"/>
      <c r="Y218" s="1261"/>
      <c r="Z218" s="1261"/>
      <c r="AA218" s="1261"/>
      <c r="AB218" s="1261">
        <v>795.93572182124274</v>
      </c>
      <c r="AC218" s="1261">
        <v>802.4755376560646</v>
      </c>
      <c r="AD218" s="1261">
        <v>780.68534536725031</v>
      </c>
      <c r="AE218" s="1261">
        <v>759.52035248688799</v>
      </c>
      <c r="AF218" s="1261">
        <v>747.78944230587103</v>
      </c>
      <c r="AG218" s="1261">
        <v>740.88891665083361</v>
      </c>
      <c r="AH218" s="1261">
        <v>763.89065519339613</v>
      </c>
      <c r="AI218" s="1261">
        <v>740.01388660823704</v>
      </c>
      <c r="AJ218" s="1261">
        <v>739.9402055350414</v>
      </c>
      <c r="AK218" s="1261">
        <v>708.00135984945894</v>
      </c>
      <c r="AL218" s="1261">
        <v>711.50940185716161</v>
      </c>
      <c r="AM218" s="1261">
        <v>715.30430320050698</v>
      </c>
      <c r="AN218" s="1261">
        <v>691.76608222710354</v>
      </c>
      <c r="AO218" s="1261">
        <v>697.82821693046253</v>
      </c>
      <c r="AP218" s="1261">
        <v>700.45218287466992</v>
      </c>
      <c r="AQ218" s="1261">
        <v>698.30813666551887</v>
      </c>
      <c r="AR218" s="1261">
        <v>696.66133927951546</v>
      </c>
      <c r="AS218" s="1261"/>
      <c r="AT218" s="1261"/>
      <c r="AU218" s="1261"/>
      <c r="AV218" s="1261"/>
      <c r="AW218" s="1261"/>
      <c r="AX218" s="1226"/>
      <c r="AY218" s="1260">
        <f t="shared" ref="AY218:BI218" ca="1" si="25">SUM(AY208:AY217)</f>
        <v>1178.5139623629584</v>
      </c>
      <c r="AZ218" s="1260"/>
      <c r="BA218" s="1260">
        <f t="shared" ca="1" si="25"/>
        <v>1542.9858078670618</v>
      </c>
      <c r="BB218" s="1260">
        <f t="shared" ca="1" si="25"/>
        <v>2156.3230931819899</v>
      </c>
      <c r="BC218" s="1260">
        <f t="shared" ca="1" si="25"/>
        <v>3134.8651799678455</v>
      </c>
      <c r="BD218" s="1260">
        <f t="shared" ca="1" si="25"/>
        <v>4344.0867964535209</v>
      </c>
      <c r="BE218" s="1260">
        <f t="shared" ca="1" si="25"/>
        <v>5998.0636403250446</v>
      </c>
      <c r="BF218" s="1260">
        <f t="shared" ca="1" si="25"/>
        <v>7372.1157521102314</v>
      </c>
      <c r="BG218" s="1260">
        <f t="shared" ca="1" si="25"/>
        <v>8971.851949237438</v>
      </c>
      <c r="BH218" s="1260">
        <f t="shared" ca="1" si="25"/>
        <v>10491.962939522044</v>
      </c>
      <c r="BI218" s="1260">
        <f t="shared" ca="1" si="25"/>
        <v>12147.928442576478</v>
      </c>
      <c r="BJ218" s="1217" t="s">
        <v>1172</v>
      </c>
      <c r="BK218" s="1233"/>
    </row>
    <row r="219" spans="2:63" ht="5.25" customHeight="1">
      <c r="B219" s="1219"/>
      <c r="C219" s="1214"/>
      <c r="D219" s="1214"/>
      <c r="E219" s="1214"/>
      <c r="F219" s="1226"/>
      <c r="G219" s="1226"/>
      <c r="H219" s="1259"/>
      <c r="I219" s="1259"/>
      <c r="J219" s="1259"/>
      <c r="K219" s="1259"/>
      <c r="L219" s="1259"/>
      <c r="M219" s="1259"/>
      <c r="N219" s="1259"/>
      <c r="O219" s="1259"/>
      <c r="P219" s="1259"/>
      <c r="Q219" s="1259"/>
      <c r="R219" s="1259"/>
      <c r="S219" s="1259"/>
      <c r="T219" s="1259"/>
      <c r="U219" s="1259"/>
      <c r="V219" s="1259"/>
      <c r="W219" s="1259"/>
      <c r="X219" s="1259"/>
      <c r="Y219" s="1259"/>
      <c r="Z219" s="1259"/>
      <c r="AA219" s="1259"/>
      <c r="AB219" s="1259"/>
      <c r="AC219" s="1259"/>
      <c r="AD219" s="1259"/>
      <c r="AE219" s="1259"/>
      <c r="AF219" s="1259"/>
      <c r="AG219" s="1259"/>
      <c r="AH219" s="1259"/>
      <c r="AI219" s="1259"/>
      <c r="AJ219" s="1259"/>
      <c r="AK219" s="1259"/>
      <c r="AL219" s="1259"/>
      <c r="AM219" s="1259"/>
      <c r="AN219" s="1259"/>
      <c r="AO219" s="1259"/>
      <c r="AP219" s="1259"/>
      <c r="AQ219" s="1259"/>
      <c r="AR219" s="1259"/>
      <c r="AS219" s="1259"/>
      <c r="AT219" s="1259"/>
      <c r="AU219" s="1259"/>
      <c r="AV219" s="1259"/>
      <c r="AW219" s="1259"/>
      <c r="AX219" s="1226"/>
      <c r="AY219" s="1226"/>
      <c r="AZ219" s="1226"/>
      <c r="BA219" s="1226"/>
      <c r="BB219" s="1226"/>
      <c r="BC219" s="1226"/>
      <c r="BD219" s="1226"/>
      <c r="BE219" s="1226"/>
      <c r="BF219" s="1226"/>
      <c r="BG219" s="1226"/>
      <c r="BH219" s="1226"/>
      <c r="BI219" s="1226"/>
      <c r="BJ219" s="1217"/>
    </row>
    <row r="220" spans="2:63" s="37" customFormat="1">
      <c r="B220" s="1219"/>
      <c r="C220" s="1236"/>
      <c r="D220" s="1236"/>
      <c r="E220" s="1236"/>
      <c r="F220" s="1262"/>
      <c r="G220" s="1262"/>
      <c r="H220" s="1263"/>
      <c r="I220" s="1263"/>
      <c r="J220" s="1263"/>
      <c r="K220" s="1263"/>
      <c r="L220" s="1263"/>
      <c r="M220" s="1263"/>
      <c r="N220" s="1263"/>
      <c r="O220" s="1263"/>
      <c r="P220" s="1263"/>
      <c r="Q220" s="1263"/>
      <c r="R220" s="1263"/>
      <c r="S220" s="1263"/>
      <c r="T220" s="1263"/>
      <c r="U220" s="1263"/>
      <c r="V220" s="1263"/>
      <c r="W220" s="1263"/>
      <c r="X220" s="1263"/>
      <c r="Y220" s="1263"/>
      <c r="Z220" s="1263"/>
      <c r="AA220" s="1263"/>
      <c r="AB220" s="1263"/>
      <c r="AC220" s="1263"/>
      <c r="AD220" s="1263"/>
      <c r="AE220" s="1263"/>
      <c r="AF220" s="1263"/>
      <c r="AG220" s="1263"/>
      <c r="AH220" s="1263"/>
      <c r="AI220" s="1263"/>
      <c r="AJ220" s="1263"/>
      <c r="AK220" s="1263"/>
      <c r="AL220" s="1263"/>
      <c r="AM220" s="1263"/>
      <c r="AN220" s="1263"/>
      <c r="AO220" s="1263"/>
      <c r="AP220" s="1263"/>
      <c r="AQ220" s="1263"/>
      <c r="AR220" s="1263"/>
      <c r="AS220" s="1263"/>
      <c r="AT220" s="1263"/>
      <c r="AU220" s="1263"/>
      <c r="AV220" s="1263"/>
      <c r="AW220" s="1263"/>
      <c r="AX220" s="1264"/>
      <c r="AY220" s="1262"/>
      <c r="AZ220" s="1262"/>
      <c r="BA220" s="1262"/>
      <c r="BB220" s="1262"/>
      <c r="BC220" s="1262"/>
      <c r="BD220" s="1262"/>
      <c r="BE220" s="1262"/>
      <c r="BF220" s="1262"/>
      <c r="BG220" s="1262"/>
      <c r="BH220" s="1262"/>
      <c r="BI220" s="1262"/>
      <c r="BJ220" s="1217"/>
    </row>
    <row r="221" spans="2:63" s="37" customFormat="1">
      <c r="B221" s="1219"/>
      <c r="C221" s="1236"/>
      <c r="D221" s="1236"/>
      <c r="E221" s="1236"/>
      <c r="F221" s="1262"/>
      <c r="G221" s="1262"/>
      <c r="H221" s="1263"/>
      <c r="I221" s="1263"/>
      <c r="J221" s="1263"/>
      <c r="K221" s="1263"/>
      <c r="L221" s="1263"/>
      <c r="M221" s="1263"/>
      <c r="N221" s="1263"/>
      <c r="O221" s="1263"/>
      <c r="P221" s="1263"/>
      <c r="Q221" s="1263"/>
      <c r="R221" s="1263"/>
      <c r="S221" s="1263"/>
      <c r="T221" s="1263"/>
      <c r="U221" s="1263"/>
      <c r="V221" s="1263"/>
      <c r="W221" s="1263"/>
      <c r="X221" s="1263"/>
      <c r="Y221" s="1263"/>
      <c r="Z221" s="1263"/>
      <c r="AA221" s="1263"/>
      <c r="AB221" s="1263"/>
      <c r="AC221" s="1263"/>
      <c r="AD221" s="1263"/>
      <c r="AE221" s="1263"/>
      <c r="AF221" s="1263"/>
      <c r="AG221" s="1263"/>
      <c r="AH221" s="1263"/>
      <c r="AI221" s="1263"/>
      <c r="AJ221" s="1263"/>
      <c r="AK221" s="1263"/>
      <c r="AL221" s="1263"/>
      <c r="AM221" s="1263"/>
      <c r="AN221" s="1263"/>
      <c r="AO221" s="1263"/>
      <c r="AP221" s="1263"/>
      <c r="AQ221" s="1263"/>
      <c r="AR221" s="1263"/>
      <c r="AS221" s="1263"/>
      <c r="AT221" s="1263"/>
      <c r="AU221" s="1263"/>
      <c r="AV221" s="1263"/>
      <c r="AW221" s="1263"/>
      <c r="AX221" s="1264"/>
      <c r="AY221" s="1262"/>
      <c r="AZ221" s="1262"/>
      <c r="BA221" s="1262"/>
      <c r="BB221" s="1262"/>
      <c r="BC221" s="1262"/>
      <c r="BD221" s="1262"/>
      <c r="BE221" s="1262"/>
      <c r="BF221" s="1262"/>
      <c r="BG221" s="1262"/>
      <c r="BH221" s="1262"/>
      <c r="BI221" s="1262"/>
      <c r="BJ221" s="1239"/>
    </row>
    <row r="222" spans="2:63" s="37" customFormat="1">
      <c r="B222" s="1235"/>
      <c r="C222" s="1265"/>
      <c r="D222" s="1236"/>
      <c r="E222" s="1236"/>
      <c r="F222" s="1262"/>
      <c r="G222" s="1262"/>
      <c r="H222" s="1263"/>
      <c r="I222" s="1263"/>
      <c r="J222" s="1263"/>
      <c r="K222" s="1263"/>
      <c r="L222" s="1263"/>
      <c r="M222" s="1263"/>
      <c r="N222" s="1263"/>
      <c r="O222" s="1263"/>
      <c r="P222" s="1263"/>
      <c r="Q222" s="1263"/>
      <c r="R222" s="1263"/>
      <c r="S222" s="1263"/>
      <c r="T222" s="1263"/>
      <c r="U222" s="1263"/>
      <c r="V222" s="1263"/>
      <c r="W222" s="1263"/>
      <c r="X222" s="1263"/>
      <c r="Y222" s="1263"/>
      <c r="Z222" s="1263"/>
      <c r="AA222" s="1263"/>
      <c r="AB222" s="1263"/>
      <c r="AC222" s="1263"/>
      <c r="AD222" s="1263"/>
      <c r="AE222" s="1263"/>
      <c r="AF222" s="1263"/>
      <c r="AG222" s="1263"/>
      <c r="AH222" s="1263"/>
      <c r="AI222" s="1263"/>
      <c r="AJ222" s="1263"/>
      <c r="AK222" s="1263"/>
      <c r="AL222" s="1263"/>
      <c r="AM222" s="1263"/>
      <c r="AN222" s="1263"/>
      <c r="AO222" s="1263"/>
      <c r="AP222" s="1263"/>
      <c r="AQ222" s="1263"/>
      <c r="AR222" s="1263"/>
      <c r="AS222" s="1263"/>
      <c r="AT222" s="1263"/>
      <c r="AU222" s="1263"/>
      <c r="AV222" s="1263"/>
      <c r="AW222" s="1263"/>
      <c r="AX222" s="1264"/>
      <c r="AY222" s="1262"/>
      <c r="AZ222" s="1262"/>
      <c r="BA222" s="1262"/>
      <c r="BB222" s="1262"/>
      <c r="BC222" s="1262"/>
      <c r="BD222" s="1262"/>
      <c r="BE222" s="1262"/>
      <c r="BF222" s="1262"/>
      <c r="BG222" s="1262"/>
      <c r="BH222" s="1262"/>
      <c r="BI222" s="1262"/>
      <c r="BJ222" s="1239"/>
    </row>
    <row r="223" spans="2:63">
      <c r="B223" s="1235"/>
      <c r="C223" s="1214" t="s">
        <v>2548</v>
      </c>
      <c r="D223" s="1214"/>
      <c r="E223" s="1214"/>
      <c r="F223" s="1214"/>
      <c r="G223" s="1214"/>
      <c r="H223" s="1215"/>
      <c r="I223" s="1215"/>
      <c r="J223" s="1215"/>
      <c r="K223" s="1215"/>
      <c r="L223" s="1215"/>
      <c r="M223" s="1215"/>
      <c r="N223" s="1215"/>
      <c r="O223" s="1215"/>
      <c r="P223" s="1215"/>
      <c r="Q223" s="1215"/>
      <c r="R223" s="1215"/>
      <c r="S223" s="1215"/>
      <c r="T223" s="1215"/>
      <c r="U223" s="1215"/>
      <c r="V223" s="1215"/>
      <c r="W223" s="1215"/>
      <c r="X223" s="1215"/>
      <c r="Y223" s="1215"/>
      <c r="Z223" s="1215"/>
      <c r="AA223" s="1215"/>
      <c r="AB223" s="1215"/>
      <c r="AC223" s="1215"/>
      <c r="AD223" s="1215"/>
      <c r="AE223" s="1215"/>
      <c r="AF223" s="1215"/>
      <c r="AG223" s="1215"/>
      <c r="AH223" s="1215"/>
      <c r="AI223" s="1215"/>
      <c r="AJ223" s="1215"/>
      <c r="AK223" s="1215"/>
      <c r="AL223" s="1215"/>
      <c r="AM223" s="1215"/>
      <c r="AN223" s="1215"/>
      <c r="AO223" s="1215"/>
      <c r="AP223" s="1215"/>
      <c r="AQ223" s="1215"/>
      <c r="AR223" s="1215"/>
      <c r="AS223" s="1215"/>
      <c r="AT223" s="1215"/>
      <c r="AU223" s="1215"/>
      <c r="AV223" s="1215"/>
      <c r="AW223" s="1215"/>
      <c r="AX223" s="1214"/>
      <c r="AY223" s="1214"/>
      <c r="AZ223" s="1214"/>
      <c r="BA223" s="1214"/>
      <c r="BB223" s="1214"/>
      <c r="BC223" s="1214"/>
      <c r="BD223" s="1214"/>
      <c r="BE223" s="1214"/>
      <c r="BF223" s="1214"/>
      <c r="BG223" s="1214"/>
      <c r="BH223" s="1214"/>
      <c r="BI223" s="1214"/>
      <c r="BJ223" s="1214"/>
    </row>
    <row r="224" spans="2:63">
      <c r="B224" s="1235"/>
      <c r="C224" s="1214" t="s">
        <v>2549</v>
      </c>
      <c r="D224" s="1214"/>
      <c r="E224" s="1214"/>
      <c r="F224" s="1214"/>
      <c r="G224" s="1214"/>
      <c r="H224" s="1215"/>
      <c r="I224" s="1215"/>
      <c r="J224" s="1215"/>
      <c r="K224" s="1215"/>
      <c r="L224" s="1215"/>
      <c r="M224" s="1215"/>
      <c r="N224" s="1215"/>
      <c r="O224" s="1215"/>
      <c r="P224" s="1215"/>
      <c r="Q224" s="1215"/>
      <c r="R224" s="1215"/>
      <c r="S224" s="1215"/>
      <c r="T224" s="1215"/>
      <c r="U224" s="1215"/>
      <c r="V224" s="1215"/>
      <c r="W224" s="1215"/>
      <c r="X224" s="1215"/>
      <c r="Y224" s="1215"/>
      <c r="Z224" s="1215"/>
      <c r="AA224" s="1215"/>
      <c r="AB224" s="1215"/>
      <c r="AC224" s="1215"/>
      <c r="AD224" s="1215"/>
      <c r="AE224" s="1215"/>
      <c r="AF224" s="1215"/>
      <c r="AG224" s="1215"/>
      <c r="AH224" s="1215"/>
      <c r="AI224" s="1215"/>
      <c r="AJ224" s="1215"/>
      <c r="AK224" s="1215"/>
      <c r="AL224" s="1215"/>
      <c r="AM224" s="1215"/>
      <c r="AN224" s="1215"/>
      <c r="AO224" s="1215"/>
      <c r="AP224" s="1215"/>
      <c r="AQ224" s="1215"/>
      <c r="AR224" s="1215"/>
      <c r="AS224" s="1215"/>
      <c r="AT224" s="1215"/>
      <c r="AU224" s="1215"/>
      <c r="AV224" s="1215"/>
      <c r="AW224" s="1215"/>
      <c r="AX224" s="1214"/>
      <c r="AY224" s="1226"/>
      <c r="AZ224" s="1226"/>
      <c r="BA224" s="1214"/>
      <c r="BB224" s="1214"/>
      <c r="BC224" s="1214"/>
      <c r="BD224" s="1214"/>
      <c r="BE224" s="1226"/>
      <c r="BF224" s="1214"/>
      <c r="BG224" s="1214"/>
      <c r="BH224" s="1214"/>
      <c r="BI224" s="1214"/>
      <c r="BJ224" s="3328"/>
    </row>
    <row r="225" spans="1:62">
      <c r="B225" s="1219"/>
      <c r="C225" s="1214"/>
      <c r="D225" s="1214"/>
      <c r="E225" s="1214"/>
      <c r="F225" s="1214"/>
      <c r="G225" s="1214"/>
      <c r="H225" s="1215"/>
      <c r="I225" s="1215"/>
      <c r="J225" s="1215"/>
      <c r="K225" s="1215"/>
      <c r="L225" s="1215"/>
      <c r="M225" s="1215"/>
      <c r="N225" s="1215"/>
      <c r="O225" s="1215"/>
      <c r="P225" s="1215"/>
      <c r="Q225" s="1215"/>
      <c r="R225" s="1215"/>
      <c r="S225" s="1215"/>
      <c r="T225" s="1215"/>
      <c r="U225" s="1215"/>
      <c r="V225" s="1215"/>
      <c r="W225" s="1215"/>
      <c r="X225" s="1215"/>
      <c r="Y225" s="1215"/>
      <c r="Z225" s="1215"/>
      <c r="AA225" s="1215"/>
      <c r="AB225" s="1215"/>
      <c r="AC225" s="1215"/>
      <c r="AD225" s="1215"/>
      <c r="AE225" s="1215"/>
      <c r="AF225" s="1215"/>
      <c r="AG225" s="1215"/>
      <c r="AH225" s="1215"/>
      <c r="AI225" s="1215"/>
      <c r="AJ225" s="1215"/>
      <c r="AK225" s="1215"/>
      <c r="AL225" s="1215"/>
      <c r="AM225" s="1215"/>
      <c r="AN225" s="1215"/>
      <c r="AO225" s="1215"/>
      <c r="AP225" s="1215"/>
      <c r="AQ225" s="1215"/>
      <c r="AR225" s="1215"/>
      <c r="AS225" s="1215"/>
      <c r="AT225" s="1215"/>
      <c r="AU225" s="1215"/>
      <c r="AV225" s="1215"/>
      <c r="AW225" s="1215"/>
      <c r="AX225" s="1214"/>
      <c r="AY225" s="1214"/>
      <c r="AZ225" s="1214"/>
      <c r="BA225" s="1214"/>
      <c r="BB225" s="1214"/>
      <c r="BC225" s="1214"/>
      <c r="BD225" s="1214"/>
      <c r="BE225" s="1214"/>
      <c r="BF225" s="1214"/>
      <c r="BG225" s="1214"/>
      <c r="BH225" s="1214"/>
      <c r="BI225" s="1214"/>
      <c r="BJ225" s="1217"/>
    </row>
    <row r="226" spans="1:62">
      <c r="B226" s="1219"/>
      <c r="C226" s="1214"/>
      <c r="D226" s="1214"/>
      <c r="E226" s="1214"/>
      <c r="F226" s="1214"/>
      <c r="G226" s="1214"/>
      <c r="H226" s="1215"/>
      <c r="I226" s="1215"/>
      <c r="J226" s="1215"/>
      <c r="K226" s="1215"/>
      <c r="L226" s="1215"/>
      <c r="M226" s="1215"/>
      <c r="N226" s="1215"/>
      <c r="O226" s="1215"/>
      <c r="P226" s="1215"/>
      <c r="Q226" s="1215"/>
      <c r="R226" s="1215"/>
      <c r="S226" s="1215"/>
      <c r="T226" s="1215"/>
      <c r="U226" s="1215"/>
      <c r="V226" s="1215"/>
      <c r="W226" s="1215"/>
      <c r="X226" s="1215"/>
      <c r="Y226" s="1215"/>
      <c r="Z226" s="1215"/>
      <c r="AA226" s="1215"/>
      <c r="AB226" s="1215"/>
      <c r="AC226" s="1215"/>
      <c r="AD226" s="1215"/>
      <c r="AE226" s="1215"/>
      <c r="AF226" s="1215"/>
      <c r="AG226" s="1215"/>
      <c r="AH226" s="1215"/>
      <c r="AI226" s="1215"/>
      <c r="AJ226" s="1215"/>
      <c r="AK226" s="1215"/>
      <c r="AL226" s="1215"/>
      <c r="AM226" s="1215"/>
      <c r="AN226" s="1215"/>
      <c r="AO226" s="1215"/>
      <c r="AP226" s="1215"/>
      <c r="AQ226" s="1215"/>
      <c r="AR226" s="1215"/>
      <c r="AS226" s="1215"/>
      <c r="AT226" s="1215"/>
      <c r="AU226" s="1215"/>
      <c r="AV226" s="1215"/>
      <c r="AW226" s="1215"/>
      <c r="AX226" s="1214"/>
      <c r="AY226" s="1214"/>
      <c r="AZ226" s="1214"/>
      <c r="BA226" s="1214"/>
      <c r="BB226" s="1214"/>
      <c r="BC226" s="1214"/>
      <c r="BD226" s="1214"/>
      <c r="BE226" s="1214"/>
      <c r="BF226" s="1214"/>
      <c r="BG226" s="1214"/>
      <c r="BH226" s="1214"/>
      <c r="BI226" s="1214"/>
      <c r="BJ226" s="1217"/>
    </row>
    <row r="227" spans="1:62" ht="15.75">
      <c r="B227" s="1219"/>
      <c r="C227" s="1218" t="s">
        <v>2550</v>
      </c>
      <c r="D227" s="1214"/>
      <c r="E227" s="1214"/>
      <c r="F227" s="1214"/>
      <c r="G227" s="1214"/>
      <c r="H227" s="1215"/>
      <c r="I227" s="1215"/>
      <c r="J227" s="1215"/>
      <c r="K227" s="1215"/>
      <c r="L227" s="1215"/>
      <c r="M227" s="1215"/>
      <c r="N227" s="1215"/>
      <c r="O227" s="1215"/>
      <c r="P227" s="1215"/>
      <c r="Q227" s="1215"/>
      <c r="R227" s="1215"/>
      <c r="S227" s="1215"/>
      <c r="T227" s="1215"/>
      <c r="U227" s="1215"/>
      <c r="V227" s="1215"/>
      <c r="W227" s="1215"/>
      <c r="X227" s="1215"/>
      <c r="Y227" s="1215"/>
      <c r="Z227" s="1215"/>
      <c r="AA227" s="1215"/>
      <c r="AB227" s="1215"/>
      <c r="AC227" s="1215"/>
      <c r="AD227" s="1215"/>
      <c r="AE227" s="1215"/>
      <c r="AF227" s="1215"/>
      <c r="AG227" s="1215"/>
      <c r="AH227" s="1215"/>
      <c r="AI227" s="1215"/>
      <c r="AJ227" s="1215"/>
      <c r="AK227" s="1215"/>
      <c r="AL227" s="1215"/>
      <c r="AM227" s="1215"/>
      <c r="AN227" s="1215"/>
      <c r="AO227" s="1215"/>
      <c r="AP227" s="1215"/>
      <c r="AQ227" s="1215"/>
      <c r="AR227" s="1215"/>
      <c r="AS227" s="1215"/>
      <c r="AT227" s="1215"/>
      <c r="AU227" s="1215"/>
      <c r="AV227" s="1215"/>
      <c r="AW227" s="1215"/>
      <c r="AX227" s="1214"/>
      <c r="AY227" s="1214" t="s">
        <v>2551</v>
      </c>
      <c r="AZ227" s="1214"/>
      <c r="BA227" s="1214" t="s">
        <v>2552</v>
      </c>
      <c r="BB227" s="1214"/>
      <c r="BC227" s="1214" t="s">
        <v>2551</v>
      </c>
      <c r="BD227" s="1214" t="s">
        <v>2553</v>
      </c>
      <c r="BE227" s="1214"/>
      <c r="BF227" s="1214" t="s">
        <v>2554</v>
      </c>
      <c r="BG227" s="1214"/>
      <c r="BH227" s="1214"/>
      <c r="BI227" s="1214"/>
      <c r="BJ227" s="1217"/>
    </row>
    <row r="228" spans="1:62" ht="15.75">
      <c r="B228" s="1219"/>
      <c r="C228" s="1218"/>
      <c r="D228" s="1214"/>
      <c r="E228" s="1214"/>
      <c r="F228" s="3329" t="s">
        <v>2555</v>
      </c>
      <c r="G228" s="3329"/>
      <c r="H228" s="3330"/>
      <c r="I228" s="3330"/>
      <c r="J228" s="3330"/>
      <c r="K228" s="3330"/>
      <c r="L228" s="3330"/>
      <c r="M228" s="3330"/>
      <c r="N228" s="3330"/>
      <c r="O228" s="3330"/>
      <c r="P228" s="3330"/>
      <c r="Q228" s="3330"/>
      <c r="R228" s="3330"/>
      <c r="S228" s="3330"/>
      <c r="T228" s="3330"/>
      <c r="U228" s="3330"/>
      <c r="V228" s="3330"/>
      <c r="W228" s="3330"/>
      <c r="X228" s="3330"/>
      <c r="Y228" s="3330"/>
      <c r="Z228" s="3330"/>
      <c r="AA228" s="3330"/>
      <c r="AB228" s="3330"/>
      <c r="AC228" s="3330"/>
      <c r="AD228" s="3330"/>
      <c r="AE228" s="3330"/>
      <c r="AF228" s="3330"/>
      <c r="AG228" s="3330"/>
      <c r="AH228" s="3330"/>
      <c r="AI228" s="3330"/>
      <c r="AJ228" s="3330"/>
      <c r="AK228" s="3330"/>
      <c r="AL228" s="3330"/>
      <c r="AM228" s="3330"/>
      <c r="AN228" s="3330"/>
      <c r="AO228" s="3330"/>
      <c r="AP228" s="3330"/>
      <c r="AQ228" s="3330"/>
      <c r="AR228" s="3330"/>
      <c r="AS228" s="3330"/>
      <c r="AT228" s="3330"/>
      <c r="AU228" s="3330"/>
      <c r="AV228" s="3330"/>
      <c r="AW228" s="3330"/>
      <c r="AX228" s="1214"/>
      <c r="AY228" s="3331" t="s">
        <v>2556</v>
      </c>
      <c r="AZ228" s="3331"/>
      <c r="BA228" s="3332" t="s">
        <v>2557</v>
      </c>
      <c r="BB228" s="1214"/>
      <c r="BC228" s="1214" t="s">
        <v>2558</v>
      </c>
      <c r="BD228" s="1214" t="s">
        <v>2558</v>
      </c>
      <c r="BE228" s="1214"/>
      <c r="BF228" s="1214"/>
      <c r="BG228" s="1214">
        <v>2020</v>
      </c>
      <c r="BH228" s="1214">
        <v>2030</v>
      </c>
      <c r="BI228" s="1214">
        <v>2050</v>
      </c>
      <c r="BJ228" s="1217"/>
    </row>
    <row r="229" spans="1:62" s="423" customFormat="1">
      <c r="B229" s="1219"/>
      <c r="C229" s="1220"/>
      <c r="D229" s="1220" t="s">
        <v>2559</v>
      </c>
      <c r="E229" s="1220"/>
      <c r="F229" s="3333"/>
      <c r="G229" s="3333"/>
      <c r="H229" s="3334"/>
      <c r="I229" s="3334"/>
      <c r="J229" s="3334"/>
      <c r="K229" s="3334"/>
      <c r="L229" s="3334"/>
      <c r="M229" s="3334"/>
      <c r="N229" s="3334"/>
      <c r="O229" s="3334"/>
      <c r="P229" s="3334"/>
      <c r="Q229" s="3334"/>
      <c r="R229" s="3334"/>
      <c r="S229" s="3334"/>
      <c r="T229" s="3334"/>
      <c r="U229" s="3334"/>
      <c r="V229" s="3334"/>
      <c r="W229" s="3334"/>
      <c r="X229" s="3334"/>
      <c r="Y229" s="3334"/>
      <c r="Z229" s="3334"/>
      <c r="AA229" s="3334"/>
      <c r="AB229" s="3334"/>
      <c r="AC229" s="3334"/>
      <c r="AD229" s="3334"/>
      <c r="AE229" s="3334"/>
      <c r="AF229" s="3334"/>
      <c r="AG229" s="3334"/>
      <c r="AH229" s="3334"/>
      <c r="AI229" s="3334"/>
      <c r="AJ229" s="3334"/>
      <c r="AK229" s="3334"/>
      <c r="AL229" s="3334"/>
      <c r="AM229" s="3334"/>
      <c r="AN229" s="3334"/>
      <c r="AO229" s="3334"/>
      <c r="AP229" s="3334"/>
      <c r="AQ229" s="3334"/>
      <c r="AR229" s="3334"/>
      <c r="AS229" s="3334"/>
      <c r="AT229" s="3334"/>
      <c r="AU229" s="3334"/>
      <c r="AV229" s="3334"/>
      <c r="AW229" s="3334"/>
      <c r="AX229" s="3333"/>
      <c r="AY229" s="3333"/>
      <c r="AZ229" s="3333"/>
      <c r="BA229" s="3333"/>
      <c r="BB229" s="1220"/>
      <c r="BC229" s="1220"/>
      <c r="BD229" s="1220"/>
      <c r="BE229" s="1220"/>
      <c r="BF229" s="3335"/>
      <c r="BG229" s="3335"/>
      <c r="BH229" s="3335"/>
      <c r="BI229" s="3335"/>
      <c r="BJ229" s="3336"/>
    </row>
    <row r="230" spans="1:62" ht="15.75">
      <c r="B230" s="1213"/>
      <c r="C230" s="1214"/>
      <c r="D230" s="1214" t="s">
        <v>2560</v>
      </c>
      <c r="E230" s="1214"/>
      <c r="F230" s="1258"/>
      <c r="G230" s="1258"/>
      <c r="H230" s="1257"/>
      <c r="I230" s="1257"/>
      <c r="J230" s="1257"/>
      <c r="K230" s="1257"/>
      <c r="L230" s="1257"/>
      <c r="M230" s="1257"/>
      <c r="N230" s="1257"/>
      <c r="O230" s="1257"/>
      <c r="P230" s="1257"/>
      <c r="Q230" s="1257"/>
      <c r="R230" s="1257"/>
      <c r="S230" s="1257"/>
      <c r="T230" s="1257"/>
      <c r="U230" s="1257"/>
      <c r="V230" s="1257"/>
      <c r="W230" s="1257"/>
      <c r="X230" s="1257"/>
      <c r="Y230" s="1257"/>
      <c r="Z230" s="1257"/>
      <c r="AA230" s="1257"/>
      <c r="AB230" s="1257"/>
      <c r="AC230" s="1257"/>
      <c r="AD230" s="1257"/>
      <c r="AE230" s="1257"/>
      <c r="AF230" s="1257"/>
      <c r="AG230" s="1257"/>
      <c r="AH230" s="1257"/>
      <c r="AI230" s="1257"/>
      <c r="AJ230" s="1257"/>
      <c r="AK230" s="1257"/>
      <c r="AL230" s="1257"/>
      <c r="AM230" s="1257"/>
      <c r="AN230" s="1257"/>
      <c r="AO230" s="1257"/>
      <c r="AP230" s="1257"/>
      <c r="AQ230" s="1257"/>
      <c r="AR230" s="1257"/>
      <c r="AS230" s="1257"/>
      <c r="AT230" s="1257"/>
      <c r="AU230" s="1257"/>
      <c r="AV230" s="1257"/>
      <c r="AW230" s="1257"/>
      <c r="AX230" s="1258"/>
      <c r="AY230" s="1258"/>
      <c r="AZ230" s="1258"/>
      <c r="BA230" s="1258"/>
      <c r="BB230" s="1214"/>
      <c r="BC230" s="1258"/>
      <c r="BD230" s="1258"/>
      <c r="BE230" s="1214"/>
      <c r="BF230" s="1214"/>
      <c r="BG230" s="1214"/>
      <c r="BH230" s="1214"/>
      <c r="BI230" s="1214"/>
      <c r="BJ230" s="1217"/>
    </row>
    <row r="231" spans="1:62">
      <c r="B231" s="3337"/>
      <c r="C231" s="1214"/>
      <c r="D231" s="1220" t="s">
        <v>103</v>
      </c>
      <c r="E231" s="1214"/>
      <c r="F231" s="3333"/>
      <c r="G231" s="3333"/>
      <c r="H231" s="3334"/>
      <c r="I231" s="3334"/>
      <c r="J231" s="3334"/>
      <c r="K231" s="3334"/>
      <c r="L231" s="3334"/>
      <c r="M231" s="3334"/>
      <c r="N231" s="3334"/>
      <c r="O231" s="3334"/>
      <c r="P231" s="3334"/>
      <c r="Q231" s="3334"/>
      <c r="R231" s="3334"/>
      <c r="S231" s="3334"/>
      <c r="T231" s="3334"/>
      <c r="U231" s="3334"/>
      <c r="V231" s="3334"/>
      <c r="W231" s="3334"/>
      <c r="X231" s="3334"/>
      <c r="Y231" s="3334"/>
      <c r="Z231" s="3334"/>
      <c r="AA231" s="3334"/>
      <c r="AB231" s="3334"/>
      <c r="AC231" s="3334"/>
      <c r="AD231" s="3334"/>
      <c r="AE231" s="3334"/>
      <c r="AF231" s="3334"/>
      <c r="AG231" s="3334"/>
      <c r="AH231" s="3334"/>
      <c r="AI231" s="3334"/>
      <c r="AJ231" s="3334"/>
      <c r="AK231" s="3334"/>
      <c r="AL231" s="3334"/>
      <c r="AM231" s="3334"/>
      <c r="AN231" s="3334"/>
      <c r="AO231" s="3334"/>
      <c r="AP231" s="3334"/>
      <c r="AQ231" s="3334"/>
      <c r="AR231" s="3334"/>
      <c r="AS231" s="3334"/>
      <c r="AT231" s="3334"/>
      <c r="AU231" s="3334"/>
      <c r="AV231" s="3334"/>
      <c r="AW231" s="3334"/>
      <c r="AX231" s="1258"/>
      <c r="AY231" s="3333"/>
      <c r="AZ231" s="3333"/>
      <c r="BA231" s="3333"/>
      <c r="BB231" s="1214"/>
      <c r="BC231" s="3333"/>
      <c r="BD231" s="3333"/>
      <c r="BE231" s="1214"/>
      <c r="BF231" s="3335"/>
      <c r="BG231" s="3335"/>
      <c r="BH231" s="3335"/>
      <c r="BI231" s="3335"/>
      <c r="BJ231" s="1217"/>
    </row>
    <row r="232" spans="1:62" s="37" customFormat="1">
      <c r="B232" s="1219"/>
      <c r="C232" s="1236"/>
      <c r="D232" s="1236" t="s">
        <v>2561</v>
      </c>
      <c r="E232" s="1236"/>
      <c r="F232" s="1236"/>
      <c r="G232" s="1236"/>
      <c r="H232" s="1254"/>
      <c r="I232" s="1254"/>
      <c r="J232" s="1254"/>
      <c r="K232" s="1254"/>
      <c r="L232" s="1254"/>
      <c r="M232" s="1254"/>
      <c r="N232" s="1254"/>
      <c r="O232" s="1254"/>
      <c r="P232" s="1254"/>
      <c r="Q232" s="1254"/>
      <c r="R232" s="1254"/>
      <c r="S232" s="1254"/>
      <c r="T232" s="1254"/>
      <c r="U232" s="1254"/>
      <c r="V232" s="1254"/>
      <c r="W232" s="1254"/>
      <c r="X232" s="1254"/>
      <c r="Y232" s="1254"/>
      <c r="Z232" s="1254"/>
      <c r="AA232" s="1254"/>
      <c r="AB232" s="1254"/>
      <c r="AC232" s="1254"/>
      <c r="AD232" s="1254"/>
      <c r="AE232" s="1254"/>
      <c r="AF232" s="1254"/>
      <c r="AG232" s="1254"/>
      <c r="AH232" s="1254"/>
      <c r="AI232" s="1254"/>
      <c r="AJ232" s="1254"/>
      <c r="AK232" s="1254"/>
      <c r="AL232" s="1254"/>
      <c r="AM232" s="1254"/>
      <c r="AN232" s="1254"/>
      <c r="AO232" s="1254"/>
      <c r="AP232" s="1254"/>
      <c r="AQ232" s="1254"/>
      <c r="AR232" s="1254"/>
      <c r="AS232" s="1254"/>
      <c r="AT232" s="1254"/>
      <c r="AU232" s="1254"/>
      <c r="AV232" s="1254"/>
      <c r="AW232" s="1254"/>
      <c r="AX232" s="1236"/>
      <c r="AY232" s="3338"/>
      <c r="AZ232" s="3338"/>
      <c r="BA232" s="3338"/>
      <c r="BB232" s="3338"/>
      <c r="BC232" s="3338"/>
      <c r="BD232" s="3338"/>
      <c r="BE232" s="3338"/>
      <c r="BF232" s="3338"/>
      <c r="BG232" s="3338"/>
      <c r="BH232" s="3338"/>
      <c r="BI232" s="3338"/>
      <c r="BJ232" s="1239"/>
    </row>
    <row r="233" spans="1:62" s="37" customFormat="1">
      <c r="B233" s="1219"/>
      <c r="C233" s="1236"/>
      <c r="D233" s="1236" t="s">
        <v>2562</v>
      </c>
      <c r="E233" s="1236"/>
      <c r="F233" s="1236"/>
      <c r="G233" s="1236"/>
      <c r="H233" s="1254"/>
      <c r="I233" s="1254"/>
      <c r="J233" s="1254"/>
      <c r="K233" s="1254"/>
      <c r="L233" s="1254"/>
      <c r="M233" s="1254"/>
      <c r="N233" s="1254"/>
      <c r="O233" s="1254"/>
      <c r="P233" s="1254"/>
      <c r="Q233" s="1254"/>
      <c r="R233" s="1254"/>
      <c r="S233" s="1254"/>
      <c r="T233" s="1254"/>
      <c r="U233" s="1254"/>
      <c r="V233" s="1254"/>
      <c r="W233" s="1254"/>
      <c r="X233" s="1254"/>
      <c r="Y233" s="1254"/>
      <c r="Z233" s="1254"/>
      <c r="AA233" s="1254"/>
      <c r="AB233" s="1254"/>
      <c r="AC233" s="1254"/>
      <c r="AD233" s="1254"/>
      <c r="AE233" s="1254"/>
      <c r="AF233" s="1254"/>
      <c r="AG233" s="1254"/>
      <c r="AH233" s="1254"/>
      <c r="AI233" s="1254"/>
      <c r="AJ233" s="1254"/>
      <c r="AK233" s="1254"/>
      <c r="AL233" s="1254"/>
      <c r="AM233" s="1254"/>
      <c r="AN233" s="1254"/>
      <c r="AO233" s="1254"/>
      <c r="AP233" s="1254"/>
      <c r="AQ233" s="1254"/>
      <c r="AR233" s="1254"/>
      <c r="AS233" s="1254"/>
      <c r="AT233" s="1254"/>
      <c r="AU233" s="1254"/>
      <c r="AV233" s="1254"/>
      <c r="AW233" s="1254"/>
      <c r="AX233" s="1236"/>
      <c r="AY233" s="3338">
        <v>0</v>
      </c>
      <c r="AZ233" s="3338"/>
      <c r="BA233" s="3338">
        <v>0</v>
      </c>
      <c r="BB233" s="3338">
        <v>0</v>
      </c>
      <c r="BC233" s="3338">
        <v>0</v>
      </c>
      <c r="BD233" s="3338">
        <v>0</v>
      </c>
      <c r="BE233" s="3338">
        <v>0</v>
      </c>
      <c r="BF233" s="3338">
        <v>0</v>
      </c>
      <c r="BG233" s="3338">
        <v>0</v>
      </c>
      <c r="BH233" s="3338">
        <v>0</v>
      </c>
      <c r="BI233" s="3338">
        <v>0</v>
      </c>
      <c r="BJ233" s="1239"/>
    </row>
    <row r="234" spans="1:62">
      <c r="B234" s="1235"/>
      <c r="C234" s="1266"/>
      <c r="D234" s="1266"/>
      <c r="E234" s="1266"/>
      <c r="F234" s="1266"/>
      <c r="G234" s="1266"/>
      <c r="H234" s="1267"/>
      <c r="I234" s="1267"/>
      <c r="J234" s="1267"/>
      <c r="K234" s="1267"/>
      <c r="L234" s="1267"/>
      <c r="M234" s="1267"/>
      <c r="N234" s="1267"/>
      <c r="O234" s="1267"/>
      <c r="P234" s="1267"/>
      <c r="Q234" s="1267"/>
      <c r="R234" s="1267"/>
      <c r="S234" s="1267"/>
      <c r="T234" s="1267"/>
      <c r="U234" s="1267"/>
      <c r="V234" s="1267"/>
      <c r="W234" s="1267"/>
      <c r="X234" s="1267"/>
      <c r="Y234" s="1267"/>
      <c r="Z234" s="1267"/>
      <c r="AA234" s="1267"/>
      <c r="AB234" s="1267"/>
      <c r="AC234" s="1267"/>
      <c r="AD234" s="1267"/>
      <c r="AE234" s="1267"/>
      <c r="AF234" s="1267"/>
      <c r="AG234" s="1267"/>
      <c r="AH234" s="1267"/>
      <c r="AI234" s="1267"/>
      <c r="AJ234" s="1267"/>
      <c r="AK234" s="1267"/>
      <c r="AL234" s="1267"/>
      <c r="AM234" s="1267"/>
      <c r="AN234" s="1267"/>
      <c r="AO234" s="1267"/>
      <c r="AP234" s="1267"/>
      <c r="AQ234" s="1267"/>
      <c r="AR234" s="1267"/>
      <c r="AS234" s="1267"/>
      <c r="AT234" s="1267"/>
      <c r="AU234" s="1267"/>
      <c r="AV234" s="1267"/>
      <c r="AW234" s="1267"/>
      <c r="AX234" s="1266"/>
      <c r="AY234" s="1266"/>
      <c r="AZ234" s="1266"/>
      <c r="BA234" s="1266"/>
      <c r="BB234" s="1266"/>
      <c r="BC234" s="1266"/>
      <c r="BD234" s="1266"/>
      <c r="BE234" s="1266"/>
      <c r="BF234" s="1266"/>
      <c r="BG234" s="1266"/>
      <c r="BH234" s="1266"/>
      <c r="BI234" s="1266"/>
      <c r="BJ234" s="1268"/>
    </row>
    <row r="235" spans="1:62" s="242" customFormat="1">
      <c r="B235" s="1235"/>
      <c r="C235" s="35"/>
      <c r="D235" s="35"/>
      <c r="E235" s="35"/>
      <c r="F235" s="35"/>
      <c r="G235" s="35"/>
      <c r="H235" s="1203"/>
      <c r="I235" s="1203"/>
      <c r="J235" s="1203"/>
      <c r="K235" s="1203"/>
      <c r="L235" s="1203"/>
      <c r="M235" s="1203"/>
      <c r="N235" s="1203"/>
      <c r="O235" s="1203"/>
      <c r="P235" s="1203"/>
      <c r="Q235" s="1203"/>
      <c r="R235" s="1203"/>
      <c r="S235" s="1203"/>
      <c r="T235" s="1203"/>
      <c r="U235" s="1203"/>
      <c r="V235" s="1203"/>
      <c r="W235" s="1203"/>
      <c r="X235" s="1203"/>
      <c r="Y235" s="1203"/>
      <c r="Z235" s="1203"/>
      <c r="AA235" s="1203"/>
      <c r="AB235" s="1203"/>
      <c r="AC235" s="1203"/>
      <c r="AD235" s="1203"/>
      <c r="AE235" s="1203"/>
      <c r="AF235" s="1203"/>
      <c r="AG235" s="1203"/>
      <c r="AH235" s="1203"/>
      <c r="AI235" s="1203"/>
      <c r="AJ235" s="1203"/>
      <c r="AK235" s="1203"/>
      <c r="AL235" s="1203"/>
      <c r="AM235" s="1203"/>
      <c r="AN235" s="1203"/>
      <c r="AO235" s="1203"/>
      <c r="AP235" s="1203"/>
      <c r="AQ235" s="1203"/>
      <c r="AR235" s="1203"/>
      <c r="AS235" s="1203"/>
      <c r="AT235" s="1203"/>
      <c r="AU235" s="1203"/>
      <c r="AV235" s="1203"/>
      <c r="AW235" s="1203"/>
      <c r="AX235" s="35"/>
      <c r="AY235" s="35"/>
      <c r="AZ235" s="35"/>
      <c r="BA235" s="35"/>
      <c r="BB235" s="35"/>
      <c r="BC235" s="35"/>
      <c r="BD235" s="35"/>
      <c r="BE235" s="35"/>
      <c r="BF235" s="35"/>
      <c r="BG235" s="35"/>
      <c r="BH235" s="35"/>
      <c r="BI235" s="35"/>
      <c r="BJ235" s="35"/>
    </row>
    <row r="236" spans="1:62" ht="22.5">
      <c r="A236" s="420"/>
      <c r="B236" s="1208" t="s">
        <v>1180</v>
      </c>
      <c r="C236" s="1209"/>
      <c r="D236" s="1209"/>
      <c r="E236" s="1209"/>
      <c r="F236" s="1209"/>
      <c r="G236" s="1209"/>
      <c r="H236" s="1210"/>
      <c r="I236" s="1210"/>
      <c r="J236" s="1210"/>
      <c r="K236" s="1210"/>
      <c r="L236" s="1210"/>
      <c r="M236" s="1210"/>
      <c r="N236" s="1210"/>
      <c r="O236" s="1210"/>
      <c r="P236" s="1210"/>
      <c r="Q236" s="1210"/>
      <c r="R236" s="1210"/>
      <c r="S236" s="1210"/>
      <c r="T236" s="1210"/>
      <c r="U236" s="1210"/>
      <c r="V236" s="1210"/>
      <c r="W236" s="1210"/>
      <c r="X236" s="1210"/>
      <c r="Y236" s="1210"/>
      <c r="Z236" s="1210"/>
      <c r="AA236" s="1210"/>
      <c r="AB236" s="1210"/>
      <c r="AC236" s="1210"/>
      <c r="AD236" s="1210"/>
      <c r="AE236" s="1210"/>
      <c r="AF236" s="1210"/>
      <c r="AG236" s="1210"/>
      <c r="AH236" s="1210"/>
      <c r="AI236" s="1210"/>
      <c r="AJ236" s="1210"/>
      <c r="AK236" s="1210"/>
      <c r="AL236" s="1210"/>
      <c r="AM236" s="1210"/>
      <c r="AN236" s="1210"/>
      <c r="AO236" s="1210"/>
      <c r="AP236" s="1210"/>
      <c r="AQ236" s="1210"/>
      <c r="AR236" s="1210"/>
      <c r="AS236" s="1210"/>
      <c r="AT236" s="1210"/>
      <c r="AU236" s="1210"/>
      <c r="AV236" s="1210"/>
      <c r="AW236" s="1210"/>
      <c r="AX236" s="1209"/>
      <c r="AY236" s="1209"/>
      <c r="AZ236" s="1209"/>
      <c r="BA236" s="1209"/>
      <c r="BB236" s="1209"/>
      <c r="BC236" s="1209"/>
      <c r="BD236" s="1209"/>
      <c r="BE236" s="1209"/>
      <c r="BF236" s="1209"/>
      <c r="BG236" s="1209"/>
      <c r="BH236" s="1209"/>
      <c r="BI236" s="1211"/>
      <c r="BJ236" s="1212"/>
    </row>
    <row r="237" spans="1:62">
      <c r="B237" s="35"/>
      <c r="C237" s="1214"/>
      <c r="D237" s="1214"/>
      <c r="E237" s="1214"/>
      <c r="F237" s="1214"/>
      <c r="G237" s="1214"/>
      <c r="H237" s="1215"/>
      <c r="I237" s="1215"/>
      <c r="J237" s="1215"/>
      <c r="K237" s="1215"/>
      <c r="L237" s="1215"/>
      <c r="M237" s="1215"/>
      <c r="N237" s="1215"/>
      <c r="O237" s="1215"/>
      <c r="P237" s="1215"/>
      <c r="Q237" s="1215"/>
      <c r="R237" s="1215"/>
      <c r="S237" s="1215"/>
      <c r="T237" s="1215"/>
      <c r="U237" s="1215"/>
      <c r="V237" s="1215"/>
      <c r="W237" s="1215"/>
      <c r="X237" s="1215"/>
      <c r="Y237" s="1215"/>
      <c r="Z237" s="1215"/>
      <c r="AA237" s="1215"/>
      <c r="AB237" s="1215"/>
      <c r="AC237" s="1215"/>
      <c r="AD237" s="1215"/>
      <c r="AE237" s="1215"/>
      <c r="AF237" s="1215"/>
      <c r="AG237" s="1215"/>
      <c r="AH237" s="1215"/>
      <c r="AI237" s="1215"/>
      <c r="AJ237" s="1215"/>
      <c r="AK237" s="1215"/>
      <c r="AL237" s="1215"/>
      <c r="AM237" s="1215"/>
      <c r="AN237" s="1215"/>
      <c r="AO237" s="1215"/>
      <c r="AP237" s="1215"/>
      <c r="AQ237" s="1215"/>
      <c r="AR237" s="1215"/>
      <c r="AS237" s="1215"/>
      <c r="AT237" s="1215"/>
      <c r="AU237" s="1215"/>
      <c r="AV237" s="1215"/>
      <c r="AW237" s="1215"/>
      <c r="AX237" s="1214"/>
      <c r="AY237" s="1214"/>
      <c r="AZ237" s="1214"/>
      <c r="BA237" s="1214"/>
      <c r="BB237" s="1214"/>
      <c r="BC237" s="1214"/>
      <c r="BD237" s="1214"/>
      <c r="BE237" s="1214"/>
      <c r="BF237" s="1214"/>
      <c r="BG237" s="1214"/>
      <c r="BH237" s="1214"/>
      <c r="BI237" s="1214"/>
      <c r="BJ237" s="1214"/>
    </row>
    <row r="238" spans="1:62" ht="15.75">
      <c r="B238" s="1208" t="s">
        <v>1181</v>
      </c>
      <c r="C238" s="1214"/>
      <c r="D238" s="1214"/>
      <c r="E238" s="1214"/>
      <c r="F238" s="1214"/>
      <c r="G238" s="1214"/>
      <c r="H238" s="1215"/>
      <c r="I238" s="1215"/>
      <c r="J238" s="1215"/>
      <c r="K238" s="1215"/>
      <c r="L238" s="1215"/>
      <c r="M238" s="1215"/>
      <c r="N238" s="1215"/>
      <c r="O238" s="1215"/>
      <c r="P238" s="1215"/>
      <c r="Q238" s="1215"/>
      <c r="R238" s="1215"/>
      <c r="S238" s="1215"/>
      <c r="T238" s="1215"/>
      <c r="U238" s="1215"/>
      <c r="V238" s="1215"/>
      <c r="W238" s="1215"/>
      <c r="X238" s="1215"/>
      <c r="Y238" s="1215"/>
      <c r="Z238" s="1215"/>
      <c r="AA238" s="1215"/>
      <c r="AB238" s="1215"/>
      <c r="AC238" s="1215"/>
      <c r="AD238" s="1215"/>
      <c r="AE238" s="1215"/>
      <c r="AF238" s="1215"/>
      <c r="AG238" s="1215"/>
      <c r="AH238" s="1215"/>
      <c r="AI238" s="1215"/>
      <c r="AJ238" s="1215"/>
      <c r="AK238" s="1215"/>
      <c r="AL238" s="1215"/>
      <c r="AM238" s="1215"/>
      <c r="AN238" s="1215"/>
      <c r="AO238" s="1215"/>
      <c r="AP238" s="1215"/>
      <c r="AQ238" s="1215"/>
      <c r="AR238" s="1215"/>
      <c r="AS238" s="1215"/>
      <c r="AT238" s="1215"/>
      <c r="AU238" s="1215"/>
      <c r="AV238" s="1215"/>
      <c r="AW238" s="1215"/>
      <c r="AX238" s="1214"/>
      <c r="AY238" s="1214"/>
      <c r="AZ238" s="1214"/>
      <c r="BA238" s="1214"/>
      <c r="BB238" s="1214"/>
      <c r="BC238" s="1214"/>
      <c r="BD238" s="1214"/>
      <c r="BE238" s="1214"/>
      <c r="BF238" s="1214"/>
      <c r="BG238" s="1214"/>
      <c r="BH238" s="1214"/>
      <c r="BI238" s="1214"/>
      <c r="BJ238" s="1214"/>
    </row>
    <row r="239" spans="1:62">
      <c r="B239" s="1214"/>
      <c r="C239" s="1214"/>
      <c r="D239" s="1214"/>
      <c r="E239" s="1214"/>
      <c r="F239" s="1214"/>
      <c r="G239" s="1214"/>
      <c r="H239" s="1215"/>
      <c r="I239" s="1215"/>
      <c r="J239" s="1215"/>
      <c r="K239" s="1215"/>
      <c r="L239" s="1215"/>
      <c r="M239" s="1215"/>
      <c r="N239" s="1215"/>
      <c r="O239" s="1215"/>
      <c r="P239" s="1215"/>
      <c r="Q239" s="1215"/>
      <c r="R239" s="1215"/>
      <c r="S239" s="1215"/>
      <c r="T239" s="1215"/>
      <c r="U239" s="1215"/>
      <c r="V239" s="1215"/>
      <c r="W239" s="1215"/>
      <c r="X239" s="1215"/>
      <c r="Y239" s="1215"/>
      <c r="Z239" s="1215"/>
      <c r="AA239" s="1215"/>
      <c r="AB239" s="1215"/>
      <c r="AC239" s="1215"/>
      <c r="AD239" s="1215"/>
      <c r="AE239" s="1215"/>
      <c r="AF239" s="1215"/>
      <c r="AG239" s="1215"/>
      <c r="AH239" s="1215"/>
      <c r="AI239" s="1215"/>
      <c r="AJ239" s="1215"/>
      <c r="AK239" s="1215"/>
      <c r="AL239" s="1215"/>
      <c r="AM239" s="1215"/>
      <c r="AN239" s="1215"/>
      <c r="AO239" s="1215"/>
      <c r="AP239" s="1215"/>
      <c r="AQ239" s="1215"/>
      <c r="AR239" s="1215"/>
      <c r="AS239" s="1215"/>
      <c r="AT239" s="1215"/>
      <c r="AU239" s="1215"/>
      <c r="AV239" s="1215"/>
      <c r="AW239" s="1215"/>
      <c r="AX239" s="1214"/>
      <c r="AY239" s="1214"/>
      <c r="AZ239" s="1214"/>
      <c r="BA239" s="1214"/>
      <c r="BB239" s="1214"/>
      <c r="BC239" s="1214"/>
      <c r="BD239" s="1214"/>
      <c r="BE239" s="1214"/>
      <c r="BF239" s="1214"/>
      <c r="BG239" s="1214"/>
      <c r="BH239" s="1214"/>
      <c r="BI239" s="1214"/>
      <c r="BJ239" s="1214"/>
    </row>
    <row r="240" spans="1:62">
      <c r="B240" s="1220"/>
      <c r="C240" s="1236" t="s">
        <v>32</v>
      </c>
      <c r="D240" s="1214"/>
      <c r="E240" s="1214"/>
      <c r="F240" s="1214"/>
      <c r="G240" s="1214"/>
      <c r="H240" s="1215"/>
      <c r="I240" s="1215"/>
      <c r="J240" s="1215"/>
      <c r="K240" s="1215"/>
      <c r="L240" s="1215"/>
      <c r="M240" s="1215"/>
      <c r="N240" s="1215"/>
      <c r="O240" s="1215"/>
      <c r="P240" s="1215"/>
      <c r="Q240" s="1215"/>
      <c r="R240" s="1215"/>
      <c r="S240" s="1215"/>
      <c r="T240" s="1215"/>
      <c r="U240" s="1215"/>
      <c r="V240" s="1215"/>
      <c r="W240" s="1215"/>
      <c r="X240" s="1215"/>
      <c r="Y240" s="1215"/>
      <c r="Z240" s="1215"/>
      <c r="AA240" s="1215"/>
      <c r="AB240" s="1215"/>
      <c r="AC240" s="1215"/>
      <c r="AD240" s="1215"/>
      <c r="AE240" s="1215"/>
      <c r="AF240" s="1215"/>
      <c r="AG240" s="1215"/>
      <c r="AH240" s="1215"/>
      <c r="AI240" s="1215"/>
      <c r="AJ240" s="1215"/>
      <c r="AK240" s="1215"/>
      <c r="AL240" s="1215"/>
      <c r="AM240" s="1215"/>
      <c r="AN240" s="1215"/>
      <c r="AO240" s="1215"/>
      <c r="AP240" s="1215"/>
      <c r="AQ240" s="1215"/>
      <c r="AR240" s="1215"/>
      <c r="AS240" s="1215"/>
      <c r="AT240" s="1215"/>
      <c r="AU240" s="1215"/>
      <c r="AV240" s="1215"/>
      <c r="AW240" s="1215"/>
      <c r="AX240" s="1214"/>
      <c r="AY240" s="2405">
        <v>2007</v>
      </c>
      <c r="AZ240" s="2405"/>
      <c r="BA240" s="2405">
        <f>AY240+5</f>
        <v>2012</v>
      </c>
      <c r="BB240" s="2405">
        <f t="shared" ref="BB240:BI240" si="26">BA240+5</f>
        <v>2017</v>
      </c>
      <c r="BC240" s="2405">
        <f t="shared" si="26"/>
        <v>2022</v>
      </c>
      <c r="BD240" s="2405">
        <f t="shared" si="26"/>
        <v>2027</v>
      </c>
      <c r="BE240" s="2405">
        <f t="shared" si="26"/>
        <v>2032</v>
      </c>
      <c r="BF240" s="2405">
        <f t="shared" si="26"/>
        <v>2037</v>
      </c>
      <c r="BG240" s="2405">
        <f t="shared" si="26"/>
        <v>2042</v>
      </c>
      <c r="BH240" s="2405">
        <f t="shared" si="26"/>
        <v>2047</v>
      </c>
      <c r="BI240" s="2405">
        <f t="shared" si="26"/>
        <v>2052</v>
      </c>
      <c r="BJ240" s="1214"/>
    </row>
    <row r="241" spans="2:62">
      <c r="B241" s="1214"/>
      <c r="C241" s="1269" t="s">
        <v>304</v>
      </c>
      <c r="D241" s="1269" t="s">
        <v>36</v>
      </c>
      <c r="E241" s="166" t="str">
        <f>INDEX(Vectors[Description],MATCH($D241,Vectors[Code],0))</f>
        <v>Solid hydrocarbons</v>
      </c>
      <c r="F241" s="1270"/>
      <c r="G241" s="1270"/>
      <c r="H241" s="1271"/>
      <c r="I241" s="1271"/>
      <c r="J241" s="1271"/>
      <c r="K241" s="1271"/>
      <c r="L241" s="1271"/>
      <c r="M241" s="1271"/>
      <c r="N241" s="1271"/>
      <c r="O241" s="1271"/>
      <c r="P241" s="1271"/>
      <c r="Q241" s="1271"/>
      <c r="R241" s="1271"/>
      <c r="S241" s="1271"/>
      <c r="T241" s="1271"/>
      <c r="U241" s="1271"/>
      <c r="V241" s="1271"/>
      <c r="W241" s="1271"/>
      <c r="X241" s="1271"/>
      <c r="Y241" s="1271"/>
      <c r="Z241" s="1271"/>
      <c r="AA241" s="1271"/>
      <c r="AB241" s="1271"/>
      <c r="AC241" s="1271"/>
      <c r="AD241" s="1271"/>
      <c r="AE241" s="1271"/>
      <c r="AF241" s="1271"/>
      <c r="AG241" s="1271"/>
      <c r="AH241" s="1271"/>
      <c r="AI241" s="1271"/>
      <c r="AJ241" s="1271">
        <f>11.2811*Unit.TWh</f>
        <v>11.2811</v>
      </c>
      <c r="AK241" s="1271">
        <f>11.5128859*Unit.TWh</f>
        <v>11.512885900000001</v>
      </c>
      <c r="AL241" s="1271">
        <f>9.9829594*Unit.TWh</f>
        <v>9.9829594000000004</v>
      </c>
      <c r="AM241" s="1271">
        <f>10.7253023*Unit.TWh</f>
        <v>10.725302299999999</v>
      </c>
      <c r="AN241" s="1271">
        <f>11.7831671*Unit.TWh</f>
        <v>11.7831671</v>
      </c>
      <c r="AO241" s="1271">
        <f>11.9234249*Unit.TWh</f>
        <v>11.923424900000001</v>
      </c>
      <c r="AP241" s="1271">
        <f>8.2292717*Unit.TWh</f>
        <v>8.2292717</v>
      </c>
      <c r="AQ241" s="1271">
        <f>13.56519449*Unit.TWh</f>
        <v>13.56519449</v>
      </c>
      <c r="AR241" s="1271">
        <f>13.10799238*Unit.TWh</f>
        <v>13.107992380000001</v>
      </c>
      <c r="AS241" s="1271">
        <f>14.11044992*Unit.TWh</f>
        <v>14.110449920000001</v>
      </c>
      <c r="AT241" s="1271">
        <f>15.68101481*Unit.TWh</f>
        <v>15.681014810000001</v>
      </c>
      <c r="AU241" s="1271">
        <f>18.7866056*Unit.TWh</f>
        <v>18.786605600000001</v>
      </c>
      <c r="AV241" s="1271">
        <f>19.95985165*Unit.TWh</f>
        <v>19.959851650000001</v>
      </c>
      <c r="AW241" s="1271" t="s">
        <v>1182</v>
      </c>
      <c r="AX241" s="1272"/>
      <c r="AY241" s="1273"/>
      <c r="AZ241" s="1273"/>
      <c r="BA241" s="1273"/>
      <c r="BB241" s="1273"/>
      <c r="BC241" s="1273"/>
      <c r="BD241" s="1273"/>
      <c r="BE241" s="1273"/>
      <c r="BF241" s="1273"/>
      <c r="BG241" s="1273"/>
      <c r="BH241" s="1273"/>
      <c r="BI241" s="1273"/>
      <c r="BJ241" s="1214"/>
    </row>
    <row r="242" spans="2:62">
      <c r="B242" s="1214"/>
      <c r="C242" s="1269" t="s">
        <v>304</v>
      </c>
      <c r="D242" s="1269" t="s">
        <v>38</v>
      </c>
      <c r="E242" s="166" t="str">
        <f>INDEX(Vectors[Description],MATCH($D242,Vectors[Code],0))</f>
        <v>Liquid hydrocarbons</v>
      </c>
      <c r="F242" s="1270"/>
      <c r="G242" s="1270"/>
      <c r="H242" s="1271"/>
      <c r="I242" s="1271"/>
      <c r="J242" s="1271"/>
      <c r="K242" s="1271"/>
      <c r="L242" s="1271"/>
      <c r="M242" s="1271"/>
      <c r="N242" s="1271"/>
      <c r="O242" s="1271"/>
      <c r="P242" s="1271"/>
      <c r="Q242" s="1271"/>
      <c r="R242" s="1271"/>
      <c r="S242" s="1271"/>
      <c r="T242" s="1271"/>
      <c r="U242" s="1271"/>
      <c r="V242" s="1271"/>
      <c r="W242" s="1271"/>
      <c r="X242" s="1271"/>
      <c r="Y242" s="1271"/>
      <c r="Z242" s="1271"/>
      <c r="AA242" s="1271"/>
      <c r="AB242" s="1271"/>
      <c r="AC242" s="1271"/>
      <c r="AD242" s="1271"/>
      <c r="AE242" s="1271"/>
      <c r="AF242" s="1271"/>
      <c r="AG242" s="1271"/>
      <c r="AH242" s="1271"/>
      <c r="AI242" s="1271"/>
      <c r="AJ242" s="1271">
        <f t="shared" ref="AJ242:AP242" si="27">0*Unit.TWh</f>
        <v>0</v>
      </c>
      <c r="AK242" s="1271">
        <f t="shared" si="27"/>
        <v>0</v>
      </c>
      <c r="AL242" s="1271">
        <f t="shared" si="27"/>
        <v>0</v>
      </c>
      <c r="AM242" s="1271">
        <f t="shared" si="27"/>
        <v>0</v>
      </c>
      <c r="AN242" s="1271">
        <f t="shared" si="27"/>
        <v>0</v>
      </c>
      <c r="AO242" s="1271">
        <f t="shared" si="27"/>
        <v>0</v>
      </c>
      <c r="AP242" s="1271">
        <f t="shared" si="27"/>
        <v>0</v>
      </c>
      <c r="AQ242" s="1271">
        <f>0.09313615*Unit.TWh</f>
        <v>9.3136150000000001E-2</v>
      </c>
      <c r="AR242" s="1271">
        <f>2.691796244*Unit.TWh</f>
        <v>2.6917962439999998</v>
      </c>
      <c r="AS242" s="1271">
        <f>4.599912358*Unit.TWh</f>
        <v>4.5999123580000001</v>
      </c>
      <c r="AT242" s="1271">
        <f>3.516727083*Unit.TWh</f>
        <v>3.5167270830000001</v>
      </c>
      <c r="AU242" s="1271">
        <f>2.629156279*Unit.TWh</f>
        <v>2.629156279</v>
      </c>
      <c r="AV242" s="1271">
        <f>3.539047787*Unit.TWh</f>
        <v>3.5390477869999999</v>
      </c>
      <c r="AW242" s="1271" t="s">
        <v>1183</v>
      </c>
      <c r="AX242" s="1272"/>
      <c r="AY242" s="1273"/>
      <c r="AZ242" s="1273"/>
      <c r="BA242" s="1273"/>
      <c r="BB242" s="1273"/>
      <c r="BC242" s="1273"/>
      <c r="BD242" s="1273"/>
      <c r="BE242" s="1273"/>
      <c r="BF242" s="1273"/>
      <c r="BG242" s="1273"/>
      <c r="BH242" s="1273"/>
      <c r="BI242" s="1273"/>
      <c r="BJ242" s="1214"/>
    </row>
    <row r="243" spans="2:62">
      <c r="B243" s="1214"/>
      <c r="C243" s="1269" t="s">
        <v>304</v>
      </c>
      <c r="D243" s="1269" t="s">
        <v>39</v>
      </c>
      <c r="E243" s="166" t="str">
        <f>INDEX(Vectors[Description],MATCH($D243,Vectors[Code],0))</f>
        <v>Gaseous hydrocarbons</v>
      </c>
      <c r="F243" s="1270"/>
      <c r="G243" s="1270"/>
      <c r="H243" s="1271"/>
      <c r="I243" s="1271"/>
      <c r="J243" s="1271"/>
      <c r="K243" s="1271"/>
      <c r="L243" s="1271"/>
      <c r="M243" s="1271"/>
      <c r="N243" s="1271"/>
      <c r="O243" s="1271"/>
      <c r="P243" s="1271"/>
      <c r="Q243" s="1271"/>
      <c r="R243" s="1271"/>
      <c r="S243" s="1271"/>
      <c r="T243" s="1271"/>
      <c r="U243" s="1271"/>
      <c r="V243" s="1271"/>
      <c r="W243" s="1271"/>
      <c r="X243" s="1271"/>
      <c r="Y243" s="1271"/>
      <c r="Z243" s="1271"/>
      <c r="AA243" s="1271"/>
      <c r="AB243" s="1271"/>
      <c r="AC243" s="1271"/>
      <c r="AD243" s="1271"/>
      <c r="AE243" s="1271"/>
      <c r="AF243" s="1271"/>
      <c r="AG243" s="1271"/>
      <c r="AH243" s="1271"/>
      <c r="AI243" s="1271"/>
      <c r="AJ243" s="1271">
        <f>4.679912*Unit.TWh</f>
        <v>4.6799119999999998</v>
      </c>
      <c r="AK243" s="1271">
        <f>6.65236*Unit.TWh</f>
        <v>6.6523599999999998</v>
      </c>
      <c r="AL243" s="1271">
        <f>8.5030419*Unit.TWh</f>
        <v>8.5030418999999995</v>
      </c>
      <c r="AM243" s="1271">
        <f>9.7205866*Unit.TWh</f>
        <v>9.7205866000000007</v>
      </c>
      <c r="AN243" s="1271">
        <f>10.375123*Unit.TWh</f>
        <v>10.375123</v>
      </c>
      <c r="AO243" s="1271">
        <f>12.654603*Unit.TWh</f>
        <v>12.654603</v>
      </c>
      <c r="AP243" s="1271">
        <f>17.4844257*Unit.TWh</f>
        <v>17.484425699999999</v>
      </c>
      <c r="AQ243" s="1271">
        <f>18.91593462*Unit.TWh</f>
        <v>18.915934620000002</v>
      </c>
      <c r="AR243" s="1271">
        <f>19.24482717*Unit.TWh</f>
        <v>19.244827170000001</v>
      </c>
      <c r="AS243" s="1271">
        <f>20.29461125*Unit.TWh</f>
        <v>20.294611249999999</v>
      </c>
      <c r="AT243" s="1271">
        <f>20.91263605*Unit.TWh</f>
        <v>20.91263605</v>
      </c>
      <c r="AU243" s="1271">
        <f>21.92331406*Unit.TWh</f>
        <v>21.923314059999999</v>
      </c>
      <c r="AV243" s="1271">
        <f>22.89564828*Unit.TWh</f>
        <v>22.89564828</v>
      </c>
      <c r="AW243" s="1271" t="s">
        <v>1184</v>
      </c>
      <c r="AX243" s="1272"/>
      <c r="AY243" s="1273">
        <f t="shared" ref="AY243:BI243" ca="1" si="28">IFERROR(INDEX(INDIRECT($C243&amp;".Outputs["&amp;AY$4&amp;"]"),MATCH($D243,INDIRECT($C243&amp;".Outputs[Vector]"),0)),"na")</f>
        <v>9.1777777777777771</v>
      </c>
      <c r="AZ243" s="1273"/>
      <c r="BA243" s="1273">
        <f t="shared" ca="1" si="28"/>
        <v>10.305777777777783</v>
      </c>
      <c r="BB243" s="1273">
        <f t="shared" ca="1" si="28"/>
        <v>11.346016666666671</v>
      </c>
      <c r="BC243" s="1273">
        <f t="shared" ca="1" si="28"/>
        <v>12.386255555555559</v>
      </c>
      <c r="BD243" s="1273">
        <f t="shared" ca="1" si="28"/>
        <v>13.426494444444447</v>
      </c>
      <c r="BE243" s="1273">
        <f t="shared" ca="1" si="28"/>
        <v>14.466733333333337</v>
      </c>
      <c r="BF243" s="1273">
        <f t="shared" ca="1" si="28"/>
        <v>14.832036478670412</v>
      </c>
      <c r="BG243" s="1273">
        <f t="shared" ca="1" si="28"/>
        <v>15.206563986198885</v>
      </c>
      <c r="BH243" s="1273">
        <f t="shared" ca="1" si="28"/>
        <v>15.590548782623422</v>
      </c>
      <c r="BI243" s="1273">
        <f t="shared" ca="1" si="28"/>
        <v>15.984229676339865</v>
      </c>
      <c r="BJ243" s="1214"/>
    </row>
    <row r="244" spans="2:62">
      <c r="B244" s="1214"/>
      <c r="C244" s="1272"/>
      <c r="D244" s="1272"/>
      <c r="E244" s="1272"/>
      <c r="F244" s="1272"/>
      <c r="G244" s="1272"/>
      <c r="H244" s="1215"/>
      <c r="I244" s="1215"/>
      <c r="J244" s="1215"/>
      <c r="K244" s="1215"/>
      <c r="L244" s="1215"/>
      <c r="M244" s="1215"/>
      <c r="N244" s="1215"/>
      <c r="O244" s="1215"/>
      <c r="P244" s="1215"/>
      <c r="Q244" s="1215"/>
      <c r="R244" s="1215"/>
      <c r="S244" s="1215"/>
      <c r="T244" s="1215"/>
      <c r="U244" s="1215"/>
      <c r="V244" s="1215"/>
      <c r="W244" s="1215"/>
      <c r="X244" s="1215"/>
      <c r="Y244" s="1215"/>
      <c r="Z244" s="1215"/>
      <c r="AA244" s="1215"/>
      <c r="AB244" s="1215"/>
      <c r="AC244" s="1215"/>
      <c r="AD244" s="1215"/>
      <c r="AE244" s="1215"/>
      <c r="AF244" s="1215"/>
      <c r="AG244" s="1215"/>
      <c r="AH244" s="1215"/>
      <c r="AI244" s="1215"/>
      <c r="AJ244" s="1215"/>
      <c r="AK244" s="1215"/>
      <c r="AL244" s="1215"/>
      <c r="AM244" s="1215"/>
      <c r="AN244" s="1215"/>
      <c r="AO244" s="1215"/>
      <c r="AP244" s="1215"/>
      <c r="AQ244" s="1215"/>
      <c r="AR244" s="1215"/>
      <c r="AS244" s="1215"/>
      <c r="AT244" s="1215"/>
      <c r="AU244" s="1215"/>
      <c r="AV244" s="1215"/>
      <c r="AW244" s="1215"/>
      <c r="AX244" s="1272"/>
      <c r="AY244" s="1272"/>
      <c r="AZ244" s="1272"/>
      <c r="BA244" s="1272"/>
      <c r="BB244" s="1272"/>
      <c r="BC244" s="1272"/>
      <c r="BD244" s="1272"/>
      <c r="BE244" s="1272"/>
      <c r="BF244" s="1272"/>
      <c r="BG244" s="1272"/>
      <c r="BH244" s="1272"/>
      <c r="BI244" s="1272"/>
      <c r="BJ244" s="1214"/>
    </row>
    <row r="245" spans="2:62">
      <c r="B245" s="1214"/>
      <c r="C245" s="1274" t="s">
        <v>32</v>
      </c>
      <c r="D245" s="1272"/>
      <c r="E245" s="1272"/>
      <c r="F245" s="1272"/>
      <c r="G245" s="1272"/>
      <c r="H245" s="1215"/>
      <c r="I245" s="1215"/>
      <c r="J245" s="1215"/>
      <c r="K245" s="1215"/>
      <c r="L245" s="1215"/>
      <c r="M245" s="1215"/>
      <c r="N245" s="1215"/>
      <c r="O245" s="1215"/>
      <c r="P245" s="1215"/>
      <c r="Q245" s="1215"/>
      <c r="R245" s="1215"/>
      <c r="S245" s="1215"/>
      <c r="T245" s="1215"/>
      <c r="U245" s="1215"/>
      <c r="V245" s="1215"/>
      <c r="W245" s="1215"/>
      <c r="X245" s="1215"/>
      <c r="Y245" s="1215"/>
      <c r="Z245" s="1215"/>
      <c r="AA245" s="1215"/>
      <c r="AB245" s="1215"/>
      <c r="AC245" s="1215"/>
      <c r="AD245" s="1215"/>
      <c r="AE245" s="1215"/>
      <c r="AF245" s="1215"/>
      <c r="AG245" s="1215"/>
      <c r="AH245" s="1215"/>
      <c r="AI245" s="1215"/>
      <c r="AJ245" s="1215"/>
      <c r="AK245" s="1215"/>
      <c r="AL245" s="1215"/>
      <c r="AM245" s="1215"/>
      <c r="AN245" s="1215"/>
      <c r="AO245" s="1215"/>
      <c r="AP245" s="1215"/>
      <c r="AQ245" s="1215"/>
      <c r="AR245" s="1215"/>
      <c r="AS245" s="1215"/>
      <c r="AT245" s="1215"/>
      <c r="AU245" s="1215"/>
      <c r="AV245" s="1215"/>
      <c r="AW245" s="1215"/>
      <c r="AX245" s="1272"/>
      <c r="AY245" s="1272"/>
      <c r="AZ245" s="1272"/>
      <c r="BA245" s="1272"/>
      <c r="BB245" s="1272"/>
      <c r="BC245" s="1272"/>
      <c r="BD245" s="1272"/>
      <c r="BE245" s="1272"/>
      <c r="BF245" s="1272"/>
      <c r="BG245" s="1272"/>
      <c r="BH245" s="1272"/>
      <c r="BI245" s="1272"/>
      <c r="BJ245" s="1214"/>
    </row>
    <row r="246" spans="2:62">
      <c r="B246" s="1214"/>
      <c r="C246" s="1269" t="s">
        <v>432</v>
      </c>
      <c r="D246" s="1269" t="s">
        <v>36</v>
      </c>
      <c r="E246" s="1214" t="s">
        <v>49</v>
      </c>
      <c r="F246" s="1270"/>
      <c r="G246" s="1270"/>
      <c r="H246" s="1271"/>
      <c r="I246" s="1271"/>
      <c r="J246" s="1271"/>
      <c r="K246" s="1271"/>
      <c r="L246" s="1271"/>
      <c r="M246" s="1271"/>
      <c r="N246" s="1271"/>
      <c r="O246" s="1271"/>
      <c r="P246" s="1271"/>
      <c r="Q246" s="1271"/>
      <c r="R246" s="1271"/>
      <c r="S246" s="1271"/>
      <c r="T246" s="1271"/>
      <c r="U246" s="1271"/>
      <c r="V246" s="1271"/>
      <c r="W246" s="1271"/>
      <c r="X246" s="1271"/>
      <c r="Y246" s="1271"/>
      <c r="Z246" s="1271"/>
      <c r="AA246" s="1271"/>
      <c r="AB246" s="1271"/>
      <c r="AC246" s="1271"/>
      <c r="AD246" s="1271"/>
      <c r="AE246" s="1271"/>
      <c r="AF246" s="1271"/>
      <c r="AG246" s="1271"/>
      <c r="AH246" s="1271"/>
      <c r="AI246" s="1271"/>
      <c r="AJ246" s="1271">
        <f t="shared" ref="AJ246:AN248" si="29">0*Unit.TWh</f>
        <v>0</v>
      </c>
      <c r="AK246" s="1271">
        <f t="shared" si="29"/>
        <v>0</v>
      </c>
      <c r="AL246" s="1271">
        <f t="shared" si="29"/>
        <v>0</v>
      </c>
      <c r="AM246" s="1271">
        <f t="shared" si="29"/>
        <v>0</v>
      </c>
      <c r="AN246" s="1271">
        <f t="shared" si="29"/>
        <v>0</v>
      </c>
      <c r="AO246" s="1271">
        <f>1.2843009*Unit.TWh</f>
        <v>1.2843009000000001</v>
      </c>
      <c r="AP246" s="1271">
        <f>4.67526*Unit.TWh</f>
        <v>4.6752599999999997</v>
      </c>
      <c r="AQ246" s="1271">
        <f>4.89331583*Unit.TWh</f>
        <v>4.8933158299999997</v>
      </c>
      <c r="AR246" s="1271">
        <f>5.78000326*Unit.TWh</f>
        <v>5.78000326</v>
      </c>
      <c r="AS246" s="1271">
        <f>4.398455251*Unit.TWh</f>
        <v>4.3984552509999997</v>
      </c>
      <c r="AT246" s="1271">
        <f>5.033138643*Unit.TWh</f>
        <v>5.033138643</v>
      </c>
      <c r="AU246" s="1271">
        <f>4.917245238*Unit.TWh</f>
        <v>4.9172452379999996</v>
      </c>
      <c r="AV246" s="1271">
        <f>8.756573386*Unit.TWh</f>
        <v>8.7565733859999995</v>
      </c>
      <c r="AW246" s="1271" t="s">
        <v>1185</v>
      </c>
      <c r="AX246" s="1272"/>
      <c r="AY246" s="1273"/>
      <c r="AZ246" s="1273"/>
      <c r="BA246" s="1273"/>
      <c r="BB246" s="1273"/>
      <c r="BC246" s="1273"/>
      <c r="BD246" s="1273"/>
      <c r="BE246" s="1273"/>
      <c r="BF246" s="1273"/>
      <c r="BG246" s="1273"/>
      <c r="BH246" s="1273"/>
      <c r="BI246" s="1273"/>
      <c r="BJ246" s="1214"/>
    </row>
    <row r="247" spans="2:62">
      <c r="B247" s="1214"/>
      <c r="C247" s="1269" t="s">
        <v>432</v>
      </c>
      <c r="D247" s="1269" t="s">
        <v>38</v>
      </c>
      <c r="E247" s="1214" t="s">
        <v>50</v>
      </c>
      <c r="F247" s="1270"/>
      <c r="G247" s="1270"/>
      <c r="H247" s="1271"/>
      <c r="I247" s="1271"/>
      <c r="J247" s="1271"/>
      <c r="K247" s="1271"/>
      <c r="L247" s="1271"/>
      <c r="M247" s="1271"/>
      <c r="N247" s="1271"/>
      <c r="O247" s="1271"/>
      <c r="P247" s="1271"/>
      <c r="Q247" s="1271"/>
      <c r="R247" s="1271"/>
      <c r="S247" s="1271"/>
      <c r="T247" s="1271"/>
      <c r="U247" s="1271"/>
      <c r="V247" s="1271"/>
      <c r="W247" s="1271"/>
      <c r="X247" s="1271"/>
      <c r="Y247" s="1271"/>
      <c r="Z247" s="1271"/>
      <c r="AA247" s="1271"/>
      <c r="AB247" s="1271"/>
      <c r="AC247" s="1271"/>
      <c r="AD247" s="1271"/>
      <c r="AE247" s="1271"/>
      <c r="AF247" s="1271"/>
      <c r="AG247" s="1271"/>
      <c r="AH247" s="1271"/>
      <c r="AI247" s="1271"/>
      <c r="AJ247" s="1271">
        <f t="shared" si="29"/>
        <v>0</v>
      </c>
      <c r="AK247" s="1271">
        <f t="shared" si="29"/>
        <v>0</v>
      </c>
      <c r="AL247" s="1271">
        <f t="shared" si="29"/>
        <v>0</v>
      </c>
      <c r="AM247" s="1271">
        <f t="shared" si="29"/>
        <v>0</v>
      </c>
      <c r="AN247" s="1271">
        <f t="shared" si="29"/>
        <v>0</v>
      </c>
      <c r="AO247" s="1271">
        <f>0*Unit.TWh</f>
        <v>0</v>
      </c>
      <c r="AP247" s="1271">
        <f>0*Unit.TWh</f>
        <v>0</v>
      </c>
      <c r="AQ247" s="1271">
        <f>0.768079488*Unit.TWh</f>
        <v>0.76807948800000003</v>
      </c>
      <c r="AR247" s="1271">
        <f>0.621433135*Unit.TWh</f>
        <v>0.62143313499999997</v>
      </c>
      <c r="AS247" s="1271">
        <f>0.883831113*Unit.TWh</f>
        <v>0.88383111299999995</v>
      </c>
      <c r="AT247" s="1271">
        <f>6.362225731*Unit.TWh</f>
        <v>6.3622257309999997</v>
      </c>
      <c r="AU247" s="1271">
        <f>9.448472566*Unit.TWh</f>
        <v>9.4484725659999995</v>
      </c>
      <c r="AV247" s="1271">
        <f>11.52719409*Unit.TWh</f>
        <v>11.52719409</v>
      </c>
      <c r="AW247" s="1271" t="s">
        <v>1186</v>
      </c>
      <c r="AX247" s="1272"/>
      <c r="AY247" s="1273">
        <f t="shared" ref="AY247:BI247" ca="1" si="30">IFERROR(INDEX(INDIRECT($C247&amp;".Outputs["&amp;AY$4&amp;"]"),MATCH($D247,INDIRECT($C247&amp;".Outputs[Vector]"),0)),"na")</f>
        <v>0</v>
      </c>
      <c r="AZ247" s="1273"/>
      <c r="BA247" s="1273">
        <f t="shared" ca="1" si="30"/>
        <v>0.13142242804166665</v>
      </c>
      <c r="BB247" s="1273">
        <f t="shared" ca="1" si="30"/>
        <v>3.0140876139388606</v>
      </c>
      <c r="BC247" s="1273">
        <f t="shared" ca="1" si="30"/>
        <v>6.6403498055675261</v>
      </c>
      <c r="BD247" s="1273">
        <f t="shared" ca="1" si="30"/>
        <v>11.174550655547504</v>
      </c>
      <c r="BE247" s="1273">
        <f t="shared" ca="1" si="30"/>
        <v>16.858011722794185</v>
      </c>
      <c r="BF247" s="1273">
        <f t="shared" ca="1" si="30"/>
        <v>23.81237420320716</v>
      </c>
      <c r="BG247" s="1273">
        <f t="shared" ca="1" si="30"/>
        <v>32.28279205089418</v>
      </c>
      <c r="BH247" s="1273">
        <f t="shared" ca="1" si="30"/>
        <v>42.443260246537498</v>
      </c>
      <c r="BI247" s="1273">
        <f t="shared" ca="1" si="30"/>
        <v>54.656933937500007</v>
      </c>
      <c r="BJ247" s="1214"/>
    </row>
    <row r="248" spans="2:62">
      <c r="B248" s="1214"/>
      <c r="C248" s="1269" t="s">
        <v>432</v>
      </c>
      <c r="D248" s="1269" t="s">
        <v>39</v>
      </c>
      <c r="E248" s="1214" t="s">
        <v>163</v>
      </c>
      <c r="F248" s="1270"/>
      <c r="G248" s="1270"/>
      <c r="H248" s="1271"/>
      <c r="I248" s="1271"/>
      <c r="J248" s="1271"/>
      <c r="K248" s="1271"/>
      <c r="L248" s="1271"/>
      <c r="M248" s="1271"/>
      <c r="N248" s="1271"/>
      <c r="O248" s="1271"/>
      <c r="P248" s="1271"/>
      <c r="Q248" s="1271"/>
      <c r="R248" s="1271"/>
      <c r="S248" s="1271"/>
      <c r="T248" s="1271"/>
      <c r="U248" s="1271"/>
      <c r="V248" s="1271"/>
      <c r="W248" s="1271"/>
      <c r="X248" s="1271"/>
      <c r="Y248" s="1271"/>
      <c r="Z248" s="1271"/>
      <c r="AA248" s="1271"/>
      <c r="AB248" s="1271"/>
      <c r="AC248" s="1271"/>
      <c r="AD248" s="1271"/>
      <c r="AE248" s="1271"/>
      <c r="AF248" s="1271"/>
      <c r="AG248" s="1271"/>
      <c r="AH248" s="1271"/>
      <c r="AI248" s="1271"/>
      <c r="AJ248" s="1271">
        <f t="shared" si="29"/>
        <v>0</v>
      </c>
      <c r="AK248" s="1271">
        <f t="shared" si="29"/>
        <v>0</v>
      </c>
      <c r="AL248" s="1271">
        <f t="shared" si="29"/>
        <v>0</v>
      </c>
      <c r="AM248" s="1271">
        <f t="shared" si="29"/>
        <v>0</v>
      </c>
      <c r="AN248" s="1271">
        <f t="shared" si="29"/>
        <v>0</v>
      </c>
      <c r="AO248" s="1271">
        <f>0*Unit.TWh</f>
        <v>0</v>
      </c>
      <c r="AP248" s="1271">
        <f>0*Unit.TWh</f>
        <v>0</v>
      </c>
      <c r="AQ248" s="1271">
        <f t="shared" ref="AQ248:AV248" si="31">0*Unit.TWh</f>
        <v>0</v>
      </c>
      <c r="AR248" s="1271">
        <f t="shared" si="31"/>
        <v>0</v>
      </c>
      <c r="AS248" s="1271">
        <f t="shared" si="31"/>
        <v>0</v>
      </c>
      <c r="AT248" s="1271">
        <f t="shared" si="31"/>
        <v>0</v>
      </c>
      <c r="AU248" s="1271">
        <f t="shared" si="31"/>
        <v>0</v>
      </c>
      <c r="AV248" s="1271">
        <f t="shared" si="31"/>
        <v>0</v>
      </c>
      <c r="AW248" s="1271" t="s">
        <v>1187</v>
      </c>
      <c r="AX248" s="1272"/>
      <c r="AY248" s="1273"/>
      <c r="AZ248" s="1273"/>
      <c r="BA248" s="1273"/>
      <c r="BB248" s="1273"/>
      <c r="BC248" s="1273"/>
      <c r="BD248" s="1273"/>
      <c r="BE248" s="1273"/>
      <c r="BF248" s="1273"/>
      <c r="BG248" s="1273"/>
      <c r="BH248" s="1273"/>
      <c r="BI248" s="1273"/>
      <c r="BJ248" s="1214"/>
    </row>
    <row r="249" spans="2:62">
      <c r="B249" s="1214"/>
      <c r="C249" s="1214"/>
      <c r="D249" s="1214"/>
      <c r="E249" s="1214"/>
      <c r="F249" s="1214"/>
      <c r="G249" s="1214"/>
      <c r="H249" s="1215"/>
      <c r="I249" s="1215"/>
      <c r="J249" s="1215"/>
      <c r="K249" s="1215"/>
      <c r="L249" s="1215"/>
      <c r="M249" s="1215"/>
      <c r="N249" s="1215"/>
      <c r="O249" s="1215"/>
      <c r="P249" s="1215"/>
      <c r="Q249" s="1215"/>
      <c r="R249" s="1215"/>
      <c r="S249" s="1215"/>
      <c r="T249" s="1215"/>
      <c r="U249" s="1215"/>
      <c r="V249" s="1215"/>
      <c r="W249" s="1215"/>
      <c r="X249" s="1215"/>
      <c r="Y249" s="1215"/>
      <c r="Z249" s="1215"/>
      <c r="AA249" s="1215"/>
      <c r="AB249" s="1215"/>
      <c r="AC249" s="1215"/>
      <c r="AD249" s="1215"/>
      <c r="AE249" s="1215"/>
      <c r="AF249" s="1215"/>
      <c r="AG249" s="1215"/>
      <c r="AH249" s="1215"/>
      <c r="AI249" s="1215"/>
      <c r="AJ249" s="1215"/>
      <c r="AK249" s="1215"/>
      <c r="AL249" s="1215"/>
      <c r="AM249" s="1215"/>
      <c r="AN249" s="1215"/>
      <c r="AO249" s="1215"/>
      <c r="AP249" s="1215"/>
      <c r="AQ249" s="1215"/>
      <c r="AR249" s="1215"/>
      <c r="AS249" s="1215"/>
      <c r="AT249" s="1215"/>
      <c r="AU249" s="1215"/>
      <c r="AV249" s="1215"/>
      <c r="AW249" s="1215"/>
      <c r="AX249" s="1214"/>
      <c r="AY249" s="1214"/>
      <c r="AZ249" s="1214"/>
      <c r="BA249" s="1214"/>
      <c r="BB249" s="1214"/>
      <c r="BC249" s="1214"/>
      <c r="BD249" s="1214"/>
      <c r="BE249" s="1214"/>
      <c r="BF249" s="1214"/>
      <c r="BG249" s="1214"/>
      <c r="BH249" s="1214"/>
      <c r="BI249" s="1214"/>
      <c r="BJ249" s="1214"/>
    </row>
    <row r="250" spans="2:62">
      <c r="B250" s="1214"/>
      <c r="C250" s="1236" t="s">
        <v>32</v>
      </c>
      <c r="D250" s="1214"/>
      <c r="E250" s="1214"/>
      <c r="F250" s="1214"/>
      <c r="G250" s="1214"/>
      <c r="H250" s="1215"/>
      <c r="I250" s="1215"/>
      <c r="J250" s="1215"/>
      <c r="K250" s="1215"/>
      <c r="L250" s="1215"/>
      <c r="M250" s="1215"/>
      <c r="N250" s="1215"/>
      <c r="O250" s="1215"/>
      <c r="P250" s="1215"/>
      <c r="Q250" s="1215"/>
      <c r="R250" s="1215"/>
      <c r="S250" s="1215"/>
      <c r="T250" s="1215"/>
      <c r="U250" s="1215"/>
      <c r="V250" s="1215"/>
      <c r="W250" s="1215"/>
      <c r="X250" s="1215"/>
      <c r="Y250" s="1215"/>
      <c r="Z250" s="1215"/>
      <c r="AA250" s="1215"/>
      <c r="AB250" s="1215"/>
      <c r="AC250" s="1215"/>
      <c r="AD250" s="1215"/>
      <c r="AE250" s="1215"/>
      <c r="AF250" s="1215"/>
      <c r="AG250" s="1215"/>
      <c r="AH250" s="1215"/>
      <c r="AI250" s="1215"/>
      <c r="AJ250" s="1215"/>
      <c r="AK250" s="1215"/>
      <c r="AL250" s="1215"/>
      <c r="AM250" s="1215"/>
      <c r="AN250" s="1215"/>
      <c r="AO250" s="1215"/>
      <c r="AP250" s="1215"/>
      <c r="AQ250" s="1215"/>
      <c r="AR250" s="1215"/>
      <c r="AS250" s="1215"/>
      <c r="AT250" s="1215"/>
      <c r="AU250" s="1215"/>
      <c r="AV250" s="1215"/>
      <c r="AW250" s="1215"/>
      <c r="AX250" s="1214"/>
      <c r="AY250" s="1214"/>
      <c r="AZ250" s="1214"/>
      <c r="BA250" s="1214"/>
      <c r="BB250" s="1214"/>
      <c r="BC250" s="1214"/>
      <c r="BD250" s="1214"/>
      <c r="BE250" s="1214"/>
      <c r="BF250" s="1214"/>
      <c r="BG250" s="1214"/>
      <c r="BH250" s="1214"/>
      <c r="BI250" s="1214"/>
      <c r="BJ250" s="1214"/>
    </row>
    <row r="251" spans="2:62">
      <c r="B251" s="1214"/>
      <c r="C251" s="1269" t="s">
        <v>2068</v>
      </c>
      <c r="D251" s="1269" t="s">
        <v>36</v>
      </c>
      <c r="E251" s="1214" t="s">
        <v>49</v>
      </c>
      <c r="F251" s="1270"/>
      <c r="G251" s="1270"/>
      <c r="H251" s="1271"/>
      <c r="I251" s="1271"/>
      <c r="J251" s="1271"/>
      <c r="K251" s="1271"/>
      <c r="L251" s="1271"/>
      <c r="M251" s="1271"/>
      <c r="N251" s="1271"/>
      <c r="O251" s="1271"/>
      <c r="P251" s="1271"/>
      <c r="Q251" s="1271"/>
      <c r="R251" s="1271"/>
      <c r="S251" s="1271"/>
      <c r="T251" s="1271"/>
      <c r="U251" s="1271"/>
      <c r="V251" s="1271"/>
      <c r="W251" s="1271"/>
      <c r="X251" s="1271"/>
      <c r="Y251" s="1271"/>
      <c r="Z251" s="1271"/>
      <c r="AA251" s="1271"/>
      <c r="AB251" s="1271"/>
      <c r="AC251" s="1271"/>
      <c r="AD251" s="1271"/>
      <c r="AE251" s="1271"/>
      <c r="AF251" s="1271"/>
      <c r="AG251" s="1271"/>
      <c r="AH251" s="1271"/>
      <c r="AI251" s="1271"/>
      <c r="AJ251" s="1271">
        <f>11.2811*Unit.TWh</f>
        <v>11.2811</v>
      </c>
      <c r="AK251" s="1271">
        <f>11.5128859*Unit.TWh</f>
        <v>11.512885900000001</v>
      </c>
      <c r="AL251" s="1271">
        <f>9.9829594*Unit.TWh</f>
        <v>9.9829594000000004</v>
      </c>
      <c r="AM251" s="1271">
        <f>10.7253023*Unit.TWh</f>
        <v>10.725302299999999</v>
      </c>
      <c r="AN251" s="1271">
        <f>11.7831671*Unit.TWh</f>
        <v>11.7831671</v>
      </c>
      <c r="AO251" s="1271">
        <f>13.2077258*Unit.TWh</f>
        <v>13.2077258</v>
      </c>
      <c r="AP251" s="1271">
        <f>12.9045317*Unit.TWh</f>
        <v>12.9045317</v>
      </c>
      <c r="AQ251" s="1271">
        <f>18.45851032*Unit.TWh</f>
        <v>18.458510319999998</v>
      </c>
      <c r="AR251" s="1271">
        <f>18.88799564*Unit.TWh</f>
        <v>18.88799564</v>
      </c>
      <c r="AS251" s="1271">
        <f>18.50890517*Unit.TWh</f>
        <v>18.508905169999998</v>
      </c>
      <c r="AT251" s="1271">
        <f>20.71415345*Unit.TWh</f>
        <v>20.714153450000001</v>
      </c>
      <c r="AU251" s="1271">
        <f>23.70385084*Unit.TWh</f>
        <v>23.703850840000001</v>
      </c>
      <c r="AV251" s="1271">
        <f>28.71642504*Unit.TWh</f>
        <v>28.716425040000001</v>
      </c>
      <c r="AW251" s="1271" t="s">
        <v>1179</v>
      </c>
      <c r="AX251" s="1214"/>
      <c r="AY251" s="1273">
        <f t="shared" ref="AY251:BI251" ca="1" si="32">IFERROR(INDEX(INDIRECT($C251&amp;".Outputs["&amp;AY$4&amp;"]"),MATCH($D251,INDIRECT($C251&amp;".Outputs[Vector]"),0)),"na")</f>
        <v>937.23355555555554</v>
      </c>
      <c r="AZ251" s="1273"/>
      <c r="BA251" s="1273">
        <f t="shared" ca="1" si="32"/>
        <v>948.40980000000002</v>
      </c>
      <c r="BB251" s="1273">
        <f t="shared" ca="1" si="32"/>
        <v>947.50491464762865</v>
      </c>
      <c r="BC251" s="1273">
        <f t="shared" ca="1" si="32"/>
        <v>946.63986672306442</v>
      </c>
      <c r="BD251" s="1273">
        <f t="shared" ca="1" si="32"/>
        <v>945.81505619727227</v>
      </c>
      <c r="BE251" s="1273">
        <f t="shared" ca="1" si="32"/>
        <v>945.03088705695825</v>
      </c>
      <c r="BF251" s="1273">
        <f t="shared" ca="1" si="32"/>
        <v>944.28776734488724</v>
      </c>
      <c r="BG251" s="1273">
        <f t="shared" ca="1" si="32"/>
        <v>939.97345000000041</v>
      </c>
      <c r="BH251" s="1273">
        <f t="shared" ca="1" si="32"/>
        <v>935.10072500000024</v>
      </c>
      <c r="BI251" s="1273">
        <f t="shared" ca="1" si="32"/>
        <v>930.22800000000007</v>
      </c>
      <c r="BJ251" s="1214"/>
    </row>
    <row r="252" spans="2:62">
      <c r="B252" s="1214"/>
      <c r="C252" s="1269" t="s">
        <v>2068</v>
      </c>
      <c r="D252" s="1269" t="s">
        <v>38</v>
      </c>
      <c r="E252" s="1214" t="s">
        <v>50</v>
      </c>
      <c r="F252" s="1270"/>
      <c r="G252" s="1270"/>
      <c r="H252" s="1271"/>
      <c r="I252" s="1271"/>
      <c r="J252" s="1271"/>
      <c r="K252" s="1271"/>
      <c r="L252" s="1271"/>
      <c r="M252" s="1271"/>
      <c r="N252" s="1271"/>
      <c r="O252" s="1271"/>
      <c r="P252" s="1271"/>
      <c r="Q252" s="1271"/>
      <c r="R252" s="1271"/>
      <c r="S252" s="1271"/>
      <c r="T252" s="1271"/>
      <c r="U252" s="1271"/>
      <c r="V252" s="1271"/>
      <c r="W252" s="1271"/>
      <c r="X252" s="1271"/>
      <c r="Y252" s="1271"/>
      <c r="Z252" s="1271"/>
      <c r="AA252" s="1271"/>
      <c r="AB252" s="1271"/>
      <c r="AC252" s="1271"/>
      <c r="AD252" s="1271"/>
      <c r="AE252" s="1271"/>
      <c r="AF252" s="1271"/>
      <c r="AG252" s="1271"/>
      <c r="AH252" s="1271"/>
      <c r="AI252" s="1271"/>
      <c r="AJ252" s="1271">
        <f t="shared" ref="AJ252:AP252" si="33">0*Unit.TWh</f>
        <v>0</v>
      </c>
      <c r="AK252" s="1271">
        <f t="shared" si="33"/>
        <v>0</v>
      </c>
      <c r="AL252" s="1271">
        <f t="shared" si="33"/>
        <v>0</v>
      </c>
      <c r="AM252" s="1271">
        <f t="shared" si="33"/>
        <v>0</v>
      </c>
      <c r="AN252" s="1271">
        <f t="shared" si="33"/>
        <v>0</v>
      </c>
      <c r="AO252" s="1271">
        <f t="shared" si="33"/>
        <v>0</v>
      </c>
      <c r="AP252" s="1271">
        <f t="shared" si="33"/>
        <v>0</v>
      </c>
      <c r="AQ252" s="1271">
        <f>0.861215638*Unit.TWh</f>
        <v>0.86121563800000001</v>
      </c>
      <c r="AR252" s="1271">
        <f>3.313229379*Unit.TWh</f>
        <v>3.313229379</v>
      </c>
      <c r="AS252" s="1271">
        <f>5.483743472*Unit.TWh</f>
        <v>5.4837434719999996</v>
      </c>
      <c r="AT252" s="1271">
        <f>9.878952814*Unit.TWh</f>
        <v>9.8789528139999998</v>
      </c>
      <c r="AU252" s="1271">
        <f>12.07762885*Unit.TWh</f>
        <v>12.07762885</v>
      </c>
      <c r="AV252" s="1271">
        <f>15.06624188*Unit.TWh</f>
        <v>15.06624188</v>
      </c>
      <c r="AW252" s="1271" t="s">
        <v>1179</v>
      </c>
      <c r="AX252" s="1214"/>
      <c r="AY252" s="1273"/>
      <c r="AZ252" s="1273"/>
      <c r="BA252" s="1273"/>
      <c r="BB252" s="1273"/>
      <c r="BC252" s="1273"/>
      <c r="BD252" s="1273"/>
      <c r="BE252" s="1273"/>
      <c r="BF252" s="1273"/>
      <c r="BG252" s="1273"/>
      <c r="BH252" s="1273"/>
      <c r="BI252" s="1273"/>
      <c r="BJ252" s="1214"/>
    </row>
    <row r="253" spans="2:62">
      <c r="B253" s="1214"/>
      <c r="C253" s="1269" t="s">
        <v>2068</v>
      </c>
      <c r="D253" s="1269" t="s">
        <v>39</v>
      </c>
      <c r="E253" s="1214" t="s">
        <v>163</v>
      </c>
      <c r="F253" s="1270"/>
      <c r="G253" s="1270"/>
      <c r="H253" s="1271"/>
      <c r="I253" s="1271"/>
      <c r="J253" s="1271"/>
      <c r="K253" s="1271"/>
      <c r="L253" s="1271"/>
      <c r="M253" s="1271"/>
      <c r="N253" s="1271"/>
      <c r="O253" s="1271"/>
      <c r="P253" s="1271"/>
      <c r="Q253" s="1271"/>
      <c r="R253" s="1271"/>
      <c r="S253" s="1271"/>
      <c r="T253" s="1271"/>
      <c r="U253" s="1271"/>
      <c r="V253" s="1271"/>
      <c r="W253" s="1271"/>
      <c r="X253" s="1271"/>
      <c r="Y253" s="1271"/>
      <c r="Z253" s="1271"/>
      <c r="AA253" s="1271"/>
      <c r="AB253" s="1271"/>
      <c r="AC253" s="1271"/>
      <c r="AD253" s="1271"/>
      <c r="AE253" s="1271"/>
      <c r="AF253" s="1271"/>
      <c r="AG253" s="1271"/>
      <c r="AH253" s="1271"/>
      <c r="AI253" s="1271"/>
      <c r="AJ253" s="1271">
        <f>4.679912*Unit.TWh</f>
        <v>4.6799119999999998</v>
      </c>
      <c r="AK253" s="1271">
        <f>6.65236*Unit.TWh</f>
        <v>6.6523599999999998</v>
      </c>
      <c r="AL253" s="1271">
        <f>8.5030419*Unit.TWh</f>
        <v>8.5030418999999995</v>
      </c>
      <c r="AM253" s="1271">
        <f>9.7205866*Unit.TWh</f>
        <v>9.7205866000000007</v>
      </c>
      <c r="AN253" s="1271">
        <f>10.375123*Unit.TWh</f>
        <v>10.375123</v>
      </c>
      <c r="AO253" s="1271">
        <f>12.654603*Unit.TWh</f>
        <v>12.654603</v>
      </c>
      <c r="AP253" s="1271">
        <f>17.4844257*Unit.TWh</f>
        <v>17.484425699999999</v>
      </c>
      <c r="AQ253" s="1271">
        <f>18.91593462*Unit.TWh</f>
        <v>18.915934620000002</v>
      </c>
      <c r="AR253" s="1271">
        <f>19.24482717*Unit.TWh</f>
        <v>19.244827170000001</v>
      </c>
      <c r="AS253" s="1271">
        <f>20.29461125*Unit.TWh</f>
        <v>20.294611249999999</v>
      </c>
      <c r="AT253" s="1271">
        <f>20.91263605*Unit.TWh</f>
        <v>20.91263605</v>
      </c>
      <c r="AU253" s="1271">
        <f>21.92331406*Unit.TWh</f>
        <v>21.923314059999999</v>
      </c>
      <c r="AV253" s="1271">
        <f>22.89564828*Unit.TWh</f>
        <v>22.89564828</v>
      </c>
      <c r="AW253" s="1271" t="s">
        <v>1179</v>
      </c>
      <c r="AX253" s="1214"/>
      <c r="AY253" s="1273"/>
      <c r="AZ253" s="1273"/>
      <c r="BA253" s="1273"/>
      <c r="BB253" s="1273"/>
      <c r="BC253" s="1273"/>
      <c r="BD253" s="1273"/>
      <c r="BE253" s="1273"/>
      <c r="BF253" s="1273"/>
      <c r="BG253" s="1273"/>
      <c r="BH253" s="1273"/>
      <c r="BI253" s="1273"/>
      <c r="BJ253" s="1214"/>
    </row>
    <row r="254" spans="2:62">
      <c r="B254" s="1214"/>
      <c r="C254" s="1269"/>
      <c r="D254" s="1269"/>
      <c r="E254" s="1214"/>
      <c r="F254" s="1270"/>
      <c r="G254" s="1270"/>
      <c r="H254" s="1271"/>
      <c r="I254" s="1271"/>
      <c r="J254" s="1271"/>
      <c r="K254" s="1271"/>
      <c r="L254" s="1271"/>
      <c r="M254" s="1271"/>
      <c r="N254" s="1271"/>
      <c r="O254" s="1271"/>
      <c r="P254" s="1271"/>
      <c r="Q254" s="1271"/>
      <c r="R254" s="1271"/>
      <c r="S254" s="1271"/>
      <c r="T254" s="1271"/>
      <c r="U254" s="1271"/>
      <c r="V254" s="1271"/>
      <c r="W254" s="1271"/>
      <c r="X254" s="1271"/>
      <c r="Y254" s="1271"/>
      <c r="Z254" s="1271"/>
      <c r="AA254" s="1271"/>
      <c r="AB254" s="1271"/>
      <c r="AC254" s="1271"/>
      <c r="AD254" s="1271"/>
      <c r="AE254" s="1271"/>
      <c r="AF254" s="1271"/>
      <c r="AG254" s="1271"/>
      <c r="AH254" s="1271"/>
      <c r="AI254" s="1271"/>
      <c r="AJ254" s="1271"/>
      <c r="AK254" s="1271"/>
      <c r="AL254" s="1271"/>
      <c r="AM254" s="1271"/>
      <c r="AN254" s="1271"/>
      <c r="AO254" s="1271"/>
      <c r="AP254" s="1271"/>
      <c r="AQ254" s="1271"/>
      <c r="AR254" s="1271"/>
      <c r="AS254" s="1271"/>
      <c r="AT254" s="1271"/>
      <c r="AU254" s="1271"/>
      <c r="AV254" s="1271"/>
      <c r="AW254" s="1271"/>
      <c r="AX254" s="1214"/>
      <c r="AY254" s="1273"/>
      <c r="AZ254" s="1273"/>
      <c r="BA254" s="1273"/>
      <c r="BB254" s="1273"/>
      <c r="BC254" s="1273"/>
      <c r="BD254" s="1273"/>
      <c r="BE254" s="1273"/>
      <c r="BF254" s="1273"/>
      <c r="BG254" s="1273"/>
      <c r="BH254" s="1273"/>
      <c r="BI254" s="1273"/>
      <c r="BJ254" s="1214"/>
    </row>
    <row r="255" spans="2:62">
      <c r="B255" s="1214"/>
      <c r="C255" s="1236" t="s">
        <v>2091</v>
      </c>
      <c r="D255" s="1214"/>
      <c r="E255" s="1214"/>
      <c r="F255" s="1214"/>
      <c r="G255" s="1214"/>
      <c r="H255" s="1215"/>
      <c r="I255" s="1215"/>
      <c r="J255" s="1215"/>
      <c r="K255" s="1215"/>
      <c r="L255" s="1215"/>
      <c r="M255" s="1215"/>
      <c r="N255" s="1215"/>
      <c r="O255" s="1215"/>
      <c r="P255" s="1215"/>
      <c r="Q255" s="1215"/>
      <c r="R255" s="1215"/>
      <c r="S255" s="1215"/>
      <c r="T255" s="1215"/>
      <c r="U255" s="1215"/>
      <c r="V255" s="1215"/>
      <c r="W255" s="1215"/>
      <c r="X255" s="1215"/>
      <c r="Y255" s="1215"/>
      <c r="Z255" s="1215"/>
      <c r="AA255" s="1215"/>
      <c r="AB255" s="1215"/>
      <c r="AC255" s="1215"/>
      <c r="AD255" s="1215"/>
      <c r="AE255" s="1215"/>
      <c r="AF255" s="1215"/>
      <c r="AG255" s="1215"/>
      <c r="AH255" s="1215"/>
      <c r="AI255" s="1215"/>
      <c r="AJ255" s="1215"/>
      <c r="AK255" s="1215"/>
      <c r="AL255" s="1215"/>
      <c r="AM255" s="1215"/>
      <c r="AN255" s="1215"/>
      <c r="AO255" s="1215"/>
      <c r="AP255" s="1215"/>
      <c r="AQ255" s="1215"/>
      <c r="AR255" s="1215"/>
      <c r="AS255" s="1215"/>
      <c r="AT255" s="1215"/>
      <c r="AU255" s="1215"/>
      <c r="AV255" s="1215"/>
      <c r="AW255" s="1215"/>
      <c r="AX255" s="1214"/>
      <c r="AY255" s="1214"/>
      <c r="AZ255" s="1214"/>
      <c r="BA255" s="1214"/>
      <c r="BB255" s="1214"/>
      <c r="BC255" s="1214"/>
      <c r="BD255" s="1214"/>
      <c r="BE255" s="1214"/>
      <c r="BF255" s="1214"/>
      <c r="BG255" s="1214"/>
      <c r="BH255" s="1214"/>
      <c r="BI255" s="1214"/>
      <c r="BJ255" s="1214"/>
    </row>
    <row r="256" spans="2:62">
      <c r="B256" s="1214"/>
      <c r="C256" s="1269" t="s">
        <v>296</v>
      </c>
      <c r="D256" s="1269" t="s">
        <v>36</v>
      </c>
      <c r="E256" s="1214" t="s">
        <v>49</v>
      </c>
      <c r="F256" s="1270"/>
      <c r="G256" s="1270"/>
      <c r="H256" s="1271"/>
      <c r="I256" s="1271"/>
      <c r="J256" s="1271"/>
      <c r="K256" s="1271"/>
      <c r="L256" s="1271"/>
      <c r="M256" s="1271"/>
      <c r="N256" s="1271"/>
      <c r="O256" s="1271"/>
      <c r="P256" s="1271"/>
      <c r="Q256" s="1271"/>
      <c r="R256" s="1271"/>
      <c r="S256" s="1271"/>
      <c r="T256" s="1271"/>
      <c r="U256" s="1271"/>
      <c r="V256" s="1271"/>
      <c r="W256" s="1271"/>
      <c r="X256" s="1271"/>
      <c r="Y256" s="1271"/>
      <c r="Z256" s="1271"/>
      <c r="AA256" s="1271"/>
      <c r="AB256" s="1271"/>
      <c r="AC256" s="1271"/>
      <c r="AD256" s="1271"/>
      <c r="AE256" s="1271"/>
      <c r="AF256" s="1271"/>
      <c r="AG256" s="1271"/>
      <c r="AH256" s="1271"/>
      <c r="AI256" s="1271"/>
      <c r="AJ256" s="1271">
        <f>11.2811*Unit.TWh</f>
        <v>11.2811</v>
      </c>
      <c r="AK256" s="1271">
        <f>11.5128859*Unit.TWh</f>
        <v>11.512885900000001</v>
      </c>
      <c r="AL256" s="1271">
        <f>9.9829594*Unit.TWh</f>
        <v>9.9829594000000004</v>
      </c>
      <c r="AM256" s="1271">
        <f>10.7253023*Unit.TWh</f>
        <v>10.725302299999999</v>
      </c>
      <c r="AN256" s="1271">
        <f>11.7831671*Unit.TWh</f>
        <v>11.7831671</v>
      </c>
      <c r="AO256" s="1271">
        <f>13.2077258*Unit.TWh</f>
        <v>13.2077258</v>
      </c>
      <c r="AP256" s="1271">
        <f>12.9045317*Unit.TWh</f>
        <v>12.9045317</v>
      </c>
      <c r="AQ256" s="1271">
        <f>18.45851032*Unit.TWh</f>
        <v>18.458510319999998</v>
      </c>
      <c r="AR256" s="1271">
        <f>18.88799564*Unit.TWh</f>
        <v>18.88799564</v>
      </c>
      <c r="AS256" s="1271">
        <f>18.50890517*Unit.TWh</f>
        <v>18.508905169999998</v>
      </c>
      <c r="AT256" s="1271">
        <f>20.71415345*Unit.TWh</f>
        <v>20.714153450000001</v>
      </c>
      <c r="AU256" s="1271">
        <f>23.70385084*Unit.TWh</f>
        <v>23.703850840000001</v>
      </c>
      <c r="AV256" s="1271">
        <f>28.71642504*Unit.TWh</f>
        <v>28.716425040000001</v>
      </c>
      <c r="AW256" s="1271" t="s">
        <v>1179</v>
      </c>
      <c r="AX256" s="1214"/>
      <c r="AY256" s="1273">
        <f t="shared" ref="AY256:BI258" ca="1" si="34">IFERROR(INDEX(INDIRECT($C256&amp;".Outputs["&amp;AY$4&amp;"]"),MATCH($D256,INDIRECT($C256&amp;".Outputs[Vector]"),0)),"na")</f>
        <v>0</v>
      </c>
      <c r="AZ256" s="1273"/>
      <c r="BA256" s="1273">
        <f t="shared" ca="1" si="34"/>
        <v>0</v>
      </c>
      <c r="BB256" s="1273">
        <f t="shared" ca="1" si="34"/>
        <v>0</v>
      </c>
      <c r="BC256" s="1273">
        <f t="shared" ca="1" si="34"/>
        <v>0</v>
      </c>
      <c r="BD256" s="1273">
        <f t="shared" ca="1" si="34"/>
        <v>0</v>
      </c>
      <c r="BE256" s="1273">
        <f t="shared" ca="1" si="34"/>
        <v>0</v>
      </c>
      <c r="BF256" s="1273">
        <f t="shared" ca="1" si="34"/>
        <v>0</v>
      </c>
      <c r="BG256" s="1273">
        <f t="shared" ca="1" si="34"/>
        <v>0</v>
      </c>
      <c r="BH256" s="1273">
        <f t="shared" ca="1" si="34"/>
        <v>0</v>
      </c>
      <c r="BI256" s="1273">
        <f t="shared" ca="1" si="34"/>
        <v>0</v>
      </c>
      <c r="BJ256" s="1214"/>
    </row>
    <row r="257" spans="2:62">
      <c r="B257" s="1214"/>
      <c r="C257" s="1269" t="s">
        <v>296</v>
      </c>
      <c r="D257" s="1269" t="s">
        <v>38</v>
      </c>
      <c r="E257" s="1214" t="s">
        <v>50</v>
      </c>
      <c r="F257" s="1270"/>
      <c r="G257" s="1270"/>
      <c r="H257" s="1271"/>
      <c r="I257" s="1271"/>
      <c r="J257" s="1271"/>
      <c r="K257" s="1271"/>
      <c r="L257" s="1271"/>
      <c r="M257" s="1271"/>
      <c r="N257" s="1271"/>
      <c r="O257" s="1271"/>
      <c r="P257" s="1271"/>
      <c r="Q257" s="1271"/>
      <c r="R257" s="1271"/>
      <c r="S257" s="1271"/>
      <c r="T257" s="1271"/>
      <c r="U257" s="1271"/>
      <c r="V257" s="1271"/>
      <c r="W257" s="1271"/>
      <c r="X257" s="1271"/>
      <c r="Y257" s="1271"/>
      <c r="Z257" s="1271"/>
      <c r="AA257" s="1271"/>
      <c r="AB257" s="1271"/>
      <c r="AC257" s="1271"/>
      <c r="AD257" s="1271"/>
      <c r="AE257" s="1271"/>
      <c r="AF257" s="1271"/>
      <c r="AG257" s="1271"/>
      <c r="AH257" s="1271"/>
      <c r="AI257" s="1271"/>
      <c r="AJ257" s="1271">
        <f t="shared" ref="AJ257:AP257" si="35">0*Unit.TWh</f>
        <v>0</v>
      </c>
      <c r="AK257" s="1271">
        <f t="shared" si="35"/>
        <v>0</v>
      </c>
      <c r="AL257" s="1271">
        <f t="shared" si="35"/>
        <v>0</v>
      </c>
      <c r="AM257" s="1271">
        <f t="shared" si="35"/>
        <v>0</v>
      </c>
      <c r="AN257" s="1271">
        <f t="shared" si="35"/>
        <v>0</v>
      </c>
      <c r="AO257" s="1271">
        <f t="shared" si="35"/>
        <v>0</v>
      </c>
      <c r="AP257" s="1271">
        <f t="shared" si="35"/>
        <v>0</v>
      </c>
      <c r="AQ257" s="1271">
        <f>0.861215638*Unit.TWh</f>
        <v>0.86121563800000001</v>
      </c>
      <c r="AR257" s="1271">
        <f>3.313229379*Unit.TWh</f>
        <v>3.313229379</v>
      </c>
      <c r="AS257" s="1271">
        <f>5.483743472*Unit.TWh</f>
        <v>5.4837434719999996</v>
      </c>
      <c r="AT257" s="1271">
        <f>9.878952814*Unit.TWh</f>
        <v>9.8789528139999998</v>
      </c>
      <c r="AU257" s="1271">
        <f>12.07762885*Unit.TWh</f>
        <v>12.07762885</v>
      </c>
      <c r="AV257" s="1271">
        <f>15.06624188*Unit.TWh</f>
        <v>15.06624188</v>
      </c>
      <c r="AW257" s="1271" t="s">
        <v>1179</v>
      </c>
      <c r="AX257" s="1214"/>
      <c r="AY257" s="1273"/>
      <c r="AZ257" s="1273"/>
      <c r="BA257" s="1273"/>
      <c r="BB257" s="1273"/>
      <c r="BC257" s="1273"/>
      <c r="BD257" s="1273"/>
      <c r="BE257" s="1273"/>
      <c r="BF257" s="1273"/>
      <c r="BG257" s="1273"/>
      <c r="BH257" s="1273"/>
      <c r="BI257" s="1273"/>
      <c r="BJ257" s="1214"/>
    </row>
    <row r="258" spans="2:62">
      <c r="B258" s="1214"/>
      <c r="C258" s="1269" t="s">
        <v>296</v>
      </c>
      <c r="D258" s="1269" t="s">
        <v>39</v>
      </c>
      <c r="E258" s="1214" t="s">
        <v>163</v>
      </c>
      <c r="F258" s="1270"/>
      <c r="G258" s="1270"/>
      <c r="H258" s="1271"/>
      <c r="I258" s="1271"/>
      <c r="J258" s="1271"/>
      <c r="K258" s="1271"/>
      <c r="L258" s="1271"/>
      <c r="M258" s="1271"/>
      <c r="N258" s="1271"/>
      <c r="O258" s="1271"/>
      <c r="P258" s="1271"/>
      <c r="Q258" s="1271"/>
      <c r="R258" s="1271"/>
      <c r="S258" s="1271"/>
      <c r="T258" s="1271"/>
      <c r="U258" s="1271"/>
      <c r="V258" s="1271"/>
      <c r="W258" s="1271"/>
      <c r="X258" s="1271"/>
      <c r="Y258" s="1271"/>
      <c r="Z258" s="1271"/>
      <c r="AA258" s="1271"/>
      <c r="AB258" s="1271"/>
      <c r="AC258" s="1271"/>
      <c r="AD258" s="1271"/>
      <c r="AE258" s="1271"/>
      <c r="AF258" s="1271"/>
      <c r="AG258" s="1271"/>
      <c r="AH258" s="1271"/>
      <c r="AI258" s="1271"/>
      <c r="AJ258" s="1271">
        <f>4.679912*Unit.TWh</f>
        <v>4.6799119999999998</v>
      </c>
      <c r="AK258" s="1271">
        <f>6.65236*Unit.TWh</f>
        <v>6.6523599999999998</v>
      </c>
      <c r="AL258" s="1271">
        <f>8.5030419*Unit.TWh</f>
        <v>8.5030418999999995</v>
      </c>
      <c r="AM258" s="1271">
        <f>9.7205866*Unit.TWh</f>
        <v>9.7205866000000007</v>
      </c>
      <c r="AN258" s="1271">
        <f>10.375123*Unit.TWh</f>
        <v>10.375123</v>
      </c>
      <c r="AO258" s="1271">
        <f>12.654603*Unit.TWh</f>
        <v>12.654603</v>
      </c>
      <c r="AP258" s="1271">
        <f>17.4844257*Unit.TWh</f>
        <v>17.484425699999999</v>
      </c>
      <c r="AQ258" s="1271">
        <f>18.91593462*Unit.TWh</f>
        <v>18.915934620000002</v>
      </c>
      <c r="AR258" s="1271">
        <f>19.24482717*Unit.TWh</f>
        <v>19.244827170000001</v>
      </c>
      <c r="AS258" s="1271">
        <f>20.29461125*Unit.TWh</f>
        <v>20.294611249999999</v>
      </c>
      <c r="AT258" s="1271">
        <f>20.91263605*Unit.TWh</f>
        <v>20.91263605</v>
      </c>
      <c r="AU258" s="1271">
        <f>21.92331406*Unit.TWh</f>
        <v>21.923314059999999</v>
      </c>
      <c r="AV258" s="1271">
        <f>22.89564828*Unit.TWh</f>
        <v>22.89564828</v>
      </c>
      <c r="AW258" s="1271" t="s">
        <v>1179</v>
      </c>
      <c r="AX258" s="1214"/>
      <c r="AY258" s="1273">
        <f t="shared" ca="1" si="34"/>
        <v>0</v>
      </c>
      <c r="AZ258" s="1273"/>
      <c r="BA258" s="1273">
        <f t="shared" ca="1" si="34"/>
        <v>0</v>
      </c>
      <c r="BB258" s="1273">
        <f t="shared" ca="1" si="34"/>
        <v>0</v>
      </c>
      <c r="BC258" s="1273">
        <f t="shared" ca="1" si="34"/>
        <v>0</v>
      </c>
      <c r="BD258" s="1273">
        <f t="shared" ca="1" si="34"/>
        <v>0</v>
      </c>
      <c r="BE258" s="1273">
        <f t="shared" ca="1" si="34"/>
        <v>0</v>
      </c>
      <c r="BF258" s="1273">
        <f t="shared" ca="1" si="34"/>
        <v>0</v>
      </c>
      <c r="BG258" s="1273">
        <f t="shared" ca="1" si="34"/>
        <v>0</v>
      </c>
      <c r="BH258" s="1273">
        <f t="shared" ca="1" si="34"/>
        <v>0</v>
      </c>
      <c r="BI258" s="1273">
        <f t="shared" ca="1" si="34"/>
        <v>0</v>
      </c>
      <c r="BJ258" s="1214"/>
    </row>
    <row r="259" spans="2:62">
      <c r="B259" s="1214"/>
      <c r="C259" s="1269"/>
      <c r="D259" s="1269"/>
      <c r="E259" s="1214"/>
      <c r="F259" s="1270"/>
      <c r="G259" s="1270"/>
      <c r="H259" s="1271"/>
      <c r="I259" s="1271"/>
      <c r="J259" s="1271"/>
      <c r="K259" s="1271"/>
      <c r="L259" s="1271"/>
      <c r="M259" s="1271"/>
      <c r="N259" s="1271"/>
      <c r="O259" s="1271"/>
      <c r="P259" s="1271"/>
      <c r="Q259" s="1271"/>
      <c r="R259" s="1271"/>
      <c r="S259" s="1271"/>
      <c r="T259" s="1271"/>
      <c r="U259" s="1271"/>
      <c r="V259" s="1271"/>
      <c r="W259" s="1271"/>
      <c r="X259" s="1271"/>
      <c r="Y259" s="1271"/>
      <c r="Z259" s="1271"/>
      <c r="AA259" s="1271"/>
      <c r="AB259" s="1271"/>
      <c r="AC259" s="1271"/>
      <c r="AD259" s="1271"/>
      <c r="AE259" s="1271"/>
      <c r="AF259" s="1271"/>
      <c r="AG259" s="1271"/>
      <c r="AH259" s="1271"/>
      <c r="AI259" s="1271"/>
      <c r="AJ259" s="1271"/>
      <c r="AK259" s="1271"/>
      <c r="AL259" s="1271"/>
      <c r="AM259" s="1271"/>
      <c r="AN259" s="1271"/>
      <c r="AO259" s="1271"/>
      <c r="AP259" s="1271"/>
      <c r="AQ259" s="1271"/>
      <c r="AR259" s="1271"/>
      <c r="AS259" s="1271"/>
      <c r="AT259" s="1271"/>
      <c r="AU259" s="1271"/>
      <c r="AV259" s="1271"/>
      <c r="AW259" s="1271"/>
      <c r="AX259" s="1214"/>
      <c r="AY259" s="1273"/>
      <c r="AZ259" s="1273"/>
      <c r="BA259" s="1273"/>
      <c r="BB259" s="1273"/>
      <c r="BC259" s="1273"/>
      <c r="BD259" s="1273"/>
      <c r="BE259" s="1273"/>
      <c r="BF259" s="1273"/>
      <c r="BG259" s="1273"/>
      <c r="BH259" s="1273"/>
      <c r="BI259" s="1273"/>
      <c r="BJ259" s="1214"/>
    </row>
    <row r="260" spans="2:62">
      <c r="B260" s="1214"/>
      <c r="C260" s="1236" t="s">
        <v>2092</v>
      </c>
      <c r="D260" s="1214"/>
      <c r="E260" s="1214"/>
      <c r="F260" s="1214"/>
      <c r="G260" s="1214"/>
      <c r="H260" s="1215"/>
      <c r="I260" s="1215"/>
      <c r="J260" s="1215"/>
      <c r="K260" s="1215"/>
      <c r="L260" s="1215"/>
      <c r="M260" s="1215"/>
      <c r="N260" s="1215"/>
      <c r="O260" s="1215"/>
      <c r="P260" s="1215"/>
      <c r="Q260" s="1215"/>
      <c r="R260" s="1215"/>
      <c r="S260" s="1215"/>
      <c r="T260" s="1215"/>
      <c r="U260" s="1215"/>
      <c r="V260" s="1215"/>
      <c r="W260" s="1215"/>
      <c r="X260" s="1215"/>
      <c r="Y260" s="1215"/>
      <c r="Z260" s="1215"/>
      <c r="AA260" s="1215"/>
      <c r="AB260" s="1215"/>
      <c r="AC260" s="1215"/>
      <c r="AD260" s="1215"/>
      <c r="AE260" s="1215"/>
      <c r="AF260" s="1215"/>
      <c r="AG260" s="1215"/>
      <c r="AH260" s="1215"/>
      <c r="AI260" s="1215"/>
      <c r="AJ260" s="1215"/>
      <c r="AK260" s="1215"/>
      <c r="AL260" s="1215"/>
      <c r="AM260" s="1215"/>
      <c r="AN260" s="1215"/>
      <c r="AO260" s="1215"/>
      <c r="AP260" s="1215"/>
      <c r="AQ260" s="1215"/>
      <c r="AR260" s="1215"/>
      <c r="AS260" s="1215"/>
      <c r="AT260" s="1215"/>
      <c r="AU260" s="1215"/>
      <c r="AV260" s="1215"/>
      <c r="AW260" s="1215"/>
      <c r="AX260" s="1214"/>
      <c r="AY260" s="1214"/>
      <c r="AZ260" s="1214"/>
      <c r="BA260" s="1214"/>
      <c r="BB260" s="1214"/>
      <c r="BC260" s="1214"/>
      <c r="BD260" s="1214"/>
      <c r="BE260" s="1214"/>
      <c r="BF260" s="1214"/>
      <c r="BG260" s="1214"/>
      <c r="BH260" s="1214"/>
      <c r="BI260" s="1214"/>
      <c r="BJ260" s="1214"/>
    </row>
    <row r="261" spans="2:62">
      <c r="B261" s="1214"/>
      <c r="C261" s="1269" t="s">
        <v>190</v>
      </c>
      <c r="D261" s="1269" t="s">
        <v>36</v>
      </c>
      <c r="E261" s="1214" t="s">
        <v>49</v>
      </c>
      <c r="F261" s="1270"/>
      <c r="G261" s="1270"/>
      <c r="H261" s="1271"/>
      <c r="I261" s="1271"/>
      <c r="J261" s="1271"/>
      <c r="K261" s="1271"/>
      <c r="L261" s="1271"/>
      <c r="M261" s="1271"/>
      <c r="N261" s="1271"/>
      <c r="O261" s="1271"/>
      <c r="P261" s="1271"/>
      <c r="Q261" s="1271"/>
      <c r="R261" s="1271"/>
      <c r="S261" s="1271"/>
      <c r="T261" s="1271"/>
      <c r="U261" s="1271"/>
      <c r="V261" s="1271"/>
      <c r="W261" s="1271"/>
      <c r="X261" s="1271"/>
      <c r="Y261" s="1271"/>
      <c r="Z261" s="1271"/>
      <c r="AA261" s="1271"/>
      <c r="AB261" s="1271"/>
      <c r="AC261" s="1271"/>
      <c r="AD261" s="1271"/>
      <c r="AE261" s="1271"/>
      <c r="AF261" s="1271"/>
      <c r="AG261" s="1271"/>
      <c r="AH261" s="1271"/>
      <c r="AI261" s="1271"/>
      <c r="AJ261" s="1271">
        <f>11.2811*Unit.TWh</f>
        <v>11.2811</v>
      </c>
      <c r="AK261" s="1271">
        <f>11.5128859*Unit.TWh</f>
        <v>11.512885900000001</v>
      </c>
      <c r="AL261" s="1271">
        <f>9.9829594*Unit.TWh</f>
        <v>9.9829594000000004</v>
      </c>
      <c r="AM261" s="1271">
        <f>10.7253023*Unit.TWh</f>
        <v>10.725302299999999</v>
      </c>
      <c r="AN261" s="1271">
        <f>11.7831671*Unit.TWh</f>
        <v>11.7831671</v>
      </c>
      <c r="AO261" s="1271">
        <f>13.2077258*Unit.TWh</f>
        <v>13.2077258</v>
      </c>
      <c r="AP261" s="1271">
        <f>12.9045317*Unit.TWh</f>
        <v>12.9045317</v>
      </c>
      <c r="AQ261" s="1271">
        <f>18.45851032*Unit.TWh</f>
        <v>18.458510319999998</v>
      </c>
      <c r="AR261" s="1271">
        <f>18.88799564*Unit.TWh</f>
        <v>18.88799564</v>
      </c>
      <c r="AS261" s="1271">
        <f>18.50890517*Unit.TWh</f>
        <v>18.508905169999998</v>
      </c>
      <c r="AT261" s="1271">
        <f>20.71415345*Unit.TWh</f>
        <v>20.714153450000001</v>
      </c>
      <c r="AU261" s="1271">
        <f>23.70385084*Unit.TWh</f>
        <v>23.703850840000001</v>
      </c>
      <c r="AV261" s="1271">
        <f>28.71642504*Unit.TWh</f>
        <v>28.716425040000001</v>
      </c>
      <c r="AW261" s="1271" t="s">
        <v>1179</v>
      </c>
      <c r="AX261" s="1214"/>
      <c r="AY261" s="1273">
        <f ca="1">AY241+AY246+AY251+AY256</f>
        <v>937.23355555555554</v>
      </c>
      <c r="AZ261" s="1273"/>
      <c r="BA261" s="1273">
        <f t="shared" ref="BA261:BI261" ca="1" si="36">BA241+BA246+BA251+BA256</f>
        <v>948.40980000000002</v>
      </c>
      <c r="BB261" s="1273">
        <f t="shared" ca="1" si="36"/>
        <v>947.50491464762865</v>
      </c>
      <c r="BC261" s="1273">
        <f t="shared" ca="1" si="36"/>
        <v>946.63986672306442</v>
      </c>
      <c r="BD261" s="1273">
        <f t="shared" ca="1" si="36"/>
        <v>945.81505619727227</v>
      </c>
      <c r="BE261" s="1273">
        <f t="shared" ca="1" si="36"/>
        <v>945.03088705695825</v>
      </c>
      <c r="BF261" s="1273">
        <f t="shared" ca="1" si="36"/>
        <v>944.28776734488724</v>
      </c>
      <c r="BG261" s="1273">
        <f t="shared" ca="1" si="36"/>
        <v>939.97345000000041</v>
      </c>
      <c r="BH261" s="1273">
        <f t="shared" ca="1" si="36"/>
        <v>935.10072500000024</v>
      </c>
      <c r="BI261" s="1273">
        <f t="shared" ca="1" si="36"/>
        <v>930.22800000000007</v>
      </c>
      <c r="BJ261" s="1214"/>
    </row>
    <row r="262" spans="2:62">
      <c r="B262" s="1214"/>
      <c r="C262" s="1269" t="s">
        <v>190</v>
      </c>
      <c r="D262" s="1269" t="s">
        <v>38</v>
      </c>
      <c r="E262" s="1214" t="s">
        <v>50</v>
      </c>
      <c r="F262" s="1270"/>
      <c r="G262" s="1270"/>
      <c r="H262" s="1271"/>
      <c r="I262" s="1271"/>
      <c r="J262" s="1271"/>
      <c r="K262" s="1271"/>
      <c r="L262" s="1271"/>
      <c r="M262" s="1271"/>
      <c r="N262" s="1271"/>
      <c r="O262" s="1271"/>
      <c r="P262" s="1271"/>
      <c r="Q262" s="1271"/>
      <c r="R262" s="1271"/>
      <c r="S262" s="1271"/>
      <c r="T262" s="1271"/>
      <c r="U262" s="1271"/>
      <c r="V262" s="1271"/>
      <c r="W262" s="1271"/>
      <c r="X262" s="1271"/>
      <c r="Y262" s="1271"/>
      <c r="Z262" s="1271"/>
      <c r="AA262" s="1271"/>
      <c r="AB262" s="1271"/>
      <c r="AC262" s="1271"/>
      <c r="AD262" s="1271"/>
      <c r="AE262" s="1271"/>
      <c r="AF262" s="1271"/>
      <c r="AG262" s="1271"/>
      <c r="AH262" s="1271"/>
      <c r="AI262" s="1271"/>
      <c r="AJ262" s="1271">
        <f t="shared" ref="AJ262:AP262" si="37">0*Unit.TWh</f>
        <v>0</v>
      </c>
      <c r="AK262" s="1271">
        <f t="shared" si="37"/>
        <v>0</v>
      </c>
      <c r="AL262" s="1271">
        <f t="shared" si="37"/>
        <v>0</v>
      </c>
      <c r="AM262" s="1271">
        <f t="shared" si="37"/>
        <v>0</v>
      </c>
      <c r="AN262" s="1271">
        <f t="shared" si="37"/>
        <v>0</v>
      </c>
      <c r="AO262" s="1271">
        <f t="shared" si="37"/>
        <v>0</v>
      </c>
      <c r="AP262" s="1271">
        <f t="shared" si="37"/>
        <v>0</v>
      </c>
      <c r="AQ262" s="1271">
        <f>0.861215638*Unit.TWh</f>
        <v>0.86121563800000001</v>
      </c>
      <c r="AR262" s="1271">
        <f>3.313229379*Unit.TWh</f>
        <v>3.313229379</v>
      </c>
      <c r="AS262" s="1271">
        <f>5.483743472*Unit.TWh</f>
        <v>5.4837434719999996</v>
      </c>
      <c r="AT262" s="1271">
        <f>9.878952814*Unit.TWh</f>
        <v>9.8789528139999998</v>
      </c>
      <c r="AU262" s="1271">
        <f>12.07762885*Unit.TWh</f>
        <v>12.07762885</v>
      </c>
      <c r="AV262" s="1271">
        <f>15.06624188*Unit.TWh</f>
        <v>15.06624188</v>
      </c>
      <c r="AW262" s="1271" t="s">
        <v>1179</v>
      </c>
      <c r="AX262" s="1214"/>
      <c r="AY262" s="1273">
        <f t="shared" ref="AY262:BI263" ca="1" si="38">AY242+AY247+AY252+AY257</f>
        <v>0</v>
      </c>
      <c r="AZ262" s="1273"/>
      <c r="BA262" s="1273">
        <f t="shared" ca="1" si="38"/>
        <v>0.13142242804166665</v>
      </c>
      <c r="BB262" s="1273">
        <f t="shared" ca="1" si="38"/>
        <v>3.0140876139388606</v>
      </c>
      <c r="BC262" s="1273">
        <f t="shared" ca="1" si="38"/>
        <v>6.6403498055675261</v>
      </c>
      <c r="BD262" s="1273">
        <f t="shared" ca="1" si="38"/>
        <v>11.174550655547504</v>
      </c>
      <c r="BE262" s="1273">
        <f t="shared" ca="1" si="38"/>
        <v>16.858011722794185</v>
      </c>
      <c r="BF262" s="1273">
        <f t="shared" ca="1" si="38"/>
        <v>23.81237420320716</v>
      </c>
      <c r="BG262" s="1273">
        <f t="shared" ca="1" si="38"/>
        <v>32.28279205089418</v>
      </c>
      <c r="BH262" s="1273">
        <f t="shared" ca="1" si="38"/>
        <v>42.443260246537498</v>
      </c>
      <c r="BI262" s="1273">
        <f t="shared" ca="1" si="38"/>
        <v>54.656933937500007</v>
      </c>
      <c r="BJ262" s="1214"/>
    </row>
    <row r="263" spans="2:62">
      <c r="B263" s="1214"/>
      <c r="C263" s="1269" t="s">
        <v>190</v>
      </c>
      <c r="D263" s="1269" t="s">
        <v>39</v>
      </c>
      <c r="E263" s="1214" t="s">
        <v>163</v>
      </c>
      <c r="F263" s="1270"/>
      <c r="G263" s="1270"/>
      <c r="H263" s="1271"/>
      <c r="I263" s="1271"/>
      <c r="J263" s="1271"/>
      <c r="K263" s="1271"/>
      <c r="L263" s="1271"/>
      <c r="M263" s="1271"/>
      <c r="N263" s="1271"/>
      <c r="O263" s="1271"/>
      <c r="P263" s="1271"/>
      <c r="Q263" s="1271"/>
      <c r="R263" s="1271"/>
      <c r="S263" s="1271"/>
      <c r="T263" s="1271"/>
      <c r="U263" s="1271"/>
      <c r="V263" s="1271"/>
      <c r="W263" s="1271"/>
      <c r="X263" s="1271"/>
      <c r="Y263" s="1271"/>
      <c r="Z263" s="1271"/>
      <c r="AA263" s="1271"/>
      <c r="AB263" s="1271"/>
      <c r="AC263" s="1271"/>
      <c r="AD263" s="1271"/>
      <c r="AE263" s="1271"/>
      <c r="AF263" s="1271"/>
      <c r="AG263" s="1271"/>
      <c r="AH263" s="1271"/>
      <c r="AI263" s="1271"/>
      <c r="AJ263" s="1271">
        <f>4.679912*Unit.TWh</f>
        <v>4.6799119999999998</v>
      </c>
      <c r="AK263" s="1271">
        <f>6.65236*Unit.TWh</f>
        <v>6.6523599999999998</v>
      </c>
      <c r="AL263" s="1271">
        <f>8.5030419*Unit.TWh</f>
        <v>8.5030418999999995</v>
      </c>
      <c r="AM263" s="1271">
        <f>9.7205866*Unit.TWh</f>
        <v>9.7205866000000007</v>
      </c>
      <c r="AN263" s="1271">
        <f>10.375123*Unit.TWh</f>
        <v>10.375123</v>
      </c>
      <c r="AO263" s="1271">
        <f>12.654603*Unit.TWh</f>
        <v>12.654603</v>
      </c>
      <c r="AP263" s="1271">
        <f>17.4844257*Unit.TWh</f>
        <v>17.484425699999999</v>
      </c>
      <c r="AQ263" s="1271">
        <f>18.91593462*Unit.TWh</f>
        <v>18.915934620000002</v>
      </c>
      <c r="AR263" s="1271">
        <f>19.24482717*Unit.TWh</f>
        <v>19.244827170000001</v>
      </c>
      <c r="AS263" s="1271">
        <f>20.29461125*Unit.TWh</f>
        <v>20.294611249999999</v>
      </c>
      <c r="AT263" s="1271">
        <f>20.91263605*Unit.TWh</f>
        <v>20.91263605</v>
      </c>
      <c r="AU263" s="1271">
        <f>21.92331406*Unit.TWh</f>
        <v>21.923314059999999</v>
      </c>
      <c r="AV263" s="1271">
        <f>22.89564828*Unit.TWh</f>
        <v>22.89564828</v>
      </c>
      <c r="AW263" s="1271" t="s">
        <v>1179</v>
      </c>
      <c r="AX263" s="1214"/>
      <c r="AY263" s="1273">
        <f t="shared" ca="1" si="38"/>
        <v>9.1777777777777771</v>
      </c>
      <c r="AZ263" s="1273"/>
      <c r="BA263" s="1273">
        <f t="shared" ca="1" si="38"/>
        <v>10.305777777777783</v>
      </c>
      <c r="BB263" s="1273">
        <f t="shared" ca="1" si="38"/>
        <v>11.346016666666671</v>
      </c>
      <c r="BC263" s="1273">
        <f t="shared" ca="1" si="38"/>
        <v>12.386255555555559</v>
      </c>
      <c r="BD263" s="1273">
        <f t="shared" ca="1" si="38"/>
        <v>13.426494444444447</v>
      </c>
      <c r="BE263" s="1273">
        <f t="shared" ca="1" si="38"/>
        <v>14.466733333333337</v>
      </c>
      <c r="BF263" s="1273">
        <f t="shared" ca="1" si="38"/>
        <v>14.832036478670412</v>
      </c>
      <c r="BG263" s="1273">
        <f t="shared" ca="1" si="38"/>
        <v>15.206563986198885</v>
      </c>
      <c r="BH263" s="1273">
        <f t="shared" ca="1" si="38"/>
        <v>15.590548782623422</v>
      </c>
      <c r="BI263" s="1273">
        <f t="shared" ca="1" si="38"/>
        <v>15.984229676339865</v>
      </c>
      <c r="BJ263" s="1214"/>
    </row>
    <row r="264" spans="2:62">
      <c r="B264" s="1214"/>
      <c r="C264" s="1269"/>
      <c r="D264" s="1269"/>
      <c r="E264" s="1214"/>
      <c r="F264" s="1270"/>
      <c r="G264" s="1270"/>
      <c r="H264" s="1271"/>
      <c r="I264" s="1271"/>
      <c r="J264" s="1271"/>
      <c r="K264" s="1271"/>
      <c r="L264" s="1271"/>
      <c r="M264" s="1271"/>
      <c r="N264" s="1271"/>
      <c r="O264" s="1271"/>
      <c r="P264" s="1271"/>
      <c r="Q264" s="1271"/>
      <c r="R264" s="1271"/>
      <c r="S264" s="1271"/>
      <c r="T264" s="1271"/>
      <c r="U264" s="1271"/>
      <c r="V264" s="1271"/>
      <c r="W264" s="1271"/>
      <c r="X264" s="1271"/>
      <c r="Y264" s="1271"/>
      <c r="Z264" s="1271"/>
      <c r="AA264" s="1271"/>
      <c r="AB264" s="1271"/>
      <c r="AC264" s="1271"/>
      <c r="AD264" s="1271"/>
      <c r="AE264" s="1271"/>
      <c r="AF264" s="1271"/>
      <c r="AG264" s="1271"/>
      <c r="AH264" s="1271"/>
      <c r="AI264" s="1271"/>
      <c r="AJ264" s="1271"/>
      <c r="AK264" s="1271"/>
      <c r="AL264" s="1271"/>
      <c r="AM264" s="1271"/>
      <c r="AN264" s="1271"/>
      <c r="AO264" s="1271"/>
      <c r="AP264" s="1271"/>
      <c r="AQ264" s="1271"/>
      <c r="AR264" s="1271"/>
      <c r="AS264" s="1271"/>
      <c r="AT264" s="1271"/>
      <c r="AU264" s="1271"/>
      <c r="AV264" s="1271"/>
      <c r="AW264" s="1271"/>
      <c r="AX264" s="1214"/>
      <c r="AY264" s="1273"/>
      <c r="AZ264" s="1273"/>
      <c r="BA264" s="1273"/>
      <c r="BB264" s="1273"/>
      <c r="BC264" s="1273"/>
      <c r="BD264" s="1273"/>
      <c r="BE264" s="1273"/>
      <c r="BF264" s="1273"/>
      <c r="BG264" s="1273"/>
      <c r="BH264" s="1273"/>
      <c r="BI264" s="1273"/>
      <c r="BJ264" s="1214"/>
    </row>
    <row r="265" spans="2:62">
      <c r="B265" s="1214"/>
      <c r="C265" s="1214"/>
      <c r="D265" s="1214"/>
      <c r="E265" s="1214"/>
      <c r="F265" s="1214"/>
      <c r="G265" s="1214"/>
      <c r="H265" s="1215"/>
      <c r="I265" s="1215"/>
      <c r="J265" s="1215"/>
      <c r="K265" s="1215"/>
      <c r="L265" s="1215"/>
      <c r="M265" s="1215"/>
      <c r="N265" s="1215"/>
      <c r="O265" s="1215"/>
      <c r="P265" s="1215"/>
      <c r="Q265" s="1215"/>
      <c r="R265" s="1215"/>
      <c r="S265" s="1215"/>
      <c r="T265" s="1215"/>
      <c r="U265" s="1215"/>
      <c r="V265" s="1215"/>
      <c r="W265" s="1215"/>
      <c r="X265" s="1215"/>
      <c r="Y265" s="1215"/>
      <c r="Z265" s="1215"/>
      <c r="AA265" s="1215"/>
      <c r="AB265" s="1215"/>
      <c r="AC265" s="1215"/>
      <c r="AD265" s="1215"/>
      <c r="AE265" s="1215"/>
      <c r="AF265" s="1215"/>
      <c r="AG265" s="1215"/>
      <c r="AH265" s="1215"/>
      <c r="AI265" s="1215"/>
      <c r="AJ265" s="1215"/>
      <c r="AK265" s="1215"/>
      <c r="AL265" s="1215"/>
      <c r="AM265" s="1215"/>
      <c r="AN265" s="1215"/>
      <c r="AO265" s="1215"/>
      <c r="AP265" s="1215"/>
      <c r="AQ265" s="1215"/>
      <c r="AR265" s="1215"/>
      <c r="AS265" s="1215"/>
      <c r="AT265" s="1215"/>
      <c r="AU265" s="1215"/>
      <c r="AV265" s="1215"/>
      <c r="AW265" s="1215"/>
      <c r="AX265" s="1214"/>
      <c r="AY265" s="1214"/>
      <c r="AZ265" s="1214"/>
      <c r="BA265" s="1214"/>
      <c r="BB265" s="1214"/>
      <c r="BC265" s="1214"/>
      <c r="BD265" s="1214"/>
      <c r="BE265" s="1214"/>
      <c r="BF265" s="1214"/>
      <c r="BG265" s="1214"/>
      <c r="BH265" s="1214"/>
      <c r="BI265" s="1214"/>
      <c r="BJ265" s="1214"/>
    </row>
    <row r="266" spans="2:62">
      <c r="B266" s="3339" t="s">
        <v>2563</v>
      </c>
      <c r="C266" s="1272"/>
      <c r="D266" s="1272"/>
      <c r="E266" s="1272"/>
      <c r="F266" s="1272"/>
      <c r="G266" s="1272"/>
      <c r="H266" s="1215"/>
      <c r="I266" s="1215"/>
      <c r="J266" s="1215"/>
      <c r="K266" s="1215"/>
      <c r="L266" s="1215"/>
      <c r="M266" s="1215"/>
      <c r="N266" s="1215"/>
      <c r="O266" s="1215"/>
      <c r="P266" s="1215"/>
      <c r="Q266" s="1215"/>
      <c r="R266" s="1215"/>
      <c r="S266" s="1215"/>
      <c r="T266" s="1215"/>
      <c r="U266" s="1215"/>
      <c r="V266" s="1215"/>
      <c r="W266" s="1215"/>
      <c r="X266" s="1215"/>
      <c r="Y266" s="1215"/>
      <c r="Z266" s="1215"/>
      <c r="AA266" s="1215"/>
      <c r="AB266" s="1215"/>
      <c r="AC266" s="1215"/>
      <c r="AD266" s="1215"/>
      <c r="AE266" s="1215"/>
      <c r="AF266" s="1215"/>
      <c r="AG266" s="1215"/>
      <c r="AH266" s="1215"/>
      <c r="AI266" s="1215"/>
      <c r="AJ266" s="1215"/>
      <c r="AK266" s="1215"/>
      <c r="AL266" s="1215"/>
      <c r="AM266" s="1215"/>
      <c r="AN266" s="1215"/>
      <c r="AO266" s="1215"/>
      <c r="AP266" s="1215"/>
      <c r="AQ266" s="1215"/>
      <c r="AR266" s="1215"/>
      <c r="AS266" s="1215"/>
      <c r="AT266" s="1215"/>
      <c r="AU266" s="1215"/>
      <c r="AV266" s="1215"/>
      <c r="AW266" s="1215"/>
      <c r="AX266" s="1272"/>
      <c r="AY266" s="1272" t="s">
        <v>2564</v>
      </c>
      <c r="AZ266" s="1272"/>
      <c r="BA266" s="1272"/>
      <c r="BB266" s="1272"/>
      <c r="BC266" s="1272"/>
      <c r="BD266" s="1272"/>
      <c r="BE266" s="1272"/>
      <c r="BF266" s="1272"/>
      <c r="BG266" s="1272"/>
      <c r="BH266" s="1272"/>
      <c r="BI266" s="1272"/>
      <c r="BJ266" s="1214"/>
    </row>
    <row r="267" spans="2:62">
      <c r="B267" s="1214"/>
      <c r="C267" s="1214"/>
      <c r="D267" s="1214"/>
      <c r="E267" s="1214"/>
      <c r="F267" s="1214"/>
      <c r="G267" s="1214"/>
      <c r="H267" s="1215"/>
      <c r="I267" s="1215"/>
      <c r="J267" s="1215"/>
      <c r="K267" s="1215"/>
      <c r="L267" s="1215"/>
      <c r="M267" s="1215"/>
      <c r="N267" s="1215"/>
      <c r="O267" s="1215"/>
      <c r="P267" s="1215"/>
      <c r="Q267" s="1215"/>
      <c r="R267" s="1215"/>
      <c r="S267" s="1215"/>
      <c r="T267" s="1215"/>
      <c r="U267" s="1215"/>
      <c r="V267" s="1215"/>
      <c r="W267" s="1215"/>
      <c r="X267" s="1215"/>
      <c r="Y267" s="1215"/>
      <c r="Z267" s="1215"/>
      <c r="AA267" s="1215"/>
      <c r="AB267" s="1215"/>
      <c r="AC267" s="1215"/>
      <c r="AD267" s="1215"/>
      <c r="AE267" s="1215"/>
      <c r="AF267" s="1215"/>
      <c r="AG267" s="1215"/>
      <c r="AH267" s="1215"/>
      <c r="AI267" s="1215"/>
      <c r="AJ267" s="1215"/>
      <c r="AK267" s="1215"/>
      <c r="AL267" s="1215"/>
      <c r="AM267" s="1215"/>
      <c r="AN267" s="1215"/>
      <c r="AO267" s="1215"/>
      <c r="AP267" s="1215"/>
      <c r="AQ267" s="1215"/>
      <c r="AR267" s="1215"/>
      <c r="AS267" s="1215"/>
      <c r="AT267" s="1215"/>
      <c r="AU267" s="1215"/>
      <c r="AV267" s="1215"/>
      <c r="AW267" s="1215"/>
      <c r="AX267" s="1214"/>
      <c r="AY267" s="1214"/>
      <c r="AZ267" s="1214"/>
      <c r="BA267" s="1214"/>
      <c r="BB267" s="1214"/>
      <c r="BC267" s="1214"/>
      <c r="BD267" s="1214"/>
      <c r="BE267" s="1214"/>
      <c r="BF267" s="1214"/>
      <c r="BG267" s="1214"/>
      <c r="BH267" s="1214"/>
      <c r="BI267" s="1214"/>
      <c r="BJ267" s="1214"/>
    </row>
    <row r="268" spans="2:62">
      <c r="B268" s="3339"/>
      <c r="C268" s="3340" t="s">
        <v>2565</v>
      </c>
      <c r="D268" s="1272"/>
      <c r="E268" s="1272"/>
      <c r="F268" s="1272"/>
      <c r="G268" s="1272"/>
      <c r="H268" s="1215"/>
      <c r="I268" s="1215"/>
      <c r="J268" s="1215"/>
      <c r="K268" s="1215"/>
      <c r="L268" s="1215"/>
      <c r="M268" s="1215"/>
      <c r="N268" s="1215"/>
      <c r="O268" s="1215"/>
      <c r="P268" s="1215"/>
      <c r="Q268" s="1215"/>
      <c r="R268" s="1215"/>
      <c r="S268" s="1215"/>
      <c r="T268" s="1215"/>
      <c r="U268" s="1215"/>
      <c r="V268" s="1215"/>
      <c r="W268" s="1215"/>
      <c r="X268" s="1215"/>
      <c r="Y268" s="1215"/>
      <c r="Z268" s="1215"/>
      <c r="AA268" s="1215"/>
      <c r="AB268" s="1215"/>
      <c r="AC268" s="1215"/>
      <c r="AD268" s="1215"/>
      <c r="AE268" s="1215"/>
      <c r="AF268" s="1215"/>
      <c r="AG268" s="1215"/>
      <c r="AH268" s="1215"/>
      <c r="AI268" s="1215"/>
      <c r="AJ268" s="1215"/>
      <c r="AK268" s="1215"/>
      <c r="AL268" s="1215"/>
      <c r="AM268" s="1215"/>
      <c r="AN268" s="1215"/>
      <c r="AO268" s="1215"/>
      <c r="AP268" s="1215"/>
      <c r="AQ268" s="1215"/>
      <c r="AR268" s="1215"/>
      <c r="AS268" s="1215"/>
      <c r="AT268" s="1215"/>
      <c r="AU268" s="1215"/>
      <c r="AV268" s="1215"/>
      <c r="AW268" s="1215"/>
      <c r="AX268" s="1272"/>
      <c r="AY268" s="1275"/>
      <c r="AZ268" s="1275"/>
      <c r="BA268" s="1275"/>
      <c r="BB268" s="1275"/>
      <c r="BC268" s="1275"/>
      <c r="BD268" s="1275"/>
      <c r="BE268" s="1275"/>
      <c r="BF268" s="1275"/>
      <c r="BG268" s="1275"/>
      <c r="BH268" s="1275"/>
      <c r="BI268" s="1275"/>
      <c r="BJ268" s="1214"/>
    </row>
    <row r="269" spans="2:62">
      <c r="B269" s="1214"/>
      <c r="C269" s="3341" t="s">
        <v>190</v>
      </c>
      <c r="D269" s="3340" t="s">
        <v>2566</v>
      </c>
      <c r="E269" s="1272"/>
      <c r="F269" s="1272"/>
      <c r="G269" s="1272"/>
      <c r="H269" s="1215"/>
      <c r="I269" s="1215"/>
      <c r="J269" s="1215"/>
      <c r="K269" s="1215"/>
      <c r="L269" s="1215"/>
      <c r="M269" s="1215"/>
      <c r="N269" s="1215"/>
      <c r="O269" s="1215"/>
      <c r="P269" s="1215"/>
      <c r="Q269" s="1215"/>
      <c r="R269" s="1215"/>
      <c r="S269" s="1215"/>
      <c r="T269" s="1215"/>
      <c r="U269" s="1215"/>
      <c r="V269" s="1215"/>
      <c r="W269" s="1215"/>
      <c r="X269" s="1215"/>
      <c r="Y269" s="1215"/>
      <c r="Z269" s="1215"/>
      <c r="AA269" s="1215"/>
      <c r="AB269" s="1215"/>
      <c r="AC269" s="1215"/>
      <c r="AD269" s="1215"/>
      <c r="AE269" s="1215"/>
      <c r="AF269" s="1215"/>
      <c r="AG269" s="1215"/>
      <c r="AH269" s="1215"/>
      <c r="AI269" s="1215"/>
      <c r="AJ269" s="1215"/>
      <c r="AK269" s="1215"/>
      <c r="AL269" s="1215"/>
      <c r="AM269" s="1215"/>
      <c r="AN269" s="1215"/>
      <c r="AO269" s="1215"/>
      <c r="AP269" s="1215"/>
      <c r="AQ269" s="1215"/>
      <c r="AR269" s="1215"/>
      <c r="AS269" s="1215"/>
      <c r="AT269" s="1215"/>
      <c r="AU269" s="1215"/>
      <c r="AV269" s="1215"/>
      <c r="AW269" s="1215"/>
      <c r="AX269" s="1272"/>
      <c r="AY269" s="3342"/>
      <c r="AZ269" s="3342"/>
      <c r="BA269" s="3342"/>
      <c r="BB269" s="3342"/>
      <c r="BC269" s="3342"/>
      <c r="BD269" s="3342"/>
      <c r="BE269" s="3342"/>
      <c r="BF269" s="3342"/>
      <c r="BG269" s="3342"/>
      <c r="BH269" s="3342"/>
      <c r="BI269" s="3342"/>
      <c r="BJ269" s="1214"/>
    </row>
    <row r="270" spans="2:62">
      <c r="B270" s="1214"/>
      <c r="C270" s="3343" t="s">
        <v>278</v>
      </c>
      <c r="D270" s="3344" t="str">
        <f>INDEX(Modules[Module], MATCH(C270, Modules[Code], 0))</f>
        <v>Coal power stations</v>
      </c>
      <c r="E270" s="1272"/>
      <c r="F270" s="1272"/>
      <c r="G270" s="1272"/>
      <c r="H270" s="1215"/>
      <c r="I270" s="1215"/>
      <c r="J270" s="1215"/>
      <c r="K270" s="1215"/>
      <c r="L270" s="1215"/>
      <c r="M270" s="1215"/>
      <c r="N270" s="1215"/>
      <c r="O270" s="1215"/>
      <c r="P270" s="1215"/>
      <c r="Q270" s="1215"/>
      <c r="R270" s="1215"/>
      <c r="S270" s="1215"/>
      <c r="T270" s="1215"/>
      <c r="U270" s="1215"/>
      <c r="V270" s="1215"/>
      <c r="W270" s="1215"/>
      <c r="X270" s="1215"/>
      <c r="Y270" s="1215"/>
      <c r="Z270" s="1215"/>
      <c r="AA270" s="1215"/>
      <c r="AB270" s="1215"/>
      <c r="AC270" s="1215"/>
      <c r="AD270" s="1215"/>
      <c r="AE270" s="1215"/>
      <c r="AF270" s="1215"/>
      <c r="AG270" s="1215"/>
      <c r="AH270" s="1215"/>
      <c r="AI270" s="1215"/>
      <c r="AJ270" s="1215"/>
      <c r="AK270" s="1271">
        <f t="shared" ref="AK270:AV271" si="39">0*Unit.TWh</f>
        <v>0</v>
      </c>
      <c r="AL270" s="1271">
        <f t="shared" si="39"/>
        <v>0</v>
      </c>
      <c r="AM270" s="1271">
        <f t="shared" si="39"/>
        <v>0</v>
      </c>
      <c r="AN270" s="1271">
        <f t="shared" si="39"/>
        <v>0</v>
      </c>
      <c r="AO270" s="1271">
        <f t="shared" si="39"/>
        <v>0</v>
      </c>
      <c r="AP270" s="1271">
        <f t="shared" si="39"/>
        <v>0</v>
      </c>
      <c r="AQ270" s="1271">
        <f t="shared" si="39"/>
        <v>0</v>
      </c>
      <c r="AR270" s="1271">
        <f t="shared" si="39"/>
        <v>0</v>
      </c>
      <c r="AS270" s="1271">
        <f t="shared" si="39"/>
        <v>0</v>
      </c>
      <c r="AT270" s="1271">
        <f t="shared" si="39"/>
        <v>0</v>
      </c>
      <c r="AU270" s="1271">
        <f t="shared" si="39"/>
        <v>0</v>
      </c>
      <c r="AV270" s="1271">
        <f t="shared" si="39"/>
        <v>0</v>
      </c>
      <c r="AW270" s="1215" t="s">
        <v>2567</v>
      </c>
      <c r="AX270" s="1272"/>
      <c r="AY270" s="3345"/>
      <c r="AZ270" s="3345"/>
      <c r="BA270" s="3345"/>
      <c r="BB270" s="3345"/>
      <c r="BC270" s="3345"/>
      <c r="BD270" s="3345"/>
      <c r="BE270" s="3345"/>
      <c r="BF270" s="3345"/>
      <c r="BG270" s="3345"/>
      <c r="BH270" s="3345"/>
      <c r="BI270" s="3345"/>
      <c r="BJ270" s="1214"/>
    </row>
    <row r="271" spans="2:62">
      <c r="B271" s="1214"/>
      <c r="C271" s="3343" t="s">
        <v>248</v>
      </c>
      <c r="D271" s="3344" t="str">
        <f>INDEX(Modules[Module], MATCH(C271, Modules[Code], 0))</f>
        <v>Gas Power Stations</v>
      </c>
      <c r="E271" s="1272"/>
      <c r="F271" s="1272"/>
      <c r="G271" s="1272"/>
      <c r="H271" s="1215"/>
      <c r="I271" s="1215"/>
      <c r="J271" s="1215"/>
      <c r="K271" s="1215"/>
      <c r="L271" s="1215"/>
      <c r="M271" s="1215"/>
      <c r="N271" s="1215"/>
      <c r="O271" s="1215"/>
      <c r="P271" s="1215"/>
      <c r="Q271" s="1215"/>
      <c r="R271" s="1215"/>
      <c r="S271" s="1215"/>
      <c r="T271" s="1215"/>
      <c r="U271" s="1215"/>
      <c r="V271" s="1215"/>
      <c r="W271" s="1215"/>
      <c r="X271" s="1215"/>
      <c r="Y271" s="1215"/>
      <c r="Z271" s="1215"/>
      <c r="AA271" s="1215"/>
      <c r="AB271" s="1215"/>
      <c r="AC271" s="1215"/>
      <c r="AD271" s="1215"/>
      <c r="AE271" s="1215"/>
      <c r="AF271" s="1215"/>
      <c r="AG271" s="1215"/>
      <c r="AH271" s="1215"/>
      <c r="AI271" s="1215"/>
      <c r="AJ271" s="1215"/>
      <c r="AK271" s="1271">
        <f t="shared" si="39"/>
        <v>0</v>
      </c>
      <c r="AL271" s="1271">
        <f t="shared" si="39"/>
        <v>0</v>
      </c>
      <c r="AM271" s="1271">
        <f t="shared" si="39"/>
        <v>0</v>
      </c>
      <c r="AN271" s="1271">
        <f t="shared" si="39"/>
        <v>0</v>
      </c>
      <c r="AO271" s="1271">
        <f t="shared" si="39"/>
        <v>0</v>
      </c>
      <c r="AP271" s="1271">
        <f t="shared" si="39"/>
        <v>0</v>
      </c>
      <c r="AQ271" s="1271">
        <f t="shared" si="39"/>
        <v>0</v>
      </c>
      <c r="AR271" s="1271">
        <f t="shared" si="39"/>
        <v>0</v>
      </c>
      <c r="AS271" s="1271">
        <f t="shared" si="39"/>
        <v>0</v>
      </c>
      <c r="AT271" s="1271">
        <f t="shared" si="39"/>
        <v>0</v>
      </c>
      <c r="AU271" s="1271">
        <f t="shared" si="39"/>
        <v>0</v>
      </c>
      <c r="AV271" s="1271">
        <f t="shared" si="39"/>
        <v>0</v>
      </c>
      <c r="AW271" s="1215" t="s">
        <v>2568</v>
      </c>
      <c r="AX271" s="1272"/>
      <c r="AY271" s="3345"/>
      <c r="AZ271" s="3345"/>
      <c r="BA271" s="3345"/>
      <c r="BB271" s="3345"/>
      <c r="BC271" s="3345"/>
      <c r="BD271" s="3345"/>
      <c r="BE271" s="3345"/>
      <c r="BF271" s="3345"/>
      <c r="BG271" s="3345"/>
      <c r="BH271" s="3345"/>
      <c r="BI271" s="3345"/>
      <c r="BJ271" s="1214"/>
    </row>
    <row r="272" spans="2:62">
      <c r="B272" s="1214"/>
      <c r="C272" s="3343" t="s">
        <v>197</v>
      </c>
      <c r="D272" s="3344" t="str">
        <f>INDEX(Modules[Module], MATCH(C272, Modules[Code], 0))</f>
        <v>Industry</v>
      </c>
      <c r="E272" s="1272"/>
      <c r="F272" s="1272"/>
      <c r="G272" s="1272"/>
      <c r="H272" s="1215"/>
      <c r="I272" s="1215"/>
      <c r="J272" s="1215"/>
      <c r="K272" s="1215"/>
      <c r="L272" s="1215"/>
      <c r="M272" s="1215"/>
      <c r="N272" s="1215"/>
      <c r="O272" s="1215"/>
      <c r="P272" s="1215"/>
      <c r="Q272" s="1215"/>
      <c r="R272" s="1215"/>
      <c r="S272" s="1215"/>
      <c r="T272" s="1215"/>
      <c r="U272" s="1215"/>
      <c r="V272" s="1215"/>
      <c r="W272" s="1215"/>
      <c r="X272" s="1215"/>
      <c r="Y272" s="1215"/>
      <c r="Z272" s="1215"/>
      <c r="AA272" s="1215"/>
      <c r="AB272" s="1215"/>
      <c r="AC272" s="1215"/>
      <c r="AD272" s="1215"/>
      <c r="AE272" s="1215"/>
      <c r="AF272" s="1215"/>
      <c r="AG272" s="1215"/>
      <c r="AH272" s="1215"/>
      <c r="AI272" s="1215"/>
      <c r="AJ272" s="1215"/>
      <c r="AK272" s="1215">
        <f>113.55532*Unit.TWh</f>
        <v>113.55531999999999</v>
      </c>
      <c r="AL272" s="1215">
        <f>117.004*Unit.TWh</f>
        <v>117.004</v>
      </c>
      <c r="AM272" s="1215">
        <f>114.168*Unit.TWh</f>
        <v>114.16800000000001</v>
      </c>
      <c r="AN272" s="1215">
        <f>112.6194092*Unit.TWh</f>
        <v>112.61940920000001</v>
      </c>
      <c r="AO272" s="1215">
        <f>112.1681073*Unit.TWh</f>
        <v>112.1681073</v>
      </c>
      <c r="AP272" s="1215">
        <f>113.9677442*Unit.TWh</f>
        <v>113.9677442</v>
      </c>
      <c r="AQ272" s="1215">
        <f>118.5182465*Unit.TWh</f>
        <v>118.5182465</v>
      </c>
      <c r="AR272" s="1215">
        <f>117.2874293*Unit.TWh</f>
        <v>117.2874293</v>
      </c>
      <c r="AS272" s="1215">
        <f>116.4151009*Unit.TWh</f>
        <v>116.4151009</v>
      </c>
      <c r="AT272" s="1215">
        <f>116.8549575*Unit.TWh</f>
        <v>116.8549575</v>
      </c>
      <c r="AU272" s="1215">
        <f>103.0706654*Unit.TWh</f>
        <v>103.0706654</v>
      </c>
      <c r="AV272" s="1215">
        <f>106.6044588*Unit.TWh</f>
        <v>106.6044588</v>
      </c>
      <c r="AW272" s="1215" t="s">
        <v>2569</v>
      </c>
      <c r="AX272" s="1272"/>
      <c r="AY272" s="3345"/>
      <c r="AZ272" s="3345"/>
      <c r="BA272" s="3345"/>
      <c r="BB272" s="3345"/>
      <c r="BC272" s="3345"/>
      <c r="BD272" s="3345"/>
      <c r="BE272" s="3345"/>
      <c r="BF272" s="3345"/>
      <c r="BG272" s="3345"/>
      <c r="BH272" s="3345"/>
      <c r="BI272" s="3345"/>
      <c r="BJ272" s="1214"/>
    </row>
    <row r="273" spans="2:62">
      <c r="B273" s="1214"/>
      <c r="C273" s="3343" t="s">
        <v>195</v>
      </c>
      <c r="D273" s="3344"/>
      <c r="E273" s="1272"/>
      <c r="F273" s="1272"/>
      <c r="G273" s="1272"/>
      <c r="H273" s="1215"/>
      <c r="I273" s="1215"/>
      <c r="J273" s="1215"/>
      <c r="K273" s="1215"/>
      <c r="L273" s="1215"/>
      <c r="M273" s="1215"/>
      <c r="N273" s="1215"/>
      <c r="O273" s="1215"/>
      <c r="P273" s="1215"/>
      <c r="Q273" s="1215"/>
      <c r="R273" s="1215"/>
      <c r="S273" s="1215"/>
      <c r="T273" s="1215"/>
      <c r="U273" s="1215"/>
      <c r="V273" s="1215"/>
      <c r="W273" s="1215"/>
      <c r="X273" s="1215"/>
      <c r="Y273" s="1215"/>
      <c r="Z273" s="1215"/>
      <c r="AA273" s="1215"/>
      <c r="AB273" s="1215"/>
      <c r="AC273" s="1215"/>
      <c r="AD273" s="1215"/>
      <c r="AE273" s="1215"/>
      <c r="AF273" s="1215"/>
      <c r="AG273" s="1215"/>
      <c r="AH273" s="1215"/>
      <c r="AI273" s="1215"/>
      <c r="AJ273" s="1215"/>
      <c r="AK273" s="1215">
        <f>24.42074453*Unit.TWh</f>
        <v>24.42074453</v>
      </c>
      <c r="AL273" s="1215">
        <f>17.4515637*Unit.TWh</f>
        <v>17.451563700000001</v>
      </c>
      <c r="AM273" s="1215">
        <f>17.50532048*Unit.TWh</f>
        <v>17.505320480000002</v>
      </c>
      <c r="AN273" s="1215">
        <f>11.8550141*Unit.TWh</f>
        <v>11.8550141</v>
      </c>
      <c r="AO273" s="1215">
        <f>9.603553023*Unit.TWh</f>
        <v>9.6035530229999999</v>
      </c>
      <c r="AP273" s="1215">
        <f>8.68614397*Unit.TWh</f>
        <v>8.6861439699999998</v>
      </c>
      <c r="AQ273" s="1215">
        <f>5.883140333*Unit.TWh</f>
        <v>5.8831403330000001</v>
      </c>
      <c r="AR273" s="1215">
        <f>5.193713923*Unit.TWh</f>
        <v>5.1937139229999998</v>
      </c>
      <c r="AS273" s="1215">
        <f>5.849571352*Unit.TWh</f>
        <v>5.8495713519999999</v>
      </c>
      <c r="AT273" s="1215">
        <f>6.189137293*Unit.TWh</f>
        <v>6.1891372929999999</v>
      </c>
      <c r="AU273" s="1215">
        <f>6.601790658*Unit.TWh</f>
        <v>6.6017906579999996</v>
      </c>
      <c r="AV273" s="1215">
        <f>6.54085466*Unit.TWh</f>
        <v>6.5408546599999999</v>
      </c>
      <c r="AW273" s="1215" t="s">
        <v>2570</v>
      </c>
      <c r="AX273" s="1272"/>
      <c r="AY273" s="3345"/>
      <c r="AZ273" s="3345"/>
      <c r="BA273" s="3345"/>
      <c r="BB273" s="3345"/>
      <c r="BC273" s="3345"/>
      <c r="BD273" s="3345"/>
      <c r="BE273" s="3345"/>
      <c r="BF273" s="3345"/>
      <c r="BG273" s="3345"/>
      <c r="BH273" s="3345"/>
      <c r="BI273" s="3345"/>
      <c r="BJ273" s="1214"/>
    </row>
    <row r="274" spans="2:62">
      <c r="B274" s="1214"/>
      <c r="C274" s="3346"/>
      <c r="D274" s="1272"/>
      <c r="E274" s="1272"/>
      <c r="F274" s="1272"/>
      <c r="G274" s="1272"/>
      <c r="H274" s="1215"/>
      <c r="I274" s="1215"/>
      <c r="J274" s="1215"/>
      <c r="K274" s="1215"/>
      <c r="L274" s="1215"/>
      <c r="M274" s="1215"/>
      <c r="N274" s="1215"/>
      <c r="O274" s="1215"/>
      <c r="P274" s="1215"/>
      <c r="Q274" s="1215"/>
      <c r="R274" s="1215"/>
      <c r="S274" s="1215"/>
      <c r="T274" s="1215"/>
      <c r="U274" s="1215"/>
      <c r="V274" s="1215"/>
      <c r="W274" s="1215"/>
      <c r="X274" s="1215"/>
      <c r="Y274" s="1215"/>
      <c r="Z274" s="1215"/>
      <c r="AA274" s="1215"/>
      <c r="AB274" s="1215"/>
      <c r="AC274" s="1215"/>
      <c r="AD274" s="1215"/>
      <c r="AE274" s="1215"/>
      <c r="AF274" s="1215"/>
      <c r="AG274" s="1215"/>
      <c r="AH274" s="1215"/>
      <c r="AI274" s="1215"/>
      <c r="AJ274" s="1215"/>
      <c r="AK274" s="1215"/>
      <c r="AL274" s="1215"/>
      <c r="AM274" s="1215"/>
      <c r="AN274" s="1215"/>
      <c r="AO274" s="1215"/>
      <c r="AP274" s="1215"/>
      <c r="AQ274" s="1215"/>
      <c r="AR274" s="1215"/>
      <c r="AS274" s="1215"/>
      <c r="AT274" s="1215"/>
      <c r="AU274" s="1215"/>
      <c r="AV274" s="1215"/>
      <c r="AW274" s="1215"/>
      <c r="AX274" s="1272"/>
      <c r="AY274" s="1272"/>
      <c r="AZ274" s="1272"/>
      <c r="BA274" s="1272"/>
      <c r="BB274" s="1272"/>
      <c r="BC274" s="1272"/>
      <c r="BD274" s="1272"/>
      <c r="BE274" s="1272"/>
      <c r="BF274" s="1272"/>
      <c r="BG274" s="1272"/>
      <c r="BH274" s="1272"/>
      <c r="BI274" s="1272"/>
      <c r="BJ274" s="1214"/>
    </row>
    <row r="275" spans="2:62">
      <c r="B275" s="1214"/>
      <c r="C275" s="3340" t="s">
        <v>2571</v>
      </c>
      <c r="D275" s="1272"/>
      <c r="E275" s="1272"/>
      <c r="F275" s="1272"/>
      <c r="G275" s="1272"/>
      <c r="H275" s="1215"/>
      <c r="I275" s="1215"/>
      <c r="J275" s="1215"/>
      <c r="K275" s="1215"/>
      <c r="L275" s="1215"/>
      <c r="M275" s="1215"/>
      <c r="N275" s="1215"/>
      <c r="O275" s="1215"/>
      <c r="P275" s="1215"/>
      <c r="Q275" s="1215"/>
      <c r="R275" s="1215"/>
      <c r="S275" s="1215"/>
      <c r="T275" s="1215"/>
      <c r="U275" s="1215"/>
      <c r="V275" s="1215"/>
      <c r="W275" s="1215"/>
      <c r="X275" s="1215"/>
      <c r="Y275" s="1215"/>
      <c r="Z275" s="1215"/>
      <c r="AA275" s="1215"/>
      <c r="AB275" s="1215"/>
      <c r="AC275" s="1215"/>
      <c r="AD275" s="1215"/>
      <c r="AE275" s="1215"/>
      <c r="AF275" s="1215"/>
      <c r="AG275" s="1215"/>
      <c r="AH275" s="1215"/>
      <c r="AI275" s="1215"/>
      <c r="AJ275" s="1215"/>
      <c r="AK275" s="1215"/>
      <c r="AL275" s="1215"/>
      <c r="AM275" s="1215"/>
      <c r="AN275" s="1215"/>
      <c r="AO275" s="1215"/>
      <c r="AP275" s="1215"/>
      <c r="AQ275" s="1215"/>
      <c r="AR275" s="1215"/>
      <c r="AS275" s="1215"/>
      <c r="AT275" s="1215"/>
      <c r="AU275" s="1215"/>
      <c r="AV275" s="1215"/>
      <c r="AW275" s="1215"/>
      <c r="AX275" s="1272"/>
      <c r="AY275" s="1275"/>
      <c r="AZ275" s="1275"/>
      <c r="BA275" s="1275"/>
      <c r="BB275" s="1275"/>
      <c r="BC275" s="1275"/>
      <c r="BD275" s="1275"/>
      <c r="BE275" s="1275"/>
      <c r="BF275" s="1275"/>
      <c r="BG275" s="1275"/>
      <c r="BH275" s="1275"/>
      <c r="BI275" s="1275"/>
      <c r="BJ275" s="1214"/>
    </row>
    <row r="276" spans="2:62">
      <c r="B276" s="1214"/>
      <c r="C276" s="3341" t="s">
        <v>190</v>
      </c>
      <c r="D276" s="3340" t="s">
        <v>2572</v>
      </c>
      <c r="E276" s="1272"/>
      <c r="F276" s="1272"/>
      <c r="G276" s="1272"/>
      <c r="H276" s="1215"/>
      <c r="I276" s="1215"/>
      <c r="J276" s="1215"/>
      <c r="K276" s="1215"/>
      <c r="L276" s="1215"/>
      <c r="M276" s="1215"/>
      <c r="N276" s="1215"/>
      <c r="O276" s="1215"/>
      <c r="P276" s="1215"/>
      <c r="Q276" s="1215"/>
      <c r="R276" s="1215"/>
      <c r="S276" s="1215"/>
      <c r="T276" s="1215"/>
      <c r="U276" s="1215"/>
      <c r="V276" s="1215"/>
      <c r="W276" s="1215"/>
      <c r="X276" s="1215"/>
      <c r="Y276" s="1215"/>
      <c r="Z276" s="1215"/>
      <c r="AA276" s="1215"/>
      <c r="AB276" s="1215"/>
      <c r="AC276" s="1215"/>
      <c r="AD276" s="1215"/>
      <c r="AE276" s="1215"/>
      <c r="AF276" s="1215"/>
      <c r="AG276" s="1215"/>
      <c r="AH276" s="1215"/>
      <c r="AI276" s="1215"/>
      <c r="AJ276" s="1215"/>
      <c r="AK276" s="1215"/>
      <c r="AL276" s="1215"/>
      <c r="AM276" s="1215"/>
      <c r="AN276" s="1215"/>
      <c r="AO276" s="1215"/>
      <c r="AP276" s="1215"/>
      <c r="AQ276" s="1215"/>
      <c r="AR276" s="1215"/>
      <c r="AS276" s="1215"/>
      <c r="AT276" s="1215"/>
      <c r="AU276" s="1215"/>
      <c r="AV276" s="1215"/>
      <c r="AW276" s="1215"/>
      <c r="AX276" s="1272"/>
      <c r="AY276" s="3342"/>
      <c r="AZ276" s="3342"/>
      <c r="BA276" s="3342"/>
      <c r="BB276" s="3342"/>
      <c r="BC276" s="3342"/>
      <c r="BD276" s="3342"/>
      <c r="BE276" s="3342"/>
      <c r="BF276" s="3342"/>
      <c r="BG276" s="3342"/>
      <c r="BH276" s="3342"/>
      <c r="BI276" s="3342"/>
      <c r="BJ276" s="1214"/>
    </row>
    <row r="277" spans="2:62">
      <c r="B277" s="1214"/>
      <c r="C277" s="3343" t="s">
        <v>198</v>
      </c>
      <c r="D277" s="3344" t="s">
        <v>113</v>
      </c>
      <c r="E277" s="1272"/>
      <c r="F277" s="1272"/>
      <c r="G277" s="1272"/>
      <c r="H277" s="1215"/>
      <c r="I277" s="1215"/>
      <c r="J277" s="1215"/>
      <c r="K277" s="1215"/>
      <c r="L277" s="1215"/>
      <c r="M277" s="1215"/>
      <c r="N277" s="1215"/>
      <c r="O277" s="1215"/>
      <c r="P277" s="1215"/>
      <c r="Q277" s="1215"/>
      <c r="R277" s="1215"/>
      <c r="S277" s="1215"/>
      <c r="T277" s="1215"/>
      <c r="U277" s="1215"/>
      <c r="V277" s="1215"/>
      <c r="W277" s="1215"/>
      <c r="X277" s="1215"/>
      <c r="Y277" s="1215"/>
      <c r="Z277" s="1215"/>
      <c r="AA277" s="1215"/>
      <c r="AB277" s="1215"/>
      <c r="AC277" s="1215"/>
      <c r="AD277" s="1215"/>
      <c r="AE277" s="1215"/>
      <c r="AF277" s="1215"/>
      <c r="AG277" s="1215"/>
      <c r="AH277" s="1215"/>
      <c r="AI277" s="1215"/>
      <c r="AJ277" s="1215"/>
      <c r="AK277" s="1215" t="e">
        <v>#N/A</v>
      </c>
      <c r="AL277" s="1215" t="e">
        <v>#N/A</v>
      </c>
      <c r="AM277" s="1215" t="e">
        <v>#N/A</v>
      </c>
      <c r="AN277" s="1215" t="e">
        <v>#N/A</v>
      </c>
      <c r="AO277" s="1215" t="e">
        <v>#N/A</v>
      </c>
      <c r="AP277" s="1215" t="e">
        <v>#N/A</v>
      </c>
      <c r="AQ277" s="1215" t="e">
        <v>#N/A</v>
      </c>
      <c r="AR277" s="1215" t="e">
        <v>#N/A</v>
      </c>
      <c r="AS277" s="1215" t="e">
        <v>#N/A</v>
      </c>
      <c r="AT277" s="1215" t="e">
        <v>#N/A</v>
      </c>
      <c r="AU277" s="1215" t="e">
        <v>#N/A</v>
      </c>
      <c r="AV277" s="1215" t="e">
        <v>#N/A</v>
      </c>
      <c r="AW277" s="1215" t="s">
        <v>2573</v>
      </c>
      <c r="AX277" s="1272"/>
      <c r="AY277" s="3345"/>
      <c r="AZ277" s="3345"/>
      <c r="BA277" s="3345"/>
      <c r="BB277" s="3345"/>
      <c r="BC277" s="3345"/>
      <c r="BD277" s="3345"/>
      <c r="BE277" s="3345"/>
      <c r="BF277" s="3345"/>
      <c r="BG277" s="3345"/>
      <c r="BH277" s="3345"/>
      <c r="BI277" s="3345"/>
      <c r="BJ277" s="1214"/>
    </row>
    <row r="278" spans="2:62">
      <c r="B278" s="1214"/>
      <c r="C278" s="3343" t="s">
        <v>197</v>
      </c>
      <c r="D278" s="3344" t="s">
        <v>33</v>
      </c>
      <c r="E278" s="1272"/>
      <c r="F278" s="1272"/>
      <c r="G278" s="1272"/>
      <c r="H278" s="1215"/>
      <c r="I278" s="1215"/>
      <c r="J278" s="1215"/>
      <c r="K278" s="1215"/>
      <c r="L278" s="1215"/>
      <c r="M278" s="1215"/>
      <c r="N278" s="1215"/>
      <c r="O278" s="1215"/>
      <c r="P278" s="1215"/>
      <c r="Q278" s="1215"/>
      <c r="R278" s="1215"/>
      <c r="S278" s="1215"/>
      <c r="T278" s="1215"/>
      <c r="U278" s="1215"/>
      <c r="V278" s="1215"/>
      <c r="W278" s="1215"/>
      <c r="X278" s="1215"/>
      <c r="Y278" s="1215"/>
      <c r="Z278" s="1215"/>
      <c r="AA278" s="1215"/>
      <c r="AB278" s="1215"/>
      <c r="AC278" s="1215"/>
      <c r="AD278" s="1215"/>
      <c r="AE278" s="1215"/>
      <c r="AF278" s="1215"/>
      <c r="AG278" s="1215"/>
      <c r="AH278" s="1215"/>
      <c r="AI278" s="1215"/>
      <c r="AJ278" s="1215"/>
      <c r="AK278" s="1215">
        <f>73.00151*Unit.TWh</f>
        <v>73.001509999999996</v>
      </c>
      <c r="AL278" s="1215">
        <f>76.15702378*Unit.TWh</f>
        <v>76.157023780000003</v>
      </c>
      <c r="AM278" s="1215">
        <f>72.21332952*Unit.TWh</f>
        <v>72.213329520000002</v>
      </c>
      <c r="AN278" s="1215">
        <f>58.04690626*Unit.TWh</f>
        <v>58.04690626</v>
      </c>
      <c r="AO278" s="1215">
        <f>56.93925004*Unit.TWh</f>
        <v>56.939250039999997</v>
      </c>
      <c r="AP278" s="1215">
        <f>53.5808897*Unit.TWh</f>
        <v>53.5808897</v>
      </c>
      <c r="AQ278" s="1215">
        <f>55.73394665*Unit.TWh</f>
        <v>55.73394665</v>
      </c>
      <c r="AR278" s="1215">
        <f>59.85796902*Unit.TWh</f>
        <v>59.857969019999999</v>
      </c>
      <c r="AS278" s="1215">
        <f>60.4447161*Unit.TWh</f>
        <v>60.444716100000001</v>
      </c>
      <c r="AT278" s="1215">
        <f>59.74594793*Unit.TWh</f>
        <v>59.74594793</v>
      </c>
      <c r="AU278" s="1215">
        <f>52.77511272*Unit.TWh</f>
        <v>52.775112720000003</v>
      </c>
      <c r="AV278" s="1215">
        <f>55.63460029*Unit.TWh</f>
        <v>55.634600290000002</v>
      </c>
      <c r="AW278" s="1215" t="s">
        <v>2574</v>
      </c>
      <c r="AX278" s="1272"/>
      <c r="AY278" s="3345"/>
      <c r="AZ278" s="3345"/>
      <c r="BA278" s="3345"/>
      <c r="BB278" s="3345"/>
      <c r="BC278" s="3345"/>
      <c r="BD278" s="3345"/>
      <c r="BE278" s="3345"/>
      <c r="BF278" s="3345"/>
      <c r="BG278" s="3345"/>
      <c r="BH278" s="3345"/>
      <c r="BI278" s="3345"/>
      <c r="BJ278" s="1214"/>
    </row>
    <row r="279" spans="2:62">
      <c r="B279" s="1214"/>
      <c r="C279" s="3343" t="s">
        <v>310</v>
      </c>
      <c r="D279" s="3344" t="str">
        <f>INDEX(Modules[Module], MATCH(C279, Modules[Code], 0))</f>
        <v>Domestic Gas Production</v>
      </c>
      <c r="E279" s="1272"/>
      <c r="F279" s="1272"/>
      <c r="G279" s="1272"/>
      <c r="H279" s="1215"/>
      <c r="I279" s="1215"/>
      <c r="J279" s="1215"/>
      <c r="K279" s="1215"/>
      <c r="L279" s="1215"/>
      <c r="M279" s="1215"/>
      <c r="N279" s="1215"/>
      <c r="O279" s="1215"/>
      <c r="P279" s="1215"/>
      <c r="Q279" s="1215"/>
      <c r="R279" s="1215"/>
      <c r="S279" s="1215"/>
      <c r="T279" s="1215"/>
      <c r="U279" s="1215"/>
      <c r="V279" s="1215"/>
      <c r="W279" s="1215"/>
      <c r="X279" s="1215"/>
      <c r="Y279" s="1215"/>
      <c r="Z279" s="1215"/>
      <c r="AA279" s="1215"/>
      <c r="AB279" s="1215"/>
      <c r="AC279" s="1215"/>
      <c r="AD279" s="1215"/>
      <c r="AE279" s="1215"/>
      <c r="AF279" s="1215"/>
      <c r="AG279" s="1215"/>
      <c r="AH279" s="1215"/>
      <c r="AI279" s="1215"/>
      <c r="AJ279" s="1215"/>
      <c r="AK279" s="1215">
        <f>68.37816011*Unit.TWh</f>
        <v>68.378160109999996</v>
      </c>
      <c r="AL279" s="1215">
        <f>64.8507886*Unit.TWh</f>
        <v>64.850788600000001</v>
      </c>
      <c r="AM279" s="1215">
        <f>63.04462365*Unit.TWh</f>
        <v>63.044623649999998</v>
      </c>
      <c r="AN279" s="1215">
        <f>70.29185596*Unit.TWh</f>
        <v>70.291855960000007</v>
      </c>
      <c r="AO279" s="1215">
        <f>67.50576921*Unit.TWh</f>
        <v>67.505769209999997</v>
      </c>
      <c r="AP279" s="1215">
        <f>67.55346877*Unit.TWh</f>
        <v>67.553468769999995</v>
      </c>
      <c r="AQ279" s="1215">
        <f>69.45787*Unit.TWh</f>
        <v>69.45787</v>
      </c>
      <c r="AR279" s="1215">
        <f>60.05119281*Unit.TWh</f>
        <v>60.051192810000003</v>
      </c>
      <c r="AS279" s="1215">
        <f>57.24685939*Unit.TWh</f>
        <v>57.246859389999997</v>
      </c>
      <c r="AT279" s="1215">
        <f>58.57160534*Unit.TWh</f>
        <v>58.571605339999998</v>
      </c>
      <c r="AU279" s="1215">
        <f>53.80431206*Unit.TWh</f>
        <v>53.804312060000001</v>
      </c>
      <c r="AV279" s="1215">
        <f>54.98917277*Unit.TWh</f>
        <v>54.989172770000003</v>
      </c>
      <c r="AW279" s="1215" t="s">
        <v>2575</v>
      </c>
      <c r="AX279" s="1272"/>
      <c r="AY279" s="3345"/>
      <c r="AZ279" s="3345"/>
      <c r="BA279" s="3345"/>
      <c r="BB279" s="3345"/>
      <c r="BC279" s="3345"/>
      <c r="BD279" s="3345"/>
      <c r="BE279" s="3345"/>
      <c r="BF279" s="3345"/>
      <c r="BG279" s="3345"/>
      <c r="BH279" s="3345"/>
      <c r="BI279" s="3345"/>
      <c r="BJ279" s="1214"/>
    </row>
    <row r="280" spans="2:62">
      <c r="B280" s="1214"/>
      <c r="C280" s="3344"/>
      <c r="D280" s="1272"/>
      <c r="E280" s="1272"/>
      <c r="F280" s="1272"/>
      <c r="G280" s="1272"/>
      <c r="H280" s="1215"/>
      <c r="I280" s="1215"/>
      <c r="J280" s="1215"/>
      <c r="K280" s="1215"/>
      <c r="L280" s="1215"/>
      <c r="M280" s="1215"/>
      <c r="N280" s="1215"/>
      <c r="O280" s="1215"/>
      <c r="P280" s="1215"/>
      <c r="Q280" s="1215"/>
      <c r="R280" s="1215"/>
      <c r="S280" s="1215"/>
      <c r="T280" s="1215"/>
      <c r="U280" s="1215"/>
      <c r="V280" s="1215"/>
      <c r="W280" s="1215"/>
      <c r="X280" s="1215"/>
      <c r="Y280" s="1215"/>
      <c r="Z280" s="1215"/>
      <c r="AA280" s="1215"/>
      <c r="AB280" s="1215"/>
      <c r="AC280" s="1215"/>
      <c r="AD280" s="1215"/>
      <c r="AE280" s="1215"/>
      <c r="AF280" s="1215"/>
      <c r="AG280" s="1215"/>
      <c r="AH280" s="1215"/>
      <c r="AI280" s="1215"/>
      <c r="AJ280" s="1215"/>
      <c r="AK280" s="1215"/>
      <c r="AL280" s="1215"/>
      <c r="AM280" s="1215"/>
      <c r="AN280" s="1215"/>
      <c r="AO280" s="1215"/>
      <c r="AP280" s="1215"/>
      <c r="AQ280" s="1215"/>
      <c r="AR280" s="1215"/>
      <c r="AS280" s="1215"/>
      <c r="AT280" s="1215"/>
      <c r="AU280" s="1215"/>
      <c r="AV280" s="1215"/>
      <c r="AW280" s="1215"/>
      <c r="AX280" s="1272"/>
      <c r="AY280" s="1272"/>
      <c r="AZ280" s="1272"/>
      <c r="BA280" s="1272"/>
      <c r="BB280" s="1272"/>
      <c r="BC280" s="1272"/>
      <c r="BD280" s="1272"/>
      <c r="BE280" s="1272"/>
      <c r="BF280" s="1272"/>
      <c r="BG280" s="1272"/>
      <c r="BH280" s="1272"/>
      <c r="BI280" s="1272"/>
      <c r="BJ280" s="1214"/>
    </row>
    <row r="281" spans="2:62">
      <c r="B281" s="1214"/>
      <c r="C281" s="3340" t="s">
        <v>2576</v>
      </c>
      <c r="D281" s="1272"/>
      <c r="E281" s="1272"/>
      <c r="F281" s="1272"/>
      <c r="G281" s="1272"/>
      <c r="H281" s="1215"/>
      <c r="I281" s="1215"/>
      <c r="J281" s="1215"/>
      <c r="K281" s="1215"/>
      <c r="L281" s="1215"/>
      <c r="M281" s="1215"/>
      <c r="N281" s="1215"/>
      <c r="O281" s="1215"/>
      <c r="P281" s="1215"/>
      <c r="Q281" s="1215"/>
      <c r="R281" s="1215"/>
      <c r="S281" s="1215"/>
      <c r="T281" s="1215"/>
      <c r="U281" s="1215"/>
      <c r="V281" s="1215"/>
      <c r="W281" s="1215"/>
      <c r="X281" s="1215"/>
      <c r="Y281" s="1215"/>
      <c r="Z281" s="1215"/>
      <c r="AA281" s="1215"/>
      <c r="AB281" s="1215"/>
      <c r="AC281" s="1215"/>
      <c r="AD281" s="1215"/>
      <c r="AE281" s="1215"/>
      <c r="AF281" s="1215"/>
      <c r="AG281" s="1215"/>
      <c r="AH281" s="1215"/>
      <c r="AI281" s="1215"/>
      <c r="AJ281" s="1215"/>
      <c r="AK281" s="1215"/>
      <c r="AL281" s="1215"/>
      <c r="AM281" s="1215"/>
      <c r="AN281" s="1215"/>
      <c r="AO281" s="1215"/>
      <c r="AP281" s="1215"/>
      <c r="AQ281" s="1215"/>
      <c r="AR281" s="1215"/>
      <c r="AS281" s="1215"/>
      <c r="AT281" s="1215"/>
      <c r="AU281" s="1215"/>
      <c r="AV281" s="1215"/>
      <c r="AW281" s="1215"/>
      <c r="AX281" s="1272"/>
      <c r="AY281" s="1275"/>
      <c r="AZ281" s="1275"/>
      <c r="BA281" s="1275"/>
      <c r="BB281" s="1275"/>
      <c r="BC281" s="1275"/>
      <c r="BD281" s="1275"/>
      <c r="BE281" s="1275"/>
      <c r="BF281" s="1275"/>
      <c r="BG281" s="1275"/>
      <c r="BH281" s="1275"/>
      <c r="BI281" s="1275"/>
      <c r="BJ281" s="1214"/>
    </row>
    <row r="282" spans="2:62">
      <c r="B282" s="1214"/>
      <c r="C282" s="1272" t="s">
        <v>190</v>
      </c>
      <c r="D282" s="3340" t="s">
        <v>2577</v>
      </c>
      <c r="E282" s="1272"/>
      <c r="F282" s="1272"/>
      <c r="G282" s="1272"/>
      <c r="H282" s="1215"/>
      <c r="I282" s="1215"/>
      <c r="J282" s="1215"/>
      <c r="K282" s="1215"/>
      <c r="L282" s="1215"/>
      <c r="M282" s="1215"/>
      <c r="N282" s="1215"/>
      <c r="O282" s="1215"/>
      <c r="P282" s="1215"/>
      <c r="Q282" s="1215"/>
      <c r="R282" s="1215"/>
      <c r="S282" s="1215"/>
      <c r="T282" s="1215"/>
      <c r="U282" s="1215"/>
      <c r="V282" s="1215"/>
      <c r="W282" s="1215"/>
      <c r="X282" s="1215"/>
      <c r="Y282" s="1215"/>
      <c r="Z282" s="1215"/>
      <c r="AA282" s="1215"/>
      <c r="AB282" s="1215"/>
      <c r="AC282" s="1215"/>
      <c r="AD282" s="1215"/>
      <c r="AE282" s="1215"/>
      <c r="AF282" s="1215"/>
      <c r="AG282" s="1215"/>
      <c r="AH282" s="1215"/>
      <c r="AI282" s="1215"/>
      <c r="AJ282" s="1215"/>
      <c r="AK282" s="1215"/>
      <c r="AL282" s="1215"/>
      <c r="AM282" s="1215"/>
      <c r="AN282" s="1215"/>
      <c r="AO282" s="1215"/>
      <c r="AP282" s="1215"/>
      <c r="AQ282" s="1215"/>
      <c r="AR282" s="1215"/>
      <c r="AS282" s="1215"/>
      <c r="AT282" s="1215"/>
      <c r="AU282" s="1215"/>
      <c r="AV282" s="1215"/>
      <c r="AW282" s="1215"/>
      <c r="AX282" s="1272"/>
      <c r="AY282" s="3342"/>
      <c r="AZ282" s="3342"/>
      <c r="BA282" s="3342"/>
      <c r="BB282" s="3342"/>
      <c r="BC282" s="3342"/>
      <c r="BD282" s="3342"/>
      <c r="BE282" s="3342"/>
      <c r="BF282" s="3342"/>
      <c r="BG282" s="3342"/>
      <c r="BH282" s="3342"/>
      <c r="BI282" s="3342"/>
      <c r="BJ282" s="1214"/>
    </row>
    <row r="283" spans="2:62">
      <c r="B283" s="1214"/>
      <c r="C283" s="3343" t="s">
        <v>300</v>
      </c>
      <c r="D283" s="3344" t="str">
        <f>INDEX(Modules[Module], MATCH(C283, Modules[Code], 0))</f>
        <v>Domestic Lighting &amp; Appliances</v>
      </c>
      <c r="E283" s="1272"/>
      <c r="F283" s="1272"/>
      <c r="G283" s="1272"/>
      <c r="H283" s="1215"/>
      <c r="I283" s="1215"/>
      <c r="J283" s="1215"/>
      <c r="K283" s="1215"/>
      <c r="L283" s="1215"/>
      <c r="M283" s="1215"/>
      <c r="N283" s="1215"/>
      <c r="O283" s="1215"/>
      <c r="P283" s="1215"/>
      <c r="Q283" s="1215"/>
      <c r="R283" s="1215"/>
      <c r="S283" s="1215"/>
      <c r="T283" s="1215"/>
      <c r="U283" s="1215"/>
      <c r="V283" s="1215"/>
      <c r="W283" s="1215"/>
      <c r="X283" s="1215"/>
      <c r="Y283" s="1215"/>
      <c r="Z283" s="1215"/>
      <c r="AA283" s="1215"/>
      <c r="AB283" s="1215"/>
      <c r="AC283" s="1215"/>
      <c r="AD283" s="1215"/>
      <c r="AE283" s="1215"/>
      <c r="AF283" s="1215"/>
      <c r="AG283" s="1215"/>
      <c r="AH283" s="1215"/>
      <c r="AI283" s="1215"/>
      <c r="AJ283" s="1215"/>
      <c r="AK283" s="1215"/>
      <c r="AL283" s="1215"/>
      <c r="AM283" s="1215"/>
      <c r="AN283" s="1215"/>
      <c r="AO283" s="1215"/>
      <c r="AP283" s="1215"/>
      <c r="AQ283" s="1215"/>
      <c r="AR283" s="1215">
        <f>254.0914794*Unit.TWh</f>
        <v>254.0914794</v>
      </c>
      <c r="AS283" s="1215">
        <f>241.4598289*Unit.TWh</f>
        <v>241.45982889999999</v>
      </c>
      <c r="AT283" s="1215">
        <f>254.5511238*Unit.TWh</f>
        <v>254.5511238</v>
      </c>
      <c r="AU283" s="1215">
        <f>251.6905486*Unit.TWh</f>
        <v>251.6905486</v>
      </c>
      <c r="AV283" s="1215"/>
      <c r="AW283" s="1215" t="s">
        <v>2578</v>
      </c>
      <c r="AX283" s="1272"/>
      <c r="AY283" s="3345"/>
      <c r="AZ283" s="3345"/>
      <c r="BA283" s="3345"/>
      <c r="BB283" s="3345"/>
      <c r="BC283" s="3345"/>
      <c r="BD283" s="3345"/>
      <c r="BE283" s="3345"/>
      <c r="BF283" s="3345"/>
      <c r="BG283" s="3345"/>
      <c r="BH283" s="3345"/>
      <c r="BI283" s="3345"/>
      <c r="BJ283" s="1214"/>
    </row>
    <row r="284" spans="2:62">
      <c r="B284" s="1214"/>
      <c r="C284" s="3343" t="s">
        <v>301</v>
      </c>
      <c r="D284" s="3344" t="str">
        <f>INDEX(Modules[Module], MATCH(C284, Modules[Code], 0))</f>
        <v>Commercial Lighting &amp; Appliances</v>
      </c>
      <c r="E284" s="1272"/>
      <c r="F284" s="1272"/>
      <c r="G284" s="1272"/>
      <c r="H284" s="1215"/>
      <c r="I284" s="1215"/>
      <c r="J284" s="1215"/>
      <c r="K284" s="1215"/>
      <c r="L284" s="1215"/>
      <c r="M284" s="1215"/>
      <c r="N284" s="1215"/>
      <c r="O284" s="1215"/>
      <c r="P284" s="1215"/>
      <c r="Q284" s="1215"/>
      <c r="R284" s="1215"/>
      <c r="S284" s="1215"/>
      <c r="T284" s="1215"/>
      <c r="U284" s="1215"/>
      <c r="V284" s="1215"/>
      <c r="W284" s="1215"/>
      <c r="X284" s="1215"/>
      <c r="Y284" s="1215"/>
      <c r="Z284" s="1215"/>
      <c r="AA284" s="1215"/>
      <c r="AB284" s="1215"/>
      <c r="AC284" s="1215"/>
      <c r="AD284" s="1215"/>
      <c r="AE284" s="1215"/>
      <c r="AF284" s="1215"/>
      <c r="AG284" s="1215"/>
      <c r="AH284" s="1215"/>
      <c r="AI284" s="1215"/>
      <c r="AJ284" s="1215"/>
      <c r="AK284" s="1215"/>
      <c r="AL284" s="1215"/>
      <c r="AM284" s="1215"/>
      <c r="AN284" s="1215"/>
      <c r="AO284" s="1215"/>
      <c r="AP284" s="1215"/>
      <c r="AQ284" s="1215"/>
      <c r="AR284" s="1215">
        <f>75.26536024*Unit.TWh</f>
        <v>75.265360240000007</v>
      </c>
      <c r="AS284" s="1215">
        <f>72.43646261*Unit.TWh</f>
        <v>72.436462610000007</v>
      </c>
      <c r="AT284" s="1215">
        <f>70.4353316*Unit.TWh</f>
        <v>70.435331599999998</v>
      </c>
      <c r="AU284" s="1215">
        <f>61.68484301*Unit.TWh</f>
        <v>61.684843010000002</v>
      </c>
      <c r="AV284" s="1215"/>
      <c r="AW284" s="1215" t="s">
        <v>2579</v>
      </c>
      <c r="AX284" s="1272"/>
      <c r="AY284" s="3345"/>
      <c r="AZ284" s="3345"/>
      <c r="BA284" s="3345"/>
      <c r="BB284" s="3345"/>
      <c r="BC284" s="3345"/>
      <c r="BD284" s="3345"/>
      <c r="BE284" s="3345"/>
      <c r="BF284" s="3345"/>
      <c r="BG284" s="3345"/>
      <c r="BH284" s="3345"/>
      <c r="BI284" s="3345"/>
      <c r="BJ284" s="1214"/>
    </row>
    <row r="285" spans="2:62">
      <c r="B285" s="1214"/>
      <c r="C285" s="3343" t="s">
        <v>197</v>
      </c>
      <c r="D285" s="3344" t="s">
        <v>33</v>
      </c>
      <c r="E285" s="1272"/>
      <c r="F285" s="1272"/>
      <c r="G285" s="1272"/>
      <c r="H285" s="1215"/>
      <c r="I285" s="1215"/>
      <c r="J285" s="1215"/>
      <c r="K285" s="1215"/>
      <c r="L285" s="1215"/>
      <c r="M285" s="1215"/>
      <c r="N285" s="1215"/>
      <c r="O285" s="1215"/>
      <c r="P285" s="1215"/>
      <c r="Q285" s="1215"/>
      <c r="R285" s="1215"/>
      <c r="S285" s="1215"/>
      <c r="T285" s="1215"/>
      <c r="U285" s="1215"/>
      <c r="V285" s="1215"/>
      <c r="W285" s="1215"/>
      <c r="X285" s="1215"/>
      <c r="Y285" s="1215"/>
      <c r="Z285" s="1215"/>
      <c r="AA285" s="1215"/>
      <c r="AB285" s="1215"/>
      <c r="AC285" s="1215"/>
      <c r="AD285" s="1215"/>
      <c r="AE285" s="1215"/>
      <c r="AF285" s="1215"/>
      <c r="AG285" s="1215"/>
      <c r="AH285" s="1215"/>
      <c r="AI285" s="1215"/>
      <c r="AJ285" s="1215"/>
      <c r="AK285" s="1215">
        <f>68.19307333*Unit.TWh</f>
        <v>68.193073330000004</v>
      </c>
      <c r="AL285" s="1215">
        <f>84.8390885*Unit.TWh</f>
        <v>84.839088500000003</v>
      </c>
      <c r="AM285" s="1215">
        <f>76.97345584*Unit.TWh</f>
        <v>76.97345584</v>
      </c>
      <c r="AN285" s="1215">
        <f>62.61575762*Unit.TWh</f>
        <v>62.615757619999997</v>
      </c>
      <c r="AO285" s="1215">
        <f>69.01463435*Unit.TWh</f>
        <v>69.014634349999994</v>
      </c>
      <c r="AP285" s="1215">
        <f>68.26181377*Unit.TWh</f>
        <v>68.261813770000003</v>
      </c>
      <c r="AQ285" s="1215">
        <f>68.96100319*Unit.TWh</f>
        <v>68.96100319</v>
      </c>
      <c r="AR285" s="1215">
        <f>73.31393634*Unit.TWh</f>
        <v>73.313936339999998</v>
      </c>
      <c r="AS285" s="1215">
        <f>75.52793362*Unit.TWh</f>
        <v>75.527933619999999</v>
      </c>
      <c r="AT285" s="1215">
        <f>74.21415243*Unit.TWh</f>
        <v>74.214152429999999</v>
      </c>
      <c r="AU285" s="1215">
        <f>59.8750939*Unit.TWh</f>
        <v>59.875093900000003</v>
      </c>
      <c r="AV285" s="1215">
        <f>59.91086183*Unit.TWh</f>
        <v>59.910861830000002</v>
      </c>
      <c r="AW285" s="1215" t="s">
        <v>2580</v>
      </c>
      <c r="AX285" s="1272"/>
      <c r="AY285" s="3345"/>
      <c r="AZ285" s="3345"/>
      <c r="BA285" s="3345"/>
      <c r="BB285" s="3345"/>
      <c r="BC285" s="3345"/>
      <c r="BD285" s="3345"/>
      <c r="BE285" s="3345"/>
      <c r="BF285" s="3345"/>
      <c r="BG285" s="3345"/>
      <c r="BH285" s="3345"/>
      <c r="BI285" s="3345"/>
      <c r="BJ285" s="1214"/>
    </row>
    <row r="286" spans="2:62">
      <c r="B286" s="1214"/>
      <c r="C286" s="3343" t="s">
        <v>248</v>
      </c>
      <c r="D286" s="3344" t="str">
        <f>INDEX(Modules[Module], MATCH(C286, Modules[Code], 0))</f>
        <v>Gas Power Stations</v>
      </c>
      <c r="E286" s="1272"/>
      <c r="F286" s="1272"/>
      <c r="G286" s="1272"/>
      <c r="H286" s="1215"/>
      <c r="I286" s="1215"/>
      <c r="J286" s="1215"/>
      <c r="K286" s="1215"/>
      <c r="L286" s="1215"/>
      <c r="M286" s="1215"/>
      <c r="N286" s="1215"/>
      <c r="O286" s="1215"/>
      <c r="P286" s="1215"/>
      <c r="Q286" s="1215"/>
      <c r="R286" s="1215"/>
      <c r="S286" s="1215"/>
      <c r="T286" s="1215"/>
      <c r="U286" s="1215"/>
      <c r="V286" s="1215"/>
      <c r="W286" s="1215"/>
      <c r="X286" s="1215"/>
      <c r="Y286" s="1215"/>
      <c r="Z286" s="1215"/>
      <c r="AA286" s="1215"/>
      <c r="AB286" s="1215"/>
      <c r="AC286" s="1215"/>
      <c r="AD286" s="1215"/>
      <c r="AE286" s="1215"/>
      <c r="AF286" s="1215"/>
      <c r="AG286" s="1215"/>
      <c r="AH286" s="1215"/>
      <c r="AI286" s="1215"/>
      <c r="AJ286" s="1215"/>
      <c r="AK286" s="1271">
        <f t="shared" ref="AK286:AV287" si="40">0*Unit.TWh</f>
        <v>0</v>
      </c>
      <c r="AL286" s="1271">
        <f t="shared" si="40"/>
        <v>0</v>
      </c>
      <c r="AM286" s="1271">
        <f t="shared" si="40"/>
        <v>0</v>
      </c>
      <c r="AN286" s="1271">
        <f t="shared" si="40"/>
        <v>0</v>
      </c>
      <c r="AO286" s="1271">
        <f t="shared" si="40"/>
        <v>0</v>
      </c>
      <c r="AP286" s="1271">
        <f t="shared" si="40"/>
        <v>0</v>
      </c>
      <c r="AQ286" s="1271">
        <f t="shared" si="40"/>
        <v>0</v>
      </c>
      <c r="AR286" s="1271">
        <f t="shared" si="40"/>
        <v>0</v>
      </c>
      <c r="AS286" s="1271">
        <f t="shared" si="40"/>
        <v>0</v>
      </c>
      <c r="AT286" s="1271">
        <f t="shared" si="40"/>
        <v>0</v>
      </c>
      <c r="AU286" s="1271">
        <f t="shared" si="40"/>
        <v>0</v>
      </c>
      <c r="AV286" s="1271">
        <f t="shared" si="40"/>
        <v>0</v>
      </c>
      <c r="AW286" s="1215" t="s">
        <v>2568</v>
      </c>
      <c r="AX286" s="1272"/>
      <c r="AY286" s="3345"/>
      <c r="AZ286" s="3345"/>
      <c r="BA286" s="3345"/>
      <c r="BB286" s="3345"/>
      <c r="BC286" s="3345"/>
      <c r="BD286" s="3345"/>
      <c r="BE286" s="3345"/>
      <c r="BF286" s="3345"/>
      <c r="BG286" s="3345"/>
      <c r="BH286" s="3345"/>
      <c r="BI286" s="3345"/>
      <c r="BJ286" s="1214"/>
    </row>
    <row r="287" spans="2:62">
      <c r="B287" s="1214"/>
      <c r="C287" s="3343" t="s">
        <v>278</v>
      </c>
      <c r="D287" s="3344" t="str">
        <f>INDEX(Modules[Module], MATCH(C287, Modules[Code], 0))</f>
        <v>Coal power stations</v>
      </c>
      <c r="E287" s="1272"/>
      <c r="F287" s="1272"/>
      <c r="G287" s="1272"/>
      <c r="H287" s="1215"/>
      <c r="I287" s="1215"/>
      <c r="J287" s="1215"/>
      <c r="K287" s="1215"/>
      <c r="L287" s="1215"/>
      <c r="M287" s="1215"/>
      <c r="N287" s="1215"/>
      <c r="O287" s="1215"/>
      <c r="P287" s="1215"/>
      <c r="Q287" s="1215"/>
      <c r="R287" s="1215"/>
      <c r="S287" s="1215"/>
      <c r="T287" s="1215"/>
      <c r="U287" s="1215"/>
      <c r="V287" s="1215"/>
      <c r="W287" s="1215"/>
      <c r="X287" s="1215"/>
      <c r="Y287" s="1215"/>
      <c r="Z287" s="1215"/>
      <c r="AA287" s="1215"/>
      <c r="AB287" s="1215"/>
      <c r="AC287" s="1215"/>
      <c r="AD287" s="1215"/>
      <c r="AE287" s="1215"/>
      <c r="AF287" s="1215"/>
      <c r="AG287" s="1215"/>
      <c r="AH287" s="1215"/>
      <c r="AI287" s="1215"/>
      <c r="AJ287" s="1215"/>
      <c r="AK287" s="1271">
        <f t="shared" si="40"/>
        <v>0</v>
      </c>
      <c r="AL287" s="1271">
        <f t="shared" si="40"/>
        <v>0</v>
      </c>
      <c r="AM287" s="1271">
        <f t="shared" si="40"/>
        <v>0</v>
      </c>
      <c r="AN287" s="1271">
        <f t="shared" si="40"/>
        <v>0</v>
      </c>
      <c r="AO287" s="1271">
        <f t="shared" si="40"/>
        <v>0</v>
      </c>
      <c r="AP287" s="1271">
        <f t="shared" si="40"/>
        <v>0</v>
      </c>
      <c r="AQ287" s="1271">
        <f t="shared" si="40"/>
        <v>0</v>
      </c>
      <c r="AR287" s="1271">
        <f t="shared" si="40"/>
        <v>0</v>
      </c>
      <c r="AS287" s="1271">
        <f t="shared" si="40"/>
        <v>0</v>
      </c>
      <c r="AT287" s="1271">
        <f t="shared" si="40"/>
        <v>0</v>
      </c>
      <c r="AU287" s="1271">
        <f t="shared" si="40"/>
        <v>0</v>
      </c>
      <c r="AV287" s="1271">
        <f t="shared" si="40"/>
        <v>0</v>
      </c>
      <c r="AW287" s="1215" t="s">
        <v>2567</v>
      </c>
      <c r="AX287" s="1272"/>
      <c r="AY287" s="3345"/>
      <c r="AZ287" s="3345"/>
      <c r="BA287" s="3345"/>
      <c r="BB287" s="3345"/>
      <c r="BC287" s="3345"/>
      <c r="BD287" s="3345"/>
      <c r="BE287" s="3345"/>
      <c r="BF287" s="3345"/>
      <c r="BG287" s="3345"/>
      <c r="BH287" s="3345"/>
      <c r="BI287" s="3345"/>
      <c r="BJ287" s="1214"/>
    </row>
    <row r="288" spans="2:62">
      <c r="B288" s="1214"/>
      <c r="C288" s="3343"/>
      <c r="D288" s="3344"/>
      <c r="E288" s="1272"/>
      <c r="F288" s="1272"/>
      <c r="G288" s="1272"/>
      <c r="H288" s="1272"/>
      <c r="I288" s="1272"/>
      <c r="J288" s="1272"/>
      <c r="K288" s="1272"/>
      <c r="L288" s="1272"/>
      <c r="M288" s="1272"/>
      <c r="N288" s="1272"/>
      <c r="O288" s="1272"/>
      <c r="P288" s="1272"/>
      <c r="Q288" s="1272"/>
      <c r="R288" s="1272"/>
      <c r="S288" s="1272"/>
      <c r="T288" s="1272"/>
      <c r="U288" s="1272"/>
      <c r="V288" s="1272"/>
      <c r="W288" s="1272"/>
      <c r="X288" s="1272"/>
      <c r="Y288" s="1272"/>
      <c r="Z288" s="1272"/>
      <c r="AA288" s="1272"/>
      <c r="AB288" s="1272"/>
      <c r="AC288" s="1272"/>
      <c r="AD288" s="1272"/>
      <c r="AE288" s="1272"/>
      <c r="AF288" s="1272"/>
      <c r="AG288" s="1272"/>
      <c r="AH288" s="1272"/>
      <c r="AI288" s="1272"/>
      <c r="AJ288" s="1272"/>
      <c r="AK288" s="1272"/>
      <c r="AL288" s="1272"/>
      <c r="AM288" s="1272"/>
      <c r="AN288" s="1272"/>
      <c r="AO288" s="1272"/>
      <c r="AP288" s="1272"/>
      <c r="AQ288" s="1272"/>
      <c r="AR288" s="1272"/>
      <c r="AS288" s="1272"/>
      <c r="AT288" s="1272"/>
      <c r="AU288" s="1272"/>
      <c r="AV288" s="1272"/>
      <c r="AW288" s="1272"/>
      <c r="AX288" s="1272"/>
      <c r="AY288" s="3345"/>
      <c r="AZ288" s="3345"/>
      <c r="BA288" s="3345"/>
      <c r="BB288" s="3345"/>
      <c r="BC288" s="3345"/>
      <c r="BD288" s="3345"/>
      <c r="BE288" s="3345"/>
      <c r="BF288" s="3345"/>
      <c r="BG288" s="3345"/>
      <c r="BH288" s="3345"/>
      <c r="BI288" s="3345"/>
      <c r="BJ288" s="1214"/>
    </row>
    <row r="289" spans="1:62">
      <c r="B289" s="1214"/>
      <c r="C289" s="3340"/>
      <c r="D289" s="3344" t="s">
        <v>2581</v>
      </c>
      <c r="E289" s="1272" t="s">
        <v>1188</v>
      </c>
      <c r="F289" s="1272" t="s">
        <v>2582</v>
      </c>
      <c r="G289" s="1272" t="s">
        <v>2583</v>
      </c>
      <c r="H289" s="1272" t="s">
        <v>2584</v>
      </c>
      <c r="I289" s="1272" t="s">
        <v>2585</v>
      </c>
      <c r="J289" s="1272" t="s">
        <v>2586</v>
      </c>
      <c r="K289" s="1272" t="s">
        <v>2587</v>
      </c>
      <c r="L289" s="1272" t="s">
        <v>2588</v>
      </c>
      <c r="M289" s="1272" t="s">
        <v>2589</v>
      </c>
      <c r="N289" s="1272" t="s">
        <v>2590</v>
      </c>
      <c r="O289" s="1272" t="s">
        <v>2591</v>
      </c>
      <c r="P289" s="1272" t="s">
        <v>2592</v>
      </c>
      <c r="Q289" s="1272" t="s">
        <v>2593</v>
      </c>
      <c r="R289" s="1272" t="s">
        <v>2594</v>
      </c>
      <c r="S289" s="1272" t="s">
        <v>2595</v>
      </c>
      <c r="T289" s="1272" t="s">
        <v>2596</v>
      </c>
      <c r="U289" s="1272" t="s">
        <v>2597</v>
      </c>
      <c r="V289" s="1272" t="s">
        <v>2598</v>
      </c>
      <c r="W289" s="1272" t="s">
        <v>2599</v>
      </c>
      <c r="X289" s="1272" t="s">
        <v>2600</v>
      </c>
      <c r="Y289" s="1272" t="s">
        <v>2601</v>
      </c>
      <c r="Z289" s="1272" t="s">
        <v>2602</v>
      </c>
      <c r="AA289" s="1272" t="s">
        <v>2603</v>
      </c>
      <c r="AB289" s="1272" t="s">
        <v>2604</v>
      </c>
      <c r="AC289" s="1272" t="s">
        <v>2605</v>
      </c>
      <c r="AD289" s="1272" t="s">
        <v>2606</v>
      </c>
      <c r="AE289" s="1272" t="s">
        <v>2607</v>
      </c>
      <c r="AF289" s="1272" t="s">
        <v>2608</v>
      </c>
      <c r="AG289" s="1272" t="s">
        <v>2609</v>
      </c>
      <c r="AH289" s="1272" t="s">
        <v>2610</v>
      </c>
      <c r="AI289" s="1272" t="s">
        <v>2611</v>
      </c>
      <c r="AJ289" s="1272" t="s">
        <v>2612</v>
      </c>
      <c r="AK289" s="1272" t="s">
        <v>2613</v>
      </c>
      <c r="AL289" s="1272" t="s">
        <v>2614</v>
      </c>
      <c r="AM289" s="1272" t="s">
        <v>2615</v>
      </c>
      <c r="AN289" s="1272" t="s">
        <v>2616</v>
      </c>
      <c r="AO289" s="1272" t="s">
        <v>2617</v>
      </c>
      <c r="AP289" s="1272" t="s">
        <v>2618</v>
      </c>
      <c r="AQ289" s="1272" t="s">
        <v>2619</v>
      </c>
      <c r="AR289" s="1272" t="s">
        <v>2620</v>
      </c>
      <c r="AS289" s="1272" t="s">
        <v>2621</v>
      </c>
      <c r="AT289" s="1272" t="s">
        <v>2622</v>
      </c>
      <c r="AU289" s="1272" t="s">
        <v>2623</v>
      </c>
      <c r="AV289" s="1272" t="s">
        <v>2624</v>
      </c>
      <c r="AW289" s="1272" t="s">
        <v>2625</v>
      </c>
      <c r="AX289" s="1272" t="s">
        <v>2626</v>
      </c>
      <c r="AY289" s="3347" t="s">
        <v>203</v>
      </c>
      <c r="AZ289" s="3347" t="s">
        <v>639</v>
      </c>
      <c r="BA289" s="3347" t="s">
        <v>712</v>
      </c>
      <c r="BB289" s="3347" t="s">
        <v>713</v>
      </c>
      <c r="BC289" s="3347" t="s">
        <v>714</v>
      </c>
      <c r="BD289" s="3347" t="s">
        <v>715</v>
      </c>
      <c r="BE289" s="3347" t="s">
        <v>716</v>
      </c>
      <c r="BF289" s="3347" t="s">
        <v>717</v>
      </c>
      <c r="BG289" s="3347" t="s">
        <v>718</v>
      </c>
      <c r="BH289" s="3347" t="s">
        <v>719</v>
      </c>
      <c r="BI289" s="3347" t="s">
        <v>720</v>
      </c>
      <c r="BJ289" s="1214"/>
    </row>
    <row r="290" spans="1:62">
      <c r="B290" s="1214"/>
      <c r="C290" s="3343"/>
      <c r="D290" s="3344" t="s">
        <v>426</v>
      </c>
      <c r="E290" s="1272"/>
      <c r="F290" s="1272"/>
      <c r="G290" s="1272"/>
      <c r="H290" s="1272"/>
      <c r="I290" s="1272"/>
      <c r="J290" s="1272"/>
      <c r="K290" s="1272"/>
      <c r="L290" s="1272"/>
      <c r="M290" s="1272"/>
      <c r="N290" s="1272"/>
      <c r="O290" s="1272"/>
      <c r="P290" s="1272"/>
      <c r="Q290" s="1272"/>
      <c r="R290" s="1272"/>
      <c r="S290" s="1272"/>
      <c r="T290" s="1272"/>
      <c r="U290" s="1272"/>
      <c r="V290" s="1272"/>
      <c r="W290" s="1272"/>
      <c r="X290" s="1272"/>
      <c r="Y290" s="1272"/>
      <c r="Z290" s="1272"/>
      <c r="AA290" s="1272"/>
      <c r="AB290" s="1272"/>
      <c r="AC290" s="1272"/>
      <c r="AD290" s="1272"/>
      <c r="AE290" s="1272"/>
      <c r="AF290" s="1272"/>
      <c r="AG290" s="1272"/>
      <c r="AH290" s="1272"/>
      <c r="AI290" s="1272"/>
      <c r="AJ290" s="1272"/>
      <c r="AK290" s="1272"/>
      <c r="AL290" s="1272"/>
      <c r="AM290" s="1272"/>
      <c r="AN290" s="1272"/>
      <c r="AO290" s="1272"/>
      <c r="AP290" s="1272"/>
      <c r="AQ290" s="1272"/>
      <c r="AR290" s="1272"/>
      <c r="AS290" s="1272"/>
      <c r="AT290" s="1272"/>
      <c r="AU290" s="1272"/>
      <c r="AV290" s="1272"/>
      <c r="AW290" s="1272"/>
      <c r="AX290" s="1272"/>
      <c r="AY290" s="3348">
        <f t="shared" ref="AY290:BI290" si="41">AY269</f>
        <v>0</v>
      </c>
      <c r="AZ290" s="3348"/>
      <c r="BA290" s="3348">
        <f t="shared" si="41"/>
        <v>0</v>
      </c>
      <c r="BB290" s="3348">
        <f t="shared" si="41"/>
        <v>0</v>
      </c>
      <c r="BC290" s="3348">
        <f t="shared" si="41"/>
        <v>0</v>
      </c>
      <c r="BD290" s="3348">
        <f t="shared" si="41"/>
        <v>0</v>
      </c>
      <c r="BE290" s="3348">
        <f t="shared" si="41"/>
        <v>0</v>
      </c>
      <c r="BF290" s="3348">
        <f t="shared" si="41"/>
        <v>0</v>
      </c>
      <c r="BG290" s="3348">
        <f t="shared" si="41"/>
        <v>0</v>
      </c>
      <c r="BH290" s="3348">
        <f t="shared" si="41"/>
        <v>0</v>
      </c>
      <c r="BI290" s="3348">
        <f t="shared" si="41"/>
        <v>0</v>
      </c>
      <c r="BJ290" s="1214"/>
    </row>
    <row r="291" spans="1:62">
      <c r="B291" s="1214"/>
      <c r="C291" s="3343"/>
      <c r="D291" s="3344" t="s">
        <v>112</v>
      </c>
      <c r="E291" s="1272"/>
      <c r="F291" s="1272"/>
      <c r="G291" s="1272"/>
      <c r="H291" s="1272"/>
      <c r="I291" s="1272"/>
      <c r="J291" s="1272"/>
      <c r="K291" s="1272"/>
      <c r="L291" s="1272"/>
      <c r="M291" s="1272"/>
      <c r="N291" s="1272"/>
      <c r="O291" s="1272"/>
      <c r="P291" s="1272"/>
      <c r="Q291" s="1272"/>
      <c r="R291" s="1272"/>
      <c r="S291" s="1272"/>
      <c r="T291" s="1272"/>
      <c r="U291" s="1272"/>
      <c r="V291" s="1272"/>
      <c r="W291" s="1272"/>
      <c r="X291" s="1272"/>
      <c r="Y291" s="1272"/>
      <c r="Z291" s="1272"/>
      <c r="AA291" s="1272"/>
      <c r="AB291" s="1272"/>
      <c r="AC291" s="1272"/>
      <c r="AD291" s="1272"/>
      <c r="AE291" s="1272"/>
      <c r="AF291" s="1272"/>
      <c r="AG291" s="1272"/>
      <c r="AH291" s="1272"/>
      <c r="AI291" s="1272"/>
      <c r="AJ291" s="1272"/>
      <c r="AK291" s="1272"/>
      <c r="AL291" s="1272"/>
      <c r="AM291" s="1272"/>
      <c r="AN291" s="1272"/>
      <c r="AO291" s="1272"/>
      <c r="AP291" s="1272"/>
      <c r="AQ291" s="1272"/>
      <c r="AR291" s="1272"/>
      <c r="AS291" s="1272"/>
      <c r="AT291" s="1272"/>
      <c r="AU291" s="1272"/>
      <c r="AV291" s="1272"/>
      <c r="AW291" s="1272"/>
      <c r="AX291" s="1272"/>
      <c r="AY291" s="3348">
        <f t="shared" ref="AY291:BI291" si="42">AY276</f>
        <v>0</v>
      </c>
      <c r="AZ291" s="3348"/>
      <c r="BA291" s="3348">
        <f t="shared" si="42"/>
        <v>0</v>
      </c>
      <c r="BB291" s="3348">
        <f t="shared" si="42"/>
        <v>0</v>
      </c>
      <c r="BC291" s="3348">
        <f t="shared" si="42"/>
        <v>0</v>
      </c>
      <c r="BD291" s="3348">
        <f t="shared" si="42"/>
        <v>0</v>
      </c>
      <c r="BE291" s="3348">
        <f t="shared" si="42"/>
        <v>0</v>
      </c>
      <c r="BF291" s="3348">
        <f t="shared" si="42"/>
        <v>0</v>
      </c>
      <c r="BG291" s="3348">
        <f t="shared" si="42"/>
        <v>0</v>
      </c>
      <c r="BH291" s="3348">
        <f t="shared" si="42"/>
        <v>0</v>
      </c>
      <c r="BI291" s="3348">
        <f t="shared" si="42"/>
        <v>0</v>
      </c>
      <c r="BJ291" s="1214"/>
    </row>
    <row r="292" spans="1:62">
      <c r="B292" s="1214"/>
      <c r="C292" s="3343"/>
      <c r="D292" s="3344" t="s">
        <v>14</v>
      </c>
      <c r="E292" s="1272"/>
      <c r="F292" s="1272"/>
      <c r="G292" s="1272"/>
      <c r="H292" s="1272"/>
      <c r="I292" s="1272"/>
      <c r="J292" s="1272"/>
      <c r="K292" s="1272"/>
      <c r="L292" s="1272"/>
      <c r="M292" s="1272"/>
      <c r="N292" s="1272"/>
      <c r="O292" s="1272"/>
      <c r="P292" s="1272"/>
      <c r="Q292" s="1272"/>
      <c r="R292" s="1272"/>
      <c r="S292" s="1272"/>
      <c r="T292" s="1272"/>
      <c r="U292" s="1272"/>
      <c r="V292" s="1272"/>
      <c r="W292" s="1272"/>
      <c r="X292" s="1272"/>
      <c r="Y292" s="1272"/>
      <c r="Z292" s="1272"/>
      <c r="AA292" s="1272"/>
      <c r="AB292" s="1272"/>
      <c r="AC292" s="1272"/>
      <c r="AD292" s="1272"/>
      <c r="AE292" s="1272"/>
      <c r="AF292" s="1272"/>
      <c r="AG292" s="1272"/>
      <c r="AH292" s="1272"/>
      <c r="AI292" s="1272"/>
      <c r="AJ292" s="1272"/>
      <c r="AK292" s="1272"/>
      <c r="AL292" s="1272"/>
      <c r="AM292" s="1272"/>
      <c r="AN292" s="1272"/>
      <c r="AO292" s="1272"/>
      <c r="AP292" s="1272"/>
      <c r="AQ292" s="1272"/>
      <c r="AR292" s="1272"/>
      <c r="AS292" s="1272"/>
      <c r="AT292" s="1272"/>
      <c r="AU292" s="1272"/>
      <c r="AV292" s="1272"/>
      <c r="AW292" s="1272"/>
      <c r="AX292" s="1272"/>
      <c r="AY292" s="3348">
        <f t="shared" ref="AY292:BI292" si="43">AY282</f>
        <v>0</v>
      </c>
      <c r="AZ292" s="3348"/>
      <c r="BA292" s="3348">
        <f t="shared" si="43"/>
        <v>0</v>
      </c>
      <c r="BB292" s="3348">
        <f t="shared" si="43"/>
        <v>0</v>
      </c>
      <c r="BC292" s="3348">
        <f t="shared" si="43"/>
        <v>0</v>
      </c>
      <c r="BD292" s="3348">
        <f t="shared" si="43"/>
        <v>0</v>
      </c>
      <c r="BE292" s="3348">
        <f t="shared" si="43"/>
        <v>0</v>
      </c>
      <c r="BF292" s="3348">
        <f t="shared" si="43"/>
        <v>0</v>
      </c>
      <c r="BG292" s="3348">
        <f t="shared" si="43"/>
        <v>0</v>
      </c>
      <c r="BH292" s="3348">
        <f t="shared" si="43"/>
        <v>0</v>
      </c>
      <c r="BI292" s="3348">
        <f t="shared" si="43"/>
        <v>0</v>
      </c>
      <c r="BJ292" s="1214"/>
    </row>
    <row r="293" spans="1:62" s="623" customFormat="1">
      <c r="B293" s="1214"/>
      <c r="C293" s="624"/>
      <c r="D293" s="624"/>
      <c r="E293" s="624"/>
      <c r="F293" s="624"/>
      <c r="G293" s="624"/>
      <c r="H293" s="624"/>
      <c r="I293" s="624"/>
      <c r="J293" s="624"/>
      <c r="K293" s="624"/>
      <c r="L293" s="624"/>
      <c r="M293" s="624"/>
      <c r="N293" s="624"/>
      <c r="O293" s="624"/>
      <c r="P293" s="624"/>
      <c r="Q293" s="624"/>
      <c r="R293" s="624"/>
      <c r="S293" s="624"/>
      <c r="T293" s="624"/>
      <c r="U293" s="624"/>
      <c r="V293" s="624"/>
      <c r="W293" s="624"/>
      <c r="X293" s="624"/>
      <c r="Y293" s="624"/>
      <c r="Z293" s="624"/>
      <c r="AA293" s="624"/>
      <c r="AB293" s="624"/>
      <c r="AC293" s="624"/>
      <c r="AD293" s="624"/>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row>
    <row r="294" spans="1:62" ht="22.5">
      <c r="A294" s="420"/>
      <c r="B294" s="1214"/>
      <c r="C294" s="1209"/>
      <c r="D294" s="1209"/>
      <c r="E294" s="1209"/>
      <c r="F294" s="1209"/>
      <c r="G294" s="1209"/>
      <c r="H294" s="1209"/>
      <c r="I294" s="1209"/>
      <c r="J294" s="1209"/>
      <c r="K294" s="1209"/>
      <c r="L294" s="1209"/>
      <c r="M294" s="1209"/>
      <c r="N294" s="1209"/>
      <c r="O294" s="1209"/>
      <c r="P294" s="1209"/>
      <c r="Q294" s="1209"/>
      <c r="R294" s="1209"/>
      <c r="S294" s="1209"/>
      <c r="T294" s="1209"/>
      <c r="U294" s="1209"/>
      <c r="V294" s="1209"/>
      <c r="W294" s="1209"/>
      <c r="X294" s="1209"/>
      <c r="Y294" s="1209"/>
      <c r="Z294" s="1209"/>
      <c r="AA294" s="1209"/>
      <c r="AB294" s="1209"/>
      <c r="AC294" s="1209"/>
      <c r="AD294" s="1209"/>
      <c r="AE294" s="1209"/>
      <c r="AF294" s="1209"/>
      <c r="AG294" s="1209"/>
      <c r="AH294" s="1209"/>
      <c r="AI294" s="1209"/>
      <c r="AJ294" s="1209"/>
      <c r="AK294" s="1209"/>
      <c r="AL294" s="1209"/>
      <c r="AM294" s="1209"/>
      <c r="AN294" s="1209"/>
      <c r="AO294" s="1209"/>
      <c r="AP294" s="1209"/>
      <c r="AQ294" s="1209"/>
      <c r="AR294" s="1209"/>
      <c r="AS294" s="1209"/>
      <c r="AT294" s="1209"/>
      <c r="AU294" s="1209"/>
      <c r="AV294" s="1209"/>
      <c r="AW294" s="1209"/>
      <c r="AX294" s="1209"/>
      <c r="AY294" s="1209"/>
      <c r="AZ294" s="1209"/>
      <c r="BA294" s="1209"/>
      <c r="BB294" s="1209"/>
      <c r="BC294" s="1209"/>
      <c r="BD294" s="1209"/>
      <c r="BE294" s="1209"/>
      <c r="BF294" s="1209"/>
      <c r="BG294" s="1209"/>
      <c r="BH294" s="1209"/>
      <c r="BI294" s="1211"/>
      <c r="BJ294" s="1212"/>
    </row>
    <row r="295" spans="1:62">
      <c r="B295" s="624"/>
      <c r="C295" s="1214"/>
      <c r="D295" s="1214"/>
      <c r="E295" s="1214"/>
      <c r="F295" s="1214"/>
      <c r="G295" s="1214"/>
      <c r="H295" s="1214"/>
      <c r="I295" s="1214"/>
      <c r="J295" s="1214"/>
      <c r="K295" s="1214"/>
      <c r="L295" s="1214"/>
      <c r="M295" s="1214"/>
      <c r="N295" s="1214"/>
      <c r="O295" s="1214"/>
      <c r="P295" s="1214"/>
      <c r="Q295" s="1214"/>
      <c r="R295" s="1214"/>
      <c r="S295" s="1214"/>
      <c r="T295" s="1214"/>
      <c r="U295" s="1214"/>
      <c r="V295" s="1214"/>
      <c r="W295" s="1214"/>
      <c r="X295" s="1214"/>
      <c r="Y295" s="1214"/>
      <c r="Z295" s="1214"/>
      <c r="AA295" s="1214"/>
      <c r="AB295" s="1214"/>
      <c r="AC295" s="1214"/>
      <c r="AD295" s="1214"/>
      <c r="AE295" s="1214"/>
      <c r="AF295" s="1214"/>
      <c r="AG295" s="1214"/>
      <c r="AH295" s="1214"/>
      <c r="AI295" s="1214"/>
      <c r="AJ295" s="1214"/>
      <c r="AK295" s="1214"/>
      <c r="AL295" s="1214"/>
      <c r="AM295" s="1214"/>
      <c r="AN295" s="1214"/>
      <c r="AO295" s="1214"/>
      <c r="AP295" s="1214"/>
      <c r="AQ295" s="1214"/>
      <c r="AR295" s="1214"/>
      <c r="AS295" s="1214"/>
      <c r="AT295" s="1214"/>
      <c r="AU295" s="1214"/>
      <c r="AV295" s="1214"/>
      <c r="AW295" s="1214"/>
      <c r="AX295" s="1214"/>
      <c r="AY295" s="1214"/>
      <c r="AZ295" s="1214"/>
      <c r="BA295" s="1214"/>
      <c r="BB295" s="1214"/>
      <c r="BC295" s="1214"/>
      <c r="BD295" s="1214"/>
      <c r="BE295" s="1214"/>
      <c r="BF295" s="1214"/>
      <c r="BG295" s="1214"/>
      <c r="BH295" s="1214"/>
      <c r="BI295" s="1214"/>
      <c r="BJ295" s="1214"/>
    </row>
    <row r="296" spans="1:62" ht="15.75">
      <c r="B296" s="1208" t="s">
        <v>2627</v>
      </c>
      <c r="C296" s="1214"/>
      <c r="D296" s="1214"/>
      <c r="E296" s="1214"/>
      <c r="F296" s="1214"/>
      <c r="G296" s="1214"/>
      <c r="H296" s="1214"/>
      <c r="I296" s="1214"/>
      <c r="J296" s="1214"/>
      <c r="K296" s="1214"/>
      <c r="L296" s="1214"/>
      <c r="M296" s="1214"/>
      <c r="N296" s="1214"/>
      <c r="O296" s="1214"/>
      <c r="P296" s="1214"/>
      <c r="Q296" s="1214"/>
      <c r="R296" s="1214"/>
      <c r="S296" s="1214"/>
      <c r="T296" s="1214"/>
      <c r="U296" s="1214"/>
      <c r="V296" s="1214"/>
      <c r="W296" s="1214"/>
      <c r="X296" s="1214"/>
      <c r="Y296" s="1214"/>
      <c r="Z296" s="1214"/>
      <c r="AA296" s="1214"/>
      <c r="AB296" s="1214"/>
      <c r="AC296" s="1214"/>
      <c r="AD296" s="1214"/>
      <c r="AE296" s="1214"/>
      <c r="AF296" s="1214"/>
      <c r="AG296" s="1214"/>
      <c r="AH296" s="1214"/>
      <c r="AI296" s="1214"/>
      <c r="AJ296" s="1214"/>
      <c r="AK296" s="1214"/>
      <c r="AL296" s="1214"/>
      <c r="AM296" s="1214"/>
      <c r="AN296" s="1214"/>
      <c r="AO296" s="1214"/>
      <c r="AP296" s="1214"/>
      <c r="AQ296" s="1214"/>
      <c r="AR296" s="1214"/>
      <c r="AS296" s="1214"/>
      <c r="AT296" s="1214"/>
      <c r="AU296" s="1214"/>
      <c r="AV296" s="1214"/>
      <c r="AW296" s="1214"/>
      <c r="AX296" s="1214"/>
      <c r="AY296" s="1214"/>
      <c r="AZ296" s="1214"/>
      <c r="BA296" s="1214"/>
      <c r="BB296" s="1214"/>
      <c r="BC296" s="1214"/>
      <c r="BD296" s="1214"/>
      <c r="BE296" s="1214"/>
      <c r="BF296" s="1214"/>
      <c r="BG296" s="1214"/>
      <c r="BH296" s="1214"/>
      <c r="BI296" s="1214"/>
      <c r="BJ296" s="1214"/>
    </row>
    <row r="297" spans="1:62">
      <c r="B297" s="1214"/>
      <c r="C297" s="3349" t="s">
        <v>2628</v>
      </c>
      <c r="D297" s="1214"/>
      <c r="E297" s="1214"/>
      <c r="F297" s="1214"/>
      <c r="G297" s="1214"/>
      <c r="H297" s="1214"/>
      <c r="I297" s="1214"/>
      <c r="J297" s="1214"/>
      <c r="K297" s="1214"/>
      <c r="L297" s="1214"/>
      <c r="M297" s="1214"/>
      <c r="N297" s="1214"/>
      <c r="O297" s="1214"/>
      <c r="P297" s="1214"/>
      <c r="Q297" s="1214"/>
      <c r="R297" s="1214"/>
      <c r="S297" s="1214"/>
      <c r="T297" s="1214"/>
      <c r="U297" s="1214"/>
      <c r="V297" s="1214"/>
      <c r="W297" s="1214"/>
      <c r="X297" s="1214"/>
      <c r="Y297" s="1214"/>
      <c r="Z297" s="1214"/>
      <c r="AA297" s="1214"/>
      <c r="AB297" s="1214"/>
      <c r="AC297" s="1214"/>
      <c r="AD297" s="1214"/>
      <c r="AE297" s="1214"/>
      <c r="AF297" s="1214"/>
      <c r="AG297" s="1214"/>
      <c r="AH297" s="1214"/>
      <c r="AI297" s="1214"/>
      <c r="AJ297" s="1214"/>
      <c r="AK297" s="1214"/>
      <c r="AL297" s="1214"/>
      <c r="AM297" s="1214"/>
      <c r="AN297" s="1214"/>
      <c r="AO297" s="1214"/>
      <c r="AP297" s="1214"/>
      <c r="AQ297" s="1214"/>
      <c r="AR297" s="1214"/>
      <c r="AS297" s="1214"/>
      <c r="AT297" s="1214"/>
      <c r="AU297" s="1214"/>
      <c r="AV297" s="1214"/>
      <c r="AW297" s="1214"/>
      <c r="AX297" s="1214"/>
      <c r="AY297" s="2410" t="s">
        <v>203</v>
      </c>
      <c r="AZ297" s="2410"/>
      <c r="BA297" s="2410" t="s">
        <v>712</v>
      </c>
      <c r="BB297" s="2410" t="s">
        <v>713</v>
      </c>
      <c r="BC297" s="2410" t="s">
        <v>714</v>
      </c>
      <c r="BD297" s="2410" t="s">
        <v>715</v>
      </c>
      <c r="BE297" s="2410" t="s">
        <v>716</v>
      </c>
      <c r="BF297" s="2410" t="s">
        <v>717</v>
      </c>
      <c r="BG297" s="2410" t="s">
        <v>718</v>
      </c>
      <c r="BH297" s="2410" t="s">
        <v>719</v>
      </c>
      <c r="BI297" s="2411" t="s">
        <v>720</v>
      </c>
      <c r="BJ297" s="1214"/>
    </row>
    <row r="298" spans="1:62">
      <c r="B298" s="1214"/>
      <c r="C298" s="3318" t="s">
        <v>1189</v>
      </c>
      <c r="D298" s="1220"/>
      <c r="E298" s="1214"/>
      <c r="F298" s="1214"/>
      <c r="G298" s="1214"/>
      <c r="H298" s="1214"/>
      <c r="I298" s="1214"/>
      <c r="J298" s="1214"/>
      <c r="K298" s="1214"/>
      <c r="L298" s="1214"/>
      <c r="M298" s="1214"/>
      <c r="N298" s="1214"/>
      <c r="O298" s="1214"/>
      <c r="P298" s="1214"/>
      <c r="Q298" s="1214"/>
      <c r="R298" s="1214"/>
      <c r="S298" s="1214"/>
      <c r="T298" s="1214"/>
      <c r="U298" s="1214"/>
      <c r="V298" s="1214"/>
      <c r="W298" s="1214"/>
      <c r="X298" s="1214"/>
      <c r="Y298" s="1214"/>
      <c r="Z298" s="1214"/>
      <c r="AA298" s="1214"/>
      <c r="AB298" s="1214"/>
      <c r="AC298" s="1214"/>
      <c r="AD298" s="1214"/>
      <c r="AE298" s="1214"/>
      <c r="AF298" s="1214"/>
      <c r="AG298" s="1214"/>
      <c r="AH298" s="1214"/>
      <c r="AI298" s="1214"/>
      <c r="AJ298" s="1214"/>
      <c r="AK298" s="1214"/>
      <c r="AL298" s="1214"/>
      <c r="AM298" s="1214"/>
      <c r="AN298" s="1214"/>
      <c r="AO298" s="1214"/>
      <c r="AP298" s="1214"/>
      <c r="AQ298" s="1214"/>
      <c r="AR298" s="1214"/>
      <c r="AS298" s="1214"/>
      <c r="AT298" s="1214"/>
      <c r="AU298" s="1214"/>
      <c r="AV298" s="1214"/>
      <c r="AW298" s="1214"/>
      <c r="AX298" s="1214"/>
      <c r="AY298" s="1256"/>
      <c r="AZ298" s="1256"/>
      <c r="BA298" s="1256"/>
      <c r="BB298" s="1256"/>
      <c r="BC298" s="1256"/>
      <c r="BD298" s="1256"/>
      <c r="BE298" s="1256"/>
      <c r="BF298" s="1256"/>
      <c r="BG298" s="1256"/>
      <c r="BH298" s="1256"/>
      <c r="BI298" s="1256"/>
      <c r="BJ298" s="1214"/>
    </row>
    <row r="299" spans="1:62">
      <c r="B299" s="1214"/>
      <c r="C299" s="3318" t="s">
        <v>2629</v>
      </c>
      <c r="D299" s="1220"/>
      <c r="E299" s="1214"/>
      <c r="F299" s="1214"/>
      <c r="G299" s="1214"/>
      <c r="H299" s="1214"/>
      <c r="I299" s="1214"/>
      <c r="J299" s="1214"/>
      <c r="K299" s="1214"/>
      <c r="L299" s="1214"/>
      <c r="M299" s="1214"/>
      <c r="N299" s="1214"/>
      <c r="O299" s="1214"/>
      <c r="P299" s="1214"/>
      <c r="Q299" s="1214"/>
      <c r="R299" s="1214"/>
      <c r="S299" s="1214"/>
      <c r="T299" s="1214"/>
      <c r="U299" s="1214"/>
      <c r="V299" s="1214"/>
      <c r="W299" s="1214"/>
      <c r="X299" s="1214"/>
      <c r="Y299" s="1214"/>
      <c r="Z299" s="1214"/>
      <c r="AA299" s="1214"/>
      <c r="AB299" s="1214"/>
      <c r="AC299" s="1214"/>
      <c r="AD299" s="1214"/>
      <c r="AE299" s="1214"/>
      <c r="AF299" s="1214"/>
      <c r="AG299" s="1214"/>
      <c r="AH299" s="1214"/>
      <c r="AI299" s="1214"/>
      <c r="AJ299" s="1214"/>
      <c r="AK299" s="1214"/>
      <c r="AL299" s="1214"/>
      <c r="AM299" s="1214"/>
      <c r="AN299" s="1214"/>
      <c r="AO299" s="1214"/>
      <c r="AP299" s="1214"/>
      <c r="AQ299" s="1214"/>
      <c r="AR299" s="1214"/>
      <c r="AS299" s="1214"/>
      <c r="AT299" s="1214"/>
      <c r="AU299" s="1214"/>
      <c r="AV299" s="1214"/>
      <c r="AW299" s="1214"/>
      <c r="AX299" s="1214"/>
      <c r="AY299" s="1256"/>
      <c r="AZ299" s="1256"/>
      <c r="BA299" s="1256"/>
      <c r="BB299" s="1256"/>
      <c r="BC299" s="1256"/>
      <c r="BD299" s="1256"/>
      <c r="BE299" s="1256"/>
      <c r="BF299" s="1256"/>
      <c r="BG299" s="1256"/>
      <c r="BH299" s="1256"/>
      <c r="BI299" s="1256"/>
      <c r="BJ299" s="1214"/>
    </row>
    <row r="300" spans="1:62">
      <c r="B300" s="1214"/>
      <c r="C300" s="3318" t="s">
        <v>2630</v>
      </c>
      <c r="D300" s="1220"/>
      <c r="E300" s="1214"/>
      <c r="F300" s="1214"/>
      <c r="G300" s="1214"/>
      <c r="H300" s="1214"/>
      <c r="I300" s="1214"/>
      <c r="J300" s="1214"/>
      <c r="K300" s="1214"/>
      <c r="L300" s="1214"/>
      <c r="M300" s="1214"/>
      <c r="N300" s="1214"/>
      <c r="O300" s="1214"/>
      <c r="P300" s="1214"/>
      <c r="Q300" s="1214"/>
      <c r="R300" s="1214"/>
      <c r="S300" s="1214"/>
      <c r="T300" s="1214"/>
      <c r="U300" s="1214"/>
      <c r="V300" s="1214"/>
      <c r="W300" s="1214"/>
      <c r="X300" s="1214"/>
      <c r="Y300" s="1214"/>
      <c r="Z300" s="1214"/>
      <c r="AA300" s="1214"/>
      <c r="AB300" s="1214"/>
      <c r="AC300" s="1214"/>
      <c r="AD300" s="1214"/>
      <c r="AE300" s="1214"/>
      <c r="AF300" s="1214"/>
      <c r="AG300" s="1214"/>
      <c r="AH300" s="1214"/>
      <c r="AI300" s="1214"/>
      <c r="AJ300" s="1214"/>
      <c r="AK300" s="1214"/>
      <c r="AL300" s="1214"/>
      <c r="AM300" s="1214"/>
      <c r="AN300" s="1214"/>
      <c r="AO300" s="1214"/>
      <c r="AP300" s="1214"/>
      <c r="AQ300" s="1214"/>
      <c r="AR300" s="1214"/>
      <c r="AS300" s="1214"/>
      <c r="AT300" s="1214"/>
      <c r="AU300" s="1214"/>
      <c r="AV300" s="1214"/>
      <c r="AW300" s="1214"/>
      <c r="AX300" s="1214"/>
      <c r="AY300" s="1256"/>
      <c r="AZ300" s="1256"/>
      <c r="BA300" s="1256"/>
      <c r="BB300" s="1256"/>
      <c r="BC300" s="1256"/>
      <c r="BD300" s="1256"/>
      <c r="BE300" s="1256"/>
      <c r="BF300" s="1256"/>
      <c r="BG300" s="1256"/>
      <c r="BH300" s="1256"/>
      <c r="BI300" s="1256"/>
      <c r="BJ300" s="1214"/>
    </row>
    <row r="301" spans="1:62">
      <c r="B301" s="1214"/>
      <c r="C301" s="3318" t="s">
        <v>2631</v>
      </c>
      <c r="D301" s="1220"/>
      <c r="E301" s="1214"/>
      <c r="F301" s="1214"/>
      <c r="G301" s="1214"/>
      <c r="H301" s="1214"/>
      <c r="I301" s="1214"/>
      <c r="J301" s="1214"/>
      <c r="K301" s="1214"/>
      <c r="L301" s="1214"/>
      <c r="M301" s="1214"/>
      <c r="N301" s="1214"/>
      <c r="O301" s="1214"/>
      <c r="P301" s="1214"/>
      <c r="Q301" s="1214"/>
      <c r="R301" s="1214"/>
      <c r="S301" s="1214"/>
      <c r="T301" s="1214"/>
      <c r="U301" s="1214"/>
      <c r="V301" s="1214"/>
      <c r="W301" s="1214"/>
      <c r="X301" s="1214"/>
      <c r="Y301" s="1214"/>
      <c r="Z301" s="1214"/>
      <c r="AA301" s="1214"/>
      <c r="AB301" s="1214"/>
      <c r="AC301" s="1214"/>
      <c r="AD301" s="1214"/>
      <c r="AE301" s="1214"/>
      <c r="AF301" s="1214"/>
      <c r="AG301" s="1214"/>
      <c r="AH301" s="1214"/>
      <c r="AI301" s="1214"/>
      <c r="AJ301" s="1214"/>
      <c r="AK301" s="1214"/>
      <c r="AL301" s="1214"/>
      <c r="AM301" s="1214"/>
      <c r="AN301" s="1214"/>
      <c r="AO301" s="1214"/>
      <c r="AP301" s="1214"/>
      <c r="AQ301" s="1214"/>
      <c r="AR301" s="1214"/>
      <c r="AS301" s="1214"/>
      <c r="AT301" s="1214"/>
      <c r="AU301" s="1214"/>
      <c r="AV301" s="1214"/>
      <c r="AW301" s="1214"/>
      <c r="AX301" s="1214"/>
      <c r="AY301" s="1256"/>
      <c r="AZ301" s="1256"/>
      <c r="BA301" s="1256"/>
      <c r="BB301" s="1256"/>
      <c r="BC301" s="1256"/>
      <c r="BD301" s="1256"/>
      <c r="BE301" s="1256"/>
      <c r="BF301" s="1256"/>
      <c r="BG301" s="1256"/>
      <c r="BH301" s="1256"/>
      <c r="BI301" s="1256"/>
      <c r="BJ301" s="1214"/>
    </row>
    <row r="302" spans="1:62">
      <c r="B302" s="1214"/>
      <c r="C302" s="3318" t="s">
        <v>2632</v>
      </c>
      <c r="D302" s="1220"/>
      <c r="E302" s="1214"/>
      <c r="F302" s="1214"/>
      <c r="G302" s="1214"/>
      <c r="H302" s="1214"/>
      <c r="I302" s="1214"/>
      <c r="J302" s="1214"/>
      <c r="K302" s="1214"/>
      <c r="L302" s="1214"/>
      <c r="M302" s="1214"/>
      <c r="N302" s="1214"/>
      <c r="O302" s="1214"/>
      <c r="P302" s="1214"/>
      <c r="Q302" s="1214"/>
      <c r="R302" s="1214"/>
      <c r="S302" s="1214"/>
      <c r="T302" s="1214"/>
      <c r="U302" s="1214"/>
      <c r="V302" s="1214"/>
      <c r="W302" s="1214"/>
      <c r="X302" s="1214"/>
      <c r="Y302" s="1214"/>
      <c r="Z302" s="1214"/>
      <c r="AA302" s="1214"/>
      <c r="AB302" s="1214"/>
      <c r="AC302" s="1214"/>
      <c r="AD302" s="1214"/>
      <c r="AE302" s="1214"/>
      <c r="AF302" s="1214"/>
      <c r="AG302" s="1214"/>
      <c r="AH302" s="1214"/>
      <c r="AI302" s="1214"/>
      <c r="AJ302" s="1214"/>
      <c r="AK302" s="1214"/>
      <c r="AL302" s="1214"/>
      <c r="AM302" s="1214"/>
      <c r="AN302" s="1214"/>
      <c r="AO302" s="1214"/>
      <c r="AP302" s="1214"/>
      <c r="AQ302" s="1214"/>
      <c r="AR302" s="1214"/>
      <c r="AS302" s="1214"/>
      <c r="AT302" s="1214"/>
      <c r="AU302" s="1214"/>
      <c r="AV302" s="1214"/>
      <c r="AW302" s="1214"/>
      <c r="AX302" s="1214"/>
      <c r="AY302" s="1256"/>
      <c r="AZ302" s="1256"/>
      <c r="BA302" s="1256"/>
      <c r="BB302" s="1256"/>
      <c r="BC302" s="1256"/>
      <c r="BD302" s="1256"/>
      <c r="BE302" s="1256"/>
      <c r="BF302" s="1256"/>
      <c r="BG302" s="1256"/>
      <c r="BH302" s="1256"/>
      <c r="BI302" s="1256"/>
      <c r="BJ302" s="1214"/>
    </row>
    <row r="303" spans="1:62">
      <c r="B303" s="1214"/>
      <c r="C303" s="375" t="s">
        <v>2633</v>
      </c>
      <c r="D303" s="1220"/>
      <c r="E303" s="1214"/>
      <c r="F303" s="1214"/>
      <c r="G303" s="1214"/>
      <c r="H303" s="1214"/>
      <c r="I303" s="1214"/>
      <c r="J303" s="1214"/>
      <c r="K303" s="1214"/>
      <c r="L303" s="1214"/>
      <c r="M303" s="1214"/>
      <c r="N303" s="1214"/>
      <c r="O303" s="1214"/>
      <c r="P303" s="1214"/>
      <c r="Q303" s="1214"/>
      <c r="R303" s="1214"/>
      <c r="S303" s="1214"/>
      <c r="T303" s="1214"/>
      <c r="U303" s="1214"/>
      <c r="V303" s="1214"/>
      <c r="W303" s="1214"/>
      <c r="X303" s="1214"/>
      <c r="Y303" s="1214"/>
      <c r="Z303" s="1214"/>
      <c r="AA303" s="1214"/>
      <c r="AB303" s="1214"/>
      <c r="AC303" s="1214"/>
      <c r="AD303" s="1214"/>
      <c r="AE303" s="1214"/>
      <c r="AF303" s="1214"/>
      <c r="AG303" s="1214"/>
      <c r="AH303" s="1214"/>
      <c r="AI303" s="1214"/>
      <c r="AJ303" s="1214"/>
      <c r="AK303" s="1214"/>
      <c r="AL303" s="1214"/>
      <c r="AM303" s="1214"/>
      <c r="AN303" s="1214"/>
      <c r="AO303" s="1214"/>
      <c r="AP303" s="1214"/>
      <c r="AQ303" s="1214"/>
      <c r="AR303" s="1214"/>
      <c r="AS303" s="1214"/>
      <c r="AT303" s="1214"/>
      <c r="AU303" s="1214"/>
      <c r="AV303" s="1214"/>
      <c r="AW303" s="1214"/>
      <c r="AX303" s="1214"/>
      <c r="AY303" s="1256"/>
      <c r="AZ303" s="1256"/>
      <c r="BA303" s="1256"/>
      <c r="BB303" s="1256"/>
      <c r="BC303" s="1256"/>
      <c r="BD303" s="1256"/>
      <c r="BE303" s="1256"/>
      <c r="BF303" s="1256"/>
      <c r="BG303" s="1256"/>
      <c r="BH303" s="1256"/>
      <c r="BI303" s="1256"/>
      <c r="BJ303" s="1214"/>
    </row>
    <row r="304" spans="1:62">
      <c r="B304" s="1214"/>
      <c r="C304" s="3318" t="s">
        <v>2634</v>
      </c>
      <c r="D304" s="1220"/>
      <c r="E304" s="1214"/>
      <c r="F304" s="1214"/>
      <c r="G304" s="1214"/>
      <c r="H304" s="1214"/>
      <c r="I304" s="1214"/>
      <c r="J304" s="1214"/>
      <c r="K304" s="1214"/>
      <c r="L304" s="1214"/>
      <c r="M304" s="1214"/>
      <c r="N304" s="1214"/>
      <c r="O304" s="1214"/>
      <c r="P304" s="1214"/>
      <c r="Q304" s="1214"/>
      <c r="R304" s="1214"/>
      <c r="S304" s="1214"/>
      <c r="T304" s="1214"/>
      <c r="U304" s="1214"/>
      <c r="V304" s="1214"/>
      <c r="W304" s="1214"/>
      <c r="X304" s="1214"/>
      <c r="Y304" s="1214"/>
      <c r="Z304" s="1214"/>
      <c r="AA304" s="1214"/>
      <c r="AB304" s="1214"/>
      <c r="AC304" s="1214"/>
      <c r="AD304" s="1214"/>
      <c r="AE304" s="1214"/>
      <c r="AF304" s="1214"/>
      <c r="AG304" s="1214"/>
      <c r="AH304" s="1214"/>
      <c r="AI304" s="1214"/>
      <c r="AJ304" s="1214"/>
      <c r="AK304" s="1214"/>
      <c r="AL304" s="1214"/>
      <c r="AM304" s="1214"/>
      <c r="AN304" s="1214"/>
      <c r="AO304" s="1214"/>
      <c r="AP304" s="1214"/>
      <c r="AQ304" s="1214"/>
      <c r="AR304" s="1214"/>
      <c r="AS304" s="1214"/>
      <c r="AT304" s="1214"/>
      <c r="AU304" s="1214"/>
      <c r="AV304" s="1214"/>
      <c r="AW304" s="1214"/>
      <c r="AX304" s="1214"/>
      <c r="AY304" s="1256"/>
      <c r="AZ304" s="1256"/>
      <c r="BA304" s="1256"/>
      <c r="BB304" s="1256"/>
      <c r="BC304" s="1256"/>
      <c r="BD304" s="1256"/>
      <c r="BE304" s="1256"/>
      <c r="BF304" s="1256"/>
      <c r="BG304" s="1256"/>
      <c r="BH304" s="1256"/>
      <c r="BI304" s="1256"/>
      <c r="BJ304" s="1214"/>
    </row>
    <row r="305" spans="1:62">
      <c r="B305" s="1214"/>
      <c r="C305" s="3318"/>
      <c r="D305" s="1220"/>
      <c r="E305" s="1214"/>
      <c r="F305" s="1214"/>
      <c r="G305" s="1214"/>
      <c r="H305" s="1214"/>
      <c r="I305" s="1214"/>
      <c r="J305" s="1214"/>
      <c r="K305" s="1214"/>
      <c r="L305" s="1214"/>
      <c r="M305" s="1214"/>
      <c r="N305" s="1214"/>
      <c r="O305" s="1214"/>
      <c r="P305" s="1214"/>
      <c r="Q305" s="1214"/>
      <c r="R305" s="1214"/>
      <c r="S305" s="1214"/>
      <c r="T305" s="1214"/>
      <c r="U305" s="1214"/>
      <c r="V305" s="1214"/>
      <c r="W305" s="1214"/>
      <c r="X305" s="1214"/>
      <c r="Y305" s="1214"/>
      <c r="Z305" s="1214"/>
      <c r="AA305" s="1214"/>
      <c r="AB305" s="1214"/>
      <c r="AC305" s="1214"/>
      <c r="AD305" s="1214"/>
      <c r="AE305" s="1214"/>
      <c r="AF305" s="1214"/>
      <c r="AG305" s="1214"/>
      <c r="AH305" s="1214"/>
      <c r="AI305" s="1214"/>
      <c r="AJ305" s="1214"/>
      <c r="AK305" s="1214"/>
      <c r="AL305" s="1214"/>
      <c r="AM305" s="1214"/>
      <c r="AN305" s="1214"/>
      <c r="AO305" s="1214"/>
      <c r="AP305" s="1214"/>
      <c r="AQ305" s="1214"/>
      <c r="AR305" s="1214"/>
      <c r="AS305" s="1214"/>
      <c r="AT305" s="1214"/>
      <c r="AU305" s="1214"/>
      <c r="AV305" s="1214"/>
      <c r="AW305" s="1214"/>
      <c r="AX305" s="1214"/>
      <c r="AY305" s="1256"/>
      <c r="AZ305" s="1256"/>
      <c r="BA305" s="1256"/>
      <c r="BB305" s="1256"/>
      <c r="BC305" s="1256"/>
      <c r="BD305" s="1256"/>
      <c r="BE305" s="1256"/>
      <c r="BF305" s="1256"/>
      <c r="BG305" s="1256"/>
      <c r="BH305" s="1256"/>
      <c r="BI305" s="1256"/>
      <c r="BJ305" s="1214"/>
    </row>
    <row r="306" spans="1:62">
      <c r="B306" s="1214"/>
      <c r="C306" s="3323" t="s">
        <v>2635</v>
      </c>
      <c r="D306" s="1220"/>
      <c r="E306" s="1214"/>
      <c r="F306" s="1214"/>
      <c r="G306" s="1214"/>
      <c r="H306" s="1214"/>
      <c r="I306" s="1214"/>
      <c r="J306" s="1214"/>
      <c r="K306" s="1214"/>
      <c r="L306" s="1214"/>
      <c r="M306" s="1214"/>
      <c r="N306" s="1214"/>
      <c r="O306" s="1214"/>
      <c r="P306" s="1214"/>
      <c r="Q306" s="1214"/>
      <c r="R306" s="1214"/>
      <c r="S306" s="1214"/>
      <c r="T306" s="1214"/>
      <c r="U306" s="1214"/>
      <c r="V306" s="1214"/>
      <c r="W306" s="1214"/>
      <c r="X306" s="1214"/>
      <c r="Y306" s="1214"/>
      <c r="Z306" s="1214"/>
      <c r="AA306" s="1214"/>
      <c r="AB306" s="1214"/>
      <c r="AC306" s="1214"/>
      <c r="AD306" s="1214"/>
      <c r="AE306" s="1214"/>
      <c r="AF306" s="1214"/>
      <c r="AG306" s="1214"/>
      <c r="AH306" s="1214"/>
      <c r="AI306" s="1214"/>
      <c r="AJ306" s="1214"/>
      <c r="AK306" s="1214"/>
      <c r="AL306" s="1214"/>
      <c r="AM306" s="1214"/>
      <c r="AN306" s="1214"/>
      <c r="AO306" s="1214"/>
      <c r="AP306" s="1214"/>
      <c r="AQ306" s="1214"/>
      <c r="AR306" s="1214"/>
      <c r="AS306" s="1214"/>
      <c r="AT306" s="1214"/>
      <c r="AU306" s="1214"/>
      <c r="AV306" s="1214"/>
      <c r="AW306" s="1214"/>
      <c r="AX306" s="1214"/>
      <c r="AY306" s="2410"/>
      <c r="AZ306" s="2410"/>
      <c r="BA306" s="2410"/>
      <c r="BB306" s="2410"/>
      <c r="BC306" s="2410"/>
      <c r="BD306" s="2410"/>
      <c r="BE306" s="2410"/>
      <c r="BF306" s="2410"/>
      <c r="BG306" s="2410"/>
      <c r="BH306" s="2410"/>
      <c r="BI306" s="2411"/>
      <c r="BJ306" s="1214"/>
    </row>
    <row r="307" spans="1:62">
      <c r="B307" s="1214"/>
      <c r="C307" s="1216">
        <v>1</v>
      </c>
      <c r="D307" s="1214" t="s">
        <v>338</v>
      </c>
      <c r="E307" s="1214"/>
      <c r="F307" s="1214"/>
      <c r="G307" s="1214"/>
      <c r="H307" s="1214"/>
      <c r="I307" s="1214"/>
      <c r="J307" s="1214"/>
      <c r="K307" s="1214"/>
      <c r="L307" s="1214"/>
      <c r="M307" s="1214"/>
      <c r="N307" s="1214"/>
      <c r="O307" s="1214"/>
      <c r="P307" s="1214"/>
      <c r="Q307" s="1214"/>
      <c r="R307" s="1214"/>
      <c r="S307" s="1214"/>
      <c r="T307" s="1214"/>
      <c r="U307" s="1214"/>
      <c r="V307" s="1214"/>
      <c r="W307" s="1214"/>
      <c r="X307" s="1214"/>
      <c r="Y307" s="1214"/>
      <c r="Z307" s="1214"/>
      <c r="AA307" s="1214"/>
      <c r="AB307" s="1214"/>
      <c r="AC307" s="1214"/>
      <c r="AD307" s="1214"/>
      <c r="AE307" s="1214"/>
      <c r="AF307" s="1214"/>
      <c r="AG307" s="1214"/>
      <c r="AH307" s="1214"/>
      <c r="AI307" s="1214"/>
      <c r="AJ307" s="1214"/>
      <c r="AK307" s="1214"/>
      <c r="AL307" s="1214"/>
      <c r="AM307" s="1214"/>
      <c r="AN307" s="1214"/>
      <c r="AO307" s="1214"/>
      <c r="AP307" s="1214"/>
      <c r="AQ307" s="1214"/>
      <c r="AR307" s="1214"/>
      <c r="AS307" s="1214"/>
      <c r="AT307" s="1214"/>
      <c r="AU307" s="1214"/>
      <c r="AV307" s="1214"/>
      <c r="AW307" s="1214"/>
      <c r="AX307" s="1214"/>
      <c r="AY307" s="1256"/>
      <c r="AZ307" s="1256"/>
      <c r="BA307" s="1256"/>
      <c r="BB307" s="1256"/>
      <c r="BC307" s="1256"/>
      <c r="BD307" s="1256"/>
      <c r="BE307" s="1256"/>
      <c r="BF307" s="1256"/>
      <c r="BG307" s="1256"/>
      <c r="BH307" s="1256"/>
      <c r="BI307" s="1256"/>
      <c r="BJ307" s="1214"/>
    </row>
    <row r="308" spans="1:62">
      <c r="B308" s="1214"/>
      <c r="C308" s="1216" t="s">
        <v>346</v>
      </c>
      <c r="D308" s="3350" t="s">
        <v>442</v>
      </c>
      <c r="E308" s="1214"/>
      <c r="F308" s="1214"/>
      <c r="G308" s="1214"/>
      <c r="H308" s="1214"/>
      <c r="I308" s="1214"/>
      <c r="J308" s="1214"/>
      <c r="K308" s="1214"/>
      <c r="L308" s="1214"/>
      <c r="M308" s="1214"/>
      <c r="N308" s="1214"/>
      <c r="O308" s="1214"/>
      <c r="P308" s="1214"/>
      <c r="Q308" s="1214"/>
      <c r="R308" s="1214"/>
      <c r="S308" s="1214"/>
      <c r="T308" s="1214"/>
      <c r="U308" s="1214"/>
      <c r="V308" s="1214"/>
      <c r="W308" s="1214"/>
      <c r="X308" s="1214"/>
      <c r="Y308" s="1214"/>
      <c r="Z308" s="1214"/>
      <c r="AA308" s="1214"/>
      <c r="AB308" s="1214"/>
      <c r="AC308" s="1214"/>
      <c r="AD308" s="1214"/>
      <c r="AE308" s="1214"/>
      <c r="AF308" s="1214"/>
      <c r="AG308" s="1214"/>
      <c r="AH308" s="1214"/>
      <c r="AI308" s="1214"/>
      <c r="AJ308" s="1214"/>
      <c r="AK308" s="1214"/>
      <c r="AL308" s="1214"/>
      <c r="AM308" s="1214"/>
      <c r="AN308" s="1214"/>
      <c r="AO308" s="1214"/>
      <c r="AP308" s="1214"/>
      <c r="AQ308" s="1214"/>
      <c r="AR308" s="1214"/>
      <c r="AS308" s="1214"/>
      <c r="AT308" s="1214"/>
      <c r="AU308" s="1214"/>
      <c r="AV308" s="1214"/>
      <c r="AW308" s="1214"/>
      <c r="AX308" s="1214"/>
      <c r="AY308" s="1256"/>
      <c r="AZ308" s="1256"/>
      <c r="BA308" s="1256"/>
      <c r="BB308" s="1256"/>
      <c r="BC308" s="1256"/>
      <c r="BD308" s="1256"/>
      <c r="BE308" s="1256"/>
      <c r="BF308" s="1256"/>
      <c r="BG308" s="1256"/>
      <c r="BH308" s="1256"/>
      <c r="BI308" s="1256"/>
      <c r="BJ308" s="1214"/>
    </row>
    <row r="309" spans="1:62">
      <c r="B309" s="1214"/>
      <c r="C309" s="1216" t="s">
        <v>369</v>
      </c>
      <c r="D309" s="3350" t="s">
        <v>441</v>
      </c>
      <c r="E309" s="1214"/>
      <c r="F309" s="1214"/>
      <c r="G309" s="1214"/>
      <c r="H309" s="1214"/>
      <c r="I309" s="1214"/>
      <c r="J309" s="1214"/>
      <c r="K309" s="1214"/>
      <c r="L309" s="1214"/>
      <c r="M309" s="1214"/>
      <c r="N309" s="1214"/>
      <c r="O309" s="1214"/>
      <c r="P309" s="1214"/>
      <c r="Q309" s="1214"/>
      <c r="R309" s="1214"/>
      <c r="S309" s="1214"/>
      <c r="T309" s="1214"/>
      <c r="U309" s="1214"/>
      <c r="V309" s="1214"/>
      <c r="W309" s="1214"/>
      <c r="X309" s="1214"/>
      <c r="Y309" s="1214"/>
      <c r="Z309" s="1214"/>
      <c r="AA309" s="1214"/>
      <c r="AB309" s="1214"/>
      <c r="AC309" s="1214"/>
      <c r="AD309" s="1214"/>
      <c r="AE309" s="1214"/>
      <c r="AF309" s="1214"/>
      <c r="AG309" s="1214"/>
      <c r="AH309" s="1214"/>
      <c r="AI309" s="1214"/>
      <c r="AJ309" s="1214"/>
      <c r="AK309" s="1214"/>
      <c r="AL309" s="1214"/>
      <c r="AM309" s="1214"/>
      <c r="AN309" s="1214"/>
      <c r="AO309" s="1214"/>
      <c r="AP309" s="1214"/>
      <c r="AQ309" s="1214"/>
      <c r="AR309" s="1214"/>
      <c r="AS309" s="1214"/>
      <c r="AT309" s="1214"/>
      <c r="AU309" s="1214"/>
      <c r="AV309" s="1214"/>
      <c r="AW309" s="1214"/>
      <c r="AX309" s="1214"/>
      <c r="AY309" s="1256"/>
      <c r="AZ309" s="1256"/>
      <c r="BA309" s="1256"/>
      <c r="BB309" s="1256"/>
      <c r="BC309" s="1256"/>
      <c r="BD309" s="1256"/>
      <c r="BE309" s="1256"/>
      <c r="BF309" s="1256"/>
      <c r="BG309" s="1256"/>
      <c r="BH309" s="1256"/>
      <c r="BI309" s="1256"/>
      <c r="BJ309" s="1214"/>
    </row>
    <row r="310" spans="1:62">
      <c r="B310" s="1214"/>
      <c r="C310" s="1216"/>
      <c r="D310" s="3350" t="s">
        <v>103</v>
      </c>
      <c r="E310" s="1214"/>
      <c r="F310" s="1214"/>
      <c r="G310" s="1214"/>
      <c r="H310" s="1214"/>
      <c r="I310" s="1214"/>
      <c r="J310" s="1214"/>
      <c r="K310" s="1214"/>
      <c r="L310" s="1214"/>
      <c r="M310" s="1214"/>
      <c r="N310" s="1214"/>
      <c r="O310" s="1214"/>
      <c r="P310" s="1214"/>
      <c r="Q310" s="1214"/>
      <c r="R310" s="1214"/>
      <c r="S310" s="1214"/>
      <c r="T310" s="1214"/>
      <c r="U310" s="1214"/>
      <c r="V310" s="1214"/>
      <c r="W310" s="1214"/>
      <c r="X310" s="1214"/>
      <c r="Y310" s="1214"/>
      <c r="Z310" s="1214"/>
      <c r="AA310" s="1214"/>
      <c r="AB310" s="1214"/>
      <c r="AC310" s="1214"/>
      <c r="AD310" s="1214"/>
      <c r="AE310" s="1214"/>
      <c r="AF310" s="1214"/>
      <c r="AG310" s="1214"/>
      <c r="AH310" s="1214"/>
      <c r="AI310" s="1214"/>
      <c r="AJ310" s="1214"/>
      <c r="AK310" s="1214"/>
      <c r="AL310" s="1214"/>
      <c r="AM310" s="1214"/>
      <c r="AN310" s="1214"/>
      <c r="AO310" s="1214"/>
      <c r="AP310" s="1214"/>
      <c r="AQ310" s="1214"/>
      <c r="AR310" s="1214"/>
      <c r="AS310" s="1214"/>
      <c r="AT310" s="1214"/>
      <c r="AU310" s="1214"/>
      <c r="AV310" s="1214"/>
      <c r="AW310" s="1214"/>
      <c r="AX310" s="1214"/>
      <c r="AY310" s="1256"/>
      <c r="AZ310" s="1256"/>
      <c r="BA310" s="1256"/>
      <c r="BB310" s="1256"/>
      <c r="BC310" s="1256"/>
      <c r="BD310" s="1256"/>
      <c r="BE310" s="1256"/>
      <c r="BF310" s="1256"/>
      <c r="BG310" s="1256"/>
      <c r="BH310" s="1256"/>
      <c r="BI310" s="1256"/>
      <c r="BJ310" s="1214"/>
    </row>
    <row r="311" spans="1:62">
      <c r="B311" s="1214"/>
      <c r="C311" s="3351"/>
      <c r="D311" s="1214"/>
      <c r="E311" s="1214"/>
      <c r="F311" s="1214"/>
      <c r="G311" s="1214"/>
      <c r="H311" s="1214"/>
      <c r="I311" s="1214"/>
      <c r="J311" s="1214"/>
      <c r="K311" s="1214"/>
      <c r="L311" s="1214"/>
      <c r="M311" s="1214"/>
      <c r="N311" s="1214"/>
      <c r="O311" s="1214"/>
      <c r="P311" s="1214"/>
      <c r="Q311" s="1214"/>
      <c r="R311" s="1214"/>
      <c r="S311" s="1214"/>
      <c r="T311" s="1214"/>
      <c r="U311" s="1214"/>
      <c r="V311" s="1214"/>
      <c r="W311" s="1214"/>
      <c r="X311" s="1214"/>
      <c r="Y311" s="1214"/>
      <c r="Z311" s="1214"/>
      <c r="AA311" s="1214"/>
      <c r="AB311" s="1214"/>
      <c r="AC311" s="1214"/>
      <c r="AD311" s="1214"/>
      <c r="AE311" s="1214"/>
      <c r="AF311" s="1214"/>
      <c r="AG311" s="1214"/>
      <c r="AH311" s="1214"/>
      <c r="AI311" s="1214"/>
      <c r="AJ311" s="1214"/>
      <c r="AK311" s="1214"/>
      <c r="AL311" s="1214"/>
      <c r="AM311" s="1214"/>
      <c r="AN311" s="1214"/>
      <c r="AO311" s="1214"/>
      <c r="AP311" s="1214"/>
      <c r="AQ311" s="1214"/>
      <c r="AR311" s="1214"/>
      <c r="AS311" s="1214"/>
      <c r="AT311" s="1214"/>
      <c r="AU311" s="1214"/>
      <c r="AV311" s="1214"/>
      <c r="AW311" s="1214"/>
      <c r="AX311" s="1214"/>
      <c r="AY311" s="1214"/>
      <c r="AZ311" s="1214"/>
      <c r="BA311" s="1214"/>
      <c r="BB311" s="1214"/>
      <c r="BC311" s="1214"/>
      <c r="BD311" s="1214"/>
      <c r="BE311" s="1214"/>
      <c r="BF311" s="1214"/>
      <c r="BG311" s="1214"/>
      <c r="BH311" s="1214"/>
      <c r="BI311" s="1214"/>
      <c r="BJ311" s="1214"/>
    </row>
    <row r="312" spans="1:62">
      <c r="B312" s="1214"/>
      <c r="C312" s="3352" t="s">
        <v>2636</v>
      </c>
      <c r="D312" s="1243"/>
      <c r="E312" s="3353" t="s">
        <v>2637</v>
      </c>
      <c r="F312" s="1241"/>
      <c r="G312" s="1241"/>
      <c r="H312" s="1241"/>
      <c r="I312" s="1241"/>
      <c r="J312" s="1241"/>
      <c r="K312" s="1241"/>
      <c r="L312" s="1241"/>
      <c r="M312" s="1241"/>
      <c r="N312" s="1241"/>
      <c r="O312" s="1241"/>
      <c r="P312" s="1241"/>
      <c r="Q312" s="1241"/>
      <c r="R312" s="1241"/>
      <c r="S312" s="1241"/>
      <c r="T312" s="1241"/>
      <c r="U312" s="1241"/>
      <c r="V312" s="1241"/>
      <c r="W312" s="1241"/>
      <c r="X312" s="1241"/>
      <c r="Y312" s="1241"/>
      <c r="Z312" s="1241"/>
      <c r="AA312" s="1241"/>
      <c r="AB312" s="1241"/>
      <c r="AC312" s="1241"/>
      <c r="AD312" s="1241"/>
      <c r="AE312" s="1241"/>
      <c r="AF312" s="1241"/>
      <c r="AG312" s="1241"/>
      <c r="AH312" s="1241"/>
      <c r="AI312" s="1241"/>
      <c r="AJ312" s="1241"/>
      <c r="AK312" s="1241"/>
      <c r="AL312" s="1241"/>
      <c r="AM312" s="1241"/>
      <c r="AN312" s="1241"/>
      <c r="AO312" s="1241"/>
      <c r="AP312" s="1241"/>
      <c r="AQ312" s="1241"/>
      <c r="AR312" s="1241"/>
      <c r="AS312" s="1241"/>
      <c r="AT312" s="1241"/>
      <c r="AU312" s="1241"/>
      <c r="AV312" s="1241"/>
      <c r="AW312" s="1241"/>
      <c r="AX312" s="1245"/>
      <c r="AY312" s="3354"/>
      <c r="AZ312" s="3354"/>
      <c r="BA312" s="3354"/>
      <c r="BB312" s="3354"/>
      <c r="BC312" s="3354"/>
      <c r="BD312" s="3354"/>
      <c r="BE312" s="3354"/>
      <c r="BF312" s="3354"/>
      <c r="BG312" s="3354"/>
      <c r="BH312" s="3354"/>
      <c r="BI312" s="3354"/>
      <c r="BJ312" s="1214"/>
    </row>
    <row r="313" spans="1:62">
      <c r="B313" s="1214"/>
      <c r="C313" s="3352"/>
      <c r="D313" s="1243"/>
      <c r="E313" s="3353" t="s">
        <v>2638</v>
      </c>
      <c r="F313" s="1241"/>
      <c r="G313" s="1241"/>
      <c r="H313" s="1241"/>
      <c r="I313" s="1241"/>
      <c r="J313" s="1241"/>
      <c r="K313" s="1241"/>
      <c r="L313" s="1241"/>
      <c r="M313" s="1241"/>
      <c r="N313" s="1241"/>
      <c r="O313" s="1241"/>
      <c r="P313" s="1241"/>
      <c r="Q313" s="1241"/>
      <c r="R313" s="1241"/>
      <c r="S313" s="1241"/>
      <c r="T313" s="1241"/>
      <c r="U313" s="1241"/>
      <c r="V313" s="1241"/>
      <c r="W313" s="1241"/>
      <c r="X313" s="1241"/>
      <c r="Y313" s="1241"/>
      <c r="Z313" s="1241"/>
      <c r="AA313" s="1241"/>
      <c r="AB313" s="1241"/>
      <c r="AC313" s="1241"/>
      <c r="AD313" s="1241"/>
      <c r="AE313" s="1241"/>
      <c r="AF313" s="1241"/>
      <c r="AG313" s="1241"/>
      <c r="AH313" s="1241"/>
      <c r="AI313" s="1241"/>
      <c r="AJ313" s="1241"/>
      <c r="AK313" s="1241"/>
      <c r="AL313" s="1241"/>
      <c r="AM313" s="1241"/>
      <c r="AN313" s="1241"/>
      <c r="AO313" s="1241"/>
      <c r="AP313" s="1241"/>
      <c r="AQ313" s="1241"/>
      <c r="AR313" s="1241"/>
      <c r="AS313" s="1241"/>
      <c r="AT313" s="1241"/>
      <c r="AU313" s="1241"/>
      <c r="AV313" s="1241"/>
      <c r="AW313" s="1241"/>
      <c r="AX313" s="1245"/>
      <c r="AY313" s="3354"/>
      <c r="AZ313" s="3354"/>
      <c r="BA313" s="3354"/>
      <c r="BB313" s="3354"/>
      <c r="BC313" s="3354"/>
      <c r="BD313" s="3354"/>
      <c r="BE313" s="3354"/>
      <c r="BF313" s="3354"/>
      <c r="BG313" s="3354"/>
      <c r="BH313" s="3354"/>
      <c r="BI313" s="3354"/>
      <c r="BJ313" s="1214"/>
    </row>
    <row r="314" spans="1:62">
      <c r="B314" s="1214"/>
      <c r="C314" s="3352"/>
      <c r="D314" s="1243"/>
      <c r="E314" s="3353"/>
      <c r="F314" s="1241"/>
      <c r="G314" s="1241"/>
      <c r="H314" s="1241"/>
      <c r="I314" s="1241"/>
      <c r="J314" s="1241"/>
      <c r="K314" s="1241"/>
      <c r="L314" s="1241"/>
      <c r="M314" s="1241"/>
      <c r="N314" s="1241"/>
      <c r="O314" s="1241"/>
      <c r="P314" s="1241"/>
      <c r="Q314" s="1241"/>
      <c r="R314" s="1241"/>
      <c r="S314" s="1241"/>
      <c r="T314" s="1241"/>
      <c r="U314" s="1241"/>
      <c r="V314" s="1241"/>
      <c r="W314" s="1241"/>
      <c r="X314" s="1241"/>
      <c r="Y314" s="1241"/>
      <c r="Z314" s="1241"/>
      <c r="AA314" s="1241"/>
      <c r="AB314" s="1241"/>
      <c r="AC314" s="1241"/>
      <c r="AD314" s="1241"/>
      <c r="AE314" s="1241"/>
      <c r="AF314" s="1241"/>
      <c r="AG314" s="1241"/>
      <c r="AH314" s="1241"/>
      <c r="AI314" s="1241"/>
      <c r="AJ314" s="1241"/>
      <c r="AK314" s="1241"/>
      <c r="AL314" s="1241"/>
      <c r="AM314" s="1241"/>
      <c r="AN314" s="1241"/>
      <c r="AO314" s="1241"/>
      <c r="AP314" s="1241"/>
      <c r="AQ314" s="1241"/>
      <c r="AR314" s="1241"/>
      <c r="AS314" s="1241"/>
      <c r="AT314" s="1241"/>
      <c r="AU314" s="1241"/>
      <c r="AV314" s="1241"/>
      <c r="AW314" s="1241"/>
      <c r="AX314" s="1245"/>
      <c r="AY314" s="1245"/>
      <c r="AZ314" s="1245"/>
      <c r="BA314" s="1245"/>
      <c r="BB314" s="1245"/>
      <c r="BC314" s="1245"/>
      <c r="BD314" s="1245"/>
      <c r="BE314" s="1245"/>
      <c r="BF314" s="1245"/>
      <c r="BG314" s="1245"/>
      <c r="BH314" s="1245"/>
      <c r="BI314" s="1245"/>
      <c r="BJ314" s="1214"/>
    </row>
    <row r="315" spans="1:62">
      <c r="B315" s="1214"/>
      <c r="C315" s="3353" t="s">
        <v>2639</v>
      </c>
      <c r="D315" s="1243"/>
      <c r="E315" s="3353"/>
      <c r="F315" s="1241"/>
      <c r="G315" s="1241"/>
      <c r="H315" s="1241"/>
      <c r="I315" s="1241"/>
      <c r="J315" s="1241"/>
      <c r="K315" s="1241"/>
      <c r="L315" s="1241"/>
      <c r="M315" s="1241"/>
      <c r="N315" s="1241"/>
      <c r="O315" s="1241"/>
      <c r="P315" s="1241"/>
      <c r="Q315" s="1241"/>
      <c r="R315" s="1241"/>
      <c r="S315" s="1241"/>
      <c r="T315" s="1241"/>
      <c r="U315" s="1241"/>
      <c r="V315" s="1241"/>
      <c r="W315" s="1241"/>
      <c r="X315" s="1241"/>
      <c r="Y315" s="1241"/>
      <c r="Z315" s="1241"/>
      <c r="AA315" s="1241"/>
      <c r="AB315" s="1241"/>
      <c r="AC315" s="1241"/>
      <c r="AD315" s="1241"/>
      <c r="AE315" s="1241"/>
      <c r="AF315" s="1241"/>
      <c r="AG315" s="1241"/>
      <c r="AH315" s="1241"/>
      <c r="AI315" s="1241"/>
      <c r="AJ315" s="1241"/>
      <c r="AK315" s="1241"/>
      <c r="AL315" s="1241"/>
      <c r="AM315" s="1241"/>
      <c r="AN315" s="1241"/>
      <c r="AO315" s="1241"/>
      <c r="AP315" s="1241"/>
      <c r="AQ315" s="1241"/>
      <c r="AR315" s="1241"/>
      <c r="AS315" s="1241"/>
      <c r="AT315" s="1241"/>
      <c r="AU315" s="1241"/>
      <c r="AV315" s="1241"/>
      <c r="AW315" s="1241"/>
      <c r="AX315" s="1245"/>
      <c r="AY315" s="1245"/>
      <c r="AZ315" s="1245"/>
      <c r="BA315" s="1245"/>
      <c r="BB315" s="1245"/>
      <c r="BC315" s="1245"/>
      <c r="BD315" s="1245"/>
      <c r="BE315" s="1245"/>
      <c r="BF315" s="1245"/>
      <c r="BG315" s="1245"/>
      <c r="BH315" s="1245"/>
      <c r="BI315" s="1245"/>
      <c r="BJ315" s="1214"/>
    </row>
    <row r="316" spans="1:62">
      <c r="B316" s="1214"/>
      <c r="C316" s="1214"/>
      <c r="D316" s="1214"/>
      <c r="E316" s="1214"/>
      <c r="F316" s="1214"/>
      <c r="G316" s="1214"/>
      <c r="H316" s="1214"/>
      <c r="I316" s="1214"/>
      <c r="J316" s="1214"/>
      <c r="K316" s="1214"/>
      <c r="L316" s="1214"/>
      <c r="M316" s="1214"/>
      <c r="N316" s="1214"/>
      <c r="O316" s="1214"/>
      <c r="P316" s="1214"/>
      <c r="Q316" s="1214"/>
      <c r="R316" s="1214"/>
      <c r="S316" s="1214"/>
      <c r="T316" s="1214"/>
      <c r="U316" s="1214"/>
      <c r="V316" s="1214"/>
      <c r="W316" s="1214"/>
      <c r="X316" s="1214"/>
      <c r="Y316" s="1214"/>
      <c r="Z316" s="1214"/>
      <c r="AA316" s="1214"/>
      <c r="AB316" s="1214"/>
      <c r="AC316" s="1214"/>
      <c r="AD316" s="1214"/>
      <c r="AE316" s="1214"/>
      <c r="AF316" s="1214"/>
      <c r="AG316" s="1214"/>
      <c r="AH316" s="1214"/>
      <c r="AI316" s="1214"/>
      <c r="AJ316" s="1214"/>
      <c r="AK316" s="1214"/>
      <c r="AL316" s="1214"/>
      <c r="AM316" s="1214"/>
      <c r="AN316" s="1214"/>
      <c r="AO316" s="1214"/>
      <c r="AP316" s="1214"/>
      <c r="AQ316" s="1214"/>
      <c r="AR316" s="1214"/>
      <c r="AS316" s="1214"/>
      <c r="AT316" s="1214"/>
      <c r="AU316" s="1214"/>
      <c r="AV316" s="1214"/>
      <c r="AW316" s="1214"/>
      <c r="AX316" s="1214"/>
      <c r="AY316" s="1214"/>
      <c r="AZ316" s="1214"/>
      <c r="BA316" s="1214"/>
      <c r="BB316" s="1214"/>
      <c r="BC316" s="1214"/>
      <c r="BD316" s="1214"/>
      <c r="BE316" s="1214"/>
      <c r="BF316" s="1214"/>
      <c r="BG316" s="1214"/>
      <c r="BH316" s="1214"/>
      <c r="BI316" s="1214"/>
      <c r="BJ316" s="1214"/>
    </row>
    <row r="317" spans="1:62">
      <c r="B317" s="1214"/>
    </row>
    <row r="318" spans="1:62" ht="22.5">
      <c r="A318" s="420"/>
      <c r="B318" s="1276" t="s">
        <v>1190</v>
      </c>
      <c r="C318" s="1277"/>
      <c r="D318" s="1277"/>
      <c r="E318" s="1277"/>
      <c r="F318" s="1277"/>
      <c r="G318" s="1277"/>
      <c r="H318" s="1277"/>
      <c r="I318" s="1277"/>
      <c r="J318" s="1277"/>
      <c r="K318" s="1277"/>
      <c r="L318" s="1277"/>
      <c r="M318" s="1277"/>
      <c r="N318" s="1277"/>
      <c r="O318" s="1277"/>
      <c r="P318" s="1277"/>
      <c r="Q318" s="1277"/>
      <c r="R318" s="1277"/>
      <c r="S318" s="1277"/>
      <c r="T318" s="1277"/>
      <c r="U318" s="1277"/>
      <c r="V318" s="1277"/>
      <c r="W318" s="1277"/>
      <c r="X318" s="1277"/>
      <c r="Y318" s="1277"/>
      <c r="Z318" s="1277"/>
      <c r="AA318" s="1277"/>
      <c r="AB318" s="1277"/>
      <c r="AC318" s="1277"/>
      <c r="AD318" s="1277"/>
      <c r="AE318" s="1277"/>
      <c r="AF318" s="1277"/>
      <c r="AG318" s="1277"/>
      <c r="AH318" s="1277"/>
      <c r="AI318" s="1277"/>
      <c r="AJ318" s="1277"/>
      <c r="AK318" s="1277"/>
      <c r="AL318" s="1277"/>
      <c r="AM318" s="1277"/>
      <c r="AN318" s="1277"/>
      <c r="AO318" s="1277"/>
      <c r="AP318" s="1277"/>
      <c r="AQ318" s="1277"/>
      <c r="AR318" s="1277"/>
      <c r="AS318" s="1277"/>
      <c r="AT318" s="1277"/>
      <c r="AU318" s="1277"/>
      <c r="AV318" s="1277"/>
      <c r="AW318" s="1277"/>
      <c r="AX318" s="1277"/>
      <c r="AY318" s="1278"/>
      <c r="AZ318" s="1278"/>
      <c r="BA318" s="1278"/>
      <c r="BB318" s="1278"/>
      <c r="BC318" s="1278"/>
      <c r="BD318" s="1278"/>
      <c r="BE318" s="1278"/>
      <c r="BF318" s="1278"/>
      <c r="BG318" s="1278"/>
      <c r="BH318" s="1278"/>
      <c r="BI318" s="1278"/>
      <c r="BJ318" s="1279"/>
    </row>
    <row r="319" spans="1:62">
      <c r="C319" s="1281"/>
      <c r="D319" s="1281"/>
      <c r="E319" s="1281"/>
      <c r="F319" s="1281"/>
      <c r="G319" s="1281"/>
      <c r="H319" s="1281"/>
      <c r="I319" s="1281"/>
      <c r="J319" s="1281"/>
      <c r="K319" s="1281"/>
      <c r="L319" s="1281"/>
      <c r="M319" s="1281"/>
      <c r="N319" s="1281"/>
      <c r="O319" s="1281"/>
      <c r="P319" s="1281"/>
      <c r="Q319" s="1281"/>
      <c r="R319" s="1281"/>
      <c r="S319" s="1281"/>
      <c r="T319" s="1281"/>
      <c r="U319" s="1281"/>
      <c r="V319" s="1281"/>
      <c r="W319" s="1281"/>
      <c r="X319" s="1281"/>
      <c r="Y319" s="1281"/>
      <c r="Z319" s="1281"/>
      <c r="AA319" s="1281"/>
      <c r="AB319" s="1281"/>
      <c r="AC319" s="1281"/>
      <c r="AD319" s="1281"/>
      <c r="AE319" s="1281"/>
      <c r="AF319" s="1281"/>
      <c r="AG319" s="1281"/>
      <c r="AH319" s="1281"/>
      <c r="AI319" s="1281"/>
      <c r="AJ319" s="1281"/>
      <c r="AK319" s="1281"/>
      <c r="AL319" s="1281"/>
      <c r="AM319" s="1281"/>
      <c r="AN319" s="1281"/>
      <c r="AO319" s="1281"/>
      <c r="AP319" s="1281"/>
      <c r="AQ319" s="1281"/>
      <c r="AR319" s="1281"/>
      <c r="AS319" s="1281"/>
      <c r="AT319" s="1281"/>
      <c r="AU319" s="1281"/>
      <c r="AV319" s="1281"/>
      <c r="AW319" s="1281"/>
      <c r="AX319" s="1281"/>
      <c r="AY319" s="1282"/>
      <c r="AZ319" s="1282"/>
      <c r="BA319" s="1282"/>
      <c r="BB319" s="1282"/>
      <c r="BC319" s="1282"/>
      <c r="BD319" s="1282"/>
      <c r="BE319" s="1282"/>
      <c r="BF319" s="1282"/>
      <c r="BG319" s="1282"/>
      <c r="BH319" s="1282"/>
      <c r="BI319" s="1282"/>
      <c r="BJ319" s="1283"/>
    </row>
    <row r="320" spans="1:62" ht="15.75">
      <c r="B320" s="1276"/>
      <c r="C320" s="1285" t="s">
        <v>7</v>
      </c>
      <c r="D320" s="1285" t="str">
        <f>INDEX(Vectors[Description], MATCH($C320, Vectors[Code], 0))</f>
        <v>Nuclear fission</v>
      </c>
      <c r="E320" s="1285">
        <f t="shared" ref="E320:F326" si="44">E34</f>
        <v>0</v>
      </c>
      <c r="F320" s="1286">
        <f t="shared" si="44"/>
        <v>0</v>
      </c>
      <c r="G320" s="1286"/>
      <c r="H320" s="1286"/>
      <c r="I320" s="1286"/>
      <c r="J320" s="1286"/>
      <c r="K320" s="1286"/>
      <c r="L320" s="1286"/>
      <c r="M320" s="1286"/>
      <c r="N320" s="1286"/>
      <c r="O320" s="1286"/>
      <c r="P320" s="1286"/>
      <c r="Q320" s="1286"/>
      <c r="R320" s="1286"/>
      <c r="S320" s="1286"/>
      <c r="T320" s="1286"/>
      <c r="U320" s="1286"/>
      <c r="V320" s="1286"/>
      <c r="W320" s="1286"/>
      <c r="X320" s="1286"/>
      <c r="Y320" s="1286"/>
      <c r="Z320" s="1286"/>
      <c r="AA320" s="1286"/>
      <c r="AB320" s="1286"/>
      <c r="AC320" s="1286"/>
      <c r="AD320" s="1286"/>
      <c r="AE320" s="1286"/>
      <c r="AF320" s="1286"/>
      <c r="AG320" s="1286"/>
      <c r="AH320" s="1286"/>
      <c r="AI320" s="1286"/>
      <c r="AJ320" s="1286"/>
      <c r="AK320" s="1286"/>
      <c r="AL320" s="1286"/>
      <c r="AM320" s="1286"/>
      <c r="AN320" s="1286"/>
      <c r="AO320" s="1286"/>
      <c r="AP320" s="1286"/>
      <c r="AQ320" s="1286"/>
      <c r="AR320" s="1286"/>
      <c r="AS320" s="1286"/>
      <c r="AT320" s="1286"/>
      <c r="AU320" s="1286"/>
      <c r="AV320" s="1286"/>
      <c r="AW320" s="1286"/>
      <c r="AX320" s="1286">
        <f t="shared" ref="AX320:AY326" si="45">AX34</f>
        <v>0</v>
      </c>
      <c r="AY320" s="1286">
        <f t="shared" ca="1" si="45"/>
        <v>80.94774857142859</v>
      </c>
      <c r="AZ320" s="1286"/>
      <c r="BA320" s="1286">
        <f t="shared" ref="BA320:BI326" ca="1" si="46">BA34</f>
        <v>93.771154285714289</v>
      </c>
      <c r="BB320" s="1286">
        <f t="shared" ca="1" si="46"/>
        <v>199.9649828571429</v>
      </c>
      <c r="BC320" s="1286">
        <f t="shared" ca="1" si="46"/>
        <v>193.55328000000003</v>
      </c>
      <c r="BD320" s="1286">
        <f t="shared" ca="1" si="46"/>
        <v>193.55328000000003</v>
      </c>
      <c r="BE320" s="1286">
        <f t="shared" ca="1" si="46"/>
        <v>189.54596571428576</v>
      </c>
      <c r="BF320" s="1286">
        <f t="shared" ca="1" si="46"/>
        <v>180.72987428571432</v>
      </c>
      <c r="BG320" s="1286">
        <f t="shared" ca="1" si="46"/>
        <v>176.3218285714286</v>
      </c>
      <c r="BH320" s="1286">
        <f t="shared" ca="1" si="46"/>
        <v>167.50573714285716</v>
      </c>
      <c r="BI320" s="1286">
        <f t="shared" ca="1" si="46"/>
        <v>167.50573714285716</v>
      </c>
      <c r="BJ320" s="1287"/>
    </row>
    <row r="321" spans="2:62" ht="15.75">
      <c r="B321" s="1280"/>
      <c r="C321" s="1285" t="s">
        <v>24</v>
      </c>
      <c r="D321" s="1285" t="str">
        <f>INDEX(Vectors[Description], MATCH($C321, Vectors[Code], 0))</f>
        <v>Solar</v>
      </c>
      <c r="E321" s="1285">
        <f t="shared" si="44"/>
        <v>0</v>
      </c>
      <c r="F321" s="1286">
        <f t="shared" si="44"/>
        <v>0</v>
      </c>
      <c r="G321" s="1286"/>
      <c r="H321" s="1286"/>
      <c r="I321" s="1286"/>
      <c r="J321" s="1286"/>
      <c r="K321" s="1286"/>
      <c r="L321" s="1286"/>
      <c r="M321" s="1286"/>
      <c r="N321" s="1286"/>
      <c r="O321" s="1286"/>
      <c r="P321" s="1286"/>
      <c r="Q321" s="1286"/>
      <c r="R321" s="1286"/>
      <c r="S321" s="1286"/>
      <c r="T321" s="1286"/>
      <c r="U321" s="1286"/>
      <c r="V321" s="1286"/>
      <c r="W321" s="1286"/>
      <c r="X321" s="1286"/>
      <c r="Y321" s="1286"/>
      <c r="Z321" s="1286"/>
      <c r="AA321" s="1286"/>
      <c r="AB321" s="1286"/>
      <c r="AC321" s="1286"/>
      <c r="AD321" s="1286"/>
      <c r="AE321" s="1286"/>
      <c r="AF321" s="1286"/>
      <c r="AG321" s="1286"/>
      <c r="AH321" s="1286"/>
      <c r="AI321" s="1286"/>
      <c r="AJ321" s="1286"/>
      <c r="AK321" s="1286"/>
      <c r="AL321" s="1286"/>
      <c r="AM321" s="1286"/>
      <c r="AN321" s="1286"/>
      <c r="AO321" s="1286"/>
      <c r="AP321" s="1286"/>
      <c r="AQ321" s="1286"/>
      <c r="AR321" s="1286"/>
      <c r="AS321" s="1286"/>
      <c r="AT321" s="1286"/>
      <c r="AU321" s="1286"/>
      <c r="AV321" s="1286"/>
      <c r="AW321" s="1286"/>
      <c r="AX321" s="1286">
        <f t="shared" si="45"/>
        <v>0</v>
      </c>
      <c r="AY321" s="1286">
        <f t="shared" ca="1" si="45"/>
        <v>0</v>
      </c>
      <c r="AZ321" s="1286"/>
      <c r="BA321" s="1286">
        <f t="shared" ca="1" si="46"/>
        <v>1.56727314</v>
      </c>
      <c r="BB321" s="1286">
        <f t="shared" ca="1" si="46"/>
        <v>10.99938034075161</v>
      </c>
      <c r="BC321" s="1286">
        <f t="shared" ca="1" si="46"/>
        <v>27.366299513783936</v>
      </c>
      <c r="BD321" s="1286">
        <f t="shared" ca="1" si="46"/>
        <v>49.233277769900653</v>
      </c>
      <c r="BE321" s="1286">
        <f t="shared" ca="1" si="46"/>
        <v>74.393168287263421</v>
      </c>
      <c r="BF321" s="1286">
        <f t="shared" ca="1" si="46"/>
        <v>96.634101460999375</v>
      </c>
      <c r="BG321" s="1286">
        <f t="shared" ca="1" si="46"/>
        <v>108.73461587841729</v>
      </c>
      <c r="BH321" s="1286">
        <f t="shared" ca="1" si="46"/>
        <v>106.76952554064533</v>
      </c>
      <c r="BI321" s="1286">
        <f t="shared" ca="1" si="46"/>
        <v>93.110973518033461</v>
      </c>
      <c r="BJ321" s="1287"/>
    </row>
    <row r="322" spans="2:62">
      <c r="B322" s="1284"/>
      <c r="C322" s="1285" t="s">
        <v>8</v>
      </c>
      <c r="D322" s="1285" t="str">
        <f>INDEX(Vectors[Description], MATCH($C322, Vectors[Code], 0))</f>
        <v>Wind</v>
      </c>
      <c r="E322" s="1285">
        <f t="shared" si="44"/>
        <v>0</v>
      </c>
      <c r="F322" s="1286">
        <f t="shared" si="44"/>
        <v>0</v>
      </c>
      <c r="G322" s="1286"/>
      <c r="H322" s="1286"/>
      <c r="I322" s="1286"/>
      <c r="J322" s="1286"/>
      <c r="K322" s="1286"/>
      <c r="L322" s="1286"/>
      <c r="M322" s="1286"/>
      <c r="N322" s="1286"/>
      <c r="O322" s="1286"/>
      <c r="P322" s="1286"/>
      <c r="Q322" s="1286"/>
      <c r="R322" s="1286"/>
      <c r="S322" s="1286"/>
      <c r="T322" s="1286"/>
      <c r="U322" s="1286"/>
      <c r="V322" s="1286"/>
      <c r="W322" s="1286"/>
      <c r="X322" s="1286"/>
      <c r="Y322" s="1286"/>
      <c r="Z322" s="1286"/>
      <c r="AA322" s="1286"/>
      <c r="AB322" s="1286"/>
      <c r="AC322" s="1286"/>
      <c r="AD322" s="1286"/>
      <c r="AE322" s="1286"/>
      <c r="AF322" s="1286"/>
      <c r="AG322" s="1286"/>
      <c r="AH322" s="1286"/>
      <c r="AI322" s="1286"/>
      <c r="AJ322" s="1286"/>
      <c r="AK322" s="1286"/>
      <c r="AL322" s="1286"/>
      <c r="AM322" s="1286"/>
      <c r="AN322" s="1286"/>
      <c r="AO322" s="1286"/>
      <c r="AP322" s="1286"/>
      <c r="AQ322" s="1286"/>
      <c r="AR322" s="1286"/>
      <c r="AS322" s="1286"/>
      <c r="AT322" s="1286"/>
      <c r="AU322" s="1286"/>
      <c r="AV322" s="1286"/>
      <c r="AW322" s="1286"/>
      <c r="AX322" s="1286">
        <f t="shared" si="45"/>
        <v>0</v>
      </c>
      <c r="AY322" s="1286">
        <f t="shared" ca="1" si="45"/>
        <v>12.437183268</v>
      </c>
      <c r="AZ322" s="1286"/>
      <c r="BA322" s="1286">
        <f t="shared" ca="1" si="46"/>
        <v>18.722249233199999</v>
      </c>
      <c r="BB322" s="1286">
        <f t="shared" ca="1" si="46"/>
        <v>36.604889233199998</v>
      </c>
      <c r="BC322" s="1286">
        <f t="shared" ca="1" si="46"/>
        <v>59.966279233199998</v>
      </c>
      <c r="BD322" s="1286">
        <f t="shared" ca="1" si="46"/>
        <v>84.335759233199994</v>
      </c>
      <c r="BE322" s="1286">
        <f t="shared" ca="1" si="46"/>
        <v>115.49888923319999</v>
      </c>
      <c r="BF322" s="1286">
        <f t="shared" ca="1" si="46"/>
        <v>136.98612596519999</v>
      </c>
      <c r="BG322" s="1286">
        <f t="shared" ca="1" si="46"/>
        <v>151.03817999999998</v>
      </c>
      <c r="BH322" s="1286">
        <f t="shared" ca="1" si="46"/>
        <v>161.16290999999998</v>
      </c>
      <c r="BI322" s="1286">
        <f t="shared" ca="1" si="46"/>
        <v>161.95184999999998</v>
      </c>
      <c r="BJ322" s="1287"/>
    </row>
    <row r="323" spans="2:62">
      <c r="B323" s="1284"/>
      <c r="C323" s="1285" t="s">
        <v>9</v>
      </c>
      <c r="D323" s="1285" t="str">
        <f>INDEX(Vectors[Description], MATCH($C323, Vectors[Code], 0))</f>
        <v>Tidal</v>
      </c>
      <c r="E323" s="1285">
        <f t="shared" si="44"/>
        <v>0</v>
      </c>
      <c r="F323" s="1286">
        <f t="shared" si="44"/>
        <v>0</v>
      </c>
      <c r="G323" s="1286"/>
      <c r="H323" s="1286"/>
      <c r="I323" s="1286"/>
      <c r="J323" s="1286"/>
      <c r="K323" s="1286"/>
      <c r="L323" s="1286"/>
      <c r="M323" s="1286"/>
      <c r="N323" s="1286"/>
      <c r="O323" s="1286"/>
      <c r="P323" s="1286"/>
      <c r="Q323" s="1286"/>
      <c r="R323" s="1286"/>
      <c r="S323" s="1286"/>
      <c r="T323" s="1286"/>
      <c r="U323" s="1286"/>
      <c r="V323" s="1286"/>
      <c r="W323" s="1286"/>
      <c r="X323" s="1286"/>
      <c r="Y323" s="1286"/>
      <c r="Z323" s="1286"/>
      <c r="AA323" s="1286"/>
      <c r="AB323" s="1286"/>
      <c r="AC323" s="1286"/>
      <c r="AD323" s="1286"/>
      <c r="AE323" s="1286"/>
      <c r="AF323" s="1286"/>
      <c r="AG323" s="1286"/>
      <c r="AH323" s="1286"/>
      <c r="AI323" s="1286"/>
      <c r="AJ323" s="1286"/>
      <c r="AK323" s="1286"/>
      <c r="AL323" s="1286"/>
      <c r="AM323" s="1286"/>
      <c r="AN323" s="1286"/>
      <c r="AO323" s="1286"/>
      <c r="AP323" s="1286"/>
      <c r="AQ323" s="1286"/>
      <c r="AR323" s="1286"/>
      <c r="AS323" s="1286"/>
      <c r="AT323" s="1286"/>
      <c r="AU323" s="1286"/>
      <c r="AV323" s="1286"/>
      <c r="AW323" s="1286"/>
      <c r="AX323" s="1286">
        <f t="shared" si="45"/>
        <v>0</v>
      </c>
      <c r="AY323" s="1286">
        <f t="shared" ca="1" si="45"/>
        <v>0</v>
      </c>
      <c r="AZ323" s="1286"/>
      <c r="BA323" s="1286">
        <f t="shared" ca="1" si="46"/>
        <v>0</v>
      </c>
      <c r="BB323" s="1286">
        <f t="shared" ca="1" si="46"/>
        <v>0</v>
      </c>
      <c r="BC323" s="1286">
        <f t="shared" ca="1" si="46"/>
        <v>0</v>
      </c>
      <c r="BD323" s="1286">
        <f t="shared" ca="1" si="46"/>
        <v>0</v>
      </c>
      <c r="BE323" s="1286">
        <f t="shared" ca="1" si="46"/>
        <v>0</v>
      </c>
      <c r="BF323" s="1286">
        <f t="shared" ca="1" si="46"/>
        <v>0</v>
      </c>
      <c r="BG323" s="1286">
        <f t="shared" ca="1" si="46"/>
        <v>0</v>
      </c>
      <c r="BH323" s="1286">
        <f t="shared" ca="1" si="46"/>
        <v>0</v>
      </c>
      <c r="BI323" s="1286">
        <f t="shared" ca="1" si="46"/>
        <v>0</v>
      </c>
      <c r="BJ323" s="1287"/>
    </row>
    <row r="324" spans="2:62">
      <c r="B324" s="1284"/>
      <c r="C324" s="1285" t="s">
        <v>10</v>
      </c>
      <c r="D324" s="1285" t="str">
        <f>INDEX(Vectors[Description], MATCH($C324, Vectors[Code], 0))</f>
        <v>Wave</v>
      </c>
      <c r="E324" s="1285">
        <f t="shared" si="44"/>
        <v>0</v>
      </c>
      <c r="F324" s="1286">
        <f t="shared" si="44"/>
        <v>0</v>
      </c>
      <c r="G324" s="1286"/>
      <c r="H324" s="1286"/>
      <c r="I324" s="1286"/>
      <c r="J324" s="1286"/>
      <c r="K324" s="1286"/>
      <c r="L324" s="1286"/>
      <c r="M324" s="1286"/>
      <c r="N324" s="1286"/>
      <c r="O324" s="1286"/>
      <c r="P324" s="1286"/>
      <c r="Q324" s="1286"/>
      <c r="R324" s="1286"/>
      <c r="S324" s="1286"/>
      <c r="T324" s="1286"/>
      <c r="U324" s="1286"/>
      <c r="V324" s="1286"/>
      <c r="W324" s="1286"/>
      <c r="X324" s="1286"/>
      <c r="Y324" s="1286"/>
      <c r="Z324" s="1286"/>
      <c r="AA324" s="1286"/>
      <c r="AB324" s="1286"/>
      <c r="AC324" s="1286"/>
      <c r="AD324" s="1286"/>
      <c r="AE324" s="1286"/>
      <c r="AF324" s="1286"/>
      <c r="AG324" s="1286"/>
      <c r="AH324" s="1286"/>
      <c r="AI324" s="1286"/>
      <c r="AJ324" s="1286"/>
      <c r="AK324" s="1286"/>
      <c r="AL324" s="1286"/>
      <c r="AM324" s="1286"/>
      <c r="AN324" s="1286"/>
      <c r="AO324" s="1286"/>
      <c r="AP324" s="1286"/>
      <c r="AQ324" s="1286"/>
      <c r="AR324" s="1286"/>
      <c r="AS324" s="1286"/>
      <c r="AT324" s="1286"/>
      <c r="AU324" s="1286"/>
      <c r="AV324" s="1286"/>
      <c r="AW324" s="1286"/>
      <c r="AX324" s="1286">
        <f t="shared" si="45"/>
        <v>0</v>
      </c>
      <c r="AY324" s="1286">
        <f t="shared" ca="1" si="45"/>
        <v>0</v>
      </c>
      <c r="AZ324" s="1286"/>
      <c r="BA324" s="1286">
        <f t="shared" ca="1" si="46"/>
        <v>0</v>
      </c>
      <c r="BB324" s="1286">
        <f t="shared" ca="1" si="46"/>
        <v>0</v>
      </c>
      <c r="BC324" s="1286">
        <f t="shared" ca="1" si="46"/>
        <v>0</v>
      </c>
      <c r="BD324" s="1286">
        <f t="shared" ca="1" si="46"/>
        <v>0</v>
      </c>
      <c r="BE324" s="1286">
        <f t="shared" ca="1" si="46"/>
        <v>0</v>
      </c>
      <c r="BF324" s="1286">
        <f t="shared" ca="1" si="46"/>
        <v>0</v>
      </c>
      <c r="BG324" s="1286">
        <f t="shared" ca="1" si="46"/>
        <v>0</v>
      </c>
      <c r="BH324" s="1286">
        <f t="shared" ca="1" si="46"/>
        <v>0</v>
      </c>
      <c r="BI324" s="1286">
        <f t="shared" ca="1" si="46"/>
        <v>0</v>
      </c>
      <c r="BJ324" s="1287"/>
    </row>
    <row r="325" spans="2:62">
      <c r="B325" s="1284"/>
      <c r="C325" s="1285" t="s">
        <v>11</v>
      </c>
      <c r="D325" s="1285" t="str">
        <f>INDEX(Vectors[Description], MATCH($C325, Vectors[Code], 0))</f>
        <v>Geothermal</v>
      </c>
      <c r="E325" s="1285">
        <f t="shared" si="44"/>
        <v>0</v>
      </c>
      <c r="F325" s="1286">
        <f t="shared" si="44"/>
        <v>0</v>
      </c>
      <c r="G325" s="1286"/>
      <c r="H325" s="1286"/>
      <c r="I325" s="1286"/>
      <c r="J325" s="1286"/>
      <c r="K325" s="1286"/>
      <c r="L325" s="1286"/>
      <c r="M325" s="1286"/>
      <c r="N325" s="1286"/>
      <c r="O325" s="1286"/>
      <c r="P325" s="1286"/>
      <c r="Q325" s="1286"/>
      <c r="R325" s="1286"/>
      <c r="S325" s="1286"/>
      <c r="T325" s="1286"/>
      <c r="U325" s="1286"/>
      <c r="V325" s="1286"/>
      <c r="W325" s="1286"/>
      <c r="X325" s="1286"/>
      <c r="Y325" s="1286"/>
      <c r="Z325" s="1286"/>
      <c r="AA325" s="1286"/>
      <c r="AB325" s="1286"/>
      <c r="AC325" s="1286"/>
      <c r="AD325" s="1286"/>
      <c r="AE325" s="1286"/>
      <c r="AF325" s="1286"/>
      <c r="AG325" s="1286"/>
      <c r="AH325" s="1286"/>
      <c r="AI325" s="1286"/>
      <c r="AJ325" s="1286"/>
      <c r="AK325" s="1286"/>
      <c r="AL325" s="1286"/>
      <c r="AM325" s="1286"/>
      <c r="AN325" s="1286"/>
      <c r="AO325" s="1286"/>
      <c r="AP325" s="1286"/>
      <c r="AQ325" s="1286"/>
      <c r="AR325" s="1286"/>
      <c r="AS325" s="1286"/>
      <c r="AT325" s="1286"/>
      <c r="AU325" s="1286"/>
      <c r="AV325" s="1286"/>
      <c r="AW325" s="1286"/>
      <c r="AX325" s="1286">
        <f t="shared" si="45"/>
        <v>0</v>
      </c>
      <c r="AY325" s="1286">
        <f t="shared" ca="1" si="45"/>
        <v>0</v>
      </c>
      <c r="AZ325" s="1286"/>
      <c r="BA325" s="1286">
        <f t="shared" ca="1" si="46"/>
        <v>0</v>
      </c>
      <c r="BB325" s="1286">
        <f t="shared" ca="1" si="46"/>
        <v>0</v>
      </c>
      <c r="BC325" s="1286">
        <f t="shared" ca="1" si="46"/>
        <v>0</v>
      </c>
      <c r="BD325" s="1286">
        <f t="shared" ca="1" si="46"/>
        <v>0</v>
      </c>
      <c r="BE325" s="1286">
        <f t="shared" ca="1" si="46"/>
        <v>0</v>
      </c>
      <c r="BF325" s="1286">
        <f t="shared" ca="1" si="46"/>
        <v>0</v>
      </c>
      <c r="BG325" s="1286">
        <f t="shared" ca="1" si="46"/>
        <v>0</v>
      </c>
      <c r="BH325" s="1286">
        <f t="shared" ca="1" si="46"/>
        <v>0</v>
      </c>
      <c r="BI325" s="1286">
        <f t="shared" ca="1" si="46"/>
        <v>0</v>
      </c>
      <c r="BJ325" s="1287"/>
    </row>
    <row r="326" spans="2:62">
      <c r="B326" s="1284"/>
      <c r="C326" s="1285" t="s">
        <v>12</v>
      </c>
      <c r="D326" s="1285" t="str">
        <f>INDEX(Vectors[Description], MATCH($C326, Vectors[Code], 0))</f>
        <v>Hydro</v>
      </c>
      <c r="E326" s="1285">
        <f t="shared" si="44"/>
        <v>0</v>
      </c>
      <c r="F326" s="1286">
        <f t="shared" si="44"/>
        <v>0</v>
      </c>
      <c r="G326" s="1286"/>
      <c r="H326" s="1286"/>
      <c r="I326" s="1286"/>
      <c r="J326" s="1286"/>
      <c r="K326" s="1286"/>
      <c r="L326" s="1286"/>
      <c r="M326" s="1286"/>
      <c r="N326" s="1286"/>
      <c r="O326" s="1286"/>
      <c r="P326" s="1286"/>
      <c r="Q326" s="1286"/>
      <c r="R326" s="1286"/>
      <c r="S326" s="1286"/>
      <c r="T326" s="1286"/>
      <c r="U326" s="1286"/>
      <c r="V326" s="1286"/>
      <c r="W326" s="1286"/>
      <c r="X326" s="1286"/>
      <c r="Y326" s="1286"/>
      <c r="Z326" s="1286"/>
      <c r="AA326" s="1286"/>
      <c r="AB326" s="1286"/>
      <c r="AC326" s="1286"/>
      <c r="AD326" s="1286"/>
      <c r="AE326" s="1286"/>
      <c r="AF326" s="1286"/>
      <c r="AG326" s="1286"/>
      <c r="AH326" s="1286"/>
      <c r="AI326" s="1286"/>
      <c r="AJ326" s="1286"/>
      <c r="AK326" s="1286"/>
      <c r="AL326" s="1286"/>
      <c r="AM326" s="1286"/>
      <c r="AN326" s="1286"/>
      <c r="AO326" s="1286"/>
      <c r="AP326" s="1286"/>
      <c r="AQ326" s="1286"/>
      <c r="AR326" s="1286"/>
      <c r="AS326" s="1286"/>
      <c r="AT326" s="1286"/>
      <c r="AU326" s="1286"/>
      <c r="AV326" s="1286"/>
      <c r="AW326" s="1286"/>
      <c r="AX326" s="1286">
        <f t="shared" si="45"/>
        <v>0</v>
      </c>
      <c r="AY326" s="1286">
        <f t="shared" ca="1" si="45"/>
        <v>128.51059438799999</v>
      </c>
      <c r="AZ326" s="1286"/>
      <c r="BA326" s="1286">
        <f t="shared" ca="1" si="46"/>
        <v>155.84385898800002</v>
      </c>
      <c r="BB326" s="1286">
        <f t="shared" ca="1" si="46"/>
        <v>189.41763898800005</v>
      </c>
      <c r="BC326" s="1286">
        <f t="shared" ca="1" si="46"/>
        <v>195.75107398800003</v>
      </c>
      <c r="BD326" s="1286">
        <f t="shared" ca="1" si="46"/>
        <v>199.56428398800003</v>
      </c>
      <c r="BE326" s="1286">
        <f t="shared" ca="1" si="46"/>
        <v>203.46515398800005</v>
      </c>
      <c r="BF326" s="1286">
        <f t="shared" ca="1" si="46"/>
        <v>205.43750398800003</v>
      </c>
      <c r="BG326" s="1286">
        <f t="shared" ca="1" si="46"/>
        <v>205.71585955200004</v>
      </c>
      <c r="BH326" s="1286">
        <f t="shared" ca="1" si="46"/>
        <v>206.60431118400004</v>
      </c>
      <c r="BI326" s="1286">
        <f t="shared" ca="1" si="46"/>
        <v>207.19601618400003</v>
      </c>
      <c r="BJ326" s="1287"/>
    </row>
    <row r="327" spans="2:62">
      <c r="B327" s="1284"/>
      <c r="C327" s="1285" t="s">
        <v>47</v>
      </c>
      <c r="D327" s="1285" t="str">
        <f>INDEX(Vectors[Description], MATCH($C327, Vectors[Code], 0))</f>
        <v>Electricity oversupply (imports)</v>
      </c>
      <c r="E327" s="1285">
        <f>E41</f>
        <v>0</v>
      </c>
      <c r="F327" s="1286">
        <f>MAX(F41, 0)</f>
        <v>0</v>
      </c>
      <c r="G327" s="1286"/>
      <c r="H327" s="1286"/>
      <c r="I327" s="1286"/>
      <c r="J327" s="1286"/>
      <c r="K327" s="1286"/>
      <c r="L327" s="1286"/>
      <c r="M327" s="1286"/>
      <c r="N327" s="1286"/>
      <c r="O327" s="1286"/>
      <c r="P327" s="1286"/>
      <c r="Q327" s="1286"/>
      <c r="R327" s="1286"/>
      <c r="S327" s="1286"/>
      <c r="T327" s="1286"/>
      <c r="U327" s="1286"/>
      <c r="V327" s="1286"/>
      <c r="W327" s="1286"/>
      <c r="X327" s="1286"/>
      <c r="Y327" s="1286"/>
      <c r="Z327" s="1286"/>
      <c r="AA327" s="1286"/>
      <c r="AB327" s="1286"/>
      <c r="AC327" s="1286"/>
      <c r="AD327" s="1286"/>
      <c r="AE327" s="1286"/>
      <c r="AF327" s="1286"/>
      <c r="AG327" s="1286"/>
      <c r="AH327" s="1286"/>
      <c r="AI327" s="1286"/>
      <c r="AJ327" s="1286"/>
      <c r="AK327" s="1286"/>
      <c r="AL327" s="1286"/>
      <c r="AM327" s="1286"/>
      <c r="AN327" s="1286"/>
      <c r="AO327" s="1286"/>
      <c r="AP327" s="1286"/>
      <c r="AQ327" s="1286"/>
      <c r="AR327" s="1286"/>
      <c r="AS327" s="1286"/>
      <c r="AT327" s="1286"/>
      <c r="AU327" s="1286"/>
      <c r="AV327" s="1286"/>
      <c r="AW327" s="1286"/>
      <c r="AX327" s="1286">
        <f t="shared" ref="AX327:BI327" si="47">MAX(AX41, 0)</f>
        <v>0</v>
      </c>
      <c r="AY327" s="1286">
        <f t="shared" ca="1" si="47"/>
        <v>1</v>
      </c>
      <c r="AZ327" s="1286"/>
      <c r="BA327" s="1286">
        <f t="shared" ca="1" si="47"/>
        <v>4.0000000000002274</v>
      </c>
      <c r="BB327" s="1286">
        <f t="shared" ca="1" si="47"/>
        <v>14.000000000000455</v>
      </c>
      <c r="BC327" s="1286">
        <f t="shared" ca="1" si="47"/>
        <v>21.000000000000227</v>
      </c>
      <c r="BD327" s="1286">
        <f t="shared" ca="1" si="47"/>
        <v>30.999999999999545</v>
      </c>
      <c r="BE327" s="1286">
        <f t="shared" ca="1" si="47"/>
        <v>39.999999999999545</v>
      </c>
      <c r="BF327" s="1286">
        <f t="shared" ca="1" si="47"/>
        <v>49</v>
      </c>
      <c r="BG327" s="1286">
        <f t="shared" ca="1" si="47"/>
        <v>55.000000000000909</v>
      </c>
      <c r="BH327" s="1286">
        <f t="shared" ca="1" si="47"/>
        <v>55.000000000000909</v>
      </c>
      <c r="BI327" s="1286">
        <f t="shared" ca="1" si="47"/>
        <v>55.000000000000909</v>
      </c>
      <c r="BJ327" s="1287"/>
    </row>
    <row r="328" spans="2:62">
      <c r="B328" s="1284"/>
      <c r="C328" s="1285" t="str">
        <f>C43</f>
        <v>R.07</v>
      </c>
      <c r="D328" s="1285" t="str">
        <f>D43</f>
        <v>Environmental heat</v>
      </c>
      <c r="E328" s="1285">
        <f>E43</f>
        <v>0</v>
      </c>
      <c r="F328" s="1286">
        <f>F43</f>
        <v>0</v>
      </c>
      <c r="G328" s="1286"/>
      <c r="H328" s="1286"/>
      <c r="I328" s="1286"/>
      <c r="J328" s="1286"/>
      <c r="K328" s="1286"/>
      <c r="L328" s="1286"/>
      <c r="M328" s="1286"/>
      <c r="N328" s="1286"/>
      <c r="O328" s="1286"/>
      <c r="P328" s="1286"/>
      <c r="Q328" s="1286"/>
      <c r="R328" s="1286"/>
      <c r="S328" s="1286"/>
      <c r="T328" s="1286"/>
      <c r="U328" s="1286"/>
      <c r="V328" s="1286"/>
      <c r="W328" s="1286"/>
      <c r="X328" s="1286"/>
      <c r="Y328" s="1286"/>
      <c r="Z328" s="1286"/>
      <c r="AA328" s="1286"/>
      <c r="AB328" s="1286"/>
      <c r="AC328" s="1286"/>
      <c r="AD328" s="1286"/>
      <c r="AE328" s="1286"/>
      <c r="AF328" s="1286"/>
      <c r="AG328" s="1286"/>
      <c r="AH328" s="1286"/>
      <c r="AI328" s="1286"/>
      <c r="AJ328" s="1286"/>
      <c r="AK328" s="1286"/>
      <c r="AL328" s="1286"/>
      <c r="AM328" s="1286"/>
      <c r="AN328" s="1286"/>
      <c r="AO328" s="1286"/>
      <c r="AP328" s="1286"/>
      <c r="AQ328" s="1286"/>
      <c r="AR328" s="1286"/>
      <c r="AS328" s="1286"/>
      <c r="AT328" s="1286"/>
      <c r="AU328" s="1286"/>
      <c r="AV328" s="1286"/>
      <c r="AW328" s="1286"/>
      <c r="AX328" s="1286">
        <f t="shared" ref="AX328:BI328" si="48">AX43</f>
        <v>0</v>
      </c>
      <c r="AY328" s="1286">
        <f t="shared" ca="1" si="48"/>
        <v>222.89552622742858</v>
      </c>
      <c r="AZ328" s="1286"/>
      <c r="BA328" s="1286">
        <f t="shared" ca="1" si="48"/>
        <v>273.90453564691455</v>
      </c>
      <c r="BB328" s="1286">
        <f t="shared" ca="1" si="48"/>
        <v>450.986891419095</v>
      </c>
      <c r="BC328" s="1286">
        <f t="shared" ca="1" si="48"/>
        <v>497.63693273498421</v>
      </c>
      <c r="BD328" s="1286">
        <f t="shared" ca="1" si="48"/>
        <v>557.68660099110025</v>
      </c>
      <c r="BE328" s="1286">
        <f t="shared" ca="1" si="48"/>
        <v>622.90317722274881</v>
      </c>
      <c r="BF328" s="1286">
        <f t="shared" ca="1" si="48"/>
        <v>668.78760569991368</v>
      </c>
      <c r="BG328" s="1286">
        <f t="shared" ca="1" si="48"/>
        <v>696.81048400184682</v>
      </c>
      <c r="BH328" s="1286">
        <f t="shared" ca="1" si="48"/>
        <v>697.04248386750339</v>
      </c>
      <c r="BI328" s="1286">
        <f t="shared" ca="1" si="48"/>
        <v>684.76457684489151</v>
      </c>
      <c r="BJ328" s="1287"/>
    </row>
    <row r="329" spans="2:62">
      <c r="B329" s="1284"/>
      <c r="C329" s="1285"/>
      <c r="D329" s="1285" t="s">
        <v>2037</v>
      </c>
      <c r="E329" s="1285">
        <f>E47</f>
        <v>0</v>
      </c>
      <c r="F329" s="1286">
        <f>F47</f>
        <v>0</v>
      </c>
      <c r="G329" s="1286"/>
      <c r="H329" s="1286"/>
      <c r="I329" s="1286"/>
      <c r="J329" s="1286"/>
      <c r="K329" s="1286"/>
      <c r="L329" s="1286"/>
      <c r="M329" s="1286"/>
      <c r="N329" s="1286"/>
      <c r="O329" s="1286"/>
      <c r="P329" s="1286"/>
      <c r="Q329" s="1286"/>
      <c r="R329" s="1286"/>
      <c r="S329" s="1286"/>
      <c r="T329" s="1286"/>
      <c r="U329" s="1286"/>
      <c r="V329" s="1286"/>
      <c r="W329" s="1286"/>
      <c r="X329" s="1286"/>
      <c r="Y329" s="1286"/>
      <c r="Z329" s="1286"/>
      <c r="AA329" s="1286"/>
      <c r="AB329" s="1286"/>
      <c r="AC329" s="1286"/>
      <c r="AD329" s="1286"/>
      <c r="AE329" s="1286"/>
      <c r="AF329" s="1286"/>
      <c r="AG329" s="1286"/>
      <c r="AH329" s="1286"/>
      <c r="AI329" s="1286"/>
      <c r="AJ329" s="1286"/>
      <c r="AK329" s="1286"/>
      <c r="AL329" s="1286"/>
      <c r="AM329" s="1286"/>
      <c r="AN329" s="1286"/>
      <c r="AO329" s="1286"/>
      <c r="AP329" s="1286"/>
      <c r="AQ329" s="1286"/>
      <c r="AR329" s="1286"/>
      <c r="AS329" s="1286"/>
      <c r="AT329" s="1286"/>
      <c r="AU329" s="1286"/>
      <c r="AV329" s="1286"/>
      <c r="AW329" s="1286"/>
      <c r="AX329" s="1286">
        <f>AX47</f>
        <v>0</v>
      </c>
      <c r="AY329" s="1286">
        <f ca="1">AY47</f>
        <v>0</v>
      </c>
      <c r="AZ329" s="1286"/>
      <c r="BA329" s="1286">
        <f t="shared" ref="BA329:BI329" ca="1" si="49">BA47</f>
        <v>0</v>
      </c>
      <c r="BB329" s="1286">
        <f t="shared" ca="1" si="49"/>
        <v>0</v>
      </c>
      <c r="BC329" s="1286">
        <f t="shared" ca="1" si="49"/>
        <v>0</v>
      </c>
      <c r="BD329" s="1286">
        <f t="shared" ca="1" si="49"/>
        <v>0</v>
      </c>
      <c r="BE329" s="1286">
        <f t="shared" ca="1" si="49"/>
        <v>0</v>
      </c>
      <c r="BF329" s="1286">
        <f t="shared" ca="1" si="49"/>
        <v>0</v>
      </c>
      <c r="BG329" s="1286">
        <f t="shared" ca="1" si="49"/>
        <v>0</v>
      </c>
      <c r="BH329" s="1286">
        <f t="shared" ca="1" si="49"/>
        <v>0</v>
      </c>
      <c r="BI329" s="1286">
        <f t="shared" ca="1" si="49"/>
        <v>0</v>
      </c>
      <c r="BJ329" s="1287"/>
    </row>
    <row r="330" spans="2:62">
      <c r="B330" s="1284"/>
      <c r="C330" s="1285"/>
      <c r="D330" s="1285" t="str">
        <f>D50</f>
        <v>Coal</v>
      </c>
      <c r="E330" s="1285">
        <f>E50</f>
        <v>0</v>
      </c>
      <c r="F330" s="1286">
        <f>MAX(F50,0)</f>
        <v>0</v>
      </c>
      <c r="G330" s="1286"/>
      <c r="H330" s="1286"/>
      <c r="I330" s="1286"/>
      <c r="J330" s="1286"/>
      <c r="K330" s="1286"/>
      <c r="L330" s="1286"/>
      <c r="M330" s="1286"/>
      <c r="N330" s="1286"/>
      <c r="O330" s="1286"/>
      <c r="P330" s="1286"/>
      <c r="Q330" s="1286"/>
      <c r="R330" s="1286"/>
      <c r="S330" s="1286"/>
      <c r="T330" s="1286"/>
      <c r="U330" s="1286"/>
      <c r="V330" s="1286"/>
      <c r="W330" s="1286"/>
      <c r="X330" s="1286"/>
      <c r="Y330" s="1286"/>
      <c r="Z330" s="1286"/>
      <c r="AA330" s="1286"/>
      <c r="AB330" s="1286"/>
      <c r="AC330" s="1286"/>
      <c r="AD330" s="1286"/>
      <c r="AE330" s="1286"/>
      <c r="AF330" s="1286"/>
      <c r="AG330" s="1286"/>
      <c r="AH330" s="1286"/>
      <c r="AI330" s="1286"/>
      <c r="AJ330" s="1286"/>
      <c r="AK330" s="1286"/>
      <c r="AL330" s="1286"/>
      <c r="AM330" s="1286"/>
      <c r="AN330" s="1286"/>
      <c r="AO330" s="1286"/>
      <c r="AP330" s="1286"/>
      <c r="AQ330" s="1286"/>
      <c r="AR330" s="1286"/>
      <c r="AS330" s="1286"/>
      <c r="AT330" s="1286"/>
      <c r="AU330" s="1286"/>
      <c r="AV330" s="1286"/>
      <c r="AW330" s="1286"/>
      <c r="AX330" s="1286">
        <f>MAX(AX50,0)</f>
        <v>0</v>
      </c>
      <c r="AY330" s="1286">
        <f ca="1">AY50</f>
        <v>2003.3688000000002</v>
      </c>
      <c r="AZ330" s="1286"/>
      <c r="BA330" s="1286">
        <f t="shared" ref="BA330:BI330" ca="1" si="50">BA50</f>
        <v>2704.3935000000001</v>
      </c>
      <c r="BB330" s="1286">
        <f t="shared" ca="1" si="50"/>
        <v>3143.1914134327285</v>
      </c>
      <c r="BC330" s="1286">
        <f t="shared" ca="1" si="50"/>
        <v>3584.1507638983121</v>
      </c>
      <c r="BD330" s="1286">
        <f t="shared" ca="1" si="50"/>
        <v>3874.5049279836685</v>
      </c>
      <c r="BE330" s="1286">
        <f t="shared" ca="1" si="50"/>
        <v>3958.482454759453</v>
      </c>
      <c r="BF330" s="1286">
        <f t="shared" ca="1" si="50"/>
        <v>4025.5714811854732</v>
      </c>
      <c r="BG330" s="1286">
        <f t="shared" ca="1" si="50"/>
        <v>3406.6022071917232</v>
      </c>
      <c r="BH330" s="1286">
        <f t="shared" ca="1" si="50"/>
        <v>2878.2636796999973</v>
      </c>
      <c r="BI330" s="1286">
        <f t="shared" ca="1" si="50"/>
        <v>2435.1118288080042</v>
      </c>
      <c r="BJ330" s="1287"/>
    </row>
    <row r="331" spans="2:62">
      <c r="B331" s="1284"/>
      <c r="C331" s="1285"/>
      <c r="D331" s="1285" t="s">
        <v>110</v>
      </c>
      <c r="E331" s="1285">
        <f>E53</f>
        <v>0</v>
      </c>
      <c r="F331" s="1286">
        <f>F53</f>
        <v>0</v>
      </c>
      <c r="G331" s="1286"/>
      <c r="H331" s="1286"/>
      <c r="I331" s="1286"/>
      <c r="J331" s="1286"/>
      <c r="K331" s="1286"/>
      <c r="L331" s="1286"/>
      <c r="M331" s="1286"/>
      <c r="N331" s="1286"/>
      <c r="O331" s="1286"/>
      <c r="P331" s="1286"/>
      <c r="Q331" s="1286"/>
      <c r="R331" s="1286"/>
      <c r="S331" s="1286"/>
      <c r="T331" s="1286"/>
      <c r="U331" s="1286"/>
      <c r="V331" s="1286"/>
      <c r="W331" s="1286"/>
      <c r="X331" s="1286"/>
      <c r="Y331" s="1286"/>
      <c r="Z331" s="1286"/>
      <c r="AA331" s="1286"/>
      <c r="AB331" s="1286"/>
      <c r="AC331" s="1286"/>
      <c r="AD331" s="1286"/>
      <c r="AE331" s="1286"/>
      <c r="AF331" s="1286"/>
      <c r="AG331" s="1286"/>
      <c r="AH331" s="1286"/>
      <c r="AI331" s="1286"/>
      <c r="AJ331" s="1286"/>
      <c r="AK331" s="1286"/>
      <c r="AL331" s="1286"/>
      <c r="AM331" s="1286"/>
      <c r="AN331" s="1286"/>
      <c r="AO331" s="1286"/>
      <c r="AP331" s="1286"/>
      <c r="AQ331" s="1286"/>
      <c r="AR331" s="1286"/>
      <c r="AS331" s="1286"/>
      <c r="AT331" s="1286"/>
      <c r="AU331" s="1286"/>
      <c r="AV331" s="1286"/>
      <c r="AW331" s="1286"/>
      <c r="AX331" s="1286">
        <f>AX53</f>
        <v>0</v>
      </c>
      <c r="AY331" s="1286">
        <f ca="1">AY53</f>
        <v>1217.3455995924837</v>
      </c>
      <c r="AZ331" s="1286"/>
      <c r="BA331" s="1286">
        <f t="shared" ref="BA331:BI331" ca="1" si="51">BA53</f>
        <v>1466.5905800259968</v>
      </c>
      <c r="BB331" s="1286">
        <f t="shared" ca="1" si="51"/>
        <v>2100.3206137516681</v>
      </c>
      <c r="BC331" s="1286">
        <f t="shared" ca="1" si="51"/>
        <v>3054.2541317150194</v>
      </c>
      <c r="BD331" s="1286">
        <f t="shared" ca="1" si="51"/>
        <v>4102.7795788608364</v>
      </c>
      <c r="BE331" s="1286">
        <f t="shared" ca="1" si="51"/>
        <v>5330.667265334645</v>
      </c>
      <c r="BF331" s="1286">
        <f t="shared" ca="1" si="51"/>
        <v>6703.2930240172882</v>
      </c>
      <c r="BG331" s="1286">
        <f t="shared" ca="1" si="51"/>
        <v>8096.4219235944875</v>
      </c>
      <c r="BH331" s="1286">
        <f t="shared" ca="1" si="51"/>
        <v>9663.2311319982509</v>
      </c>
      <c r="BI331" s="1286">
        <f t="shared" ca="1" si="51"/>
        <v>11338.566432233665</v>
      </c>
      <c r="BJ331" s="1287"/>
    </row>
    <row r="332" spans="2:62">
      <c r="B332" s="1284"/>
      <c r="C332" s="1285"/>
      <c r="D332" s="1285" t="str">
        <f t="shared" ref="D332:F333" si="52">D56</f>
        <v>Natural gas</v>
      </c>
      <c r="E332" s="1285">
        <f t="shared" si="52"/>
        <v>0</v>
      </c>
      <c r="F332" s="1286">
        <f t="shared" si="52"/>
        <v>0</v>
      </c>
      <c r="G332" s="1286"/>
      <c r="H332" s="1286"/>
      <c r="I332" s="1286"/>
      <c r="J332" s="1286"/>
      <c r="K332" s="1286"/>
      <c r="L332" s="1286"/>
      <c r="M332" s="1286"/>
      <c r="N332" s="1286"/>
      <c r="O332" s="1286"/>
      <c r="P332" s="1286"/>
      <c r="Q332" s="1286"/>
      <c r="R332" s="1286"/>
      <c r="S332" s="1286"/>
      <c r="T332" s="1286"/>
      <c r="U332" s="1286"/>
      <c r="V332" s="1286"/>
      <c r="W332" s="1286"/>
      <c r="X332" s="1286"/>
      <c r="Y332" s="1286"/>
      <c r="Z332" s="1286"/>
      <c r="AA332" s="1286"/>
      <c r="AB332" s="1286"/>
      <c r="AC332" s="1286"/>
      <c r="AD332" s="1286"/>
      <c r="AE332" s="1286"/>
      <c r="AF332" s="1286"/>
      <c r="AG332" s="1286"/>
      <c r="AH332" s="1286"/>
      <c r="AI332" s="1286"/>
      <c r="AJ332" s="1286"/>
      <c r="AK332" s="1286"/>
      <c r="AL332" s="1286"/>
      <c r="AM332" s="1286"/>
      <c r="AN332" s="1286"/>
      <c r="AO332" s="1286"/>
      <c r="AP332" s="1286"/>
      <c r="AQ332" s="1286"/>
      <c r="AR332" s="1286"/>
      <c r="AS332" s="1286"/>
      <c r="AT332" s="1286"/>
      <c r="AU332" s="1286"/>
      <c r="AV332" s="1286"/>
      <c r="AW332" s="1286"/>
      <c r="AX332" s="1286">
        <f>AX56</f>
        <v>0</v>
      </c>
      <c r="AY332" s="1286">
        <f ca="1">AY56</f>
        <v>296.5420125</v>
      </c>
      <c r="AZ332" s="1286"/>
      <c r="BA332" s="1286">
        <f t="shared" ref="BA332:BI333" ca="1" si="53">BA56</f>
        <v>449.1920925</v>
      </c>
      <c r="BB332" s="1286">
        <f t="shared" ca="1" si="53"/>
        <v>507.09261100499998</v>
      </c>
      <c r="BC332" s="1286">
        <f t="shared" ca="1" si="53"/>
        <v>548.56099701000005</v>
      </c>
      <c r="BD332" s="1286">
        <f t="shared" ca="1" si="53"/>
        <v>586.57321805615095</v>
      </c>
      <c r="BE332" s="1286">
        <f t="shared" ca="1" si="53"/>
        <v>641.54155989156084</v>
      </c>
      <c r="BF332" s="1286">
        <f t="shared" ca="1" si="53"/>
        <v>680.54187544379761</v>
      </c>
      <c r="BG332" s="1286">
        <f t="shared" ca="1" si="53"/>
        <v>722.92972840858988</v>
      </c>
      <c r="BH332" s="1286">
        <f t="shared" ca="1" si="53"/>
        <v>769.07133311204609</v>
      </c>
      <c r="BI332" s="1286">
        <f t="shared" ca="1" si="53"/>
        <v>803.22299999999996</v>
      </c>
      <c r="BJ332" s="1287"/>
    </row>
    <row r="333" spans="2:62">
      <c r="B333" s="1284"/>
      <c r="C333" s="1285"/>
      <c r="D333" s="1288" t="str">
        <f t="shared" si="52"/>
        <v>Total Primary Supply</v>
      </c>
      <c r="E333" s="1285">
        <f t="shared" si="52"/>
        <v>0</v>
      </c>
      <c r="F333" s="1289">
        <f t="shared" si="52"/>
        <v>0</v>
      </c>
      <c r="G333" s="1289"/>
      <c r="H333" s="1289"/>
      <c r="I333" s="1289"/>
      <c r="J333" s="1289"/>
      <c r="K333" s="1289"/>
      <c r="L333" s="1289"/>
      <c r="M333" s="1289"/>
      <c r="N333" s="1289"/>
      <c r="O333" s="1289"/>
      <c r="P333" s="1289"/>
      <c r="Q333" s="1289"/>
      <c r="R333" s="1289"/>
      <c r="S333" s="1289"/>
      <c r="T333" s="1289"/>
      <c r="U333" s="1289"/>
      <c r="V333" s="1289"/>
      <c r="W333" s="1289"/>
      <c r="X333" s="1289"/>
      <c r="Y333" s="1289"/>
      <c r="Z333" s="1289"/>
      <c r="AA333" s="1289"/>
      <c r="AB333" s="1289"/>
      <c r="AC333" s="1289"/>
      <c r="AD333" s="1289"/>
      <c r="AE333" s="1289"/>
      <c r="AF333" s="1289"/>
      <c r="AG333" s="1289"/>
      <c r="AH333" s="1289"/>
      <c r="AI333" s="1289"/>
      <c r="AJ333" s="1289"/>
      <c r="AK333" s="1289"/>
      <c r="AL333" s="1289"/>
      <c r="AM333" s="1289"/>
      <c r="AN333" s="1289"/>
      <c r="AO333" s="1289"/>
      <c r="AP333" s="1289"/>
      <c r="AQ333" s="1289"/>
      <c r="AR333" s="1289"/>
      <c r="AS333" s="1289"/>
      <c r="AT333" s="1289"/>
      <c r="AU333" s="1289"/>
      <c r="AV333" s="1289"/>
      <c r="AW333" s="1289"/>
      <c r="AX333" s="1289">
        <f>AX57</f>
        <v>0</v>
      </c>
      <c r="AY333" s="1289">
        <f ca="1">AY57</f>
        <v>450.37586718740386</v>
      </c>
      <c r="AZ333" s="1289"/>
      <c r="BA333" s="1289">
        <f t="shared" ca="1" si="53"/>
        <v>607.99706212180251</v>
      </c>
      <c r="BB333" s="1289">
        <f t="shared" ca="1" si="53"/>
        <v>954.37407948436692</v>
      </c>
      <c r="BC333" s="1289">
        <f t="shared" ca="1" si="53"/>
        <v>1129.3893445499402</v>
      </c>
      <c r="BD333" s="1289">
        <f t="shared" ca="1" si="53"/>
        <v>1306.3655615252346</v>
      </c>
      <c r="BE333" s="1289">
        <f t="shared" ca="1" si="53"/>
        <v>1524.5511448106251</v>
      </c>
      <c r="BF333" s="1289">
        <f t="shared" ca="1" si="53"/>
        <v>1771.6776988819261</v>
      </c>
      <c r="BG333" s="1289">
        <f t="shared" ca="1" si="53"/>
        <v>2046.6620023011292</v>
      </c>
      <c r="BH333" s="1289">
        <f t="shared" ca="1" si="53"/>
        <v>2346.3840289711452</v>
      </c>
      <c r="BI333" s="1289">
        <f t="shared" ca="1" si="53"/>
        <v>2682.6666261638215</v>
      </c>
      <c r="BJ333" s="1287"/>
    </row>
    <row r="334" spans="2:62">
      <c r="B334" s="1284"/>
      <c r="C334" s="1285"/>
      <c r="D334" s="1285" t="s">
        <v>2080</v>
      </c>
      <c r="E334" s="1285"/>
      <c r="F334" s="1290">
        <f>MAX(0,F41)+MAX(0,F46)+MAX(0,F48)+MAX(0,F52)+MAX(0,F54)+F34</f>
        <v>0</v>
      </c>
      <c r="G334" s="1290"/>
      <c r="H334" s="1290"/>
      <c r="I334" s="1290"/>
      <c r="J334" s="1290"/>
      <c r="K334" s="1290"/>
      <c r="L334" s="1290"/>
      <c r="M334" s="1290"/>
      <c r="N334" s="1290"/>
      <c r="O334" s="1290"/>
      <c r="P334" s="1290"/>
      <c r="Q334" s="1290"/>
      <c r="R334" s="1290"/>
      <c r="S334" s="1290"/>
      <c r="T334" s="1290"/>
      <c r="U334" s="1290"/>
      <c r="V334" s="1290"/>
      <c r="W334" s="1290"/>
      <c r="X334" s="1290"/>
      <c r="Y334" s="1290"/>
      <c r="Z334" s="1290"/>
      <c r="AA334" s="1290"/>
      <c r="AB334" s="1290"/>
      <c r="AC334" s="1290"/>
      <c r="AD334" s="1290"/>
      <c r="AE334" s="1290"/>
      <c r="AF334" s="1290"/>
      <c r="AG334" s="1290"/>
      <c r="AH334" s="1290"/>
      <c r="AI334" s="1290"/>
      <c r="AJ334" s="1290"/>
      <c r="AK334" s="1290"/>
      <c r="AL334" s="1290"/>
      <c r="AM334" s="1290"/>
      <c r="AN334" s="1290"/>
      <c r="AO334" s="1290"/>
      <c r="AP334" s="1290"/>
      <c r="AQ334" s="1290"/>
      <c r="AR334" s="1290"/>
      <c r="AS334" s="1290"/>
      <c r="AT334" s="1290"/>
      <c r="AU334" s="1290"/>
      <c r="AV334" s="1290"/>
      <c r="AW334" s="1290"/>
      <c r="AX334" s="1290">
        <f>MAX(0,AX41)+MAX(0,AX46)+MAX(0,AX48)+MAX(0,AX52)+MAX(0,AX54)</f>
        <v>0</v>
      </c>
      <c r="AY334" s="1290">
        <f t="shared" ref="AY334:BI334" ca="1" si="54">MAX(0,AY41)+MAX(0,AY46)+MAX(0,AY48)+MAX(0,AY52)+MAX(0,AY54)+AY34</f>
        <v>1577.4733765921658</v>
      </c>
      <c r="AZ334" s="1290"/>
      <c r="BA334" s="1290">
        <f t="shared" ca="1" si="54"/>
        <v>3409.3135569455721</v>
      </c>
      <c r="BB334" s="1290">
        <f t="shared" ca="1" si="54"/>
        <v>4237.2045280796456</v>
      </c>
      <c r="BC334" s="1290">
        <f t="shared" ca="1" si="54"/>
        <v>5048.4235766579623</v>
      </c>
      <c r="BD334" s="1290">
        <f t="shared" ca="1" si="54"/>
        <v>6107.5526525303994</v>
      </c>
      <c r="BE334" s="1290">
        <f t="shared" ca="1" si="54"/>
        <v>7342.757529690939</v>
      </c>
      <c r="BF334" s="1290">
        <f t="shared" ca="1" si="54"/>
        <v>8719.9556686003561</v>
      </c>
      <c r="BG334" s="1290">
        <f t="shared" ca="1" si="54"/>
        <v>10118.259329727145</v>
      </c>
      <c r="BH334" s="1290">
        <f t="shared" ca="1" si="54"/>
        <v>11682.156761402259</v>
      </c>
      <c r="BI334" s="1290">
        <f t="shared" ca="1" si="54"/>
        <v>13366.736493308092</v>
      </c>
      <c r="BJ334" s="1287"/>
    </row>
    <row r="335" spans="2:62">
      <c r="B335" s="1284"/>
      <c r="C335" s="1285"/>
      <c r="D335" s="1285"/>
      <c r="E335" s="1285"/>
      <c r="F335" s="1290"/>
      <c r="G335" s="1290"/>
      <c r="H335" s="1290"/>
      <c r="I335" s="1290"/>
      <c r="J335" s="1290"/>
      <c r="K335" s="1290"/>
      <c r="L335" s="1290"/>
      <c r="M335" s="1290"/>
      <c r="N335" s="1290"/>
      <c r="O335" s="1290"/>
      <c r="P335" s="1290"/>
      <c r="Q335" s="1290"/>
      <c r="R335" s="1290"/>
      <c r="S335" s="1290"/>
      <c r="T335" s="1290"/>
      <c r="U335" s="1290"/>
      <c r="V335" s="1290"/>
      <c r="W335" s="1290"/>
      <c r="X335" s="1290"/>
      <c r="Y335" s="1290"/>
      <c r="Z335" s="1290"/>
      <c r="AA335" s="1290"/>
      <c r="AB335" s="1290"/>
      <c r="AC335" s="1290"/>
      <c r="AD335" s="1290"/>
      <c r="AE335" s="1290"/>
      <c r="AF335" s="1290"/>
      <c r="AG335" s="1290"/>
      <c r="AH335" s="1290"/>
      <c r="AI335" s="1290"/>
      <c r="AJ335" s="1290"/>
      <c r="AK335" s="1290"/>
      <c r="AL335" s="1290"/>
      <c r="AM335" s="1290"/>
      <c r="AN335" s="1290"/>
      <c r="AO335" s="1290"/>
      <c r="AP335" s="1290"/>
      <c r="AQ335" s="1290"/>
      <c r="AR335" s="1290"/>
      <c r="AS335" s="1290"/>
      <c r="AT335" s="1290"/>
      <c r="AU335" s="1290"/>
      <c r="AV335" s="1290"/>
      <c r="AW335" s="1290"/>
      <c r="AX335" s="1290"/>
      <c r="AY335" s="1290"/>
      <c r="AZ335" s="1290"/>
      <c r="BA335" s="1290"/>
      <c r="BB335" s="1290"/>
      <c r="BC335" s="1290"/>
      <c r="BD335" s="1290"/>
      <c r="BE335" s="1290"/>
      <c r="BF335" s="1290"/>
      <c r="BG335" s="1290"/>
      <c r="BH335" s="1290" t="s">
        <v>1191</v>
      </c>
      <c r="BI335" s="1291">
        <f ca="1">BI334/BI333</f>
        <v>4.9826304778027346</v>
      </c>
      <c r="BJ335" s="1287"/>
    </row>
    <row r="336" spans="2:62">
      <c r="B336" s="1284"/>
      <c r="C336" s="1285"/>
      <c r="D336" s="1285" t="s">
        <v>1192</v>
      </c>
      <c r="E336" s="1285"/>
      <c r="F336" s="1290"/>
      <c r="G336" s="1290"/>
      <c r="H336" s="1290"/>
      <c r="I336" s="1290"/>
      <c r="J336" s="1290"/>
      <c r="K336" s="1290"/>
      <c r="L336" s="1290"/>
      <c r="M336" s="1290"/>
      <c r="N336" s="1290"/>
      <c r="O336" s="1290"/>
      <c r="P336" s="1290"/>
      <c r="Q336" s="1290"/>
      <c r="R336" s="1290"/>
      <c r="S336" s="1290"/>
      <c r="T336" s="1290"/>
      <c r="U336" s="1290"/>
      <c r="V336" s="1290"/>
      <c r="W336" s="1290"/>
      <c r="X336" s="1290"/>
      <c r="Y336" s="1290"/>
      <c r="Z336" s="1290"/>
      <c r="AA336" s="1290"/>
      <c r="AB336" s="1290"/>
      <c r="AC336" s="1290"/>
      <c r="AD336" s="1290"/>
      <c r="AE336" s="1290"/>
      <c r="AF336" s="1290"/>
      <c r="AG336" s="1290"/>
      <c r="AH336" s="1290"/>
      <c r="AI336" s="1290"/>
      <c r="AJ336" s="1290"/>
      <c r="AK336" s="1290"/>
      <c r="AL336" s="1290"/>
      <c r="AM336" s="1290"/>
      <c r="AN336" s="1290"/>
      <c r="AO336" s="1290"/>
      <c r="AP336" s="1290"/>
      <c r="AQ336" s="1290"/>
      <c r="AR336" s="1290"/>
      <c r="AS336" s="1290"/>
      <c r="AT336" s="1290"/>
      <c r="AU336" s="1290"/>
      <c r="AV336" s="1290"/>
      <c r="AW336" s="1290"/>
      <c r="AX336" s="1290">
        <f t="shared" ref="AX336:BI336" si="55">AX21+AX62+AX63</f>
        <v>0</v>
      </c>
      <c r="AY336" s="1290">
        <f t="shared" ca="1" si="55"/>
        <v>3938.870702431258</v>
      </c>
      <c r="AZ336" s="1290"/>
      <c r="BA336" s="1290">
        <f t="shared" ca="1" si="55"/>
        <v>4904.5677325703546</v>
      </c>
      <c r="BB336" s="1290">
        <f t="shared" ca="1" si="55"/>
        <v>6548.1457293668154</v>
      </c>
      <c r="BC336" s="1290">
        <f t="shared" ca="1" si="55"/>
        <v>8682.9841023907975</v>
      </c>
      <c r="BD336" s="1290">
        <f t="shared" ca="1" si="55"/>
        <v>11209.116969724815</v>
      </c>
      <c r="BE336" s="1290">
        <f t="shared" ca="1" si="55"/>
        <v>14238.605478599175</v>
      </c>
      <c r="BF336" s="1290">
        <f t="shared" ca="1" si="55"/>
        <v>17350.063285247772</v>
      </c>
      <c r="BG336" s="1290">
        <f t="shared" ca="1" si="55"/>
        <v>20544.551565330505</v>
      </c>
      <c r="BH336" s="1290">
        <f t="shared" ca="1" si="55"/>
        <v>23679.361325251186</v>
      </c>
      <c r="BI336" s="1290">
        <f t="shared" ca="1" si="55"/>
        <v>27071.520924120727</v>
      </c>
      <c r="BJ336" s="1287"/>
    </row>
    <row r="337" spans="2:65">
      <c r="B337" s="1284"/>
      <c r="C337" s="1285"/>
      <c r="D337" s="1285"/>
      <c r="E337" s="1285"/>
      <c r="F337" s="1290"/>
      <c r="G337" s="1290"/>
      <c r="H337" s="1290"/>
      <c r="I337" s="1290"/>
      <c r="J337" s="1290"/>
      <c r="K337" s="1290"/>
      <c r="L337" s="1290"/>
      <c r="M337" s="1290"/>
      <c r="N337" s="1290"/>
      <c r="O337" s="1290"/>
      <c r="P337" s="1290"/>
      <c r="Q337" s="1290"/>
      <c r="R337" s="1290"/>
      <c r="S337" s="1290"/>
      <c r="T337" s="1290"/>
      <c r="U337" s="1290"/>
      <c r="V337" s="1290"/>
      <c r="W337" s="1290"/>
      <c r="X337" s="1290"/>
      <c r="Y337" s="1290"/>
      <c r="Z337" s="1290"/>
      <c r="AA337" s="1290"/>
      <c r="AB337" s="1290"/>
      <c r="AC337" s="1290"/>
      <c r="AD337" s="1290"/>
      <c r="AE337" s="1290"/>
      <c r="AF337" s="1290"/>
      <c r="AG337" s="1290"/>
      <c r="AH337" s="1290"/>
      <c r="AI337" s="1290"/>
      <c r="AJ337" s="1290"/>
      <c r="AK337" s="1290"/>
      <c r="AL337" s="1290"/>
      <c r="AM337" s="1290"/>
      <c r="AN337" s="1290"/>
      <c r="AO337" s="1290"/>
      <c r="AP337" s="1290"/>
      <c r="AQ337" s="1290"/>
      <c r="AR337" s="1290"/>
      <c r="AS337" s="1290"/>
      <c r="AT337" s="1290"/>
      <c r="AU337" s="1290"/>
      <c r="AV337" s="1290"/>
      <c r="AW337" s="1290"/>
      <c r="AX337" s="1290"/>
      <c r="AY337" s="1290"/>
      <c r="AZ337" s="1290"/>
      <c r="BA337" s="1290"/>
      <c r="BB337" s="1290"/>
      <c r="BC337" s="1290"/>
      <c r="BD337" s="1290"/>
      <c r="BE337" s="1290"/>
      <c r="BF337" s="1290"/>
      <c r="BG337" s="1290"/>
      <c r="BH337" s="1290"/>
      <c r="BI337" s="1290"/>
      <c r="BJ337" s="1287"/>
    </row>
    <row r="338" spans="2:65">
      <c r="B338" s="1284"/>
      <c r="F338" s="310"/>
      <c r="G338" s="310"/>
      <c r="H338" s="310"/>
      <c r="I338" s="310"/>
      <c r="J338" s="310"/>
      <c r="K338" s="310"/>
      <c r="L338" s="310"/>
      <c r="M338" s="310"/>
      <c r="N338" s="310"/>
      <c r="O338" s="310"/>
      <c r="P338" s="310"/>
      <c r="Q338" s="310"/>
      <c r="R338" s="310"/>
      <c r="S338" s="310"/>
      <c r="T338" s="310"/>
      <c r="U338" s="310"/>
      <c r="V338" s="310"/>
      <c r="W338" s="310"/>
      <c r="X338" s="310"/>
      <c r="Y338" s="310"/>
      <c r="Z338" s="310"/>
      <c r="AA338" s="310"/>
      <c r="AB338" s="310"/>
      <c r="AC338" s="310"/>
      <c r="AD338" s="310"/>
      <c r="AE338" s="310"/>
      <c r="AF338" s="310"/>
      <c r="AG338" s="310"/>
      <c r="AH338" s="310"/>
      <c r="AI338" s="310"/>
      <c r="AJ338" s="310"/>
      <c r="AK338" s="310"/>
      <c r="AL338" s="310"/>
      <c r="AM338" s="310"/>
      <c r="AN338" s="310"/>
      <c r="AO338" s="310"/>
      <c r="AP338" s="310"/>
      <c r="AQ338" s="310"/>
      <c r="AR338" s="310"/>
      <c r="AS338" s="310"/>
      <c r="AT338" s="310"/>
      <c r="AU338" s="310"/>
      <c r="AV338" s="310"/>
      <c r="AW338" s="310"/>
      <c r="AX338" s="310"/>
      <c r="AY338" s="310"/>
      <c r="AZ338" s="310"/>
      <c r="BA338" s="310"/>
      <c r="BB338" s="310"/>
      <c r="BC338" s="310"/>
      <c r="BD338" s="310"/>
      <c r="BE338" s="310"/>
      <c r="BF338" s="310"/>
      <c r="BG338" s="310"/>
      <c r="BH338" s="310"/>
      <c r="BI338" s="310"/>
    </row>
    <row r="339" spans="2:65" ht="15.75">
      <c r="B339" s="1276" t="s">
        <v>1193</v>
      </c>
      <c r="C339" s="1277"/>
      <c r="D339" s="1277"/>
      <c r="E339" s="1277"/>
      <c r="F339" s="1277"/>
      <c r="G339" s="1277"/>
      <c r="H339" s="1277"/>
      <c r="I339" s="1277"/>
      <c r="J339" s="1277"/>
      <c r="K339" s="1277"/>
      <c r="L339" s="1277"/>
      <c r="M339" s="1277"/>
      <c r="N339" s="1277"/>
      <c r="O339" s="1277"/>
      <c r="P339" s="1277"/>
      <c r="Q339" s="1277"/>
      <c r="R339" s="1277"/>
      <c r="S339" s="1277"/>
      <c r="T339" s="1277"/>
      <c r="U339" s="1277"/>
      <c r="V339" s="1277"/>
      <c r="W339" s="1277"/>
      <c r="X339" s="1277"/>
      <c r="Y339" s="1277"/>
      <c r="Z339" s="1277"/>
      <c r="AA339" s="1277"/>
      <c r="AB339" s="1277"/>
      <c r="AC339" s="1277"/>
      <c r="AD339" s="1277"/>
      <c r="AE339" s="1277"/>
      <c r="AF339" s="1277"/>
      <c r="AG339" s="1277"/>
      <c r="AH339" s="1277"/>
      <c r="AI339" s="1277"/>
      <c r="AJ339" s="1277"/>
      <c r="AK339" s="1277"/>
      <c r="AL339" s="1277"/>
      <c r="AM339" s="1277"/>
      <c r="AN339" s="1277"/>
      <c r="AO339" s="1277"/>
      <c r="AP339" s="1277"/>
      <c r="AQ339" s="1277"/>
      <c r="AR339" s="1277"/>
      <c r="AS339" s="1277"/>
      <c r="AT339" s="1277"/>
      <c r="AU339" s="1277"/>
      <c r="AV339" s="1277"/>
      <c r="AW339" s="1277"/>
      <c r="AX339" s="1277"/>
      <c r="AY339" s="1278"/>
      <c r="AZ339" s="1278"/>
      <c r="BA339" s="1278"/>
      <c r="BB339" s="1278"/>
      <c r="BC339" s="1278"/>
      <c r="BD339" s="1278"/>
      <c r="BE339" s="1278"/>
      <c r="BF339" s="1278"/>
      <c r="BG339" s="1278"/>
      <c r="BH339" s="1278"/>
      <c r="BI339" s="1278"/>
      <c r="BJ339" s="1279"/>
    </row>
    <row r="340" spans="2:65">
      <c r="C340" s="1281"/>
      <c r="D340" s="1281"/>
      <c r="E340" s="1281"/>
      <c r="F340" s="1281"/>
      <c r="G340" s="1281"/>
      <c r="H340" s="1281"/>
      <c r="I340" s="1281"/>
      <c r="J340" s="1281"/>
      <c r="K340" s="1281"/>
      <c r="L340" s="1281"/>
      <c r="M340" s="1281"/>
      <c r="N340" s="1281"/>
      <c r="O340" s="1281"/>
      <c r="P340" s="1281"/>
      <c r="Q340" s="1281"/>
      <c r="R340" s="1281"/>
      <c r="S340" s="1281"/>
      <c r="T340" s="1281"/>
      <c r="U340" s="1281"/>
      <c r="V340" s="1281"/>
      <c r="W340" s="1281"/>
      <c r="X340" s="1281"/>
      <c r="Y340" s="1281"/>
      <c r="Z340" s="1281"/>
      <c r="AA340" s="1281"/>
      <c r="AB340" s="1281"/>
      <c r="AC340" s="1281"/>
      <c r="AD340" s="1281"/>
      <c r="AE340" s="1281"/>
      <c r="AF340" s="1281"/>
      <c r="AG340" s="1281"/>
      <c r="AH340" s="1281"/>
      <c r="AI340" s="1281"/>
      <c r="AJ340" s="1281"/>
      <c r="AK340" s="1281"/>
      <c r="AL340" s="1281"/>
      <c r="AM340" s="1281"/>
      <c r="AN340" s="1281"/>
      <c r="AO340" s="1281"/>
      <c r="AP340" s="1281"/>
      <c r="AQ340" s="1281"/>
      <c r="AR340" s="1281"/>
      <c r="AS340" s="1281"/>
      <c r="AT340" s="1281"/>
      <c r="AU340" s="1281"/>
      <c r="AV340" s="1281"/>
      <c r="AW340" s="1281"/>
      <c r="AX340" s="1281"/>
      <c r="AY340" s="1282"/>
      <c r="AZ340" s="1282"/>
      <c r="BA340" s="1282"/>
      <c r="BB340" s="1282"/>
      <c r="BC340" s="1282"/>
      <c r="BD340" s="1282"/>
      <c r="BE340" s="1282"/>
      <c r="BF340" s="1282"/>
      <c r="BG340" s="1282"/>
      <c r="BH340" s="1282"/>
      <c r="BI340" s="1282"/>
      <c r="BJ340" s="1283"/>
    </row>
    <row r="341" spans="2:65" ht="15.75">
      <c r="B341" s="1276"/>
      <c r="C341" s="1292" t="s">
        <v>34</v>
      </c>
      <c r="D341" s="1293"/>
      <c r="E341" s="1288"/>
      <c r="F341" s="1294"/>
      <c r="G341" s="1294"/>
      <c r="H341" s="1294"/>
      <c r="I341" s="1294"/>
      <c r="J341" s="1294"/>
      <c r="K341" s="1294"/>
      <c r="L341" s="1294"/>
      <c r="M341" s="1294"/>
      <c r="N341" s="1294"/>
      <c r="O341" s="1294"/>
      <c r="P341" s="1294"/>
      <c r="Q341" s="1294"/>
      <c r="R341" s="1294"/>
      <c r="S341" s="1294"/>
      <c r="T341" s="1294"/>
      <c r="U341" s="1294"/>
      <c r="V341" s="1294"/>
      <c r="W341" s="1294"/>
      <c r="X341" s="1294"/>
      <c r="Y341" s="1294"/>
      <c r="Z341" s="1294"/>
      <c r="AA341" s="1294"/>
      <c r="AB341" s="1294"/>
      <c r="AC341" s="1294"/>
      <c r="AD341" s="1294"/>
      <c r="AE341" s="1294"/>
      <c r="AF341" s="1294"/>
      <c r="AG341" s="1294"/>
      <c r="AH341" s="1294"/>
      <c r="AI341" s="1294"/>
      <c r="AJ341" s="1294"/>
      <c r="AK341" s="1294"/>
      <c r="AL341" s="1294"/>
      <c r="AM341" s="1294"/>
      <c r="AN341" s="1294"/>
      <c r="AO341" s="1294"/>
      <c r="AP341" s="1294"/>
      <c r="AQ341" s="1294"/>
      <c r="AR341" s="1294"/>
      <c r="AS341" s="1294"/>
      <c r="AT341" s="1294"/>
      <c r="AU341" s="1294"/>
      <c r="AV341" s="1294"/>
      <c r="AW341" s="1294"/>
      <c r="AX341" s="1294"/>
      <c r="AY341" s="2410" t="s">
        <v>203</v>
      </c>
      <c r="AZ341" s="2410"/>
      <c r="BA341" s="2410" t="s">
        <v>712</v>
      </c>
      <c r="BB341" s="2410" t="s">
        <v>713</v>
      </c>
      <c r="BC341" s="2410" t="s">
        <v>714</v>
      </c>
      <c r="BD341" s="2410" t="s">
        <v>715</v>
      </c>
      <c r="BE341" s="2410" t="s">
        <v>716</v>
      </c>
      <c r="BF341" s="2410" t="s">
        <v>717</v>
      </c>
      <c r="BG341" s="2410" t="s">
        <v>718</v>
      </c>
      <c r="BH341" s="2410" t="s">
        <v>719</v>
      </c>
      <c r="BI341" s="2411" t="s">
        <v>720</v>
      </c>
      <c r="BJ341" s="1287" t="str">
        <f>preferences.energyunits</f>
        <v>TWh</v>
      </c>
    </row>
    <row r="342" spans="2:65" ht="4.5" customHeight="1">
      <c r="B342" s="1280"/>
      <c r="C342" s="1288"/>
      <c r="D342" s="1285"/>
      <c r="E342" s="1285"/>
      <c r="F342" s="1286"/>
      <c r="G342" s="1286"/>
      <c r="H342" s="1286"/>
      <c r="I342" s="1286"/>
      <c r="J342" s="1286"/>
      <c r="K342" s="1286"/>
      <c r="L342" s="1286"/>
      <c r="M342" s="1286"/>
      <c r="N342" s="1286"/>
      <c r="O342" s="1286"/>
      <c r="P342" s="1286"/>
      <c r="Q342" s="1286"/>
      <c r="R342" s="1286"/>
      <c r="S342" s="1286"/>
      <c r="T342" s="1286"/>
      <c r="U342" s="1286"/>
      <c r="V342" s="1286"/>
      <c r="W342" s="1286"/>
      <c r="X342" s="1286"/>
      <c r="Y342" s="1286"/>
      <c r="Z342" s="1286"/>
      <c r="AA342" s="1286"/>
      <c r="AB342" s="1286"/>
      <c r="AC342" s="1286"/>
      <c r="AD342" s="1286"/>
      <c r="AE342" s="1286"/>
      <c r="AF342" s="1286"/>
      <c r="AG342" s="1286"/>
      <c r="AH342" s="1286"/>
      <c r="AI342" s="1286"/>
      <c r="AJ342" s="1286"/>
      <c r="AK342" s="1286"/>
      <c r="AL342" s="1286"/>
      <c r="AM342" s="1286"/>
      <c r="AN342" s="1286"/>
      <c r="AO342" s="1286"/>
      <c r="AP342" s="1286"/>
      <c r="AQ342" s="1286"/>
      <c r="AR342" s="1286"/>
      <c r="AS342" s="1286"/>
      <c r="AT342" s="1286"/>
      <c r="AU342" s="1286"/>
      <c r="AV342" s="1286"/>
      <c r="AW342" s="1286"/>
      <c r="AX342" s="1286"/>
      <c r="AY342" s="1286"/>
      <c r="AZ342" s="1286"/>
      <c r="BA342" s="1286"/>
      <c r="BB342" s="1286"/>
      <c r="BC342" s="1286"/>
      <c r="BD342" s="1286"/>
      <c r="BE342" s="1286"/>
      <c r="BF342" s="1286"/>
      <c r="BG342" s="1286"/>
      <c r="BH342" s="1286"/>
      <c r="BI342" s="1286"/>
      <c r="BJ342" s="1287"/>
    </row>
    <row r="343" spans="2:65">
      <c r="B343" s="1284"/>
      <c r="C343" s="1296" t="s">
        <v>300</v>
      </c>
      <c r="D343" s="1296" t="str">
        <f>INDEX(Modules[Module], MATCH($C343, Modules[Code], 0))</f>
        <v>Domestic Lighting &amp; Appliances</v>
      </c>
      <c r="E343" s="1297"/>
      <c r="F343" s="1298"/>
      <c r="G343" s="1298"/>
      <c r="H343" s="1298"/>
      <c r="I343" s="1298"/>
      <c r="J343" s="1298"/>
      <c r="K343" s="1298"/>
      <c r="L343" s="1298"/>
      <c r="M343" s="1298"/>
      <c r="N343" s="1298"/>
      <c r="O343" s="1298"/>
      <c r="P343" s="1298"/>
      <c r="Q343" s="1298"/>
      <c r="R343" s="1298"/>
      <c r="S343" s="1298"/>
      <c r="T343" s="1298"/>
      <c r="U343" s="1298"/>
      <c r="V343" s="1298"/>
      <c r="W343" s="1298"/>
      <c r="X343" s="1298"/>
      <c r="Y343" s="1298"/>
      <c r="Z343" s="1298"/>
      <c r="AA343" s="1298"/>
      <c r="AB343" s="1298"/>
      <c r="AC343" s="1298"/>
      <c r="AD343" s="1298"/>
      <c r="AE343" s="1298"/>
      <c r="AF343" s="1298"/>
      <c r="AG343" s="1298"/>
      <c r="AH343" s="1298"/>
      <c r="AI343" s="1298"/>
      <c r="AJ343" s="1298"/>
      <c r="AK343" s="1298"/>
      <c r="AL343" s="1298"/>
      <c r="AM343" s="1298"/>
      <c r="AN343" s="1298"/>
      <c r="AO343" s="1298"/>
      <c r="AP343" s="1298"/>
      <c r="AQ343" s="1298"/>
      <c r="AR343" s="1298"/>
      <c r="AS343" s="1298"/>
      <c r="AT343" s="1298"/>
      <c r="AU343" s="1298"/>
      <c r="AV343" s="1298"/>
      <c r="AW343" s="1298"/>
      <c r="AX343" s="1297"/>
      <c r="AY343" s="368">
        <f t="shared" ref="AY343:BI355" ca="1" si="56">-INDEX(INDIRECT($C343&amp;".Outputs["&amp;AY$341&amp;"]"),MATCH($C$341,INDIRECT($C343&amp;".Outputs[Vector]"),0))</f>
        <v>117.75237224936291</v>
      </c>
      <c r="AZ343" s="368"/>
      <c r="BA343" s="368">
        <f t="shared" ca="1" si="56"/>
        <v>162.82294056639219</v>
      </c>
      <c r="BB343" s="368">
        <f t="shared" ca="1" si="56"/>
        <v>294.19783287152961</v>
      </c>
      <c r="BC343" s="368">
        <f t="shared" ca="1" si="56"/>
        <v>491.61145515036219</v>
      </c>
      <c r="BD343" s="368">
        <f t="shared" ca="1" si="56"/>
        <v>770.89941292875449</v>
      </c>
      <c r="BE343" s="368">
        <f t="shared" ca="1" si="56"/>
        <v>1157.9120424167459</v>
      </c>
      <c r="BF343" s="368">
        <f t="shared" ca="1" si="56"/>
        <v>1452.2441557318687</v>
      </c>
      <c r="BG343" s="368">
        <f t="shared" ca="1" si="56"/>
        <v>1803.3634131162555</v>
      </c>
      <c r="BH343" s="368">
        <f t="shared" ca="1" si="56"/>
        <v>2203.8937916546888</v>
      </c>
      <c r="BI343" s="368">
        <f t="shared" ca="1" si="56"/>
        <v>2671.8455088986316</v>
      </c>
      <c r="BJ343" s="1287"/>
      <c r="BL343" s="260"/>
      <c r="BM343" s="260"/>
    </row>
    <row r="344" spans="2:65">
      <c r="B344" s="1284"/>
      <c r="C344" s="1296" t="s">
        <v>301</v>
      </c>
      <c r="D344" s="1296" t="str">
        <f>INDEX(Modules[Module], MATCH($C344, Modules[Code], 0))</f>
        <v>Commercial Lighting &amp; Appliances</v>
      </c>
      <c r="E344" s="1297"/>
      <c r="F344" s="1298"/>
      <c r="G344" s="1298"/>
      <c r="H344" s="1298"/>
      <c r="I344" s="1298"/>
      <c r="J344" s="1298"/>
      <c r="K344" s="1298"/>
      <c r="L344" s="1298"/>
      <c r="M344" s="1298"/>
      <c r="N344" s="1298"/>
      <c r="O344" s="1298"/>
      <c r="P344" s="1298"/>
      <c r="Q344" s="1298"/>
      <c r="R344" s="1298"/>
      <c r="S344" s="1298"/>
      <c r="T344" s="1298"/>
      <c r="U344" s="1298"/>
      <c r="V344" s="1298"/>
      <c r="W344" s="1298"/>
      <c r="X344" s="1298"/>
      <c r="Y344" s="1298"/>
      <c r="Z344" s="1298"/>
      <c r="AA344" s="1298"/>
      <c r="AB344" s="1298"/>
      <c r="AC344" s="1298"/>
      <c r="AD344" s="1298"/>
      <c r="AE344" s="1298"/>
      <c r="AF344" s="1298"/>
      <c r="AG344" s="1298"/>
      <c r="AH344" s="1298"/>
      <c r="AI344" s="1298"/>
      <c r="AJ344" s="1298"/>
      <c r="AK344" s="1298"/>
      <c r="AL344" s="1298"/>
      <c r="AM344" s="1298"/>
      <c r="AN344" s="1298"/>
      <c r="AO344" s="1298"/>
      <c r="AP344" s="1298"/>
      <c r="AQ344" s="1298"/>
      <c r="AR344" s="1298"/>
      <c r="AS344" s="1298"/>
      <c r="AT344" s="1298"/>
      <c r="AU344" s="1298"/>
      <c r="AV344" s="1298"/>
      <c r="AW344" s="1298"/>
      <c r="AX344" s="1297"/>
      <c r="AY344" s="368">
        <f t="shared" ca="1" si="56"/>
        <v>69.818571670709545</v>
      </c>
      <c r="AZ344" s="368"/>
      <c r="BA344" s="368">
        <f t="shared" ca="1" si="56"/>
        <v>69.818518207485297</v>
      </c>
      <c r="BB344" s="368">
        <f t="shared" ca="1" si="56"/>
        <v>115.39506380103352</v>
      </c>
      <c r="BC344" s="368">
        <f t="shared" ca="1" si="56"/>
        <v>190.74035461227521</v>
      </c>
      <c r="BD344" s="368">
        <f t="shared" ca="1" si="56"/>
        <v>315.3108276463584</v>
      </c>
      <c r="BE344" s="368">
        <f t="shared" ca="1" si="56"/>
        <v>521.28261048106583</v>
      </c>
      <c r="BF344" s="368">
        <f t="shared" ca="1" si="56"/>
        <v>689.40510635890666</v>
      </c>
      <c r="BG344" s="368">
        <f t="shared" ca="1" si="56"/>
        <v>911.74990255642501</v>
      </c>
      <c r="BH344" s="368">
        <f t="shared" ca="1" si="56"/>
        <v>970.17528463991505</v>
      </c>
      <c r="BI344" s="368">
        <f t="shared" ca="1" si="56"/>
        <v>1032.3445308366922</v>
      </c>
      <c r="BJ344" s="1287"/>
      <c r="BL344" s="260"/>
      <c r="BM344" s="260"/>
    </row>
    <row r="345" spans="2:65">
      <c r="B345" s="1284"/>
      <c r="C345" s="1296" t="s">
        <v>282</v>
      </c>
      <c r="D345" s="1296" t="str">
        <f>INDEX(Modules[Module], MATCH($C345, Modules[Code], 0))</f>
        <v>Domestic passenger transport</v>
      </c>
      <c r="E345" s="1297"/>
      <c r="F345" s="1298"/>
      <c r="G345" s="1298"/>
      <c r="H345" s="1298"/>
      <c r="I345" s="1298"/>
      <c r="J345" s="1298"/>
      <c r="K345" s="1298"/>
      <c r="L345" s="1298"/>
      <c r="M345" s="1298"/>
      <c r="N345" s="1298"/>
      <c r="O345" s="1298"/>
      <c r="P345" s="1298"/>
      <c r="Q345" s="1298"/>
      <c r="R345" s="1298"/>
      <c r="S345" s="1298"/>
      <c r="T345" s="1298"/>
      <c r="U345" s="1298"/>
      <c r="V345" s="1298"/>
      <c r="W345" s="1298"/>
      <c r="X345" s="1298"/>
      <c r="Y345" s="1298"/>
      <c r="Z345" s="1298"/>
      <c r="AA345" s="1298"/>
      <c r="AB345" s="1298"/>
      <c r="AC345" s="1298"/>
      <c r="AD345" s="1298"/>
      <c r="AE345" s="1298"/>
      <c r="AF345" s="1298"/>
      <c r="AG345" s="1298"/>
      <c r="AH345" s="1298"/>
      <c r="AI345" s="1298"/>
      <c r="AJ345" s="1298"/>
      <c r="AK345" s="1298"/>
      <c r="AL345" s="1298"/>
      <c r="AM345" s="1298"/>
      <c r="AN345" s="1298"/>
      <c r="AO345" s="1298"/>
      <c r="AP345" s="1298"/>
      <c r="AQ345" s="1298"/>
      <c r="AR345" s="1298"/>
      <c r="AS345" s="1298"/>
      <c r="AT345" s="1298"/>
      <c r="AU345" s="1298"/>
      <c r="AV345" s="1298"/>
      <c r="AW345" s="1298"/>
      <c r="AX345" s="1297"/>
      <c r="AY345" s="368">
        <f t="shared" ca="1" si="56"/>
        <v>7.8045578920344294</v>
      </c>
      <c r="AZ345" s="368"/>
      <c r="BA345" s="368">
        <f t="shared" ca="1" si="56"/>
        <v>7.8045578920344294</v>
      </c>
      <c r="BB345" s="368">
        <f t="shared" ca="1" si="56"/>
        <v>9.9812057374247392</v>
      </c>
      <c r="BC345" s="368">
        <f t="shared" ca="1" si="56"/>
        <v>12.677744583468431</v>
      </c>
      <c r="BD345" s="368">
        <f t="shared" ca="1" si="56"/>
        <v>15.183119042462815</v>
      </c>
      <c r="BE345" s="368">
        <f t="shared" ca="1" si="56"/>
        <v>17.97800145980359</v>
      </c>
      <c r="BF345" s="368">
        <f t="shared" ca="1" si="56"/>
        <v>20.996398618954622</v>
      </c>
      <c r="BG345" s="368">
        <f t="shared" ca="1" si="56"/>
        <v>23.918000610343412</v>
      </c>
      <c r="BH345" s="368">
        <f t="shared" ca="1" si="56"/>
        <v>26.470016839940651</v>
      </c>
      <c r="BI345" s="368">
        <f t="shared" ca="1" si="56"/>
        <v>28.239990009727272</v>
      </c>
      <c r="BJ345" s="1287"/>
      <c r="BL345" s="260"/>
      <c r="BM345" s="260"/>
    </row>
    <row r="346" spans="2:65">
      <c r="B346" s="1284"/>
      <c r="C346" s="1296" t="s">
        <v>294</v>
      </c>
      <c r="D346" s="1296" t="str">
        <f>INDEX(Modules[Module], MATCH($C346, Modules[Code], 0))</f>
        <v>Domestic freight</v>
      </c>
      <c r="E346" s="1297"/>
      <c r="F346" s="1298"/>
      <c r="G346" s="1298"/>
      <c r="H346" s="1298"/>
      <c r="I346" s="1298"/>
      <c r="J346" s="1298"/>
      <c r="K346" s="1298"/>
      <c r="L346" s="1298"/>
      <c r="M346" s="1298"/>
      <c r="N346" s="1298"/>
      <c r="O346" s="1298"/>
      <c r="P346" s="1298"/>
      <c r="Q346" s="1298"/>
      <c r="R346" s="1298"/>
      <c r="S346" s="1298"/>
      <c r="T346" s="1298"/>
      <c r="U346" s="1298"/>
      <c r="V346" s="1298"/>
      <c r="W346" s="1298"/>
      <c r="X346" s="1298"/>
      <c r="Y346" s="1298"/>
      <c r="Z346" s="1298"/>
      <c r="AA346" s="1298"/>
      <c r="AB346" s="1298"/>
      <c r="AC346" s="1298"/>
      <c r="AD346" s="1298"/>
      <c r="AE346" s="1298"/>
      <c r="AF346" s="1298"/>
      <c r="AG346" s="1298"/>
      <c r="AH346" s="1298"/>
      <c r="AI346" s="1298"/>
      <c r="AJ346" s="1298"/>
      <c r="AK346" s="1298"/>
      <c r="AL346" s="1298"/>
      <c r="AM346" s="1298"/>
      <c r="AN346" s="1298"/>
      <c r="AO346" s="1298"/>
      <c r="AP346" s="1298"/>
      <c r="AQ346" s="1298"/>
      <c r="AR346" s="1298"/>
      <c r="AS346" s="1298"/>
      <c r="AT346" s="1298"/>
      <c r="AU346" s="1298"/>
      <c r="AV346" s="1298"/>
      <c r="AW346" s="1298"/>
      <c r="AX346" s="1297"/>
      <c r="AY346" s="368">
        <f t="shared" ca="1" si="56"/>
        <v>6.3710415000000058</v>
      </c>
      <c r="AZ346" s="368"/>
      <c r="BA346" s="368">
        <f t="shared" ca="1" si="56"/>
        <v>6.3710415000000058</v>
      </c>
      <c r="BB346" s="368">
        <f t="shared" ca="1" si="56"/>
        <v>9.4068797025169406</v>
      </c>
      <c r="BC346" s="368">
        <f t="shared" ca="1" si="56"/>
        <v>13.140797584316113</v>
      </c>
      <c r="BD346" s="368">
        <f t="shared" ca="1" si="56"/>
        <v>17.610110958084224</v>
      </c>
      <c r="BE346" s="368">
        <f t="shared" ca="1" si="56"/>
        <v>22.892634286083435</v>
      </c>
      <c r="BF346" s="368">
        <f t="shared" ca="1" si="56"/>
        <v>28.404926019576415</v>
      </c>
      <c r="BG346" s="368">
        <f t="shared" ca="1" si="56"/>
        <v>30.876418737637415</v>
      </c>
      <c r="BH346" s="368">
        <f t="shared" ca="1" si="56"/>
        <v>33.484784986368169</v>
      </c>
      <c r="BI346" s="368">
        <f t="shared" ca="1" si="56"/>
        <v>35.946658228245852</v>
      </c>
      <c r="BJ346" s="1287"/>
      <c r="BL346" s="260"/>
      <c r="BM346" s="260"/>
    </row>
    <row r="347" spans="2:65">
      <c r="B347" s="1284"/>
      <c r="C347" s="1296" t="s">
        <v>298</v>
      </c>
      <c r="D347" s="1296" t="str">
        <f>INDEX(Modules[Module], MATCH($C347, Modules[Code], 0))</f>
        <v>Domestic Cooking</v>
      </c>
      <c r="E347" s="1297"/>
      <c r="F347" s="1298"/>
      <c r="G347" s="1298"/>
      <c r="H347" s="1298"/>
      <c r="I347" s="1298"/>
      <c r="J347" s="1298"/>
      <c r="K347" s="1298"/>
      <c r="L347" s="1298"/>
      <c r="M347" s="1298"/>
      <c r="N347" s="1298"/>
      <c r="O347" s="1298"/>
      <c r="P347" s="1298"/>
      <c r="Q347" s="1298"/>
      <c r="R347" s="1298"/>
      <c r="S347" s="1298"/>
      <c r="T347" s="1298"/>
      <c r="U347" s="1298"/>
      <c r="V347" s="1298"/>
      <c r="W347" s="1298"/>
      <c r="X347" s="1298"/>
      <c r="Y347" s="1298"/>
      <c r="Z347" s="1298"/>
      <c r="AA347" s="1298"/>
      <c r="AB347" s="1298"/>
      <c r="AC347" s="1298"/>
      <c r="AD347" s="1298"/>
      <c r="AE347" s="1298"/>
      <c r="AF347" s="1298"/>
      <c r="AG347" s="1298"/>
      <c r="AH347" s="1298"/>
      <c r="AI347" s="1298"/>
      <c r="AJ347" s="1298"/>
      <c r="AK347" s="1298"/>
      <c r="AL347" s="1298"/>
      <c r="AM347" s="1298"/>
      <c r="AN347" s="1298"/>
      <c r="AO347" s="1298"/>
      <c r="AP347" s="1298"/>
      <c r="AQ347" s="1298"/>
      <c r="AR347" s="1298"/>
      <c r="AS347" s="1298"/>
      <c r="AT347" s="1298"/>
      <c r="AU347" s="1298"/>
      <c r="AV347" s="1298"/>
      <c r="AW347" s="1298"/>
      <c r="AX347" s="1297"/>
      <c r="AY347" s="368">
        <f t="shared" ca="1" si="56"/>
        <v>0.30660334104356374</v>
      </c>
      <c r="AZ347" s="368"/>
      <c r="BA347" s="368">
        <f t="shared" ca="1" si="56"/>
        <v>0.40568124773609537</v>
      </c>
      <c r="BB347" s="368">
        <f t="shared" ca="1" si="56"/>
        <v>1.9119107308416539</v>
      </c>
      <c r="BC347" s="368">
        <f t="shared" ca="1" si="56"/>
        <v>3.0737404888957927</v>
      </c>
      <c r="BD347" s="368">
        <f t="shared" ca="1" si="56"/>
        <v>5.9878453050571316</v>
      </c>
      <c r="BE347" s="368">
        <f t="shared" ca="1" si="56"/>
        <v>10.924338830969084</v>
      </c>
      <c r="BF347" s="368">
        <f t="shared" ca="1" si="56"/>
        <v>14.605179460099949</v>
      </c>
      <c r="BG347" s="368">
        <f t="shared" ca="1" si="56"/>
        <v>19.221420721203312</v>
      </c>
      <c r="BH347" s="368">
        <f t="shared" ca="1" si="56"/>
        <v>25.37842895536987</v>
      </c>
      <c r="BI347" s="368">
        <f t="shared" ca="1" si="56"/>
        <v>29.2476501509129</v>
      </c>
      <c r="BJ347" s="1287"/>
      <c r="BL347" s="260"/>
      <c r="BM347" s="260"/>
    </row>
    <row r="348" spans="2:65">
      <c r="B348" s="1284"/>
      <c r="C348" s="1296" t="s">
        <v>1083</v>
      </c>
      <c r="D348" s="1296" t="str">
        <f>INDEX(Modules[Module], MATCH($C348, Modules[Code], 0))</f>
        <v>Commercial Cooking</v>
      </c>
      <c r="E348" s="1297"/>
      <c r="F348" s="1298"/>
      <c r="G348" s="1298"/>
      <c r="H348" s="1298"/>
      <c r="I348" s="1298"/>
      <c r="J348" s="1298"/>
      <c r="K348" s="1298"/>
      <c r="L348" s="1298"/>
      <c r="M348" s="1298"/>
      <c r="N348" s="1298"/>
      <c r="O348" s="1298"/>
      <c r="P348" s="1298"/>
      <c r="Q348" s="1298"/>
      <c r="R348" s="1298"/>
      <c r="S348" s="1298"/>
      <c r="T348" s="1298"/>
      <c r="U348" s="1298"/>
      <c r="V348" s="1298"/>
      <c r="W348" s="1298"/>
      <c r="X348" s="1298"/>
      <c r="Y348" s="1298"/>
      <c r="Z348" s="1298"/>
      <c r="AA348" s="1298"/>
      <c r="AB348" s="1298"/>
      <c r="AC348" s="1298"/>
      <c r="AD348" s="1298"/>
      <c r="AE348" s="1298"/>
      <c r="AF348" s="1298"/>
      <c r="AG348" s="1298"/>
      <c r="AH348" s="1298"/>
      <c r="AI348" s="1298"/>
      <c r="AJ348" s="1298"/>
      <c r="AK348" s="1298"/>
      <c r="AL348" s="1298"/>
      <c r="AM348" s="1298"/>
      <c r="AN348" s="1298"/>
      <c r="AO348" s="1298"/>
      <c r="AP348" s="1298"/>
      <c r="AQ348" s="1298"/>
      <c r="AR348" s="1298"/>
      <c r="AS348" s="1298"/>
      <c r="AT348" s="1298"/>
      <c r="AU348" s="1298"/>
      <c r="AV348" s="1298"/>
      <c r="AW348" s="1298"/>
      <c r="AX348" s="1297"/>
      <c r="AY348" s="368">
        <f t="shared" ca="1" si="56"/>
        <v>0</v>
      </c>
      <c r="AZ348" s="368"/>
      <c r="BA348" s="368">
        <f t="shared" ca="1" si="56"/>
        <v>0</v>
      </c>
      <c r="BB348" s="368">
        <f t="shared" ca="1" si="56"/>
        <v>0</v>
      </c>
      <c r="BC348" s="368">
        <f t="shared" ca="1" si="56"/>
        <v>0</v>
      </c>
      <c r="BD348" s="368">
        <f t="shared" ca="1" si="56"/>
        <v>0</v>
      </c>
      <c r="BE348" s="368">
        <f t="shared" ca="1" si="56"/>
        <v>0</v>
      </c>
      <c r="BF348" s="368">
        <f t="shared" ca="1" si="56"/>
        <v>0</v>
      </c>
      <c r="BG348" s="368">
        <f t="shared" ca="1" si="56"/>
        <v>0</v>
      </c>
      <c r="BH348" s="368">
        <f t="shared" ca="1" si="56"/>
        <v>0</v>
      </c>
      <c r="BI348" s="368">
        <f t="shared" ca="1" si="56"/>
        <v>0</v>
      </c>
      <c r="BJ348" s="1287"/>
      <c r="BL348" s="260"/>
      <c r="BM348" s="260"/>
    </row>
    <row r="349" spans="2:65">
      <c r="B349" s="1284"/>
      <c r="C349" s="1296" t="s">
        <v>194</v>
      </c>
      <c r="D349" s="1296" t="s">
        <v>106</v>
      </c>
      <c r="E349" s="1297"/>
      <c r="F349" s="1298"/>
      <c r="G349" s="1298"/>
      <c r="H349" s="1298"/>
      <c r="I349" s="1298"/>
      <c r="J349" s="1298"/>
      <c r="K349" s="1298"/>
      <c r="L349" s="1298"/>
      <c r="M349" s="1298"/>
      <c r="N349" s="1298"/>
      <c r="O349" s="1298"/>
      <c r="P349" s="1298"/>
      <c r="Q349" s="1298"/>
      <c r="R349" s="1298"/>
      <c r="S349" s="1298"/>
      <c r="T349" s="1298"/>
      <c r="U349" s="1298"/>
      <c r="V349" s="1298"/>
      <c r="W349" s="1298"/>
      <c r="X349" s="1298"/>
      <c r="Y349" s="1298"/>
      <c r="Z349" s="1298"/>
      <c r="AA349" s="1298"/>
      <c r="AB349" s="1298"/>
      <c r="AC349" s="1298"/>
      <c r="AD349" s="1298"/>
      <c r="AE349" s="1298"/>
      <c r="AF349" s="1298"/>
      <c r="AG349" s="1298"/>
      <c r="AH349" s="1298"/>
      <c r="AI349" s="1298"/>
      <c r="AJ349" s="1298"/>
      <c r="AK349" s="1298"/>
      <c r="AL349" s="1298"/>
      <c r="AM349" s="1298"/>
      <c r="AN349" s="1298"/>
      <c r="AO349" s="1298"/>
      <c r="AP349" s="1298"/>
      <c r="AQ349" s="1298"/>
      <c r="AR349" s="1298"/>
      <c r="AS349" s="1298"/>
      <c r="AT349" s="1298"/>
      <c r="AU349" s="1298"/>
      <c r="AV349" s="1298"/>
      <c r="AW349" s="1298"/>
      <c r="AX349" s="1297"/>
      <c r="AY349" s="368">
        <f t="shared" ca="1" si="56"/>
        <v>99.549000000000007</v>
      </c>
      <c r="AZ349" s="368"/>
      <c r="BA349" s="368">
        <f t="shared" ca="1" si="56"/>
        <v>135.84360999999998</v>
      </c>
      <c r="BB349" s="368">
        <f t="shared" ca="1" si="56"/>
        <v>188.77501314929791</v>
      </c>
      <c r="BC349" s="368">
        <f t="shared" ca="1" si="56"/>
        <v>262.32571067939568</v>
      </c>
      <c r="BD349" s="368">
        <f t="shared" ca="1" si="56"/>
        <v>335.74068575957824</v>
      </c>
      <c r="BE349" s="368">
        <f t="shared" ca="1" si="56"/>
        <v>428.7780628500808</v>
      </c>
      <c r="BF349" s="368">
        <f t="shared" ca="1" si="56"/>
        <v>506.91064092382578</v>
      </c>
      <c r="BG349" s="368">
        <f t="shared" ca="1" si="56"/>
        <v>599.26784878596698</v>
      </c>
      <c r="BH349" s="368">
        <f t="shared" ca="1" si="56"/>
        <v>658.56749564700988</v>
      </c>
      <c r="BI349" s="368">
        <f t="shared" ca="1" si="56"/>
        <v>723.71929535837114</v>
      </c>
      <c r="BJ349" s="1287"/>
      <c r="BL349" s="260"/>
      <c r="BM349" s="260"/>
    </row>
    <row r="350" spans="2:65">
      <c r="B350" s="1284"/>
      <c r="C350" s="1296" t="s">
        <v>330</v>
      </c>
      <c r="D350" s="1296" t="s">
        <v>1078</v>
      </c>
      <c r="E350" s="1297"/>
      <c r="F350" s="1298"/>
      <c r="G350" s="1298"/>
      <c r="H350" s="1298"/>
      <c r="I350" s="1298"/>
      <c r="J350" s="1298"/>
      <c r="K350" s="1298"/>
      <c r="L350" s="1298"/>
      <c r="M350" s="1298"/>
      <c r="N350" s="1298"/>
      <c r="O350" s="1298"/>
      <c r="P350" s="1298"/>
      <c r="Q350" s="1298"/>
      <c r="R350" s="1298"/>
      <c r="S350" s="1298"/>
      <c r="T350" s="1298"/>
      <c r="U350" s="1298"/>
      <c r="V350" s="1298"/>
      <c r="W350" s="1298"/>
      <c r="X350" s="1298"/>
      <c r="Y350" s="1298"/>
      <c r="Z350" s="1298"/>
      <c r="AA350" s="1298"/>
      <c r="AB350" s="1298"/>
      <c r="AC350" s="1298"/>
      <c r="AD350" s="1298"/>
      <c r="AE350" s="1298"/>
      <c r="AF350" s="1298"/>
      <c r="AG350" s="1298"/>
      <c r="AH350" s="1298"/>
      <c r="AI350" s="1298"/>
      <c r="AJ350" s="1298"/>
      <c r="AK350" s="1298"/>
      <c r="AL350" s="1298"/>
      <c r="AM350" s="1298"/>
      <c r="AN350" s="1298"/>
      <c r="AO350" s="1298"/>
      <c r="AP350" s="1298"/>
      <c r="AQ350" s="1298"/>
      <c r="AR350" s="1298"/>
      <c r="AS350" s="1298"/>
      <c r="AT350" s="1298"/>
      <c r="AU350" s="1298"/>
      <c r="AV350" s="1298"/>
      <c r="AW350" s="1298"/>
      <c r="AX350" s="1297"/>
      <c r="AY350" s="368">
        <f t="shared" ca="1" si="56"/>
        <v>2.3668199999999997</v>
      </c>
      <c r="AZ350" s="368"/>
      <c r="BA350" s="368">
        <f t="shared" ca="1" si="56"/>
        <v>14.091612362999999</v>
      </c>
      <c r="BB350" s="368">
        <f t="shared" ca="1" si="56"/>
        <v>20.064265232180411</v>
      </c>
      <c r="BC350" s="368">
        <f t="shared" ca="1" si="56"/>
        <v>28.249080569317663</v>
      </c>
      <c r="BD350" s="368">
        <f t="shared" ca="1" si="56"/>
        <v>37.448347295363597</v>
      </c>
      <c r="BE350" s="368">
        <f t="shared" ca="1" si="56"/>
        <v>44.542199023321331</v>
      </c>
      <c r="BF350" s="368">
        <f t="shared" ca="1" si="56"/>
        <v>57.224138138960534</v>
      </c>
      <c r="BG350" s="368">
        <f t="shared" ca="1" si="56"/>
        <v>63.627974159380635</v>
      </c>
      <c r="BH350" s="368">
        <f t="shared" ca="1" si="56"/>
        <v>77.413159434842669</v>
      </c>
      <c r="BI350" s="368">
        <f t="shared" ca="1" si="56"/>
        <v>97.952342914769488</v>
      </c>
      <c r="BJ350" s="1287"/>
      <c r="BL350" s="260"/>
      <c r="BM350" s="260"/>
    </row>
    <row r="351" spans="2:65">
      <c r="B351" s="1284"/>
      <c r="C351" s="1296" t="s">
        <v>310</v>
      </c>
      <c r="D351" s="1296" t="str">
        <f>INDEX(Modules[Module], MATCH($C351, Modules[Code], 0))</f>
        <v>Domestic Gas Production</v>
      </c>
      <c r="E351" s="1297"/>
      <c r="F351" s="1298"/>
      <c r="G351" s="1298"/>
      <c r="H351" s="1298"/>
      <c r="I351" s="1298"/>
      <c r="J351" s="1298"/>
      <c r="K351" s="1298"/>
      <c r="L351" s="1298"/>
      <c r="M351" s="1298"/>
      <c r="N351" s="1298"/>
      <c r="O351" s="1298"/>
      <c r="P351" s="1298"/>
      <c r="Q351" s="1298"/>
      <c r="R351" s="1298"/>
      <c r="S351" s="1298"/>
      <c r="T351" s="1298"/>
      <c r="U351" s="1298"/>
      <c r="V351" s="1298"/>
      <c r="W351" s="1298"/>
      <c r="X351" s="1298"/>
      <c r="Y351" s="1298"/>
      <c r="Z351" s="1298"/>
      <c r="AA351" s="1298"/>
      <c r="AB351" s="1298"/>
      <c r="AC351" s="1298"/>
      <c r="AD351" s="1298"/>
      <c r="AE351" s="1298"/>
      <c r="AF351" s="1298"/>
      <c r="AG351" s="1298"/>
      <c r="AH351" s="1298"/>
      <c r="AI351" s="1298"/>
      <c r="AJ351" s="1298"/>
      <c r="AK351" s="1298"/>
      <c r="AL351" s="1298"/>
      <c r="AM351" s="1298"/>
      <c r="AN351" s="1298"/>
      <c r="AO351" s="1298"/>
      <c r="AP351" s="1298"/>
      <c r="AQ351" s="1298"/>
      <c r="AR351" s="1298"/>
      <c r="AS351" s="1298"/>
      <c r="AT351" s="1298"/>
      <c r="AU351" s="1298"/>
      <c r="AV351" s="1298"/>
      <c r="AW351" s="1298"/>
      <c r="AX351" s="1297"/>
      <c r="AY351" s="368">
        <f t="shared" ca="1" si="56"/>
        <v>0</v>
      </c>
      <c r="AZ351" s="368"/>
      <c r="BA351" s="368">
        <f t="shared" ca="1" si="56"/>
        <v>0</v>
      </c>
      <c r="BB351" s="368">
        <f t="shared" ca="1" si="56"/>
        <v>0</v>
      </c>
      <c r="BC351" s="368">
        <f t="shared" ca="1" si="56"/>
        <v>0</v>
      </c>
      <c r="BD351" s="368">
        <f t="shared" ca="1" si="56"/>
        <v>0</v>
      </c>
      <c r="BE351" s="368">
        <f t="shared" ca="1" si="56"/>
        <v>0</v>
      </c>
      <c r="BF351" s="368">
        <f t="shared" ca="1" si="56"/>
        <v>0</v>
      </c>
      <c r="BG351" s="368">
        <f t="shared" ca="1" si="56"/>
        <v>0</v>
      </c>
      <c r="BH351" s="368">
        <f t="shared" ca="1" si="56"/>
        <v>0</v>
      </c>
      <c r="BI351" s="368">
        <f t="shared" ca="1" si="56"/>
        <v>0</v>
      </c>
      <c r="BJ351" s="1287"/>
      <c r="BL351" s="260"/>
      <c r="BM351" s="260"/>
    </row>
    <row r="352" spans="2:65">
      <c r="B352" s="1284"/>
      <c r="C352" s="1296" t="s">
        <v>314</v>
      </c>
      <c r="D352" s="1296" t="str">
        <f>INDEX(Modules[Module], MATCH($C352, Modules[Code], 0))</f>
        <v>Domestic Coal Production</v>
      </c>
      <c r="E352" s="1297"/>
      <c r="F352" s="1298"/>
      <c r="G352" s="1298"/>
      <c r="H352" s="1298"/>
      <c r="I352" s="1298"/>
      <c r="J352" s="1298"/>
      <c r="K352" s="1298"/>
      <c r="L352" s="1298"/>
      <c r="M352" s="1298"/>
      <c r="N352" s="1298"/>
      <c r="O352" s="1298"/>
      <c r="P352" s="1298"/>
      <c r="Q352" s="1298"/>
      <c r="R352" s="1298"/>
      <c r="S352" s="1298"/>
      <c r="T352" s="1298"/>
      <c r="U352" s="1298"/>
      <c r="V352" s="1298"/>
      <c r="W352" s="1298"/>
      <c r="X352" s="1298"/>
      <c r="Y352" s="1298"/>
      <c r="Z352" s="1298"/>
      <c r="AA352" s="1298"/>
      <c r="AB352" s="1298"/>
      <c r="AC352" s="1298"/>
      <c r="AD352" s="1298"/>
      <c r="AE352" s="1298"/>
      <c r="AF352" s="1298"/>
      <c r="AG352" s="1298"/>
      <c r="AH352" s="1298"/>
      <c r="AI352" s="1298"/>
      <c r="AJ352" s="1298"/>
      <c r="AK352" s="1298"/>
      <c r="AL352" s="1298"/>
      <c r="AM352" s="1298"/>
      <c r="AN352" s="1298"/>
      <c r="AO352" s="1298"/>
      <c r="AP352" s="1298"/>
      <c r="AQ352" s="1298"/>
      <c r="AR352" s="1298"/>
      <c r="AS352" s="1298"/>
      <c r="AT352" s="1298"/>
      <c r="AU352" s="1298"/>
      <c r="AV352" s="1298"/>
      <c r="AW352" s="1298"/>
      <c r="AX352" s="1297"/>
      <c r="AY352" s="368">
        <f t="shared" ca="1" si="56"/>
        <v>0</v>
      </c>
      <c r="AZ352" s="368"/>
      <c r="BA352" s="368">
        <f t="shared" ca="1" si="56"/>
        <v>0</v>
      </c>
      <c r="BB352" s="368">
        <f t="shared" ca="1" si="56"/>
        <v>0</v>
      </c>
      <c r="BC352" s="368">
        <f t="shared" ca="1" si="56"/>
        <v>0</v>
      </c>
      <c r="BD352" s="368">
        <f t="shared" ca="1" si="56"/>
        <v>0</v>
      </c>
      <c r="BE352" s="368">
        <f t="shared" ca="1" si="56"/>
        <v>0</v>
      </c>
      <c r="BF352" s="368">
        <f t="shared" ca="1" si="56"/>
        <v>0</v>
      </c>
      <c r="BG352" s="368">
        <f t="shared" ca="1" si="56"/>
        <v>0</v>
      </c>
      <c r="BH352" s="368">
        <f t="shared" ca="1" si="56"/>
        <v>0</v>
      </c>
      <c r="BI352" s="368">
        <f t="shared" ca="1" si="56"/>
        <v>0</v>
      </c>
      <c r="BJ352" s="1287"/>
      <c r="BL352" s="260"/>
      <c r="BM352" s="260"/>
    </row>
    <row r="353" spans="2:65">
      <c r="B353" s="1284"/>
      <c r="C353" s="1296" t="s">
        <v>818</v>
      </c>
      <c r="D353" s="1296" t="str">
        <f>INDEX(Modules[Module], MATCH($C353, Modules[Code], 0))</f>
        <v>Domestic Oil Production</v>
      </c>
      <c r="E353" s="1297"/>
      <c r="F353" s="1298"/>
      <c r="G353" s="1298"/>
      <c r="H353" s="1298"/>
      <c r="I353" s="1298"/>
      <c r="J353" s="1298"/>
      <c r="K353" s="1298"/>
      <c r="L353" s="1298"/>
      <c r="M353" s="1298"/>
      <c r="N353" s="1298"/>
      <c r="O353" s="1298"/>
      <c r="P353" s="1298"/>
      <c r="Q353" s="1298"/>
      <c r="R353" s="1298"/>
      <c r="S353" s="1298"/>
      <c r="T353" s="1298"/>
      <c r="U353" s="1298"/>
      <c r="V353" s="1298"/>
      <c r="W353" s="1298"/>
      <c r="X353" s="1298"/>
      <c r="Y353" s="1298"/>
      <c r="Z353" s="1298"/>
      <c r="AA353" s="1298"/>
      <c r="AB353" s="1298"/>
      <c r="AC353" s="1298"/>
      <c r="AD353" s="1298"/>
      <c r="AE353" s="1298"/>
      <c r="AF353" s="1298"/>
      <c r="AG353" s="1298"/>
      <c r="AH353" s="1298"/>
      <c r="AI353" s="1298"/>
      <c r="AJ353" s="1298"/>
      <c r="AK353" s="1298"/>
      <c r="AL353" s="1298"/>
      <c r="AM353" s="1298"/>
      <c r="AN353" s="1298"/>
      <c r="AO353" s="1298"/>
      <c r="AP353" s="1298"/>
      <c r="AQ353" s="1298"/>
      <c r="AR353" s="1298"/>
      <c r="AS353" s="1298"/>
      <c r="AT353" s="1298"/>
      <c r="AU353" s="1298"/>
      <c r="AV353" s="1298"/>
      <c r="AW353" s="1298"/>
      <c r="AX353" s="1297"/>
      <c r="AY353" s="368"/>
      <c r="AZ353" s="368"/>
      <c r="BA353" s="368"/>
      <c r="BB353" s="368"/>
      <c r="BC353" s="368"/>
      <c r="BD353" s="368"/>
      <c r="BE353" s="368"/>
      <c r="BF353" s="368"/>
      <c r="BG353" s="368"/>
      <c r="BH353" s="368"/>
      <c r="BI353" s="368"/>
      <c r="BJ353" s="1287"/>
      <c r="BL353" s="260"/>
      <c r="BM353" s="260"/>
    </row>
    <row r="354" spans="2:65">
      <c r="B354" s="1284"/>
      <c r="C354" s="1296" t="s">
        <v>410</v>
      </c>
      <c r="D354" s="1296" t="str">
        <f>INDEX(Modules[Module], MATCH($C354, Modules[Code], 0))</f>
        <v>Fossil Fuel Transfer</v>
      </c>
      <c r="E354" s="1297"/>
      <c r="F354" s="1298"/>
      <c r="G354" s="1298"/>
      <c r="H354" s="1298"/>
      <c r="I354" s="1298"/>
      <c r="J354" s="1298"/>
      <c r="K354" s="1298"/>
      <c r="L354" s="1298"/>
      <c r="M354" s="1298"/>
      <c r="N354" s="1298"/>
      <c r="O354" s="1298"/>
      <c r="P354" s="1298"/>
      <c r="Q354" s="1298"/>
      <c r="R354" s="1298"/>
      <c r="S354" s="1298"/>
      <c r="T354" s="1298"/>
      <c r="U354" s="1298"/>
      <c r="V354" s="1298"/>
      <c r="W354" s="1298"/>
      <c r="X354" s="1298"/>
      <c r="Y354" s="1298"/>
      <c r="Z354" s="1298"/>
      <c r="AA354" s="1298"/>
      <c r="AB354" s="1298"/>
      <c r="AC354" s="1298"/>
      <c r="AD354" s="1298"/>
      <c r="AE354" s="1298"/>
      <c r="AF354" s="1298"/>
      <c r="AG354" s="1298"/>
      <c r="AH354" s="1298"/>
      <c r="AI354" s="1298"/>
      <c r="AJ354" s="1298"/>
      <c r="AK354" s="1298"/>
      <c r="AL354" s="1298"/>
      <c r="AM354" s="1298"/>
      <c r="AN354" s="1298"/>
      <c r="AO354" s="1298"/>
      <c r="AP354" s="1298"/>
      <c r="AQ354" s="1298"/>
      <c r="AR354" s="1298"/>
      <c r="AS354" s="1298"/>
      <c r="AT354" s="1298"/>
      <c r="AU354" s="1298"/>
      <c r="AV354" s="1298"/>
      <c r="AW354" s="1298"/>
      <c r="AX354" s="1297"/>
      <c r="AY354" s="368"/>
      <c r="AZ354" s="368"/>
      <c r="BA354" s="368"/>
      <c r="BB354" s="368"/>
      <c r="BC354" s="368"/>
      <c r="BD354" s="368"/>
      <c r="BE354" s="368"/>
      <c r="BF354" s="368"/>
      <c r="BG354" s="368"/>
      <c r="BH354" s="368"/>
      <c r="BI354" s="368"/>
      <c r="BJ354" s="1287"/>
      <c r="BL354" s="260"/>
      <c r="BM354" s="260"/>
    </row>
    <row r="355" spans="2:65">
      <c r="B355" s="1284"/>
      <c r="C355" s="1296" t="s">
        <v>197</v>
      </c>
      <c r="D355" s="1296" t="str">
        <f>INDEX(Modules[Module], MATCH($C355, Modules[Code], 0))</f>
        <v>Industry</v>
      </c>
      <c r="E355" s="1297"/>
      <c r="F355" s="1298"/>
      <c r="G355" s="1298"/>
      <c r="H355" s="1298"/>
      <c r="I355" s="1298"/>
      <c r="J355" s="1298"/>
      <c r="K355" s="1298"/>
      <c r="L355" s="1298"/>
      <c r="M355" s="1298"/>
      <c r="N355" s="1298"/>
      <c r="O355" s="1298"/>
      <c r="P355" s="1298"/>
      <c r="Q355" s="1298"/>
      <c r="R355" s="1298"/>
      <c r="S355" s="1298"/>
      <c r="T355" s="1298"/>
      <c r="U355" s="1298"/>
      <c r="V355" s="1298"/>
      <c r="W355" s="1298"/>
      <c r="X355" s="1298"/>
      <c r="Y355" s="1298"/>
      <c r="Z355" s="1298"/>
      <c r="AA355" s="1298"/>
      <c r="AB355" s="1298"/>
      <c r="AC355" s="1298"/>
      <c r="AD355" s="1298"/>
      <c r="AE355" s="1298"/>
      <c r="AF355" s="1298"/>
      <c r="AG355" s="1298"/>
      <c r="AH355" s="1298"/>
      <c r="AI355" s="1298"/>
      <c r="AJ355" s="1298"/>
      <c r="AK355" s="1298"/>
      <c r="AL355" s="1298"/>
      <c r="AM355" s="1298"/>
      <c r="AN355" s="1298"/>
      <c r="AO355" s="1298"/>
      <c r="AP355" s="1298"/>
      <c r="AQ355" s="1298"/>
      <c r="AR355" s="1298"/>
      <c r="AS355" s="1298"/>
      <c r="AT355" s="1298"/>
      <c r="AU355" s="1298"/>
      <c r="AV355" s="1298"/>
      <c r="AW355" s="1298"/>
      <c r="AX355" s="1297"/>
      <c r="AY355" s="368">
        <f t="shared" ca="1" si="56"/>
        <v>291.71784851167462</v>
      </c>
      <c r="AZ355" s="368"/>
      <c r="BA355" s="368">
        <f t="shared" ca="1" si="56"/>
        <v>401.23500000000001</v>
      </c>
      <c r="BB355" s="368">
        <f t="shared" ca="1" si="56"/>
        <v>503.11770614913962</v>
      </c>
      <c r="BC355" s="368">
        <f t="shared" ca="1" si="56"/>
        <v>638.20622186284686</v>
      </c>
      <c r="BD355" s="368">
        <f t="shared" ca="1" si="56"/>
        <v>792.48188677491407</v>
      </c>
      <c r="BE355" s="368">
        <f t="shared" ca="1" si="56"/>
        <v>966.17848871674005</v>
      </c>
      <c r="BF355" s="368">
        <f t="shared" ca="1" si="56"/>
        <v>1200.6228340761327</v>
      </c>
      <c r="BG355" s="368">
        <f t="shared" ca="1" si="56"/>
        <v>1462.2792945499318</v>
      </c>
      <c r="BH355" s="368">
        <f t="shared" ca="1" si="56"/>
        <v>1752.1756493279522</v>
      </c>
      <c r="BI355" s="368">
        <f t="shared" ca="1" si="56"/>
        <v>2061.261323802787</v>
      </c>
      <c r="BJ355" s="1287"/>
      <c r="BL355" s="359"/>
    </row>
    <row r="356" spans="2:65">
      <c r="B356" s="1284"/>
      <c r="C356" s="1296"/>
      <c r="D356" s="1296"/>
      <c r="E356" s="1297"/>
      <c r="F356" s="1298"/>
      <c r="G356" s="1298"/>
      <c r="H356" s="1298"/>
      <c r="I356" s="1298"/>
      <c r="J356" s="1298"/>
      <c r="K356" s="1298"/>
      <c r="L356" s="1298"/>
      <c r="M356" s="1298"/>
      <c r="N356" s="1298"/>
      <c r="O356" s="1298"/>
      <c r="P356" s="1298"/>
      <c r="Q356" s="1298"/>
      <c r="R356" s="1298"/>
      <c r="S356" s="1298"/>
      <c r="T356" s="1298"/>
      <c r="U356" s="1298"/>
      <c r="V356" s="1298"/>
      <c r="W356" s="1298"/>
      <c r="X356" s="1298"/>
      <c r="Y356" s="1298"/>
      <c r="Z356" s="1298"/>
      <c r="AA356" s="1298"/>
      <c r="AB356" s="1298"/>
      <c r="AC356" s="1298"/>
      <c r="AD356" s="1298"/>
      <c r="AE356" s="1298"/>
      <c r="AF356" s="1298"/>
      <c r="AG356" s="1298"/>
      <c r="AH356" s="1298"/>
      <c r="AI356" s="1298"/>
      <c r="AJ356" s="1298"/>
      <c r="AK356" s="1298"/>
      <c r="AL356" s="1298"/>
      <c r="AM356" s="1298"/>
      <c r="AN356" s="1298"/>
      <c r="AO356" s="1298"/>
      <c r="AP356" s="1298"/>
      <c r="AQ356" s="1298"/>
      <c r="AR356" s="1298"/>
      <c r="AS356" s="1298"/>
      <c r="AT356" s="1298"/>
      <c r="AU356" s="1298"/>
      <c r="AV356" s="1298"/>
      <c r="AW356" s="1298"/>
      <c r="AX356" s="1297"/>
      <c r="AY356" s="368"/>
      <c r="AZ356" s="368"/>
      <c r="BA356" s="368"/>
      <c r="BB356" s="368"/>
      <c r="BC356" s="368"/>
      <c r="BD356" s="368"/>
      <c r="BE356" s="368"/>
      <c r="BF356" s="368"/>
      <c r="BG356" s="368"/>
      <c r="BH356" s="368"/>
      <c r="BI356" s="368"/>
      <c r="BJ356" s="1287"/>
    </row>
    <row r="357" spans="2:65">
      <c r="B357" s="1284"/>
      <c r="C357" s="1296"/>
      <c r="D357" s="1296" t="s">
        <v>103</v>
      </c>
      <c r="E357" s="1297"/>
      <c r="F357" s="1298"/>
      <c r="G357" s="1298"/>
      <c r="H357" s="1298"/>
      <c r="I357" s="1298"/>
      <c r="J357" s="1298"/>
      <c r="K357" s="1298"/>
      <c r="L357" s="1298"/>
      <c r="M357" s="1298"/>
      <c r="N357" s="1298"/>
      <c r="O357" s="1298"/>
      <c r="P357" s="1298"/>
      <c r="Q357" s="1298"/>
      <c r="R357" s="1298"/>
      <c r="S357" s="1298"/>
      <c r="T357" s="1298"/>
      <c r="U357" s="1298"/>
      <c r="V357" s="1298"/>
      <c r="W357" s="1298"/>
      <c r="X357" s="1298"/>
      <c r="Y357" s="1298"/>
      <c r="Z357" s="1298"/>
      <c r="AA357" s="1298"/>
      <c r="AB357" s="1298"/>
      <c r="AC357" s="1298"/>
      <c r="AD357" s="1298"/>
      <c r="AE357" s="1298"/>
      <c r="AF357" s="1298"/>
      <c r="AG357" s="1298"/>
      <c r="AH357" s="1298"/>
      <c r="AI357" s="1298"/>
      <c r="AJ357" s="1298"/>
      <c r="AK357" s="1298"/>
      <c r="AL357" s="1298"/>
      <c r="AM357" s="1298"/>
      <c r="AN357" s="1298"/>
      <c r="AO357" s="1298"/>
      <c r="AP357" s="1298"/>
      <c r="AQ357" s="1298"/>
      <c r="AR357" s="1298"/>
      <c r="AS357" s="1298"/>
      <c r="AT357" s="1298"/>
      <c r="AU357" s="1298"/>
      <c r="AV357" s="1298"/>
      <c r="AW357" s="1298"/>
      <c r="AX357" s="1297"/>
      <c r="AY357" s="368">
        <f t="shared" ref="AY357:BI357" ca="1" si="57">SUM(AY343:AY356)</f>
        <v>595.68681516482513</v>
      </c>
      <c r="AZ357" s="368"/>
      <c r="BA357" s="368">
        <f t="shared" ca="1" si="57"/>
        <v>798.39296177664801</v>
      </c>
      <c r="BB357" s="368">
        <f t="shared" ca="1" si="57"/>
        <v>1142.8498773739643</v>
      </c>
      <c r="BC357" s="368">
        <f t="shared" ca="1" si="57"/>
        <v>1640.0251055308781</v>
      </c>
      <c r="BD357" s="368">
        <f t="shared" ca="1" si="57"/>
        <v>2290.6622357105734</v>
      </c>
      <c r="BE357" s="368">
        <f t="shared" ca="1" si="57"/>
        <v>3170.4883780648101</v>
      </c>
      <c r="BF357" s="368">
        <f t="shared" ca="1" si="57"/>
        <v>3970.4133793283249</v>
      </c>
      <c r="BG357" s="368">
        <f t="shared" ca="1" si="57"/>
        <v>4914.3042732371441</v>
      </c>
      <c r="BH357" s="368">
        <f t="shared" ca="1" si="57"/>
        <v>5747.5586114860871</v>
      </c>
      <c r="BI357" s="368">
        <f t="shared" ca="1" si="57"/>
        <v>6680.5573002001365</v>
      </c>
      <c r="BJ357" s="1287"/>
    </row>
    <row r="358" spans="2:65">
      <c r="B358" s="1284"/>
      <c r="C358" s="1296"/>
      <c r="D358" s="1296"/>
      <c r="E358" s="1297"/>
      <c r="F358" s="1298"/>
      <c r="G358" s="1298"/>
      <c r="H358" s="1298"/>
      <c r="I358" s="1298"/>
      <c r="J358" s="1298"/>
      <c r="K358" s="1298"/>
      <c r="L358" s="1298"/>
      <c r="M358" s="1298"/>
      <c r="N358" s="1298"/>
      <c r="O358" s="1298"/>
      <c r="P358" s="1298"/>
      <c r="Q358" s="1298"/>
      <c r="R358" s="1298"/>
      <c r="S358" s="1298"/>
      <c r="T358" s="1298"/>
      <c r="U358" s="1298"/>
      <c r="V358" s="1298"/>
      <c r="W358" s="1298"/>
      <c r="X358" s="1298"/>
      <c r="Y358" s="1298"/>
      <c r="Z358" s="1298"/>
      <c r="AA358" s="1298"/>
      <c r="AB358" s="1298"/>
      <c r="AC358" s="1298"/>
      <c r="AD358" s="1298"/>
      <c r="AE358" s="1298"/>
      <c r="AF358" s="1298"/>
      <c r="AG358" s="1298"/>
      <c r="AH358" s="1298"/>
      <c r="AI358" s="1298"/>
      <c r="AJ358" s="1298"/>
      <c r="AK358" s="1298"/>
      <c r="AL358" s="1298"/>
      <c r="AM358" s="1298"/>
      <c r="AN358" s="1298"/>
      <c r="AO358" s="1298"/>
      <c r="AP358" s="1298"/>
      <c r="AQ358" s="1298"/>
      <c r="AR358" s="1298"/>
      <c r="AS358" s="1298"/>
      <c r="AT358" s="1298"/>
      <c r="AU358" s="1298"/>
      <c r="AV358" s="1298"/>
      <c r="AW358" s="1298"/>
      <c r="AX358" s="1297"/>
      <c r="AY358" s="368"/>
      <c r="AZ358" s="368"/>
      <c r="BA358" s="368"/>
      <c r="BB358" s="368"/>
      <c r="BC358" s="368"/>
      <c r="BD358" s="368"/>
      <c r="BE358" s="368"/>
      <c r="BF358" s="368"/>
      <c r="BG358" s="368"/>
      <c r="BH358" s="368"/>
      <c r="BI358" s="368"/>
      <c r="BJ358" s="1287"/>
    </row>
    <row r="359" spans="2:65">
      <c r="B359" s="1284"/>
      <c r="C359" s="1296"/>
      <c r="D359" s="1299" t="s">
        <v>113</v>
      </c>
      <c r="E359" s="1297"/>
      <c r="F359" s="1298"/>
      <c r="G359" s="1298"/>
      <c r="H359" s="1298"/>
      <c r="I359" s="1298"/>
      <c r="J359" s="1298"/>
      <c r="K359" s="1298"/>
      <c r="L359" s="1298"/>
      <c r="M359" s="1298"/>
      <c r="N359" s="1298"/>
      <c r="O359" s="1298"/>
      <c r="P359" s="1298"/>
      <c r="Q359" s="1298"/>
      <c r="R359" s="1298"/>
      <c r="S359" s="1298"/>
      <c r="T359" s="1298"/>
      <c r="U359" s="1298"/>
      <c r="V359" s="1298"/>
      <c r="W359" s="1298"/>
      <c r="X359" s="1298"/>
      <c r="Y359" s="1298"/>
      <c r="Z359" s="1298"/>
      <c r="AA359" s="1298"/>
      <c r="AB359" s="1298"/>
      <c r="AC359" s="1298"/>
      <c r="AD359" s="1298"/>
      <c r="AE359" s="1298"/>
      <c r="AF359" s="1298"/>
      <c r="AG359" s="1298"/>
      <c r="AH359" s="1298"/>
      <c r="AI359" s="1298"/>
      <c r="AJ359" s="1298"/>
      <c r="AK359" s="1298"/>
      <c r="AL359" s="1298"/>
      <c r="AM359" s="1298"/>
      <c r="AN359" s="1298"/>
      <c r="AO359" s="1298"/>
      <c r="AP359" s="1298"/>
      <c r="AQ359" s="1298"/>
      <c r="AR359" s="1298"/>
      <c r="AS359" s="1298"/>
      <c r="AT359" s="1298"/>
      <c r="AU359" s="1298"/>
      <c r="AV359" s="1298"/>
      <c r="AW359" s="1298"/>
      <c r="AX359" s="1297"/>
      <c r="AY359" s="368">
        <f ca="1">SUM(AY345,AY346)</f>
        <v>14.175599392034435</v>
      </c>
      <c r="AZ359" s="368"/>
      <c r="BA359" s="368">
        <f t="shared" ref="BA359:BI359" ca="1" si="58">SUM(BA345,BA346)</f>
        <v>14.175599392034435</v>
      </c>
      <c r="BB359" s="368">
        <f t="shared" ca="1" si="58"/>
        <v>19.38808543994168</v>
      </c>
      <c r="BC359" s="368">
        <f t="shared" ca="1" si="58"/>
        <v>25.818542167784543</v>
      </c>
      <c r="BD359" s="368">
        <f t="shared" ca="1" si="58"/>
        <v>32.793230000547041</v>
      </c>
      <c r="BE359" s="368">
        <f t="shared" ca="1" si="58"/>
        <v>40.870635745887029</v>
      </c>
      <c r="BF359" s="368">
        <f t="shared" ca="1" si="58"/>
        <v>49.401324638531037</v>
      </c>
      <c r="BG359" s="368">
        <f t="shared" ca="1" si="58"/>
        <v>54.794419347980828</v>
      </c>
      <c r="BH359" s="368">
        <f t="shared" ca="1" si="58"/>
        <v>59.954801826308824</v>
      </c>
      <c r="BI359" s="368">
        <f t="shared" ca="1" si="58"/>
        <v>64.186648237973117</v>
      </c>
      <c r="BJ359" s="1287"/>
    </row>
    <row r="360" spans="2:65">
      <c r="B360" s="1284"/>
      <c r="C360" s="1296"/>
      <c r="D360" s="1299" t="s">
        <v>33</v>
      </c>
      <c r="E360" s="1297"/>
      <c r="F360" s="1298"/>
      <c r="G360" s="1298"/>
      <c r="H360" s="1298"/>
      <c r="I360" s="1298"/>
      <c r="J360" s="1298"/>
      <c r="K360" s="1298"/>
      <c r="L360" s="1298"/>
      <c r="M360" s="1298"/>
      <c r="N360" s="1298"/>
      <c r="O360" s="1298"/>
      <c r="P360" s="1298"/>
      <c r="Q360" s="1298"/>
      <c r="R360" s="1298"/>
      <c r="S360" s="1298"/>
      <c r="T360" s="1298"/>
      <c r="U360" s="1298"/>
      <c r="V360" s="1298"/>
      <c r="W360" s="1298"/>
      <c r="X360" s="1298"/>
      <c r="Y360" s="1298"/>
      <c r="Z360" s="1298"/>
      <c r="AA360" s="1298"/>
      <c r="AB360" s="1298"/>
      <c r="AC360" s="1298"/>
      <c r="AD360" s="1298"/>
      <c r="AE360" s="1298"/>
      <c r="AF360" s="1298"/>
      <c r="AG360" s="1298"/>
      <c r="AH360" s="1298"/>
      <c r="AI360" s="1298"/>
      <c r="AJ360" s="1298"/>
      <c r="AK360" s="1298"/>
      <c r="AL360" s="1298"/>
      <c r="AM360" s="1298"/>
      <c r="AN360" s="1298"/>
      <c r="AO360" s="1298"/>
      <c r="AP360" s="1298"/>
      <c r="AQ360" s="1298"/>
      <c r="AR360" s="1298"/>
      <c r="AS360" s="1298"/>
      <c r="AT360" s="1298"/>
      <c r="AU360" s="1298"/>
      <c r="AV360" s="1298"/>
      <c r="AW360" s="1298"/>
      <c r="AX360" s="1297"/>
      <c r="AY360" s="368">
        <f ca="1">AY355</f>
        <v>291.71784851167462</v>
      </c>
      <c r="AZ360" s="368"/>
      <c r="BA360" s="368">
        <f t="shared" ref="BA360:BI360" ca="1" si="59">BA355</f>
        <v>401.23500000000001</v>
      </c>
      <c r="BB360" s="368">
        <f t="shared" ca="1" si="59"/>
        <v>503.11770614913962</v>
      </c>
      <c r="BC360" s="368">
        <f t="shared" ca="1" si="59"/>
        <v>638.20622186284686</v>
      </c>
      <c r="BD360" s="368">
        <f t="shared" ca="1" si="59"/>
        <v>792.48188677491407</v>
      </c>
      <c r="BE360" s="368">
        <f t="shared" ca="1" si="59"/>
        <v>966.17848871674005</v>
      </c>
      <c r="BF360" s="368">
        <f t="shared" ca="1" si="59"/>
        <v>1200.6228340761327</v>
      </c>
      <c r="BG360" s="368">
        <f t="shared" ca="1" si="59"/>
        <v>1462.2792945499318</v>
      </c>
      <c r="BH360" s="368">
        <f t="shared" ca="1" si="59"/>
        <v>1752.1756493279522</v>
      </c>
      <c r="BI360" s="368">
        <f t="shared" ca="1" si="59"/>
        <v>2061.261323802787</v>
      </c>
      <c r="BJ360" s="1287"/>
    </row>
    <row r="361" spans="2:65">
      <c r="B361" s="1284"/>
      <c r="C361" s="1296"/>
      <c r="D361" s="1299" t="s">
        <v>1051</v>
      </c>
      <c r="E361" s="1297"/>
      <c r="F361" s="1298"/>
      <c r="G361" s="1298"/>
      <c r="H361" s="1298"/>
      <c r="I361" s="1298"/>
      <c r="J361" s="1298"/>
      <c r="K361" s="1298"/>
      <c r="L361" s="1298"/>
      <c r="M361" s="1298"/>
      <c r="N361" s="1298"/>
      <c r="O361" s="1298"/>
      <c r="P361" s="1298"/>
      <c r="Q361" s="1298"/>
      <c r="R361" s="1298"/>
      <c r="S361" s="1298"/>
      <c r="T361" s="1298"/>
      <c r="U361" s="1298"/>
      <c r="V361" s="1298"/>
      <c r="W361" s="1298"/>
      <c r="X361" s="1298"/>
      <c r="Y361" s="1298"/>
      <c r="Z361" s="1298"/>
      <c r="AA361" s="1298"/>
      <c r="AB361" s="1298"/>
      <c r="AC361" s="1298"/>
      <c r="AD361" s="1298"/>
      <c r="AE361" s="1298"/>
      <c r="AF361" s="1298"/>
      <c r="AG361" s="1298"/>
      <c r="AH361" s="1298"/>
      <c r="AI361" s="1298"/>
      <c r="AJ361" s="1298"/>
      <c r="AK361" s="1298"/>
      <c r="AL361" s="1298"/>
      <c r="AM361" s="1298"/>
      <c r="AN361" s="1298"/>
      <c r="AO361" s="1298"/>
      <c r="AP361" s="1298"/>
      <c r="AQ361" s="1298"/>
      <c r="AR361" s="1298"/>
      <c r="AS361" s="1298"/>
      <c r="AT361" s="1298"/>
      <c r="AU361" s="1298"/>
      <c r="AV361" s="1298"/>
      <c r="AW361" s="1298"/>
      <c r="AX361" s="1297"/>
      <c r="AY361" s="368">
        <f ca="1">SUM(AY347,AY348)</f>
        <v>0.30660334104356374</v>
      </c>
      <c r="AZ361" s="368"/>
      <c r="BA361" s="368">
        <f t="shared" ref="BA361:BI361" ca="1" si="60">SUM(BA347,BA348)</f>
        <v>0.40568124773609537</v>
      </c>
      <c r="BB361" s="368">
        <f t="shared" ca="1" si="60"/>
        <v>1.9119107308416539</v>
      </c>
      <c r="BC361" s="368">
        <f t="shared" ca="1" si="60"/>
        <v>3.0737404888957927</v>
      </c>
      <c r="BD361" s="368">
        <f t="shared" ca="1" si="60"/>
        <v>5.9878453050571316</v>
      </c>
      <c r="BE361" s="368">
        <f t="shared" ca="1" si="60"/>
        <v>10.924338830969084</v>
      </c>
      <c r="BF361" s="368">
        <f t="shared" ca="1" si="60"/>
        <v>14.605179460099949</v>
      </c>
      <c r="BG361" s="368">
        <f t="shared" ca="1" si="60"/>
        <v>19.221420721203312</v>
      </c>
      <c r="BH361" s="368">
        <f t="shared" ca="1" si="60"/>
        <v>25.37842895536987</v>
      </c>
      <c r="BI361" s="368">
        <f t="shared" ca="1" si="60"/>
        <v>29.2476501509129</v>
      </c>
      <c r="BJ361" s="1287"/>
    </row>
    <row r="362" spans="2:65">
      <c r="B362" s="1284"/>
      <c r="C362" s="1296"/>
      <c r="D362" s="1299" t="s">
        <v>1194</v>
      </c>
      <c r="E362" s="1297"/>
      <c r="F362" s="1298"/>
      <c r="G362" s="1298"/>
      <c r="H362" s="1298"/>
      <c r="I362" s="1298"/>
      <c r="J362" s="1298"/>
      <c r="K362" s="1298"/>
      <c r="L362" s="1298"/>
      <c r="M362" s="1298"/>
      <c r="N362" s="1298"/>
      <c r="O362" s="1298"/>
      <c r="P362" s="1298"/>
      <c r="Q362" s="1298"/>
      <c r="R362" s="1298"/>
      <c r="S362" s="1298"/>
      <c r="T362" s="1298"/>
      <c r="U362" s="1298"/>
      <c r="V362" s="1298"/>
      <c r="W362" s="1298"/>
      <c r="X362" s="1298"/>
      <c r="Y362" s="1298"/>
      <c r="Z362" s="1298"/>
      <c r="AA362" s="1298"/>
      <c r="AB362" s="1298"/>
      <c r="AC362" s="1298"/>
      <c r="AD362" s="1298"/>
      <c r="AE362" s="1298"/>
      <c r="AF362" s="1298"/>
      <c r="AG362" s="1298"/>
      <c r="AH362" s="1298"/>
      <c r="AI362" s="1298"/>
      <c r="AJ362" s="1298"/>
      <c r="AK362" s="1298"/>
      <c r="AL362" s="1298"/>
      <c r="AM362" s="1298"/>
      <c r="AN362" s="1298"/>
      <c r="AO362" s="1298"/>
      <c r="AP362" s="1298"/>
      <c r="AQ362" s="1298"/>
      <c r="AR362" s="1298"/>
      <c r="AS362" s="1298"/>
      <c r="AT362" s="1298"/>
      <c r="AU362" s="1298"/>
      <c r="AV362" s="1298"/>
      <c r="AW362" s="1298"/>
      <c r="AX362" s="1297"/>
      <c r="AY362" s="368">
        <f ca="1">SUM(AY343,AY344)</f>
        <v>187.57094392007247</v>
      </c>
      <c r="AZ362" s="368"/>
      <c r="BA362" s="368">
        <f t="shared" ref="BA362:BI362" ca="1" si="61">SUM(BA343,BA344)</f>
        <v>232.6414587738775</v>
      </c>
      <c r="BB362" s="368">
        <f t="shared" ca="1" si="61"/>
        <v>409.59289667256314</v>
      </c>
      <c r="BC362" s="368">
        <f t="shared" ca="1" si="61"/>
        <v>682.35180976263746</v>
      </c>
      <c r="BD362" s="368">
        <f t="shared" ca="1" si="61"/>
        <v>1086.2102405751129</v>
      </c>
      <c r="BE362" s="368">
        <f t="shared" ca="1" si="61"/>
        <v>1679.1946528978117</v>
      </c>
      <c r="BF362" s="368">
        <f t="shared" ca="1" si="61"/>
        <v>2141.6492620907752</v>
      </c>
      <c r="BG362" s="368">
        <f t="shared" ca="1" si="61"/>
        <v>2715.1133156726805</v>
      </c>
      <c r="BH362" s="368">
        <f t="shared" ca="1" si="61"/>
        <v>3174.0690762946037</v>
      </c>
      <c r="BI362" s="368">
        <f t="shared" ca="1" si="61"/>
        <v>3704.1900397353238</v>
      </c>
      <c r="BJ362" s="1287"/>
    </row>
    <row r="363" spans="2:65">
      <c r="B363" s="1284"/>
      <c r="C363" s="1296"/>
      <c r="D363" s="1299" t="s">
        <v>1078</v>
      </c>
      <c r="E363" s="1297"/>
      <c r="F363" s="1298"/>
      <c r="G363" s="1298"/>
      <c r="H363" s="1298"/>
      <c r="I363" s="1298"/>
      <c r="J363" s="1298"/>
      <c r="K363" s="1298"/>
      <c r="L363" s="1298"/>
      <c r="M363" s="1298"/>
      <c r="N363" s="1298"/>
      <c r="O363" s="1298"/>
      <c r="P363" s="1298"/>
      <c r="Q363" s="1298"/>
      <c r="R363" s="1298"/>
      <c r="S363" s="1298"/>
      <c r="T363" s="1298"/>
      <c r="U363" s="1298"/>
      <c r="V363" s="1298"/>
      <c r="W363" s="1298"/>
      <c r="X363" s="1298"/>
      <c r="Y363" s="1298"/>
      <c r="Z363" s="1298"/>
      <c r="AA363" s="1298"/>
      <c r="AB363" s="1298"/>
      <c r="AC363" s="1298"/>
      <c r="AD363" s="1298"/>
      <c r="AE363" s="1298"/>
      <c r="AF363" s="1298"/>
      <c r="AG363" s="1298"/>
      <c r="AH363" s="1298"/>
      <c r="AI363" s="1298"/>
      <c r="AJ363" s="1298"/>
      <c r="AK363" s="1298"/>
      <c r="AL363" s="1298"/>
      <c r="AM363" s="1298"/>
      <c r="AN363" s="1298"/>
      <c r="AO363" s="1298"/>
      <c r="AP363" s="1298"/>
      <c r="AQ363" s="1298"/>
      <c r="AR363" s="1298"/>
      <c r="AS363" s="1298"/>
      <c r="AT363" s="1298"/>
      <c r="AU363" s="1298"/>
      <c r="AV363" s="1298"/>
      <c r="AW363" s="1298"/>
      <c r="AX363" s="1297"/>
      <c r="AY363" s="368">
        <f ca="1">AY349</f>
        <v>99.549000000000007</v>
      </c>
      <c r="AZ363" s="368"/>
      <c r="BA363" s="368">
        <f t="shared" ref="BA363:BI364" ca="1" si="62">BA349</f>
        <v>135.84360999999998</v>
      </c>
      <c r="BB363" s="368">
        <f t="shared" ca="1" si="62"/>
        <v>188.77501314929791</v>
      </c>
      <c r="BC363" s="368">
        <f t="shared" ca="1" si="62"/>
        <v>262.32571067939568</v>
      </c>
      <c r="BD363" s="368">
        <f t="shared" ca="1" si="62"/>
        <v>335.74068575957824</v>
      </c>
      <c r="BE363" s="368">
        <f t="shared" ca="1" si="62"/>
        <v>428.7780628500808</v>
      </c>
      <c r="BF363" s="368">
        <f t="shared" ca="1" si="62"/>
        <v>506.91064092382578</v>
      </c>
      <c r="BG363" s="368">
        <f t="shared" ca="1" si="62"/>
        <v>599.26784878596698</v>
      </c>
      <c r="BH363" s="368">
        <f t="shared" ca="1" si="62"/>
        <v>658.56749564700988</v>
      </c>
      <c r="BI363" s="368">
        <f t="shared" ca="1" si="62"/>
        <v>723.71929535837114</v>
      </c>
      <c r="BJ363" s="1287"/>
    </row>
    <row r="364" spans="2:65">
      <c r="B364" s="1284"/>
      <c r="C364" s="1296"/>
      <c r="D364" s="1299" t="s">
        <v>106</v>
      </c>
      <c r="E364" s="1297"/>
      <c r="F364" s="1298"/>
      <c r="G364" s="1298"/>
      <c r="H364" s="1298"/>
      <c r="I364" s="1298"/>
      <c r="J364" s="1298"/>
      <c r="K364" s="1298"/>
      <c r="L364" s="1298"/>
      <c r="M364" s="1298"/>
      <c r="N364" s="1298"/>
      <c r="O364" s="1298"/>
      <c r="P364" s="1298"/>
      <c r="Q364" s="1298"/>
      <c r="R364" s="1298"/>
      <c r="S364" s="1298"/>
      <c r="T364" s="1298"/>
      <c r="U364" s="1298"/>
      <c r="V364" s="1298"/>
      <c r="W364" s="1298"/>
      <c r="X364" s="1298"/>
      <c r="Y364" s="1298"/>
      <c r="Z364" s="1298"/>
      <c r="AA364" s="1298"/>
      <c r="AB364" s="1298"/>
      <c r="AC364" s="1298"/>
      <c r="AD364" s="1298"/>
      <c r="AE364" s="1298"/>
      <c r="AF364" s="1298"/>
      <c r="AG364" s="1298"/>
      <c r="AH364" s="1298"/>
      <c r="AI364" s="1298"/>
      <c r="AJ364" s="1298"/>
      <c r="AK364" s="1298"/>
      <c r="AL364" s="1298"/>
      <c r="AM364" s="1298"/>
      <c r="AN364" s="1298"/>
      <c r="AO364" s="1298"/>
      <c r="AP364" s="1298"/>
      <c r="AQ364" s="1298"/>
      <c r="AR364" s="1298"/>
      <c r="AS364" s="1298"/>
      <c r="AT364" s="1298"/>
      <c r="AU364" s="1298"/>
      <c r="AV364" s="1298"/>
      <c r="AW364" s="1298"/>
      <c r="AX364" s="1297"/>
      <c r="AY364" s="368">
        <f ca="1">AY350</f>
        <v>2.3668199999999997</v>
      </c>
      <c r="AZ364" s="368"/>
      <c r="BA364" s="368">
        <f t="shared" ca="1" si="62"/>
        <v>14.091612362999999</v>
      </c>
      <c r="BB364" s="368">
        <f t="shared" ca="1" si="62"/>
        <v>20.064265232180411</v>
      </c>
      <c r="BC364" s="368">
        <f t="shared" ca="1" si="62"/>
        <v>28.249080569317663</v>
      </c>
      <c r="BD364" s="368">
        <f t="shared" ca="1" si="62"/>
        <v>37.448347295363597</v>
      </c>
      <c r="BE364" s="368">
        <f t="shared" ca="1" si="62"/>
        <v>44.542199023321331</v>
      </c>
      <c r="BF364" s="368">
        <f t="shared" ca="1" si="62"/>
        <v>57.224138138960534</v>
      </c>
      <c r="BG364" s="368">
        <f t="shared" ca="1" si="62"/>
        <v>63.627974159380635</v>
      </c>
      <c r="BH364" s="368">
        <f t="shared" ca="1" si="62"/>
        <v>77.413159434842669</v>
      </c>
      <c r="BI364" s="368">
        <f t="shared" ca="1" si="62"/>
        <v>97.952342914769488</v>
      </c>
      <c r="BJ364" s="1287"/>
    </row>
    <row r="365" spans="2:65">
      <c r="B365" s="1284"/>
      <c r="C365" s="1296"/>
      <c r="D365" s="1299" t="s">
        <v>103</v>
      </c>
      <c r="E365" s="1297"/>
      <c r="F365" s="1298"/>
      <c r="G365" s="1298"/>
      <c r="H365" s="1298"/>
      <c r="I365" s="1298"/>
      <c r="J365" s="1298"/>
      <c r="K365" s="1298"/>
      <c r="L365" s="1298"/>
      <c r="M365" s="1298"/>
      <c r="N365" s="1298"/>
      <c r="O365" s="1298"/>
      <c r="P365" s="1298"/>
      <c r="Q365" s="1298"/>
      <c r="R365" s="1298"/>
      <c r="S365" s="1298"/>
      <c r="T365" s="1298"/>
      <c r="U365" s="1298"/>
      <c r="V365" s="1298"/>
      <c r="W365" s="1298"/>
      <c r="X365" s="1298"/>
      <c r="Y365" s="1298"/>
      <c r="Z365" s="1298"/>
      <c r="AA365" s="1298"/>
      <c r="AB365" s="1298"/>
      <c r="AC365" s="1298"/>
      <c r="AD365" s="1298"/>
      <c r="AE365" s="1298"/>
      <c r="AF365" s="1298"/>
      <c r="AG365" s="1298"/>
      <c r="AH365" s="1298"/>
      <c r="AI365" s="1298"/>
      <c r="AJ365" s="1298"/>
      <c r="AK365" s="1298"/>
      <c r="AL365" s="1298"/>
      <c r="AM365" s="1298"/>
      <c r="AN365" s="1298"/>
      <c r="AO365" s="1298"/>
      <c r="AP365" s="1298"/>
      <c r="AQ365" s="1298"/>
      <c r="AR365" s="1298"/>
      <c r="AS365" s="1298"/>
      <c r="AT365" s="1298"/>
      <c r="AU365" s="1298"/>
      <c r="AV365" s="1298"/>
      <c r="AW365" s="1298"/>
      <c r="AX365" s="1297"/>
      <c r="AY365" s="368">
        <f ca="1">SUM(AY359:AY364)</f>
        <v>595.68681516482502</v>
      </c>
      <c r="AZ365" s="368"/>
      <c r="BA365" s="368">
        <f t="shared" ref="BA365:BI365" ca="1" si="63">SUM(BA359:BA364)</f>
        <v>798.39296177664801</v>
      </c>
      <c r="BB365" s="368">
        <f t="shared" ca="1" si="63"/>
        <v>1142.8498773739643</v>
      </c>
      <c r="BC365" s="368">
        <f t="shared" ca="1" si="63"/>
        <v>1640.0251055308779</v>
      </c>
      <c r="BD365" s="368">
        <f t="shared" ca="1" si="63"/>
        <v>2290.662235710573</v>
      </c>
      <c r="BE365" s="368">
        <f t="shared" ca="1" si="63"/>
        <v>3170.4883780648101</v>
      </c>
      <c r="BF365" s="368">
        <f t="shared" ca="1" si="63"/>
        <v>3970.4133793283249</v>
      </c>
      <c r="BG365" s="368">
        <f t="shared" ca="1" si="63"/>
        <v>4914.3042732371441</v>
      </c>
      <c r="BH365" s="368">
        <f t="shared" ca="1" si="63"/>
        <v>5747.558611486088</v>
      </c>
      <c r="BI365" s="368">
        <f t="shared" ca="1" si="63"/>
        <v>6680.5573002001374</v>
      </c>
      <c r="BJ365" s="1287"/>
    </row>
    <row r="366" spans="2:65">
      <c r="B366" s="1284"/>
      <c r="C366" s="1296"/>
      <c r="D366" s="1299"/>
      <c r="E366" s="1297"/>
      <c r="F366" s="1298"/>
      <c r="G366" s="1298"/>
      <c r="H366" s="1298"/>
      <c r="I366" s="1298"/>
      <c r="J366" s="1298"/>
      <c r="K366" s="1298"/>
      <c r="L366" s="1298"/>
      <c r="M366" s="1298"/>
      <c r="N366" s="1298"/>
      <c r="O366" s="1298"/>
      <c r="P366" s="1298"/>
      <c r="Q366" s="1298"/>
      <c r="R366" s="1298"/>
      <c r="S366" s="1298"/>
      <c r="T366" s="1298"/>
      <c r="U366" s="1298"/>
      <c r="V366" s="1298"/>
      <c r="W366" s="1298"/>
      <c r="X366" s="1298"/>
      <c r="Y366" s="1298"/>
      <c r="Z366" s="1298"/>
      <c r="AA366" s="1298"/>
      <c r="AB366" s="1298"/>
      <c r="AC366" s="1298"/>
      <c r="AD366" s="1298"/>
      <c r="AE366" s="1298"/>
      <c r="AF366" s="1298"/>
      <c r="AG366" s="1298"/>
      <c r="AH366" s="1298"/>
      <c r="AI366" s="1298"/>
      <c r="AJ366" s="1298"/>
      <c r="AK366" s="1298"/>
      <c r="AL366" s="1298"/>
      <c r="AM366" s="1298"/>
      <c r="AN366" s="1298"/>
      <c r="AO366" s="1298"/>
      <c r="AP366" s="1298"/>
      <c r="AQ366" s="1298"/>
      <c r="AR366" s="1298"/>
      <c r="AS366" s="1298"/>
      <c r="AT366" s="1298"/>
      <c r="AU366" s="1298"/>
      <c r="AV366" s="1298"/>
      <c r="AW366" s="1298"/>
      <c r="AX366" s="1297"/>
      <c r="AY366" s="368"/>
      <c r="AZ366" s="368"/>
      <c r="BA366" s="368"/>
      <c r="BB366" s="368"/>
      <c r="BC366" s="368"/>
      <c r="BD366" s="368"/>
      <c r="BE366" s="368"/>
      <c r="BF366" s="368"/>
      <c r="BG366" s="368"/>
      <c r="BH366" s="368"/>
      <c r="BI366" s="368"/>
      <c r="BJ366" s="1287"/>
    </row>
    <row r="367" spans="2:65">
      <c r="B367" s="1284"/>
    </row>
    <row r="368" spans="2:65">
      <c r="B368" s="1284"/>
    </row>
    <row r="407" spans="3:65">
      <c r="BA407" s="1300"/>
    </row>
    <row r="408" spans="3:65">
      <c r="AY408" s="1301"/>
      <c r="AZ408" s="1301"/>
      <c r="BA408" s="3298"/>
      <c r="BB408" s="961"/>
      <c r="BF408" s="1301"/>
    </row>
    <row r="409" spans="3:65">
      <c r="C409" s="359"/>
      <c r="D409" s="260"/>
      <c r="F409" s="359"/>
      <c r="G409" s="359"/>
      <c r="H409" s="359"/>
      <c r="I409" s="359"/>
      <c r="J409" s="359"/>
      <c r="K409" s="359"/>
      <c r="L409" s="359"/>
      <c r="M409" s="359"/>
      <c r="N409" s="359"/>
      <c r="O409" s="359"/>
      <c r="P409" s="359"/>
      <c r="Q409" s="359"/>
      <c r="R409" s="359"/>
      <c r="S409" s="359"/>
      <c r="T409" s="359"/>
      <c r="U409" s="359"/>
      <c r="V409" s="359"/>
      <c r="W409" s="359"/>
      <c r="X409" s="359"/>
      <c r="Y409" s="359"/>
      <c r="Z409" s="359"/>
      <c r="AA409" s="359"/>
      <c r="AB409" s="359"/>
      <c r="AC409" s="359"/>
      <c r="AD409" s="359"/>
      <c r="AE409" s="359"/>
      <c r="AF409" s="359"/>
      <c r="AG409" s="359"/>
      <c r="AH409" s="359"/>
      <c r="AI409" s="359"/>
      <c r="AJ409" s="359"/>
      <c r="AK409" s="359"/>
      <c r="AL409" s="359"/>
      <c r="AM409" s="359"/>
      <c r="AN409" s="359"/>
      <c r="AO409" s="359"/>
      <c r="AP409" s="359"/>
      <c r="AQ409" s="359"/>
      <c r="AR409" s="359"/>
      <c r="AS409" s="359"/>
      <c r="AT409" s="359"/>
      <c r="AU409" s="359"/>
      <c r="AV409" s="359"/>
      <c r="AW409" s="359"/>
      <c r="AY409" s="962"/>
      <c r="AZ409" s="962"/>
      <c r="BA409" s="1303"/>
      <c r="BB409" s="625"/>
      <c r="BF409" s="962"/>
      <c r="BG409" s="260"/>
      <c r="BH409" s="260"/>
      <c r="BI409" s="359"/>
      <c r="BK409" s="359"/>
      <c r="BL409" s="359"/>
      <c r="BM409" s="359"/>
    </row>
    <row r="410" spans="3:65">
      <c r="C410" s="359"/>
      <c r="D410" s="260"/>
      <c r="F410" s="359"/>
      <c r="G410" s="359"/>
      <c r="H410" s="359"/>
      <c r="I410" s="359"/>
      <c r="J410" s="359"/>
      <c r="K410" s="359"/>
      <c r="L410" s="359"/>
      <c r="M410" s="359"/>
      <c r="N410" s="359"/>
      <c r="O410" s="359"/>
      <c r="P410" s="359"/>
      <c r="Q410" s="359"/>
      <c r="R410" s="359"/>
      <c r="S410" s="359"/>
      <c r="T410" s="359"/>
      <c r="U410" s="359"/>
      <c r="V410" s="359"/>
      <c r="W410" s="359"/>
      <c r="X410" s="359"/>
      <c r="Y410" s="359"/>
      <c r="Z410" s="359"/>
      <c r="AA410" s="359"/>
      <c r="AB410" s="359"/>
      <c r="AC410" s="359"/>
      <c r="AD410" s="359"/>
      <c r="AE410" s="359"/>
      <c r="AF410" s="359"/>
      <c r="AG410" s="359"/>
      <c r="AH410" s="359"/>
      <c r="AI410" s="359"/>
      <c r="AJ410" s="359"/>
      <c r="AK410" s="359"/>
      <c r="AL410" s="359"/>
      <c r="AM410" s="359"/>
      <c r="AN410" s="359"/>
      <c r="AO410" s="359"/>
      <c r="AP410" s="359"/>
      <c r="AQ410" s="359"/>
      <c r="AR410" s="359"/>
      <c r="AS410" s="359"/>
      <c r="AT410" s="359"/>
      <c r="AU410" s="359"/>
      <c r="AV410" s="359"/>
      <c r="AW410" s="359"/>
      <c r="AY410" s="962"/>
      <c r="AZ410" s="962"/>
      <c r="BA410" s="1303"/>
      <c r="BB410" s="625"/>
      <c r="BF410" s="962"/>
      <c r="BG410" s="260"/>
      <c r="BH410" s="260"/>
      <c r="BI410" s="359"/>
      <c r="BK410" s="359"/>
      <c r="BL410" s="359"/>
      <c r="BM410" s="359"/>
    </row>
    <row r="411" spans="3:65">
      <c r="C411" s="359"/>
      <c r="D411" s="260"/>
      <c r="F411" s="359"/>
      <c r="G411" s="359"/>
      <c r="H411" s="359"/>
      <c r="I411" s="359"/>
      <c r="J411" s="359"/>
      <c r="K411" s="359"/>
      <c r="L411" s="359"/>
      <c r="M411" s="359"/>
      <c r="N411" s="359"/>
      <c r="O411" s="359"/>
      <c r="P411" s="359"/>
      <c r="Q411" s="359"/>
      <c r="R411" s="359"/>
      <c r="S411" s="359"/>
      <c r="T411" s="359"/>
      <c r="U411" s="359"/>
      <c r="V411" s="359"/>
      <c r="W411" s="359"/>
      <c r="X411" s="359"/>
      <c r="Y411" s="359"/>
      <c r="Z411" s="359"/>
      <c r="AA411" s="359"/>
      <c r="AB411" s="359"/>
      <c r="AC411" s="359"/>
      <c r="AD411" s="359"/>
      <c r="AE411" s="359"/>
      <c r="AF411" s="359"/>
      <c r="AG411" s="359"/>
      <c r="AH411" s="359"/>
      <c r="AI411" s="359"/>
      <c r="AJ411" s="359"/>
      <c r="AK411" s="359"/>
      <c r="AL411" s="359"/>
      <c r="AM411" s="359"/>
      <c r="AN411" s="359"/>
      <c r="AO411" s="359"/>
      <c r="AP411" s="359"/>
      <c r="AQ411" s="359"/>
      <c r="AR411" s="359"/>
      <c r="AS411" s="359"/>
      <c r="AT411" s="359"/>
      <c r="AU411" s="359"/>
      <c r="AV411" s="359"/>
      <c r="AW411" s="359"/>
      <c r="AY411" s="962"/>
      <c r="AZ411" s="962"/>
      <c r="BA411" s="1303"/>
      <c r="BB411" s="625"/>
      <c r="BF411" s="962"/>
      <c r="BG411" s="260"/>
      <c r="BH411" s="260"/>
      <c r="BI411" s="359"/>
      <c r="BK411" s="359"/>
      <c r="BL411" s="359"/>
      <c r="BM411" s="359"/>
    </row>
    <row r="412" spans="3:65">
      <c r="C412" s="359"/>
      <c r="D412" s="260"/>
      <c r="F412" s="359"/>
      <c r="G412" s="359"/>
      <c r="H412" s="359"/>
      <c r="I412" s="359"/>
      <c r="J412" s="359"/>
      <c r="K412" s="359"/>
      <c r="L412" s="359"/>
      <c r="M412" s="359"/>
      <c r="N412" s="359"/>
      <c r="O412" s="359"/>
      <c r="P412" s="359"/>
      <c r="Q412" s="359"/>
      <c r="R412" s="359"/>
      <c r="S412" s="359"/>
      <c r="T412" s="359"/>
      <c r="U412" s="359"/>
      <c r="V412" s="359"/>
      <c r="W412" s="359"/>
      <c r="X412" s="359"/>
      <c r="Y412" s="359"/>
      <c r="Z412" s="359"/>
      <c r="AA412" s="359"/>
      <c r="AB412" s="359"/>
      <c r="AC412" s="359"/>
      <c r="AD412" s="359"/>
      <c r="AE412" s="359"/>
      <c r="AF412" s="359"/>
      <c r="AG412" s="359"/>
      <c r="AH412" s="359"/>
      <c r="AI412" s="359"/>
      <c r="AJ412" s="359"/>
      <c r="AK412" s="359"/>
      <c r="AL412" s="359"/>
      <c r="AM412" s="359"/>
      <c r="AN412" s="359"/>
      <c r="AO412" s="359"/>
      <c r="AP412" s="359"/>
      <c r="AQ412" s="359"/>
      <c r="AR412" s="359"/>
      <c r="AS412" s="359"/>
      <c r="AT412" s="359"/>
      <c r="AU412" s="359"/>
      <c r="AV412" s="359"/>
      <c r="AW412" s="359"/>
      <c r="AY412" s="962"/>
      <c r="AZ412" s="962"/>
      <c r="BA412" s="1303"/>
      <c r="BB412" s="625"/>
      <c r="BF412" s="962"/>
      <c r="BG412" s="260"/>
      <c r="BH412" s="260"/>
      <c r="BI412" s="359"/>
      <c r="BK412" s="359"/>
      <c r="BL412" s="359"/>
      <c r="BM412" s="359"/>
    </row>
    <row r="413" spans="3:65">
      <c r="C413" s="359"/>
      <c r="D413" s="260"/>
      <c r="F413" s="359"/>
      <c r="G413" s="359"/>
      <c r="H413" s="359"/>
      <c r="I413" s="359"/>
      <c r="J413" s="359"/>
      <c r="K413" s="359"/>
      <c r="L413" s="359"/>
      <c r="M413" s="359"/>
      <c r="N413" s="359"/>
      <c r="O413" s="359"/>
      <c r="P413" s="359"/>
      <c r="Q413" s="359"/>
      <c r="R413" s="359"/>
      <c r="S413" s="359"/>
      <c r="T413" s="359"/>
      <c r="U413" s="359"/>
      <c r="V413" s="359"/>
      <c r="W413" s="359"/>
      <c r="X413" s="359"/>
      <c r="Y413" s="359"/>
      <c r="Z413" s="359"/>
      <c r="AA413" s="359"/>
      <c r="AB413" s="359"/>
      <c r="AC413" s="359"/>
      <c r="AD413" s="359"/>
      <c r="AE413" s="359"/>
      <c r="AF413" s="359"/>
      <c r="AG413" s="359"/>
      <c r="AH413" s="359"/>
      <c r="AI413" s="359"/>
      <c r="AJ413" s="359"/>
      <c r="AK413" s="359"/>
      <c r="AL413" s="359"/>
      <c r="AM413" s="359"/>
      <c r="AN413" s="359"/>
      <c r="AO413" s="359"/>
      <c r="AP413" s="359"/>
      <c r="AQ413" s="359"/>
      <c r="AR413" s="359"/>
      <c r="AS413" s="359"/>
      <c r="AT413" s="359"/>
      <c r="AU413" s="359"/>
      <c r="AV413" s="359"/>
      <c r="AW413" s="359"/>
      <c r="AY413" s="962"/>
      <c r="AZ413" s="962"/>
      <c r="BA413" s="1303"/>
      <c r="BB413" s="3355"/>
      <c r="BF413" s="962"/>
      <c r="BG413" s="260"/>
      <c r="BH413" s="260"/>
      <c r="BI413" s="359"/>
      <c r="BK413" s="359"/>
      <c r="BL413" s="359"/>
      <c r="BM413" s="359"/>
    </row>
    <row r="414" spans="3:65">
      <c r="C414" s="359"/>
      <c r="D414" s="260"/>
      <c r="F414" s="359"/>
      <c r="G414" s="359"/>
      <c r="H414" s="359"/>
      <c r="I414" s="359"/>
      <c r="J414" s="359"/>
      <c r="K414" s="359"/>
      <c r="L414" s="359"/>
      <c r="M414" s="359"/>
      <c r="N414" s="359"/>
      <c r="O414" s="359"/>
      <c r="P414" s="359"/>
      <c r="Q414" s="359"/>
      <c r="R414" s="359"/>
      <c r="S414" s="359"/>
      <c r="T414" s="359"/>
      <c r="U414" s="359"/>
      <c r="V414" s="359"/>
      <c r="W414" s="359"/>
      <c r="X414" s="359"/>
      <c r="Y414" s="359"/>
      <c r="Z414" s="359"/>
      <c r="AA414" s="359"/>
      <c r="AB414" s="359"/>
      <c r="AC414" s="359"/>
      <c r="AD414" s="359"/>
      <c r="AE414" s="359"/>
      <c r="AF414" s="359"/>
      <c r="AG414" s="359"/>
      <c r="AH414" s="359"/>
      <c r="AI414" s="359"/>
      <c r="AJ414" s="359"/>
      <c r="AK414" s="359"/>
      <c r="AL414" s="359"/>
      <c r="AM414" s="359"/>
      <c r="AN414" s="359"/>
      <c r="AO414" s="359"/>
      <c r="AP414" s="359"/>
      <c r="AQ414" s="359"/>
      <c r="AR414" s="359"/>
      <c r="AS414" s="359"/>
      <c r="AT414" s="359"/>
      <c r="AU414" s="359"/>
      <c r="AV414" s="359"/>
      <c r="AW414" s="359"/>
      <c r="AY414" s="962"/>
      <c r="AZ414" s="962"/>
      <c r="BA414" s="1303"/>
      <c r="BB414" s="3355"/>
      <c r="BF414" s="962"/>
      <c r="BG414" s="260"/>
      <c r="BH414" s="260"/>
      <c r="BI414" s="359"/>
      <c r="BK414" s="359"/>
      <c r="BL414" s="359"/>
      <c r="BM414" s="359"/>
    </row>
    <row r="415" spans="3:65">
      <c r="C415" s="359"/>
      <c r="D415" s="260"/>
      <c r="F415" s="359"/>
      <c r="G415" s="359"/>
      <c r="H415" s="359"/>
      <c r="I415" s="359"/>
      <c r="J415" s="359"/>
      <c r="K415" s="359"/>
      <c r="L415" s="359"/>
      <c r="M415" s="359"/>
      <c r="N415" s="359"/>
      <c r="O415" s="359"/>
      <c r="P415" s="359"/>
      <c r="Q415" s="359"/>
      <c r="R415" s="359"/>
      <c r="S415" s="359"/>
      <c r="T415" s="359"/>
      <c r="U415" s="359"/>
      <c r="V415" s="359"/>
      <c r="W415" s="359"/>
      <c r="X415" s="359"/>
      <c r="Y415" s="359"/>
      <c r="Z415" s="359"/>
      <c r="AA415" s="359"/>
      <c r="AB415" s="359"/>
      <c r="AC415" s="359"/>
      <c r="AD415" s="359"/>
      <c r="AE415" s="359"/>
      <c r="AF415" s="359"/>
      <c r="AG415" s="359"/>
      <c r="AH415" s="359"/>
      <c r="AI415" s="359"/>
      <c r="AJ415" s="359"/>
      <c r="AK415" s="359"/>
      <c r="AL415" s="359"/>
      <c r="AM415" s="359"/>
      <c r="AN415" s="359"/>
      <c r="AO415" s="359"/>
      <c r="AP415" s="359"/>
      <c r="AQ415" s="359"/>
      <c r="AR415" s="359"/>
      <c r="AS415" s="359"/>
      <c r="AT415" s="359"/>
      <c r="AU415" s="359"/>
      <c r="AV415" s="359"/>
      <c r="AW415" s="359"/>
      <c r="AY415" s="962"/>
      <c r="AZ415" s="962"/>
      <c r="BA415" s="1303"/>
      <c r="BB415" s="625"/>
      <c r="BF415" s="962"/>
      <c r="BG415" s="260"/>
      <c r="BH415" s="260"/>
      <c r="BI415" s="359"/>
      <c r="BK415" s="359"/>
      <c r="BL415" s="359"/>
      <c r="BM415" s="359"/>
    </row>
    <row r="416" spans="3:65">
      <c r="C416" s="359"/>
      <c r="D416" s="260"/>
      <c r="F416" s="359"/>
      <c r="G416" s="359"/>
      <c r="H416" s="359"/>
      <c r="I416" s="359"/>
      <c r="J416" s="359"/>
      <c r="K416" s="359"/>
      <c r="L416" s="359"/>
      <c r="M416" s="359"/>
      <c r="N416" s="359"/>
      <c r="O416" s="359"/>
      <c r="P416" s="359"/>
      <c r="Q416" s="359"/>
      <c r="R416" s="359"/>
      <c r="S416" s="359"/>
      <c r="T416" s="359"/>
      <c r="U416" s="359"/>
      <c r="V416" s="359"/>
      <c r="W416" s="359"/>
      <c r="X416" s="359"/>
      <c r="Y416" s="359"/>
      <c r="Z416" s="359"/>
      <c r="AA416" s="359"/>
      <c r="AB416" s="359"/>
      <c r="AC416" s="359"/>
      <c r="AD416" s="359"/>
      <c r="AE416" s="359"/>
      <c r="AF416" s="359"/>
      <c r="AG416" s="359"/>
      <c r="AH416" s="359"/>
      <c r="AI416" s="359"/>
      <c r="AJ416" s="359"/>
      <c r="AK416" s="359"/>
      <c r="AL416" s="359"/>
      <c r="AM416" s="359"/>
      <c r="AN416" s="359"/>
      <c r="AO416" s="359"/>
      <c r="AP416" s="359"/>
      <c r="AQ416" s="359"/>
      <c r="AR416" s="359"/>
      <c r="AS416" s="359"/>
      <c r="AT416" s="359"/>
      <c r="AU416" s="359"/>
      <c r="AV416" s="359"/>
      <c r="AW416" s="359"/>
      <c r="AY416" s="962"/>
      <c r="AZ416" s="962"/>
      <c r="BA416" s="1303"/>
      <c r="BB416" s="625"/>
      <c r="BF416" s="962"/>
      <c r="BG416" s="260"/>
      <c r="BH416" s="260"/>
      <c r="BI416" s="359"/>
      <c r="BK416" s="359"/>
      <c r="BL416" s="359"/>
      <c r="BM416" s="359"/>
    </row>
    <row r="417" spans="3:65">
      <c r="C417" s="359"/>
      <c r="D417" s="260"/>
      <c r="F417" s="359"/>
      <c r="G417" s="359"/>
      <c r="H417" s="359"/>
      <c r="I417" s="359"/>
      <c r="J417" s="359"/>
      <c r="K417" s="359"/>
      <c r="L417" s="359"/>
      <c r="M417" s="359"/>
      <c r="N417" s="359"/>
      <c r="O417" s="359"/>
      <c r="P417" s="359"/>
      <c r="Q417" s="359"/>
      <c r="R417" s="359"/>
      <c r="S417" s="359"/>
      <c r="T417" s="359"/>
      <c r="U417" s="359"/>
      <c r="V417" s="359"/>
      <c r="W417" s="359"/>
      <c r="X417" s="359"/>
      <c r="Y417" s="359"/>
      <c r="Z417" s="359"/>
      <c r="AA417" s="359"/>
      <c r="AB417" s="359"/>
      <c r="AC417" s="359"/>
      <c r="AD417" s="359"/>
      <c r="AE417" s="359"/>
      <c r="AF417" s="359"/>
      <c r="AG417" s="359"/>
      <c r="AH417" s="359"/>
      <c r="AI417" s="359"/>
      <c r="AJ417" s="359"/>
      <c r="AK417" s="359"/>
      <c r="AL417" s="359"/>
      <c r="AM417" s="359"/>
      <c r="AN417" s="359"/>
      <c r="AO417" s="359"/>
      <c r="AP417" s="359"/>
      <c r="AQ417" s="359"/>
      <c r="AR417" s="359"/>
      <c r="AS417" s="359"/>
      <c r="AT417" s="359"/>
      <c r="AU417" s="359"/>
      <c r="AV417" s="359"/>
      <c r="AW417" s="359"/>
      <c r="AY417" s="962"/>
      <c r="AZ417" s="962"/>
      <c r="BA417" s="1303"/>
      <c r="BB417" s="625"/>
      <c r="BF417" s="962"/>
      <c r="BG417" s="260"/>
      <c r="BH417" s="260"/>
      <c r="BI417" s="359"/>
      <c r="BK417" s="359"/>
      <c r="BL417" s="359"/>
      <c r="BM417" s="359"/>
    </row>
    <row r="418" spans="3:65">
      <c r="C418" s="359"/>
      <c r="D418" s="260"/>
      <c r="F418" s="359"/>
      <c r="G418" s="359"/>
      <c r="H418" s="359"/>
      <c r="I418" s="359"/>
      <c r="J418" s="359"/>
      <c r="K418" s="359"/>
      <c r="L418" s="359"/>
      <c r="M418" s="359"/>
      <c r="N418" s="359"/>
      <c r="O418" s="359"/>
      <c r="P418" s="359"/>
      <c r="Q418" s="359"/>
      <c r="R418" s="359"/>
      <c r="S418" s="359"/>
      <c r="T418" s="359"/>
      <c r="U418" s="359"/>
      <c r="V418" s="359"/>
      <c r="W418" s="359"/>
      <c r="X418" s="359"/>
      <c r="Y418" s="359"/>
      <c r="Z418" s="359"/>
      <c r="AA418" s="359"/>
      <c r="AB418" s="359"/>
      <c r="AC418" s="359"/>
      <c r="AD418" s="359"/>
      <c r="AE418" s="359"/>
      <c r="AF418" s="359"/>
      <c r="AG418" s="359"/>
      <c r="AH418" s="359"/>
      <c r="AI418" s="359"/>
      <c r="AJ418" s="359"/>
      <c r="AK418" s="359"/>
      <c r="AL418" s="359"/>
      <c r="AM418" s="359"/>
      <c r="AN418" s="359"/>
      <c r="AO418" s="359"/>
      <c r="AP418" s="359"/>
      <c r="AQ418" s="359"/>
      <c r="AR418" s="359"/>
      <c r="AS418" s="359"/>
      <c r="AT418" s="359"/>
      <c r="AU418" s="359"/>
      <c r="AV418" s="359"/>
      <c r="AW418" s="359"/>
      <c r="AY418" s="962"/>
      <c r="AZ418" s="962"/>
      <c r="BA418" s="1303"/>
      <c r="BB418" s="625"/>
      <c r="BF418" s="1304"/>
      <c r="BG418" s="260"/>
      <c r="BH418" s="260"/>
      <c r="BI418" s="359"/>
      <c r="BK418" s="359"/>
      <c r="BL418" s="359"/>
      <c r="BM418" s="359"/>
    </row>
    <row r="419" spans="3:65">
      <c r="C419" s="359"/>
      <c r="D419" s="260"/>
      <c r="F419" s="359"/>
      <c r="G419" s="359"/>
      <c r="H419" s="359"/>
      <c r="I419" s="359"/>
      <c r="J419" s="359"/>
      <c r="K419" s="359"/>
      <c r="L419" s="359"/>
      <c r="M419" s="359"/>
      <c r="N419" s="359"/>
      <c r="O419" s="359"/>
      <c r="P419" s="359"/>
      <c r="Q419" s="359"/>
      <c r="R419" s="359"/>
      <c r="S419" s="359"/>
      <c r="T419" s="359"/>
      <c r="U419" s="359"/>
      <c r="V419" s="359"/>
      <c r="W419" s="359"/>
      <c r="X419" s="359"/>
      <c r="Y419" s="359"/>
      <c r="Z419" s="359"/>
      <c r="AA419" s="359"/>
      <c r="AB419" s="359"/>
      <c r="AC419" s="359"/>
      <c r="AD419" s="359"/>
      <c r="AE419" s="359"/>
      <c r="AF419" s="359"/>
      <c r="AG419" s="359"/>
      <c r="AH419" s="359"/>
      <c r="AI419" s="359"/>
      <c r="AJ419" s="359"/>
      <c r="AK419" s="359"/>
      <c r="AL419" s="359"/>
      <c r="AM419" s="359"/>
      <c r="AN419" s="359"/>
      <c r="AO419" s="359"/>
      <c r="AP419" s="359"/>
      <c r="AQ419" s="359"/>
      <c r="AR419" s="359"/>
      <c r="AS419" s="359"/>
      <c r="AT419" s="359"/>
      <c r="AU419" s="359"/>
      <c r="AV419" s="359"/>
      <c r="AW419" s="359"/>
      <c r="AY419" s="962"/>
      <c r="AZ419" s="962"/>
      <c r="BA419" s="1303"/>
      <c r="BB419" s="625"/>
      <c r="BF419" s="440"/>
      <c r="BG419" s="3356"/>
      <c r="BH419" s="3356"/>
      <c r="BI419" s="1305"/>
      <c r="BJ419" s="242"/>
      <c r="BK419" s="1305"/>
      <c r="BL419" s="1305"/>
      <c r="BM419" s="1305"/>
    </row>
    <row r="420" spans="3:65">
      <c r="C420" s="359"/>
      <c r="D420" s="260"/>
      <c r="F420" s="359"/>
      <c r="G420" s="359"/>
      <c r="H420" s="359"/>
      <c r="I420" s="359"/>
      <c r="J420" s="359"/>
      <c r="K420" s="359"/>
      <c r="L420" s="359"/>
      <c r="M420" s="359"/>
      <c r="N420" s="359"/>
      <c r="O420" s="359"/>
      <c r="P420" s="359"/>
      <c r="Q420" s="359"/>
      <c r="R420" s="359"/>
      <c r="S420" s="359"/>
      <c r="T420" s="359"/>
      <c r="U420" s="359"/>
      <c r="V420" s="359"/>
      <c r="W420" s="359"/>
      <c r="X420" s="359"/>
      <c r="Y420" s="359"/>
      <c r="Z420" s="359"/>
      <c r="AA420" s="359"/>
      <c r="AB420" s="359"/>
      <c r="AC420" s="359"/>
      <c r="AD420" s="359"/>
      <c r="AE420" s="359"/>
      <c r="AF420" s="359"/>
      <c r="AG420" s="359"/>
      <c r="AH420" s="359"/>
      <c r="AI420" s="359"/>
      <c r="AJ420" s="359"/>
      <c r="AK420" s="359"/>
      <c r="AL420" s="359"/>
      <c r="AM420" s="359"/>
      <c r="AN420" s="359"/>
      <c r="AO420" s="359"/>
      <c r="AP420" s="359"/>
      <c r="AQ420" s="359"/>
      <c r="AR420" s="359"/>
      <c r="AS420" s="359"/>
      <c r="AT420" s="359"/>
      <c r="AU420" s="359"/>
      <c r="AV420" s="359"/>
      <c r="AW420" s="359"/>
      <c r="AY420" s="962"/>
      <c r="AZ420" s="962"/>
      <c r="BA420" s="1303"/>
      <c r="BB420" s="625"/>
      <c r="BF420" s="3357"/>
      <c r="BG420" s="3358"/>
      <c r="BH420" s="3358"/>
      <c r="BI420" s="3359"/>
      <c r="BJ420" s="242"/>
      <c r="BK420" s="3359"/>
      <c r="BL420" s="3359"/>
      <c r="BM420" s="3359"/>
    </row>
    <row r="421" spans="3:65">
      <c r="C421" s="359"/>
      <c r="D421" s="260"/>
      <c r="F421" s="359"/>
      <c r="G421" s="359"/>
      <c r="H421" s="359"/>
      <c r="I421" s="359"/>
      <c r="J421" s="359"/>
      <c r="K421" s="359"/>
      <c r="L421" s="359"/>
      <c r="M421" s="359"/>
      <c r="N421" s="359"/>
      <c r="O421" s="359"/>
      <c r="P421" s="359"/>
      <c r="Q421" s="359"/>
      <c r="R421" s="359"/>
      <c r="S421" s="359"/>
      <c r="T421" s="359"/>
      <c r="U421" s="359"/>
      <c r="V421" s="359"/>
      <c r="W421" s="359"/>
      <c r="X421" s="359"/>
      <c r="Y421" s="359"/>
      <c r="Z421" s="359"/>
      <c r="AA421" s="359"/>
      <c r="AB421" s="359"/>
      <c r="AC421" s="359"/>
      <c r="AD421" s="359"/>
      <c r="AE421" s="359"/>
      <c r="AF421" s="359"/>
      <c r="AG421" s="359"/>
      <c r="AH421" s="359"/>
      <c r="AI421" s="359"/>
      <c r="AJ421" s="359"/>
      <c r="AK421" s="359"/>
      <c r="AL421" s="359"/>
      <c r="AM421" s="359"/>
      <c r="AN421" s="359"/>
      <c r="AO421" s="359"/>
      <c r="AP421" s="359"/>
      <c r="AQ421" s="359"/>
      <c r="AR421" s="359"/>
      <c r="AS421" s="359"/>
      <c r="AT421" s="359"/>
      <c r="AU421" s="359"/>
      <c r="AV421" s="359"/>
      <c r="AW421" s="359"/>
      <c r="AY421" s="962"/>
      <c r="AZ421" s="962"/>
      <c r="BA421" s="1303"/>
      <c r="BB421" s="625"/>
      <c r="BF421" s="962"/>
      <c r="BG421" s="260"/>
      <c r="BH421" s="260"/>
      <c r="BI421" s="359"/>
      <c r="BK421" s="359"/>
      <c r="BL421" s="359"/>
      <c r="BM421" s="359"/>
    </row>
    <row r="422" spans="3:65">
      <c r="C422" s="359"/>
      <c r="D422" s="260"/>
      <c r="F422" s="359"/>
      <c r="G422" s="359"/>
      <c r="H422" s="359"/>
      <c r="I422" s="359"/>
      <c r="J422" s="359"/>
      <c r="K422" s="359"/>
      <c r="L422" s="359"/>
      <c r="M422" s="359"/>
      <c r="N422" s="359"/>
      <c r="O422" s="359"/>
      <c r="P422" s="359"/>
      <c r="Q422" s="359"/>
      <c r="R422" s="359"/>
      <c r="S422" s="359"/>
      <c r="T422" s="359"/>
      <c r="U422" s="359"/>
      <c r="V422" s="359"/>
      <c r="W422" s="359"/>
      <c r="X422" s="359"/>
      <c r="Y422" s="359"/>
      <c r="Z422" s="359"/>
      <c r="AA422" s="359"/>
      <c r="AB422" s="359"/>
      <c r="AC422" s="359"/>
      <c r="AD422" s="359"/>
      <c r="AE422" s="359"/>
      <c r="AF422" s="359"/>
      <c r="AG422" s="359"/>
      <c r="AH422" s="359"/>
      <c r="AI422" s="359"/>
      <c r="AJ422" s="359"/>
      <c r="AK422" s="359"/>
      <c r="AL422" s="359"/>
      <c r="AM422" s="359"/>
      <c r="AN422" s="359"/>
      <c r="AO422" s="359"/>
      <c r="AP422" s="359"/>
      <c r="AQ422" s="359"/>
      <c r="AR422" s="359"/>
      <c r="AS422" s="359"/>
      <c r="AT422" s="359"/>
      <c r="AU422" s="359"/>
      <c r="AV422" s="359"/>
      <c r="AW422" s="359"/>
      <c r="AY422" s="962"/>
      <c r="AZ422" s="962"/>
      <c r="BA422" s="1303"/>
      <c r="BB422" s="625"/>
      <c r="BF422" s="962"/>
      <c r="BG422" s="260"/>
      <c r="BH422" s="260"/>
      <c r="BI422" s="359"/>
      <c r="BK422" s="359"/>
      <c r="BL422" s="359"/>
      <c r="BM422" s="359"/>
    </row>
    <row r="423" spans="3:65">
      <c r="C423" s="359"/>
      <c r="D423" s="260"/>
      <c r="F423" s="359"/>
      <c r="G423" s="359"/>
      <c r="H423" s="359"/>
      <c r="I423" s="359"/>
      <c r="J423" s="359"/>
      <c r="K423" s="359"/>
      <c r="L423" s="359"/>
      <c r="M423" s="359"/>
      <c r="N423" s="359"/>
      <c r="O423" s="359"/>
      <c r="P423" s="359"/>
      <c r="Q423" s="359"/>
      <c r="R423" s="359"/>
      <c r="S423" s="359"/>
      <c r="T423" s="359"/>
      <c r="U423" s="359"/>
      <c r="V423" s="359"/>
      <c r="W423" s="359"/>
      <c r="X423" s="359"/>
      <c r="Y423" s="359"/>
      <c r="Z423" s="359"/>
      <c r="AA423" s="359"/>
      <c r="AB423" s="359"/>
      <c r="AC423" s="359"/>
      <c r="AD423" s="359"/>
      <c r="AE423" s="359"/>
      <c r="AF423" s="359"/>
      <c r="AG423" s="359"/>
      <c r="AH423" s="359"/>
      <c r="AI423" s="359"/>
      <c r="AJ423" s="359"/>
      <c r="AK423" s="359"/>
      <c r="AL423" s="359"/>
      <c r="AM423" s="359"/>
      <c r="AN423" s="359"/>
      <c r="AO423" s="359"/>
      <c r="AP423" s="359"/>
      <c r="AQ423" s="359"/>
      <c r="AR423" s="359"/>
      <c r="AS423" s="359"/>
      <c r="AT423" s="359"/>
      <c r="AU423" s="359"/>
      <c r="AV423" s="359"/>
      <c r="AW423" s="359"/>
      <c r="AY423" s="962"/>
      <c r="AZ423" s="962"/>
      <c r="BA423" s="1303"/>
      <c r="BB423" s="625"/>
      <c r="BF423" s="962"/>
      <c r="BG423" s="260"/>
      <c r="BH423" s="260"/>
      <c r="BI423" s="359"/>
      <c r="BK423" s="359"/>
      <c r="BL423" s="359"/>
      <c r="BM423" s="359"/>
    </row>
    <row r="424" spans="3:65">
      <c r="C424" s="359"/>
      <c r="D424" s="260"/>
      <c r="F424" s="359"/>
      <c r="G424" s="359"/>
      <c r="H424" s="359"/>
      <c r="I424" s="359"/>
      <c r="J424" s="359"/>
      <c r="K424" s="359"/>
      <c r="L424" s="359"/>
      <c r="M424" s="359"/>
      <c r="N424" s="359"/>
      <c r="O424" s="359"/>
      <c r="P424" s="359"/>
      <c r="Q424" s="359"/>
      <c r="R424" s="359"/>
      <c r="S424" s="359"/>
      <c r="T424" s="359"/>
      <c r="U424" s="359"/>
      <c r="V424" s="359"/>
      <c r="W424" s="359"/>
      <c r="X424" s="359"/>
      <c r="Y424" s="359"/>
      <c r="Z424" s="359"/>
      <c r="AA424" s="359"/>
      <c r="AB424" s="359"/>
      <c r="AC424" s="359"/>
      <c r="AD424" s="359"/>
      <c r="AE424" s="359"/>
      <c r="AF424" s="359"/>
      <c r="AG424" s="359"/>
      <c r="AH424" s="359"/>
      <c r="AI424" s="359"/>
      <c r="AJ424" s="359"/>
      <c r="AK424" s="359"/>
      <c r="AL424" s="359"/>
      <c r="AM424" s="359"/>
      <c r="AN424" s="359"/>
      <c r="AO424" s="359"/>
      <c r="AP424" s="359"/>
      <c r="AQ424" s="359"/>
      <c r="AR424" s="359"/>
      <c r="AS424" s="359"/>
      <c r="AT424" s="359"/>
      <c r="AU424" s="359"/>
      <c r="AV424" s="359"/>
      <c r="AW424" s="359"/>
      <c r="AY424" s="1306"/>
      <c r="AZ424" s="1306"/>
      <c r="BA424" s="1303"/>
      <c r="BB424" s="625"/>
      <c r="BF424" s="962"/>
      <c r="BG424" s="260"/>
      <c r="BH424" s="260"/>
      <c r="BI424" s="359"/>
      <c r="BK424" s="359"/>
      <c r="BL424" s="359"/>
      <c r="BM424" s="359"/>
    </row>
    <row r="425" spans="3:65">
      <c r="C425" s="359"/>
      <c r="D425" s="260"/>
      <c r="F425" s="359"/>
      <c r="G425" s="359"/>
      <c r="H425" s="359"/>
      <c r="I425" s="359"/>
      <c r="J425" s="359"/>
      <c r="K425" s="359"/>
      <c r="L425" s="359"/>
      <c r="M425" s="359"/>
      <c r="N425" s="359"/>
      <c r="O425" s="359"/>
      <c r="P425" s="359"/>
      <c r="Q425" s="359"/>
      <c r="R425" s="359"/>
      <c r="S425" s="359"/>
      <c r="T425" s="359"/>
      <c r="U425" s="359"/>
      <c r="V425" s="359"/>
      <c r="W425" s="359"/>
      <c r="X425" s="359"/>
      <c r="Y425" s="359"/>
      <c r="Z425" s="359"/>
      <c r="AA425" s="359"/>
      <c r="AB425" s="359"/>
      <c r="AC425" s="359"/>
      <c r="AD425" s="359"/>
      <c r="AE425" s="359"/>
      <c r="AF425" s="359"/>
      <c r="AG425" s="359"/>
      <c r="AH425" s="359"/>
      <c r="AI425" s="359"/>
      <c r="AJ425" s="359"/>
      <c r="AK425" s="359"/>
      <c r="AL425" s="359"/>
      <c r="AM425" s="359"/>
      <c r="AN425" s="359"/>
      <c r="AO425" s="359"/>
      <c r="AP425" s="359"/>
      <c r="AQ425" s="359"/>
      <c r="AR425" s="359"/>
      <c r="AS425" s="359"/>
      <c r="AT425" s="359"/>
      <c r="AU425" s="359"/>
      <c r="AV425" s="359"/>
      <c r="AW425" s="359"/>
      <c r="AY425" s="1306"/>
      <c r="AZ425" s="1306"/>
      <c r="BA425" s="1303"/>
      <c r="BB425" s="625"/>
      <c r="BF425" s="962"/>
      <c r="BG425" s="260"/>
      <c r="BH425" s="260"/>
      <c r="BI425" s="359"/>
      <c r="BK425" s="359"/>
      <c r="BL425" s="359"/>
      <c r="BM425" s="359"/>
    </row>
    <row r="426" spans="3:65">
      <c r="C426" s="359"/>
      <c r="D426" s="260"/>
      <c r="F426" s="359"/>
      <c r="G426" s="359"/>
      <c r="H426" s="359"/>
      <c r="I426" s="359"/>
      <c r="J426" s="359"/>
      <c r="K426" s="359"/>
      <c r="L426" s="359"/>
      <c r="M426" s="359"/>
      <c r="N426" s="359"/>
      <c r="O426" s="359"/>
      <c r="P426" s="359"/>
      <c r="Q426" s="359"/>
      <c r="R426" s="359"/>
      <c r="S426" s="359"/>
      <c r="T426" s="359"/>
      <c r="U426" s="359"/>
      <c r="V426" s="359"/>
      <c r="W426" s="359"/>
      <c r="X426" s="359"/>
      <c r="Y426" s="359"/>
      <c r="Z426" s="359"/>
      <c r="AA426" s="359"/>
      <c r="AB426" s="359"/>
      <c r="AC426" s="359"/>
      <c r="AD426" s="359"/>
      <c r="AE426" s="359"/>
      <c r="AF426" s="359"/>
      <c r="AG426" s="359"/>
      <c r="AH426" s="359"/>
      <c r="AI426" s="359"/>
      <c r="AJ426" s="359"/>
      <c r="AK426" s="359"/>
      <c r="AL426" s="359"/>
      <c r="AM426" s="359"/>
      <c r="AN426" s="359"/>
      <c r="AO426" s="359"/>
      <c r="AP426" s="359"/>
      <c r="AQ426" s="359"/>
      <c r="AR426" s="359"/>
      <c r="AS426" s="359"/>
      <c r="AT426" s="359"/>
      <c r="AU426" s="359"/>
      <c r="AV426" s="359"/>
      <c r="AW426" s="359"/>
      <c r="AY426" s="1306"/>
      <c r="AZ426" s="1306"/>
      <c r="BA426" s="1303"/>
      <c r="BB426" s="625"/>
      <c r="BF426" s="962"/>
      <c r="BG426" s="260"/>
      <c r="BH426" s="260"/>
      <c r="BI426" s="359"/>
      <c r="BK426" s="359"/>
      <c r="BL426" s="359"/>
      <c r="BM426" s="359"/>
    </row>
    <row r="427" spans="3:65">
      <c r="C427" s="359"/>
      <c r="D427" s="260"/>
      <c r="F427" s="359"/>
      <c r="G427" s="359"/>
      <c r="H427" s="359"/>
      <c r="I427" s="359"/>
      <c r="J427" s="359"/>
      <c r="K427" s="359"/>
      <c r="L427" s="359"/>
      <c r="M427" s="359"/>
      <c r="N427" s="359"/>
      <c r="O427" s="359"/>
      <c r="P427" s="359"/>
      <c r="Q427" s="359"/>
      <c r="R427" s="359"/>
      <c r="S427" s="359"/>
      <c r="T427" s="359"/>
      <c r="U427" s="359"/>
      <c r="V427" s="359"/>
      <c r="W427" s="359"/>
      <c r="X427" s="359"/>
      <c r="Y427" s="359"/>
      <c r="Z427" s="359"/>
      <c r="AA427" s="359"/>
      <c r="AB427" s="359"/>
      <c r="AC427" s="359"/>
      <c r="AD427" s="359"/>
      <c r="AE427" s="359"/>
      <c r="AF427" s="359"/>
      <c r="AG427" s="359"/>
      <c r="AH427" s="359"/>
      <c r="AI427" s="359"/>
      <c r="AJ427" s="359"/>
      <c r="AK427" s="359"/>
      <c r="AL427" s="359"/>
      <c r="AM427" s="359"/>
      <c r="AN427" s="359"/>
      <c r="AO427" s="359"/>
      <c r="AP427" s="359"/>
      <c r="AQ427" s="359"/>
      <c r="AR427" s="359"/>
      <c r="AS427" s="359"/>
      <c r="AT427" s="359"/>
      <c r="AU427" s="359"/>
      <c r="AV427" s="359"/>
      <c r="AW427" s="359"/>
      <c r="AY427" s="1306"/>
      <c r="AZ427" s="1306"/>
      <c r="BA427" s="1303"/>
      <c r="BB427" s="625"/>
      <c r="BF427" s="1304"/>
      <c r="BG427" s="260"/>
      <c r="BH427" s="260"/>
      <c r="BI427" s="359"/>
      <c r="BK427" s="359"/>
      <c r="BL427" s="359"/>
      <c r="BM427" s="359"/>
    </row>
    <row r="428" spans="3:65">
      <c r="C428" s="359"/>
      <c r="D428" s="260"/>
      <c r="F428" s="359"/>
      <c r="G428" s="359"/>
      <c r="H428" s="359"/>
      <c r="I428" s="359"/>
      <c r="J428" s="359"/>
      <c r="K428" s="359"/>
      <c r="L428" s="359"/>
      <c r="M428" s="359"/>
      <c r="N428" s="359"/>
      <c r="O428" s="359"/>
      <c r="P428" s="359"/>
      <c r="Q428" s="359"/>
      <c r="R428" s="359"/>
      <c r="S428" s="359"/>
      <c r="T428" s="359"/>
      <c r="U428" s="359"/>
      <c r="V428" s="359"/>
      <c r="W428" s="359"/>
      <c r="X428" s="359"/>
      <c r="Y428" s="359"/>
      <c r="Z428" s="359"/>
      <c r="AA428" s="359"/>
      <c r="AB428" s="359"/>
      <c r="AC428" s="359"/>
      <c r="AD428" s="359"/>
      <c r="AE428" s="359"/>
      <c r="AF428" s="359"/>
      <c r="AG428" s="359"/>
      <c r="AH428" s="359"/>
      <c r="AI428" s="359"/>
      <c r="AJ428" s="359"/>
      <c r="AK428" s="359"/>
      <c r="AL428" s="359"/>
      <c r="AM428" s="359"/>
      <c r="AN428" s="359"/>
      <c r="AO428" s="359"/>
      <c r="AP428" s="359"/>
      <c r="AQ428" s="359"/>
      <c r="AR428" s="359"/>
      <c r="AS428" s="359"/>
      <c r="AT428" s="359"/>
      <c r="AU428" s="359"/>
      <c r="AV428" s="359"/>
      <c r="AW428" s="359"/>
      <c r="AY428" s="1306"/>
      <c r="AZ428" s="1306"/>
      <c r="BA428" s="1303"/>
      <c r="BB428" s="625"/>
      <c r="BF428" s="1304"/>
      <c r="BG428" s="260"/>
      <c r="BH428" s="260"/>
      <c r="BI428" s="359"/>
      <c r="BK428" s="359"/>
      <c r="BL428" s="359"/>
      <c r="BM428" s="359"/>
    </row>
    <row r="429" spans="3:65">
      <c r="C429" s="359"/>
      <c r="D429" s="260"/>
      <c r="F429" s="359"/>
      <c r="G429" s="359"/>
      <c r="H429" s="359"/>
      <c r="I429" s="359"/>
      <c r="J429" s="359"/>
      <c r="K429" s="359"/>
      <c r="L429" s="359"/>
      <c r="M429" s="359"/>
      <c r="N429" s="359"/>
      <c r="O429" s="359"/>
      <c r="P429" s="359"/>
      <c r="Q429" s="359"/>
      <c r="R429" s="359"/>
      <c r="S429" s="359"/>
      <c r="T429" s="359"/>
      <c r="U429" s="359"/>
      <c r="V429" s="359"/>
      <c r="W429" s="359"/>
      <c r="X429" s="359"/>
      <c r="Y429" s="359"/>
      <c r="Z429" s="359"/>
      <c r="AA429" s="359"/>
      <c r="AB429" s="359"/>
      <c r="AC429" s="359"/>
      <c r="AD429" s="359"/>
      <c r="AE429" s="359"/>
      <c r="AF429" s="359"/>
      <c r="AG429" s="359"/>
      <c r="AH429" s="359"/>
      <c r="AI429" s="359"/>
      <c r="AJ429" s="359"/>
      <c r="AK429" s="359"/>
      <c r="AL429" s="359"/>
      <c r="AM429" s="359"/>
      <c r="AN429" s="359"/>
      <c r="AO429" s="359"/>
      <c r="AP429" s="359"/>
      <c r="AQ429" s="359"/>
      <c r="AR429" s="359"/>
      <c r="AS429" s="359"/>
      <c r="AT429" s="359"/>
      <c r="AU429" s="359"/>
      <c r="AV429" s="359"/>
      <c r="AW429" s="359"/>
      <c r="AY429" s="962"/>
      <c r="AZ429" s="962"/>
      <c r="BA429" s="1303"/>
      <c r="BB429" s="625"/>
      <c r="BF429" s="962"/>
      <c r="BG429" s="260"/>
      <c r="BH429" s="260"/>
      <c r="BI429" s="359"/>
      <c r="BK429" s="359"/>
      <c r="BL429" s="359"/>
      <c r="BM429" s="359"/>
    </row>
    <row r="430" spans="3:65">
      <c r="C430" s="359"/>
      <c r="D430" s="260"/>
      <c r="F430" s="359"/>
      <c r="G430" s="359"/>
      <c r="H430" s="359"/>
      <c r="I430" s="359"/>
      <c r="J430" s="359"/>
      <c r="K430" s="359"/>
      <c r="L430" s="359"/>
      <c r="M430" s="359"/>
      <c r="N430" s="359"/>
      <c r="O430" s="359"/>
      <c r="P430" s="359"/>
      <c r="Q430" s="359"/>
      <c r="R430" s="359"/>
      <c r="S430" s="359"/>
      <c r="T430" s="359"/>
      <c r="U430" s="359"/>
      <c r="V430" s="359"/>
      <c r="W430" s="359"/>
      <c r="X430" s="359"/>
      <c r="Y430" s="359"/>
      <c r="Z430" s="359"/>
      <c r="AA430" s="359"/>
      <c r="AB430" s="359"/>
      <c r="AC430" s="359"/>
      <c r="AD430" s="359"/>
      <c r="AE430" s="359"/>
      <c r="AF430" s="359"/>
      <c r="AG430" s="359"/>
      <c r="AH430" s="359"/>
      <c r="AI430" s="359"/>
      <c r="AJ430" s="359"/>
      <c r="AK430" s="359"/>
      <c r="AL430" s="359"/>
      <c r="AM430" s="359"/>
      <c r="AN430" s="359"/>
      <c r="AO430" s="359"/>
      <c r="AP430" s="359"/>
      <c r="AQ430" s="359"/>
      <c r="AR430" s="359"/>
      <c r="AS430" s="359"/>
      <c r="AT430" s="359"/>
      <c r="AU430" s="359"/>
      <c r="AV430" s="359"/>
      <c r="AW430" s="359"/>
      <c r="AY430" s="962"/>
      <c r="AZ430" s="962"/>
      <c r="BA430" s="1303"/>
      <c r="BB430" s="625"/>
      <c r="BF430" s="962"/>
      <c r="BG430" s="260"/>
      <c r="BH430" s="260"/>
      <c r="BI430" s="359"/>
      <c r="BK430" s="359"/>
      <c r="BL430" s="359"/>
      <c r="BM430" s="359"/>
    </row>
    <row r="431" spans="3:65">
      <c r="C431" s="359"/>
      <c r="D431" s="260"/>
      <c r="F431" s="359"/>
      <c r="G431" s="359"/>
      <c r="H431" s="359"/>
      <c r="I431" s="359"/>
      <c r="J431" s="359"/>
      <c r="K431" s="359"/>
      <c r="L431" s="359"/>
      <c r="M431" s="359"/>
      <c r="N431" s="359"/>
      <c r="O431" s="359"/>
      <c r="P431" s="359"/>
      <c r="Q431" s="359"/>
      <c r="R431" s="359"/>
      <c r="S431" s="359"/>
      <c r="T431" s="359"/>
      <c r="U431" s="359"/>
      <c r="V431" s="359"/>
      <c r="W431" s="359"/>
      <c r="X431" s="359"/>
      <c r="Y431" s="359"/>
      <c r="Z431" s="359"/>
      <c r="AA431" s="359"/>
      <c r="AB431" s="359"/>
      <c r="AC431" s="359"/>
      <c r="AD431" s="359"/>
      <c r="AE431" s="359"/>
      <c r="AF431" s="359"/>
      <c r="AG431" s="359"/>
      <c r="AH431" s="359"/>
      <c r="AI431" s="359"/>
      <c r="AJ431" s="359"/>
      <c r="AK431" s="359"/>
      <c r="AL431" s="359"/>
      <c r="AM431" s="359"/>
      <c r="AN431" s="359"/>
      <c r="AO431" s="359"/>
      <c r="AP431" s="359"/>
      <c r="AQ431" s="359"/>
      <c r="AR431" s="359"/>
      <c r="AS431" s="359"/>
      <c r="AT431" s="359"/>
      <c r="AU431" s="359"/>
      <c r="AV431" s="359"/>
      <c r="AW431" s="359"/>
      <c r="AY431" s="962"/>
      <c r="AZ431" s="962"/>
      <c r="BA431" s="1303"/>
      <c r="BB431" s="625"/>
      <c r="BF431" s="962"/>
      <c r="BG431" s="260"/>
      <c r="BH431" s="260"/>
      <c r="BI431" s="359"/>
      <c r="BK431" s="359"/>
      <c r="BL431" s="359"/>
      <c r="BM431" s="359"/>
    </row>
    <row r="432" spans="3:65">
      <c r="C432" s="359"/>
      <c r="D432" s="260"/>
      <c r="F432" s="359"/>
      <c r="G432" s="359"/>
      <c r="H432" s="359"/>
      <c r="I432" s="359"/>
      <c r="J432" s="359"/>
      <c r="K432" s="359"/>
      <c r="L432" s="359"/>
      <c r="M432" s="359"/>
      <c r="N432" s="359"/>
      <c r="O432" s="359"/>
      <c r="P432" s="359"/>
      <c r="Q432" s="359"/>
      <c r="R432" s="359"/>
      <c r="S432" s="359"/>
      <c r="T432" s="359"/>
      <c r="U432" s="359"/>
      <c r="V432" s="359"/>
      <c r="W432" s="359"/>
      <c r="X432" s="359"/>
      <c r="Y432" s="359"/>
      <c r="Z432" s="359"/>
      <c r="AA432" s="359"/>
      <c r="AB432" s="359"/>
      <c r="AC432" s="359"/>
      <c r="AD432" s="359"/>
      <c r="AE432" s="359"/>
      <c r="AF432" s="359"/>
      <c r="AG432" s="359"/>
      <c r="AH432" s="359"/>
      <c r="AI432" s="359"/>
      <c r="AJ432" s="359"/>
      <c r="AK432" s="359"/>
      <c r="AL432" s="359"/>
      <c r="AM432" s="359"/>
      <c r="AN432" s="359"/>
      <c r="AO432" s="359"/>
      <c r="AP432" s="359"/>
      <c r="AQ432" s="359"/>
      <c r="AR432" s="359"/>
      <c r="AS432" s="359"/>
      <c r="AT432" s="359"/>
      <c r="AU432" s="359"/>
      <c r="AV432" s="359"/>
      <c r="AW432" s="359"/>
      <c r="AY432" s="962"/>
      <c r="AZ432" s="962"/>
      <c r="BA432" s="1303"/>
      <c r="BB432" s="625"/>
      <c r="BF432" s="962"/>
      <c r="BG432" s="260"/>
      <c r="BH432" s="260"/>
      <c r="BI432" s="359"/>
      <c r="BK432" s="359"/>
      <c r="BL432" s="359"/>
      <c r="BM432" s="359"/>
    </row>
    <row r="433" spans="3:66">
      <c r="C433" s="359"/>
      <c r="D433" s="260"/>
      <c r="F433" s="359"/>
      <c r="G433" s="359"/>
      <c r="H433" s="359"/>
      <c r="I433" s="359"/>
      <c r="J433" s="359"/>
      <c r="K433" s="359"/>
      <c r="L433" s="359"/>
      <c r="M433" s="359"/>
      <c r="N433" s="359"/>
      <c r="O433" s="359"/>
      <c r="P433" s="359"/>
      <c r="Q433" s="359"/>
      <c r="R433" s="359"/>
      <c r="S433" s="359"/>
      <c r="T433" s="359"/>
      <c r="U433" s="359"/>
      <c r="V433" s="359"/>
      <c r="W433" s="359"/>
      <c r="X433" s="359"/>
      <c r="Y433" s="359"/>
      <c r="Z433" s="359"/>
      <c r="AA433" s="359"/>
      <c r="AB433" s="359"/>
      <c r="AC433" s="359"/>
      <c r="AD433" s="359"/>
      <c r="AE433" s="359"/>
      <c r="AF433" s="359"/>
      <c r="AG433" s="359"/>
      <c r="AH433" s="359"/>
      <c r="AI433" s="359"/>
      <c r="AJ433" s="359"/>
      <c r="AK433" s="359"/>
      <c r="AL433" s="359"/>
      <c r="AM433" s="359"/>
      <c r="AN433" s="359"/>
      <c r="AO433" s="359"/>
      <c r="AP433" s="359"/>
      <c r="AQ433" s="359"/>
      <c r="AR433" s="359"/>
      <c r="AS433" s="359"/>
      <c r="AT433" s="359"/>
      <c r="AU433" s="359"/>
      <c r="AV433" s="359"/>
      <c r="AW433" s="359"/>
      <c r="AY433" s="962"/>
      <c r="AZ433" s="962"/>
      <c r="BA433" s="1303"/>
      <c r="BB433" s="625"/>
      <c r="BF433" s="962"/>
      <c r="BG433" s="260"/>
      <c r="BH433" s="260"/>
      <c r="BI433" s="359"/>
      <c r="BK433" s="359"/>
      <c r="BL433" s="359"/>
      <c r="BM433" s="359"/>
    </row>
    <row r="434" spans="3:66">
      <c r="C434" s="359"/>
      <c r="D434" s="260"/>
      <c r="F434" s="359"/>
      <c r="G434" s="359"/>
      <c r="H434" s="359"/>
      <c r="I434" s="359"/>
      <c r="J434" s="359"/>
      <c r="K434" s="359"/>
      <c r="L434" s="359"/>
      <c r="M434" s="359"/>
      <c r="N434" s="359"/>
      <c r="O434" s="359"/>
      <c r="P434" s="359"/>
      <c r="Q434" s="359"/>
      <c r="R434" s="359"/>
      <c r="S434" s="359"/>
      <c r="T434" s="359"/>
      <c r="U434" s="359"/>
      <c r="V434" s="359"/>
      <c r="W434" s="359"/>
      <c r="X434" s="359"/>
      <c r="Y434" s="359"/>
      <c r="Z434" s="359"/>
      <c r="AA434" s="359"/>
      <c r="AB434" s="359"/>
      <c r="AC434" s="359"/>
      <c r="AD434" s="359"/>
      <c r="AE434" s="359"/>
      <c r="AF434" s="359"/>
      <c r="AG434" s="359"/>
      <c r="AH434" s="359"/>
      <c r="AI434" s="359"/>
      <c r="AJ434" s="359"/>
      <c r="AK434" s="359"/>
      <c r="AL434" s="359"/>
      <c r="AM434" s="359"/>
      <c r="AN434" s="359"/>
      <c r="AO434" s="359"/>
      <c r="AP434" s="359"/>
      <c r="AQ434" s="359"/>
      <c r="AR434" s="359"/>
      <c r="AS434" s="359"/>
      <c r="AT434" s="359"/>
      <c r="AU434" s="359"/>
      <c r="AV434" s="359"/>
      <c r="AW434" s="359"/>
      <c r="AY434" s="962"/>
      <c r="AZ434" s="962"/>
      <c r="BA434" s="1303"/>
      <c r="BB434" s="625"/>
      <c r="BF434" s="962"/>
      <c r="BG434" s="260"/>
      <c r="BH434" s="260"/>
      <c r="BI434" s="359"/>
      <c r="BK434" s="359"/>
      <c r="BL434" s="359"/>
      <c r="BM434" s="359"/>
    </row>
    <row r="435" spans="3:66">
      <c r="C435" s="359"/>
      <c r="D435" s="260"/>
      <c r="F435" s="359"/>
      <c r="G435" s="359"/>
      <c r="H435" s="359"/>
      <c r="I435" s="359"/>
      <c r="J435" s="359"/>
      <c r="K435" s="359"/>
      <c r="L435" s="359"/>
      <c r="M435" s="359"/>
      <c r="N435" s="359"/>
      <c r="O435" s="359"/>
      <c r="P435" s="359"/>
      <c r="Q435" s="359"/>
      <c r="R435" s="359"/>
      <c r="S435" s="359"/>
      <c r="T435" s="359"/>
      <c r="U435" s="359"/>
      <c r="V435" s="359"/>
      <c r="W435" s="359"/>
      <c r="X435" s="359"/>
      <c r="Y435" s="359"/>
      <c r="Z435" s="359"/>
      <c r="AA435" s="359"/>
      <c r="AB435" s="359"/>
      <c r="AC435" s="359"/>
      <c r="AD435" s="359"/>
      <c r="AE435" s="359"/>
      <c r="AF435" s="359"/>
      <c r="AG435" s="359"/>
      <c r="AH435" s="359"/>
      <c r="AI435" s="359"/>
      <c r="AJ435" s="359"/>
      <c r="AK435" s="359"/>
      <c r="AL435" s="359"/>
      <c r="AM435" s="359"/>
      <c r="AN435" s="359"/>
      <c r="AO435" s="359"/>
      <c r="AP435" s="359"/>
      <c r="AQ435" s="359"/>
      <c r="AR435" s="359"/>
      <c r="AS435" s="359"/>
      <c r="AT435" s="359"/>
      <c r="AU435" s="359"/>
      <c r="AV435" s="359"/>
      <c r="AW435" s="359"/>
      <c r="AY435" s="962"/>
      <c r="AZ435" s="962"/>
      <c r="BA435" s="1303"/>
      <c r="BB435" s="625"/>
      <c r="BF435" s="962"/>
      <c r="BG435" s="260"/>
      <c r="BH435" s="260"/>
      <c r="BI435" s="359"/>
      <c r="BK435" s="359"/>
      <c r="BL435" s="359"/>
      <c r="BM435" s="359"/>
    </row>
    <row r="436" spans="3:66">
      <c r="C436" s="359"/>
      <c r="D436" s="260"/>
      <c r="F436" s="359"/>
      <c r="G436" s="359"/>
      <c r="H436" s="359"/>
      <c r="I436" s="359"/>
      <c r="J436" s="359"/>
      <c r="K436" s="359"/>
      <c r="L436" s="359"/>
      <c r="M436" s="359"/>
      <c r="N436" s="359"/>
      <c r="O436" s="359"/>
      <c r="P436" s="359"/>
      <c r="Q436" s="359"/>
      <c r="R436" s="359"/>
      <c r="S436" s="359"/>
      <c r="T436" s="359"/>
      <c r="U436" s="359"/>
      <c r="V436" s="359"/>
      <c r="W436" s="359"/>
      <c r="X436" s="359"/>
      <c r="Y436" s="359"/>
      <c r="Z436" s="359"/>
      <c r="AA436" s="359"/>
      <c r="AB436" s="359"/>
      <c r="AC436" s="359"/>
      <c r="AD436" s="359"/>
      <c r="AE436" s="359"/>
      <c r="AF436" s="359"/>
      <c r="AG436" s="359"/>
      <c r="AH436" s="359"/>
      <c r="AI436" s="359"/>
      <c r="AJ436" s="359"/>
      <c r="AK436" s="359"/>
      <c r="AL436" s="359"/>
      <c r="AM436" s="359"/>
      <c r="AN436" s="359"/>
      <c r="AO436" s="359"/>
      <c r="AP436" s="359"/>
      <c r="AQ436" s="359"/>
      <c r="AR436" s="359"/>
      <c r="AS436" s="359"/>
      <c r="AT436" s="359"/>
      <c r="AU436" s="359"/>
      <c r="AV436" s="359"/>
      <c r="AW436" s="359"/>
      <c r="AY436" s="962"/>
      <c r="AZ436" s="962"/>
      <c r="BA436" s="3360"/>
      <c r="BB436" s="625"/>
      <c r="BF436" s="962"/>
      <c r="BG436" s="260"/>
      <c r="BH436" s="260"/>
      <c r="BI436" s="359"/>
      <c r="BK436" s="359"/>
      <c r="BL436" s="359"/>
      <c r="BM436" s="359"/>
    </row>
    <row r="437" spans="3:66">
      <c r="C437" s="359"/>
      <c r="D437" s="260"/>
      <c r="F437" s="359"/>
      <c r="G437" s="359"/>
      <c r="H437" s="359"/>
      <c r="I437" s="359"/>
      <c r="J437" s="359"/>
      <c r="K437" s="359"/>
      <c r="L437" s="359"/>
      <c r="M437" s="359"/>
      <c r="N437" s="359"/>
      <c r="O437" s="359"/>
      <c r="P437" s="359"/>
      <c r="Q437" s="359"/>
      <c r="R437" s="359"/>
      <c r="S437" s="359"/>
      <c r="T437" s="359"/>
      <c r="U437" s="359"/>
      <c r="V437" s="359"/>
      <c r="W437" s="359"/>
      <c r="X437" s="359"/>
      <c r="Y437" s="359"/>
      <c r="Z437" s="359"/>
      <c r="AA437" s="359"/>
      <c r="AB437" s="359"/>
      <c r="AC437" s="359"/>
      <c r="AD437" s="359"/>
      <c r="AE437" s="359"/>
      <c r="AF437" s="359"/>
      <c r="AG437" s="359"/>
      <c r="AH437" s="359"/>
      <c r="AI437" s="359"/>
      <c r="AJ437" s="359"/>
      <c r="AK437" s="359"/>
      <c r="AL437" s="359"/>
      <c r="AM437" s="359"/>
      <c r="AN437" s="359"/>
      <c r="AO437" s="359"/>
      <c r="AP437" s="359"/>
      <c r="AQ437" s="359"/>
      <c r="AR437" s="359"/>
      <c r="AS437" s="359"/>
      <c r="AT437" s="359"/>
      <c r="AU437" s="359"/>
      <c r="AV437" s="359"/>
      <c r="AW437" s="359"/>
      <c r="AY437" s="962"/>
      <c r="AZ437" s="962"/>
      <c r="BA437" s="3360"/>
      <c r="BB437" s="625"/>
      <c r="BF437" s="962"/>
      <c r="BG437" s="3356"/>
      <c r="BH437" s="3356"/>
      <c r="BI437" s="1305"/>
      <c r="BJ437" s="242"/>
      <c r="BK437" s="1305"/>
      <c r="BL437" s="1305"/>
      <c r="BM437" s="1305"/>
    </row>
    <row r="438" spans="3:66">
      <c r="C438" s="359"/>
      <c r="D438" s="260"/>
      <c r="F438" s="359"/>
      <c r="G438" s="359"/>
      <c r="H438" s="359"/>
      <c r="I438" s="359"/>
      <c r="J438" s="359"/>
      <c r="K438" s="359"/>
      <c r="L438" s="359"/>
      <c r="M438" s="359"/>
      <c r="N438" s="359"/>
      <c r="O438" s="359"/>
      <c r="P438" s="359"/>
      <c r="Q438" s="359"/>
      <c r="R438" s="359"/>
      <c r="S438" s="359"/>
      <c r="T438" s="359"/>
      <c r="U438" s="359"/>
      <c r="V438" s="359"/>
      <c r="W438" s="359"/>
      <c r="X438" s="359"/>
      <c r="Y438" s="359"/>
      <c r="Z438" s="359"/>
      <c r="AA438" s="359"/>
      <c r="AB438" s="359"/>
      <c r="AC438" s="359"/>
      <c r="AD438" s="359"/>
      <c r="AE438" s="359"/>
      <c r="AF438" s="359"/>
      <c r="AG438" s="359"/>
      <c r="AH438" s="359"/>
      <c r="AI438" s="359"/>
      <c r="AJ438" s="359"/>
      <c r="AK438" s="359"/>
      <c r="AL438" s="359"/>
      <c r="AM438" s="359"/>
      <c r="AN438" s="359"/>
      <c r="AO438" s="359"/>
      <c r="AP438" s="359"/>
      <c r="AQ438" s="359"/>
      <c r="AR438" s="359"/>
      <c r="AS438" s="359"/>
      <c r="AT438" s="359"/>
      <c r="AU438" s="359"/>
      <c r="AV438" s="359"/>
      <c r="AW438" s="359"/>
      <c r="AY438" s="962"/>
      <c r="AZ438" s="962"/>
      <c r="BA438" s="3360"/>
      <c r="BB438" s="625"/>
      <c r="BF438" s="962"/>
      <c r="BG438" s="260"/>
      <c r="BH438" s="260"/>
      <c r="BI438" s="359"/>
      <c r="BK438" s="359"/>
      <c r="BL438" s="359"/>
      <c r="BM438" s="359"/>
    </row>
    <row r="439" spans="3:66">
      <c r="C439" s="359"/>
      <c r="D439" s="260"/>
      <c r="F439" s="359"/>
      <c r="G439" s="359"/>
      <c r="H439" s="359"/>
      <c r="I439" s="359"/>
      <c r="J439" s="359"/>
      <c r="K439" s="359"/>
      <c r="L439" s="359"/>
      <c r="M439" s="359"/>
      <c r="N439" s="359"/>
      <c r="O439" s="359"/>
      <c r="P439" s="359"/>
      <c r="Q439" s="359"/>
      <c r="R439" s="359"/>
      <c r="S439" s="359"/>
      <c r="T439" s="359"/>
      <c r="U439" s="359"/>
      <c r="V439" s="359"/>
      <c r="W439" s="359"/>
      <c r="X439" s="359"/>
      <c r="Y439" s="359"/>
      <c r="Z439" s="359"/>
      <c r="AA439" s="359"/>
      <c r="AB439" s="359"/>
      <c r="AC439" s="359"/>
      <c r="AD439" s="359"/>
      <c r="AE439" s="359"/>
      <c r="AF439" s="359"/>
      <c r="AG439" s="359"/>
      <c r="AH439" s="359"/>
      <c r="AI439" s="359"/>
      <c r="AJ439" s="359"/>
      <c r="AK439" s="359"/>
      <c r="AL439" s="359"/>
      <c r="AM439" s="359"/>
      <c r="AN439" s="359"/>
      <c r="AO439" s="359"/>
      <c r="AP439" s="359"/>
      <c r="AQ439" s="359"/>
      <c r="AR439" s="359"/>
      <c r="AS439" s="359"/>
      <c r="AT439" s="359"/>
      <c r="AU439" s="359"/>
      <c r="AV439" s="359"/>
      <c r="AW439" s="359"/>
      <c r="AY439" s="962"/>
      <c r="AZ439" s="962"/>
      <c r="BA439" s="3360"/>
      <c r="BB439" s="625"/>
      <c r="BF439" s="962"/>
      <c r="BG439" s="260"/>
      <c r="BH439" s="260"/>
      <c r="BI439" s="359"/>
      <c r="BK439" s="359"/>
      <c r="BL439" s="359"/>
      <c r="BM439" s="359"/>
    </row>
    <row r="440" spans="3:66">
      <c r="C440" s="359"/>
      <c r="D440" s="260"/>
      <c r="F440" s="359"/>
      <c r="G440" s="359"/>
      <c r="H440" s="359"/>
      <c r="I440" s="359"/>
      <c r="J440" s="359"/>
      <c r="K440" s="359"/>
      <c r="L440" s="359"/>
      <c r="M440" s="359"/>
      <c r="N440" s="359"/>
      <c r="O440" s="359"/>
      <c r="P440" s="359"/>
      <c r="Q440" s="359"/>
      <c r="R440" s="359"/>
      <c r="S440" s="359"/>
      <c r="T440" s="359"/>
      <c r="U440" s="359"/>
      <c r="V440" s="359"/>
      <c r="W440" s="359"/>
      <c r="X440" s="359"/>
      <c r="Y440" s="359"/>
      <c r="Z440" s="359"/>
      <c r="AA440" s="359"/>
      <c r="AB440" s="359"/>
      <c r="AC440" s="359"/>
      <c r="AD440" s="359"/>
      <c r="AE440" s="359"/>
      <c r="AF440" s="359"/>
      <c r="AG440" s="359"/>
      <c r="AH440" s="359"/>
      <c r="AI440" s="359"/>
      <c r="AJ440" s="359"/>
      <c r="AK440" s="359"/>
      <c r="AL440" s="359"/>
      <c r="AM440" s="359"/>
      <c r="AN440" s="359"/>
      <c r="AO440" s="359"/>
      <c r="AP440" s="359"/>
      <c r="AQ440" s="359"/>
      <c r="AR440" s="359"/>
      <c r="AS440" s="359"/>
      <c r="AT440" s="359"/>
      <c r="AU440" s="359"/>
      <c r="AV440" s="359"/>
      <c r="AW440" s="359"/>
      <c r="AY440" s="962"/>
      <c r="AZ440" s="962"/>
      <c r="BA440" s="1303"/>
      <c r="BB440" s="1307"/>
      <c r="BF440" s="962"/>
      <c r="BG440" s="260"/>
      <c r="BH440" s="260"/>
      <c r="BI440" s="359"/>
      <c r="BK440" s="359"/>
      <c r="BL440" s="359"/>
      <c r="BM440" s="359"/>
    </row>
    <row r="441" spans="3:66">
      <c r="C441" s="359"/>
      <c r="D441" s="260"/>
      <c r="F441" s="359"/>
      <c r="G441" s="359"/>
      <c r="H441" s="359"/>
      <c r="I441" s="359"/>
      <c r="J441" s="359"/>
      <c r="K441" s="359"/>
      <c r="L441" s="359"/>
      <c r="M441" s="359"/>
      <c r="N441" s="359"/>
      <c r="O441" s="359"/>
      <c r="P441" s="359"/>
      <c r="Q441" s="359"/>
      <c r="R441" s="359"/>
      <c r="S441" s="359"/>
      <c r="T441" s="359"/>
      <c r="U441" s="359"/>
      <c r="V441" s="359"/>
      <c r="W441" s="359"/>
      <c r="X441" s="359"/>
      <c r="Y441" s="359"/>
      <c r="Z441" s="359"/>
      <c r="AA441" s="359"/>
      <c r="AB441" s="359"/>
      <c r="AC441" s="359"/>
      <c r="AD441" s="359"/>
      <c r="AE441" s="359"/>
      <c r="AF441" s="359"/>
      <c r="AG441" s="359"/>
      <c r="AH441" s="359"/>
      <c r="AI441" s="359"/>
      <c r="AJ441" s="359"/>
      <c r="AK441" s="359"/>
      <c r="AL441" s="359"/>
      <c r="AM441" s="359"/>
      <c r="AN441" s="359"/>
      <c r="AO441" s="359"/>
      <c r="AP441" s="359"/>
      <c r="AQ441" s="359"/>
      <c r="AR441" s="359"/>
      <c r="AS441" s="359"/>
      <c r="AT441" s="359"/>
      <c r="AU441" s="359"/>
      <c r="AV441" s="359"/>
      <c r="AW441" s="359"/>
      <c r="AY441" s="962"/>
      <c r="AZ441" s="962"/>
      <c r="BA441" s="1303"/>
      <c r="BB441" s="625"/>
      <c r="BF441" s="1306"/>
      <c r="BG441" s="260"/>
      <c r="BH441" s="260"/>
      <c r="BI441" s="359"/>
      <c r="BK441" s="359"/>
      <c r="BL441" s="359"/>
      <c r="BM441" s="359"/>
    </row>
    <row r="442" spans="3:66">
      <c r="C442" s="359"/>
      <c r="D442" s="260"/>
      <c r="F442" s="359"/>
      <c r="G442" s="359"/>
      <c r="H442" s="359"/>
      <c r="I442" s="359"/>
      <c r="J442" s="359"/>
      <c r="K442" s="359"/>
      <c r="L442" s="359"/>
      <c r="M442" s="359"/>
      <c r="N442" s="359"/>
      <c r="O442" s="359"/>
      <c r="P442" s="359"/>
      <c r="Q442" s="359"/>
      <c r="R442" s="359"/>
      <c r="S442" s="359"/>
      <c r="T442" s="359"/>
      <c r="U442" s="359"/>
      <c r="V442" s="359"/>
      <c r="W442" s="359"/>
      <c r="X442" s="359"/>
      <c r="Y442" s="359"/>
      <c r="Z442" s="359"/>
      <c r="AA442" s="359"/>
      <c r="AB442" s="359"/>
      <c r="AC442" s="359"/>
      <c r="AD442" s="359"/>
      <c r="AE442" s="359"/>
      <c r="AF442" s="359"/>
      <c r="AG442" s="359"/>
      <c r="AH442" s="359"/>
      <c r="AI442" s="359"/>
      <c r="AJ442" s="359"/>
      <c r="AK442" s="359"/>
      <c r="AL442" s="359"/>
      <c r="AM442" s="359"/>
      <c r="AN442" s="359"/>
      <c r="AO442" s="359"/>
      <c r="AP442" s="359"/>
      <c r="AQ442" s="359"/>
      <c r="AR442" s="359"/>
      <c r="AS442" s="359"/>
      <c r="AT442" s="359"/>
      <c r="AU442" s="359"/>
      <c r="AV442" s="359"/>
      <c r="AW442" s="359"/>
      <c r="AY442" s="962"/>
      <c r="AZ442" s="962"/>
      <c r="BA442" s="1303"/>
      <c r="BB442" s="1307"/>
      <c r="BF442" s="962"/>
      <c r="BG442" s="260"/>
      <c r="BH442" s="260"/>
      <c r="BI442" s="359"/>
      <c r="BK442" s="359"/>
      <c r="BL442" s="359"/>
      <c r="BM442" s="359"/>
    </row>
    <row r="443" spans="3:66">
      <c r="C443" s="359"/>
      <c r="D443" s="260"/>
      <c r="F443" s="359"/>
      <c r="G443" s="359"/>
      <c r="H443" s="359"/>
      <c r="I443" s="359"/>
      <c r="J443" s="359"/>
      <c r="K443" s="359"/>
      <c r="L443" s="359"/>
      <c r="M443" s="359"/>
      <c r="N443" s="359"/>
      <c r="O443" s="359"/>
      <c r="P443" s="359"/>
      <c r="Q443" s="359"/>
      <c r="R443" s="359"/>
      <c r="S443" s="359"/>
      <c r="T443" s="359"/>
      <c r="U443" s="359"/>
      <c r="V443" s="359"/>
      <c r="W443" s="359"/>
      <c r="X443" s="359"/>
      <c r="Y443" s="359"/>
      <c r="Z443" s="359"/>
      <c r="AA443" s="359"/>
      <c r="AB443" s="359"/>
      <c r="AC443" s="359"/>
      <c r="AD443" s="359"/>
      <c r="AE443" s="359"/>
      <c r="AF443" s="359"/>
      <c r="AG443" s="359"/>
      <c r="AH443" s="359"/>
      <c r="AI443" s="359"/>
      <c r="AJ443" s="359"/>
      <c r="AK443" s="359"/>
      <c r="AL443" s="359"/>
      <c r="AM443" s="359"/>
      <c r="AN443" s="359"/>
      <c r="AO443" s="359"/>
      <c r="AP443" s="359"/>
      <c r="AQ443" s="359"/>
      <c r="AR443" s="359"/>
      <c r="AS443" s="359"/>
      <c r="AT443" s="359"/>
      <c r="AU443" s="359"/>
      <c r="AV443" s="359"/>
      <c r="AW443" s="359"/>
      <c r="AY443" s="962"/>
      <c r="AZ443" s="962"/>
      <c r="BA443" s="1303"/>
      <c r="BB443" s="1307"/>
      <c r="BF443" s="962"/>
      <c r="BG443" s="260"/>
      <c r="BH443" s="260"/>
      <c r="BI443" s="359"/>
      <c r="BK443" s="359"/>
      <c r="BL443" s="359"/>
      <c r="BM443" s="359"/>
    </row>
    <row r="444" spans="3:66">
      <c r="C444" s="359"/>
      <c r="D444" s="260"/>
      <c r="F444" s="359"/>
      <c r="G444" s="359"/>
      <c r="H444" s="359"/>
      <c r="I444" s="359"/>
      <c r="J444" s="359"/>
      <c r="K444" s="359"/>
      <c r="L444" s="359"/>
      <c r="M444" s="359"/>
      <c r="N444" s="359"/>
      <c r="O444" s="359"/>
      <c r="P444" s="359"/>
      <c r="Q444" s="359"/>
      <c r="R444" s="359"/>
      <c r="S444" s="359"/>
      <c r="T444" s="359"/>
      <c r="U444" s="359"/>
      <c r="V444" s="359"/>
      <c r="W444" s="359"/>
      <c r="X444" s="359"/>
      <c r="Y444" s="359"/>
      <c r="Z444" s="359"/>
      <c r="AA444" s="359"/>
      <c r="AB444" s="359"/>
      <c r="AC444" s="359"/>
      <c r="AD444" s="359"/>
      <c r="AE444" s="359"/>
      <c r="AF444" s="359"/>
      <c r="AG444" s="359"/>
      <c r="AH444" s="359"/>
      <c r="AI444" s="359"/>
      <c r="AJ444" s="359"/>
      <c r="AK444" s="359"/>
      <c r="AL444" s="359"/>
      <c r="AM444" s="359"/>
      <c r="AN444" s="359"/>
      <c r="AO444" s="359"/>
      <c r="AP444" s="359"/>
      <c r="AQ444" s="359"/>
      <c r="AR444" s="359"/>
      <c r="AS444" s="359"/>
      <c r="AT444" s="359"/>
      <c r="AU444" s="359"/>
      <c r="AV444" s="359"/>
      <c r="AW444" s="359"/>
      <c r="AY444" s="962"/>
      <c r="AZ444" s="962"/>
      <c r="BA444" s="1303"/>
      <c r="BB444" s="1307"/>
      <c r="BF444" s="962"/>
      <c r="BG444" s="260"/>
      <c r="BH444" s="260"/>
      <c r="BI444" s="359"/>
      <c r="BK444" s="359"/>
      <c r="BL444" s="359"/>
      <c r="BM444" s="359"/>
    </row>
    <row r="445" spans="3:66">
      <c r="C445" s="359"/>
      <c r="D445" s="260"/>
      <c r="F445" s="359"/>
      <c r="G445" s="359"/>
      <c r="H445" s="359"/>
      <c r="I445" s="359"/>
      <c r="J445" s="359"/>
      <c r="K445" s="359"/>
      <c r="L445" s="359"/>
      <c r="M445" s="359"/>
      <c r="N445" s="359"/>
      <c r="O445" s="359"/>
      <c r="P445" s="359"/>
      <c r="Q445" s="359"/>
      <c r="R445" s="359"/>
      <c r="S445" s="359"/>
      <c r="T445" s="359"/>
      <c r="U445" s="359"/>
      <c r="V445" s="359"/>
      <c r="W445" s="359"/>
      <c r="X445" s="359"/>
      <c r="Y445" s="359"/>
      <c r="Z445" s="359"/>
      <c r="AA445" s="359"/>
      <c r="AB445" s="359"/>
      <c r="AC445" s="359"/>
      <c r="AD445" s="359"/>
      <c r="AE445" s="359"/>
      <c r="AF445" s="359"/>
      <c r="AG445" s="359"/>
      <c r="AH445" s="359"/>
      <c r="AI445" s="359"/>
      <c r="AJ445" s="359"/>
      <c r="AK445" s="359"/>
      <c r="AL445" s="359"/>
      <c r="AM445" s="359"/>
      <c r="AN445" s="359"/>
      <c r="AO445" s="359"/>
      <c r="AP445" s="359"/>
      <c r="AQ445" s="359"/>
      <c r="AR445" s="359"/>
      <c r="AS445" s="359"/>
      <c r="AT445" s="359"/>
      <c r="AU445" s="359"/>
      <c r="AV445" s="359"/>
      <c r="AW445" s="359"/>
      <c r="AY445" s="962"/>
      <c r="AZ445" s="962"/>
      <c r="BA445" s="1303"/>
      <c r="BB445" s="1307"/>
      <c r="BF445" s="962"/>
      <c r="BG445" s="260"/>
      <c r="BH445" s="260"/>
      <c r="BI445" s="359"/>
      <c r="BK445" s="359"/>
      <c r="BL445" s="359"/>
      <c r="BM445" s="359"/>
    </row>
    <row r="446" spans="3:66">
      <c r="C446" s="359"/>
      <c r="D446" s="260"/>
      <c r="F446" s="359"/>
      <c r="G446" s="359"/>
      <c r="H446" s="359"/>
      <c r="I446" s="359"/>
      <c r="J446" s="359"/>
      <c r="K446" s="359"/>
      <c r="L446" s="359"/>
      <c r="M446" s="359"/>
      <c r="N446" s="359"/>
      <c r="O446" s="359"/>
      <c r="P446" s="359"/>
      <c r="Q446" s="359"/>
      <c r="R446" s="359"/>
      <c r="S446" s="359"/>
      <c r="T446" s="359"/>
      <c r="U446" s="359"/>
      <c r="V446" s="359"/>
      <c r="W446" s="359"/>
      <c r="X446" s="359"/>
      <c r="Y446" s="359"/>
      <c r="Z446" s="359"/>
      <c r="AA446" s="359"/>
      <c r="AB446" s="359"/>
      <c r="AC446" s="359"/>
      <c r="AD446" s="359"/>
      <c r="AE446" s="359"/>
      <c r="AF446" s="359"/>
      <c r="AG446" s="359"/>
      <c r="AH446" s="359"/>
      <c r="AI446" s="359"/>
      <c r="AJ446" s="359"/>
      <c r="AK446" s="359"/>
      <c r="AL446" s="359"/>
      <c r="AM446" s="359"/>
      <c r="AN446" s="359"/>
      <c r="AO446" s="359"/>
      <c r="AP446" s="359"/>
      <c r="AQ446" s="359"/>
      <c r="AR446" s="359"/>
      <c r="AS446" s="359"/>
      <c r="AT446" s="359"/>
      <c r="AU446" s="359"/>
      <c r="AV446" s="359"/>
      <c r="AW446" s="359"/>
      <c r="AY446" s="962"/>
      <c r="AZ446" s="962"/>
      <c r="BA446" s="1303"/>
      <c r="BB446" s="1307"/>
      <c r="BF446" s="962"/>
      <c r="BG446" s="260"/>
      <c r="BH446" s="260"/>
      <c r="BI446" s="359"/>
      <c r="BK446" s="359"/>
      <c r="BL446" s="359"/>
      <c r="BM446" s="359"/>
    </row>
    <row r="447" spans="3:66">
      <c r="C447" s="359"/>
      <c r="D447" s="260"/>
      <c r="F447" s="359"/>
      <c r="G447" s="359"/>
      <c r="H447" s="359"/>
      <c r="I447" s="359"/>
      <c r="J447" s="359"/>
      <c r="K447" s="359"/>
      <c r="L447" s="359"/>
      <c r="M447" s="359"/>
      <c r="N447" s="359"/>
      <c r="O447" s="359"/>
      <c r="P447" s="359"/>
      <c r="Q447" s="359"/>
      <c r="R447" s="359"/>
      <c r="S447" s="359"/>
      <c r="T447" s="359"/>
      <c r="U447" s="359"/>
      <c r="V447" s="359"/>
      <c r="W447" s="359"/>
      <c r="X447" s="359"/>
      <c r="Y447" s="359"/>
      <c r="Z447" s="359"/>
      <c r="AA447" s="359"/>
      <c r="AB447" s="359"/>
      <c r="AC447" s="359"/>
      <c r="AD447" s="359"/>
      <c r="AE447" s="359"/>
      <c r="AF447" s="359"/>
      <c r="AG447" s="359"/>
      <c r="AH447" s="359"/>
      <c r="AI447" s="359"/>
      <c r="AJ447" s="359"/>
      <c r="AK447" s="359"/>
      <c r="AL447" s="359"/>
      <c r="AM447" s="359"/>
      <c r="AN447" s="359"/>
      <c r="AO447" s="359"/>
      <c r="AP447" s="359"/>
      <c r="AQ447" s="359"/>
      <c r="AR447" s="359"/>
      <c r="AS447" s="359"/>
      <c r="AT447" s="359"/>
      <c r="AU447" s="359"/>
      <c r="AV447" s="359"/>
      <c r="AW447" s="359"/>
      <c r="AY447" s="962"/>
      <c r="AZ447" s="962"/>
      <c r="BA447" s="1303"/>
      <c r="BB447" s="1307"/>
      <c r="BF447" s="962"/>
      <c r="BG447" s="260"/>
      <c r="BH447" s="260"/>
      <c r="BI447" s="359"/>
      <c r="BK447" s="359"/>
      <c r="BL447" s="359"/>
      <c r="BM447" s="359"/>
    </row>
    <row r="448" spans="3:66">
      <c r="C448" s="359"/>
      <c r="D448" s="260"/>
      <c r="F448" s="359"/>
      <c r="G448" s="359"/>
      <c r="H448" s="359"/>
      <c r="I448" s="359"/>
      <c r="J448" s="359"/>
      <c r="K448" s="359"/>
      <c r="L448" s="359"/>
      <c r="M448" s="359"/>
      <c r="N448" s="359"/>
      <c r="O448" s="359"/>
      <c r="P448" s="359"/>
      <c r="Q448" s="359"/>
      <c r="R448" s="359"/>
      <c r="S448" s="359"/>
      <c r="T448" s="359"/>
      <c r="U448" s="359"/>
      <c r="V448" s="359"/>
      <c r="W448" s="359"/>
      <c r="X448" s="359"/>
      <c r="Y448" s="359"/>
      <c r="Z448" s="359"/>
      <c r="AA448" s="359"/>
      <c r="AB448" s="359"/>
      <c r="AC448" s="359"/>
      <c r="AD448" s="359"/>
      <c r="AE448" s="359"/>
      <c r="AF448" s="359"/>
      <c r="AG448" s="359"/>
      <c r="AH448" s="359"/>
      <c r="AI448" s="359"/>
      <c r="AJ448" s="359"/>
      <c r="AK448" s="359"/>
      <c r="AL448" s="359"/>
      <c r="AM448" s="359"/>
      <c r="AN448" s="359"/>
      <c r="AO448" s="359"/>
      <c r="AP448" s="359"/>
      <c r="AQ448" s="359"/>
      <c r="AR448" s="359"/>
      <c r="AS448" s="359"/>
      <c r="AT448" s="359"/>
      <c r="AU448" s="359"/>
      <c r="AV448" s="359"/>
      <c r="AW448" s="359"/>
      <c r="AY448" s="962"/>
      <c r="AZ448" s="962"/>
      <c r="BA448" s="1303"/>
      <c r="BB448" s="625"/>
      <c r="BE448" s="242"/>
      <c r="BF448" s="440"/>
      <c r="BG448" s="3356"/>
      <c r="BH448" s="3356"/>
      <c r="BI448" s="1305"/>
      <c r="BJ448" s="242"/>
      <c r="BK448" s="1305"/>
      <c r="BL448" s="1305"/>
      <c r="BM448" s="1305"/>
      <c r="BN448" s="242"/>
    </row>
    <row r="449" spans="3:66">
      <c r="C449" s="359"/>
      <c r="D449" s="260"/>
      <c r="F449" s="359"/>
      <c r="G449" s="359"/>
      <c r="H449" s="359"/>
      <c r="I449" s="359"/>
      <c r="J449" s="359"/>
      <c r="K449" s="359"/>
      <c r="L449" s="359"/>
      <c r="M449" s="359"/>
      <c r="N449" s="359"/>
      <c r="O449" s="359"/>
      <c r="P449" s="359"/>
      <c r="Q449" s="359"/>
      <c r="R449" s="359"/>
      <c r="S449" s="359"/>
      <c r="T449" s="359"/>
      <c r="U449" s="359"/>
      <c r="V449" s="359"/>
      <c r="W449" s="359"/>
      <c r="X449" s="359"/>
      <c r="Y449" s="359"/>
      <c r="Z449" s="359"/>
      <c r="AA449" s="359"/>
      <c r="AB449" s="359"/>
      <c r="AC449" s="359"/>
      <c r="AD449" s="359"/>
      <c r="AE449" s="359"/>
      <c r="AF449" s="359"/>
      <c r="AG449" s="359"/>
      <c r="AH449" s="359"/>
      <c r="AI449" s="359"/>
      <c r="AJ449" s="359"/>
      <c r="AK449" s="359"/>
      <c r="AL449" s="359"/>
      <c r="AM449" s="359"/>
      <c r="AN449" s="359"/>
      <c r="AO449" s="359"/>
      <c r="AP449" s="359"/>
      <c r="AQ449" s="359"/>
      <c r="AR449" s="359"/>
      <c r="AS449" s="359"/>
      <c r="AT449" s="359"/>
      <c r="AU449" s="359"/>
      <c r="AV449" s="359"/>
      <c r="AW449" s="359"/>
      <c r="AY449" s="962"/>
      <c r="AZ449" s="962"/>
      <c r="BA449" s="1303"/>
      <c r="BB449" s="625"/>
      <c r="BE449" s="242"/>
      <c r="BF449" s="440"/>
      <c r="BG449" s="3356"/>
      <c r="BH449" s="3356"/>
      <c r="BI449" s="1305"/>
      <c r="BJ449" s="242"/>
      <c r="BK449" s="1305"/>
      <c r="BL449" s="1305"/>
      <c r="BM449" s="1305"/>
      <c r="BN449" s="242"/>
    </row>
    <row r="450" spans="3:66">
      <c r="C450" s="359"/>
      <c r="D450" s="260"/>
      <c r="F450" s="359"/>
      <c r="G450" s="359"/>
      <c r="H450" s="359"/>
      <c r="I450" s="359"/>
      <c r="J450" s="359"/>
      <c r="K450" s="359"/>
      <c r="L450" s="359"/>
      <c r="M450" s="359"/>
      <c r="N450" s="359"/>
      <c r="O450" s="359"/>
      <c r="P450" s="359"/>
      <c r="Q450" s="359"/>
      <c r="R450" s="359"/>
      <c r="S450" s="359"/>
      <c r="T450" s="359"/>
      <c r="U450" s="359"/>
      <c r="V450" s="359"/>
      <c r="W450" s="359"/>
      <c r="X450" s="359"/>
      <c r="Y450" s="359"/>
      <c r="Z450" s="359"/>
      <c r="AA450" s="359"/>
      <c r="AB450" s="359"/>
      <c r="AC450" s="359"/>
      <c r="AD450" s="359"/>
      <c r="AE450" s="359"/>
      <c r="AF450" s="359"/>
      <c r="AG450" s="359"/>
      <c r="AH450" s="359"/>
      <c r="AI450" s="359"/>
      <c r="AJ450" s="359"/>
      <c r="AK450" s="359"/>
      <c r="AL450" s="359"/>
      <c r="AM450" s="359"/>
      <c r="AN450" s="359"/>
      <c r="AO450" s="359"/>
      <c r="AP450" s="359"/>
      <c r="AQ450" s="359"/>
      <c r="AR450" s="359"/>
      <c r="AS450" s="359"/>
      <c r="AT450" s="359"/>
      <c r="AU450" s="359"/>
      <c r="AV450" s="359"/>
      <c r="AW450" s="359"/>
      <c r="AY450" s="962"/>
      <c r="AZ450" s="962"/>
      <c r="BA450" s="1303"/>
      <c r="BB450" s="625"/>
      <c r="BE450" s="242"/>
      <c r="BF450" s="440"/>
      <c r="BG450" s="3356"/>
      <c r="BH450" s="3356"/>
      <c r="BI450" s="1305"/>
      <c r="BJ450" s="242"/>
      <c r="BK450" s="1305"/>
      <c r="BL450" s="1305"/>
      <c r="BM450" s="1305"/>
      <c r="BN450" s="242"/>
    </row>
    <row r="451" spans="3:66">
      <c r="C451" s="359"/>
      <c r="D451" s="260"/>
      <c r="F451" s="359"/>
      <c r="G451" s="359"/>
      <c r="H451" s="359"/>
      <c r="I451" s="359"/>
      <c r="J451" s="359"/>
      <c r="K451" s="359"/>
      <c r="L451" s="359"/>
      <c r="M451" s="359"/>
      <c r="N451" s="359"/>
      <c r="O451" s="359"/>
      <c r="P451" s="359"/>
      <c r="Q451" s="359"/>
      <c r="R451" s="359"/>
      <c r="S451" s="359"/>
      <c r="T451" s="359"/>
      <c r="U451" s="359"/>
      <c r="V451" s="359"/>
      <c r="W451" s="359"/>
      <c r="X451" s="359"/>
      <c r="Y451" s="359"/>
      <c r="Z451" s="359"/>
      <c r="AA451" s="359"/>
      <c r="AB451" s="359"/>
      <c r="AC451" s="359"/>
      <c r="AD451" s="359"/>
      <c r="AE451" s="359"/>
      <c r="AF451" s="359"/>
      <c r="AG451" s="359"/>
      <c r="AH451" s="359"/>
      <c r="AI451" s="359"/>
      <c r="AJ451" s="359"/>
      <c r="AK451" s="359"/>
      <c r="AL451" s="359"/>
      <c r="AM451" s="359"/>
      <c r="AN451" s="359"/>
      <c r="AO451" s="359"/>
      <c r="AP451" s="359"/>
      <c r="AQ451" s="359"/>
      <c r="AR451" s="359"/>
      <c r="AS451" s="359"/>
      <c r="AT451" s="359"/>
      <c r="AU451" s="359"/>
      <c r="AV451" s="359"/>
      <c r="AW451" s="359"/>
      <c r="AY451" s="962"/>
      <c r="AZ451" s="962"/>
      <c r="BA451" s="1303"/>
      <c r="BB451" s="625"/>
      <c r="BE451" s="242"/>
      <c r="BF451" s="3357"/>
      <c r="BG451" s="3356"/>
      <c r="BH451" s="3356"/>
      <c r="BI451" s="1305"/>
      <c r="BJ451" s="242"/>
      <c r="BK451" s="1305"/>
      <c r="BL451" s="1305"/>
      <c r="BM451" s="1305"/>
      <c r="BN451" s="242"/>
    </row>
    <row r="452" spans="3:66">
      <c r="C452" s="359"/>
      <c r="D452" s="260"/>
      <c r="F452" s="359"/>
      <c r="G452" s="359"/>
      <c r="H452" s="359"/>
      <c r="I452" s="359"/>
      <c r="J452" s="359"/>
      <c r="K452" s="359"/>
      <c r="L452" s="359"/>
      <c r="M452" s="359"/>
      <c r="N452" s="359"/>
      <c r="O452" s="359"/>
      <c r="P452" s="359"/>
      <c r="Q452" s="359"/>
      <c r="R452" s="359"/>
      <c r="S452" s="359"/>
      <c r="T452" s="359"/>
      <c r="U452" s="359"/>
      <c r="V452" s="359"/>
      <c r="W452" s="359"/>
      <c r="X452" s="359"/>
      <c r="Y452" s="359"/>
      <c r="Z452" s="359"/>
      <c r="AA452" s="359"/>
      <c r="AB452" s="359"/>
      <c r="AC452" s="359"/>
      <c r="AD452" s="359"/>
      <c r="AE452" s="359"/>
      <c r="AF452" s="359"/>
      <c r="AG452" s="359"/>
      <c r="AH452" s="359"/>
      <c r="AI452" s="359"/>
      <c r="AJ452" s="359"/>
      <c r="AK452" s="359"/>
      <c r="AL452" s="359"/>
      <c r="AM452" s="359"/>
      <c r="AN452" s="359"/>
      <c r="AO452" s="359"/>
      <c r="AP452" s="359"/>
      <c r="AQ452" s="359"/>
      <c r="AR452" s="359"/>
      <c r="AS452" s="359"/>
      <c r="AT452" s="359"/>
      <c r="AU452" s="359"/>
      <c r="AV452" s="359"/>
      <c r="AW452" s="359"/>
      <c r="AY452" s="962"/>
      <c r="AZ452" s="962"/>
      <c r="BA452" s="1303"/>
      <c r="BB452" s="625"/>
      <c r="BF452" s="1306"/>
      <c r="BG452" s="260"/>
      <c r="BH452" s="260"/>
      <c r="BI452" s="359"/>
      <c r="BK452" s="359"/>
      <c r="BL452" s="359"/>
      <c r="BM452" s="359"/>
    </row>
    <row r="453" spans="3:66">
      <c r="C453" s="359"/>
      <c r="D453" s="260"/>
      <c r="F453" s="359"/>
      <c r="G453" s="359"/>
      <c r="H453" s="359"/>
      <c r="I453" s="359"/>
      <c r="J453" s="359"/>
      <c r="K453" s="359"/>
      <c r="L453" s="359"/>
      <c r="M453" s="359"/>
      <c r="N453" s="359"/>
      <c r="O453" s="359"/>
      <c r="P453" s="359"/>
      <c r="Q453" s="359"/>
      <c r="R453" s="359"/>
      <c r="S453" s="359"/>
      <c r="T453" s="359"/>
      <c r="U453" s="359"/>
      <c r="V453" s="359"/>
      <c r="W453" s="359"/>
      <c r="X453" s="359"/>
      <c r="Y453" s="359"/>
      <c r="Z453" s="359"/>
      <c r="AA453" s="359"/>
      <c r="AB453" s="359"/>
      <c r="AC453" s="359"/>
      <c r="AD453" s="359"/>
      <c r="AE453" s="359"/>
      <c r="AF453" s="359"/>
      <c r="AG453" s="359"/>
      <c r="AH453" s="359"/>
      <c r="AI453" s="359"/>
      <c r="AJ453" s="359"/>
      <c r="AK453" s="359"/>
      <c r="AL453" s="359"/>
      <c r="AM453" s="359"/>
      <c r="AN453" s="359"/>
      <c r="AO453" s="359"/>
      <c r="AP453" s="359"/>
      <c r="AQ453" s="359"/>
      <c r="AR453" s="359"/>
      <c r="AS453" s="359"/>
      <c r="AT453" s="359"/>
      <c r="AU453" s="359"/>
      <c r="AV453" s="359"/>
      <c r="AW453" s="359"/>
      <c r="AY453" s="962"/>
      <c r="AZ453" s="962"/>
      <c r="BA453" s="1303"/>
      <c r="BB453" s="625"/>
      <c r="BF453" s="962"/>
      <c r="BG453" s="260"/>
      <c r="BH453" s="260"/>
      <c r="BI453" s="359"/>
      <c r="BK453" s="359"/>
      <c r="BL453" s="359"/>
      <c r="BM453" s="359"/>
    </row>
    <row r="454" spans="3:66">
      <c r="C454" s="359"/>
      <c r="D454" s="260"/>
      <c r="F454" s="359"/>
      <c r="G454" s="359"/>
      <c r="H454" s="359"/>
      <c r="I454" s="359"/>
      <c r="J454" s="359"/>
      <c r="K454" s="359"/>
      <c r="L454" s="359"/>
      <c r="M454" s="359"/>
      <c r="N454" s="359"/>
      <c r="O454" s="359"/>
      <c r="P454" s="359"/>
      <c r="Q454" s="359"/>
      <c r="R454" s="359"/>
      <c r="S454" s="359"/>
      <c r="T454" s="359"/>
      <c r="U454" s="359"/>
      <c r="V454" s="359"/>
      <c r="W454" s="359"/>
      <c r="X454" s="359"/>
      <c r="Y454" s="359"/>
      <c r="Z454" s="359"/>
      <c r="AA454" s="359"/>
      <c r="AB454" s="359"/>
      <c r="AC454" s="359"/>
      <c r="AD454" s="359"/>
      <c r="AE454" s="359"/>
      <c r="AF454" s="359"/>
      <c r="AG454" s="359"/>
      <c r="AH454" s="359"/>
      <c r="AI454" s="359"/>
      <c r="AJ454" s="359"/>
      <c r="AK454" s="359"/>
      <c r="AL454" s="359"/>
      <c r="AM454" s="359"/>
      <c r="AN454" s="359"/>
      <c r="AO454" s="359"/>
      <c r="AP454" s="359"/>
      <c r="AQ454" s="359"/>
      <c r="AR454" s="359"/>
      <c r="AS454" s="359"/>
      <c r="AT454" s="359"/>
      <c r="AU454" s="359"/>
      <c r="AV454" s="359"/>
      <c r="AW454" s="359"/>
      <c r="AY454" s="962"/>
      <c r="AZ454" s="962"/>
      <c r="BA454" s="1303"/>
      <c r="BB454" s="1307"/>
      <c r="BF454" s="962"/>
      <c r="BG454" s="260"/>
      <c r="BH454" s="260"/>
      <c r="BI454" s="359"/>
      <c r="BK454" s="359"/>
      <c r="BL454" s="359"/>
      <c r="BM454" s="359"/>
    </row>
    <row r="455" spans="3:66">
      <c r="C455" s="359"/>
      <c r="D455" s="260"/>
      <c r="F455" s="359"/>
      <c r="G455" s="359"/>
      <c r="H455" s="359"/>
      <c r="I455" s="359"/>
      <c r="J455" s="359"/>
      <c r="K455" s="359"/>
      <c r="L455" s="359"/>
      <c r="M455" s="359"/>
      <c r="N455" s="359"/>
      <c r="O455" s="359"/>
      <c r="P455" s="359"/>
      <c r="Q455" s="359"/>
      <c r="R455" s="359"/>
      <c r="S455" s="359"/>
      <c r="T455" s="359"/>
      <c r="U455" s="359"/>
      <c r="V455" s="359"/>
      <c r="W455" s="359"/>
      <c r="X455" s="359"/>
      <c r="Y455" s="359"/>
      <c r="Z455" s="359"/>
      <c r="AA455" s="359"/>
      <c r="AB455" s="359"/>
      <c r="AC455" s="359"/>
      <c r="AD455" s="359"/>
      <c r="AE455" s="359"/>
      <c r="AF455" s="359"/>
      <c r="AG455" s="359"/>
      <c r="AH455" s="359"/>
      <c r="AI455" s="359"/>
      <c r="AJ455" s="359"/>
      <c r="AK455" s="359"/>
      <c r="AL455" s="359"/>
      <c r="AM455" s="359"/>
      <c r="AN455" s="359"/>
      <c r="AO455" s="359"/>
      <c r="AP455" s="359"/>
      <c r="AQ455" s="359"/>
      <c r="AR455" s="359"/>
      <c r="AS455" s="359"/>
      <c r="AT455" s="359"/>
      <c r="AU455" s="359"/>
      <c r="AV455" s="359"/>
      <c r="AW455" s="359"/>
      <c r="AY455" s="962"/>
      <c r="AZ455" s="962"/>
      <c r="BA455" s="1303"/>
      <c r="BB455" s="1307"/>
      <c r="BF455" s="962"/>
      <c r="BG455" s="260"/>
      <c r="BH455" s="260"/>
      <c r="BI455" s="359"/>
      <c r="BK455" s="359"/>
      <c r="BL455" s="359"/>
      <c r="BM455" s="359"/>
    </row>
    <row r="456" spans="3:66">
      <c r="C456" s="359"/>
      <c r="D456" s="260"/>
      <c r="F456" s="359"/>
      <c r="G456" s="359"/>
      <c r="H456" s="359"/>
      <c r="I456" s="359"/>
      <c r="J456" s="359"/>
      <c r="K456" s="359"/>
      <c r="L456" s="359"/>
      <c r="M456" s="359"/>
      <c r="N456" s="359"/>
      <c r="O456" s="359"/>
      <c r="P456" s="359"/>
      <c r="Q456" s="359"/>
      <c r="R456" s="359"/>
      <c r="S456" s="359"/>
      <c r="T456" s="359"/>
      <c r="U456" s="359"/>
      <c r="V456" s="359"/>
      <c r="W456" s="359"/>
      <c r="X456" s="359"/>
      <c r="Y456" s="359"/>
      <c r="Z456" s="359"/>
      <c r="AA456" s="359"/>
      <c r="AB456" s="359"/>
      <c r="AC456" s="359"/>
      <c r="AD456" s="359"/>
      <c r="AE456" s="359"/>
      <c r="AF456" s="359"/>
      <c r="AG456" s="359"/>
      <c r="AH456" s="359"/>
      <c r="AI456" s="359"/>
      <c r="AJ456" s="359"/>
      <c r="AK456" s="359"/>
      <c r="AL456" s="359"/>
      <c r="AM456" s="359"/>
      <c r="AN456" s="359"/>
      <c r="AO456" s="359"/>
      <c r="AP456" s="359"/>
      <c r="AQ456" s="359"/>
      <c r="AR456" s="359"/>
      <c r="AS456" s="359"/>
      <c r="AT456" s="359"/>
      <c r="AU456" s="359"/>
      <c r="AV456" s="359"/>
      <c r="AW456" s="359"/>
      <c r="AY456" s="962"/>
      <c r="AZ456" s="962"/>
      <c r="BA456" s="1303"/>
      <c r="BB456" s="1307"/>
      <c r="BF456" s="962"/>
      <c r="BG456" s="260"/>
      <c r="BH456" s="260"/>
      <c r="BI456" s="359"/>
      <c r="BK456" s="359"/>
      <c r="BL456" s="359"/>
      <c r="BM456" s="359"/>
    </row>
    <row r="457" spans="3:66">
      <c r="C457" s="359"/>
      <c r="D457" s="260"/>
      <c r="F457" s="359"/>
      <c r="G457" s="359"/>
      <c r="H457" s="359"/>
      <c r="I457" s="359"/>
      <c r="J457" s="359"/>
      <c r="K457" s="359"/>
      <c r="L457" s="359"/>
      <c r="M457" s="359"/>
      <c r="N457" s="359"/>
      <c r="O457" s="359"/>
      <c r="P457" s="359"/>
      <c r="Q457" s="359"/>
      <c r="R457" s="359"/>
      <c r="S457" s="359"/>
      <c r="T457" s="359"/>
      <c r="U457" s="359"/>
      <c r="V457" s="359"/>
      <c r="W457" s="359"/>
      <c r="X457" s="359"/>
      <c r="Y457" s="359"/>
      <c r="Z457" s="359"/>
      <c r="AA457" s="359"/>
      <c r="AB457" s="359"/>
      <c r="AC457" s="359"/>
      <c r="AD457" s="359"/>
      <c r="AE457" s="359"/>
      <c r="AF457" s="359"/>
      <c r="AG457" s="359"/>
      <c r="AH457" s="359"/>
      <c r="AI457" s="359"/>
      <c r="AJ457" s="359"/>
      <c r="AK457" s="359"/>
      <c r="AL457" s="359"/>
      <c r="AM457" s="359"/>
      <c r="AN457" s="359"/>
      <c r="AO457" s="359"/>
      <c r="AP457" s="359"/>
      <c r="AQ457" s="359"/>
      <c r="AR457" s="359"/>
      <c r="AS457" s="359"/>
      <c r="AT457" s="359"/>
      <c r="AU457" s="359"/>
      <c r="AV457" s="359"/>
      <c r="AW457" s="359"/>
      <c r="AY457" s="962"/>
      <c r="AZ457" s="962"/>
      <c r="BA457" s="1303"/>
      <c r="BB457" s="1307"/>
      <c r="BF457" s="962"/>
      <c r="BG457" s="260"/>
      <c r="BH457" s="260"/>
      <c r="BI457" s="359"/>
      <c r="BK457" s="359"/>
      <c r="BL457" s="359"/>
      <c r="BM457" s="359"/>
    </row>
    <row r="458" spans="3:66">
      <c r="C458" s="359"/>
      <c r="D458" s="260"/>
      <c r="F458" s="359"/>
      <c r="G458" s="359"/>
      <c r="H458" s="359"/>
      <c r="I458" s="359"/>
      <c r="J458" s="359"/>
      <c r="K458" s="359"/>
      <c r="L458" s="359"/>
      <c r="M458" s="359"/>
      <c r="N458" s="359"/>
      <c r="O458" s="359"/>
      <c r="P458" s="359"/>
      <c r="Q458" s="359"/>
      <c r="R458" s="359"/>
      <c r="S458" s="359"/>
      <c r="T458" s="359"/>
      <c r="U458" s="359"/>
      <c r="V458" s="359"/>
      <c r="W458" s="359"/>
      <c r="X458" s="359"/>
      <c r="Y458" s="359"/>
      <c r="Z458" s="359"/>
      <c r="AA458" s="359"/>
      <c r="AB458" s="359"/>
      <c r="AC458" s="359"/>
      <c r="AD458" s="359"/>
      <c r="AE458" s="359"/>
      <c r="AF458" s="359"/>
      <c r="AG458" s="359"/>
      <c r="AH458" s="359"/>
      <c r="AI458" s="359"/>
      <c r="AJ458" s="359"/>
      <c r="AK458" s="359"/>
      <c r="AL458" s="359"/>
      <c r="AM458" s="359"/>
      <c r="AN458" s="359"/>
      <c r="AO458" s="359"/>
      <c r="AP458" s="359"/>
      <c r="AQ458" s="359"/>
      <c r="AR458" s="359"/>
      <c r="AS458" s="359"/>
      <c r="AT458" s="359"/>
      <c r="AU458" s="359"/>
      <c r="AV458" s="359"/>
      <c r="AW458" s="359"/>
      <c r="AY458" s="1304"/>
      <c r="AZ458" s="1304"/>
      <c r="BA458" s="1303"/>
      <c r="BB458" s="1307"/>
      <c r="BF458" s="962"/>
      <c r="BG458" s="260"/>
      <c r="BH458" s="260"/>
      <c r="BI458" s="359"/>
      <c r="BK458" s="359"/>
      <c r="BL458" s="359"/>
      <c r="BM458" s="359"/>
    </row>
    <row r="459" spans="3:66">
      <c r="C459" s="359"/>
      <c r="D459" s="260"/>
      <c r="F459" s="359"/>
      <c r="G459" s="359"/>
      <c r="H459" s="359"/>
      <c r="I459" s="359"/>
      <c r="J459" s="359"/>
      <c r="K459" s="359"/>
      <c r="L459" s="359"/>
      <c r="M459" s="359"/>
      <c r="N459" s="359"/>
      <c r="O459" s="359"/>
      <c r="P459" s="359"/>
      <c r="Q459" s="359"/>
      <c r="R459" s="359"/>
      <c r="S459" s="359"/>
      <c r="T459" s="359"/>
      <c r="U459" s="359"/>
      <c r="V459" s="359"/>
      <c r="W459" s="359"/>
      <c r="X459" s="359"/>
      <c r="Y459" s="359"/>
      <c r="Z459" s="359"/>
      <c r="AA459" s="359"/>
      <c r="AB459" s="359"/>
      <c r="AC459" s="359"/>
      <c r="AD459" s="359"/>
      <c r="AE459" s="359"/>
      <c r="AF459" s="359"/>
      <c r="AG459" s="359"/>
      <c r="AH459" s="359"/>
      <c r="AI459" s="359"/>
      <c r="AJ459" s="359"/>
      <c r="AK459" s="359"/>
      <c r="AL459" s="359"/>
      <c r="AM459" s="359"/>
      <c r="AN459" s="359"/>
      <c r="AO459" s="359"/>
      <c r="AP459" s="359"/>
      <c r="AQ459" s="359"/>
      <c r="AR459" s="359"/>
      <c r="AS459" s="359"/>
      <c r="AT459" s="359"/>
      <c r="AU459" s="359"/>
      <c r="AV459" s="359"/>
      <c r="AW459" s="359"/>
      <c r="AY459" s="1304"/>
      <c r="AZ459" s="1304"/>
      <c r="BA459" s="1303"/>
      <c r="BB459" s="1307"/>
      <c r="BF459" s="962"/>
      <c r="BG459" s="260"/>
      <c r="BH459" s="260"/>
      <c r="BI459" s="359"/>
      <c r="BK459" s="359"/>
      <c r="BL459" s="359"/>
      <c r="BM459" s="359"/>
    </row>
    <row r="460" spans="3:66">
      <c r="C460" s="359"/>
      <c r="D460" s="260"/>
      <c r="F460" s="359"/>
      <c r="G460" s="359"/>
      <c r="H460" s="359"/>
      <c r="I460" s="359"/>
      <c r="J460" s="359"/>
      <c r="K460" s="359"/>
      <c r="L460" s="359"/>
      <c r="M460" s="359"/>
      <c r="N460" s="359"/>
      <c r="O460" s="359"/>
      <c r="P460" s="359"/>
      <c r="Q460" s="359"/>
      <c r="R460" s="359"/>
      <c r="S460" s="359"/>
      <c r="T460" s="359"/>
      <c r="U460" s="359"/>
      <c r="V460" s="359"/>
      <c r="W460" s="359"/>
      <c r="X460" s="359"/>
      <c r="Y460" s="359"/>
      <c r="Z460" s="359"/>
      <c r="AA460" s="359"/>
      <c r="AB460" s="359"/>
      <c r="AC460" s="359"/>
      <c r="AD460" s="359"/>
      <c r="AE460" s="359"/>
      <c r="AF460" s="359"/>
      <c r="AG460" s="359"/>
      <c r="AH460" s="359"/>
      <c r="AI460" s="359"/>
      <c r="AJ460" s="359"/>
      <c r="AK460" s="359"/>
      <c r="AL460" s="359"/>
      <c r="AM460" s="359"/>
      <c r="AN460" s="359"/>
      <c r="AO460" s="359"/>
      <c r="AP460" s="359"/>
      <c r="AQ460" s="359"/>
      <c r="AR460" s="359"/>
      <c r="AS460" s="359"/>
      <c r="AT460" s="359"/>
      <c r="AU460" s="359"/>
      <c r="AV460" s="359"/>
      <c r="AW460" s="359"/>
      <c r="AY460" s="962"/>
      <c r="AZ460" s="962"/>
      <c r="BA460" s="1303"/>
      <c r="BB460" s="625"/>
    </row>
    <row r="461" spans="3:66">
      <c r="C461" s="359"/>
      <c r="D461" s="260"/>
      <c r="F461" s="359"/>
      <c r="G461" s="359"/>
      <c r="H461" s="359"/>
      <c r="I461" s="359"/>
      <c r="J461" s="359"/>
      <c r="K461" s="359"/>
      <c r="L461" s="359"/>
      <c r="M461" s="359"/>
      <c r="N461" s="359"/>
      <c r="O461" s="359"/>
      <c r="P461" s="359"/>
      <c r="Q461" s="359"/>
      <c r="R461" s="359"/>
      <c r="S461" s="359"/>
      <c r="T461" s="359"/>
      <c r="U461" s="359"/>
      <c r="V461" s="359"/>
      <c r="W461" s="359"/>
      <c r="X461" s="359"/>
      <c r="Y461" s="359"/>
      <c r="Z461" s="359"/>
      <c r="AA461" s="359"/>
      <c r="AB461" s="359"/>
      <c r="AC461" s="359"/>
      <c r="AD461" s="359"/>
      <c r="AE461" s="359"/>
      <c r="AF461" s="359"/>
      <c r="AG461" s="359"/>
      <c r="AH461" s="359"/>
      <c r="AI461" s="359"/>
      <c r="AJ461" s="359"/>
      <c r="AK461" s="359"/>
      <c r="AL461" s="359"/>
      <c r="AM461" s="359"/>
      <c r="AN461" s="359"/>
      <c r="AO461" s="359"/>
      <c r="AP461" s="359"/>
      <c r="AQ461" s="359"/>
      <c r="AR461" s="359"/>
      <c r="AS461" s="359"/>
      <c r="AT461" s="359"/>
      <c r="AU461" s="359"/>
      <c r="AV461" s="359"/>
      <c r="AW461" s="359"/>
      <c r="AY461" s="1304"/>
      <c r="AZ461" s="1304"/>
      <c r="BA461" s="1303"/>
      <c r="BB461" s="625"/>
    </row>
    <row r="462" spans="3:66">
      <c r="C462" s="359"/>
      <c r="D462" s="260"/>
      <c r="F462" s="359"/>
      <c r="G462" s="359"/>
      <c r="H462" s="359"/>
      <c r="I462" s="359"/>
      <c r="J462" s="359"/>
      <c r="K462" s="359"/>
      <c r="L462" s="359"/>
      <c r="M462" s="359"/>
      <c r="N462" s="359"/>
      <c r="O462" s="359"/>
      <c r="P462" s="359"/>
      <c r="Q462" s="359"/>
      <c r="R462" s="359"/>
      <c r="S462" s="359"/>
      <c r="T462" s="359"/>
      <c r="U462" s="359"/>
      <c r="V462" s="359"/>
      <c r="W462" s="359"/>
      <c r="X462" s="359"/>
      <c r="Y462" s="359"/>
      <c r="Z462" s="359"/>
      <c r="AA462" s="359"/>
      <c r="AB462" s="359"/>
      <c r="AC462" s="359"/>
      <c r="AD462" s="359"/>
      <c r="AE462" s="359"/>
      <c r="AF462" s="359"/>
      <c r="AG462" s="359"/>
      <c r="AH462" s="359"/>
      <c r="AI462" s="359"/>
      <c r="AJ462" s="359"/>
      <c r="AK462" s="359"/>
      <c r="AL462" s="359"/>
      <c r="AM462" s="359"/>
      <c r="AN462" s="359"/>
      <c r="AO462" s="359"/>
      <c r="AP462" s="359"/>
      <c r="AQ462" s="359"/>
      <c r="AR462" s="359"/>
      <c r="AS462" s="359"/>
      <c r="AT462" s="359"/>
      <c r="AU462" s="359"/>
      <c r="AV462" s="359"/>
      <c r="AW462" s="359"/>
      <c r="AY462" s="962"/>
      <c r="AZ462" s="962"/>
      <c r="BA462" s="1303"/>
      <c r="BB462" s="625"/>
    </row>
    <row r="463" spans="3:66">
      <c r="C463" s="359"/>
      <c r="D463" s="260"/>
      <c r="F463" s="359"/>
      <c r="G463" s="359"/>
      <c r="H463" s="359"/>
      <c r="I463" s="359"/>
      <c r="J463" s="359"/>
      <c r="K463" s="359"/>
      <c r="L463" s="359"/>
      <c r="M463" s="359"/>
      <c r="N463" s="359"/>
      <c r="O463" s="359"/>
      <c r="P463" s="359"/>
      <c r="Q463" s="359"/>
      <c r="R463" s="359"/>
      <c r="S463" s="359"/>
      <c r="T463" s="359"/>
      <c r="U463" s="359"/>
      <c r="V463" s="359"/>
      <c r="W463" s="359"/>
      <c r="X463" s="359"/>
      <c r="Y463" s="359"/>
      <c r="Z463" s="359"/>
      <c r="AA463" s="359"/>
      <c r="AB463" s="359"/>
      <c r="AC463" s="359"/>
      <c r="AD463" s="359"/>
      <c r="AE463" s="359"/>
      <c r="AF463" s="359"/>
      <c r="AG463" s="359"/>
      <c r="AH463" s="359"/>
      <c r="AI463" s="359"/>
      <c r="AJ463" s="359"/>
      <c r="AK463" s="359"/>
      <c r="AL463" s="359"/>
      <c r="AM463" s="359"/>
      <c r="AN463" s="359"/>
      <c r="AO463" s="359"/>
      <c r="AP463" s="359"/>
      <c r="AQ463" s="359"/>
      <c r="AR463" s="359"/>
      <c r="AS463" s="359"/>
      <c r="AT463" s="359"/>
      <c r="AU463" s="359"/>
      <c r="AV463" s="359"/>
      <c r="AW463" s="359"/>
      <c r="AY463" s="962"/>
      <c r="AZ463" s="962"/>
      <c r="BA463" s="1303"/>
      <c r="BB463" s="625"/>
    </row>
    <row r="464" spans="3:66">
      <c r="C464" s="359"/>
      <c r="D464" s="260"/>
      <c r="F464" s="359"/>
      <c r="G464" s="359"/>
      <c r="H464" s="359"/>
      <c r="I464" s="359"/>
      <c r="J464" s="359"/>
      <c r="K464" s="359"/>
      <c r="L464" s="359"/>
      <c r="M464" s="359"/>
      <c r="N464" s="359"/>
      <c r="O464" s="359"/>
      <c r="P464" s="359"/>
      <c r="Q464" s="359"/>
      <c r="R464" s="359"/>
      <c r="S464" s="359"/>
      <c r="T464" s="359"/>
      <c r="U464" s="359"/>
      <c r="V464" s="359"/>
      <c r="W464" s="359"/>
      <c r="X464" s="359"/>
      <c r="Y464" s="359"/>
      <c r="Z464" s="359"/>
      <c r="AA464" s="359"/>
      <c r="AB464" s="359"/>
      <c r="AC464" s="359"/>
      <c r="AD464" s="359"/>
      <c r="AE464" s="359"/>
      <c r="AF464" s="359"/>
      <c r="AG464" s="359"/>
      <c r="AH464" s="359"/>
      <c r="AI464" s="359"/>
      <c r="AJ464" s="359"/>
      <c r="AK464" s="359"/>
      <c r="AL464" s="359"/>
      <c r="AM464" s="359"/>
      <c r="AN464" s="359"/>
      <c r="AO464" s="359"/>
      <c r="AP464" s="359"/>
      <c r="AQ464" s="359"/>
      <c r="AR464" s="359"/>
      <c r="AS464" s="359"/>
      <c r="AT464" s="359"/>
      <c r="AU464" s="359"/>
      <c r="AV464" s="359"/>
      <c r="AW464" s="359"/>
      <c r="AY464" s="962"/>
      <c r="AZ464" s="962"/>
      <c r="BA464" s="1303"/>
      <c r="BB464" s="625"/>
    </row>
    <row r="465" spans="3:54">
      <c r="C465" s="359"/>
      <c r="D465" s="260"/>
      <c r="F465" s="359"/>
      <c r="G465" s="359"/>
      <c r="H465" s="359"/>
      <c r="I465" s="359"/>
      <c r="J465" s="359"/>
      <c r="K465" s="359"/>
      <c r="L465" s="359"/>
      <c r="M465" s="359"/>
      <c r="N465" s="359"/>
      <c r="O465" s="359"/>
      <c r="P465" s="359"/>
      <c r="Q465" s="359"/>
      <c r="R465" s="359"/>
      <c r="S465" s="359"/>
      <c r="T465" s="359"/>
      <c r="U465" s="359"/>
      <c r="V465" s="359"/>
      <c r="W465" s="359"/>
      <c r="X465" s="359"/>
      <c r="Y465" s="359"/>
      <c r="Z465" s="359"/>
      <c r="AA465" s="359"/>
      <c r="AB465" s="359"/>
      <c r="AC465" s="359"/>
      <c r="AD465" s="359"/>
      <c r="AE465" s="359"/>
      <c r="AF465" s="359"/>
      <c r="AG465" s="359"/>
      <c r="AH465" s="359"/>
      <c r="AI465" s="359"/>
      <c r="AJ465" s="359"/>
      <c r="AK465" s="359"/>
      <c r="AL465" s="359"/>
      <c r="AM465" s="359"/>
      <c r="AN465" s="359"/>
      <c r="AO465" s="359"/>
      <c r="AP465" s="359"/>
      <c r="AQ465" s="359"/>
      <c r="AR465" s="359"/>
      <c r="AS465" s="359"/>
      <c r="AT465" s="359"/>
      <c r="AU465" s="359"/>
      <c r="AV465" s="359"/>
      <c r="AW465" s="359"/>
      <c r="AY465" s="962"/>
      <c r="AZ465" s="962"/>
      <c r="BA465" s="1303"/>
      <c r="BB465" s="625"/>
    </row>
    <row r="466" spans="3:54">
      <c r="C466" s="359"/>
      <c r="D466" s="260"/>
      <c r="F466" s="359"/>
      <c r="G466" s="359"/>
      <c r="H466" s="359"/>
      <c r="I466" s="359"/>
      <c r="J466" s="359"/>
      <c r="K466" s="359"/>
      <c r="L466" s="359"/>
      <c r="M466" s="359"/>
      <c r="N466" s="359"/>
      <c r="O466" s="359"/>
      <c r="P466" s="359"/>
      <c r="Q466" s="359"/>
      <c r="R466" s="359"/>
      <c r="S466" s="359"/>
      <c r="T466" s="359"/>
      <c r="U466" s="359"/>
      <c r="V466" s="359"/>
      <c r="W466" s="359"/>
      <c r="X466" s="359"/>
      <c r="Y466" s="359"/>
      <c r="Z466" s="359"/>
      <c r="AA466" s="359"/>
      <c r="AB466" s="359"/>
      <c r="AC466" s="359"/>
      <c r="AD466" s="359"/>
      <c r="AE466" s="359"/>
      <c r="AF466" s="359"/>
      <c r="AG466" s="359"/>
      <c r="AH466" s="359"/>
      <c r="AI466" s="359"/>
      <c r="AJ466" s="359"/>
      <c r="AK466" s="359"/>
      <c r="AL466" s="359"/>
      <c r="AM466" s="359"/>
      <c r="AN466" s="359"/>
      <c r="AO466" s="359"/>
      <c r="AP466" s="359"/>
      <c r="AQ466" s="359"/>
      <c r="AR466" s="359"/>
      <c r="AS466" s="359"/>
      <c r="AT466" s="359"/>
      <c r="AU466" s="359"/>
      <c r="AV466" s="359"/>
      <c r="AW466" s="359"/>
      <c r="AY466" s="1304"/>
      <c r="AZ466" s="1304"/>
      <c r="BA466" s="1303"/>
      <c r="BB466" s="625"/>
    </row>
    <row r="467" spans="3:54">
      <c r="C467" s="359"/>
      <c r="D467" s="260"/>
      <c r="F467" s="359"/>
      <c r="G467" s="359"/>
      <c r="H467" s="359"/>
      <c r="I467" s="359"/>
      <c r="J467" s="359"/>
      <c r="K467" s="359"/>
      <c r="L467" s="359"/>
      <c r="M467" s="359"/>
      <c r="N467" s="359"/>
      <c r="O467" s="359"/>
      <c r="P467" s="359"/>
      <c r="Q467" s="359"/>
      <c r="R467" s="359"/>
      <c r="S467" s="359"/>
      <c r="T467" s="359"/>
      <c r="U467" s="359"/>
      <c r="V467" s="359"/>
      <c r="W467" s="359"/>
      <c r="X467" s="359"/>
      <c r="Y467" s="359"/>
      <c r="Z467" s="359"/>
      <c r="AA467" s="359"/>
      <c r="AB467" s="359"/>
      <c r="AC467" s="359"/>
      <c r="AD467" s="359"/>
      <c r="AE467" s="359"/>
      <c r="AF467" s="359"/>
      <c r="AG467" s="359"/>
      <c r="AH467" s="359"/>
      <c r="AI467" s="359"/>
      <c r="AJ467" s="359"/>
      <c r="AK467" s="359"/>
      <c r="AL467" s="359"/>
      <c r="AM467" s="359"/>
      <c r="AN467" s="359"/>
      <c r="AO467" s="359"/>
      <c r="AP467" s="359"/>
      <c r="AQ467" s="359"/>
      <c r="AR467" s="359"/>
      <c r="AS467" s="359"/>
      <c r="AT467" s="359"/>
      <c r="AU467" s="359"/>
      <c r="AV467" s="359"/>
      <c r="AW467" s="359"/>
      <c r="AY467" s="1304"/>
      <c r="AZ467" s="1304"/>
      <c r="BA467" s="1303"/>
      <c r="BB467" s="625"/>
    </row>
    <row r="468" spans="3:54">
      <c r="C468" s="359"/>
      <c r="D468" s="260"/>
      <c r="F468" s="359"/>
      <c r="G468" s="359"/>
      <c r="H468" s="359"/>
      <c r="I468" s="359"/>
      <c r="J468" s="359"/>
      <c r="K468" s="359"/>
      <c r="L468" s="359"/>
      <c r="M468" s="359"/>
      <c r="N468" s="359"/>
      <c r="O468" s="359"/>
      <c r="P468" s="359"/>
      <c r="Q468" s="359"/>
      <c r="R468" s="359"/>
      <c r="S468" s="359"/>
      <c r="T468" s="359"/>
      <c r="U468" s="359"/>
      <c r="V468" s="359"/>
      <c r="W468" s="359"/>
      <c r="X468" s="359"/>
      <c r="Y468" s="359"/>
      <c r="Z468" s="359"/>
      <c r="AA468" s="359"/>
      <c r="AB468" s="359"/>
      <c r="AC468" s="359"/>
      <c r="AD468" s="359"/>
      <c r="AE468" s="359"/>
      <c r="AF468" s="359"/>
      <c r="AG468" s="359"/>
      <c r="AH468" s="359"/>
      <c r="AI468" s="359"/>
      <c r="AJ468" s="359"/>
      <c r="AK468" s="359"/>
      <c r="AL468" s="359"/>
      <c r="AM468" s="359"/>
      <c r="AN468" s="359"/>
      <c r="AO468" s="359"/>
      <c r="AP468" s="359"/>
      <c r="AQ468" s="359"/>
      <c r="AR468" s="359"/>
      <c r="AS468" s="359"/>
      <c r="AT468" s="359"/>
      <c r="AU468" s="359"/>
      <c r="AV468" s="359"/>
      <c r="AW468" s="359"/>
      <c r="AY468" s="1304"/>
      <c r="AZ468" s="1304"/>
      <c r="BA468" s="1303"/>
      <c r="BB468" s="625"/>
    </row>
    <row r="469" spans="3:54">
      <c r="C469" s="359"/>
      <c r="D469" s="260"/>
      <c r="F469" s="359"/>
      <c r="G469" s="359"/>
      <c r="H469" s="359"/>
      <c r="I469" s="359"/>
      <c r="J469" s="359"/>
      <c r="K469" s="359"/>
      <c r="L469" s="359"/>
      <c r="M469" s="359"/>
      <c r="N469" s="359"/>
      <c r="O469" s="359"/>
      <c r="P469" s="359"/>
      <c r="Q469" s="359"/>
      <c r="R469" s="359"/>
      <c r="S469" s="359"/>
      <c r="T469" s="359"/>
      <c r="U469" s="359"/>
      <c r="V469" s="359"/>
      <c r="W469" s="359"/>
      <c r="X469" s="359"/>
      <c r="Y469" s="359"/>
      <c r="Z469" s="359"/>
      <c r="AA469" s="359"/>
      <c r="AB469" s="359"/>
      <c r="AC469" s="359"/>
      <c r="AD469" s="359"/>
      <c r="AE469" s="359"/>
      <c r="AF469" s="359"/>
      <c r="AG469" s="359"/>
      <c r="AH469" s="359"/>
      <c r="AI469" s="359"/>
      <c r="AJ469" s="359"/>
      <c r="AK469" s="359"/>
      <c r="AL469" s="359"/>
      <c r="AM469" s="359"/>
      <c r="AN469" s="359"/>
      <c r="AO469" s="359"/>
      <c r="AP469" s="359"/>
      <c r="AQ469" s="359"/>
      <c r="AR469" s="359"/>
      <c r="AS469" s="359"/>
      <c r="AT469" s="359"/>
      <c r="AU469" s="359"/>
      <c r="AV469" s="359"/>
      <c r="AW469" s="359"/>
      <c r="AY469" s="1304"/>
      <c r="AZ469" s="1304"/>
      <c r="BA469" s="1303"/>
      <c r="BB469" s="625"/>
    </row>
    <row r="470" spans="3:54">
      <c r="C470" s="359"/>
      <c r="D470" s="260"/>
      <c r="F470" s="359"/>
      <c r="G470" s="359"/>
      <c r="H470" s="359"/>
      <c r="I470" s="359"/>
      <c r="J470" s="359"/>
      <c r="K470" s="359"/>
      <c r="L470" s="359"/>
      <c r="M470" s="359"/>
      <c r="N470" s="359"/>
      <c r="O470" s="359"/>
      <c r="P470" s="359"/>
      <c r="Q470" s="359"/>
      <c r="R470" s="359"/>
      <c r="S470" s="359"/>
      <c r="T470" s="359"/>
      <c r="U470" s="359"/>
      <c r="V470" s="359"/>
      <c r="W470" s="359"/>
      <c r="X470" s="359"/>
      <c r="Y470" s="359"/>
      <c r="Z470" s="359"/>
      <c r="AA470" s="359"/>
      <c r="AB470" s="359"/>
      <c r="AC470" s="359"/>
      <c r="AD470" s="359"/>
      <c r="AE470" s="359"/>
      <c r="AF470" s="359"/>
      <c r="AG470" s="359"/>
      <c r="AH470" s="359"/>
      <c r="AI470" s="359"/>
      <c r="AJ470" s="359"/>
      <c r="AK470" s="359"/>
      <c r="AL470" s="359"/>
      <c r="AM470" s="359"/>
      <c r="AN470" s="359"/>
      <c r="AO470" s="359"/>
      <c r="AP470" s="359"/>
      <c r="AQ470" s="359"/>
      <c r="AR470" s="359"/>
      <c r="AS470" s="359"/>
      <c r="AT470" s="359"/>
      <c r="AU470" s="359"/>
      <c r="AV470" s="359"/>
      <c r="AW470" s="359"/>
      <c r="AY470" s="962"/>
      <c r="AZ470" s="962"/>
      <c r="BA470" s="1303"/>
      <c r="BB470" s="625"/>
    </row>
    <row r="471" spans="3:54">
      <c r="C471" s="359"/>
      <c r="D471" s="260"/>
      <c r="F471" s="359"/>
      <c r="G471" s="359"/>
      <c r="H471" s="359"/>
      <c r="I471" s="359"/>
      <c r="J471" s="359"/>
      <c r="K471" s="359"/>
      <c r="L471" s="359"/>
      <c r="M471" s="359"/>
      <c r="N471" s="359"/>
      <c r="O471" s="359"/>
      <c r="P471" s="359"/>
      <c r="Q471" s="359"/>
      <c r="R471" s="359"/>
      <c r="S471" s="359"/>
      <c r="T471" s="359"/>
      <c r="U471" s="359"/>
      <c r="V471" s="359"/>
      <c r="W471" s="359"/>
      <c r="X471" s="359"/>
      <c r="Y471" s="359"/>
      <c r="Z471" s="359"/>
      <c r="AA471" s="359"/>
      <c r="AB471" s="359"/>
      <c r="AC471" s="359"/>
      <c r="AD471" s="359"/>
      <c r="AE471" s="359"/>
      <c r="AF471" s="359"/>
      <c r="AG471" s="359"/>
      <c r="AH471" s="359"/>
      <c r="AI471" s="359"/>
      <c r="AJ471" s="359"/>
      <c r="AK471" s="359"/>
      <c r="AL471" s="359"/>
      <c r="AM471" s="359"/>
      <c r="AN471" s="359"/>
      <c r="AO471" s="359"/>
      <c r="AP471" s="359"/>
      <c r="AQ471" s="359"/>
      <c r="AR471" s="359"/>
      <c r="AS471" s="359"/>
      <c r="AT471" s="359"/>
      <c r="AU471" s="359"/>
      <c r="AV471" s="359"/>
      <c r="AW471" s="359"/>
      <c r="AY471" s="962"/>
      <c r="AZ471" s="962"/>
      <c r="BA471" s="1303"/>
      <c r="BB471" s="625"/>
    </row>
    <row r="472" spans="3:54">
      <c r="C472" s="359"/>
      <c r="D472" s="260"/>
      <c r="F472" s="359"/>
      <c r="G472" s="359"/>
      <c r="H472" s="359"/>
      <c r="I472" s="359"/>
      <c r="J472" s="359"/>
      <c r="K472" s="359"/>
      <c r="L472" s="359"/>
      <c r="M472" s="359"/>
      <c r="N472" s="359"/>
      <c r="O472" s="359"/>
      <c r="P472" s="359"/>
      <c r="Q472" s="359"/>
      <c r="R472" s="359"/>
      <c r="S472" s="359"/>
      <c r="T472" s="359"/>
      <c r="U472" s="359"/>
      <c r="V472" s="359"/>
      <c r="W472" s="359"/>
      <c r="X472" s="359"/>
      <c r="Y472" s="359"/>
      <c r="Z472" s="359"/>
      <c r="AA472" s="359"/>
      <c r="AB472" s="359"/>
      <c r="AC472" s="359"/>
      <c r="AD472" s="359"/>
      <c r="AE472" s="359"/>
      <c r="AF472" s="359"/>
      <c r="AG472" s="359"/>
      <c r="AH472" s="359"/>
      <c r="AI472" s="359"/>
      <c r="AJ472" s="359"/>
      <c r="AK472" s="359"/>
      <c r="AL472" s="359"/>
      <c r="AM472" s="359"/>
      <c r="AN472" s="359"/>
      <c r="AO472" s="359"/>
      <c r="AP472" s="359"/>
      <c r="AQ472" s="359"/>
      <c r="AR472" s="359"/>
      <c r="AS472" s="359"/>
      <c r="AT472" s="359"/>
      <c r="AU472" s="359"/>
      <c r="AV472" s="359"/>
      <c r="AW472" s="359"/>
      <c r="AY472" s="962"/>
      <c r="AZ472" s="962"/>
      <c r="BA472" s="1303"/>
      <c r="BB472" s="625"/>
    </row>
    <row r="473" spans="3:54">
      <c r="C473" s="359"/>
      <c r="D473" s="260"/>
      <c r="F473" s="359"/>
      <c r="G473" s="359"/>
      <c r="H473" s="359"/>
      <c r="I473" s="359"/>
      <c r="J473" s="359"/>
      <c r="K473" s="359"/>
      <c r="L473" s="359"/>
      <c r="M473" s="359"/>
      <c r="N473" s="359"/>
      <c r="O473" s="359"/>
      <c r="P473" s="359"/>
      <c r="Q473" s="359"/>
      <c r="R473" s="359"/>
      <c r="S473" s="359"/>
      <c r="T473" s="359"/>
      <c r="U473" s="359"/>
      <c r="V473" s="359"/>
      <c r="W473" s="359"/>
      <c r="X473" s="359"/>
      <c r="Y473" s="359"/>
      <c r="Z473" s="359"/>
      <c r="AA473" s="359"/>
      <c r="AB473" s="359"/>
      <c r="AC473" s="359"/>
      <c r="AD473" s="359"/>
      <c r="AE473" s="359"/>
      <c r="AF473" s="359"/>
      <c r="AG473" s="359"/>
      <c r="AH473" s="359"/>
      <c r="AI473" s="359"/>
      <c r="AJ473" s="359"/>
      <c r="AK473" s="359"/>
      <c r="AL473" s="359"/>
      <c r="AM473" s="359"/>
      <c r="AN473" s="359"/>
      <c r="AO473" s="359"/>
      <c r="AP473" s="359"/>
      <c r="AQ473" s="359"/>
      <c r="AR473" s="359"/>
      <c r="AS473" s="359"/>
      <c r="AT473" s="359"/>
      <c r="AU473" s="359"/>
      <c r="AV473" s="359"/>
      <c r="AW473" s="359"/>
      <c r="AY473" s="962"/>
      <c r="AZ473" s="962"/>
      <c r="BA473" s="1303"/>
      <c r="BB473" s="625"/>
    </row>
    <row r="474" spans="3:54">
      <c r="C474" s="359"/>
      <c r="D474" s="260"/>
      <c r="F474" s="359"/>
      <c r="G474" s="359"/>
      <c r="H474" s="359"/>
      <c r="I474" s="359"/>
      <c r="J474" s="359"/>
      <c r="K474" s="359"/>
      <c r="L474" s="359"/>
      <c r="M474" s="359"/>
      <c r="N474" s="359"/>
      <c r="O474" s="359"/>
      <c r="P474" s="359"/>
      <c r="Q474" s="359"/>
      <c r="R474" s="359"/>
      <c r="S474" s="359"/>
      <c r="T474" s="359"/>
      <c r="U474" s="359"/>
      <c r="V474" s="359"/>
      <c r="W474" s="359"/>
      <c r="X474" s="359"/>
      <c r="Y474" s="359"/>
      <c r="Z474" s="359"/>
      <c r="AA474" s="359"/>
      <c r="AB474" s="359"/>
      <c r="AC474" s="359"/>
      <c r="AD474" s="359"/>
      <c r="AE474" s="359"/>
      <c r="AF474" s="359"/>
      <c r="AG474" s="359"/>
      <c r="AH474" s="359"/>
      <c r="AI474" s="359"/>
      <c r="AJ474" s="359"/>
      <c r="AK474" s="359"/>
      <c r="AL474" s="359"/>
      <c r="AM474" s="359"/>
      <c r="AN474" s="359"/>
      <c r="AO474" s="359"/>
      <c r="AP474" s="359"/>
      <c r="AQ474" s="359"/>
      <c r="AR474" s="359"/>
      <c r="AS474" s="359"/>
      <c r="AT474" s="359"/>
      <c r="AU474" s="359"/>
      <c r="AV474" s="359"/>
      <c r="AW474" s="359"/>
      <c r="AY474" s="962"/>
      <c r="AZ474" s="962"/>
      <c r="BA474" s="1303"/>
      <c r="BB474" s="625"/>
    </row>
    <row r="475" spans="3:54">
      <c r="C475" s="359"/>
      <c r="D475" s="260"/>
      <c r="F475" s="359"/>
      <c r="G475" s="359"/>
      <c r="H475" s="359"/>
      <c r="I475" s="359"/>
      <c r="J475" s="359"/>
      <c r="K475" s="359"/>
      <c r="L475" s="359"/>
      <c r="M475" s="359"/>
      <c r="N475" s="359"/>
      <c r="O475" s="359"/>
      <c r="P475" s="359"/>
      <c r="Q475" s="359"/>
      <c r="R475" s="359"/>
      <c r="S475" s="359"/>
      <c r="T475" s="359"/>
      <c r="U475" s="359"/>
      <c r="V475" s="359"/>
      <c r="W475" s="359"/>
      <c r="X475" s="359"/>
      <c r="Y475" s="359"/>
      <c r="Z475" s="359"/>
      <c r="AA475" s="359"/>
      <c r="AB475" s="359"/>
      <c r="AC475" s="359"/>
      <c r="AD475" s="359"/>
      <c r="AE475" s="359"/>
      <c r="AF475" s="359"/>
      <c r="AG475" s="359"/>
      <c r="AH475" s="359"/>
      <c r="AI475" s="359"/>
      <c r="AJ475" s="359"/>
      <c r="AK475" s="359"/>
      <c r="AL475" s="359"/>
      <c r="AM475" s="359"/>
      <c r="AN475" s="359"/>
      <c r="AO475" s="359"/>
      <c r="AP475" s="359"/>
      <c r="AQ475" s="359"/>
      <c r="AR475" s="359"/>
      <c r="AS475" s="359"/>
      <c r="AT475" s="359"/>
      <c r="AU475" s="359"/>
      <c r="AV475" s="359"/>
      <c r="AW475" s="359"/>
      <c r="AY475" s="962"/>
      <c r="AZ475" s="962"/>
      <c r="BA475" s="1303"/>
      <c r="BB475" s="625"/>
    </row>
    <row r="476" spans="3:54">
      <c r="C476" s="359"/>
      <c r="D476" s="260"/>
      <c r="F476" s="359"/>
      <c r="G476" s="359"/>
      <c r="H476" s="359"/>
      <c r="I476" s="359"/>
      <c r="J476" s="359"/>
      <c r="K476" s="359"/>
      <c r="L476" s="359"/>
      <c r="M476" s="359"/>
      <c r="N476" s="359"/>
      <c r="O476" s="359"/>
      <c r="P476" s="359"/>
      <c r="Q476" s="359"/>
      <c r="R476" s="359"/>
      <c r="S476" s="359"/>
      <c r="T476" s="359"/>
      <c r="U476" s="359"/>
      <c r="V476" s="359"/>
      <c r="W476" s="359"/>
      <c r="X476" s="359"/>
      <c r="Y476" s="359"/>
      <c r="Z476" s="359"/>
      <c r="AA476" s="359"/>
      <c r="AB476" s="359"/>
      <c r="AC476" s="359"/>
      <c r="AD476" s="359"/>
      <c r="AE476" s="359"/>
      <c r="AF476" s="359"/>
      <c r="AG476" s="359"/>
      <c r="AH476" s="359"/>
      <c r="AI476" s="359"/>
      <c r="AJ476" s="359"/>
      <c r="AK476" s="359"/>
      <c r="AL476" s="359"/>
      <c r="AM476" s="359"/>
      <c r="AN476" s="359"/>
      <c r="AO476" s="359"/>
      <c r="AP476" s="359"/>
      <c r="AQ476" s="359"/>
      <c r="AR476" s="359"/>
      <c r="AS476" s="359"/>
      <c r="AT476" s="359"/>
      <c r="AU476" s="359"/>
      <c r="AV476" s="359"/>
      <c r="AW476" s="359"/>
      <c r="AY476" s="962"/>
      <c r="AZ476" s="962"/>
      <c r="BA476" s="1303"/>
      <c r="BB476" s="625"/>
    </row>
    <row r="477" spans="3:54">
      <c r="C477" s="359"/>
      <c r="D477" s="260"/>
      <c r="F477" s="359"/>
      <c r="G477" s="359"/>
      <c r="H477" s="359"/>
      <c r="I477" s="359"/>
      <c r="J477" s="359"/>
      <c r="K477" s="359"/>
      <c r="L477" s="359"/>
      <c r="M477" s="359"/>
      <c r="N477" s="359"/>
      <c r="O477" s="359"/>
      <c r="P477" s="359"/>
      <c r="Q477" s="359"/>
      <c r="R477" s="359"/>
      <c r="S477" s="359"/>
      <c r="T477" s="359"/>
      <c r="U477" s="359"/>
      <c r="V477" s="359"/>
      <c r="W477" s="359"/>
      <c r="X477" s="359"/>
      <c r="Y477" s="359"/>
      <c r="Z477" s="359"/>
      <c r="AA477" s="359"/>
      <c r="AB477" s="359"/>
      <c r="AC477" s="359"/>
      <c r="AD477" s="359"/>
      <c r="AE477" s="359"/>
      <c r="AF477" s="359"/>
      <c r="AG477" s="359"/>
      <c r="AH477" s="359"/>
      <c r="AI477" s="359"/>
      <c r="AJ477" s="359"/>
      <c r="AK477" s="359"/>
      <c r="AL477" s="359"/>
      <c r="AM477" s="359"/>
      <c r="AN477" s="359"/>
      <c r="AO477" s="359"/>
      <c r="AP477" s="359"/>
      <c r="AQ477" s="359"/>
      <c r="AR477" s="359"/>
      <c r="AS477" s="359"/>
      <c r="AT477" s="359"/>
      <c r="AU477" s="359"/>
      <c r="AV477" s="359"/>
      <c r="AW477" s="359"/>
      <c r="AY477" s="962"/>
      <c r="AZ477" s="962"/>
      <c r="BA477" s="1303"/>
      <c r="BB477" s="625"/>
    </row>
    <row r="478" spans="3:54">
      <c r="C478" s="359"/>
      <c r="D478" s="260"/>
      <c r="F478" s="359"/>
      <c r="G478" s="359"/>
      <c r="H478" s="359"/>
      <c r="I478" s="359"/>
      <c r="J478" s="359"/>
      <c r="K478" s="359"/>
      <c r="L478" s="359"/>
      <c r="M478" s="359"/>
      <c r="N478" s="359"/>
      <c r="O478" s="359"/>
      <c r="P478" s="359"/>
      <c r="Q478" s="359"/>
      <c r="R478" s="359"/>
      <c r="S478" s="359"/>
      <c r="T478" s="359"/>
      <c r="U478" s="359"/>
      <c r="V478" s="359"/>
      <c r="W478" s="359"/>
      <c r="X478" s="359"/>
      <c r="Y478" s="359"/>
      <c r="Z478" s="359"/>
      <c r="AA478" s="359"/>
      <c r="AB478" s="359"/>
      <c r="AC478" s="359"/>
      <c r="AD478" s="359"/>
      <c r="AE478" s="359"/>
      <c r="AF478" s="359"/>
      <c r="AG478" s="359"/>
      <c r="AH478" s="359"/>
      <c r="AI478" s="359"/>
      <c r="AJ478" s="359"/>
      <c r="AK478" s="359"/>
      <c r="AL478" s="359"/>
      <c r="AM478" s="359"/>
      <c r="AN478" s="359"/>
      <c r="AO478" s="359"/>
      <c r="AP478" s="359"/>
      <c r="AQ478" s="359"/>
      <c r="AR478" s="359"/>
      <c r="AS478" s="359"/>
      <c r="AT478" s="359"/>
      <c r="AU478" s="359"/>
      <c r="AV478" s="359"/>
      <c r="AW478" s="359"/>
      <c r="AY478" s="962"/>
      <c r="AZ478" s="962"/>
      <c r="BA478" s="1303"/>
      <c r="BB478" s="625"/>
    </row>
    <row r="479" spans="3:54">
      <c r="C479" s="359"/>
      <c r="D479" s="260"/>
      <c r="F479" s="359"/>
      <c r="G479" s="359"/>
      <c r="H479" s="359"/>
      <c r="I479" s="359"/>
      <c r="J479" s="359"/>
      <c r="K479" s="359"/>
      <c r="L479" s="359"/>
      <c r="M479" s="359"/>
      <c r="N479" s="359"/>
      <c r="O479" s="359"/>
      <c r="P479" s="359"/>
      <c r="Q479" s="359"/>
      <c r="R479" s="359"/>
      <c r="S479" s="359"/>
      <c r="T479" s="359"/>
      <c r="U479" s="359"/>
      <c r="V479" s="359"/>
      <c r="W479" s="359"/>
      <c r="X479" s="359"/>
      <c r="Y479" s="359"/>
      <c r="Z479" s="359"/>
      <c r="AA479" s="359"/>
      <c r="AB479" s="359"/>
      <c r="AC479" s="359"/>
      <c r="AD479" s="359"/>
      <c r="AE479" s="359"/>
      <c r="AF479" s="359"/>
      <c r="AG479" s="359"/>
      <c r="AH479" s="359"/>
      <c r="AI479" s="359"/>
      <c r="AJ479" s="359"/>
      <c r="AK479" s="359"/>
      <c r="AL479" s="359"/>
      <c r="AM479" s="359"/>
      <c r="AN479" s="359"/>
      <c r="AO479" s="359"/>
      <c r="AP479" s="359"/>
      <c r="AQ479" s="359"/>
      <c r="AR479" s="359"/>
      <c r="AS479" s="359"/>
      <c r="AT479" s="359"/>
      <c r="AU479" s="359"/>
      <c r="AV479" s="359"/>
      <c r="AW479" s="359"/>
      <c r="AY479" s="962"/>
      <c r="AZ479" s="962"/>
      <c r="BA479" s="1303"/>
      <c r="BB479" s="625"/>
    </row>
    <row r="480" spans="3:54">
      <c r="C480" s="359"/>
      <c r="D480" s="260"/>
      <c r="F480" s="359"/>
      <c r="G480" s="359"/>
      <c r="H480" s="359"/>
      <c r="I480" s="359"/>
      <c r="J480" s="359"/>
      <c r="K480" s="359"/>
      <c r="L480" s="359"/>
      <c r="M480" s="359"/>
      <c r="N480" s="359"/>
      <c r="O480" s="359"/>
      <c r="P480" s="359"/>
      <c r="Q480" s="359"/>
      <c r="R480" s="359"/>
      <c r="S480" s="359"/>
      <c r="T480" s="359"/>
      <c r="U480" s="359"/>
      <c r="V480" s="359"/>
      <c r="W480" s="359"/>
      <c r="X480" s="359"/>
      <c r="Y480" s="359"/>
      <c r="Z480" s="359"/>
      <c r="AA480" s="359"/>
      <c r="AB480" s="359"/>
      <c r="AC480" s="359"/>
      <c r="AD480" s="359"/>
      <c r="AE480" s="359"/>
      <c r="AF480" s="359"/>
      <c r="AG480" s="359"/>
      <c r="AH480" s="359"/>
      <c r="AI480" s="359"/>
      <c r="AJ480" s="359"/>
      <c r="AK480" s="359"/>
      <c r="AL480" s="359"/>
      <c r="AM480" s="359"/>
      <c r="AN480" s="359"/>
      <c r="AO480" s="359"/>
      <c r="AP480" s="359"/>
      <c r="AQ480" s="359"/>
      <c r="AR480" s="359"/>
      <c r="AS480" s="359"/>
      <c r="AT480" s="359"/>
      <c r="AU480" s="359"/>
      <c r="AV480" s="359"/>
      <c r="AW480" s="359"/>
      <c r="AY480" s="962"/>
      <c r="AZ480" s="962"/>
      <c r="BA480" s="1303"/>
      <c r="BB480" s="625"/>
    </row>
    <row r="481" spans="3:54">
      <c r="C481" s="359"/>
      <c r="D481" s="260"/>
      <c r="F481" s="359"/>
      <c r="G481" s="359"/>
      <c r="H481" s="359"/>
      <c r="I481" s="359"/>
      <c r="J481" s="359"/>
      <c r="K481" s="359"/>
      <c r="L481" s="359"/>
      <c r="M481" s="359"/>
      <c r="N481" s="359"/>
      <c r="O481" s="359"/>
      <c r="P481" s="359"/>
      <c r="Q481" s="359"/>
      <c r="R481" s="359"/>
      <c r="S481" s="359"/>
      <c r="T481" s="359"/>
      <c r="U481" s="359"/>
      <c r="V481" s="359"/>
      <c r="W481" s="359"/>
      <c r="X481" s="359"/>
      <c r="Y481" s="359"/>
      <c r="Z481" s="359"/>
      <c r="AA481" s="359"/>
      <c r="AB481" s="359"/>
      <c r="AC481" s="359"/>
      <c r="AD481" s="359"/>
      <c r="AE481" s="359"/>
      <c r="AF481" s="359"/>
      <c r="AG481" s="359"/>
      <c r="AH481" s="359"/>
      <c r="AI481" s="359"/>
      <c r="AJ481" s="359"/>
      <c r="AK481" s="359"/>
      <c r="AL481" s="359"/>
      <c r="AM481" s="359"/>
      <c r="AN481" s="359"/>
      <c r="AO481" s="359"/>
      <c r="AP481" s="359"/>
      <c r="AQ481" s="359"/>
      <c r="AR481" s="359"/>
      <c r="AS481" s="359"/>
      <c r="AT481" s="359"/>
      <c r="AU481" s="359"/>
      <c r="AV481" s="359"/>
      <c r="AW481" s="359"/>
      <c r="AY481" s="962"/>
      <c r="AZ481" s="962"/>
      <c r="BA481" s="1303"/>
      <c r="BB481" s="625"/>
    </row>
    <row r="482" spans="3:54">
      <c r="C482" s="359"/>
      <c r="D482" s="260"/>
      <c r="F482" s="359"/>
      <c r="G482" s="359"/>
      <c r="H482" s="359"/>
      <c r="I482" s="359"/>
      <c r="J482" s="359"/>
      <c r="K482" s="359"/>
      <c r="L482" s="359"/>
      <c r="M482" s="359"/>
      <c r="N482" s="359"/>
      <c r="O482" s="359"/>
      <c r="P482" s="359"/>
      <c r="Q482" s="359"/>
      <c r="R482" s="359"/>
      <c r="S482" s="359"/>
      <c r="T482" s="359"/>
      <c r="U482" s="359"/>
      <c r="V482" s="359"/>
      <c r="W482" s="359"/>
      <c r="X482" s="359"/>
      <c r="Y482" s="359"/>
      <c r="Z482" s="359"/>
      <c r="AA482" s="359"/>
      <c r="AB482" s="359"/>
      <c r="AC482" s="359"/>
      <c r="AD482" s="359"/>
      <c r="AE482" s="359"/>
      <c r="AF482" s="359"/>
      <c r="AG482" s="359"/>
      <c r="AH482" s="359"/>
      <c r="AI482" s="359"/>
      <c r="AJ482" s="359"/>
      <c r="AK482" s="359"/>
      <c r="AL482" s="359"/>
      <c r="AM482" s="359"/>
      <c r="AN482" s="359"/>
      <c r="AO482" s="359"/>
      <c r="AP482" s="359"/>
      <c r="AQ482" s="359"/>
      <c r="AR482" s="359"/>
      <c r="AS482" s="359"/>
      <c r="AT482" s="359"/>
      <c r="AU482" s="359"/>
      <c r="AV482" s="359"/>
      <c r="AW482" s="359"/>
      <c r="AY482" s="962"/>
      <c r="AZ482" s="962"/>
      <c r="BA482" s="1303"/>
      <c r="BB482" s="625"/>
    </row>
    <row r="483" spans="3:54">
      <c r="C483" s="359"/>
      <c r="D483" s="260"/>
      <c r="F483" s="359"/>
      <c r="G483" s="359"/>
      <c r="H483" s="359"/>
      <c r="I483" s="359"/>
      <c r="J483" s="359"/>
      <c r="K483" s="359"/>
      <c r="L483" s="359"/>
      <c r="M483" s="359"/>
      <c r="N483" s="359"/>
      <c r="O483" s="359"/>
      <c r="P483" s="359"/>
      <c r="Q483" s="359"/>
      <c r="R483" s="359"/>
      <c r="S483" s="359"/>
      <c r="T483" s="359"/>
      <c r="U483" s="359"/>
      <c r="V483" s="359"/>
      <c r="W483" s="359"/>
      <c r="X483" s="359"/>
      <c r="Y483" s="359"/>
      <c r="Z483" s="359"/>
      <c r="AA483" s="359"/>
      <c r="AB483" s="359"/>
      <c r="AC483" s="359"/>
      <c r="AD483" s="359"/>
      <c r="AE483" s="359"/>
      <c r="AF483" s="359"/>
      <c r="AG483" s="359"/>
      <c r="AH483" s="359"/>
      <c r="AI483" s="359"/>
      <c r="AJ483" s="359"/>
      <c r="AK483" s="359"/>
      <c r="AL483" s="359"/>
      <c r="AM483" s="359"/>
      <c r="AN483" s="359"/>
      <c r="AO483" s="359"/>
      <c r="AP483" s="359"/>
      <c r="AQ483" s="359"/>
      <c r="AR483" s="359"/>
      <c r="AS483" s="359"/>
      <c r="AT483" s="359"/>
      <c r="AU483" s="359"/>
      <c r="AV483" s="359"/>
      <c r="AW483" s="359"/>
      <c r="AY483" s="962"/>
      <c r="AZ483" s="962"/>
      <c r="BA483" s="1303"/>
      <c r="BB483" s="625"/>
    </row>
    <row r="484" spans="3:54">
      <c r="C484" s="359"/>
      <c r="D484" s="260"/>
      <c r="F484" s="359"/>
      <c r="G484" s="359"/>
      <c r="H484" s="359"/>
      <c r="I484" s="359"/>
      <c r="J484" s="359"/>
      <c r="K484" s="359"/>
      <c r="L484" s="359"/>
      <c r="M484" s="359"/>
      <c r="N484" s="359"/>
      <c r="O484" s="359"/>
      <c r="P484" s="359"/>
      <c r="Q484" s="359"/>
      <c r="R484" s="359"/>
      <c r="S484" s="359"/>
      <c r="T484" s="359"/>
      <c r="U484" s="359"/>
      <c r="V484" s="359"/>
      <c r="W484" s="359"/>
      <c r="X484" s="359"/>
      <c r="Y484" s="359"/>
      <c r="Z484" s="359"/>
      <c r="AA484" s="359"/>
      <c r="AB484" s="359"/>
      <c r="AC484" s="359"/>
      <c r="AD484" s="359"/>
      <c r="AE484" s="359"/>
      <c r="AF484" s="359"/>
      <c r="AG484" s="359"/>
      <c r="AH484" s="359"/>
      <c r="AI484" s="359"/>
      <c r="AJ484" s="359"/>
      <c r="AK484" s="359"/>
      <c r="AL484" s="359"/>
      <c r="AM484" s="359"/>
      <c r="AN484" s="359"/>
      <c r="AO484" s="359"/>
      <c r="AP484" s="359"/>
      <c r="AQ484" s="359"/>
      <c r="AR484" s="359"/>
      <c r="AS484" s="359"/>
      <c r="AT484" s="359"/>
      <c r="AU484" s="359"/>
      <c r="AV484" s="359"/>
      <c r="AW484" s="359"/>
      <c r="AY484" s="962"/>
      <c r="AZ484" s="962"/>
      <c r="BA484" s="1303"/>
      <c r="BB484" s="625"/>
    </row>
    <row r="485" spans="3:54">
      <c r="C485" s="359"/>
      <c r="D485" s="260"/>
      <c r="F485" s="359"/>
      <c r="G485" s="359"/>
      <c r="H485" s="359"/>
      <c r="I485" s="359"/>
      <c r="J485" s="359"/>
      <c r="K485" s="359"/>
      <c r="L485" s="359"/>
      <c r="M485" s="359"/>
      <c r="N485" s="359"/>
      <c r="O485" s="359"/>
      <c r="P485" s="359"/>
      <c r="Q485" s="359"/>
      <c r="R485" s="359"/>
      <c r="S485" s="359"/>
      <c r="T485" s="359"/>
      <c r="U485" s="359"/>
      <c r="V485" s="359"/>
      <c r="W485" s="359"/>
      <c r="X485" s="359"/>
      <c r="Y485" s="359"/>
      <c r="Z485" s="359"/>
      <c r="AA485" s="359"/>
      <c r="AB485" s="359"/>
      <c r="AC485" s="359"/>
      <c r="AD485" s="359"/>
      <c r="AE485" s="359"/>
      <c r="AF485" s="359"/>
      <c r="AG485" s="359"/>
      <c r="AH485" s="359"/>
      <c r="AI485" s="359"/>
      <c r="AJ485" s="359"/>
      <c r="AK485" s="359"/>
      <c r="AL485" s="359"/>
      <c r="AM485" s="359"/>
      <c r="AN485" s="359"/>
      <c r="AO485" s="359"/>
      <c r="AP485" s="359"/>
      <c r="AQ485" s="359"/>
      <c r="AR485" s="359"/>
      <c r="AS485" s="359"/>
      <c r="AT485" s="359"/>
      <c r="AU485" s="359"/>
      <c r="AV485" s="359"/>
      <c r="AW485" s="359"/>
      <c r="AY485" s="962"/>
      <c r="AZ485" s="962"/>
      <c r="BA485" s="1303"/>
      <c r="BB485" s="625"/>
    </row>
    <row r="486" spans="3:54">
      <c r="C486" s="359"/>
      <c r="D486" s="260"/>
      <c r="F486" s="359"/>
      <c r="G486" s="359"/>
      <c r="H486" s="359"/>
      <c r="I486" s="359"/>
      <c r="J486" s="359"/>
      <c r="K486" s="359"/>
      <c r="L486" s="359"/>
      <c r="M486" s="359"/>
      <c r="N486" s="359"/>
      <c r="O486" s="359"/>
      <c r="P486" s="359"/>
      <c r="Q486" s="359"/>
      <c r="R486" s="359"/>
      <c r="S486" s="359"/>
      <c r="T486" s="359"/>
      <c r="U486" s="359"/>
      <c r="V486" s="359"/>
      <c r="W486" s="359"/>
      <c r="X486" s="359"/>
      <c r="Y486" s="359"/>
      <c r="Z486" s="359"/>
      <c r="AA486" s="359"/>
      <c r="AB486" s="359"/>
      <c r="AC486" s="359"/>
      <c r="AD486" s="359"/>
      <c r="AE486" s="359"/>
      <c r="AF486" s="359"/>
      <c r="AG486" s="359"/>
      <c r="AH486" s="359"/>
      <c r="AI486" s="359"/>
      <c r="AJ486" s="359"/>
      <c r="AK486" s="359"/>
      <c r="AL486" s="359"/>
      <c r="AM486" s="359"/>
      <c r="AN486" s="359"/>
      <c r="AO486" s="359"/>
      <c r="AP486" s="359"/>
      <c r="AQ486" s="359"/>
      <c r="AR486" s="359"/>
      <c r="AS486" s="359"/>
      <c r="AT486" s="359"/>
      <c r="AU486" s="359"/>
      <c r="AV486" s="359"/>
      <c r="AW486" s="359"/>
      <c r="AY486" s="962"/>
      <c r="AZ486" s="962"/>
      <c r="BA486" s="1303"/>
      <c r="BB486" s="625"/>
    </row>
    <row r="487" spans="3:54">
      <c r="C487" s="359"/>
      <c r="D487" s="260"/>
      <c r="F487" s="359"/>
      <c r="G487" s="359"/>
      <c r="H487" s="359"/>
      <c r="I487" s="359"/>
      <c r="J487" s="359"/>
      <c r="K487" s="359"/>
      <c r="L487" s="359"/>
      <c r="M487" s="359"/>
      <c r="N487" s="359"/>
      <c r="O487" s="359"/>
      <c r="P487" s="359"/>
      <c r="Q487" s="359"/>
      <c r="R487" s="359"/>
      <c r="S487" s="359"/>
      <c r="T487" s="359"/>
      <c r="U487" s="359"/>
      <c r="V487" s="359"/>
      <c r="W487" s="359"/>
      <c r="X487" s="359"/>
      <c r="Y487" s="359"/>
      <c r="Z487" s="359"/>
      <c r="AA487" s="359"/>
      <c r="AB487" s="359"/>
      <c r="AC487" s="359"/>
      <c r="AD487" s="359"/>
      <c r="AE487" s="359"/>
      <c r="AF487" s="359"/>
      <c r="AG487" s="359"/>
      <c r="AH487" s="359"/>
      <c r="AI487" s="359"/>
      <c r="AJ487" s="359"/>
      <c r="AK487" s="359"/>
      <c r="AL487" s="359"/>
      <c r="AM487" s="359"/>
      <c r="AN487" s="359"/>
      <c r="AO487" s="359"/>
      <c r="AP487" s="359"/>
      <c r="AQ487" s="359"/>
      <c r="AR487" s="359"/>
      <c r="AS487" s="359"/>
      <c r="AT487" s="359"/>
      <c r="AU487" s="359"/>
      <c r="AV487" s="359"/>
      <c r="AW487" s="359"/>
      <c r="AY487" s="962"/>
      <c r="AZ487" s="962"/>
      <c r="BA487" s="1303"/>
      <c r="BB487" s="625"/>
    </row>
    <row r="488" spans="3:54">
      <c r="C488" s="359"/>
      <c r="D488" s="260"/>
      <c r="F488" s="359"/>
      <c r="G488" s="359"/>
      <c r="H488" s="359"/>
      <c r="I488" s="359"/>
      <c r="J488" s="359"/>
      <c r="K488" s="359"/>
      <c r="L488" s="359"/>
      <c r="M488" s="359"/>
      <c r="N488" s="359"/>
      <c r="O488" s="359"/>
      <c r="P488" s="359"/>
      <c r="Q488" s="359"/>
      <c r="R488" s="359"/>
      <c r="S488" s="359"/>
      <c r="T488" s="359"/>
      <c r="U488" s="359"/>
      <c r="V488" s="359"/>
      <c r="W488" s="359"/>
      <c r="X488" s="359"/>
      <c r="Y488" s="359"/>
      <c r="Z488" s="359"/>
      <c r="AA488" s="359"/>
      <c r="AB488" s="359"/>
      <c r="AC488" s="359"/>
      <c r="AD488" s="359"/>
      <c r="AE488" s="359"/>
      <c r="AF488" s="359"/>
      <c r="AG488" s="359"/>
      <c r="AH488" s="359"/>
      <c r="AI488" s="359"/>
      <c r="AJ488" s="359"/>
      <c r="AK488" s="359"/>
      <c r="AL488" s="359"/>
      <c r="AM488" s="359"/>
      <c r="AN488" s="359"/>
      <c r="AO488" s="359"/>
      <c r="AP488" s="359"/>
      <c r="AQ488" s="359"/>
      <c r="AR488" s="359"/>
      <c r="AS488" s="359"/>
      <c r="AT488" s="359"/>
      <c r="AU488" s="359"/>
      <c r="AV488" s="359"/>
      <c r="AW488" s="359"/>
      <c r="AY488" s="962"/>
      <c r="AZ488" s="962"/>
      <c r="BA488" s="1303"/>
      <c r="BB488" s="625"/>
    </row>
    <row r="489" spans="3:54">
      <c r="C489" s="359"/>
      <c r="D489" s="260"/>
      <c r="F489" s="359"/>
      <c r="G489" s="359"/>
      <c r="H489" s="359"/>
      <c r="I489" s="359"/>
      <c r="J489" s="359"/>
      <c r="K489" s="359"/>
      <c r="L489" s="359"/>
      <c r="M489" s="359"/>
      <c r="N489" s="359"/>
      <c r="O489" s="359"/>
      <c r="P489" s="359"/>
      <c r="Q489" s="359"/>
      <c r="R489" s="359"/>
      <c r="S489" s="359"/>
      <c r="T489" s="359"/>
      <c r="U489" s="359"/>
      <c r="V489" s="359"/>
      <c r="W489" s="359"/>
      <c r="X489" s="359"/>
      <c r="Y489" s="359"/>
      <c r="Z489" s="359"/>
      <c r="AA489" s="359"/>
      <c r="AB489" s="359"/>
      <c r="AC489" s="359"/>
      <c r="AD489" s="359"/>
      <c r="AE489" s="359"/>
      <c r="AF489" s="359"/>
      <c r="AG489" s="359"/>
      <c r="AH489" s="359"/>
      <c r="AI489" s="359"/>
      <c r="AJ489" s="359"/>
      <c r="AK489" s="359"/>
      <c r="AL489" s="359"/>
      <c r="AM489" s="359"/>
      <c r="AN489" s="359"/>
      <c r="AO489" s="359"/>
      <c r="AP489" s="359"/>
      <c r="AQ489" s="359"/>
      <c r="AR489" s="359"/>
      <c r="AS489" s="359"/>
      <c r="AT489" s="359"/>
      <c r="AU489" s="359"/>
      <c r="AV489" s="359"/>
      <c r="AW489" s="359"/>
      <c r="AY489" s="962"/>
      <c r="AZ489" s="962"/>
      <c r="BA489" s="1303"/>
      <c r="BB489" s="625"/>
    </row>
    <row r="490" spans="3:54">
      <c r="C490" s="359"/>
      <c r="D490" s="260"/>
      <c r="F490" s="359"/>
      <c r="G490" s="359"/>
      <c r="H490" s="359"/>
      <c r="I490" s="359"/>
      <c r="J490" s="359"/>
      <c r="K490" s="359"/>
      <c r="L490" s="359"/>
      <c r="M490" s="359"/>
      <c r="N490" s="359"/>
      <c r="O490" s="359"/>
      <c r="P490" s="359"/>
      <c r="Q490" s="359"/>
      <c r="R490" s="359"/>
      <c r="S490" s="359"/>
      <c r="T490" s="359"/>
      <c r="U490" s="359"/>
      <c r="V490" s="359"/>
      <c r="W490" s="359"/>
      <c r="X490" s="359"/>
      <c r="Y490" s="359"/>
      <c r="Z490" s="359"/>
      <c r="AA490" s="359"/>
      <c r="AB490" s="359"/>
      <c r="AC490" s="359"/>
      <c r="AD490" s="359"/>
      <c r="AE490" s="359"/>
      <c r="AF490" s="359"/>
      <c r="AG490" s="359"/>
      <c r="AH490" s="359"/>
      <c r="AI490" s="359"/>
      <c r="AJ490" s="359"/>
      <c r="AK490" s="359"/>
      <c r="AL490" s="359"/>
      <c r="AM490" s="359"/>
      <c r="AN490" s="359"/>
      <c r="AO490" s="359"/>
      <c r="AP490" s="359"/>
      <c r="AQ490" s="359"/>
      <c r="AR490" s="359"/>
      <c r="AS490" s="359"/>
      <c r="AT490" s="359"/>
      <c r="AU490" s="359"/>
      <c r="AV490" s="359"/>
      <c r="AW490" s="359"/>
      <c r="AY490" s="962"/>
      <c r="AZ490" s="962"/>
      <c r="BA490" s="1303"/>
      <c r="BB490" s="625"/>
    </row>
    <row r="491" spans="3:54">
      <c r="C491" s="359"/>
      <c r="D491" s="260"/>
      <c r="F491" s="359"/>
      <c r="G491" s="359"/>
      <c r="H491" s="359"/>
      <c r="I491" s="359"/>
      <c r="J491" s="359"/>
      <c r="K491" s="359"/>
      <c r="L491" s="359"/>
      <c r="M491" s="359"/>
      <c r="N491" s="359"/>
      <c r="O491" s="359"/>
      <c r="P491" s="359"/>
      <c r="Q491" s="359"/>
      <c r="R491" s="359"/>
      <c r="S491" s="359"/>
      <c r="T491" s="359"/>
      <c r="U491" s="359"/>
      <c r="V491" s="359"/>
      <c r="W491" s="359"/>
      <c r="X491" s="359"/>
      <c r="Y491" s="359"/>
      <c r="Z491" s="359"/>
      <c r="AA491" s="359"/>
      <c r="AB491" s="359"/>
      <c r="AC491" s="359"/>
      <c r="AD491" s="359"/>
      <c r="AE491" s="359"/>
      <c r="AF491" s="359"/>
      <c r="AG491" s="359"/>
      <c r="AH491" s="359"/>
      <c r="AI491" s="359"/>
      <c r="AJ491" s="359"/>
      <c r="AK491" s="359"/>
      <c r="AL491" s="359"/>
      <c r="AM491" s="359"/>
      <c r="AN491" s="359"/>
      <c r="AO491" s="359"/>
      <c r="AP491" s="359"/>
      <c r="AQ491" s="359"/>
      <c r="AR491" s="359"/>
      <c r="AS491" s="359"/>
      <c r="AT491" s="359"/>
      <c r="AU491" s="359"/>
      <c r="AV491" s="359"/>
      <c r="AW491" s="359"/>
      <c r="AY491" s="962"/>
      <c r="AZ491" s="962"/>
      <c r="BA491" s="1303"/>
      <c r="BB491" s="625"/>
    </row>
    <row r="492" spans="3:54">
      <c r="C492" s="359"/>
      <c r="D492" s="260"/>
      <c r="F492" s="359"/>
      <c r="G492" s="359"/>
      <c r="H492" s="359"/>
      <c r="I492" s="359"/>
      <c r="J492" s="359"/>
      <c r="K492" s="359"/>
      <c r="L492" s="359"/>
      <c r="M492" s="359"/>
      <c r="N492" s="359"/>
      <c r="O492" s="359"/>
      <c r="P492" s="359"/>
      <c r="Q492" s="359"/>
      <c r="R492" s="359"/>
      <c r="S492" s="359"/>
      <c r="T492" s="359"/>
      <c r="U492" s="359"/>
      <c r="V492" s="359"/>
      <c r="W492" s="359"/>
      <c r="X492" s="359"/>
      <c r="Y492" s="359"/>
      <c r="Z492" s="359"/>
      <c r="AA492" s="359"/>
      <c r="AB492" s="359"/>
      <c r="AC492" s="359"/>
      <c r="AD492" s="359"/>
      <c r="AE492" s="359"/>
      <c r="AF492" s="359"/>
      <c r="AG492" s="359"/>
      <c r="AH492" s="359"/>
      <c r="AI492" s="359"/>
      <c r="AJ492" s="359"/>
      <c r="AK492" s="359"/>
      <c r="AL492" s="359"/>
      <c r="AM492" s="359"/>
      <c r="AN492" s="359"/>
      <c r="AO492" s="359"/>
      <c r="AP492" s="359"/>
      <c r="AQ492" s="359"/>
      <c r="AR492" s="359"/>
      <c r="AS492" s="359"/>
      <c r="AT492" s="359"/>
      <c r="AU492" s="359"/>
      <c r="AV492" s="359"/>
      <c r="AW492" s="359"/>
      <c r="AY492" s="962"/>
      <c r="AZ492" s="962"/>
      <c r="BA492" s="1303"/>
      <c r="BB492" s="625"/>
    </row>
    <row r="493" spans="3:54">
      <c r="C493" s="359"/>
      <c r="D493" s="260"/>
      <c r="F493" s="359"/>
      <c r="G493" s="359"/>
      <c r="H493" s="359"/>
      <c r="I493" s="359"/>
      <c r="J493" s="359"/>
      <c r="K493" s="359"/>
      <c r="L493" s="359"/>
      <c r="M493" s="359"/>
      <c r="N493" s="359"/>
      <c r="O493" s="359"/>
      <c r="P493" s="359"/>
      <c r="Q493" s="359"/>
      <c r="R493" s="359"/>
      <c r="S493" s="359"/>
      <c r="T493" s="359"/>
      <c r="U493" s="359"/>
      <c r="V493" s="359"/>
      <c r="W493" s="359"/>
      <c r="X493" s="359"/>
      <c r="Y493" s="359"/>
      <c r="Z493" s="359"/>
      <c r="AA493" s="359"/>
      <c r="AB493" s="359"/>
      <c r="AC493" s="359"/>
      <c r="AD493" s="359"/>
      <c r="AE493" s="359"/>
      <c r="AF493" s="359"/>
      <c r="AG493" s="359"/>
      <c r="AH493" s="359"/>
      <c r="AI493" s="359"/>
      <c r="AJ493" s="359"/>
      <c r="AK493" s="359"/>
      <c r="AL493" s="359"/>
      <c r="AM493" s="359"/>
      <c r="AN493" s="359"/>
      <c r="AO493" s="359"/>
      <c r="AP493" s="359"/>
      <c r="AQ493" s="359"/>
      <c r="AR493" s="359"/>
      <c r="AS493" s="359"/>
      <c r="AT493" s="359"/>
      <c r="AU493" s="359"/>
      <c r="AV493" s="359"/>
      <c r="AW493" s="359"/>
      <c r="AY493" s="962"/>
      <c r="AZ493" s="962"/>
      <c r="BA493" s="1303"/>
      <c r="BB493" s="625"/>
    </row>
    <row r="494" spans="3:54">
      <c r="C494" s="359"/>
      <c r="D494" s="260"/>
      <c r="F494" s="359"/>
      <c r="G494" s="359"/>
      <c r="H494" s="359"/>
      <c r="I494" s="359"/>
      <c r="J494" s="359"/>
      <c r="K494" s="359"/>
      <c r="L494" s="359"/>
      <c r="M494" s="359"/>
      <c r="N494" s="359"/>
      <c r="O494" s="359"/>
      <c r="P494" s="359"/>
      <c r="Q494" s="359"/>
      <c r="R494" s="359"/>
      <c r="S494" s="359"/>
      <c r="T494" s="359"/>
      <c r="U494" s="359"/>
      <c r="V494" s="359"/>
      <c r="W494" s="359"/>
      <c r="X494" s="359"/>
      <c r="Y494" s="359"/>
      <c r="Z494" s="359"/>
      <c r="AA494" s="359"/>
      <c r="AB494" s="359"/>
      <c r="AC494" s="359"/>
      <c r="AD494" s="359"/>
      <c r="AE494" s="359"/>
      <c r="AF494" s="359"/>
      <c r="AG494" s="359"/>
      <c r="AH494" s="359"/>
      <c r="AI494" s="359"/>
      <c r="AJ494" s="359"/>
      <c r="AK494" s="359"/>
      <c r="AL494" s="359"/>
      <c r="AM494" s="359"/>
      <c r="AN494" s="359"/>
      <c r="AO494" s="359"/>
      <c r="AP494" s="359"/>
      <c r="AQ494" s="359"/>
      <c r="AR494" s="359"/>
      <c r="AS494" s="359"/>
      <c r="AT494" s="359"/>
      <c r="AU494" s="359"/>
      <c r="AV494" s="359"/>
      <c r="AW494" s="359"/>
      <c r="AY494" s="962"/>
      <c r="AZ494" s="962"/>
      <c r="BA494" s="1303"/>
      <c r="BB494" s="625"/>
    </row>
    <row r="495" spans="3:54">
      <c r="C495" s="359"/>
      <c r="D495" s="260"/>
      <c r="F495" s="359"/>
      <c r="G495" s="359"/>
      <c r="H495" s="359"/>
      <c r="I495" s="359"/>
      <c r="J495" s="359"/>
      <c r="K495" s="359"/>
      <c r="L495" s="359"/>
      <c r="M495" s="359"/>
      <c r="N495" s="359"/>
      <c r="O495" s="359"/>
      <c r="P495" s="359"/>
      <c r="Q495" s="359"/>
      <c r="R495" s="359"/>
      <c r="S495" s="359"/>
      <c r="T495" s="359"/>
      <c r="U495" s="359"/>
      <c r="V495" s="359"/>
      <c r="W495" s="359"/>
      <c r="X495" s="359"/>
      <c r="Y495" s="359"/>
      <c r="Z495" s="359"/>
      <c r="AA495" s="359"/>
      <c r="AB495" s="359"/>
      <c r="AC495" s="359"/>
      <c r="AD495" s="359"/>
      <c r="AE495" s="359"/>
      <c r="AF495" s="359"/>
      <c r="AG495" s="359"/>
      <c r="AH495" s="359"/>
      <c r="AI495" s="359"/>
      <c r="AJ495" s="359"/>
      <c r="AK495" s="359"/>
      <c r="AL495" s="359"/>
      <c r="AM495" s="359"/>
      <c r="AN495" s="359"/>
      <c r="AO495" s="359"/>
      <c r="AP495" s="359"/>
      <c r="AQ495" s="359"/>
      <c r="AR495" s="359"/>
      <c r="AS495" s="359"/>
      <c r="AT495" s="359"/>
      <c r="AU495" s="359"/>
      <c r="AV495" s="359"/>
      <c r="AW495" s="359"/>
      <c r="AY495" s="962"/>
      <c r="AZ495" s="962"/>
      <c r="BA495" s="1303"/>
      <c r="BB495" s="625"/>
    </row>
    <row r="496" spans="3:54">
      <c r="C496" s="359"/>
      <c r="D496" s="260"/>
      <c r="F496" s="359"/>
      <c r="G496" s="359"/>
      <c r="H496" s="359"/>
      <c r="I496" s="359"/>
      <c r="J496" s="359"/>
      <c r="K496" s="359"/>
      <c r="L496" s="359"/>
      <c r="M496" s="359"/>
      <c r="N496" s="359"/>
      <c r="O496" s="359"/>
      <c r="P496" s="359"/>
      <c r="Q496" s="359"/>
      <c r="R496" s="359"/>
      <c r="S496" s="359"/>
      <c r="T496" s="359"/>
      <c r="U496" s="359"/>
      <c r="V496" s="359"/>
      <c r="W496" s="359"/>
      <c r="X496" s="359"/>
      <c r="Y496" s="359"/>
      <c r="Z496" s="359"/>
      <c r="AA496" s="359"/>
      <c r="AB496" s="359"/>
      <c r="AC496" s="359"/>
      <c r="AD496" s="359"/>
      <c r="AE496" s="359"/>
      <c r="AF496" s="359"/>
      <c r="AG496" s="359"/>
      <c r="AH496" s="359"/>
      <c r="AI496" s="359"/>
      <c r="AJ496" s="359"/>
      <c r="AK496" s="359"/>
      <c r="AL496" s="359"/>
      <c r="AM496" s="359"/>
      <c r="AN496" s="359"/>
      <c r="AO496" s="359"/>
      <c r="AP496" s="359"/>
      <c r="AQ496" s="359"/>
      <c r="AR496" s="359"/>
      <c r="AS496" s="359"/>
      <c r="AT496" s="359"/>
      <c r="AU496" s="359"/>
      <c r="AV496" s="359"/>
      <c r="AW496" s="359"/>
      <c r="AY496" s="962"/>
      <c r="AZ496" s="962"/>
      <c r="BA496" s="1303"/>
      <c r="BB496" s="625"/>
    </row>
    <row r="497" spans="3:54">
      <c r="C497" s="359"/>
      <c r="D497" s="260"/>
      <c r="F497" s="359"/>
      <c r="G497" s="359"/>
      <c r="H497" s="359"/>
      <c r="I497" s="359"/>
      <c r="J497" s="359"/>
      <c r="K497" s="359"/>
      <c r="L497" s="359"/>
      <c r="M497" s="359"/>
      <c r="N497" s="359"/>
      <c r="O497" s="359"/>
      <c r="P497" s="359"/>
      <c r="Q497" s="359"/>
      <c r="R497" s="359"/>
      <c r="S497" s="359"/>
      <c r="T497" s="359"/>
      <c r="U497" s="359"/>
      <c r="V497" s="359"/>
      <c r="W497" s="359"/>
      <c r="X497" s="359"/>
      <c r="Y497" s="359"/>
      <c r="Z497" s="359"/>
      <c r="AA497" s="359"/>
      <c r="AB497" s="359"/>
      <c r="AC497" s="359"/>
      <c r="AD497" s="359"/>
      <c r="AE497" s="359"/>
      <c r="AF497" s="359"/>
      <c r="AG497" s="359"/>
      <c r="AH497" s="359"/>
      <c r="AI497" s="359"/>
      <c r="AJ497" s="359"/>
      <c r="AK497" s="359"/>
      <c r="AL497" s="359"/>
      <c r="AM497" s="359"/>
      <c r="AN497" s="359"/>
      <c r="AO497" s="359"/>
      <c r="AP497" s="359"/>
      <c r="AQ497" s="359"/>
      <c r="AR497" s="359"/>
      <c r="AS497" s="359"/>
      <c r="AT497" s="359"/>
      <c r="AU497" s="359"/>
      <c r="AV497" s="359"/>
      <c r="AW497" s="359"/>
      <c r="AY497" s="962"/>
      <c r="AZ497" s="962"/>
      <c r="BA497" s="1303"/>
      <c r="BB497" s="625"/>
    </row>
    <row r="498" spans="3:54">
      <c r="C498" s="359"/>
      <c r="D498" s="260"/>
      <c r="F498" s="359"/>
      <c r="G498" s="359"/>
      <c r="H498" s="359"/>
      <c r="I498" s="359"/>
      <c r="J498" s="359"/>
      <c r="K498" s="359"/>
      <c r="L498" s="359"/>
      <c r="M498" s="359"/>
      <c r="N498" s="359"/>
      <c r="O498" s="359"/>
      <c r="P498" s="359"/>
      <c r="Q498" s="359"/>
      <c r="R498" s="359"/>
      <c r="S498" s="359"/>
      <c r="T498" s="359"/>
      <c r="U498" s="359"/>
      <c r="V498" s="359"/>
      <c r="W498" s="359"/>
      <c r="X498" s="359"/>
      <c r="Y498" s="359"/>
      <c r="Z498" s="359"/>
      <c r="AA498" s="359"/>
      <c r="AB498" s="359"/>
      <c r="AC498" s="359"/>
      <c r="AD498" s="359"/>
      <c r="AE498" s="359"/>
      <c r="AF498" s="359"/>
      <c r="AG498" s="359"/>
      <c r="AH498" s="359"/>
      <c r="AI498" s="359"/>
      <c r="AJ498" s="359"/>
      <c r="AK498" s="359"/>
      <c r="AL498" s="359"/>
      <c r="AM498" s="359"/>
      <c r="AN498" s="359"/>
      <c r="AO498" s="359"/>
      <c r="AP498" s="359"/>
      <c r="AQ498" s="359"/>
      <c r="AR498" s="359"/>
      <c r="AS498" s="359"/>
      <c r="AT498" s="359"/>
      <c r="AU498" s="359"/>
      <c r="AV498" s="359"/>
      <c r="AW498" s="359"/>
      <c r="AY498" s="962"/>
      <c r="AZ498" s="962"/>
      <c r="BA498" s="1303"/>
      <c r="BB498" s="625"/>
    </row>
    <row r="499" spans="3:54">
      <c r="C499" s="359"/>
      <c r="D499" s="260"/>
      <c r="F499" s="359"/>
      <c r="G499" s="359"/>
      <c r="H499" s="359"/>
      <c r="I499" s="359"/>
      <c r="J499" s="359"/>
      <c r="K499" s="359"/>
      <c r="L499" s="359"/>
      <c r="M499" s="359"/>
      <c r="N499" s="359"/>
      <c r="O499" s="359"/>
      <c r="P499" s="359"/>
      <c r="Q499" s="359"/>
      <c r="R499" s="359"/>
      <c r="S499" s="359"/>
      <c r="T499" s="359"/>
      <c r="U499" s="359"/>
      <c r="V499" s="359"/>
      <c r="W499" s="359"/>
      <c r="X499" s="359"/>
      <c r="Y499" s="359"/>
      <c r="Z499" s="359"/>
      <c r="AA499" s="359"/>
      <c r="AB499" s="359"/>
      <c r="AC499" s="359"/>
      <c r="AD499" s="359"/>
      <c r="AE499" s="359"/>
      <c r="AF499" s="359"/>
      <c r="AG499" s="359"/>
      <c r="AH499" s="359"/>
      <c r="AI499" s="359"/>
      <c r="AJ499" s="359"/>
      <c r="AK499" s="359"/>
      <c r="AL499" s="359"/>
      <c r="AM499" s="359"/>
      <c r="AN499" s="359"/>
      <c r="AO499" s="359"/>
      <c r="AP499" s="359"/>
      <c r="AQ499" s="359"/>
      <c r="AR499" s="359"/>
      <c r="AS499" s="359"/>
      <c r="AT499" s="359"/>
      <c r="AU499" s="359"/>
      <c r="AV499" s="359"/>
      <c r="AW499" s="359"/>
      <c r="AY499" s="962"/>
      <c r="AZ499" s="962"/>
      <c r="BA499" s="1303"/>
      <c r="BB499" s="625"/>
    </row>
    <row r="500" spans="3:54">
      <c r="AY500" s="962"/>
      <c r="AZ500" s="962"/>
      <c r="BA500" s="1303"/>
      <c r="BB500" s="625"/>
    </row>
    <row r="501" spans="3:54">
      <c r="AY501" s="962"/>
      <c r="AZ501" s="962"/>
    </row>
    <row r="502" spans="3:54">
      <c r="AY502" s="962"/>
      <c r="AZ502" s="962"/>
      <c r="BA502" s="1303"/>
      <c r="BB502" s="625"/>
    </row>
    <row r="503" spans="3:54">
      <c r="AY503" s="962"/>
      <c r="AZ503" s="962"/>
      <c r="BA503" s="1303"/>
      <c r="BB503" s="624"/>
    </row>
    <row r="504" spans="3:54">
      <c r="AY504" s="1306"/>
      <c r="AZ504" s="1306"/>
      <c r="BA504" s="1303"/>
      <c r="BB504" s="625"/>
    </row>
    <row r="505" spans="3:54">
      <c r="AY505" s="1306"/>
      <c r="AZ505" s="1306"/>
      <c r="BA505" s="1303"/>
      <c r="BB505" s="625"/>
    </row>
    <row r="506" spans="3:54">
      <c r="AY506" s="962"/>
      <c r="AZ506" s="962"/>
      <c r="BA506" s="1303"/>
      <c r="BB506" s="625"/>
    </row>
    <row r="507" spans="3:54">
      <c r="AY507" s="962"/>
      <c r="AZ507" s="962"/>
      <c r="BA507" s="1303"/>
    </row>
    <row r="508" spans="3:54">
      <c r="AY508" s="962"/>
      <c r="AZ508" s="962"/>
      <c r="BA508" s="1303"/>
      <c r="BB508" s="625"/>
    </row>
    <row r="509" spans="3:54">
      <c r="AY509" s="962"/>
      <c r="AZ509" s="962"/>
      <c r="BA509" s="1303"/>
    </row>
    <row r="510" spans="3:54">
      <c r="AY510" s="962"/>
      <c r="AZ510" s="962"/>
      <c r="BA510" s="1303"/>
      <c r="BB510" s="625"/>
    </row>
    <row r="511" spans="3:54">
      <c r="AY511" s="962"/>
      <c r="AZ511" s="962"/>
      <c r="BA511" s="1303"/>
      <c r="BB511" s="625"/>
    </row>
    <row r="512" spans="3:54">
      <c r="AY512" s="962"/>
      <c r="AZ512" s="962"/>
      <c r="BA512" s="1303"/>
      <c r="BB512" s="625"/>
    </row>
    <row r="513" spans="51:54">
      <c r="AY513" s="962"/>
      <c r="AZ513" s="962"/>
      <c r="BA513" s="1303"/>
      <c r="BB513" s="625"/>
    </row>
    <row r="514" spans="51:54">
      <c r="AY514" s="962"/>
      <c r="AZ514" s="962"/>
      <c r="BA514" s="1303"/>
      <c r="BB514" s="625"/>
    </row>
    <row r="515" spans="51:54">
      <c r="AY515" s="962"/>
      <c r="AZ515" s="962"/>
      <c r="BA515" s="1303"/>
      <c r="BB515" s="625"/>
    </row>
    <row r="516" spans="51:54">
      <c r="AY516" s="962"/>
      <c r="AZ516" s="962"/>
      <c r="BA516" s="1303"/>
      <c r="BB516" s="624"/>
    </row>
    <row r="517" spans="51:54">
      <c r="AY517" s="962"/>
      <c r="AZ517" s="962"/>
      <c r="BA517" s="1303"/>
      <c r="BB517" s="625"/>
    </row>
    <row r="518" spans="51:54">
      <c r="AY518" s="962"/>
      <c r="AZ518" s="962"/>
      <c r="BA518" s="1303"/>
      <c r="BB518" s="625"/>
    </row>
    <row r="519" spans="51:54">
      <c r="AY519" s="962"/>
      <c r="AZ519" s="962"/>
      <c r="BA519" s="1303"/>
      <c r="BB519" s="625"/>
    </row>
    <row r="520" spans="51:54">
      <c r="AY520" s="962"/>
      <c r="AZ520" s="962"/>
      <c r="BA520" s="1303"/>
      <c r="BB520" s="625"/>
    </row>
    <row r="521" spans="51:54">
      <c r="AY521" s="962"/>
      <c r="AZ521" s="962"/>
      <c r="BA521" s="1303"/>
      <c r="BB521" s="625"/>
    </row>
    <row r="522" spans="51:54">
      <c r="AY522" s="962"/>
      <c r="AZ522" s="962"/>
      <c r="BA522" s="1303"/>
      <c r="BB522" s="625"/>
    </row>
    <row r="523" spans="51:54">
      <c r="AY523" s="962"/>
      <c r="AZ523" s="962"/>
      <c r="BA523" s="1303"/>
    </row>
    <row r="524" spans="51:54">
      <c r="AY524" s="962"/>
      <c r="AZ524" s="962"/>
      <c r="BA524" s="1303"/>
      <c r="BB524" s="625"/>
    </row>
    <row r="525" spans="51:54">
      <c r="AY525" s="962"/>
      <c r="AZ525" s="962"/>
      <c r="BA525" s="1303"/>
      <c r="BB525" s="625"/>
    </row>
    <row r="526" spans="51:54">
      <c r="AY526" s="962"/>
      <c r="AZ526" s="962"/>
      <c r="BA526" s="1303"/>
      <c r="BB526" s="625"/>
    </row>
    <row r="527" spans="51:54">
      <c r="AY527" s="962"/>
      <c r="AZ527" s="962"/>
      <c r="BA527" s="1303"/>
      <c r="BB527" s="625"/>
    </row>
    <row r="528" spans="51:54">
      <c r="AY528" s="962"/>
      <c r="AZ528" s="962"/>
      <c r="BA528" s="1303"/>
      <c r="BB528" s="625"/>
    </row>
    <row r="529" spans="51:54">
      <c r="AY529" s="962"/>
      <c r="AZ529" s="962"/>
      <c r="BA529" s="1303"/>
      <c r="BB529" s="624"/>
    </row>
    <row r="530" spans="51:54">
      <c r="AY530" s="962"/>
      <c r="AZ530" s="962"/>
      <c r="BA530" s="1303"/>
      <c r="BB530" s="625"/>
    </row>
    <row r="531" spans="51:54">
      <c r="AY531" s="1304"/>
      <c r="AZ531" s="1304"/>
      <c r="BA531" s="1303"/>
      <c r="BB531" s="625"/>
    </row>
    <row r="532" spans="51:54">
      <c r="AY532" s="962"/>
      <c r="AZ532" s="962"/>
      <c r="BA532" s="1303"/>
      <c r="BB532" s="625"/>
    </row>
    <row r="533" spans="51:54">
      <c r="AY533" s="1304"/>
      <c r="AZ533" s="1304"/>
      <c r="BA533" s="1303"/>
      <c r="BB533" s="625"/>
    </row>
    <row r="534" spans="51:54">
      <c r="AY534" s="1304"/>
      <c r="AZ534" s="1304"/>
      <c r="BA534" s="1303"/>
      <c r="BB534" s="625"/>
    </row>
    <row r="535" spans="51:54">
      <c r="AY535" s="1304"/>
      <c r="AZ535" s="1304"/>
      <c r="BA535" s="1303"/>
      <c r="BB535" s="625"/>
    </row>
    <row r="536" spans="51:54">
      <c r="AY536" s="1304"/>
      <c r="AZ536" s="1304"/>
      <c r="BA536" s="1303"/>
      <c r="BB536" s="625"/>
    </row>
    <row r="537" spans="51:54">
      <c r="AY537" s="1304"/>
      <c r="AZ537" s="1304"/>
    </row>
    <row r="538" spans="51:54">
      <c r="AY538" s="1304"/>
      <c r="AZ538" s="1304"/>
    </row>
    <row r="539" spans="51:54">
      <c r="AY539" s="962"/>
      <c r="AZ539" s="962"/>
    </row>
    <row r="540" spans="51:54">
      <c r="AY540" s="962"/>
      <c r="AZ540" s="962"/>
    </row>
    <row r="541" spans="51:54">
      <c r="AY541" s="962"/>
      <c r="AZ541" s="962"/>
    </row>
    <row r="542" spans="51:54">
      <c r="AY542" s="962"/>
      <c r="AZ542" s="962"/>
    </row>
    <row r="543" spans="51:54">
      <c r="AY543" s="962"/>
      <c r="AZ543" s="962"/>
    </row>
    <row r="544" spans="51:54">
      <c r="AY544" s="962"/>
      <c r="AZ544" s="962"/>
    </row>
    <row r="545" spans="51:52">
      <c r="AY545" s="1304"/>
      <c r="AZ545" s="1304"/>
    </row>
    <row r="546" spans="51:52">
      <c r="AY546" s="1304"/>
      <c r="AZ546" s="1304"/>
    </row>
    <row r="547" spans="51:52">
      <c r="AY547" s="1304"/>
      <c r="AZ547" s="1304"/>
    </row>
    <row r="548" spans="51:52">
      <c r="AY548" s="1304"/>
      <c r="AZ548" s="1304"/>
    </row>
    <row r="549" spans="51:52">
      <c r="AY549" s="1304"/>
      <c r="AZ549" s="1304"/>
    </row>
    <row r="550" spans="51:52">
      <c r="AY550" s="1304"/>
      <c r="AZ550" s="1304"/>
    </row>
    <row r="551" spans="51:52">
      <c r="AY551" s="962"/>
      <c r="AZ551" s="962"/>
    </row>
    <row r="552" spans="51:52">
      <c r="AY552" s="962"/>
      <c r="AZ552" s="962"/>
    </row>
    <row r="553" spans="51:52">
      <c r="AY553" s="962"/>
      <c r="AZ553" s="962"/>
    </row>
    <row r="554" spans="51:52">
      <c r="AY554" s="962"/>
      <c r="AZ554" s="962"/>
    </row>
    <row r="555" spans="51:52">
      <c r="AY555" s="962"/>
      <c r="AZ555" s="962"/>
    </row>
    <row r="556" spans="51:52">
      <c r="AY556" s="962"/>
      <c r="AZ556" s="962"/>
    </row>
    <row r="557" spans="51:52">
      <c r="AY557" s="962"/>
      <c r="AZ557" s="962"/>
    </row>
    <row r="558" spans="51:52">
      <c r="AY558" s="962"/>
      <c r="AZ558" s="962"/>
    </row>
    <row r="559" spans="51:52">
      <c r="AY559" s="962"/>
      <c r="AZ559" s="962"/>
    </row>
    <row r="560" spans="51:52">
      <c r="AY560" s="962"/>
      <c r="AZ560" s="962"/>
    </row>
    <row r="561" spans="51:52">
      <c r="AY561" s="962"/>
      <c r="AZ561" s="962"/>
    </row>
    <row r="562" spans="51:52">
      <c r="AY562" s="962"/>
      <c r="AZ562" s="962"/>
    </row>
    <row r="563" spans="51:52">
      <c r="AY563" s="962"/>
      <c r="AZ563" s="962"/>
    </row>
    <row r="564" spans="51:52">
      <c r="AY564" s="962"/>
      <c r="AZ564" s="962"/>
    </row>
    <row r="565" spans="51:52">
      <c r="AY565" s="962"/>
      <c r="AZ565" s="962"/>
    </row>
    <row r="566" spans="51:52">
      <c r="AY566" s="962"/>
      <c r="AZ566" s="962"/>
    </row>
    <row r="567" spans="51:52">
      <c r="AY567" s="962"/>
      <c r="AZ567" s="962"/>
    </row>
    <row r="568" spans="51:52">
      <c r="AY568" s="962"/>
      <c r="AZ568" s="962"/>
    </row>
    <row r="569" spans="51:52">
      <c r="AY569" s="962"/>
      <c r="AZ569" s="962"/>
    </row>
    <row r="570" spans="51:52">
      <c r="AY570" s="962"/>
      <c r="AZ570" s="962"/>
    </row>
    <row r="571" spans="51:52">
      <c r="AY571" s="962"/>
      <c r="AZ571" s="962"/>
    </row>
    <row r="572" spans="51:52">
      <c r="AY572" s="962"/>
      <c r="AZ572" s="962"/>
    </row>
    <row r="573" spans="51:52">
      <c r="AY573" s="962"/>
      <c r="AZ573" s="962"/>
    </row>
    <row r="574" spans="51:52">
      <c r="AY574" s="962"/>
      <c r="AZ574" s="962"/>
    </row>
    <row r="575" spans="51:52">
      <c r="AY575" s="962"/>
      <c r="AZ575" s="962"/>
    </row>
    <row r="576" spans="51:52">
      <c r="AY576" s="962"/>
      <c r="AZ576" s="962"/>
    </row>
    <row r="577" spans="51:52">
      <c r="AY577" s="962"/>
      <c r="AZ577" s="962"/>
    </row>
    <row r="578" spans="51:52">
      <c r="AY578" s="962"/>
      <c r="AZ578" s="962"/>
    </row>
    <row r="579" spans="51:52">
      <c r="AY579" s="962"/>
      <c r="AZ579" s="962"/>
    </row>
    <row r="580" spans="51:52">
      <c r="AY580" s="962"/>
      <c r="AZ580" s="962"/>
    </row>
    <row r="581" spans="51:52">
      <c r="AY581" s="962"/>
      <c r="AZ581" s="962"/>
    </row>
    <row r="582" spans="51:52">
      <c r="AY582" s="962"/>
      <c r="AZ582" s="962"/>
    </row>
    <row r="583" spans="51:52">
      <c r="AY583" s="962"/>
      <c r="AZ583" s="962"/>
    </row>
    <row r="584" spans="51:52">
      <c r="AY584" s="962"/>
      <c r="AZ584" s="962"/>
    </row>
    <row r="585" spans="51:52">
      <c r="AY585" s="962"/>
      <c r="AZ585" s="962"/>
    </row>
    <row r="586" spans="51:52">
      <c r="AY586" s="962"/>
      <c r="AZ586" s="962"/>
    </row>
    <row r="587" spans="51:52">
      <c r="AY587" s="962"/>
      <c r="AZ587" s="962"/>
    </row>
    <row r="588" spans="51:52">
      <c r="AY588" s="962"/>
      <c r="AZ588" s="962"/>
    </row>
    <row r="589" spans="51:52">
      <c r="AY589" s="962"/>
      <c r="AZ589" s="962"/>
    </row>
    <row r="590" spans="51:52">
      <c r="AY590" s="962"/>
      <c r="AZ590" s="962"/>
    </row>
  </sheetData>
  <pageMargins left="0.70866141732283472" right="0.70866141732283472" top="0.74803149606299213" bottom="0.74803149606299213" header="0.31496062992125984" footer="0.31496062992125984"/>
  <pageSetup paperSize="9" orientation="landscape"/>
  <tableParts count="1">
    <tablePart r:id="rId1"/>
  </tableParts>
</worksheet>
</file>

<file path=xl/worksheets/sheet40.xml><?xml version="1.0" encoding="utf-8"?>
<worksheet xmlns="http://schemas.openxmlformats.org/spreadsheetml/2006/main" xmlns:r="http://schemas.openxmlformats.org/officeDocument/2006/relationships">
  <sheetPr>
    <tabColor theme="5" tint="0.39997558519241921"/>
    <pageSetUpPr autoPageBreaks="0"/>
  </sheetPr>
  <dimension ref="A1:CU519"/>
  <sheetViews>
    <sheetView showGridLines="0" topLeftCell="A55" workbookViewId="0">
      <selection activeCell="BA71" sqref="BA71"/>
    </sheetView>
  </sheetViews>
  <sheetFormatPr defaultColWidth="9.140625" defaultRowHeight="12.75" outlineLevelCol="1"/>
  <cols>
    <col min="1" max="1" width="2.140625" style="3297" customWidth="1"/>
    <col min="2" max="2" width="4.42578125" style="3297" customWidth="1"/>
    <col min="3" max="3" width="5.42578125" style="3297" bestFit="1" customWidth="1"/>
    <col min="4" max="4" width="28.140625" style="3297" customWidth="1"/>
    <col min="5" max="5" width="21.7109375" style="3297" bestFit="1" customWidth="1"/>
    <col min="6" max="6" width="16" style="3297" customWidth="1"/>
    <col min="7" max="7" width="10.28515625" style="3297" hidden="1" customWidth="1" outlineLevel="1"/>
    <col min="8" max="48" width="10.85546875" style="3297" hidden="1" customWidth="1" outlineLevel="1"/>
    <col min="49" max="49" width="17.42578125" style="3297" hidden="1" customWidth="1" outlineLevel="1"/>
    <col min="50" max="50" width="10.85546875" style="3297" customWidth="1" collapsed="1"/>
    <col min="51" max="53" width="10" style="3297" customWidth="1"/>
    <col min="54" max="56" width="15" style="3297" bestFit="1" customWidth="1"/>
    <col min="57" max="61" width="16.42578125" style="3297" bestFit="1" customWidth="1"/>
    <col min="62" max="62" width="9.140625" style="3297"/>
    <col min="63" max="63" width="16.7109375" style="3297" bestFit="1" customWidth="1"/>
    <col min="64" max="64" width="20.7109375" style="3297" bestFit="1" customWidth="1"/>
    <col min="65" max="65" width="8.42578125" style="3297" customWidth="1"/>
    <col min="66" max="66" width="17.85546875" style="3297" bestFit="1" customWidth="1"/>
    <col min="67" max="75" width="5.42578125" style="3297" bestFit="1" customWidth="1"/>
    <col min="76" max="16384" width="9.140625" style="3297"/>
  </cols>
  <sheetData>
    <row r="1" spans="1:76" ht="6.75" customHeight="1"/>
    <row r="2" spans="1:76" ht="22.5">
      <c r="A2" s="420"/>
      <c r="B2" s="206" t="s">
        <v>1125</v>
      </c>
      <c r="C2" s="175"/>
      <c r="D2" s="175"/>
      <c r="E2" s="175"/>
      <c r="F2" s="175"/>
      <c r="G2" s="175"/>
      <c r="H2" s="175"/>
      <c r="I2" s="175"/>
      <c r="J2" s="175"/>
      <c r="K2" s="175"/>
      <c r="L2" s="175"/>
      <c r="M2" s="175"/>
      <c r="N2" s="175"/>
      <c r="O2" s="175"/>
      <c r="P2" s="175"/>
      <c r="Q2" s="175"/>
      <c r="R2" s="175"/>
      <c r="S2" s="175"/>
      <c r="T2" s="175"/>
      <c r="U2" s="175"/>
      <c r="V2" s="175"/>
      <c r="W2" s="175"/>
      <c r="X2" s="175"/>
      <c r="Y2" s="175"/>
      <c r="Z2" s="175"/>
      <c r="AA2" s="175"/>
      <c r="AB2" s="175"/>
      <c r="AC2" s="175"/>
      <c r="AD2" s="175"/>
      <c r="AE2" s="175"/>
      <c r="AF2" s="175"/>
      <c r="AG2" s="175"/>
      <c r="AH2" s="175"/>
      <c r="AI2" s="175"/>
      <c r="AJ2" s="175"/>
      <c r="AK2" s="175"/>
      <c r="AL2" s="175"/>
      <c r="AM2" s="175"/>
      <c r="AN2" s="175"/>
      <c r="AO2" s="175"/>
      <c r="AP2" s="175"/>
      <c r="AQ2" s="175"/>
      <c r="AR2" s="175"/>
      <c r="AS2" s="175"/>
      <c r="AT2" s="175"/>
      <c r="AU2" s="175"/>
      <c r="AV2" s="175"/>
      <c r="AW2" s="175"/>
      <c r="AX2" s="175"/>
      <c r="AY2" s="175"/>
      <c r="AZ2" s="175"/>
      <c r="BA2" s="175"/>
      <c r="BB2" s="175"/>
      <c r="BC2" s="175"/>
      <c r="BD2" s="175"/>
      <c r="BE2" s="175"/>
      <c r="BF2" s="175"/>
      <c r="BG2" s="175"/>
      <c r="BH2" s="175"/>
      <c r="BI2" s="175"/>
      <c r="BJ2" s="177"/>
    </row>
    <row r="3" spans="1:76" s="51" customFormat="1" ht="20.25" customHeight="1">
      <c r="B3" s="164"/>
      <c r="C3" s="166"/>
      <c r="D3" s="166"/>
      <c r="E3" s="166"/>
      <c r="F3" s="166"/>
      <c r="G3" s="166"/>
      <c r="H3" s="1156" t="s">
        <v>1126</v>
      </c>
      <c r="I3" s="1156"/>
      <c r="J3" s="1156"/>
      <c r="K3" s="1156"/>
      <c r="L3" s="1156"/>
      <c r="M3" s="1156"/>
      <c r="N3" s="1156"/>
      <c r="O3" s="1156"/>
      <c r="P3" s="1156"/>
      <c r="Q3" s="1156"/>
      <c r="R3" s="1156"/>
      <c r="S3" s="1156"/>
      <c r="T3" s="1156"/>
      <c r="U3" s="1156"/>
      <c r="V3" s="1156"/>
      <c r="W3" s="1156"/>
      <c r="X3" s="1156"/>
      <c r="Y3" s="1156"/>
      <c r="Z3" s="1156"/>
      <c r="AA3" s="1156"/>
      <c r="AB3" s="1156"/>
      <c r="AC3" s="1156"/>
      <c r="AD3" s="1156"/>
      <c r="AE3" s="1156"/>
      <c r="AF3" s="1156"/>
      <c r="AG3" s="1156"/>
      <c r="AH3" s="1156"/>
      <c r="AI3" s="1156"/>
      <c r="AJ3" s="1156"/>
      <c r="AK3" s="1156"/>
      <c r="AL3" s="1156"/>
      <c r="AM3" s="1156"/>
      <c r="AN3" s="1156"/>
      <c r="AO3" s="1156"/>
      <c r="AP3" s="1156"/>
      <c r="AQ3" s="1156"/>
      <c r="AR3" s="1156"/>
      <c r="AS3" s="1156"/>
      <c r="AT3" s="1156"/>
      <c r="AU3" s="1156"/>
      <c r="AV3" s="1156"/>
      <c r="AW3" s="1156"/>
      <c r="AX3" s="166"/>
      <c r="AY3" s="166" t="s">
        <v>1198</v>
      </c>
      <c r="AZ3" s="166"/>
      <c r="BA3" s="166"/>
      <c r="BB3" s="166"/>
      <c r="BC3" s="166"/>
      <c r="BD3" s="166"/>
      <c r="BE3" s="166"/>
      <c r="BF3" s="166"/>
      <c r="BG3" s="166"/>
      <c r="BH3" s="1157"/>
      <c r="BI3" s="1158"/>
      <c r="BJ3" s="181"/>
      <c r="BL3" s="3297"/>
      <c r="BM3" s="3297"/>
      <c r="BN3" s="3297"/>
      <c r="BO3" s="3297"/>
      <c r="BP3" s="3297"/>
      <c r="BQ3" s="3297"/>
      <c r="BR3" s="3297"/>
      <c r="BS3" s="3297"/>
      <c r="BT3" s="3297"/>
      <c r="BU3" s="3297"/>
      <c r="BV3" s="3297"/>
      <c r="BW3" s="3297"/>
      <c r="BX3" s="3297"/>
    </row>
    <row r="4" spans="1:76" ht="20.25" customHeight="1">
      <c r="B4" s="164"/>
      <c r="C4" s="166"/>
      <c r="D4" s="2403" t="str">
        <f>preferences.energyunits &amp; " / year"</f>
        <v>TWh / year</v>
      </c>
      <c r="E4" s="166"/>
      <c r="F4" s="2404" t="s">
        <v>1127</v>
      </c>
      <c r="G4" s="1159"/>
      <c r="H4" s="1160">
        <v>1970</v>
      </c>
      <c r="I4" s="1160">
        <v>1971</v>
      </c>
      <c r="J4" s="1160">
        <v>1972</v>
      </c>
      <c r="K4" s="1160">
        <v>1973</v>
      </c>
      <c r="L4" s="1160">
        <v>1974</v>
      </c>
      <c r="M4" s="1160">
        <v>1975</v>
      </c>
      <c r="N4" s="1160">
        <v>1976</v>
      </c>
      <c r="O4" s="1160">
        <v>1977</v>
      </c>
      <c r="P4" s="1160">
        <v>1978</v>
      </c>
      <c r="Q4" s="1160">
        <v>1979</v>
      </c>
      <c r="R4" s="1160">
        <v>1980</v>
      </c>
      <c r="S4" s="1160">
        <v>1981</v>
      </c>
      <c r="T4" s="1160">
        <v>1982</v>
      </c>
      <c r="U4" s="1160">
        <v>1983</v>
      </c>
      <c r="V4" s="1160">
        <v>1984</v>
      </c>
      <c r="W4" s="1160">
        <v>1985</v>
      </c>
      <c r="X4" s="1160">
        <v>1986</v>
      </c>
      <c r="Y4" s="1160">
        <v>1987</v>
      </c>
      <c r="Z4" s="1160">
        <v>1988</v>
      </c>
      <c r="AA4" s="1160">
        <v>1989</v>
      </c>
      <c r="AB4" s="1160">
        <v>1990</v>
      </c>
      <c r="AC4" s="1160">
        <v>1991</v>
      </c>
      <c r="AD4" s="1160">
        <v>1992</v>
      </c>
      <c r="AE4" s="1160">
        <v>1993</v>
      </c>
      <c r="AF4" s="1160">
        <v>1994</v>
      </c>
      <c r="AG4" s="1160">
        <v>1995</v>
      </c>
      <c r="AH4" s="1160">
        <v>1996</v>
      </c>
      <c r="AI4" s="1160">
        <v>1997</v>
      </c>
      <c r="AJ4" s="1160">
        <v>1998</v>
      </c>
      <c r="AK4" s="1160">
        <v>1999</v>
      </c>
      <c r="AL4" s="1160">
        <v>2000</v>
      </c>
      <c r="AM4" s="1160">
        <v>2001</v>
      </c>
      <c r="AN4" s="1160">
        <v>2002</v>
      </c>
      <c r="AO4" s="1160">
        <v>2003</v>
      </c>
      <c r="AP4" s="1160">
        <v>2004</v>
      </c>
      <c r="AQ4" s="1160">
        <v>2005</v>
      </c>
      <c r="AR4" s="1160">
        <v>2006</v>
      </c>
      <c r="AS4" s="1160">
        <v>2007</v>
      </c>
      <c r="AT4" s="1160">
        <v>2008</v>
      </c>
      <c r="AU4" s="1160">
        <v>2009</v>
      </c>
      <c r="AV4" s="1160">
        <v>2010</v>
      </c>
      <c r="AW4" s="1161" t="s">
        <v>177</v>
      </c>
      <c r="AX4" s="166"/>
      <c r="AY4" s="2405">
        <v>2007</v>
      </c>
      <c r="AZ4" s="2405"/>
      <c r="BA4" s="2405">
        <f>AY4+5</f>
        <v>2012</v>
      </c>
      <c r="BB4" s="2405">
        <f t="shared" ref="BB4:BI4" si="0">BA4+5</f>
        <v>2017</v>
      </c>
      <c r="BC4" s="2405">
        <f t="shared" si="0"/>
        <v>2022</v>
      </c>
      <c r="BD4" s="2405">
        <f t="shared" si="0"/>
        <v>2027</v>
      </c>
      <c r="BE4" s="2405">
        <f t="shared" si="0"/>
        <v>2032</v>
      </c>
      <c r="BF4" s="2405">
        <f t="shared" si="0"/>
        <v>2037</v>
      </c>
      <c r="BG4" s="2405">
        <f t="shared" si="0"/>
        <v>2042</v>
      </c>
      <c r="BH4" s="2405">
        <f t="shared" si="0"/>
        <v>2047</v>
      </c>
      <c r="BI4" s="2405">
        <f t="shared" si="0"/>
        <v>2052</v>
      </c>
      <c r="BJ4" s="168"/>
    </row>
    <row r="5" spans="1:76">
      <c r="B5" s="164"/>
      <c r="C5" s="166"/>
      <c r="D5" s="166"/>
      <c r="E5" s="166"/>
      <c r="F5" s="166"/>
      <c r="G5" s="166"/>
      <c r="H5" s="1156"/>
      <c r="I5" s="1156"/>
      <c r="J5" s="1156"/>
      <c r="K5" s="1156"/>
      <c r="L5" s="1156"/>
      <c r="M5" s="1156"/>
      <c r="N5" s="1156"/>
      <c r="O5" s="1156"/>
      <c r="P5" s="1156"/>
      <c r="Q5" s="1156"/>
      <c r="R5" s="1156"/>
      <c r="S5" s="1156"/>
      <c r="T5" s="1156"/>
      <c r="U5" s="1156"/>
      <c r="V5" s="1156"/>
      <c r="W5" s="1156"/>
      <c r="X5" s="1156"/>
      <c r="Y5" s="1156"/>
      <c r="Z5" s="1156"/>
      <c r="AA5" s="1156"/>
      <c r="AB5" s="1156"/>
      <c r="AC5" s="1156"/>
      <c r="AD5" s="1156"/>
      <c r="AE5" s="1156"/>
      <c r="AF5" s="1156"/>
      <c r="AG5" s="1156"/>
      <c r="AH5" s="1156"/>
      <c r="AI5" s="1156"/>
      <c r="AJ5" s="1156"/>
      <c r="AK5" s="1156"/>
      <c r="AL5" s="1156"/>
      <c r="AM5" s="1156"/>
      <c r="AN5" s="1156"/>
      <c r="AO5" s="1156"/>
      <c r="AP5" s="1156"/>
      <c r="AQ5" s="1156"/>
      <c r="AR5" s="1156"/>
      <c r="AS5" s="1156"/>
      <c r="AT5" s="1156"/>
      <c r="AU5" s="1156"/>
      <c r="AV5" s="1156"/>
      <c r="AW5" s="1156"/>
      <c r="AX5" s="166"/>
      <c r="AY5" s="166"/>
      <c r="AZ5" s="166"/>
      <c r="BA5" s="166"/>
      <c r="BB5" s="166"/>
      <c r="BC5" s="166"/>
      <c r="BD5" s="166"/>
      <c r="BE5" s="166"/>
      <c r="BF5" s="166"/>
      <c r="BG5" s="166"/>
      <c r="BH5" s="166"/>
      <c r="BI5" s="166"/>
      <c r="BJ5" s="168"/>
    </row>
    <row r="6" spans="1:76" s="410" customFormat="1">
      <c r="B6" s="1162"/>
      <c r="C6" s="1163" t="s">
        <v>1128</v>
      </c>
      <c r="D6" s="1164"/>
      <c r="E6" s="166"/>
      <c r="F6" s="1184"/>
      <c r="G6" s="1184"/>
      <c r="H6" s="1188"/>
      <c r="I6" s="1188"/>
      <c r="J6" s="1188"/>
      <c r="K6" s="1188"/>
      <c r="L6" s="1188"/>
      <c r="M6" s="1188"/>
      <c r="N6" s="1188"/>
      <c r="O6" s="1188"/>
      <c r="P6" s="1188"/>
      <c r="Q6" s="1188"/>
      <c r="R6" s="1188"/>
      <c r="S6" s="1188"/>
      <c r="T6" s="1188"/>
      <c r="U6" s="1188"/>
      <c r="V6" s="1188"/>
      <c r="W6" s="1188"/>
      <c r="X6" s="1188"/>
      <c r="Y6" s="1188"/>
      <c r="Z6" s="1188"/>
      <c r="AA6" s="1188"/>
      <c r="AB6" s="1188"/>
      <c r="AC6" s="1188"/>
      <c r="AD6" s="1188"/>
      <c r="AE6" s="1188"/>
      <c r="AF6" s="1188"/>
      <c r="AG6" s="1188"/>
      <c r="AH6" s="1188"/>
      <c r="AI6" s="1188"/>
      <c r="AJ6" s="1188"/>
      <c r="AK6" s="1188"/>
      <c r="AL6" s="1188"/>
      <c r="AM6" s="1188"/>
      <c r="AN6" s="1188"/>
      <c r="AO6" s="1188"/>
      <c r="AP6" s="1188"/>
      <c r="AQ6" s="1188"/>
      <c r="AR6" s="1188"/>
      <c r="AS6" s="1188"/>
      <c r="AT6" s="1188"/>
      <c r="AU6" s="1188"/>
      <c r="AV6" s="1188"/>
      <c r="AW6" s="1188"/>
      <c r="AX6" s="166"/>
      <c r="AY6" s="267"/>
      <c r="AZ6" s="267"/>
      <c r="BA6" s="267"/>
      <c r="BB6" s="267"/>
      <c r="BC6" s="267"/>
      <c r="BD6" s="267"/>
      <c r="BE6" s="267"/>
      <c r="BF6" s="267"/>
      <c r="BG6" s="267"/>
      <c r="BH6" s="267"/>
      <c r="BI6" s="267"/>
      <c r="BJ6" s="1166"/>
      <c r="BK6" s="1167"/>
    </row>
    <row r="7" spans="1:76" s="410" customFormat="1">
      <c r="B7" s="1162"/>
      <c r="C7" s="1164" t="s">
        <v>44</v>
      </c>
      <c r="D7" s="1164" t="str">
        <f>INDEX(Vectors[Description], MATCH($C7, Vectors[Code], 0))</f>
        <v>Domestic Lighting &amp; appliances</v>
      </c>
      <c r="E7" s="166"/>
      <c r="F7" s="1184"/>
      <c r="G7" s="1184"/>
      <c r="H7" s="1188"/>
      <c r="I7" s="1188"/>
      <c r="J7" s="1188"/>
      <c r="K7" s="1188"/>
      <c r="L7" s="1188"/>
      <c r="M7" s="1188"/>
      <c r="N7" s="1188"/>
      <c r="O7" s="1188"/>
      <c r="P7" s="1188"/>
      <c r="Q7" s="1188"/>
      <c r="R7" s="1188"/>
      <c r="S7" s="1188"/>
      <c r="T7" s="1188"/>
      <c r="U7" s="1188"/>
      <c r="V7" s="1188"/>
      <c r="W7" s="1188"/>
      <c r="X7" s="1188"/>
      <c r="Y7" s="1188"/>
      <c r="Z7" s="1188"/>
      <c r="AA7" s="1188"/>
      <c r="AB7" s="1188"/>
      <c r="AC7" s="1188"/>
      <c r="AD7" s="1188"/>
      <c r="AE7" s="1188"/>
      <c r="AF7" s="1188"/>
      <c r="AG7" s="1188"/>
      <c r="AH7" s="1188"/>
      <c r="AI7" s="1188"/>
      <c r="AJ7" s="1188"/>
      <c r="AK7" s="1188"/>
      <c r="AL7" s="1188"/>
      <c r="AM7" s="1188"/>
      <c r="AN7" s="1188"/>
      <c r="AO7" s="1188"/>
      <c r="AP7" s="1188"/>
      <c r="AQ7" s="1188"/>
      <c r="AR7" s="1188"/>
      <c r="AS7" s="1188"/>
      <c r="AT7" s="1188"/>
      <c r="AU7" s="1188"/>
      <c r="AV7" s="1188"/>
      <c r="AW7" s="1188"/>
      <c r="AX7" s="166"/>
      <c r="AY7" s="267">
        <f ca="1">INDEX(INDIRECT("'"&amp;AY$4&amp;"'!Year.NetBalance"), MATCH($C7, INDIRECT("'"&amp;AY$4&amp;"'!Year.Vectors"), 0))</f>
        <v>125.22829189364668</v>
      </c>
      <c r="AZ7" s="267"/>
      <c r="BA7" s="267">
        <f t="shared" ref="BA7:BI7" ca="1" si="1">INDEX(INDIRECT("'"&amp;BA$4&amp;"'!Year.NetBalance"), MATCH($C7, INDIRECT("'"&amp;BA$4&amp;"'!Year.Vectors"), 0))</f>
        <v>169.69505456493178</v>
      </c>
      <c r="BB7" s="267">
        <f t="shared" ca="1" si="1"/>
        <v>300.04431466291476</v>
      </c>
      <c r="BC7" s="267">
        <f t="shared" ca="1" si="1"/>
        <v>496.30573002834524</v>
      </c>
      <c r="BD7" s="267">
        <f t="shared" ca="1" si="1"/>
        <v>774.27220243376769</v>
      </c>
      <c r="BE7" s="267">
        <f t="shared" ca="1" si="1"/>
        <v>1159.8318853695678</v>
      </c>
      <c r="BF7" s="267">
        <f t="shared" ca="1" si="1"/>
        <v>1453.7842020047071</v>
      </c>
      <c r="BG7" s="267">
        <f t="shared" ca="1" si="1"/>
        <v>1804.4491932933804</v>
      </c>
      <c r="BH7" s="267">
        <f t="shared" ca="1" si="1"/>
        <v>2204.4681998125216</v>
      </c>
      <c r="BI7" s="267">
        <f t="shared" ca="1" si="1"/>
        <v>2671.8455088986261</v>
      </c>
      <c r="BJ7" s="1166"/>
      <c r="BK7" s="1167"/>
    </row>
    <row r="8" spans="1:76" s="410" customFormat="1">
      <c r="B8" s="1162"/>
      <c r="C8" s="1164" t="s">
        <v>1094</v>
      </c>
      <c r="D8" s="1164" t="str">
        <f>INDEX(Vectors[Description], MATCH($C8, Vectors[Code], 0))</f>
        <v>Commercial Lighting &amp; Appliances</v>
      </c>
      <c r="E8" s="166"/>
      <c r="F8" s="1184"/>
      <c r="G8" s="1184"/>
      <c r="H8" s="1188"/>
      <c r="I8" s="1188"/>
      <c r="J8" s="1188"/>
      <c r="K8" s="1188"/>
      <c r="L8" s="1188"/>
      <c r="M8" s="1188"/>
      <c r="N8" s="1188"/>
      <c r="O8" s="1188"/>
      <c r="P8" s="1188"/>
      <c r="Q8" s="1188"/>
      <c r="R8" s="1188"/>
      <c r="S8" s="1188"/>
      <c r="T8" s="1188"/>
      <c r="U8" s="1188"/>
      <c r="V8" s="1188"/>
      <c r="W8" s="1188"/>
      <c r="X8" s="1188"/>
      <c r="Y8" s="1188"/>
      <c r="Z8" s="1188"/>
      <c r="AA8" s="1188"/>
      <c r="AB8" s="1188"/>
      <c r="AC8" s="1188"/>
      <c r="AD8" s="1188"/>
      <c r="AE8" s="1188"/>
      <c r="AF8" s="1188"/>
      <c r="AG8" s="1188"/>
      <c r="AH8" s="1188"/>
      <c r="AI8" s="1188"/>
      <c r="AJ8" s="1188"/>
      <c r="AK8" s="1188"/>
      <c r="AL8" s="1188"/>
      <c r="AM8" s="1188"/>
      <c r="AN8" s="1188"/>
      <c r="AO8" s="1188"/>
      <c r="AP8" s="1188"/>
      <c r="AQ8" s="1188"/>
      <c r="AR8" s="1188"/>
      <c r="AS8" s="1188"/>
      <c r="AT8" s="1188"/>
      <c r="AU8" s="1188"/>
      <c r="AV8" s="1188"/>
      <c r="AW8" s="1188"/>
      <c r="AX8" s="166"/>
      <c r="AY8" s="267">
        <f t="shared" ref="AY8:BI19" ca="1" si="2">INDEX(INDIRECT("'"&amp;AY$4&amp;"'!Year.NetBalance"), MATCH($C8, INDIRECT("'"&amp;AY$4&amp;"'!Year.Vectors"), 0))</f>
        <v>69.837354022093393</v>
      </c>
      <c r="AZ8" s="267"/>
      <c r="BA8" s="267">
        <f t="shared" ca="1" si="2"/>
        <v>69.837354022093393</v>
      </c>
      <c r="BB8" s="267">
        <f t="shared" ca="1" si="2"/>
        <v>115.42859864757057</v>
      </c>
      <c r="BC8" s="267">
        <f t="shared" ca="1" si="2"/>
        <v>190.80114950572121</v>
      </c>
      <c r="BD8" s="267">
        <f t="shared" ca="1" si="2"/>
        <v>315.42107081978503</v>
      </c>
      <c r="BE8" s="267">
        <f t="shared" ca="1" si="2"/>
        <v>521.48617151177393</v>
      </c>
      <c r="BF8" s="267">
        <f t="shared" ca="1" si="2"/>
        <v>689.67530682847894</v>
      </c>
      <c r="BG8" s="267">
        <f t="shared" ca="1" si="2"/>
        <v>912.10861348452363</v>
      </c>
      <c r="BH8" s="267">
        <f t="shared" ca="1" si="2"/>
        <v>970.55849777696983</v>
      </c>
      <c r="BI8" s="267">
        <f t="shared" ca="1" si="2"/>
        <v>1032.7539765340366</v>
      </c>
      <c r="BJ8" s="1166"/>
      <c r="BK8" s="1167"/>
    </row>
    <row r="9" spans="1:76" s="2850" customFormat="1">
      <c r="B9" s="2851"/>
      <c r="C9" s="2852" t="s">
        <v>2139</v>
      </c>
      <c r="D9" s="2852" t="s">
        <v>2140</v>
      </c>
      <c r="E9" s="178"/>
      <c r="F9" s="1184"/>
      <c r="G9" s="1184"/>
      <c r="H9" s="1188"/>
      <c r="I9" s="1188"/>
      <c r="J9" s="1188"/>
      <c r="K9" s="1188"/>
      <c r="L9" s="1188"/>
      <c r="M9" s="1188"/>
      <c r="N9" s="1188"/>
      <c r="O9" s="1188"/>
      <c r="P9" s="1188"/>
      <c r="Q9" s="1188"/>
      <c r="R9" s="1188"/>
      <c r="S9" s="1188"/>
      <c r="T9" s="1188"/>
      <c r="U9" s="1188"/>
      <c r="V9" s="1188"/>
      <c r="W9" s="1188"/>
      <c r="X9" s="1188"/>
      <c r="Y9" s="1188"/>
      <c r="Z9" s="1188"/>
      <c r="AA9" s="1188"/>
      <c r="AB9" s="1188"/>
      <c r="AC9" s="1188"/>
      <c r="AD9" s="1188"/>
      <c r="AE9" s="1188"/>
      <c r="AF9" s="1188"/>
      <c r="AG9" s="1188"/>
      <c r="AH9" s="1188"/>
      <c r="AI9" s="1188"/>
      <c r="AJ9" s="1188"/>
      <c r="AK9" s="1188"/>
      <c r="AL9" s="1188"/>
      <c r="AM9" s="1188"/>
      <c r="AN9" s="1188"/>
      <c r="AO9" s="1188"/>
      <c r="AP9" s="1188"/>
      <c r="AQ9" s="1188"/>
      <c r="AR9" s="1188"/>
      <c r="AS9" s="1188"/>
      <c r="AT9" s="1188"/>
      <c r="AU9" s="1188"/>
      <c r="AV9" s="1188"/>
      <c r="AW9" s="1188"/>
      <c r="AX9" s="166"/>
      <c r="AY9" s="2853">
        <f ca="1">SUM(AY7,AY8,AY15)</f>
        <v>195.04686356435622</v>
      </c>
      <c r="AZ9" s="2853"/>
      <c r="BA9" s="2853">
        <f t="shared" ref="BA9:BI9" ca="1" si="3">SUM(BA7,BA8,BA15)</f>
        <v>239.51357277241706</v>
      </c>
      <c r="BB9" s="2853">
        <f t="shared" ca="1" si="3"/>
        <v>415.43937846394886</v>
      </c>
      <c r="BC9" s="2853">
        <f t="shared" ca="1" si="3"/>
        <v>687.04608464062051</v>
      </c>
      <c r="BD9" s="2853">
        <f t="shared" ca="1" si="3"/>
        <v>1089.5830300801267</v>
      </c>
      <c r="BE9" s="2853">
        <f t="shared" ca="1" si="3"/>
        <v>1681.1144958506338</v>
      </c>
      <c r="BF9" s="2853">
        <f t="shared" ca="1" si="3"/>
        <v>2143.1893083636123</v>
      </c>
      <c r="BG9" s="2853">
        <f t="shared" ca="1" si="3"/>
        <v>2716.1990958498081</v>
      </c>
      <c r="BH9" s="2853">
        <f t="shared" ca="1" si="3"/>
        <v>3174.6434844524338</v>
      </c>
      <c r="BI9" s="2853">
        <f t="shared" ca="1" si="3"/>
        <v>3704.1900397353238</v>
      </c>
      <c r="BJ9" s="2854"/>
      <c r="BK9" s="2855"/>
    </row>
    <row r="10" spans="1:76" s="2850" customFormat="1">
      <c r="B10" s="2851"/>
      <c r="C10" s="2852" t="s">
        <v>13</v>
      </c>
      <c r="D10" s="2852" t="str">
        <f>INDEX(Vectors[Description], MATCH($C10, Vectors[Code], 0))</f>
        <v>Industry</v>
      </c>
      <c r="E10" s="178"/>
      <c r="F10" s="1184"/>
      <c r="G10" s="1184"/>
      <c r="H10" s="1188"/>
      <c r="I10" s="1188"/>
      <c r="J10" s="1188"/>
      <c r="K10" s="1188"/>
      <c r="L10" s="1188"/>
      <c r="M10" s="1188"/>
      <c r="N10" s="1188"/>
      <c r="O10" s="1188"/>
      <c r="P10" s="1188"/>
      <c r="Q10" s="1188"/>
      <c r="R10" s="1188"/>
      <c r="S10" s="1188"/>
      <c r="T10" s="1188"/>
      <c r="U10" s="1188"/>
      <c r="V10" s="1188"/>
      <c r="W10" s="1188"/>
      <c r="X10" s="1188"/>
      <c r="Y10" s="1188"/>
      <c r="Z10" s="1188"/>
      <c r="AA10" s="1188"/>
      <c r="AB10" s="1188"/>
      <c r="AC10" s="1188"/>
      <c r="AD10" s="1188"/>
      <c r="AE10" s="1188"/>
      <c r="AF10" s="1188"/>
      <c r="AG10" s="1188"/>
      <c r="AH10" s="1188"/>
      <c r="AI10" s="1188"/>
      <c r="AJ10" s="1188"/>
      <c r="AK10" s="1188"/>
      <c r="AL10" s="1188"/>
      <c r="AM10" s="1188"/>
      <c r="AN10" s="1188"/>
      <c r="AO10" s="1188"/>
      <c r="AP10" s="1188"/>
      <c r="AQ10" s="1188"/>
      <c r="AR10" s="1188"/>
      <c r="AS10" s="1188"/>
      <c r="AT10" s="1188"/>
      <c r="AU10" s="1188"/>
      <c r="AV10" s="1188"/>
      <c r="AW10" s="1188"/>
      <c r="AX10" s="166"/>
      <c r="AY10" s="2853">
        <f t="shared" ca="1" si="2"/>
        <v>1615.7381002510185</v>
      </c>
      <c r="AZ10" s="2853"/>
      <c r="BA10" s="2853">
        <f t="shared" ca="1" si="2"/>
        <v>2278.7991580746871</v>
      </c>
      <c r="BB10" s="2853">
        <f t="shared" ca="1" si="2"/>
        <v>3188.0989682873605</v>
      </c>
      <c r="BC10" s="2853">
        <f t="shared" ca="1" si="2"/>
        <v>4295.4614477243704</v>
      </c>
      <c r="BD10" s="2853">
        <f t="shared" ca="1" si="2"/>
        <v>5520.8820237437531</v>
      </c>
      <c r="BE10" s="2853">
        <f t="shared" ca="1" si="2"/>
        <v>6883.4692319432552</v>
      </c>
      <c r="BF10" s="2853">
        <f t="shared" ca="1" si="2"/>
        <v>8404.5908555044025</v>
      </c>
      <c r="BG10" s="2853">
        <f t="shared" ca="1" si="2"/>
        <v>9897.3852759882448</v>
      </c>
      <c r="BH10" s="2853">
        <f t="shared" ca="1" si="2"/>
        <v>11326.434333202775</v>
      </c>
      <c r="BI10" s="2853">
        <f t="shared" ca="1" si="2"/>
        <v>12793.271831310853</v>
      </c>
      <c r="BJ10" s="2854"/>
      <c r="BK10" s="2855"/>
    </row>
    <row r="11" spans="1:76" s="410" customFormat="1">
      <c r="B11" s="1162"/>
      <c r="C11" s="1164" t="s">
        <v>27</v>
      </c>
      <c r="D11" s="1164" t="str">
        <f>INDEX(Vectors[Description], MATCH($C11, Vectors[Code], 0))</f>
        <v>Road transport</v>
      </c>
      <c r="E11" s="166"/>
      <c r="F11" s="1184"/>
      <c r="G11" s="1184"/>
      <c r="H11" s="1188"/>
      <c r="I11" s="1188"/>
      <c r="J11" s="1188"/>
      <c r="K11" s="1188"/>
      <c r="L11" s="1188"/>
      <c r="M11" s="1188"/>
      <c r="N11" s="1188"/>
      <c r="O11" s="1188"/>
      <c r="P11" s="1188"/>
      <c r="Q11" s="1188"/>
      <c r="R11" s="1188"/>
      <c r="S11" s="1188"/>
      <c r="T11" s="1188"/>
      <c r="U11" s="1188"/>
      <c r="V11" s="1188"/>
      <c r="W11" s="1188"/>
      <c r="X11" s="1188"/>
      <c r="Y11" s="1188"/>
      <c r="Z11" s="1188"/>
      <c r="AA11" s="1188"/>
      <c r="AB11" s="1188"/>
      <c r="AC11" s="1188"/>
      <c r="AD11" s="1188"/>
      <c r="AE11" s="1188"/>
      <c r="AF11" s="1188"/>
      <c r="AG11" s="1188"/>
      <c r="AH11" s="1188"/>
      <c r="AI11" s="1188"/>
      <c r="AJ11" s="1188"/>
      <c r="AK11" s="1188"/>
      <c r="AL11" s="1188"/>
      <c r="AM11" s="1188"/>
      <c r="AN11" s="1188"/>
      <c r="AO11" s="1188"/>
      <c r="AP11" s="1188"/>
      <c r="AQ11" s="1188"/>
      <c r="AR11" s="1188"/>
      <c r="AS11" s="1188"/>
      <c r="AT11" s="1188"/>
      <c r="AU11" s="1188"/>
      <c r="AV11" s="1188"/>
      <c r="AW11" s="1188"/>
      <c r="AX11" s="166"/>
      <c r="AY11" s="267">
        <f t="shared" ca="1" si="2"/>
        <v>787.06155646625621</v>
      </c>
      <c r="AZ11" s="267"/>
      <c r="BA11" s="267">
        <f t="shared" ca="1" si="2"/>
        <v>787.06155646625621</v>
      </c>
      <c r="BB11" s="267">
        <f t="shared" ca="1" si="2"/>
        <v>1183.5003505918451</v>
      </c>
      <c r="BC11" s="267">
        <f t="shared" ca="1" si="2"/>
        <v>1701.3122530102653</v>
      </c>
      <c r="BD11" s="267">
        <f t="shared" ca="1" si="2"/>
        <v>2314.0471127888795</v>
      </c>
      <c r="BE11" s="267">
        <f t="shared" ca="1" si="2"/>
        <v>3069.4990489133552</v>
      </c>
      <c r="BF11" s="267">
        <f t="shared" ca="1" si="2"/>
        <v>3939.7762899745112</v>
      </c>
      <c r="BG11" s="267">
        <f t="shared" ca="1" si="2"/>
        <v>4775.3737630712158</v>
      </c>
      <c r="BH11" s="267">
        <f t="shared" ca="1" si="2"/>
        <v>5691.5734456276959</v>
      </c>
      <c r="BI11" s="267">
        <f t="shared" ca="1" si="2"/>
        <v>6608.0229282688942</v>
      </c>
      <c r="BJ11" s="1166"/>
      <c r="BK11" s="1167"/>
    </row>
    <row r="12" spans="1:76" s="410" customFormat="1">
      <c r="B12" s="1162"/>
      <c r="C12" s="1164" t="s">
        <v>28</v>
      </c>
      <c r="D12" s="1164" t="str">
        <f>INDEX(Vectors[Description], MATCH($C12, Vectors[Code], 0))</f>
        <v>Rail transport</v>
      </c>
      <c r="E12" s="166"/>
      <c r="F12" s="1184"/>
      <c r="G12" s="1184"/>
      <c r="H12" s="1188"/>
      <c r="I12" s="1188"/>
      <c r="J12" s="1188"/>
      <c r="K12" s="1188"/>
      <c r="L12" s="1188"/>
      <c r="M12" s="1188"/>
      <c r="N12" s="1188"/>
      <c r="O12" s="1188"/>
      <c r="P12" s="1188"/>
      <c r="Q12" s="1188"/>
      <c r="R12" s="1188"/>
      <c r="S12" s="1188"/>
      <c r="T12" s="1188"/>
      <c r="U12" s="1188"/>
      <c r="V12" s="1188"/>
      <c r="W12" s="1188"/>
      <c r="X12" s="1188"/>
      <c r="Y12" s="1188"/>
      <c r="Z12" s="1188"/>
      <c r="AA12" s="1188"/>
      <c r="AB12" s="1188"/>
      <c r="AC12" s="1188"/>
      <c r="AD12" s="1188"/>
      <c r="AE12" s="1188"/>
      <c r="AF12" s="1188"/>
      <c r="AG12" s="1188"/>
      <c r="AH12" s="1188"/>
      <c r="AI12" s="1188"/>
      <c r="AJ12" s="1188"/>
      <c r="AK12" s="1188"/>
      <c r="AL12" s="1188"/>
      <c r="AM12" s="1188"/>
      <c r="AN12" s="1188"/>
      <c r="AO12" s="1188"/>
      <c r="AP12" s="1188"/>
      <c r="AQ12" s="1188"/>
      <c r="AR12" s="1188"/>
      <c r="AS12" s="1188"/>
      <c r="AT12" s="1188"/>
      <c r="AU12" s="1188"/>
      <c r="AV12" s="1188"/>
      <c r="AW12" s="1188"/>
      <c r="AX12" s="166"/>
      <c r="AY12" s="267">
        <f t="shared" ca="1" si="2"/>
        <v>40.532439000000011</v>
      </c>
      <c r="AZ12" s="267"/>
      <c r="BA12" s="267">
        <f t="shared" ca="1" si="2"/>
        <v>40.532439000000011</v>
      </c>
      <c r="BB12" s="267">
        <f t="shared" ca="1" si="2"/>
        <v>51.889640514935813</v>
      </c>
      <c r="BC12" s="267">
        <f t="shared" ca="1" si="2"/>
        <v>64.646055064107586</v>
      </c>
      <c r="BD12" s="267">
        <f t="shared" ca="1" si="2"/>
        <v>78.303037740055146</v>
      </c>
      <c r="BE12" s="267">
        <f t="shared" ca="1" si="2"/>
        <v>93.684977873310913</v>
      </c>
      <c r="BF12" s="267">
        <f t="shared" ca="1" si="2"/>
        <v>110.98195843630529</v>
      </c>
      <c r="BG12" s="267">
        <f t="shared" ca="1" si="2"/>
        <v>119.53006725946128</v>
      </c>
      <c r="BH12" s="267">
        <f t="shared" ca="1" si="2"/>
        <v>128.80789870764113</v>
      </c>
      <c r="BI12" s="267">
        <f t="shared" ca="1" si="2"/>
        <v>137.98743134823923</v>
      </c>
      <c r="BJ12" s="1166"/>
      <c r="BK12" s="1167"/>
    </row>
    <row r="13" spans="1:76" s="410" customFormat="1">
      <c r="B13" s="1162"/>
      <c r="C13" s="1164" t="s">
        <v>29</v>
      </c>
      <c r="D13" s="1164" t="str">
        <f>INDEX(Vectors[Description], MATCH($C13, Vectors[Code], 0))</f>
        <v>Domestic aviation</v>
      </c>
      <c r="E13" s="166"/>
      <c r="F13" s="1184"/>
      <c r="G13" s="1184"/>
      <c r="H13" s="1188"/>
      <c r="I13" s="1188"/>
      <c r="J13" s="1188"/>
      <c r="K13" s="1188"/>
      <c r="L13" s="1188"/>
      <c r="M13" s="1188"/>
      <c r="N13" s="1188"/>
      <c r="O13" s="1188"/>
      <c r="P13" s="1188"/>
      <c r="Q13" s="1188"/>
      <c r="R13" s="1188"/>
      <c r="S13" s="1188"/>
      <c r="T13" s="1188"/>
      <c r="U13" s="1188"/>
      <c r="V13" s="1188"/>
      <c r="W13" s="1188"/>
      <c r="X13" s="1188"/>
      <c r="Y13" s="1188"/>
      <c r="Z13" s="1188"/>
      <c r="AA13" s="1188"/>
      <c r="AB13" s="1188"/>
      <c r="AC13" s="1188"/>
      <c r="AD13" s="1188"/>
      <c r="AE13" s="1188"/>
      <c r="AF13" s="1188"/>
      <c r="AG13" s="1188"/>
      <c r="AH13" s="1188"/>
      <c r="AI13" s="1188"/>
      <c r="AJ13" s="1188"/>
      <c r="AK13" s="1188"/>
      <c r="AL13" s="1188"/>
      <c r="AM13" s="1188"/>
      <c r="AN13" s="1188"/>
      <c r="AO13" s="1188"/>
      <c r="AP13" s="1188"/>
      <c r="AQ13" s="1188"/>
      <c r="AR13" s="1188"/>
      <c r="AS13" s="1188"/>
      <c r="AT13" s="1188"/>
      <c r="AU13" s="1188"/>
      <c r="AV13" s="1188"/>
      <c r="AW13" s="1188"/>
      <c r="AX13" s="166"/>
      <c r="AY13" s="267">
        <f t="shared" ca="1" si="2"/>
        <v>20.278462364171851</v>
      </c>
      <c r="AZ13" s="267"/>
      <c r="BA13" s="267">
        <f t="shared" ca="1" si="2"/>
        <v>20.278462364171851</v>
      </c>
      <c r="BB13" s="267">
        <f t="shared" ca="1" si="2"/>
        <v>36.12439727059617</v>
      </c>
      <c r="BC13" s="267">
        <f t="shared" ca="1" si="2"/>
        <v>59.137226964286882</v>
      </c>
      <c r="BD13" s="267">
        <f t="shared" ca="1" si="2"/>
        <v>88.317186557985124</v>
      </c>
      <c r="BE13" s="267">
        <f t="shared" ca="1" si="2"/>
        <v>124.7495741974252</v>
      </c>
      <c r="BF13" s="267">
        <f t="shared" ca="1" si="2"/>
        <v>167.86358992348687</v>
      </c>
      <c r="BG13" s="267">
        <f t="shared" ca="1" si="2"/>
        <v>213.51120810629951</v>
      </c>
      <c r="BH13" s="267">
        <f t="shared" ca="1" si="2"/>
        <v>264.94707888033457</v>
      </c>
      <c r="BI13" s="267">
        <f t="shared" ca="1" si="2"/>
        <v>324.82761580889445</v>
      </c>
      <c r="BJ13" s="1166"/>
      <c r="BK13" s="2706"/>
    </row>
    <row r="14" spans="1:76" s="2850" customFormat="1">
      <c r="B14" s="2851"/>
      <c r="C14" s="2852" t="s">
        <v>2141</v>
      </c>
      <c r="D14" s="2852" t="s">
        <v>113</v>
      </c>
      <c r="E14" s="178"/>
      <c r="F14" s="1184"/>
      <c r="G14" s="1184"/>
      <c r="H14" s="1188"/>
      <c r="I14" s="1188"/>
      <c r="J14" s="1188"/>
      <c r="K14" s="1188"/>
      <c r="L14" s="1188"/>
      <c r="M14" s="1188"/>
      <c r="N14" s="1188"/>
      <c r="O14" s="1188"/>
      <c r="P14" s="1188"/>
      <c r="Q14" s="1188"/>
      <c r="R14" s="1188"/>
      <c r="S14" s="1188"/>
      <c r="T14" s="1188"/>
      <c r="U14" s="1188"/>
      <c r="V14" s="1188"/>
      <c r="W14" s="1188"/>
      <c r="X14" s="1188"/>
      <c r="Y14" s="1188"/>
      <c r="Z14" s="1188"/>
      <c r="AA14" s="1188"/>
      <c r="AB14" s="1188"/>
      <c r="AC14" s="1188"/>
      <c r="AD14" s="1188"/>
      <c r="AE14" s="1188"/>
      <c r="AF14" s="1188"/>
      <c r="AG14" s="1188"/>
      <c r="AH14" s="1188"/>
      <c r="AI14" s="1188"/>
      <c r="AJ14" s="1188"/>
      <c r="AK14" s="1188"/>
      <c r="AL14" s="1188"/>
      <c r="AM14" s="1188"/>
      <c r="AN14" s="1188"/>
      <c r="AO14" s="1188"/>
      <c r="AP14" s="1188"/>
      <c r="AQ14" s="1188"/>
      <c r="AR14" s="1188"/>
      <c r="AS14" s="1188"/>
      <c r="AT14" s="1188"/>
      <c r="AU14" s="1188"/>
      <c r="AV14" s="1188"/>
      <c r="AW14" s="1188"/>
      <c r="AX14" s="166"/>
      <c r="AY14" s="2853">
        <f ca="1">SUM(AY11:AY13)</f>
        <v>847.87245783042817</v>
      </c>
      <c r="AZ14" s="2853"/>
      <c r="BA14" s="2853">
        <f t="shared" ref="BA14:BI14" ca="1" si="4">SUM(BA11:BA13)</f>
        <v>847.87245783042817</v>
      </c>
      <c r="BB14" s="2853">
        <f t="shared" ca="1" si="4"/>
        <v>1271.5143883773769</v>
      </c>
      <c r="BC14" s="2853">
        <f t="shared" ca="1" si="4"/>
        <v>1825.0955350386596</v>
      </c>
      <c r="BD14" s="2853">
        <f t="shared" ca="1" si="4"/>
        <v>2480.6673370869198</v>
      </c>
      <c r="BE14" s="2853">
        <f t="shared" ca="1" si="4"/>
        <v>3287.9336009840913</v>
      </c>
      <c r="BF14" s="2853">
        <f t="shared" ca="1" si="4"/>
        <v>4218.6218383343039</v>
      </c>
      <c r="BG14" s="2853">
        <f t="shared" ca="1" si="4"/>
        <v>5108.4150384369768</v>
      </c>
      <c r="BH14" s="2853">
        <f t="shared" ca="1" si="4"/>
        <v>6085.328423215672</v>
      </c>
      <c r="BI14" s="2853">
        <f t="shared" ca="1" si="4"/>
        <v>7070.8379754260286</v>
      </c>
      <c r="BJ14" s="2854"/>
      <c r="BK14" s="2856"/>
    </row>
    <row r="15" spans="1:76">
      <c r="B15" s="164"/>
      <c r="C15" s="166" t="s">
        <v>1528</v>
      </c>
      <c r="D15" s="1164" t="str">
        <f>INDEX(Vectors[Description], MATCH($C15, Vectors[Code], 0))</f>
        <v>Green Building Design &amp; Envelope Savings</v>
      </c>
      <c r="E15" s="166"/>
      <c r="F15" s="1184"/>
      <c r="G15" s="1184"/>
      <c r="H15" s="1188"/>
      <c r="I15" s="1188"/>
      <c r="J15" s="1188"/>
      <c r="K15" s="1188"/>
      <c r="L15" s="1188"/>
      <c r="M15" s="1188"/>
      <c r="N15" s="1188"/>
      <c r="O15" s="1188"/>
      <c r="P15" s="1188"/>
      <c r="Q15" s="1188"/>
      <c r="R15" s="1188"/>
      <c r="S15" s="1188"/>
      <c r="T15" s="1188"/>
      <c r="U15" s="1188"/>
      <c r="V15" s="1188"/>
      <c r="W15" s="1188"/>
      <c r="X15" s="1188"/>
      <c r="Y15" s="1188"/>
      <c r="Z15" s="1188"/>
      <c r="AA15" s="1188"/>
      <c r="AB15" s="1188"/>
      <c r="AC15" s="1188"/>
      <c r="AD15" s="1188"/>
      <c r="AE15" s="1188"/>
      <c r="AF15" s="1188"/>
      <c r="AG15" s="1188"/>
      <c r="AH15" s="1188"/>
      <c r="AI15" s="1188"/>
      <c r="AJ15" s="1188"/>
      <c r="AK15" s="1188"/>
      <c r="AL15" s="1188"/>
      <c r="AM15" s="1188"/>
      <c r="AN15" s="1188"/>
      <c r="AO15" s="1188"/>
      <c r="AP15" s="1188"/>
      <c r="AQ15" s="1188"/>
      <c r="AR15" s="1188"/>
      <c r="AS15" s="1188"/>
      <c r="AT15" s="1188"/>
      <c r="AU15" s="1188"/>
      <c r="AV15" s="1188"/>
      <c r="AW15" s="1188"/>
      <c r="AX15" s="166"/>
      <c r="AY15" s="267">
        <f t="shared" ca="1" si="2"/>
        <v>-1.8782351383851339E-2</v>
      </c>
      <c r="AZ15" s="267"/>
      <c r="BA15" s="267">
        <f t="shared" ca="1" si="2"/>
        <v>-1.8835814608099886E-2</v>
      </c>
      <c r="BB15" s="267">
        <f t="shared" ca="1" si="2"/>
        <v>-3.3534846536453375E-2</v>
      </c>
      <c r="BC15" s="267">
        <f t="shared" ca="1" si="2"/>
        <v>-6.0794893445987486E-2</v>
      </c>
      <c r="BD15" s="267">
        <f t="shared" ca="1" si="2"/>
        <v>-0.11024317342604743</v>
      </c>
      <c r="BE15" s="267">
        <f t="shared" ca="1" si="2"/>
        <v>-0.20356103070805628</v>
      </c>
      <c r="BF15" s="267">
        <f t="shared" ca="1" si="2"/>
        <v>-0.2702004695738901</v>
      </c>
      <c r="BG15" s="267">
        <f t="shared" ca="1" si="2"/>
        <v>-0.35871092809590743</v>
      </c>
      <c r="BH15" s="267">
        <f t="shared" ca="1" si="2"/>
        <v>-0.38321313705787546</v>
      </c>
      <c r="BI15" s="267">
        <f t="shared" ca="1" si="2"/>
        <v>-0.40944569733879987</v>
      </c>
      <c r="BJ15" s="1169"/>
      <c r="BK15" s="22"/>
      <c r="BM15" s="22"/>
      <c r="BN15" s="22"/>
    </row>
    <row r="16" spans="1:76" s="423" customFormat="1">
      <c r="B16" s="1179"/>
      <c r="C16" s="1180" t="s">
        <v>1218</v>
      </c>
      <c r="D16" s="2852" t="s">
        <v>106</v>
      </c>
      <c r="E16" s="178"/>
      <c r="F16" s="1184"/>
      <c r="G16" s="1184"/>
      <c r="H16" s="1188"/>
      <c r="I16" s="1188"/>
      <c r="J16" s="1188"/>
      <c r="K16" s="1188"/>
      <c r="L16" s="1188"/>
      <c r="M16" s="1188"/>
      <c r="N16" s="1188"/>
      <c r="O16" s="1188"/>
      <c r="P16" s="1188"/>
      <c r="Q16" s="1188"/>
      <c r="R16" s="1188"/>
      <c r="S16" s="1188"/>
      <c r="T16" s="1188"/>
      <c r="U16" s="1188"/>
      <c r="V16" s="1188"/>
      <c r="W16" s="1188"/>
      <c r="X16" s="1188"/>
      <c r="Y16" s="1188"/>
      <c r="Z16" s="1188"/>
      <c r="AA16" s="1188"/>
      <c r="AB16" s="1188"/>
      <c r="AC16" s="1188"/>
      <c r="AD16" s="1188"/>
      <c r="AE16" s="1188"/>
      <c r="AF16" s="1188"/>
      <c r="AG16" s="1188"/>
      <c r="AH16" s="1188"/>
      <c r="AI16" s="1188"/>
      <c r="AJ16" s="1188"/>
      <c r="AK16" s="1188"/>
      <c r="AL16" s="1188"/>
      <c r="AM16" s="1188"/>
      <c r="AN16" s="1188"/>
      <c r="AO16" s="1188"/>
      <c r="AP16" s="1188"/>
      <c r="AQ16" s="1188"/>
      <c r="AR16" s="1188"/>
      <c r="AS16" s="1188"/>
      <c r="AT16" s="1188"/>
      <c r="AU16" s="1188"/>
      <c r="AV16" s="1188"/>
      <c r="AW16" s="1188"/>
      <c r="AX16" s="166"/>
      <c r="AY16" s="2853">
        <f t="shared" ca="1" si="2"/>
        <v>177.82856075231598</v>
      </c>
      <c r="AZ16" s="2853"/>
      <c r="BA16" s="2853">
        <f t="shared" ca="1" si="2"/>
        <v>237.20689383625</v>
      </c>
      <c r="BB16" s="2853">
        <f t="shared" ca="1" si="2"/>
        <v>328.28524058963927</v>
      </c>
      <c r="BC16" s="2853">
        <f t="shared" ca="1" si="2"/>
        <v>453.51772092097099</v>
      </c>
      <c r="BD16" s="2853">
        <f t="shared" ca="1" si="2"/>
        <v>591.38499180914857</v>
      </c>
      <c r="BE16" s="2853">
        <f t="shared" ca="1" si="2"/>
        <v>750.10240185765565</v>
      </c>
      <c r="BF16" s="2853">
        <f t="shared" ca="1" si="2"/>
        <v>850.28842752484661</v>
      </c>
      <c r="BG16" s="2853">
        <f t="shared" ca="1" si="2"/>
        <v>969.30878318682096</v>
      </c>
      <c r="BH16" s="2853">
        <f t="shared" ca="1" si="2"/>
        <v>1047.8059052018175</v>
      </c>
      <c r="BI16" s="2853">
        <f t="shared" ca="1" si="2"/>
        <v>1134.4954568667354</v>
      </c>
      <c r="BJ16" s="1181"/>
      <c r="BK16" s="73"/>
    </row>
    <row r="17" spans="1:63" s="423" customFormat="1">
      <c r="B17" s="1179"/>
      <c r="C17" s="1180" t="s">
        <v>851</v>
      </c>
      <c r="D17" s="2852" t="s">
        <v>1078</v>
      </c>
      <c r="E17" s="178"/>
      <c r="F17" s="1184"/>
      <c r="G17" s="1184"/>
      <c r="H17" s="1188"/>
      <c r="I17" s="1188"/>
      <c r="J17" s="1188"/>
      <c r="K17" s="1188"/>
      <c r="L17" s="1188"/>
      <c r="M17" s="1188"/>
      <c r="N17" s="1188"/>
      <c r="O17" s="1188"/>
      <c r="P17" s="1188"/>
      <c r="Q17" s="1188"/>
      <c r="R17" s="1188"/>
      <c r="S17" s="1188"/>
      <c r="T17" s="1188"/>
      <c r="U17" s="1188"/>
      <c r="V17" s="1188"/>
      <c r="W17" s="1188"/>
      <c r="X17" s="1188"/>
      <c r="Y17" s="1188"/>
      <c r="Z17" s="1188"/>
      <c r="AA17" s="1188"/>
      <c r="AB17" s="1188"/>
      <c r="AC17" s="1188"/>
      <c r="AD17" s="1188"/>
      <c r="AE17" s="1188"/>
      <c r="AF17" s="1188"/>
      <c r="AG17" s="1188"/>
      <c r="AH17" s="1188"/>
      <c r="AI17" s="1188"/>
      <c r="AJ17" s="1188"/>
      <c r="AK17" s="1188"/>
      <c r="AL17" s="1188"/>
      <c r="AM17" s="1188"/>
      <c r="AN17" s="1188"/>
      <c r="AO17" s="1188"/>
      <c r="AP17" s="1188"/>
      <c r="AQ17" s="1188"/>
      <c r="AR17" s="1188"/>
      <c r="AS17" s="1188"/>
      <c r="AT17" s="1188"/>
      <c r="AU17" s="1188"/>
      <c r="AV17" s="1188"/>
      <c r="AW17" s="1188"/>
      <c r="AX17" s="166"/>
      <c r="AY17" s="2853">
        <f t="shared" ca="1" si="2"/>
        <v>13.886920800000002</v>
      </c>
      <c r="AZ17" s="2853"/>
      <c r="BA17" s="2853">
        <f t="shared" ca="1" si="2"/>
        <v>82.680180507719996</v>
      </c>
      <c r="BB17" s="2853">
        <f t="shared" ca="1" si="2"/>
        <v>99.664904892716379</v>
      </c>
      <c r="BC17" s="2853">
        <f t="shared" ca="1" si="2"/>
        <v>122.4937137883776</v>
      </c>
      <c r="BD17" s="2853">
        <f t="shared" ca="1" si="2"/>
        <v>159.42605002636802</v>
      </c>
      <c r="BE17" s="2853">
        <f t="shared" ca="1" si="2"/>
        <v>182.09914419246934</v>
      </c>
      <c r="BF17" s="2853">
        <f t="shared" ca="1" si="2"/>
        <v>192.06311941056913</v>
      </c>
      <c r="BG17" s="2853">
        <f t="shared" ca="1" si="2"/>
        <v>201.26218130858288</v>
      </c>
      <c r="BH17" s="2853">
        <f t="shared" ca="1" si="2"/>
        <v>236.97670613572353</v>
      </c>
      <c r="BI17" s="2853">
        <f t="shared" ca="1" si="2"/>
        <v>299.8511332140688</v>
      </c>
      <c r="BJ17" s="1181"/>
      <c r="BK17" s="73"/>
    </row>
    <row r="18" spans="1:63">
      <c r="B18" s="164"/>
      <c r="C18" s="1170" t="s">
        <v>1052</v>
      </c>
      <c r="D18" s="1164" t="s">
        <v>1946</v>
      </c>
      <c r="E18" s="166"/>
      <c r="F18" s="1184"/>
      <c r="G18" s="1184"/>
      <c r="H18" s="1188"/>
      <c r="I18" s="1188"/>
      <c r="J18" s="1188"/>
      <c r="K18" s="1188"/>
      <c r="L18" s="1188"/>
      <c r="M18" s="1188"/>
      <c r="N18" s="1188"/>
      <c r="O18" s="1188"/>
      <c r="P18" s="1188"/>
      <c r="Q18" s="1188"/>
      <c r="R18" s="1188"/>
      <c r="S18" s="1188"/>
      <c r="T18" s="1188"/>
      <c r="U18" s="1188"/>
      <c r="V18" s="1188"/>
      <c r="W18" s="1188"/>
      <c r="X18" s="1188"/>
      <c r="Y18" s="1188"/>
      <c r="Z18" s="1188"/>
      <c r="AA18" s="1188"/>
      <c r="AB18" s="1188"/>
      <c r="AC18" s="1188"/>
      <c r="AD18" s="1188"/>
      <c r="AE18" s="1188"/>
      <c r="AF18" s="1188"/>
      <c r="AG18" s="1188"/>
      <c r="AH18" s="1188"/>
      <c r="AI18" s="1188"/>
      <c r="AJ18" s="1188"/>
      <c r="AK18" s="1188"/>
      <c r="AL18" s="1188"/>
      <c r="AM18" s="1188"/>
      <c r="AN18" s="1188"/>
      <c r="AO18" s="1188"/>
      <c r="AP18" s="1188"/>
      <c r="AQ18" s="1188"/>
      <c r="AR18" s="1188"/>
      <c r="AS18" s="1188"/>
      <c r="AT18" s="1188"/>
      <c r="AU18" s="1188"/>
      <c r="AV18" s="1188"/>
      <c r="AW18" s="1188"/>
      <c r="AX18" s="166"/>
      <c r="AY18" s="267">
        <f t="shared" ca="1" si="2"/>
        <v>1045.8611113960574</v>
      </c>
      <c r="AZ18" s="267"/>
      <c r="BA18" s="267">
        <f t="shared" ca="1" si="2"/>
        <v>1153.7282449630281</v>
      </c>
      <c r="BB18" s="267">
        <f t="shared" ca="1" si="2"/>
        <v>1148.4989388784084</v>
      </c>
      <c r="BC18" s="267">
        <f t="shared" ca="1" si="2"/>
        <v>1155.9568110410034</v>
      </c>
      <c r="BD18" s="267">
        <f t="shared" ca="1" si="2"/>
        <v>1156.4277437769356</v>
      </c>
      <c r="BE18" s="267">
        <f t="shared" ca="1" si="2"/>
        <v>1145.5431763602155</v>
      </c>
      <c r="BF18" s="267">
        <f t="shared" ca="1" si="2"/>
        <v>1128.6766748639811</v>
      </c>
      <c r="BG18" s="267">
        <f t="shared" ca="1" si="2"/>
        <v>1099.7850738372154</v>
      </c>
      <c r="BH18" s="267">
        <f t="shared" ca="1" si="2"/>
        <v>1069.2095057928398</v>
      </c>
      <c r="BI18" s="267">
        <f t="shared" ca="1" si="2"/>
        <v>1079.9753438946816</v>
      </c>
      <c r="BJ18" s="1169"/>
      <c r="BK18" s="22"/>
    </row>
    <row r="19" spans="1:63">
      <c r="B19" s="164"/>
      <c r="C19" s="1170" t="s">
        <v>1090</v>
      </c>
      <c r="D19" s="1164" t="s">
        <v>878</v>
      </c>
      <c r="E19" s="166"/>
      <c r="F19" s="1184"/>
      <c r="G19" s="1184"/>
      <c r="H19" s="1188"/>
      <c r="I19" s="1188"/>
      <c r="J19" s="1188"/>
      <c r="K19" s="1188"/>
      <c r="L19" s="1188"/>
      <c r="M19" s="1188"/>
      <c r="N19" s="1188"/>
      <c r="O19" s="1188"/>
      <c r="P19" s="1188"/>
      <c r="Q19" s="1188"/>
      <c r="R19" s="1188"/>
      <c r="S19" s="1188"/>
      <c r="T19" s="1188"/>
      <c r="U19" s="1188"/>
      <c r="V19" s="1188"/>
      <c r="W19" s="1188"/>
      <c r="X19" s="1188"/>
      <c r="Y19" s="1188"/>
      <c r="Z19" s="1188"/>
      <c r="AA19" s="1188"/>
      <c r="AB19" s="1188"/>
      <c r="AC19" s="1188"/>
      <c r="AD19" s="1188"/>
      <c r="AE19" s="1188"/>
      <c r="AF19" s="1188"/>
      <c r="AG19" s="1188"/>
      <c r="AH19" s="1188"/>
      <c r="AI19" s="1188"/>
      <c r="AJ19" s="1188"/>
      <c r="AK19" s="1188"/>
      <c r="AL19" s="1188"/>
      <c r="AM19" s="1188"/>
      <c r="AN19" s="1188"/>
      <c r="AO19" s="1188"/>
      <c r="AP19" s="1188"/>
      <c r="AQ19" s="1188"/>
      <c r="AR19" s="1188"/>
      <c r="AS19" s="1188"/>
      <c r="AT19" s="1188"/>
      <c r="AU19" s="1188"/>
      <c r="AV19" s="1188"/>
      <c r="AW19" s="1188"/>
      <c r="AX19" s="166"/>
      <c r="AY19" s="267">
        <f t="shared" ca="1" si="2"/>
        <v>42.636687837081858</v>
      </c>
      <c r="AZ19" s="267"/>
      <c r="BA19" s="267">
        <f t="shared" ca="1" si="2"/>
        <v>64.767224585824962</v>
      </c>
      <c r="BB19" s="267">
        <f t="shared" ca="1" si="2"/>
        <v>96.64390987736526</v>
      </c>
      <c r="BC19" s="267">
        <f t="shared" ca="1" si="2"/>
        <v>143.41278923679616</v>
      </c>
      <c r="BD19" s="267">
        <f t="shared" ca="1" si="2"/>
        <v>210.74579320156334</v>
      </c>
      <c r="BE19" s="267">
        <f t="shared" ca="1" si="2"/>
        <v>308.34342741085425</v>
      </c>
      <c r="BF19" s="267">
        <f t="shared" ca="1" si="2"/>
        <v>412.63306124605418</v>
      </c>
      <c r="BG19" s="267">
        <f t="shared" ca="1" si="2"/>
        <v>552.19611672285725</v>
      </c>
      <c r="BH19" s="267">
        <f t="shared" ca="1" si="2"/>
        <v>738.96296724992294</v>
      </c>
      <c r="BI19" s="267">
        <f t="shared" ca="1" si="2"/>
        <v>988.89914367303845</v>
      </c>
      <c r="BJ19" s="1169"/>
      <c r="BK19" s="22"/>
    </row>
    <row r="20" spans="1:63" s="423" customFormat="1">
      <c r="B20" s="1179"/>
      <c r="C20" s="1180" t="s">
        <v>2142</v>
      </c>
      <c r="D20" s="2852" t="s">
        <v>1051</v>
      </c>
      <c r="E20" s="178"/>
      <c r="F20" s="1184"/>
      <c r="G20" s="1184"/>
      <c r="H20" s="1188"/>
      <c r="I20" s="1188"/>
      <c r="J20" s="1188"/>
      <c r="K20" s="1188"/>
      <c r="L20" s="1188"/>
      <c r="M20" s="1188"/>
      <c r="N20" s="1188"/>
      <c r="O20" s="1188"/>
      <c r="P20" s="1188"/>
      <c r="Q20" s="1188"/>
      <c r="R20" s="1188"/>
      <c r="S20" s="1188"/>
      <c r="T20" s="1188"/>
      <c r="U20" s="1188"/>
      <c r="V20" s="1188"/>
      <c r="W20" s="1188"/>
      <c r="X20" s="1188"/>
      <c r="Y20" s="1188"/>
      <c r="Z20" s="1188"/>
      <c r="AA20" s="1188"/>
      <c r="AB20" s="1188"/>
      <c r="AC20" s="1188"/>
      <c r="AD20" s="1188"/>
      <c r="AE20" s="1188"/>
      <c r="AF20" s="1188"/>
      <c r="AG20" s="1188"/>
      <c r="AH20" s="1188"/>
      <c r="AI20" s="1188"/>
      <c r="AJ20" s="1188"/>
      <c r="AK20" s="1188"/>
      <c r="AL20" s="1188"/>
      <c r="AM20" s="1188"/>
      <c r="AN20" s="1188"/>
      <c r="AO20" s="1188"/>
      <c r="AP20" s="1188"/>
      <c r="AQ20" s="1188"/>
      <c r="AR20" s="1188"/>
      <c r="AS20" s="1188"/>
      <c r="AT20" s="1188"/>
      <c r="AU20" s="1188"/>
      <c r="AV20" s="1188"/>
      <c r="AW20" s="1188"/>
      <c r="AX20" s="166"/>
      <c r="AY20" s="2853">
        <f ca="1">SUM(AY18:AY19)</f>
        <v>1088.4977992331392</v>
      </c>
      <c r="AZ20" s="2853"/>
      <c r="BA20" s="2853">
        <f t="shared" ref="BA20:BI20" ca="1" si="5">SUM(BA18:BA19)</f>
        <v>1218.4954695488532</v>
      </c>
      <c r="BB20" s="2853">
        <f t="shared" ca="1" si="5"/>
        <v>1245.1428487557737</v>
      </c>
      <c r="BC20" s="2853">
        <f t="shared" ca="1" si="5"/>
        <v>1299.3696002777997</v>
      </c>
      <c r="BD20" s="2853">
        <f t="shared" ca="1" si="5"/>
        <v>1367.173536978499</v>
      </c>
      <c r="BE20" s="2853">
        <f t="shared" ca="1" si="5"/>
        <v>1453.8866037710698</v>
      </c>
      <c r="BF20" s="2853">
        <f t="shared" ca="1" si="5"/>
        <v>1541.3097361100354</v>
      </c>
      <c r="BG20" s="2853">
        <f t="shared" ca="1" si="5"/>
        <v>1651.9811905600727</v>
      </c>
      <c r="BH20" s="2853">
        <f t="shared" ca="1" si="5"/>
        <v>1808.1724730427627</v>
      </c>
      <c r="BI20" s="2853">
        <f t="shared" ca="1" si="5"/>
        <v>2068.8744875677203</v>
      </c>
      <c r="BJ20" s="1181"/>
      <c r="BK20" s="73"/>
    </row>
    <row r="21" spans="1:63" s="859" customFormat="1" ht="18">
      <c r="A21" s="3061"/>
      <c r="B21" s="1172"/>
      <c r="C21" s="1173"/>
      <c r="D21" s="1174" t="s">
        <v>2144</v>
      </c>
      <c r="E21" s="166"/>
      <c r="F21" s="1184"/>
      <c r="G21" s="1184"/>
      <c r="H21" s="1188"/>
      <c r="I21" s="1188"/>
      <c r="J21" s="1188"/>
      <c r="K21" s="1188"/>
      <c r="L21" s="1188"/>
      <c r="M21" s="1188"/>
      <c r="N21" s="1188"/>
      <c r="O21" s="1188"/>
      <c r="P21" s="1188"/>
      <c r="Q21" s="1188"/>
      <c r="R21" s="1188"/>
      <c r="S21" s="1188"/>
      <c r="T21" s="1188"/>
      <c r="U21" s="1188"/>
      <c r="V21" s="1188"/>
      <c r="W21" s="1188"/>
      <c r="X21" s="1188"/>
      <c r="Y21" s="1188"/>
      <c r="Z21" s="1188"/>
      <c r="AA21" s="1188"/>
      <c r="AB21" s="1188"/>
      <c r="AC21" s="1188"/>
      <c r="AD21" s="1188"/>
      <c r="AE21" s="1188"/>
      <c r="AF21" s="1188"/>
      <c r="AG21" s="1188"/>
      <c r="AH21" s="1188"/>
      <c r="AI21" s="1188"/>
      <c r="AJ21" s="1188"/>
      <c r="AK21" s="1188"/>
      <c r="AL21" s="1188"/>
      <c r="AM21" s="1188"/>
      <c r="AN21" s="1188"/>
      <c r="AO21" s="1188"/>
      <c r="AP21" s="1188"/>
      <c r="AQ21" s="1188"/>
      <c r="AR21" s="1188"/>
      <c r="AS21" s="1188"/>
      <c r="AT21" s="1188"/>
      <c r="AU21" s="1188"/>
      <c r="AV21" s="1188"/>
      <c r="AW21" s="1188"/>
      <c r="AX21" s="166"/>
      <c r="AY21" s="2858">
        <f ca="1">SUM(AY9,AY10,AY14,AY16,AY17,AY20)</f>
        <v>3938.870702431258</v>
      </c>
      <c r="AZ21" s="2858"/>
      <c r="BA21" s="2858">
        <f t="shared" ref="BA21:BI21" ca="1" si="6">SUM(BA9,BA10,BA14,BA16,BA17,BA20)</f>
        <v>4904.5677325703546</v>
      </c>
      <c r="BB21" s="2858">
        <f t="shared" ca="1" si="6"/>
        <v>6548.1457293668154</v>
      </c>
      <c r="BC21" s="2858">
        <f t="shared" ca="1" si="6"/>
        <v>8682.9841023907975</v>
      </c>
      <c r="BD21" s="2858">
        <f t="shared" ca="1" si="6"/>
        <v>11209.116969724815</v>
      </c>
      <c r="BE21" s="2858">
        <f t="shared" ca="1" si="6"/>
        <v>14238.605478599175</v>
      </c>
      <c r="BF21" s="2858">
        <f t="shared" ca="1" si="6"/>
        <v>17350.063285247772</v>
      </c>
      <c r="BG21" s="2858">
        <f t="shared" ca="1" si="6"/>
        <v>20544.551565330505</v>
      </c>
      <c r="BH21" s="2858">
        <f t="shared" ca="1" si="6"/>
        <v>23679.361325251186</v>
      </c>
      <c r="BI21" s="2858">
        <f t="shared" ca="1" si="6"/>
        <v>27071.520924120727</v>
      </c>
      <c r="BJ21" s="1177"/>
      <c r="BK21" s="2707"/>
    </row>
    <row r="22" spans="1:63" s="3062" customFormat="1">
      <c r="B22" s="3068" t="s">
        <v>2821</v>
      </c>
      <c r="C22" s="3063"/>
      <c r="D22" s="3064" t="s">
        <v>2143</v>
      </c>
      <c r="E22" s="3065"/>
      <c r="F22" s="1184"/>
      <c r="G22" s="1184"/>
      <c r="H22" s="1188"/>
      <c r="I22" s="1188"/>
      <c r="J22" s="1188"/>
      <c r="K22" s="1188"/>
      <c r="L22" s="1188"/>
      <c r="M22" s="1188"/>
      <c r="N22" s="1188"/>
      <c r="O22" s="1188"/>
      <c r="P22" s="1188"/>
      <c r="Q22" s="1188"/>
      <c r="R22" s="1188"/>
      <c r="S22" s="1188"/>
      <c r="T22" s="1188"/>
      <c r="U22" s="1188"/>
      <c r="V22" s="1188"/>
      <c r="W22" s="1188"/>
      <c r="X22" s="1188"/>
      <c r="Y22" s="1188"/>
      <c r="Z22" s="1188"/>
      <c r="AA22" s="1188"/>
      <c r="AB22" s="1188"/>
      <c r="AC22" s="1188"/>
      <c r="AD22" s="1188"/>
      <c r="AE22" s="1188"/>
      <c r="AF22" s="1188"/>
      <c r="AG22" s="1188"/>
      <c r="AH22" s="1188"/>
      <c r="AI22" s="1188"/>
      <c r="AJ22" s="1188"/>
      <c r="AK22" s="1188"/>
      <c r="AL22" s="1188"/>
      <c r="AM22" s="1188"/>
      <c r="AN22" s="1188"/>
      <c r="AO22" s="1188"/>
      <c r="AP22" s="1188"/>
      <c r="AQ22" s="1188"/>
      <c r="AR22" s="1188"/>
      <c r="AS22" s="1188"/>
      <c r="AT22" s="1188"/>
      <c r="AU22" s="1188"/>
      <c r="AV22" s="1188"/>
      <c r="AW22" s="1188"/>
      <c r="AX22" s="166"/>
      <c r="AY22" s="3361">
        <v>3938.870702431258</v>
      </c>
      <c r="AZ22" s="3361"/>
      <c r="BA22" s="3361">
        <v>4868.1772880626359</v>
      </c>
      <c r="BB22" s="3361">
        <v>6504.8091099427747</v>
      </c>
      <c r="BC22" s="3361">
        <v>8643.3680839445606</v>
      </c>
      <c r="BD22" s="3361">
        <v>11195.232592127055</v>
      </c>
      <c r="BE22" s="3361">
        <v>14288.325622795021</v>
      </c>
      <c r="BF22" s="3361">
        <v>17496.300880645067</v>
      </c>
      <c r="BG22" s="3361">
        <v>20783.703320373068</v>
      </c>
      <c r="BH22" s="3361">
        <v>24015.916656305515</v>
      </c>
      <c r="BI22" s="3361">
        <v>27635.26137277401</v>
      </c>
      <c r="BJ22" s="3066"/>
      <c r="BK22" s="3067"/>
    </row>
    <row r="23" spans="1:63" s="37" customFormat="1">
      <c r="B23" s="1182"/>
      <c r="C23" s="1183"/>
      <c r="D23" s="1184"/>
      <c r="E23" s="166"/>
      <c r="F23" s="1184"/>
      <c r="G23" s="1184"/>
      <c r="H23" s="1188"/>
      <c r="I23" s="1188"/>
      <c r="J23" s="1188"/>
      <c r="K23" s="1188"/>
      <c r="L23" s="1188"/>
      <c r="M23" s="1188"/>
      <c r="N23" s="1188"/>
      <c r="O23" s="1188"/>
      <c r="P23" s="1188"/>
      <c r="Q23" s="1188"/>
      <c r="R23" s="1188"/>
      <c r="S23" s="1188"/>
      <c r="T23" s="1188"/>
      <c r="U23" s="1188"/>
      <c r="V23" s="1188"/>
      <c r="W23" s="1188"/>
      <c r="X23" s="1188"/>
      <c r="Y23" s="1188"/>
      <c r="Z23" s="1188"/>
      <c r="AA23" s="1188"/>
      <c r="AB23" s="1188"/>
      <c r="AC23" s="1188"/>
      <c r="AD23" s="1188"/>
      <c r="AE23" s="1188"/>
      <c r="AF23" s="1188"/>
      <c r="AG23" s="1188"/>
      <c r="AH23" s="1188"/>
      <c r="AI23" s="1188"/>
      <c r="AJ23" s="1188"/>
      <c r="AK23" s="1188"/>
      <c r="AL23" s="1188"/>
      <c r="AM23" s="1188"/>
      <c r="AN23" s="1188"/>
      <c r="AO23" s="1188"/>
      <c r="AP23" s="1188"/>
      <c r="AQ23" s="1188"/>
      <c r="AR23" s="1188"/>
      <c r="AS23" s="1188"/>
      <c r="AT23" s="1188"/>
      <c r="AU23" s="1188"/>
      <c r="AV23" s="1188"/>
      <c r="AW23" s="1188"/>
      <c r="AX23" s="166"/>
      <c r="AY23" s="1185"/>
      <c r="AZ23" s="1185"/>
      <c r="BA23" s="1185"/>
      <c r="BB23" s="1185"/>
      <c r="BC23" s="1185"/>
      <c r="BD23" s="1185"/>
      <c r="BE23" s="1185"/>
      <c r="BF23" s="1185"/>
      <c r="BG23" s="1185"/>
      <c r="BH23" s="1185"/>
      <c r="BI23" s="1185"/>
      <c r="BJ23" s="1186"/>
      <c r="BK23" s="141"/>
    </row>
    <row r="24" spans="1:63">
      <c r="B24" s="164"/>
      <c r="C24" s="1170"/>
      <c r="D24" s="166"/>
      <c r="E24" s="166"/>
      <c r="F24" s="1184"/>
      <c r="G24" s="1184"/>
      <c r="H24" s="1188"/>
      <c r="I24" s="1188"/>
      <c r="J24" s="1188"/>
      <c r="K24" s="1188"/>
      <c r="L24" s="1188"/>
      <c r="M24" s="1188"/>
      <c r="N24" s="1188"/>
      <c r="O24" s="1188"/>
      <c r="P24" s="1188"/>
      <c r="Q24" s="1188"/>
      <c r="R24" s="1188"/>
      <c r="S24" s="1188"/>
      <c r="T24" s="1188"/>
      <c r="U24" s="1188"/>
      <c r="V24" s="1188"/>
      <c r="W24" s="1188"/>
      <c r="X24" s="1188"/>
      <c r="Y24" s="1188"/>
      <c r="Z24" s="1188"/>
      <c r="AA24" s="1188"/>
      <c r="AB24" s="1188"/>
      <c r="AC24" s="1188"/>
      <c r="AD24" s="1188"/>
      <c r="AE24" s="1188"/>
      <c r="AF24" s="1188"/>
      <c r="AG24" s="1188"/>
      <c r="AH24" s="1188"/>
      <c r="AI24" s="1188"/>
      <c r="AJ24" s="1188"/>
      <c r="AK24" s="1188"/>
      <c r="AL24" s="1188"/>
      <c r="AM24" s="1188"/>
      <c r="AN24" s="1188"/>
      <c r="AO24" s="1188"/>
      <c r="AP24" s="1188"/>
      <c r="AQ24" s="1188"/>
      <c r="AR24" s="1188"/>
      <c r="AS24" s="1188"/>
      <c r="AT24" s="1188"/>
      <c r="AU24" s="1188"/>
      <c r="AV24" s="1188"/>
      <c r="AW24" s="1188"/>
      <c r="AX24" s="166"/>
      <c r="AY24" s="1168"/>
      <c r="AZ24" s="1168"/>
      <c r="BA24" s="3087"/>
      <c r="BB24" s="1168"/>
      <c r="BC24" s="1168"/>
      <c r="BD24" s="1168"/>
      <c r="BE24" s="1168"/>
      <c r="BF24" s="1168"/>
      <c r="BG24" s="1168"/>
      <c r="BH24" s="1168"/>
      <c r="BI24" s="1168"/>
      <c r="BJ24" s="1169"/>
      <c r="BK24" s="22"/>
    </row>
    <row r="25" spans="1:63" s="410" customFormat="1">
      <c r="B25" s="1162"/>
      <c r="C25" s="1163" t="s">
        <v>1129</v>
      </c>
      <c r="D25" s="1164"/>
      <c r="E25" s="166"/>
      <c r="F25" s="1184"/>
      <c r="G25" s="1184"/>
      <c r="H25" s="1188"/>
      <c r="I25" s="1188"/>
      <c r="J25" s="1188"/>
      <c r="K25" s="1188"/>
      <c r="L25" s="1188"/>
      <c r="M25" s="1188"/>
      <c r="N25" s="1188"/>
      <c r="O25" s="1188"/>
      <c r="P25" s="1188"/>
      <c r="Q25" s="1188"/>
      <c r="R25" s="1188"/>
      <c r="S25" s="1188"/>
      <c r="T25" s="1188"/>
      <c r="U25" s="1188"/>
      <c r="V25" s="1188"/>
      <c r="W25" s="1188"/>
      <c r="X25" s="1188"/>
      <c r="Y25" s="1188"/>
      <c r="Z25" s="1188"/>
      <c r="AA25" s="1188"/>
      <c r="AB25" s="1188"/>
      <c r="AC25" s="1188"/>
      <c r="AD25" s="1188"/>
      <c r="AE25" s="1188"/>
      <c r="AF25" s="1188"/>
      <c r="AG25" s="1188"/>
      <c r="AH25" s="1188"/>
      <c r="AI25" s="1188"/>
      <c r="AJ25" s="1188"/>
      <c r="AK25" s="1188"/>
      <c r="AL25" s="1188"/>
      <c r="AM25" s="1188"/>
      <c r="AN25" s="1188"/>
      <c r="AO25" s="1188"/>
      <c r="AP25" s="1188"/>
      <c r="AQ25" s="1188"/>
      <c r="AR25" s="1188"/>
      <c r="AS25" s="1188"/>
      <c r="AT25" s="1188"/>
      <c r="AU25" s="1188"/>
      <c r="AV25" s="1188"/>
      <c r="AW25" s="1188"/>
      <c r="AX25" s="166"/>
      <c r="AY25" s="267"/>
      <c r="AZ25" s="267"/>
      <c r="BA25" s="267"/>
      <c r="BB25" s="267"/>
      <c r="BC25" s="267"/>
      <c r="BD25" s="267"/>
      <c r="BE25" s="267"/>
      <c r="BF25" s="267"/>
      <c r="BG25" s="267"/>
      <c r="BH25" s="267"/>
      <c r="BI25" s="267"/>
      <c r="BJ25" s="1166"/>
      <c r="BK25" s="1167"/>
    </row>
    <row r="26" spans="1:63" s="410" customFormat="1">
      <c r="B26" s="1162"/>
      <c r="C26" s="1187" t="s">
        <v>7</v>
      </c>
      <c r="D26" s="1164" t="str">
        <f>INDEX(Vectors[Description], MATCH($C26, Vectors[Code], 0))</f>
        <v>Nuclear fission</v>
      </c>
      <c r="E26" s="166"/>
      <c r="F26" s="1184"/>
      <c r="G26" s="1184"/>
      <c r="H26" s="1188"/>
      <c r="I26" s="1188"/>
      <c r="J26" s="1188"/>
      <c r="K26" s="1188"/>
      <c r="L26" s="1188"/>
      <c r="M26" s="1188"/>
      <c r="N26" s="1188"/>
      <c r="O26" s="1188"/>
      <c r="P26" s="1188"/>
      <c r="Q26" s="1188"/>
      <c r="R26" s="1188"/>
      <c r="S26" s="1188"/>
      <c r="T26" s="1188"/>
      <c r="U26" s="1188"/>
      <c r="V26" s="1188"/>
      <c r="W26" s="1188"/>
      <c r="X26" s="1188"/>
      <c r="Y26" s="1188"/>
      <c r="Z26" s="1188"/>
      <c r="AA26" s="1188"/>
      <c r="AB26" s="1188"/>
      <c r="AC26" s="1188"/>
      <c r="AD26" s="1188"/>
      <c r="AE26" s="1188"/>
      <c r="AF26" s="1188"/>
      <c r="AG26" s="1188"/>
      <c r="AH26" s="1188"/>
      <c r="AI26" s="1188"/>
      <c r="AJ26" s="1188"/>
      <c r="AK26" s="1188"/>
      <c r="AL26" s="1188"/>
      <c r="AM26" s="1188"/>
      <c r="AN26" s="1188"/>
      <c r="AO26" s="1188"/>
      <c r="AP26" s="1188"/>
      <c r="AQ26" s="1188"/>
      <c r="AR26" s="1188"/>
      <c r="AS26" s="1188"/>
      <c r="AT26" s="1188"/>
      <c r="AU26" s="1188"/>
      <c r="AV26" s="1188"/>
      <c r="AW26" s="1188"/>
      <c r="AX26" s="166"/>
      <c r="AY26" s="2861">
        <f ca="1">-INDEX(INDIRECT("'"&amp;AY$4&amp;"'!Year.NetBalance"), MATCH('Intermediate output'!$C26, INDIRECT("'"&amp;AY$4&amp;"'!Year.Vectors"), 0))</f>
        <v>80.94774857142859</v>
      </c>
      <c r="AZ26" s="2861"/>
      <c r="BA26" s="2861">
        <f ca="1">-INDEX(INDIRECT("'"&amp;BA$4&amp;"'!Year.NetBalance"), MATCH('Intermediate output'!$C26, INDIRECT("'"&amp;BA$4&amp;"'!Year.Vectors"), 0))</f>
        <v>93.771154285714289</v>
      </c>
      <c r="BB26" s="2861">
        <f ca="1">-INDEX(INDIRECT("'"&amp;BB$4&amp;"'!Year.NetBalance"), MATCH('Intermediate output'!$C26, INDIRECT("'"&amp;BB$4&amp;"'!Year.Vectors"), 0))</f>
        <v>199.9649828571429</v>
      </c>
      <c r="BC26" s="2861">
        <f ca="1">-INDEX(INDIRECT("'"&amp;BC$4&amp;"'!Year.NetBalance"), MATCH('Intermediate output'!$C26, INDIRECT("'"&amp;BC$4&amp;"'!Year.Vectors"), 0))</f>
        <v>193.55328000000003</v>
      </c>
      <c r="BD26" s="2861">
        <f ca="1">-INDEX(INDIRECT("'"&amp;BD$4&amp;"'!Year.NetBalance"), MATCH('Intermediate output'!$C26, INDIRECT("'"&amp;BD$4&amp;"'!Year.Vectors"), 0))</f>
        <v>193.55328000000003</v>
      </c>
      <c r="BE26" s="2861">
        <f ca="1">-INDEX(INDIRECT("'"&amp;BE$4&amp;"'!Year.NetBalance"), MATCH('Intermediate output'!$C26, INDIRECT("'"&amp;BE$4&amp;"'!Year.Vectors"), 0))</f>
        <v>189.54596571428576</v>
      </c>
      <c r="BF26" s="2861">
        <f ca="1">-INDEX(INDIRECT("'"&amp;BF$4&amp;"'!Year.NetBalance"), MATCH('Intermediate output'!$C26, INDIRECT("'"&amp;BF$4&amp;"'!Year.Vectors"), 0))</f>
        <v>180.72987428571432</v>
      </c>
      <c r="BG26" s="2861">
        <f ca="1">-INDEX(INDIRECT("'"&amp;BG$4&amp;"'!Year.NetBalance"), MATCH('Intermediate output'!$C26, INDIRECT("'"&amp;BG$4&amp;"'!Year.Vectors"), 0))</f>
        <v>176.3218285714286</v>
      </c>
      <c r="BH26" s="2861">
        <f ca="1">-INDEX(INDIRECT("'"&amp;BH$4&amp;"'!Year.NetBalance"), MATCH('Intermediate output'!$C26, INDIRECT("'"&amp;BH$4&amp;"'!Year.Vectors"), 0))</f>
        <v>167.50573714285716</v>
      </c>
      <c r="BI26" s="2861">
        <f ca="1">-INDEX(INDIRECT("'"&amp;BI$4&amp;"'!Year.NetBalance"), MATCH('Intermediate output'!$C26, INDIRECT("'"&amp;BI$4&amp;"'!Year.Vectors"), 0))</f>
        <v>167.50573714285716</v>
      </c>
      <c r="BJ26" s="1166"/>
      <c r="BK26" s="1021"/>
    </row>
    <row r="27" spans="1:63" s="410" customFormat="1">
      <c r="B27" s="1162"/>
      <c r="C27" s="1187" t="s">
        <v>24</v>
      </c>
      <c r="D27" s="1164" t="str">
        <f>INDEX(Vectors[Description], MATCH($C27, Vectors[Code], 0))</f>
        <v>Solar</v>
      </c>
      <c r="E27" s="166"/>
      <c r="F27" s="1184"/>
      <c r="G27" s="1184"/>
      <c r="H27" s="1188"/>
      <c r="I27" s="1188"/>
      <c r="J27" s="1188"/>
      <c r="K27" s="1188"/>
      <c r="L27" s="1188"/>
      <c r="M27" s="1188"/>
      <c r="N27" s="1188"/>
      <c r="O27" s="1188"/>
      <c r="P27" s="1188"/>
      <c r="Q27" s="1188"/>
      <c r="R27" s="1188"/>
      <c r="S27" s="1188"/>
      <c r="T27" s="1188"/>
      <c r="U27" s="1188"/>
      <c r="V27" s="1188"/>
      <c r="W27" s="1188"/>
      <c r="X27" s="1188"/>
      <c r="Y27" s="1188"/>
      <c r="Z27" s="1188"/>
      <c r="AA27" s="1188"/>
      <c r="AB27" s="1188"/>
      <c r="AC27" s="1188"/>
      <c r="AD27" s="1188"/>
      <c r="AE27" s="1188"/>
      <c r="AF27" s="1188"/>
      <c r="AG27" s="1188"/>
      <c r="AH27" s="1188"/>
      <c r="AI27" s="1188"/>
      <c r="AJ27" s="1188"/>
      <c r="AK27" s="1188"/>
      <c r="AL27" s="1188"/>
      <c r="AM27" s="1188"/>
      <c r="AN27" s="1188"/>
      <c r="AO27" s="1188"/>
      <c r="AP27" s="1188"/>
      <c r="AQ27" s="1188"/>
      <c r="AR27" s="1188"/>
      <c r="AS27" s="1188"/>
      <c r="AT27" s="1188"/>
      <c r="AU27" s="1188"/>
      <c r="AV27" s="1188"/>
      <c r="AW27" s="1188"/>
      <c r="AX27" s="166"/>
      <c r="AY27" s="2861">
        <f ca="1">-INDEX(INDIRECT("'"&amp;AY$4&amp;"'!Year.NetBalance"), MATCH('Intermediate output'!$C27, INDIRECT("'"&amp;AY$4&amp;"'!Year.Vectors"), 0))</f>
        <v>0</v>
      </c>
      <c r="AZ27" s="2861"/>
      <c r="BA27" s="2861">
        <f ca="1">-INDEX(INDIRECT("'"&amp;BA$4&amp;"'!Year.NetBalance"), MATCH('Intermediate output'!$C27, INDIRECT("'"&amp;BA$4&amp;"'!Year.Vectors"), 0))</f>
        <v>1.56727314</v>
      </c>
      <c r="BB27" s="2861">
        <f ca="1">-INDEX(INDIRECT("'"&amp;BB$4&amp;"'!Year.NetBalance"), MATCH('Intermediate output'!$C27, INDIRECT("'"&amp;BB$4&amp;"'!Year.Vectors"), 0))</f>
        <v>10.99938034075161</v>
      </c>
      <c r="BC27" s="2861">
        <f ca="1">-INDEX(INDIRECT("'"&amp;BC$4&amp;"'!Year.NetBalance"), MATCH('Intermediate output'!$C27, INDIRECT("'"&amp;BC$4&amp;"'!Year.Vectors"), 0))</f>
        <v>27.366299513783936</v>
      </c>
      <c r="BD27" s="2861">
        <f ca="1">-INDEX(INDIRECT("'"&amp;BD$4&amp;"'!Year.NetBalance"), MATCH('Intermediate output'!$C27, INDIRECT("'"&amp;BD$4&amp;"'!Year.Vectors"), 0))</f>
        <v>49.233277769900653</v>
      </c>
      <c r="BE27" s="2861">
        <f ca="1">-INDEX(INDIRECT("'"&amp;BE$4&amp;"'!Year.NetBalance"), MATCH('Intermediate output'!$C27, INDIRECT("'"&amp;BE$4&amp;"'!Year.Vectors"), 0))</f>
        <v>74.393168287263421</v>
      </c>
      <c r="BF27" s="2861">
        <f ca="1">-INDEX(INDIRECT("'"&amp;BF$4&amp;"'!Year.NetBalance"), MATCH('Intermediate output'!$C27, INDIRECT("'"&amp;BF$4&amp;"'!Year.Vectors"), 0))</f>
        <v>96.634101460999375</v>
      </c>
      <c r="BG27" s="2861">
        <f ca="1">-INDEX(INDIRECT("'"&amp;BG$4&amp;"'!Year.NetBalance"), MATCH('Intermediate output'!$C27, INDIRECT("'"&amp;BG$4&amp;"'!Year.Vectors"), 0))</f>
        <v>108.73461587841729</v>
      </c>
      <c r="BH27" s="2861">
        <f ca="1">-INDEX(INDIRECT("'"&amp;BH$4&amp;"'!Year.NetBalance"), MATCH('Intermediate output'!$C27, INDIRECT("'"&amp;BH$4&amp;"'!Year.Vectors"), 0))</f>
        <v>106.76952554064533</v>
      </c>
      <c r="BI27" s="2861">
        <f ca="1">-INDEX(INDIRECT("'"&amp;BI$4&amp;"'!Year.NetBalance"), MATCH('Intermediate output'!$C27, INDIRECT("'"&amp;BI$4&amp;"'!Year.Vectors"), 0))</f>
        <v>93.110973518033461</v>
      </c>
      <c r="BJ27" s="1166"/>
      <c r="BK27" s="1021"/>
    </row>
    <row r="28" spans="1:63" s="410" customFormat="1">
      <c r="B28" s="1162"/>
      <c r="C28" s="1187" t="s">
        <v>8</v>
      </c>
      <c r="D28" s="1164" t="str">
        <f>INDEX(Vectors[Description], MATCH($C28, Vectors[Code], 0))</f>
        <v>Wind</v>
      </c>
      <c r="E28" s="166"/>
      <c r="F28" s="1184"/>
      <c r="G28" s="1184"/>
      <c r="H28" s="1188"/>
      <c r="I28" s="1188"/>
      <c r="J28" s="1188"/>
      <c r="K28" s="1188"/>
      <c r="L28" s="1188"/>
      <c r="M28" s="1188"/>
      <c r="N28" s="1188"/>
      <c r="O28" s="1188"/>
      <c r="P28" s="1188"/>
      <c r="Q28" s="1188"/>
      <c r="R28" s="1188"/>
      <c r="S28" s="1188"/>
      <c r="T28" s="1188"/>
      <c r="U28" s="1188"/>
      <c r="V28" s="1188"/>
      <c r="W28" s="1188"/>
      <c r="X28" s="1188"/>
      <c r="Y28" s="1188"/>
      <c r="Z28" s="1188"/>
      <c r="AA28" s="1188"/>
      <c r="AB28" s="1188"/>
      <c r="AC28" s="1188"/>
      <c r="AD28" s="1188"/>
      <c r="AE28" s="1188"/>
      <c r="AF28" s="1188"/>
      <c r="AG28" s="1188"/>
      <c r="AH28" s="1188"/>
      <c r="AI28" s="1188"/>
      <c r="AJ28" s="1188"/>
      <c r="AK28" s="1188"/>
      <c r="AL28" s="1188"/>
      <c r="AM28" s="1188"/>
      <c r="AN28" s="1188"/>
      <c r="AO28" s="1188"/>
      <c r="AP28" s="1188"/>
      <c r="AQ28" s="1188"/>
      <c r="AR28" s="1188"/>
      <c r="AS28" s="1188"/>
      <c r="AT28" s="1188"/>
      <c r="AU28" s="1188"/>
      <c r="AV28" s="1188"/>
      <c r="AW28" s="1188"/>
      <c r="AX28" s="166"/>
      <c r="AY28" s="2861">
        <f ca="1">-INDEX(INDIRECT("'"&amp;AY$4&amp;"'!Year.NetBalance"), MATCH('Intermediate output'!$C28, INDIRECT("'"&amp;AY$4&amp;"'!Year.Vectors"), 0))</f>
        <v>12.437183268</v>
      </c>
      <c r="AZ28" s="2861"/>
      <c r="BA28" s="2861">
        <f ca="1">-INDEX(INDIRECT("'"&amp;BA$4&amp;"'!Year.NetBalance"), MATCH('Intermediate output'!$C28, INDIRECT("'"&amp;BA$4&amp;"'!Year.Vectors"), 0))</f>
        <v>18.722249233199999</v>
      </c>
      <c r="BB28" s="2861">
        <f ca="1">-INDEX(INDIRECT("'"&amp;BB$4&amp;"'!Year.NetBalance"), MATCH('Intermediate output'!$C28, INDIRECT("'"&amp;BB$4&amp;"'!Year.Vectors"), 0))</f>
        <v>36.604889233199998</v>
      </c>
      <c r="BC28" s="2861">
        <f ca="1">-INDEX(INDIRECT("'"&amp;BC$4&amp;"'!Year.NetBalance"), MATCH('Intermediate output'!$C28, INDIRECT("'"&amp;BC$4&amp;"'!Year.Vectors"), 0))</f>
        <v>59.966279233199998</v>
      </c>
      <c r="BD28" s="2861">
        <f ca="1">-INDEX(INDIRECT("'"&amp;BD$4&amp;"'!Year.NetBalance"), MATCH('Intermediate output'!$C28, INDIRECT("'"&amp;BD$4&amp;"'!Year.Vectors"), 0))</f>
        <v>84.335759233199994</v>
      </c>
      <c r="BE28" s="2861">
        <f ca="1">-INDEX(INDIRECT("'"&amp;BE$4&amp;"'!Year.NetBalance"), MATCH('Intermediate output'!$C28, INDIRECT("'"&amp;BE$4&amp;"'!Year.Vectors"), 0))</f>
        <v>115.49888923319999</v>
      </c>
      <c r="BF28" s="2861">
        <f ca="1">-INDEX(INDIRECT("'"&amp;BF$4&amp;"'!Year.NetBalance"), MATCH('Intermediate output'!$C28, INDIRECT("'"&amp;BF$4&amp;"'!Year.Vectors"), 0))</f>
        <v>136.98612596519999</v>
      </c>
      <c r="BG28" s="2861">
        <f ca="1">-INDEX(INDIRECT("'"&amp;BG$4&amp;"'!Year.NetBalance"), MATCH('Intermediate output'!$C28, INDIRECT("'"&amp;BG$4&amp;"'!Year.Vectors"), 0))</f>
        <v>151.03817999999998</v>
      </c>
      <c r="BH28" s="2861">
        <f ca="1">-INDEX(INDIRECT("'"&amp;BH$4&amp;"'!Year.NetBalance"), MATCH('Intermediate output'!$C28, INDIRECT("'"&amp;BH$4&amp;"'!Year.Vectors"), 0))</f>
        <v>161.16290999999998</v>
      </c>
      <c r="BI28" s="2861">
        <f ca="1">-INDEX(INDIRECT("'"&amp;BI$4&amp;"'!Year.NetBalance"), MATCH('Intermediate output'!$C28, INDIRECT("'"&amp;BI$4&amp;"'!Year.Vectors"), 0))</f>
        <v>161.95184999999998</v>
      </c>
      <c r="BJ28" s="1166"/>
      <c r="BK28" s="1021"/>
    </row>
    <row r="29" spans="1:63" s="410" customFormat="1">
      <c r="B29" s="1162"/>
      <c r="C29" s="1187" t="s">
        <v>9</v>
      </c>
      <c r="D29" s="1164" t="str">
        <f>INDEX(Vectors[Description], MATCH($C29, Vectors[Code], 0))</f>
        <v>Tidal</v>
      </c>
      <c r="E29" s="166"/>
      <c r="F29" s="1184"/>
      <c r="G29" s="1184"/>
      <c r="H29" s="1188"/>
      <c r="I29" s="1188"/>
      <c r="J29" s="1188"/>
      <c r="K29" s="1188"/>
      <c r="L29" s="1188"/>
      <c r="M29" s="1188"/>
      <c r="N29" s="1188"/>
      <c r="O29" s="1188"/>
      <c r="P29" s="1188"/>
      <c r="Q29" s="1188"/>
      <c r="R29" s="1188"/>
      <c r="S29" s="1188"/>
      <c r="T29" s="1188"/>
      <c r="U29" s="1188"/>
      <c r="V29" s="1188"/>
      <c r="W29" s="1188"/>
      <c r="X29" s="1188"/>
      <c r="Y29" s="1188"/>
      <c r="Z29" s="1188"/>
      <c r="AA29" s="1188"/>
      <c r="AB29" s="1188"/>
      <c r="AC29" s="1188"/>
      <c r="AD29" s="1188"/>
      <c r="AE29" s="1188"/>
      <c r="AF29" s="1188"/>
      <c r="AG29" s="1188"/>
      <c r="AH29" s="1188"/>
      <c r="AI29" s="1188"/>
      <c r="AJ29" s="1188"/>
      <c r="AK29" s="1188"/>
      <c r="AL29" s="1188"/>
      <c r="AM29" s="1188"/>
      <c r="AN29" s="1188"/>
      <c r="AO29" s="1188"/>
      <c r="AP29" s="1188"/>
      <c r="AQ29" s="1188"/>
      <c r="AR29" s="1188"/>
      <c r="AS29" s="1188"/>
      <c r="AT29" s="1188"/>
      <c r="AU29" s="1188"/>
      <c r="AV29" s="1188"/>
      <c r="AW29" s="1188"/>
      <c r="AX29" s="166"/>
      <c r="AY29" s="2861">
        <f ca="1">-INDEX(INDIRECT("'"&amp;AY$4&amp;"'!Year.NetBalance"), MATCH('Intermediate output'!$C29, INDIRECT("'"&amp;AY$4&amp;"'!Year.Vectors"), 0))</f>
        <v>0</v>
      </c>
      <c r="AZ29" s="2861"/>
      <c r="BA29" s="2861">
        <f ca="1">-INDEX(INDIRECT("'"&amp;BA$4&amp;"'!Year.NetBalance"), MATCH('Intermediate output'!$C29, INDIRECT("'"&amp;BA$4&amp;"'!Year.Vectors"), 0))</f>
        <v>0</v>
      </c>
      <c r="BB29" s="2861">
        <f ca="1">-INDEX(INDIRECT("'"&amp;BB$4&amp;"'!Year.NetBalance"), MATCH('Intermediate output'!$C29, INDIRECT("'"&amp;BB$4&amp;"'!Year.Vectors"), 0))</f>
        <v>0</v>
      </c>
      <c r="BC29" s="2861">
        <f ca="1">-INDEX(INDIRECT("'"&amp;BC$4&amp;"'!Year.NetBalance"), MATCH('Intermediate output'!$C29, INDIRECT("'"&amp;BC$4&amp;"'!Year.Vectors"), 0))</f>
        <v>0</v>
      </c>
      <c r="BD29" s="2861">
        <f ca="1">-INDEX(INDIRECT("'"&amp;BD$4&amp;"'!Year.NetBalance"), MATCH('Intermediate output'!$C29, INDIRECT("'"&amp;BD$4&amp;"'!Year.Vectors"), 0))</f>
        <v>0</v>
      </c>
      <c r="BE29" s="2861">
        <f ca="1">-INDEX(INDIRECT("'"&amp;BE$4&amp;"'!Year.NetBalance"), MATCH('Intermediate output'!$C29, INDIRECT("'"&amp;BE$4&amp;"'!Year.Vectors"), 0))</f>
        <v>0</v>
      </c>
      <c r="BF29" s="2861">
        <f ca="1">-INDEX(INDIRECT("'"&amp;BF$4&amp;"'!Year.NetBalance"), MATCH('Intermediate output'!$C29, INDIRECT("'"&amp;BF$4&amp;"'!Year.Vectors"), 0))</f>
        <v>0</v>
      </c>
      <c r="BG29" s="2861">
        <f ca="1">-INDEX(INDIRECT("'"&amp;BG$4&amp;"'!Year.NetBalance"), MATCH('Intermediate output'!$C29, INDIRECT("'"&amp;BG$4&amp;"'!Year.Vectors"), 0))</f>
        <v>0</v>
      </c>
      <c r="BH29" s="2861">
        <f ca="1">-INDEX(INDIRECT("'"&amp;BH$4&amp;"'!Year.NetBalance"), MATCH('Intermediate output'!$C29, INDIRECT("'"&amp;BH$4&amp;"'!Year.Vectors"), 0))</f>
        <v>0</v>
      </c>
      <c r="BI29" s="2861">
        <f ca="1">-INDEX(INDIRECT("'"&amp;BI$4&amp;"'!Year.NetBalance"), MATCH('Intermediate output'!$C29, INDIRECT("'"&amp;BI$4&amp;"'!Year.Vectors"), 0))</f>
        <v>0</v>
      </c>
      <c r="BJ29" s="1166"/>
      <c r="BK29" s="1021"/>
    </row>
    <row r="30" spans="1:63" s="410" customFormat="1">
      <c r="B30" s="1162"/>
      <c r="C30" s="1187" t="s">
        <v>10</v>
      </c>
      <c r="D30" s="1164" t="str">
        <f>INDEX(Vectors[Description], MATCH($C30, Vectors[Code], 0))</f>
        <v>Wave</v>
      </c>
      <c r="E30" s="166"/>
      <c r="F30" s="1184"/>
      <c r="G30" s="1184"/>
      <c r="H30" s="1188"/>
      <c r="I30" s="1188"/>
      <c r="J30" s="1188"/>
      <c r="K30" s="1188"/>
      <c r="L30" s="1188"/>
      <c r="M30" s="1188"/>
      <c r="N30" s="1188"/>
      <c r="O30" s="1188"/>
      <c r="P30" s="1188"/>
      <c r="Q30" s="1188"/>
      <c r="R30" s="1188"/>
      <c r="S30" s="1188"/>
      <c r="T30" s="1188"/>
      <c r="U30" s="1188"/>
      <c r="V30" s="1188"/>
      <c r="W30" s="1188"/>
      <c r="X30" s="1188"/>
      <c r="Y30" s="1188"/>
      <c r="Z30" s="1188"/>
      <c r="AA30" s="1188"/>
      <c r="AB30" s="1188"/>
      <c r="AC30" s="1188"/>
      <c r="AD30" s="1188"/>
      <c r="AE30" s="1188"/>
      <c r="AF30" s="1188"/>
      <c r="AG30" s="1188"/>
      <c r="AH30" s="1188"/>
      <c r="AI30" s="1188"/>
      <c r="AJ30" s="1188"/>
      <c r="AK30" s="1188"/>
      <c r="AL30" s="1188"/>
      <c r="AM30" s="1188"/>
      <c r="AN30" s="1188"/>
      <c r="AO30" s="1188"/>
      <c r="AP30" s="1188"/>
      <c r="AQ30" s="1188"/>
      <c r="AR30" s="1188"/>
      <c r="AS30" s="1188"/>
      <c r="AT30" s="1188"/>
      <c r="AU30" s="1188"/>
      <c r="AV30" s="1188"/>
      <c r="AW30" s="1188"/>
      <c r="AX30" s="166"/>
      <c r="AY30" s="2861">
        <f ca="1">-INDEX(INDIRECT("'"&amp;AY$4&amp;"'!Year.NetBalance"), MATCH('Intermediate output'!$C30, INDIRECT("'"&amp;AY$4&amp;"'!Year.Vectors"), 0))</f>
        <v>0</v>
      </c>
      <c r="AZ30" s="2861"/>
      <c r="BA30" s="2861">
        <f ca="1">-INDEX(INDIRECT("'"&amp;BA$4&amp;"'!Year.NetBalance"), MATCH('Intermediate output'!$C30, INDIRECT("'"&amp;BA$4&amp;"'!Year.Vectors"), 0))</f>
        <v>0</v>
      </c>
      <c r="BB30" s="2861">
        <f ca="1">-INDEX(INDIRECT("'"&amp;BB$4&amp;"'!Year.NetBalance"), MATCH('Intermediate output'!$C30, INDIRECT("'"&amp;BB$4&amp;"'!Year.Vectors"), 0))</f>
        <v>0</v>
      </c>
      <c r="BC30" s="2861">
        <f ca="1">-INDEX(INDIRECT("'"&amp;BC$4&amp;"'!Year.NetBalance"), MATCH('Intermediate output'!$C30, INDIRECT("'"&amp;BC$4&amp;"'!Year.Vectors"), 0))</f>
        <v>0</v>
      </c>
      <c r="BD30" s="2861">
        <f ca="1">-INDEX(INDIRECT("'"&amp;BD$4&amp;"'!Year.NetBalance"), MATCH('Intermediate output'!$C30, INDIRECT("'"&amp;BD$4&amp;"'!Year.Vectors"), 0))</f>
        <v>0</v>
      </c>
      <c r="BE30" s="2861">
        <f ca="1">-INDEX(INDIRECT("'"&amp;BE$4&amp;"'!Year.NetBalance"), MATCH('Intermediate output'!$C30, INDIRECT("'"&amp;BE$4&amp;"'!Year.Vectors"), 0))</f>
        <v>0</v>
      </c>
      <c r="BF30" s="2861">
        <f ca="1">-INDEX(INDIRECT("'"&amp;BF$4&amp;"'!Year.NetBalance"), MATCH('Intermediate output'!$C30, INDIRECT("'"&amp;BF$4&amp;"'!Year.Vectors"), 0))</f>
        <v>0</v>
      </c>
      <c r="BG30" s="2861">
        <f ca="1">-INDEX(INDIRECT("'"&amp;BG$4&amp;"'!Year.NetBalance"), MATCH('Intermediate output'!$C30, INDIRECT("'"&amp;BG$4&amp;"'!Year.Vectors"), 0))</f>
        <v>0</v>
      </c>
      <c r="BH30" s="2861">
        <f ca="1">-INDEX(INDIRECT("'"&amp;BH$4&amp;"'!Year.NetBalance"), MATCH('Intermediate output'!$C30, INDIRECT("'"&amp;BH$4&amp;"'!Year.Vectors"), 0))</f>
        <v>0</v>
      </c>
      <c r="BI30" s="2861">
        <f ca="1">-INDEX(INDIRECT("'"&amp;BI$4&amp;"'!Year.NetBalance"), MATCH('Intermediate output'!$C30, INDIRECT("'"&amp;BI$4&amp;"'!Year.Vectors"), 0))</f>
        <v>0</v>
      </c>
      <c r="BJ30" s="1166"/>
      <c r="BK30" s="1021"/>
    </row>
    <row r="31" spans="1:63" s="410" customFormat="1">
      <c r="B31" s="1162"/>
      <c r="C31" s="1187" t="s">
        <v>11</v>
      </c>
      <c r="D31" s="1164" t="str">
        <f>INDEX(Vectors[Description], MATCH($C31, Vectors[Code], 0))</f>
        <v>Geothermal</v>
      </c>
      <c r="E31" s="166"/>
      <c r="F31" s="1184"/>
      <c r="G31" s="1184"/>
      <c r="H31" s="1188"/>
      <c r="I31" s="1188"/>
      <c r="J31" s="1188"/>
      <c r="K31" s="1188"/>
      <c r="L31" s="1188"/>
      <c r="M31" s="1188"/>
      <c r="N31" s="1188"/>
      <c r="O31" s="1188"/>
      <c r="P31" s="1188"/>
      <c r="Q31" s="1188"/>
      <c r="R31" s="1188"/>
      <c r="S31" s="1188"/>
      <c r="T31" s="1188"/>
      <c r="U31" s="1188"/>
      <c r="V31" s="1188"/>
      <c r="W31" s="1188"/>
      <c r="X31" s="1188"/>
      <c r="Y31" s="1188"/>
      <c r="Z31" s="1188"/>
      <c r="AA31" s="1188"/>
      <c r="AB31" s="1188"/>
      <c r="AC31" s="1188"/>
      <c r="AD31" s="1188"/>
      <c r="AE31" s="1188"/>
      <c r="AF31" s="1188"/>
      <c r="AG31" s="1188"/>
      <c r="AH31" s="1188"/>
      <c r="AI31" s="1188"/>
      <c r="AJ31" s="1188"/>
      <c r="AK31" s="1188"/>
      <c r="AL31" s="1188"/>
      <c r="AM31" s="1188"/>
      <c r="AN31" s="1188"/>
      <c r="AO31" s="1188"/>
      <c r="AP31" s="1188"/>
      <c r="AQ31" s="1188"/>
      <c r="AR31" s="1188"/>
      <c r="AS31" s="1188"/>
      <c r="AT31" s="1188"/>
      <c r="AU31" s="1188"/>
      <c r="AV31" s="1188"/>
      <c r="AW31" s="1188"/>
      <c r="AX31" s="166"/>
      <c r="AY31" s="2861">
        <f ca="1">-INDEX(INDIRECT("'"&amp;AY$4&amp;"'!Year.NetBalance"), MATCH('Intermediate output'!$C31, INDIRECT("'"&amp;AY$4&amp;"'!Year.Vectors"), 0))</f>
        <v>0</v>
      </c>
      <c r="AZ31" s="2861"/>
      <c r="BA31" s="2861">
        <f ca="1">-INDEX(INDIRECT("'"&amp;BA$4&amp;"'!Year.NetBalance"), MATCH('Intermediate output'!$C31, INDIRECT("'"&amp;BA$4&amp;"'!Year.Vectors"), 0))</f>
        <v>0</v>
      </c>
      <c r="BB31" s="2861">
        <f ca="1">-INDEX(INDIRECT("'"&amp;BB$4&amp;"'!Year.NetBalance"), MATCH('Intermediate output'!$C31, INDIRECT("'"&amp;BB$4&amp;"'!Year.Vectors"), 0))</f>
        <v>0</v>
      </c>
      <c r="BC31" s="2861">
        <f ca="1">-INDEX(INDIRECT("'"&amp;BC$4&amp;"'!Year.NetBalance"), MATCH('Intermediate output'!$C31, INDIRECT("'"&amp;BC$4&amp;"'!Year.Vectors"), 0))</f>
        <v>0</v>
      </c>
      <c r="BD31" s="2861">
        <f ca="1">-INDEX(INDIRECT("'"&amp;BD$4&amp;"'!Year.NetBalance"), MATCH('Intermediate output'!$C31, INDIRECT("'"&amp;BD$4&amp;"'!Year.Vectors"), 0))</f>
        <v>0</v>
      </c>
      <c r="BE31" s="2861">
        <f ca="1">-INDEX(INDIRECT("'"&amp;BE$4&amp;"'!Year.NetBalance"), MATCH('Intermediate output'!$C31, INDIRECT("'"&amp;BE$4&amp;"'!Year.Vectors"), 0))</f>
        <v>0</v>
      </c>
      <c r="BF31" s="2861">
        <f ca="1">-INDEX(INDIRECT("'"&amp;BF$4&amp;"'!Year.NetBalance"), MATCH('Intermediate output'!$C31, INDIRECT("'"&amp;BF$4&amp;"'!Year.Vectors"), 0))</f>
        <v>0</v>
      </c>
      <c r="BG31" s="2861">
        <f ca="1">-INDEX(INDIRECT("'"&amp;BG$4&amp;"'!Year.NetBalance"), MATCH('Intermediate output'!$C31, INDIRECT("'"&amp;BG$4&amp;"'!Year.Vectors"), 0))</f>
        <v>0</v>
      </c>
      <c r="BH31" s="2861">
        <f ca="1">-INDEX(INDIRECT("'"&amp;BH$4&amp;"'!Year.NetBalance"), MATCH('Intermediate output'!$C31, INDIRECT("'"&amp;BH$4&amp;"'!Year.Vectors"), 0))</f>
        <v>0</v>
      </c>
      <c r="BI31" s="2861">
        <f ca="1">-INDEX(INDIRECT("'"&amp;BI$4&amp;"'!Year.NetBalance"), MATCH('Intermediate output'!$C31, INDIRECT("'"&amp;BI$4&amp;"'!Year.Vectors"), 0))</f>
        <v>0</v>
      </c>
      <c r="BJ31" s="1166"/>
      <c r="BK31" s="1021"/>
    </row>
    <row r="32" spans="1:63" s="410" customFormat="1">
      <c r="B32" s="1162"/>
      <c r="C32" s="1187" t="s">
        <v>12</v>
      </c>
      <c r="D32" s="1164" t="str">
        <f>INDEX(Vectors[Description], MATCH($C32, Vectors[Code], 0))</f>
        <v>Hydro</v>
      </c>
      <c r="E32" s="166"/>
      <c r="F32" s="1184"/>
      <c r="G32" s="1184"/>
      <c r="H32" s="1188"/>
      <c r="I32" s="1188"/>
      <c r="J32" s="1188"/>
      <c r="K32" s="1188"/>
      <c r="L32" s="1188"/>
      <c r="M32" s="1188"/>
      <c r="N32" s="1188"/>
      <c r="O32" s="1188"/>
      <c r="P32" s="1188"/>
      <c r="Q32" s="1188"/>
      <c r="R32" s="1188"/>
      <c r="S32" s="1188"/>
      <c r="T32" s="1188"/>
      <c r="U32" s="1188"/>
      <c r="V32" s="1188"/>
      <c r="W32" s="1188"/>
      <c r="X32" s="1188"/>
      <c r="Y32" s="1188"/>
      <c r="Z32" s="1188"/>
      <c r="AA32" s="1188"/>
      <c r="AB32" s="1188"/>
      <c r="AC32" s="1188"/>
      <c r="AD32" s="1188"/>
      <c r="AE32" s="1188"/>
      <c r="AF32" s="1188"/>
      <c r="AG32" s="1188"/>
      <c r="AH32" s="1188"/>
      <c r="AI32" s="1188"/>
      <c r="AJ32" s="1188"/>
      <c r="AK32" s="1188"/>
      <c r="AL32" s="1188"/>
      <c r="AM32" s="1188"/>
      <c r="AN32" s="1188"/>
      <c r="AO32" s="1188"/>
      <c r="AP32" s="1188"/>
      <c r="AQ32" s="1188"/>
      <c r="AR32" s="1188"/>
      <c r="AS32" s="1188"/>
      <c r="AT32" s="1188"/>
      <c r="AU32" s="1188"/>
      <c r="AV32" s="1188"/>
      <c r="AW32" s="1188"/>
      <c r="AX32" s="166"/>
      <c r="AY32" s="2861">
        <f ca="1">-INDEX(INDIRECT("'"&amp;AY$4&amp;"'!Year.NetBalance"), MATCH('Intermediate output'!$C32, INDIRECT("'"&amp;AY$4&amp;"'!Year.Vectors"), 0))</f>
        <v>128.51059438799999</v>
      </c>
      <c r="AZ32" s="2861"/>
      <c r="BA32" s="2861">
        <f ca="1">-INDEX(INDIRECT("'"&amp;BA$4&amp;"'!Year.NetBalance"), MATCH('Intermediate output'!$C32, INDIRECT("'"&amp;BA$4&amp;"'!Year.Vectors"), 0))</f>
        <v>155.84385898800002</v>
      </c>
      <c r="BB32" s="2861">
        <f ca="1">-INDEX(INDIRECT("'"&amp;BB$4&amp;"'!Year.NetBalance"), MATCH('Intermediate output'!$C32, INDIRECT("'"&amp;BB$4&amp;"'!Year.Vectors"), 0))</f>
        <v>189.41763898800005</v>
      </c>
      <c r="BC32" s="2861">
        <f ca="1">-INDEX(INDIRECT("'"&amp;BC$4&amp;"'!Year.NetBalance"), MATCH('Intermediate output'!$C32, INDIRECT("'"&amp;BC$4&amp;"'!Year.Vectors"), 0))</f>
        <v>195.75107398800003</v>
      </c>
      <c r="BD32" s="2861">
        <f ca="1">-INDEX(INDIRECT("'"&amp;BD$4&amp;"'!Year.NetBalance"), MATCH('Intermediate output'!$C32, INDIRECT("'"&amp;BD$4&amp;"'!Year.Vectors"), 0))</f>
        <v>199.56428398800003</v>
      </c>
      <c r="BE32" s="2861">
        <f ca="1">-INDEX(INDIRECT("'"&amp;BE$4&amp;"'!Year.NetBalance"), MATCH('Intermediate output'!$C32, INDIRECT("'"&amp;BE$4&amp;"'!Year.Vectors"), 0))</f>
        <v>203.46515398800005</v>
      </c>
      <c r="BF32" s="2861">
        <f ca="1">-INDEX(INDIRECT("'"&amp;BF$4&amp;"'!Year.NetBalance"), MATCH('Intermediate output'!$C32, INDIRECT("'"&amp;BF$4&amp;"'!Year.Vectors"), 0))</f>
        <v>205.43750398800003</v>
      </c>
      <c r="BG32" s="2861">
        <f ca="1">-INDEX(INDIRECT("'"&amp;BG$4&amp;"'!Year.NetBalance"), MATCH('Intermediate output'!$C32, INDIRECT("'"&amp;BG$4&amp;"'!Year.Vectors"), 0))</f>
        <v>205.71585955200004</v>
      </c>
      <c r="BH32" s="2861">
        <f ca="1">-INDEX(INDIRECT("'"&amp;BH$4&amp;"'!Year.NetBalance"), MATCH('Intermediate output'!$C32, INDIRECT("'"&amp;BH$4&amp;"'!Year.Vectors"), 0))</f>
        <v>206.60431118400004</v>
      </c>
      <c r="BI32" s="2861">
        <f ca="1">-INDEX(INDIRECT("'"&amp;BI$4&amp;"'!Year.NetBalance"), MATCH('Intermediate output'!$C32, INDIRECT("'"&amp;BI$4&amp;"'!Year.Vectors"), 0))</f>
        <v>207.19601618400003</v>
      </c>
      <c r="BJ32" s="1166"/>
      <c r="BK32" s="1021"/>
    </row>
    <row r="33" spans="2:66" s="410" customFormat="1">
      <c r="B33" s="1162"/>
      <c r="C33" s="1187" t="s">
        <v>47</v>
      </c>
      <c r="D33" s="1164" t="str">
        <f>INDEX(Vectors[Description], MATCH($C33, Vectors[Code], 0))</f>
        <v>Electricity oversupply (imports)</v>
      </c>
      <c r="E33" s="166"/>
      <c r="F33" s="1184"/>
      <c r="G33" s="1184"/>
      <c r="H33" s="1188"/>
      <c r="I33" s="1188"/>
      <c r="J33" s="1188"/>
      <c r="K33" s="1188"/>
      <c r="L33" s="1188"/>
      <c r="M33" s="1188"/>
      <c r="N33" s="1188"/>
      <c r="O33" s="1188"/>
      <c r="P33" s="1188"/>
      <c r="Q33" s="1188"/>
      <c r="R33" s="1188"/>
      <c r="S33" s="1188"/>
      <c r="T33" s="1188"/>
      <c r="U33" s="1188"/>
      <c r="V33" s="1188"/>
      <c r="W33" s="1188"/>
      <c r="X33" s="1188"/>
      <c r="Y33" s="1188"/>
      <c r="Z33" s="1188"/>
      <c r="AA33" s="1188"/>
      <c r="AB33" s="1188"/>
      <c r="AC33" s="1188"/>
      <c r="AD33" s="1188"/>
      <c r="AE33" s="1188"/>
      <c r="AF33" s="1188"/>
      <c r="AG33" s="1188"/>
      <c r="AH33" s="1188"/>
      <c r="AI33" s="1188"/>
      <c r="AJ33" s="1188"/>
      <c r="AK33" s="1188"/>
      <c r="AL33" s="1188"/>
      <c r="AM33" s="1188"/>
      <c r="AN33" s="1188"/>
      <c r="AO33" s="1188"/>
      <c r="AP33" s="1188"/>
      <c r="AQ33" s="1188"/>
      <c r="AR33" s="1188"/>
      <c r="AS33" s="1188"/>
      <c r="AT33" s="1188"/>
      <c r="AU33" s="1188"/>
      <c r="AV33" s="1188"/>
      <c r="AW33" s="1188"/>
      <c r="AX33" s="166"/>
      <c r="AY33" s="2861">
        <f ca="1">-INDEX(INDIRECT("'"&amp;AY$4&amp;"'!Year.NetBalance"), MATCH('Intermediate output'!$C33, INDIRECT("'"&amp;AY$4&amp;"'!Year.Vectors"), 0))</f>
        <v>1</v>
      </c>
      <c r="AZ33" s="2861"/>
      <c r="BA33" s="2861">
        <f ca="1">-INDEX(INDIRECT("'"&amp;BA$4&amp;"'!Year.NetBalance"), MATCH('Intermediate output'!$C33, INDIRECT("'"&amp;BA$4&amp;"'!Year.Vectors"), 0))</f>
        <v>4.0000000000002274</v>
      </c>
      <c r="BB33" s="2861">
        <f ca="1">-INDEX(INDIRECT("'"&amp;BB$4&amp;"'!Year.NetBalance"), MATCH('Intermediate output'!$C33, INDIRECT("'"&amp;BB$4&amp;"'!Year.Vectors"), 0))</f>
        <v>14.000000000000455</v>
      </c>
      <c r="BC33" s="2861">
        <f ca="1">-INDEX(INDIRECT("'"&amp;BC$4&amp;"'!Year.NetBalance"), MATCH('Intermediate output'!$C33, INDIRECT("'"&amp;BC$4&amp;"'!Year.Vectors"), 0))</f>
        <v>21.000000000000227</v>
      </c>
      <c r="BD33" s="2861">
        <f ca="1">-INDEX(INDIRECT("'"&amp;BD$4&amp;"'!Year.NetBalance"), MATCH('Intermediate output'!$C33, INDIRECT("'"&amp;BD$4&amp;"'!Year.Vectors"), 0))</f>
        <v>30.999999999999545</v>
      </c>
      <c r="BE33" s="2861">
        <f ca="1">-INDEX(INDIRECT("'"&amp;BE$4&amp;"'!Year.NetBalance"), MATCH('Intermediate output'!$C33, INDIRECT("'"&amp;BE$4&amp;"'!Year.Vectors"), 0))</f>
        <v>39.999999999999545</v>
      </c>
      <c r="BF33" s="2861">
        <f ca="1">-INDEX(INDIRECT("'"&amp;BF$4&amp;"'!Year.NetBalance"), MATCH('Intermediate output'!$C33, INDIRECT("'"&amp;BF$4&amp;"'!Year.Vectors"), 0))</f>
        <v>49</v>
      </c>
      <c r="BG33" s="2861">
        <f ca="1">-INDEX(INDIRECT("'"&amp;BG$4&amp;"'!Year.NetBalance"), MATCH('Intermediate output'!$C33, INDIRECT("'"&amp;BG$4&amp;"'!Year.Vectors"), 0))</f>
        <v>55.000000000000909</v>
      </c>
      <c r="BH33" s="2861">
        <f ca="1">-INDEX(INDIRECT("'"&amp;BH$4&amp;"'!Year.NetBalance"), MATCH('Intermediate output'!$C33, INDIRECT("'"&amp;BH$4&amp;"'!Year.Vectors"), 0))</f>
        <v>55.000000000000909</v>
      </c>
      <c r="BI33" s="2861">
        <f ca="1">-INDEX(INDIRECT("'"&amp;BI$4&amp;"'!Year.NetBalance"), MATCH('Intermediate output'!$C33, INDIRECT("'"&amp;BI$4&amp;"'!Year.Vectors"), 0))</f>
        <v>55.000000000000909</v>
      </c>
      <c r="BJ33" s="1166"/>
      <c r="BK33" s="1021"/>
    </row>
    <row r="34" spans="2:66" s="410" customFormat="1">
      <c r="B34" s="1162"/>
      <c r="C34" s="1187"/>
      <c r="D34" s="1164" t="s">
        <v>2185</v>
      </c>
      <c r="E34" s="166"/>
      <c r="F34" s="1184"/>
      <c r="G34" s="1184"/>
      <c r="H34" s="1188"/>
      <c r="I34" s="1188"/>
      <c r="J34" s="1188"/>
      <c r="K34" s="1188"/>
      <c r="L34" s="1188"/>
      <c r="M34" s="1188"/>
      <c r="N34" s="1188"/>
      <c r="O34" s="1188"/>
      <c r="P34" s="1188"/>
      <c r="Q34" s="1188"/>
      <c r="R34" s="1188"/>
      <c r="S34" s="1188"/>
      <c r="T34" s="1188"/>
      <c r="U34" s="1188"/>
      <c r="V34" s="1188"/>
      <c r="W34" s="1188"/>
      <c r="X34" s="1188"/>
      <c r="Y34" s="1188"/>
      <c r="Z34" s="1188"/>
      <c r="AA34" s="1188"/>
      <c r="AB34" s="1188"/>
      <c r="AC34" s="1188"/>
      <c r="AD34" s="1188"/>
      <c r="AE34" s="1188"/>
      <c r="AF34" s="1188"/>
      <c r="AG34" s="1188"/>
      <c r="AH34" s="1188"/>
      <c r="AI34" s="1188"/>
      <c r="AJ34" s="1188"/>
      <c r="AK34" s="1188"/>
      <c r="AL34" s="1188"/>
      <c r="AM34" s="1188"/>
      <c r="AN34" s="1188"/>
      <c r="AO34" s="1188"/>
      <c r="AP34" s="1188"/>
      <c r="AQ34" s="1188"/>
      <c r="AR34" s="1188"/>
      <c r="AS34" s="1188"/>
      <c r="AT34" s="1188"/>
      <c r="AU34" s="1188"/>
      <c r="AV34" s="1188"/>
      <c r="AW34" s="1188"/>
      <c r="AX34" s="166"/>
      <c r="AY34" s="2861">
        <f ca="1">AY26+AY27+AY28+AY32</f>
        <v>221.89552622742858</v>
      </c>
      <c r="AZ34" s="2861"/>
      <c r="BA34" s="2861">
        <f t="shared" ref="BA34:BI34" ca="1" si="7">BA26+BA27+BA28+BA32</f>
        <v>269.90453564691433</v>
      </c>
      <c r="BB34" s="2861">
        <f t="shared" ca="1" si="7"/>
        <v>436.98689141909455</v>
      </c>
      <c r="BC34" s="2861">
        <f t="shared" ca="1" si="7"/>
        <v>476.63693273498399</v>
      </c>
      <c r="BD34" s="2861">
        <f t="shared" ca="1" si="7"/>
        <v>526.6866009911007</v>
      </c>
      <c r="BE34" s="2861">
        <f t="shared" ca="1" si="7"/>
        <v>582.90317722274926</v>
      </c>
      <c r="BF34" s="2861">
        <f t="shared" ca="1" si="7"/>
        <v>619.78760569991368</v>
      </c>
      <c r="BG34" s="2861">
        <f t="shared" ca="1" si="7"/>
        <v>641.81048400184591</v>
      </c>
      <c r="BH34" s="2861">
        <f t="shared" ca="1" si="7"/>
        <v>642.04248386750248</v>
      </c>
      <c r="BI34" s="2861">
        <f t="shared" ca="1" si="7"/>
        <v>629.7645768448906</v>
      </c>
      <c r="BJ34" s="1166"/>
      <c r="BK34" s="1021"/>
    </row>
    <row r="35" spans="2:66">
      <c r="B35" s="1162"/>
      <c r="C35" s="1170"/>
      <c r="D35" s="166" t="s">
        <v>1130</v>
      </c>
      <c r="E35" s="166"/>
      <c r="F35" s="1184"/>
      <c r="G35" s="1184"/>
      <c r="H35" s="1188"/>
      <c r="I35" s="1188"/>
      <c r="J35" s="1188"/>
      <c r="K35" s="1188"/>
      <c r="L35" s="1188"/>
      <c r="M35" s="1188"/>
      <c r="N35" s="1188"/>
      <c r="O35" s="1188"/>
      <c r="P35" s="1188"/>
      <c r="Q35" s="1188"/>
      <c r="R35" s="1188"/>
      <c r="S35" s="1188"/>
      <c r="T35" s="1188"/>
      <c r="U35" s="1188"/>
      <c r="V35" s="1188"/>
      <c r="W35" s="1188"/>
      <c r="X35" s="1188"/>
      <c r="Y35" s="1188"/>
      <c r="Z35" s="1188"/>
      <c r="AA35" s="1188"/>
      <c r="AB35" s="1188"/>
      <c r="AC35" s="1188"/>
      <c r="AD35" s="1188"/>
      <c r="AE35" s="1188"/>
      <c r="AF35" s="1188"/>
      <c r="AG35" s="1188"/>
      <c r="AH35" s="1188"/>
      <c r="AI35" s="1188"/>
      <c r="AJ35" s="1188"/>
      <c r="AK35" s="1188"/>
      <c r="AL35" s="1188"/>
      <c r="AM35" s="1188"/>
      <c r="AN35" s="1188"/>
      <c r="AO35" s="1188"/>
      <c r="AP35" s="1188"/>
      <c r="AQ35" s="1188"/>
      <c r="AR35" s="1188"/>
      <c r="AS35" s="1188"/>
      <c r="AT35" s="1188"/>
      <c r="AU35" s="1188"/>
      <c r="AV35" s="1188"/>
      <c r="AW35" s="1188"/>
      <c r="AX35" s="166"/>
      <c r="AY35" s="2862">
        <f t="shared" ref="AY35:BI35" ca="1" si="8">SUM(AY26:AY33)</f>
        <v>222.89552622742858</v>
      </c>
      <c r="AZ35" s="2862"/>
      <c r="BA35" s="2862">
        <f t="shared" ca="1" si="8"/>
        <v>273.90453564691455</v>
      </c>
      <c r="BB35" s="2862">
        <f t="shared" ca="1" si="8"/>
        <v>450.986891419095</v>
      </c>
      <c r="BC35" s="2862">
        <f t="shared" ca="1" si="8"/>
        <v>497.63693273498421</v>
      </c>
      <c r="BD35" s="2862">
        <f t="shared" ca="1" si="8"/>
        <v>557.68660099110025</v>
      </c>
      <c r="BE35" s="2862">
        <f t="shared" ca="1" si="8"/>
        <v>622.90317722274881</v>
      </c>
      <c r="BF35" s="2862">
        <f t="shared" ca="1" si="8"/>
        <v>668.78760569991368</v>
      </c>
      <c r="BG35" s="2862">
        <f t="shared" ca="1" si="8"/>
        <v>696.81048400184682</v>
      </c>
      <c r="BH35" s="2862">
        <f t="shared" ca="1" si="8"/>
        <v>697.04248386750339</v>
      </c>
      <c r="BI35" s="2862">
        <f t="shared" ca="1" si="8"/>
        <v>684.76457684489151</v>
      </c>
      <c r="BJ35" s="1169"/>
      <c r="BK35" s="1021"/>
    </row>
    <row r="36" spans="2:66">
      <c r="B36" s="1162"/>
      <c r="C36" s="1170" t="s">
        <v>90</v>
      </c>
      <c r="D36" s="1164" t="str">
        <f>INDEX(Vectors[Description], MATCH($C36, Vectors[Code], 0))</f>
        <v>Environmental heat</v>
      </c>
      <c r="E36" s="166"/>
      <c r="F36" s="1184"/>
      <c r="G36" s="1184"/>
      <c r="H36" s="1188"/>
      <c r="I36" s="1188"/>
      <c r="J36" s="1188"/>
      <c r="K36" s="1188"/>
      <c r="L36" s="1188"/>
      <c r="M36" s="1188"/>
      <c r="N36" s="1188"/>
      <c r="O36" s="1188"/>
      <c r="P36" s="1188"/>
      <c r="Q36" s="1188"/>
      <c r="R36" s="1188"/>
      <c r="S36" s="1188"/>
      <c r="T36" s="1188"/>
      <c r="U36" s="1188"/>
      <c r="V36" s="1188"/>
      <c r="W36" s="1188"/>
      <c r="X36" s="1188"/>
      <c r="Y36" s="1188"/>
      <c r="Z36" s="1188"/>
      <c r="AA36" s="1188"/>
      <c r="AB36" s="1188"/>
      <c r="AC36" s="1188"/>
      <c r="AD36" s="1188"/>
      <c r="AE36" s="1188"/>
      <c r="AF36" s="1188"/>
      <c r="AG36" s="1188"/>
      <c r="AH36" s="1188"/>
      <c r="AI36" s="1188"/>
      <c r="AJ36" s="1188"/>
      <c r="AK36" s="1188"/>
      <c r="AL36" s="1188"/>
      <c r="AM36" s="1188"/>
      <c r="AN36" s="1188"/>
      <c r="AO36" s="1188"/>
      <c r="AP36" s="1188"/>
      <c r="AQ36" s="1188"/>
      <c r="AR36" s="1188"/>
      <c r="AS36" s="1188"/>
      <c r="AT36" s="1188"/>
      <c r="AU36" s="1188"/>
      <c r="AV36" s="1188"/>
      <c r="AW36" s="1188"/>
      <c r="AX36" s="166"/>
      <c r="AY36" s="2862">
        <f ca="1">-INDEX(INDIRECT("'"&amp;AY$4&amp;"'!Year.NetBalance"), MATCH('Intermediate output'!$C36, INDIRECT("'"&amp;AY$4&amp;"'!Year.Vectors"), 0))</f>
        <v>0</v>
      </c>
      <c r="AZ36" s="2862"/>
      <c r="BA36" s="2862">
        <f ca="1">-INDEX(INDIRECT("'"&amp;BA$4&amp;"'!Year.NetBalance"), MATCH('Intermediate output'!$C36, INDIRECT("'"&amp;BA$4&amp;"'!Year.Vectors"), 0))</f>
        <v>0</v>
      </c>
      <c r="BB36" s="2862">
        <f ca="1">-INDEX(INDIRECT("'"&amp;BB$4&amp;"'!Year.NetBalance"), MATCH('Intermediate output'!$C36, INDIRECT("'"&amp;BB$4&amp;"'!Year.Vectors"), 0))</f>
        <v>0</v>
      </c>
      <c r="BC36" s="2862">
        <f ca="1">-INDEX(INDIRECT("'"&amp;BC$4&amp;"'!Year.NetBalance"), MATCH('Intermediate output'!$C36, INDIRECT("'"&amp;BC$4&amp;"'!Year.Vectors"), 0))</f>
        <v>0</v>
      </c>
      <c r="BD36" s="2862">
        <f ca="1">-INDEX(INDIRECT("'"&amp;BD$4&amp;"'!Year.NetBalance"), MATCH('Intermediate output'!$C36, INDIRECT("'"&amp;BD$4&amp;"'!Year.Vectors"), 0))</f>
        <v>0</v>
      </c>
      <c r="BE36" s="2862">
        <f ca="1">-INDEX(INDIRECT("'"&amp;BE$4&amp;"'!Year.NetBalance"), MATCH('Intermediate output'!$C36, INDIRECT("'"&amp;BE$4&amp;"'!Year.Vectors"), 0))</f>
        <v>0</v>
      </c>
      <c r="BF36" s="2862">
        <f ca="1">-INDEX(INDIRECT("'"&amp;BF$4&amp;"'!Year.NetBalance"), MATCH('Intermediate output'!$C36, INDIRECT("'"&amp;BF$4&amp;"'!Year.Vectors"), 0))</f>
        <v>0</v>
      </c>
      <c r="BG36" s="2862">
        <f ca="1">-INDEX(INDIRECT("'"&amp;BG$4&amp;"'!Year.NetBalance"), MATCH('Intermediate output'!$C36, INDIRECT("'"&amp;BG$4&amp;"'!Year.Vectors"), 0))</f>
        <v>0</v>
      </c>
      <c r="BH36" s="2862">
        <f ca="1">-INDEX(INDIRECT("'"&amp;BH$4&amp;"'!Year.NetBalance"), MATCH('Intermediate output'!$C36, INDIRECT("'"&amp;BH$4&amp;"'!Year.Vectors"), 0))</f>
        <v>0</v>
      </c>
      <c r="BI36" s="2862">
        <f ca="1">-INDEX(INDIRECT("'"&amp;BI$4&amp;"'!Year.NetBalance"), MATCH('Intermediate output'!$C36, INDIRECT("'"&amp;BI$4&amp;"'!Year.Vectors"), 0))</f>
        <v>0</v>
      </c>
      <c r="BJ36" s="1169"/>
      <c r="BK36" s="1021"/>
    </row>
    <row r="37" spans="2:66" s="410" customFormat="1">
      <c r="B37" s="164"/>
      <c r="C37" s="1164" t="s">
        <v>42</v>
      </c>
      <c r="D37" s="1164" t="str">
        <f>INDEX(Vectors[Description], MATCH($C37, Vectors[Code], 0))</f>
        <v>Waste</v>
      </c>
      <c r="E37" s="166"/>
      <c r="F37" s="1184"/>
      <c r="G37" s="1184"/>
      <c r="H37" s="1188"/>
      <c r="I37" s="1188"/>
      <c r="J37" s="1188"/>
      <c r="K37" s="1188"/>
      <c r="L37" s="1188"/>
      <c r="M37" s="1188"/>
      <c r="N37" s="1188"/>
      <c r="O37" s="1188"/>
      <c r="P37" s="1188"/>
      <c r="Q37" s="1188"/>
      <c r="R37" s="1188"/>
      <c r="S37" s="1188"/>
      <c r="T37" s="1188"/>
      <c r="U37" s="1188"/>
      <c r="V37" s="1188"/>
      <c r="W37" s="1188"/>
      <c r="X37" s="1188"/>
      <c r="Y37" s="1188"/>
      <c r="Z37" s="1188"/>
      <c r="AA37" s="1188"/>
      <c r="AB37" s="1188"/>
      <c r="AC37" s="1188"/>
      <c r="AD37" s="1188"/>
      <c r="AE37" s="1188"/>
      <c r="AF37" s="1188"/>
      <c r="AG37" s="1188"/>
      <c r="AH37" s="1188"/>
      <c r="AI37" s="1188"/>
      <c r="AJ37" s="1188"/>
      <c r="AK37" s="1188"/>
      <c r="AL37" s="1188"/>
      <c r="AM37" s="1188"/>
      <c r="AN37" s="1188"/>
      <c r="AO37" s="1188"/>
      <c r="AP37" s="1188"/>
      <c r="AQ37" s="1188"/>
      <c r="AR37" s="1188"/>
      <c r="AS37" s="1188"/>
      <c r="AT37" s="1188"/>
      <c r="AU37" s="1188"/>
      <c r="AV37" s="1188"/>
      <c r="AW37" s="1188"/>
      <c r="AX37" s="166"/>
      <c r="AY37" s="2862">
        <f ca="1">-INDEX(INDIRECT("'"&amp;AY$4&amp;"'!Year.NetBalance"), MATCH('Intermediate output'!$C37, INDIRECT("'"&amp;AY$4&amp;"'!Year.Vectors"), 0))</f>
        <v>946.41133333333335</v>
      </c>
      <c r="AZ37" s="2862"/>
      <c r="BA37" s="2862">
        <f ca="1">-INDEX(INDIRECT("'"&amp;BA$4&amp;"'!Year.NetBalance"), MATCH('Intermediate output'!$C37, INDIRECT("'"&amp;BA$4&amp;"'!Year.Vectors"), 0))</f>
        <v>958.71557777777775</v>
      </c>
      <c r="BB37" s="2862">
        <f ca="1">-INDEX(INDIRECT("'"&amp;BB$4&amp;"'!Year.NetBalance"), MATCH('Intermediate output'!$C37, INDIRECT("'"&amp;BB$4&amp;"'!Year.Vectors"), 0))</f>
        <v>961.65269558323416</v>
      </c>
      <c r="BC37" s="2862">
        <f ca="1">-INDEX(INDIRECT("'"&amp;BC$4&amp;"'!Year.NetBalance"), MATCH('Intermediate output'!$C37, INDIRECT("'"&amp;BC$4&amp;"'!Year.Vectors"), 0))</f>
        <v>965.3605542966875</v>
      </c>
      <c r="BD37" s="2862">
        <f ca="1">-INDEX(INDIRECT("'"&amp;BD$4&amp;"'!Year.NetBalance"), MATCH('Intermediate output'!$C37, INDIRECT("'"&amp;BD$4&amp;"'!Year.Vectors"), 0))</f>
        <v>969.99783378851419</v>
      </c>
      <c r="BE37" s="2862">
        <f ca="1">-INDEX(INDIRECT("'"&amp;BE$4&amp;"'!Year.NetBalance"), MATCH('Intermediate output'!$C37, INDIRECT("'"&amp;BE$4&amp;"'!Year.Vectors"), 0))</f>
        <v>975.83974092558583</v>
      </c>
      <c r="BF37" s="2862">
        <f ca="1">-INDEX(INDIRECT("'"&amp;BF$4&amp;"'!Year.NetBalance"), MATCH('Intermediate output'!$C37, INDIRECT("'"&amp;BF$4&amp;"'!Year.Vectors"), 0))</f>
        <v>982.30162109759806</v>
      </c>
      <c r="BG37" s="2862">
        <f ca="1">-INDEX(INDIRECT("'"&amp;BG$4&amp;"'!Year.NetBalance"), MATCH('Intermediate output'!$C37, INDIRECT("'"&amp;BG$4&amp;"'!Year.Vectors"), 0))</f>
        <v>986.67052821417678</v>
      </c>
      <c r="BH37" s="2862">
        <f ca="1">-INDEX(INDIRECT("'"&amp;BH$4&amp;"'!Year.NetBalance"), MATCH('Intermediate output'!$C37, INDIRECT("'"&amp;BH$4&amp;"'!Year.Vectors"), 0))</f>
        <v>992.22893791457784</v>
      </c>
      <c r="BI37" s="2862">
        <f ca="1">-INDEX(INDIRECT("'"&amp;BI$4&amp;"'!Year.NetBalance"), MATCH('Intermediate output'!$C37, INDIRECT("'"&amp;BI$4&amp;"'!Year.Vectors"), 0))</f>
        <v>999.85024920758985</v>
      </c>
      <c r="BJ37" s="1166"/>
      <c r="BK37" s="1021"/>
    </row>
    <row r="38" spans="2:66" s="410" customFormat="1">
      <c r="B38" s="164"/>
      <c r="C38" s="1164" t="s">
        <v>334</v>
      </c>
      <c r="D38" s="1164" t="str">
        <f>INDEX(Vectors[Description], MATCH($C38, Vectors[Code], 0))</f>
        <v>Agriculture</v>
      </c>
      <c r="E38" s="166"/>
      <c r="F38" s="1184"/>
      <c r="G38" s="1184"/>
      <c r="H38" s="1188"/>
      <c r="I38" s="1188"/>
      <c r="J38" s="1188"/>
      <c r="K38" s="1188"/>
      <c r="L38" s="1188"/>
      <c r="M38" s="1188"/>
      <c r="N38" s="1188"/>
      <c r="O38" s="1188"/>
      <c r="P38" s="1188"/>
      <c r="Q38" s="1188"/>
      <c r="R38" s="1188"/>
      <c r="S38" s="1188"/>
      <c r="T38" s="1188"/>
      <c r="U38" s="1188"/>
      <c r="V38" s="1188"/>
      <c r="W38" s="1188"/>
      <c r="X38" s="1188"/>
      <c r="Y38" s="1188"/>
      <c r="Z38" s="1188"/>
      <c r="AA38" s="1188"/>
      <c r="AB38" s="1188"/>
      <c r="AC38" s="1188"/>
      <c r="AD38" s="1188"/>
      <c r="AE38" s="1188"/>
      <c r="AF38" s="1188"/>
      <c r="AG38" s="1188"/>
      <c r="AH38" s="1188"/>
      <c r="AI38" s="1188"/>
      <c r="AJ38" s="1188"/>
      <c r="AK38" s="1188"/>
      <c r="AL38" s="1188"/>
      <c r="AM38" s="1188"/>
      <c r="AN38" s="1188"/>
      <c r="AO38" s="1188"/>
      <c r="AP38" s="1188"/>
      <c r="AQ38" s="1188"/>
      <c r="AR38" s="1188"/>
      <c r="AS38" s="1188"/>
      <c r="AT38" s="1188"/>
      <c r="AU38" s="1188"/>
      <c r="AV38" s="1188"/>
      <c r="AW38" s="1188"/>
      <c r="AX38" s="166"/>
      <c r="AY38" s="2862">
        <f ca="1">-INDEX(INDIRECT("'"&amp;AY$4&amp;"'!Year.NetBalance"), MATCH('Intermediate output'!$C38, INDIRECT("'"&amp;AY$4&amp;"'!Year.Vectors"), 0))</f>
        <v>0</v>
      </c>
      <c r="AZ38" s="2862"/>
      <c r="BA38" s="2862">
        <f ca="1">-INDEX(INDIRECT("'"&amp;BA$4&amp;"'!Year.NetBalance"), MATCH('Intermediate output'!$C38, INDIRECT("'"&amp;BA$4&amp;"'!Year.Vectors"), 0))</f>
        <v>0.13142242804166665</v>
      </c>
      <c r="BB38" s="2862">
        <f ca="1">-INDEX(INDIRECT("'"&amp;BB$4&amp;"'!Year.NetBalance"), MATCH('Intermediate output'!$C38, INDIRECT("'"&amp;BB$4&amp;"'!Year.Vectors"), 0))</f>
        <v>0.21232334500000016</v>
      </c>
      <c r="BC38" s="2862">
        <f ca="1">-INDEX(INDIRECT("'"&amp;BC$4&amp;"'!Year.NetBalance"), MATCH('Intermediate output'!$C38, INDIRECT("'"&amp;BC$4&amp;"'!Year.Vectors"), 0))</f>
        <v>0.30591778749999998</v>
      </c>
      <c r="BD38" s="2862">
        <f ca="1">-INDEX(INDIRECT("'"&amp;BD$4&amp;"'!Year.NetBalance"), MATCH('Intermediate output'!$C38, INDIRECT("'"&amp;BD$4&amp;"'!Year.Vectors"), 0))</f>
        <v>0.41826750874999996</v>
      </c>
      <c r="BE38" s="2862">
        <f ca="1">-INDEX(INDIRECT("'"&amp;BE$4&amp;"'!Year.NetBalance"), MATCH('Intermediate output'!$C38, INDIRECT("'"&amp;BE$4&amp;"'!Year.Vectors"), 0))</f>
        <v>0.51589118749999996</v>
      </c>
      <c r="BF38" s="2862">
        <f ca="1">-INDEX(INDIRECT("'"&amp;BF$4&amp;"'!Year.NetBalance"), MATCH('Intermediate output'!$C38, INDIRECT("'"&amp;BF$4&amp;"'!Year.Vectors"), 0))</f>
        <v>0.63055692916666661</v>
      </c>
      <c r="BG38" s="2862">
        <f ca="1">-INDEX(INDIRECT("'"&amp;BG$4&amp;"'!Year.NetBalance"), MATCH('Intermediate output'!$C38, INDIRECT("'"&amp;BG$4&amp;"'!Year.Vectors"), 0))</f>
        <v>0.79227782291666671</v>
      </c>
      <c r="BH38" s="2862">
        <f ca="1">-INDEX(INDIRECT("'"&amp;BH$4&amp;"'!Year.NetBalance"), MATCH('Intermediate output'!$C38, INDIRECT("'"&amp;BH$4&amp;"'!Year.Vectors"), 0))</f>
        <v>0.90559611458333333</v>
      </c>
      <c r="BI38" s="2862">
        <f ca="1">-INDEX(INDIRECT("'"&amp;BI$4&amp;"'!Year.NetBalance"), MATCH('Intermediate output'!$C38, INDIRECT("'"&amp;BI$4&amp;"'!Year.Vectors"), 0))</f>
        <v>1.01891440625</v>
      </c>
      <c r="BJ38" s="1166"/>
      <c r="BK38" s="1021"/>
    </row>
    <row r="39" spans="2:66" s="410" customFormat="1">
      <c r="B39" s="1162"/>
      <c r="C39" s="1164" t="s">
        <v>46</v>
      </c>
      <c r="D39" s="1164" t="str">
        <f>INDEX(Vectors[Description], MATCH($C39, Vectors[Code], 0))</f>
        <v>Biomass oversupply (imports)</v>
      </c>
      <c r="E39" s="166"/>
      <c r="F39" s="1184"/>
      <c r="G39" s="1184"/>
      <c r="H39" s="1188"/>
      <c r="I39" s="1188"/>
      <c r="J39" s="1188"/>
      <c r="K39" s="1188"/>
      <c r="L39" s="1188"/>
      <c r="M39" s="1188"/>
      <c r="N39" s="1188"/>
      <c r="O39" s="1188"/>
      <c r="P39" s="1188"/>
      <c r="Q39" s="1188"/>
      <c r="R39" s="1188"/>
      <c r="S39" s="1188"/>
      <c r="T39" s="1188"/>
      <c r="U39" s="1188"/>
      <c r="V39" s="1188"/>
      <c r="W39" s="1188"/>
      <c r="X39" s="1188"/>
      <c r="Y39" s="1188"/>
      <c r="Z39" s="1188"/>
      <c r="AA39" s="1188"/>
      <c r="AB39" s="1188"/>
      <c r="AC39" s="1188"/>
      <c r="AD39" s="1188"/>
      <c r="AE39" s="1188"/>
      <c r="AF39" s="1188"/>
      <c r="AG39" s="1188"/>
      <c r="AH39" s="1188"/>
      <c r="AI39" s="1188"/>
      <c r="AJ39" s="1188"/>
      <c r="AK39" s="1188"/>
      <c r="AL39" s="1188"/>
      <c r="AM39" s="1188"/>
      <c r="AN39" s="1188"/>
      <c r="AO39" s="1188"/>
      <c r="AP39" s="1188"/>
      <c r="AQ39" s="1188"/>
      <c r="AR39" s="1188"/>
      <c r="AS39" s="1188"/>
      <c r="AT39" s="1188"/>
      <c r="AU39" s="1188"/>
      <c r="AV39" s="1188"/>
      <c r="AW39" s="1188"/>
      <c r="AX39" s="166"/>
      <c r="AY39" s="2862">
        <f ca="1">-INDEX(INDIRECT("'"&amp;AY$4&amp;"'!Year.NetBalance"), MATCH('Intermediate output'!$C39, INDIRECT("'"&amp;AY$4&amp;"'!Year.Vectors"), 0))</f>
        <v>0</v>
      </c>
      <c r="AZ39" s="2862"/>
      <c r="BA39" s="2862">
        <f ca="1">-INDEX(INDIRECT("'"&amp;BA$4&amp;"'!Year.NetBalance"), MATCH('Intermediate output'!$C39, INDIRECT("'"&amp;BA$4&amp;"'!Year.Vectors"), 0))</f>
        <v>0</v>
      </c>
      <c r="BB39" s="2862">
        <f ca="1">-INDEX(INDIRECT("'"&amp;BB$4&amp;"'!Year.NetBalance"), MATCH('Intermediate output'!$C39, INDIRECT("'"&amp;BB$4&amp;"'!Year.Vectors"), 0))</f>
        <v>0</v>
      </c>
      <c r="BC39" s="2862">
        <f ca="1">-INDEX(INDIRECT("'"&amp;BC$4&amp;"'!Year.NetBalance"), MATCH('Intermediate output'!$C39, INDIRECT("'"&amp;BC$4&amp;"'!Year.Vectors"), 0))</f>
        <v>0</v>
      </c>
      <c r="BD39" s="2862">
        <f ca="1">-INDEX(INDIRECT("'"&amp;BD$4&amp;"'!Year.NetBalance"), MATCH('Intermediate output'!$C39, INDIRECT("'"&amp;BD$4&amp;"'!Year.Vectors"), 0))</f>
        <v>0</v>
      </c>
      <c r="BE39" s="2862">
        <f ca="1">-INDEX(INDIRECT("'"&amp;BE$4&amp;"'!Year.NetBalance"), MATCH('Intermediate output'!$C39, INDIRECT("'"&amp;BE$4&amp;"'!Year.Vectors"), 0))</f>
        <v>0</v>
      </c>
      <c r="BF39" s="2862">
        <f ca="1">-INDEX(INDIRECT("'"&amp;BF$4&amp;"'!Year.NetBalance"), MATCH('Intermediate output'!$C39, INDIRECT("'"&amp;BF$4&amp;"'!Year.Vectors"), 0))</f>
        <v>0</v>
      </c>
      <c r="BG39" s="2862">
        <f ca="1">-INDEX(INDIRECT("'"&amp;BG$4&amp;"'!Year.NetBalance"), MATCH('Intermediate output'!$C39, INDIRECT("'"&amp;BG$4&amp;"'!Year.Vectors"), 0))</f>
        <v>0</v>
      </c>
      <c r="BH39" s="2862">
        <f ca="1">-INDEX(INDIRECT("'"&amp;BH$4&amp;"'!Year.NetBalance"), MATCH('Intermediate output'!$C39, INDIRECT("'"&amp;BH$4&amp;"'!Year.Vectors"), 0))</f>
        <v>0</v>
      </c>
      <c r="BI39" s="2862">
        <f ca="1">-INDEX(INDIRECT("'"&amp;BI$4&amp;"'!Year.NetBalance"), MATCH('Intermediate output'!$C39, INDIRECT("'"&amp;BI$4&amp;"'!Year.Vectors"), 0))</f>
        <v>0</v>
      </c>
      <c r="BJ39" s="1166"/>
      <c r="BK39" s="1021"/>
    </row>
    <row r="40" spans="2:66">
      <c r="B40" s="1162"/>
      <c r="C40" s="166"/>
      <c r="D40" s="166" t="s">
        <v>2046</v>
      </c>
      <c r="E40" s="166"/>
      <c r="F40" s="1184"/>
      <c r="G40" s="1184"/>
      <c r="H40" s="1188"/>
      <c r="I40" s="1188"/>
      <c r="J40" s="1188"/>
      <c r="K40" s="1188"/>
      <c r="L40" s="1188"/>
      <c r="M40" s="1188"/>
      <c r="N40" s="1188"/>
      <c r="O40" s="1188"/>
      <c r="P40" s="1188"/>
      <c r="Q40" s="1188"/>
      <c r="R40" s="1188"/>
      <c r="S40" s="1188"/>
      <c r="T40" s="1188"/>
      <c r="U40" s="1188"/>
      <c r="V40" s="1188"/>
      <c r="W40" s="1188"/>
      <c r="X40" s="1188"/>
      <c r="Y40" s="1188"/>
      <c r="Z40" s="1188"/>
      <c r="AA40" s="1188"/>
      <c r="AB40" s="1188"/>
      <c r="AC40" s="1188"/>
      <c r="AD40" s="1188"/>
      <c r="AE40" s="1188"/>
      <c r="AF40" s="1188"/>
      <c r="AG40" s="1188"/>
      <c r="AH40" s="1188"/>
      <c r="AI40" s="1188"/>
      <c r="AJ40" s="1188"/>
      <c r="AK40" s="1188"/>
      <c r="AL40" s="1188"/>
      <c r="AM40" s="1188"/>
      <c r="AN40" s="1188"/>
      <c r="AO40" s="1188"/>
      <c r="AP40" s="1188"/>
      <c r="AQ40" s="1188"/>
      <c r="AR40" s="1188"/>
      <c r="AS40" s="1188"/>
      <c r="AT40" s="1188"/>
      <c r="AU40" s="1188"/>
      <c r="AV40" s="1188"/>
      <c r="AW40" s="1188"/>
      <c r="AX40" s="166"/>
      <c r="AY40" s="2862">
        <f ca="1">SUM(AY37:AY39)</f>
        <v>946.41133333333335</v>
      </c>
      <c r="AZ40" s="2862"/>
      <c r="BA40" s="2862">
        <f t="shared" ref="BA40:BI40" ca="1" si="9">SUM(BA37:BA39)</f>
        <v>958.84700020581943</v>
      </c>
      <c r="BB40" s="2862">
        <f t="shared" ca="1" si="9"/>
        <v>961.86501892823412</v>
      </c>
      <c r="BC40" s="2862">
        <f t="shared" ca="1" si="9"/>
        <v>965.66647208418749</v>
      </c>
      <c r="BD40" s="2862">
        <f t="shared" ca="1" si="9"/>
        <v>970.41610129726416</v>
      </c>
      <c r="BE40" s="2862">
        <f t="shared" ca="1" si="9"/>
        <v>976.35563211308579</v>
      </c>
      <c r="BF40" s="2862">
        <f t="shared" ca="1" si="9"/>
        <v>982.93217802676475</v>
      </c>
      <c r="BG40" s="2862">
        <f t="shared" ca="1" si="9"/>
        <v>987.4628060370934</v>
      </c>
      <c r="BH40" s="2862">
        <f t="shared" ca="1" si="9"/>
        <v>993.13453402916116</v>
      </c>
      <c r="BI40" s="2862">
        <f t="shared" ca="1" si="9"/>
        <v>1000.8691636138399</v>
      </c>
      <c r="BJ40" s="1169"/>
      <c r="BK40" s="1021"/>
    </row>
    <row r="41" spans="2:66" s="410" customFormat="1">
      <c r="B41" s="1162"/>
      <c r="C41" s="1164" t="s">
        <v>315</v>
      </c>
      <c r="D41" s="1164" t="str">
        <f>INDEX(Vectors[Description], MATCH($C41, Vectors[Code], 0))</f>
        <v>Coal oversupply (imports)</v>
      </c>
      <c r="E41" s="166"/>
      <c r="F41" s="1184"/>
      <c r="G41" s="1184"/>
      <c r="H41" s="1188"/>
      <c r="I41" s="1188"/>
      <c r="J41" s="1188"/>
      <c r="K41" s="1188"/>
      <c r="L41" s="1188"/>
      <c r="M41" s="1188"/>
      <c r="N41" s="1188"/>
      <c r="O41" s="1188"/>
      <c r="P41" s="1188"/>
      <c r="Q41" s="1188"/>
      <c r="R41" s="1188"/>
      <c r="S41" s="1188"/>
      <c r="T41" s="1188"/>
      <c r="U41" s="1188"/>
      <c r="V41" s="1188"/>
      <c r="W41" s="1188"/>
      <c r="X41" s="1188"/>
      <c r="Y41" s="1188"/>
      <c r="Z41" s="1188"/>
      <c r="AA41" s="1188"/>
      <c r="AB41" s="1188"/>
      <c r="AC41" s="1188"/>
      <c r="AD41" s="1188"/>
      <c r="AE41" s="1188"/>
      <c r="AF41" s="1188"/>
      <c r="AG41" s="1188"/>
      <c r="AH41" s="1188"/>
      <c r="AI41" s="1188"/>
      <c r="AJ41" s="1188"/>
      <c r="AK41" s="1188"/>
      <c r="AL41" s="1188"/>
      <c r="AM41" s="1188"/>
      <c r="AN41" s="1188"/>
      <c r="AO41" s="1188"/>
      <c r="AP41" s="1188"/>
      <c r="AQ41" s="1188"/>
      <c r="AR41" s="1188"/>
      <c r="AS41" s="1188"/>
      <c r="AT41" s="1188"/>
      <c r="AU41" s="1188"/>
      <c r="AV41" s="1188"/>
      <c r="AW41" s="1188"/>
      <c r="AX41" s="166"/>
      <c r="AY41" s="2861">
        <f ca="1">-INDEX(INDIRECT("'"&amp;AY$4&amp;"'!Year.NetBalance"), MATCH('Intermediate output'!$C41, INDIRECT("'"&amp;AY$4&amp;"'!Year.Vectors"), 0))</f>
        <v>312.87744559290513</v>
      </c>
      <c r="AZ41" s="2861"/>
      <c r="BA41" s="2861">
        <f ca="1">-INDEX(INDIRECT("'"&amp;BA$4&amp;"'!Year.NetBalance"), MATCH('Intermediate output'!$C41, INDIRECT("'"&amp;BA$4&amp;"'!Year.Vectors"), 0))</f>
        <v>533.85548221406225</v>
      </c>
      <c r="BB41" s="2861">
        <f ca="1">-INDEX(INDIRECT("'"&amp;BB$4&amp;"'!Year.NetBalance"), MATCH('Intermediate output'!$C41, INDIRECT("'"&amp;BB$4&amp;"'!Year.Vectors"), 0))</f>
        <v>1349.5453480108031</v>
      </c>
      <c r="BC41" s="2861">
        <f ca="1">-INDEX(INDIRECT("'"&amp;BC$4&amp;"'!Year.NetBalance"), MATCH('Intermediate output'!$C41, INDIRECT("'"&amp;BC$4&amp;"'!Year.Vectors"), 0))</f>
        <v>3068.214410803027</v>
      </c>
      <c r="BD41" s="2861">
        <f ca="1">-INDEX(INDIRECT("'"&amp;BD$4&amp;"'!Year.NetBalance"), MATCH('Intermediate output'!$C41, INDIRECT("'"&amp;BD$4&amp;"'!Year.Vectors"), 0))</f>
        <v>5462.9307882709118</v>
      </c>
      <c r="BE41" s="2861">
        <f ca="1">-INDEX(INDIRECT("'"&amp;BE$4&amp;"'!Year.NetBalance"), MATCH('Intermediate output'!$C41, INDIRECT("'"&amp;BE$4&amp;"'!Year.Vectors"), 0))</f>
        <v>8849.3886004507167</v>
      </c>
      <c r="BF41" s="2861">
        <f ca="1">-INDEX(INDIRECT("'"&amp;BF$4&amp;"'!Year.NetBalance"), MATCH('Intermediate output'!$C41, INDIRECT("'"&amp;BF$4&amp;"'!Year.Vectors"), 0))</f>
        <v>11988.489821833136</v>
      </c>
      <c r="BG41" s="2861">
        <f ca="1">-INDEX(INDIRECT("'"&amp;BG$4&amp;"'!Year.NetBalance"), MATCH('Intermediate output'!$C41, INDIRECT("'"&amp;BG$4&amp;"'!Year.Vectors"), 0))</f>
        <v>16113.370591179753</v>
      </c>
      <c r="BH41" s="2861">
        <f ca="1">-INDEX(INDIRECT("'"&amp;BH$4&amp;"'!Year.NetBalance"), MATCH('Intermediate output'!$C41, INDIRECT("'"&amp;BH$4&amp;"'!Year.Vectors"), 0))</f>
        <v>19769.818192917424</v>
      </c>
      <c r="BI41" s="2861">
        <f ca="1">-INDEX(INDIRECT("'"&amp;BI$4&amp;"'!Year.NetBalance"), MATCH('Intermediate output'!$C41, INDIRECT("'"&amp;BI$4&amp;"'!Year.Vectors"), 0))</f>
        <v>23701.654511114481</v>
      </c>
      <c r="BJ41" s="1166"/>
      <c r="BK41" s="1021"/>
    </row>
    <row r="42" spans="2:66" s="410" customFormat="1">
      <c r="B42" s="164"/>
      <c r="C42" s="1164" t="s">
        <v>320</v>
      </c>
      <c r="D42" s="1164" t="str">
        <f>INDEX(Vectors[Description], MATCH($C42, Vectors[Code], 0))</f>
        <v>Coal reserves</v>
      </c>
      <c r="E42" s="166"/>
      <c r="F42" s="1184"/>
      <c r="G42" s="1184"/>
      <c r="H42" s="1188"/>
      <c r="I42" s="1188"/>
      <c r="J42" s="1188"/>
      <c r="K42" s="1188"/>
      <c r="L42" s="1188"/>
      <c r="M42" s="1188"/>
      <c r="N42" s="1188"/>
      <c r="O42" s="1188"/>
      <c r="P42" s="1188"/>
      <c r="Q42" s="1188"/>
      <c r="R42" s="1188"/>
      <c r="S42" s="1188"/>
      <c r="T42" s="1188"/>
      <c r="U42" s="1188"/>
      <c r="V42" s="1188"/>
      <c r="W42" s="1188"/>
      <c r="X42" s="1188"/>
      <c r="Y42" s="1188"/>
      <c r="Z42" s="1188"/>
      <c r="AA42" s="1188"/>
      <c r="AB42" s="1188"/>
      <c r="AC42" s="1188"/>
      <c r="AD42" s="1188"/>
      <c r="AE42" s="1188"/>
      <c r="AF42" s="1188"/>
      <c r="AG42" s="1188"/>
      <c r="AH42" s="1188"/>
      <c r="AI42" s="1188"/>
      <c r="AJ42" s="1188"/>
      <c r="AK42" s="1188"/>
      <c r="AL42" s="1188"/>
      <c r="AM42" s="1188"/>
      <c r="AN42" s="1188"/>
      <c r="AO42" s="1188"/>
      <c r="AP42" s="1188"/>
      <c r="AQ42" s="1188"/>
      <c r="AR42" s="1188"/>
      <c r="AS42" s="1188"/>
      <c r="AT42" s="1188"/>
      <c r="AU42" s="1188"/>
      <c r="AV42" s="1188"/>
      <c r="AW42" s="1188"/>
      <c r="AX42" s="166"/>
      <c r="AY42" s="2861">
        <f ca="1">-INDEX(INDIRECT("'"&amp;AY$4&amp;"'!Year.NetBalance"), MATCH('Intermediate output'!$C42, INDIRECT("'"&amp;AY$4&amp;"'!Year.Vectors"), 0))</f>
        <v>2003.3688000000002</v>
      </c>
      <c r="AZ42" s="2861"/>
      <c r="BA42" s="2861">
        <f ca="1">-INDEX(INDIRECT("'"&amp;BA$4&amp;"'!Year.NetBalance"), MATCH('Intermediate output'!$C42, INDIRECT("'"&amp;BA$4&amp;"'!Year.Vectors"), 0))</f>
        <v>2704.3935000000001</v>
      </c>
      <c r="BB42" s="2861">
        <f ca="1">-INDEX(INDIRECT("'"&amp;BB$4&amp;"'!Year.NetBalance"), MATCH('Intermediate output'!$C42, INDIRECT("'"&amp;BB$4&amp;"'!Year.Vectors"), 0))</f>
        <v>3143.1914134327285</v>
      </c>
      <c r="BC42" s="2861">
        <f ca="1">-INDEX(INDIRECT("'"&amp;BC$4&amp;"'!Year.NetBalance"), MATCH('Intermediate output'!$C42, INDIRECT("'"&amp;BC$4&amp;"'!Year.Vectors"), 0))</f>
        <v>3584.1507638983121</v>
      </c>
      <c r="BD42" s="2861">
        <f ca="1">-INDEX(INDIRECT("'"&amp;BD$4&amp;"'!Year.NetBalance"), MATCH('Intermediate output'!$C42, INDIRECT("'"&amp;BD$4&amp;"'!Year.Vectors"), 0))</f>
        <v>3874.5049279836685</v>
      </c>
      <c r="BE42" s="2861">
        <f ca="1">-INDEX(INDIRECT("'"&amp;BE$4&amp;"'!Year.NetBalance"), MATCH('Intermediate output'!$C42, INDIRECT("'"&amp;BE$4&amp;"'!Year.Vectors"), 0))</f>
        <v>3958.482454759453</v>
      </c>
      <c r="BF42" s="2861">
        <f ca="1">-INDEX(INDIRECT("'"&amp;BF$4&amp;"'!Year.NetBalance"), MATCH('Intermediate output'!$C42, INDIRECT("'"&amp;BF$4&amp;"'!Year.Vectors"), 0))</f>
        <v>4025.5714811854732</v>
      </c>
      <c r="BG42" s="2861">
        <f ca="1">-INDEX(INDIRECT("'"&amp;BG$4&amp;"'!Year.NetBalance"), MATCH('Intermediate output'!$C42, INDIRECT("'"&amp;BG$4&amp;"'!Year.Vectors"), 0))</f>
        <v>3406.6022071917232</v>
      </c>
      <c r="BH42" s="2861">
        <f ca="1">-INDEX(INDIRECT("'"&amp;BH$4&amp;"'!Year.NetBalance"), MATCH('Intermediate output'!$C42, INDIRECT("'"&amp;BH$4&amp;"'!Year.Vectors"), 0))</f>
        <v>2878.2636796999973</v>
      </c>
      <c r="BI42" s="2861">
        <f ca="1">-INDEX(INDIRECT("'"&amp;BI$4&amp;"'!Year.NetBalance"), MATCH('Intermediate output'!$C42, INDIRECT("'"&amp;BI$4&amp;"'!Year.Vectors"), 0))</f>
        <v>2435.1118288080042</v>
      </c>
      <c r="BJ42" s="1166"/>
      <c r="BK42" s="1021"/>
    </row>
    <row r="43" spans="2:66">
      <c r="B43" s="1162"/>
      <c r="C43" s="166"/>
      <c r="D43" s="166" t="s">
        <v>102</v>
      </c>
      <c r="E43" s="166"/>
      <c r="F43" s="1184"/>
      <c r="G43" s="1184"/>
      <c r="H43" s="1188"/>
      <c r="I43" s="1188"/>
      <c r="J43" s="1188"/>
      <c r="K43" s="1188"/>
      <c r="L43" s="1188"/>
      <c r="M43" s="1188"/>
      <c r="N43" s="1188"/>
      <c r="O43" s="1188"/>
      <c r="P43" s="1188"/>
      <c r="Q43" s="1188"/>
      <c r="R43" s="1188"/>
      <c r="S43" s="1188"/>
      <c r="T43" s="1188"/>
      <c r="U43" s="1188"/>
      <c r="V43" s="1188"/>
      <c r="W43" s="1188"/>
      <c r="X43" s="1188"/>
      <c r="Y43" s="1188"/>
      <c r="Z43" s="1188"/>
      <c r="AA43" s="1188"/>
      <c r="AB43" s="1188"/>
      <c r="AC43" s="1188"/>
      <c r="AD43" s="1188"/>
      <c r="AE43" s="1188"/>
      <c r="AF43" s="1188"/>
      <c r="AG43" s="1188"/>
      <c r="AH43" s="1188"/>
      <c r="AI43" s="1188"/>
      <c r="AJ43" s="1188"/>
      <c r="AK43" s="1188"/>
      <c r="AL43" s="1188"/>
      <c r="AM43" s="1188"/>
      <c r="AN43" s="1188"/>
      <c r="AO43" s="1188"/>
      <c r="AP43" s="1188"/>
      <c r="AQ43" s="1188"/>
      <c r="AR43" s="1188"/>
      <c r="AS43" s="1188"/>
      <c r="AT43" s="1188"/>
      <c r="AU43" s="1188"/>
      <c r="AV43" s="1188"/>
      <c r="AW43" s="1188"/>
      <c r="AX43" s="166"/>
      <c r="AY43" s="2862">
        <f ca="1">SUM(AY41:AY42)</f>
        <v>2316.2462455929053</v>
      </c>
      <c r="AZ43" s="2862"/>
      <c r="BA43" s="2862">
        <f t="shared" ref="BA43:BF43" ca="1" si="10">SUM(BA41:BA42)</f>
        <v>3238.2489822140624</v>
      </c>
      <c r="BB43" s="2862">
        <f t="shared" ca="1" si="10"/>
        <v>4492.7367614435316</v>
      </c>
      <c r="BC43" s="2862">
        <f t="shared" ca="1" si="10"/>
        <v>6652.3651747013391</v>
      </c>
      <c r="BD43" s="2862">
        <f t="shared" ca="1" si="10"/>
        <v>9337.4357162545803</v>
      </c>
      <c r="BE43" s="2862">
        <f t="shared" ca="1" si="10"/>
        <v>12807.871055210169</v>
      </c>
      <c r="BF43" s="2862">
        <f t="shared" ca="1" si="10"/>
        <v>16014.06130301861</v>
      </c>
      <c r="BG43" s="2862">
        <f t="shared" ref="BG43:BI43" ca="1" si="11">IF(BG41&lt;0,BG42,SUM(BG41:BG42))</f>
        <v>19519.972798371477</v>
      </c>
      <c r="BH43" s="2862">
        <f t="shared" ca="1" si="11"/>
        <v>22648.081872617422</v>
      </c>
      <c r="BI43" s="2862">
        <f t="shared" ca="1" si="11"/>
        <v>26136.766339922484</v>
      </c>
      <c r="BJ43" s="1169"/>
      <c r="BK43" s="1021"/>
      <c r="BM43" s="22"/>
      <c r="BN43" s="22"/>
    </row>
    <row r="44" spans="2:66" s="410" customFormat="1">
      <c r="B44" s="1162"/>
      <c r="C44" s="1164" t="s">
        <v>321</v>
      </c>
      <c r="D44" s="1164" t="str">
        <f>INDEX(Vectors[Description], MATCH($C44, Vectors[Code], 0))</f>
        <v>Oil reserves</v>
      </c>
      <c r="E44" s="166"/>
      <c r="F44" s="1184"/>
      <c r="G44" s="1184"/>
      <c r="H44" s="1188"/>
      <c r="I44" s="1188"/>
      <c r="J44" s="1188"/>
      <c r="K44" s="1188"/>
      <c r="L44" s="1188"/>
      <c r="M44" s="1188"/>
      <c r="N44" s="1188"/>
      <c r="O44" s="1188"/>
      <c r="P44" s="1188"/>
      <c r="Q44" s="1188"/>
      <c r="R44" s="1188"/>
      <c r="S44" s="1188"/>
      <c r="T44" s="1188"/>
      <c r="U44" s="1188"/>
      <c r="V44" s="1188"/>
      <c r="W44" s="1188"/>
      <c r="X44" s="1188"/>
      <c r="Y44" s="1188"/>
      <c r="Z44" s="1188"/>
      <c r="AA44" s="1188"/>
      <c r="AB44" s="1188"/>
      <c r="AC44" s="1188"/>
      <c r="AD44" s="1188"/>
      <c r="AE44" s="1188"/>
      <c r="AF44" s="1188"/>
      <c r="AG44" s="1188"/>
      <c r="AH44" s="1188"/>
      <c r="AI44" s="1188"/>
      <c r="AJ44" s="1188"/>
      <c r="AK44" s="1188"/>
      <c r="AL44" s="1188"/>
      <c r="AM44" s="1188"/>
      <c r="AN44" s="1188"/>
      <c r="AO44" s="1188"/>
      <c r="AP44" s="1188"/>
      <c r="AQ44" s="1188"/>
      <c r="AR44" s="1188"/>
      <c r="AS44" s="1188"/>
      <c r="AT44" s="1188"/>
      <c r="AU44" s="1188"/>
      <c r="AV44" s="1188"/>
      <c r="AW44" s="1188"/>
      <c r="AX44" s="166"/>
      <c r="AY44" s="2861">
        <f ca="1">-INDEX(INDIRECT("'"&amp;AY$4&amp;"'!Year.NetBalance"), MATCH('Intermediate output'!$C44, INDIRECT("'"&amp;AY$4&amp;"'!Year.Vectors"), 0))</f>
        <v>395.28044</v>
      </c>
      <c r="AZ44" s="2861"/>
      <c r="BA44" s="2861">
        <f ca="1">-INDEX(INDIRECT("'"&amp;BA$4&amp;"'!Year.NetBalance"), MATCH('Intermediate output'!$C44, INDIRECT("'"&amp;BA$4&amp;"'!Year.Vectors"), 0))</f>
        <v>442.98669999999993</v>
      </c>
      <c r="BB44" s="2861">
        <f ca="1">-INDEX(INDIRECT("'"&amp;BB$4&amp;"'!Year.NetBalance"), MATCH('Intermediate output'!$C44, INDIRECT("'"&amp;BB$4&amp;"'!Year.Vectors"), 0))</f>
        <v>480.4207945988</v>
      </c>
      <c r="BC44" s="2861">
        <f ca="1">-INDEX(INDIRECT("'"&amp;BC$4&amp;"'!Year.NetBalance"), MATCH('Intermediate output'!$C44, INDIRECT("'"&amp;BC$4&amp;"'!Year.Vectors"), 0))</f>
        <v>406.8218875356273</v>
      </c>
      <c r="BD44" s="2861">
        <f ca="1">-INDEX(INDIRECT("'"&amp;BD$4&amp;"'!Year.NetBalance"), MATCH('Intermediate output'!$C44, INDIRECT("'"&amp;BD$4&amp;"'!Year.Vectors"), 0))</f>
        <v>404.69271243177428</v>
      </c>
      <c r="BE44" s="2861">
        <f ca="1">-INDEX(INDIRECT("'"&amp;BE$4&amp;"'!Year.NetBalance"), MATCH('Intermediate output'!$C44, INDIRECT("'"&amp;BE$4&amp;"'!Year.Vectors"), 0))</f>
        <v>402.83638767071136</v>
      </c>
      <c r="BF44" s="2861">
        <f ca="1">-INDEX(INDIRECT("'"&amp;BF$4&amp;"'!Year.NetBalance"), MATCH('Intermediate output'!$C44, INDIRECT("'"&amp;BF$4&amp;"'!Year.Vectors"), 0))</f>
        <v>401.68501767071086</v>
      </c>
      <c r="BG44" s="2861">
        <f ca="1">-INDEX(INDIRECT("'"&amp;BG$4&amp;"'!Year.NetBalance"), MATCH('Intermediate output'!$C44, INDIRECT("'"&amp;BG$4&amp;"'!Year.Vectors"), 0))</f>
        <v>401.13024685060918</v>
      </c>
      <c r="BH44" s="2861">
        <f ca="1">-INDEX(INDIRECT("'"&amp;BH$4&amp;"'!Year.NetBalance"), MATCH('Intermediate output'!$C44, INDIRECT("'"&amp;BH$4&amp;"'!Year.Vectors"), 0))</f>
        <v>401.18988105870324</v>
      </c>
      <c r="BI44" s="2861">
        <f ca="1">-INDEX(INDIRECT("'"&amp;BI$4&amp;"'!Year.NetBalance"), MATCH('Intermediate output'!$C44, INDIRECT("'"&amp;BI$4&amp;"'!Year.Vectors"), 0))</f>
        <v>401.88812295573837</v>
      </c>
      <c r="BJ44" s="1166"/>
      <c r="BK44" s="1021"/>
      <c r="BM44" s="1167"/>
    </row>
    <row r="45" spans="2:66" s="410" customFormat="1">
      <c r="B45" s="164"/>
      <c r="C45" s="1164" t="s">
        <v>316</v>
      </c>
      <c r="D45" s="1164" t="str">
        <f>INDEX(Vectors[Description], MATCH($C45, Vectors[Code], 0))</f>
        <v>Oil and petroleum products oversupply (imports)</v>
      </c>
      <c r="E45" s="166"/>
      <c r="F45" s="1184"/>
      <c r="G45" s="1184"/>
      <c r="H45" s="1188"/>
      <c r="I45" s="1188"/>
      <c r="J45" s="1188"/>
      <c r="K45" s="1188"/>
      <c r="L45" s="1188"/>
      <c r="M45" s="1188"/>
      <c r="N45" s="1188"/>
      <c r="O45" s="1188"/>
      <c r="P45" s="1188"/>
      <c r="Q45" s="1188"/>
      <c r="R45" s="1188"/>
      <c r="S45" s="1188"/>
      <c r="T45" s="1188"/>
      <c r="U45" s="1188"/>
      <c r="V45" s="1188"/>
      <c r="W45" s="1188"/>
      <c r="X45" s="1188"/>
      <c r="Y45" s="1188"/>
      <c r="Z45" s="1188"/>
      <c r="AA45" s="1188"/>
      <c r="AB45" s="1188"/>
      <c r="AC45" s="1188"/>
      <c r="AD45" s="1188"/>
      <c r="AE45" s="1188"/>
      <c r="AF45" s="1188"/>
      <c r="AG45" s="1188"/>
      <c r="AH45" s="1188"/>
      <c r="AI45" s="1188"/>
      <c r="AJ45" s="1188"/>
      <c r="AK45" s="1188"/>
      <c r="AL45" s="1188"/>
      <c r="AM45" s="1188"/>
      <c r="AN45" s="1188"/>
      <c r="AO45" s="1188"/>
      <c r="AP45" s="1188"/>
      <c r="AQ45" s="1188"/>
      <c r="AR45" s="1188"/>
      <c r="AS45" s="1188"/>
      <c r="AT45" s="1188"/>
      <c r="AU45" s="1188"/>
      <c r="AV45" s="1188"/>
      <c r="AW45" s="1188"/>
      <c r="AX45" s="166"/>
      <c r="AY45" s="2861">
        <f ca="1">-INDEX(INDIRECT("'"&amp;AY$4&amp;"'!Year.NetBalance"), MATCH('Intermediate output'!$C45, INDIRECT("'"&amp;AY$4&amp;"'!Year.Vectors"), 0))</f>
        <v>1217.3455995924837</v>
      </c>
      <c r="AZ45" s="2861"/>
      <c r="BA45" s="2861">
        <f ca="1">-INDEX(INDIRECT("'"&amp;BA$4&amp;"'!Year.NetBalance"), MATCH('Intermediate output'!$C45, INDIRECT("'"&amp;BA$4&amp;"'!Year.Vectors"), 0))</f>
        <v>1466.5905800259968</v>
      </c>
      <c r="BB45" s="2861">
        <f ca="1">-INDEX(INDIRECT("'"&amp;BB$4&amp;"'!Year.NetBalance"), MATCH('Intermediate output'!$C45, INDIRECT("'"&amp;BB$4&amp;"'!Year.Vectors"), 0))</f>
        <v>2100.3206137516681</v>
      </c>
      <c r="BC45" s="2861">
        <f ca="1">-INDEX(INDIRECT("'"&amp;BC$4&amp;"'!Year.NetBalance"), MATCH('Intermediate output'!$C45, INDIRECT("'"&amp;BC$4&amp;"'!Year.Vectors"), 0))</f>
        <v>3054.2541317150194</v>
      </c>
      <c r="BD45" s="2861">
        <f ca="1">-INDEX(INDIRECT("'"&amp;BD$4&amp;"'!Year.NetBalance"), MATCH('Intermediate output'!$C45, INDIRECT("'"&amp;BD$4&amp;"'!Year.Vectors"), 0))</f>
        <v>4102.7795788608364</v>
      </c>
      <c r="BE45" s="2861">
        <f ca="1">-INDEX(INDIRECT("'"&amp;BE$4&amp;"'!Year.NetBalance"), MATCH('Intermediate output'!$C45, INDIRECT("'"&amp;BE$4&amp;"'!Year.Vectors"), 0))</f>
        <v>5330.667265334645</v>
      </c>
      <c r="BF45" s="2861">
        <f ca="1">-INDEX(INDIRECT("'"&amp;BF$4&amp;"'!Year.NetBalance"), MATCH('Intermediate output'!$C45, INDIRECT("'"&amp;BF$4&amp;"'!Year.Vectors"), 0))</f>
        <v>6703.2930240172882</v>
      </c>
      <c r="BG45" s="2861">
        <f ca="1">-INDEX(INDIRECT("'"&amp;BG$4&amp;"'!Year.NetBalance"), MATCH('Intermediate output'!$C45, INDIRECT("'"&amp;BG$4&amp;"'!Year.Vectors"), 0))</f>
        <v>8096.4219235944875</v>
      </c>
      <c r="BH45" s="2861">
        <f ca="1">-INDEX(INDIRECT("'"&amp;BH$4&amp;"'!Year.NetBalance"), MATCH('Intermediate output'!$C45, INDIRECT("'"&amp;BH$4&amp;"'!Year.Vectors"), 0))</f>
        <v>9663.2311319982509</v>
      </c>
      <c r="BI45" s="2861">
        <f ca="1">-INDEX(INDIRECT("'"&amp;BI$4&amp;"'!Year.NetBalance"), MATCH('Intermediate output'!$C45, INDIRECT("'"&amp;BI$4&amp;"'!Year.Vectors"), 0))</f>
        <v>11338.566432233665</v>
      </c>
      <c r="BJ45" s="1166"/>
      <c r="BK45" s="1021"/>
      <c r="BM45" s="1167"/>
    </row>
    <row r="46" spans="2:66">
      <c r="B46" s="1162"/>
      <c r="C46" s="166"/>
      <c r="D46" s="166" t="s">
        <v>422</v>
      </c>
      <c r="E46" s="166"/>
      <c r="F46" s="1184"/>
      <c r="G46" s="1184"/>
      <c r="H46" s="1188"/>
      <c r="I46" s="1188"/>
      <c r="J46" s="1188"/>
      <c r="K46" s="1188"/>
      <c r="L46" s="1188"/>
      <c r="M46" s="1188"/>
      <c r="N46" s="1188"/>
      <c r="O46" s="1188"/>
      <c r="P46" s="1188"/>
      <c r="Q46" s="1188"/>
      <c r="R46" s="1188"/>
      <c r="S46" s="1188"/>
      <c r="T46" s="1188"/>
      <c r="U46" s="1188"/>
      <c r="V46" s="1188"/>
      <c r="W46" s="1188"/>
      <c r="X46" s="1188"/>
      <c r="Y46" s="1188"/>
      <c r="Z46" s="1188"/>
      <c r="AA46" s="1188"/>
      <c r="AB46" s="1188"/>
      <c r="AC46" s="1188"/>
      <c r="AD46" s="1188"/>
      <c r="AE46" s="1188"/>
      <c r="AF46" s="1188"/>
      <c r="AG46" s="1188"/>
      <c r="AH46" s="1188"/>
      <c r="AI46" s="1188"/>
      <c r="AJ46" s="1188"/>
      <c r="AK46" s="1188"/>
      <c r="AL46" s="1188"/>
      <c r="AM46" s="1188"/>
      <c r="AN46" s="1188"/>
      <c r="AO46" s="1188"/>
      <c r="AP46" s="1188"/>
      <c r="AQ46" s="1188"/>
      <c r="AR46" s="1188"/>
      <c r="AS46" s="1188"/>
      <c r="AT46" s="1188"/>
      <c r="AU46" s="1188"/>
      <c r="AV46" s="1188"/>
      <c r="AW46" s="1188"/>
      <c r="AX46" s="166"/>
      <c r="AY46" s="2862">
        <f ca="1">SUM(AY44:AY45)</f>
        <v>1612.6260395924837</v>
      </c>
      <c r="AZ46" s="2862"/>
      <c r="BA46" s="2862">
        <f t="shared" ref="BA46:BI46" ca="1" si="12">SUM(BA44:BA45)</f>
        <v>1909.5772800259967</v>
      </c>
      <c r="BB46" s="2862">
        <f t="shared" ca="1" si="12"/>
        <v>2580.7414083504682</v>
      </c>
      <c r="BC46" s="2862">
        <f t="shared" ca="1" si="12"/>
        <v>3461.0760192506468</v>
      </c>
      <c r="BD46" s="2862">
        <f t="shared" ca="1" si="12"/>
        <v>4507.4722912926109</v>
      </c>
      <c r="BE46" s="2862">
        <f t="shared" ca="1" si="12"/>
        <v>5733.5036530053567</v>
      </c>
      <c r="BF46" s="2862">
        <f t="shared" ca="1" si="12"/>
        <v>7104.9780416879994</v>
      </c>
      <c r="BG46" s="2862">
        <f t="shared" ca="1" si="12"/>
        <v>8497.5521704450966</v>
      </c>
      <c r="BH46" s="2862">
        <f t="shared" ca="1" si="12"/>
        <v>10064.421013056954</v>
      </c>
      <c r="BI46" s="2862">
        <f t="shared" ca="1" si="12"/>
        <v>11740.454555189404</v>
      </c>
      <c r="BJ46" s="1169"/>
      <c r="BK46" s="250"/>
      <c r="BM46" s="22"/>
      <c r="BN46" s="22"/>
    </row>
    <row r="47" spans="2:66" s="410" customFormat="1">
      <c r="B47" s="1162"/>
      <c r="C47" s="1164" t="s">
        <v>317</v>
      </c>
      <c r="D47" s="1164" t="str">
        <f>INDEX(Vectors[Description], MATCH($C47, Vectors[Code], 0))</f>
        <v>Gas oversupply (imports)</v>
      </c>
      <c r="E47" s="166"/>
      <c r="F47" s="1184"/>
      <c r="G47" s="1184"/>
      <c r="H47" s="1188"/>
      <c r="I47" s="1188"/>
      <c r="J47" s="1188"/>
      <c r="K47" s="1188"/>
      <c r="L47" s="1188"/>
      <c r="M47" s="1188"/>
      <c r="N47" s="1188"/>
      <c r="O47" s="1188"/>
      <c r="P47" s="1188"/>
      <c r="Q47" s="1188"/>
      <c r="R47" s="1188"/>
      <c r="S47" s="1188"/>
      <c r="T47" s="1188"/>
      <c r="U47" s="1188"/>
      <c r="V47" s="1188"/>
      <c r="W47" s="1188"/>
      <c r="X47" s="1188"/>
      <c r="Y47" s="1188"/>
      <c r="Z47" s="1188"/>
      <c r="AA47" s="1188"/>
      <c r="AB47" s="1188"/>
      <c r="AC47" s="1188"/>
      <c r="AD47" s="1188"/>
      <c r="AE47" s="1188"/>
      <c r="AF47" s="1188"/>
      <c r="AG47" s="1188"/>
      <c r="AH47" s="1188"/>
      <c r="AI47" s="1188"/>
      <c r="AJ47" s="1188"/>
      <c r="AK47" s="1188"/>
      <c r="AL47" s="1188"/>
      <c r="AM47" s="1188"/>
      <c r="AN47" s="1188"/>
      <c r="AO47" s="1188"/>
      <c r="AP47" s="1188"/>
      <c r="AQ47" s="1188"/>
      <c r="AR47" s="1188"/>
      <c r="AS47" s="1188"/>
      <c r="AT47" s="1188"/>
      <c r="AU47" s="1188"/>
      <c r="AV47" s="1188"/>
      <c r="AW47" s="1188"/>
      <c r="AX47" s="166"/>
      <c r="AY47" s="2861">
        <f ca="1">-INDEX(INDIRECT("'"&amp;AY$4&amp;"'!Year.NetBalance"), MATCH('Intermediate output'!$C47, INDIRECT("'"&amp;AY$4&amp;"'!Year.Vectors"), 0))</f>
        <v>153.83385468740386</v>
      </c>
      <c r="AZ47" s="2861"/>
      <c r="BA47" s="2861">
        <f ca="1">-INDEX(INDIRECT("'"&amp;BA$4&amp;"'!Year.NetBalance"), MATCH('Intermediate output'!$C47, INDIRECT("'"&amp;BA$4&amp;"'!Year.Vectors"), 0))</f>
        <v>158.80496962180251</v>
      </c>
      <c r="BB47" s="2861">
        <f ca="1">-INDEX(INDIRECT("'"&amp;BB$4&amp;"'!Year.NetBalance"), MATCH('Intermediate output'!$C47, INDIRECT("'"&amp;BB$4&amp;"'!Year.Vectors"), 0))</f>
        <v>447.28146847936694</v>
      </c>
      <c r="BC47" s="2861">
        <f ca="1">-INDEX(INDIRECT("'"&amp;BC$4&amp;"'!Year.NetBalance"), MATCH('Intermediate output'!$C47, INDIRECT("'"&amp;BC$4&amp;"'!Year.Vectors"), 0))</f>
        <v>580.82834753994018</v>
      </c>
      <c r="BD47" s="2861">
        <f ca="1">-INDEX(INDIRECT("'"&amp;BD$4&amp;"'!Year.NetBalance"), MATCH('Intermediate output'!$C47, INDIRECT("'"&amp;BD$4&amp;"'!Year.Vectors"), 0))</f>
        <v>719.79234346908368</v>
      </c>
      <c r="BE47" s="2861">
        <f ca="1">-INDEX(INDIRECT("'"&amp;BE$4&amp;"'!Year.NetBalance"), MATCH('Intermediate output'!$C47, INDIRECT("'"&amp;BE$4&amp;"'!Year.Vectors"), 0))</f>
        <v>883.00958491906431</v>
      </c>
      <c r="BF47" s="2861">
        <f ca="1">-INDEX(INDIRECT("'"&amp;BF$4&amp;"'!Year.NetBalance"), MATCH('Intermediate output'!$C47, INDIRECT("'"&amp;BF$4&amp;"'!Year.Vectors"), 0))</f>
        <v>1091.1358234381285</v>
      </c>
      <c r="BG47" s="2861">
        <f ca="1">-INDEX(INDIRECT("'"&amp;BG$4&amp;"'!Year.NetBalance"), MATCH('Intermediate output'!$C47, INDIRECT("'"&amp;BG$4&amp;"'!Year.Vectors"), 0))</f>
        <v>1323.7322738925393</v>
      </c>
      <c r="BH47" s="2861">
        <f ca="1">-INDEX(INDIRECT("'"&amp;BH$4&amp;"'!Year.NetBalance"), MATCH('Intermediate output'!$C47, INDIRECT("'"&amp;BH$4&amp;"'!Year.Vectors"), 0))</f>
        <v>1577.3126958590992</v>
      </c>
      <c r="BI47" s="2861">
        <f ca="1">-INDEX(INDIRECT("'"&amp;BI$4&amp;"'!Year.NetBalance"), MATCH('Intermediate output'!$C47, INDIRECT("'"&amp;BI$4&amp;"'!Year.Vectors"), 0))</f>
        <v>1879.4436261638216</v>
      </c>
      <c r="BJ47" s="1166"/>
      <c r="BK47" s="1167"/>
      <c r="BM47" s="1167"/>
    </row>
    <row r="48" spans="2:66" s="410" customFormat="1">
      <c r="B48" s="164"/>
      <c r="C48" s="1164" t="s">
        <v>322</v>
      </c>
      <c r="D48" s="1164" t="str">
        <f>INDEX(Vectors[Description], MATCH($C48, Vectors[Code], 0))</f>
        <v>Gas reserves</v>
      </c>
      <c r="E48" s="166"/>
      <c r="F48" s="1184"/>
      <c r="G48" s="1184"/>
      <c r="H48" s="1188"/>
      <c r="I48" s="1188"/>
      <c r="J48" s="1188"/>
      <c r="K48" s="1188"/>
      <c r="L48" s="1188"/>
      <c r="M48" s="1188"/>
      <c r="N48" s="1188"/>
      <c r="O48" s="1188"/>
      <c r="P48" s="1188"/>
      <c r="Q48" s="1188"/>
      <c r="R48" s="1188"/>
      <c r="S48" s="1188"/>
      <c r="T48" s="1188"/>
      <c r="U48" s="1188"/>
      <c r="V48" s="1188"/>
      <c r="W48" s="1188"/>
      <c r="X48" s="1188"/>
      <c r="Y48" s="1188"/>
      <c r="Z48" s="1188"/>
      <c r="AA48" s="1188"/>
      <c r="AB48" s="1188"/>
      <c r="AC48" s="1188"/>
      <c r="AD48" s="1188"/>
      <c r="AE48" s="1188"/>
      <c r="AF48" s="1188"/>
      <c r="AG48" s="1188"/>
      <c r="AH48" s="1188"/>
      <c r="AI48" s="1188"/>
      <c r="AJ48" s="1188"/>
      <c r="AK48" s="1188"/>
      <c r="AL48" s="1188"/>
      <c r="AM48" s="1188"/>
      <c r="AN48" s="1188"/>
      <c r="AO48" s="1188"/>
      <c r="AP48" s="1188"/>
      <c r="AQ48" s="1188"/>
      <c r="AR48" s="1188"/>
      <c r="AS48" s="1188"/>
      <c r="AT48" s="1188"/>
      <c r="AU48" s="1188"/>
      <c r="AV48" s="1188"/>
      <c r="AW48" s="1188"/>
      <c r="AX48" s="166"/>
      <c r="AY48" s="2861">
        <f ca="1">-INDEX(INDIRECT("'"&amp;AY$4&amp;"'!Year.NetBalance"), MATCH('Intermediate output'!$C48, INDIRECT("'"&amp;AY$4&amp;"'!Year.Vectors"), 0))</f>
        <v>296.5420125</v>
      </c>
      <c r="AZ48" s="2861"/>
      <c r="BA48" s="2861">
        <f ca="1">-INDEX(INDIRECT("'"&amp;BA$4&amp;"'!Year.NetBalance"), MATCH('Intermediate output'!$C48, INDIRECT("'"&amp;BA$4&amp;"'!Year.Vectors"), 0))</f>
        <v>449.1920925</v>
      </c>
      <c r="BB48" s="2861">
        <f ca="1">-INDEX(INDIRECT("'"&amp;BB$4&amp;"'!Year.NetBalance"), MATCH('Intermediate output'!$C48, INDIRECT("'"&amp;BB$4&amp;"'!Year.Vectors"), 0))</f>
        <v>507.09261100499998</v>
      </c>
      <c r="BC48" s="2861">
        <f ca="1">-INDEX(INDIRECT("'"&amp;BC$4&amp;"'!Year.NetBalance"), MATCH('Intermediate output'!$C48, INDIRECT("'"&amp;BC$4&amp;"'!Year.Vectors"), 0))</f>
        <v>548.56099701000005</v>
      </c>
      <c r="BD48" s="2861">
        <f ca="1">-INDEX(INDIRECT("'"&amp;BD$4&amp;"'!Year.NetBalance"), MATCH('Intermediate output'!$C48, INDIRECT("'"&amp;BD$4&amp;"'!Year.Vectors"), 0))</f>
        <v>586.57321805615095</v>
      </c>
      <c r="BE48" s="2861">
        <f ca="1">-INDEX(INDIRECT("'"&amp;BE$4&amp;"'!Year.NetBalance"), MATCH('Intermediate output'!$C48, INDIRECT("'"&amp;BE$4&amp;"'!Year.Vectors"), 0))</f>
        <v>641.54155989156084</v>
      </c>
      <c r="BF48" s="2861">
        <f ca="1">-INDEX(INDIRECT("'"&amp;BF$4&amp;"'!Year.NetBalance"), MATCH('Intermediate output'!$C48, INDIRECT("'"&amp;BF$4&amp;"'!Year.Vectors"), 0))</f>
        <v>680.54187544379761</v>
      </c>
      <c r="BG48" s="2861">
        <f ca="1">-INDEX(INDIRECT("'"&amp;BG$4&amp;"'!Year.NetBalance"), MATCH('Intermediate output'!$C48, INDIRECT("'"&amp;BG$4&amp;"'!Year.Vectors"), 0))</f>
        <v>722.92972840858988</v>
      </c>
      <c r="BH48" s="2861">
        <f ca="1">-INDEX(INDIRECT("'"&amp;BH$4&amp;"'!Year.NetBalance"), MATCH('Intermediate output'!$C48, INDIRECT("'"&amp;BH$4&amp;"'!Year.Vectors"), 0))</f>
        <v>769.07133311204609</v>
      </c>
      <c r="BI48" s="2861">
        <f ca="1">-INDEX(INDIRECT("'"&amp;BI$4&amp;"'!Year.NetBalance"), MATCH('Intermediate output'!$C48, INDIRECT("'"&amp;BI$4&amp;"'!Year.Vectors"), 0))</f>
        <v>803.22299999999996</v>
      </c>
      <c r="BJ48" s="1166"/>
      <c r="BK48" s="1167"/>
      <c r="BM48" s="1167"/>
    </row>
    <row r="49" spans="1:75">
      <c r="B49" s="1162"/>
      <c r="C49" s="166"/>
      <c r="D49" s="166" t="s">
        <v>117</v>
      </c>
      <c r="E49" s="166"/>
      <c r="F49" s="1184"/>
      <c r="G49" s="1184"/>
      <c r="H49" s="1188"/>
      <c r="I49" s="1188"/>
      <c r="J49" s="1188"/>
      <c r="K49" s="1188"/>
      <c r="L49" s="1188"/>
      <c r="M49" s="1188"/>
      <c r="N49" s="1188"/>
      <c r="O49" s="1188"/>
      <c r="P49" s="1188"/>
      <c r="Q49" s="1188"/>
      <c r="R49" s="1188"/>
      <c r="S49" s="1188"/>
      <c r="T49" s="1188"/>
      <c r="U49" s="1188"/>
      <c r="V49" s="1188"/>
      <c r="W49" s="1188"/>
      <c r="X49" s="1188"/>
      <c r="Y49" s="1188"/>
      <c r="Z49" s="1188"/>
      <c r="AA49" s="1188"/>
      <c r="AB49" s="1188"/>
      <c r="AC49" s="1188"/>
      <c r="AD49" s="1188"/>
      <c r="AE49" s="1188"/>
      <c r="AF49" s="1188"/>
      <c r="AG49" s="1188"/>
      <c r="AH49" s="1188"/>
      <c r="AI49" s="1188"/>
      <c r="AJ49" s="1188"/>
      <c r="AK49" s="1188"/>
      <c r="AL49" s="1188"/>
      <c r="AM49" s="1188"/>
      <c r="AN49" s="1188"/>
      <c r="AO49" s="1188"/>
      <c r="AP49" s="1188"/>
      <c r="AQ49" s="1188"/>
      <c r="AR49" s="1188"/>
      <c r="AS49" s="1188"/>
      <c r="AT49" s="1188"/>
      <c r="AU49" s="1188"/>
      <c r="AV49" s="1188"/>
      <c r="AW49" s="1188"/>
      <c r="AX49" s="166"/>
      <c r="AY49" s="2862">
        <f ca="1">SUM(AY47:AY48)</f>
        <v>450.37586718740386</v>
      </c>
      <c r="AZ49" s="2862"/>
      <c r="BA49" s="2862">
        <f t="shared" ref="BA49:BI49" ca="1" si="13">SUM(BA47:BA48)</f>
        <v>607.99706212180251</v>
      </c>
      <c r="BB49" s="2862">
        <f t="shared" ca="1" si="13"/>
        <v>954.37407948436692</v>
      </c>
      <c r="BC49" s="2862">
        <f t="shared" ca="1" si="13"/>
        <v>1129.3893445499402</v>
      </c>
      <c r="BD49" s="2862">
        <f t="shared" ca="1" si="13"/>
        <v>1306.3655615252346</v>
      </c>
      <c r="BE49" s="2862">
        <f t="shared" ca="1" si="13"/>
        <v>1524.5511448106251</v>
      </c>
      <c r="BF49" s="2862">
        <f t="shared" ca="1" si="13"/>
        <v>1771.6776988819261</v>
      </c>
      <c r="BG49" s="2862">
        <f t="shared" ca="1" si="13"/>
        <v>2046.6620023011292</v>
      </c>
      <c r="BH49" s="2862">
        <f t="shared" ca="1" si="13"/>
        <v>2346.3840289711452</v>
      </c>
      <c r="BI49" s="2862">
        <f t="shared" ca="1" si="13"/>
        <v>2682.6666261638215</v>
      </c>
      <c r="BJ49" s="1169"/>
      <c r="BK49" s="250"/>
      <c r="BM49" s="22"/>
      <c r="BN49" s="22"/>
    </row>
    <row r="50" spans="1:75" s="859" customFormat="1">
      <c r="B50" s="1162"/>
      <c r="C50" s="266"/>
      <c r="D50" s="1174" t="s">
        <v>1138</v>
      </c>
      <c r="E50" s="166"/>
      <c r="F50" s="1184"/>
      <c r="G50" s="1184"/>
      <c r="H50" s="1188"/>
      <c r="I50" s="1188"/>
      <c r="J50" s="1188"/>
      <c r="K50" s="1188"/>
      <c r="L50" s="1188"/>
      <c r="M50" s="1188"/>
      <c r="N50" s="1188"/>
      <c r="O50" s="1188"/>
      <c r="P50" s="1188"/>
      <c r="Q50" s="1188"/>
      <c r="R50" s="1188"/>
      <c r="S50" s="1188"/>
      <c r="T50" s="1188"/>
      <c r="U50" s="1188"/>
      <c r="V50" s="1188"/>
      <c r="W50" s="1188"/>
      <c r="X50" s="1188"/>
      <c r="Y50" s="1188"/>
      <c r="Z50" s="1188"/>
      <c r="AA50" s="1188"/>
      <c r="AB50" s="1188"/>
      <c r="AC50" s="1188"/>
      <c r="AD50" s="1188"/>
      <c r="AE50" s="1188"/>
      <c r="AF50" s="1188"/>
      <c r="AG50" s="1188"/>
      <c r="AH50" s="1188"/>
      <c r="AI50" s="1188"/>
      <c r="AJ50" s="1188"/>
      <c r="AK50" s="1188"/>
      <c r="AL50" s="1188"/>
      <c r="AM50" s="1188"/>
      <c r="AN50" s="1188"/>
      <c r="AO50" s="1188"/>
      <c r="AP50" s="1188"/>
      <c r="AQ50" s="1188"/>
      <c r="AR50" s="1188"/>
      <c r="AS50" s="1188"/>
      <c r="AT50" s="1188"/>
      <c r="AU50" s="1188"/>
      <c r="AV50" s="1188"/>
      <c r="AW50" s="1188"/>
      <c r="AX50" s="166"/>
      <c r="AY50" s="2858">
        <f ca="1">AY35+AY40+AY43+AY46+AY49</f>
        <v>5548.5550119335549</v>
      </c>
      <c r="AZ50" s="2858"/>
      <c r="BA50" s="2858">
        <f t="shared" ref="BA50:BI50" ca="1" si="14">BA35+BA40+BA43+BA46+BA49</f>
        <v>6988.574860214595</v>
      </c>
      <c r="BB50" s="2858">
        <f t="shared" ca="1" si="14"/>
        <v>9440.704159625695</v>
      </c>
      <c r="BC50" s="2858">
        <f t="shared" ca="1" si="14"/>
        <v>12706.133943321098</v>
      </c>
      <c r="BD50" s="2858">
        <f t="shared" ca="1" si="14"/>
        <v>16679.37627136079</v>
      </c>
      <c r="BE50" s="2858">
        <f t="shared" ca="1" si="14"/>
        <v>21665.184662361986</v>
      </c>
      <c r="BF50" s="2858">
        <f t="shared" ca="1" si="14"/>
        <v>26542.436827315214</v>
      </c>
      <c r="BG50" s="2858">
        <f t="shared" ca="1" si="14"/>
        <v>31748.460261156637</v>
      </c>
      <c r="BH50" s="2858">
        <f t="shared" ca="1" si="14"/>
        <v>36749.063932542187</v>
      </c>
      <c r="BI50" s="2858">
        <f t="shared" ca="1" si="14"/>
        <v>42245.521261734444</v>
      </c>
      <c r="BJ50" s="1177"/>
      <c r="BK50" s="1178"/>
      <c r="BL50" s="1085"/>
      <c r="BM50" s="1178"/>
    </row>
    <row r="51" spans="1:75" s="37" customFormat="1">
      <c r="B51" s="164"/>
      <c r="C51" s="1184"/>
      <c r="D51" s="1184"/>
      <c r="E51" s="166"/>
      <c r="F51" s="1184"/>
      <c r="G51" s="1184"/>
      <c r="H51" s="1188"/>
      <c r="I51" s="1188"/>
      <c r="J51" s="1188"/>
      <c r="K51" s="1188"/>
      <c r="L51" s="1188"/>
      <c r="M51" s="1188"/>
      <c r="N51" s="1188"/>
      <c r="O51" s="1188"/>
      <c r="P51" s="1188"/>
      <c r="Q51" s="1188"/>
      <c r="R51" s="1188"/>
      <c r="S51" s="1188"/>
      <c r="T51" s="1188"/>
      <c r="U51" s="1188"/>
      <c r="V51" s="1188"/>
      <c r="W51" s="1188"/>
      <c r="X51" s="1188"/>
      <c r="Y51" s="1188"/>
      <c r="Z51" s="1188"/>
      <c r="AA51" s="1188"/>
      <c r="AB51" s="1188"/>
      <c r="AC51" s="1188"/>
      <c r="AD51" s="1188"/>
      <c r="AE51" s="1188"/>
      <c r="AF51" s="1188"/>
      <c r="AG51" s="1188"/>
      <c r="AH51" s="1188"/>
      <c r="AI51" s="1188"/>
      <c r="AJ51" s="1188"/>
      <c r="AK51" s="1188"/>
      <c r="AL51" s="1188"/>
      <c r="AM51" s="1188"/>
      <c r="AN51" s="1188"/>
      <c r="AO51" s="1188"/>
      <c r="AP51" s="1188"/>
      <c r="AQ51" s="1188"/>
      <c r="AR51" s="1188"/>
      <c r="AS51" s="1188"/>
      <c r="AT51" s="1188"/>
      <c r="AU51" s="1188"/>
      <c r="AV51" s="1188"/>
      <c r="AW51" s="1188"/>
      <c r="AX51" s="166"/>
      <c r="AY51" s="1185"/>
      <c r="AZ51" s="1185"/>
      <c r="BA51" s="3088"/>
      <c r="BB51" s="1185"/>
      <c r="BC51" s="1185"/>
      <c r="BD51" s="1185"/>
      <c r="BE51" s="1185"/>
      <c r="BF51" s="1185"/>
      <c r="BG51" s="1185"/>
      <c r="BH51" s="1185"/>
      <c r="BI51" s="1185">
        <f ca="1">BI50/(1000*1.66)</f>
        <v>25.449109193815929</v>
      </c>
      <c r="BJ51" s="1186"/>
      <c r="BK51" s="90">
        <v>2</v>
      </c>
      <c r="BL51" s="423"/>
      <c r="BM51" s="90"/>
      <c r="BN51" s="145"/>
      <c r="BO51" s="145"/>
      <c r="BP51" s="145"/>
      <c r="BQ51" s="145"/>
      <c r="BR51" s="145"/>
      <c r="BS51" s="145"/>
      <c r="BT51" s="145"/>
      <c r="BU51" s="145"/>
      <c r="BV51" s="145"/>
      <c r="BW51" s="145"/>
    </row>
    <row r="52" spans="1:75" s="37" customFormat="1" ht="18">
      <c r="B52" s="1172"/>
      <c r="C52" s="1184"/>
      <c r="D52" s="3064" t="s">
        <v>2143</v>
      </c>
      <c r="E52" s="166"/>
      <c r="F52" s="1184"/>
      <c r="G52" s="1184"/>
      <c r="H52" s="1188"/>
      <c r="I52" s="1188"/>
      <c r="J52" s="1188"/>
      <c r="K52" s="1188"/>
      <c r="L52" s="1188"/>
      <c r="M52" s="1188"/>
      <c r="N52" s="1188"/>
      <c r="O52" s="1188"/>
      <c r="P52" s="1188"/>
      <c r="Q52" s="1188"/>
      <c r="R52" s="1188"/>
      <c r="S52" s="1188"/>
      <c r="T52" s="1188"/>
      <c r="U52" s="1188"/>
      <c r="V52" s="1188"/>
      <c r="W52" s="1188"/>
      <c r="X52" s="1188"/>
      <c r="Y52" s="1188"/>
      <c r="Z52" s="1188"/>
      <c r="AA52" s="1188"/>
      <c r="AB52" s="1188"/>
      <c r="AC52" s="1188"/>
      <c r="AD52" s="1188"/>
      <c r="AE52" s="1188"/>
      <c r="AF52" s="1188"/>
      <c r="AG52" s="1188"/>
      <c r="AH52" s="1188"/>
      <c r="AI52" s="1188"/>
      <c r="AJ52" s="1188"/>
      <c r="AK52" s="1188"/>
      <c r="AL52" s="1188"/>
      <c r="AM52" s="1188"/>
      <c r="AN52" s="1188"/>
      <c r="AO52" s="1188"/>
      <c r="AP52" s="1188"/>
      <c r="AQ52" s="1188"/>
      <c r="AR52" s="1188"/>
      <c r="AS52" s="1188"/>
      <c r="AT52" s="1188"/>
      <c r="AU52" s="1188"/>
      <c r="AV52" s="1188"/>
      <c r="AW52" s="1188"/>
      <c r="AX52" s="166"/>
      <c r="AY52" s="3152">
        <v>5547.1980979558302</v>
      </c>
      <c r="AZ52" s="3152"/>
      <c r="BA52" s="3152">
        <v>6941.9888895050326</v>
      </c>
      <c r="BB52" s="3152">
        <v>9371.1432070643368</v>
      </c>
      <c r="BC52" s="3152">
        <v>12624.197665700363</v>
      </c>
      <c r="BD52" s="3152">
        <v>16604.348040651905</v>
      </c>
      <c r="BE52" s="3152">
        <v>21682.904316936692</v>
      </c>
      <c r="BF52" s="3152">
        <v>26663.52525264936</v>
      </c>
      <c r="BG52" s="3152">
        <v>31993.451088593945</v>
      </c>
      <c r="BH52" s="3152">
        <v>37112.099641157227</v>
      </c>
      <c r="BI52" s="3152">
        <v>42880.127248438141</v>
      </c>
      <c r="BJ52" s="1186"/>
      <c r="BK52" s="141"/>
      <c r="BL52" s="145"/>
      <c r="BM52" s="145"/>
      <c r="BN52" s="145"/>
      <c r="BO52" s="145"/>
      <c r="BP52" s="145"/>
      <c r="BQ52" s="145"/>
      <c r="BR52" s="145"/>
      <c r="BS52" s="145"/>
      <c r="BT52" s="145"/>
      <c r="BU52" s="145"/>
      <c r="BV52" s="145"/>
      <c r="BW52" s="145"/>
    </row>
    <row r="53" spans="1:75">
      <c r="B53" s="1182"/>
      <c r="C53" s="166"/>
      <c r="D53" s="166"/>
      <c r="E53" s="166"/>
      <c r="F53" s="166"/>
      <c r="G53" s="166"/>
      <c r="H53" s="1156"/>
      <c r="I53" s="1156"/>
      <c r="J53" s="1156"/>
      <c r="K53" s="1156"/>
      <c r="L53" s="1156"/>
      <c r="M53" s="1156"/>
      <c r="N53" s="1156"/>
      <c r="O53" s="1156"/>
      <c r="P53" s="1156"/>
      <c r="Q53" s="1156"/>
      <c r="R53" s="1156"/>
      <c r="S53" s="1156"/>
      <c r="T53" s="1156"/>
      <c r="U53" s="1156"/>
      <c r="V53" s="1156"/>
      <c r="W53" s="1156"/>
      <c r="X53" s="1156"/>
      <c r="Y53" s="1156"/>
      <c r="Z53" s="1156"/>
      <c r="AA53" s="1156"/>
      <c r="AB53" s="1156"/>
      <c r="AC53" s="1156"/>
      <c r="AD53" s="1156"/>
      <c r="AE53" s="1156"/>
      <c r="AF53" s="1156"/>
      <c r="AG53" s="1156"/>
      <c r="AH53" s="1156"/>
      <c r="AI53" s="1156"/>
      <c r="AJ53" s="1156"/>
      <c r="AK53" s="1156"/>
      <c r="AL53" s="1156"/>
      <c r="AM53" s="1156"/>
      <c r="AN53" s="1156"/>
      <c r="AO53" s="1156"/>
      <c r="AP53" s="1156"/>
      <c r="AQ53" s="1156"/>
      <c r="AR53" s="1156"/>
      <c r="AS53" s="1156"/>
      <c r="AT53" s="1156"/>
      <c r="AU53" s="1156"/>
      <c r="AV53" s="1156"/>
      <c r="AW53" s="1156"/>
      <c r="AX53" s="166"/>
      <c r="AY53" s="1168"/>
      <c r="AZ53" s="1168"/>
      <c r="BA53" s="2908">
        <f ca="1">BA47/BA49</f>
        <v>0.26119364634362074</v>
      </c>
      <c r="BB53" s="2908">
        <f t="shared" ref="BB53:BH53" ca="1" si="15">BB47/BB49</f>
        <v>0.46866472811271864</v>
      </c>
      <c r="BC53" s="2908">
        <f t="shared" ca="1" si="15"/>
        <v>0.51428530855442001</v>
      </c>
      <c r="BD53" s="2908">
        <f t="shared" ca="1" si="15"/>
        <v>0.55098845581071276</v>
      </c>
      <c r="BE53" s="2908">
        <f t="shared" ca="1" si="15"/>
        <v>0.57919315329283294</v>
      </c>
      <c r="BF53" s="2908">
        <f t="shared" ca="1" si="15"/>
        <v>0.61587715650918029</v>
      </c>
      <c r="BG53" s="2908">
        <f t="shared" ca="1" si="15"/>
        <v>0.64677620066441044</v>
      </c>
      <c r="BH53" s="2908">
        <f t="shared" ca="1" si="15"/>
        <v>0.67223126154277801</v>
      </c>
      <c r="BI53" s="1168"/>
      <c r="BJ53" s="1169"/>
      <c r="BK53" s="22"/>
    </row>
    <row r="54" spans="1:75">
      <c r="B54" s="1182"/>
      <c r="C54" s="1179" t="s">
        <v>1139</v>
      </c>
      <c r="D54" s="166"/>
      <c r="E54" s="166"/>
      <c r="F54" s="166"/>
      <c r="G54" s="166"/>
      <c r="H54" s="1156"/>
      <c r="I54" s="1156"/>
      <c r="J54" s="1156"/>
      <c r="K54" s="1156"/>
      <c r="L54" s="1156"/>
      <c r="M54" s="1156"/>
      <c r="N54" s="1156"/>
      <c r="O54" s="1156"/>
      <c r="P54" s="1156"/>
      <c r="Q54" s="1156"/>
      <c r="R54" s="1156"/>
      <c r="S54" s="1156"/>
      <c r="T54" s="1156"/>
      <c r="U54" s="1156"/>
      <c r="V54" s="1156"/>
      <c r="W54" s="1156"/>
      <c r="X54" s="1156"/>
      <c r="Y54" s="1156"/>
      <c r="Z54" s="1156"/>
      <c r="AA54" s="1156"/>
      <c r="AB54" s="1156"/>
      <c r="AC54" s="1156"/>
      <c r="AD54" s="1156"/>
      <c r="AE54" s="1156"/>
      <c r="AF54" s="1156"/>
      <c r="AG54" s="1156"/>
      <c r="AH54" s="1156"/>
      <c r="AI54" s="1156"/>
      <c r="AJ54" s="1156"/>
      <c r="AK54" s="1156"/>
      <c r="AL54" s="1156"/>
      <c r="AM54" s="1156"/>
      <c r="AN54" s="1156"/>
      <c r="AO54" s="1156"/>
      <c r="AP54" s="1156"/>
      <c r="AQ54" s="1156"/>
      <c r="AR54" s="1156"/>
      <c r="AS54" s="1156"/>
      <c r="AT54" s="1156"/>
      <c r="AU54" s="1156"/>
      <c r="AV54" s="1156"/>
      <c r="AW54" s="1156"/>
      <c r="AX54" s="166"/>
      <c r="AY54" s="1168"/>
      <c r="AZ54" s="1168"/>
      <c r="BA54" s="1168"/>
      <c r="BB54" s="1168"/>
      <c r="BC54" s="1168"/>
      <c r="BD54" s="1168"/>
      <c r="BE54" s="1168"/>
      <c r="BF54" s="1168"/>
      <c r="BG54" s="1168"/>
      <c r="BH54" s="1168"/>
      <c r="BI54" s="1168"/>
      <c r="BJ54" s="1169"/>
      <c r="BK54" s="22"/>
    </row>
    <row r="55" spans="1:75">
      <c r="B55" s="164"/>
      <c r="C55" s="1170" t="s">
        <v>25</v>
      </c>
      <c r="D55" s="1164" t="str">
        <f>INDEX(Vectors[Description], MATCH($C55, Vectors[Code], 0))</f>
        <v>Conversion losses</v>
      </c>
      <c r="E55" s="166"/>
      <c r="F55" s="267"/>
      <c r="G55" s="267"/>
      <c r="H55" s="1165"/>
      <c r="I55" s="1165"/>
      <c r="J55" s="1165"/>
      <c r="K55" s="1165"/>
      <c r="L55" s="1165"/>
      <c r="M55" s="1165"/>
      <c r="N55" s="1165"/>
      <c r="O55" s="1165"/>
      <c r="P55" s="1165"/>
      <c r="Q55" s="1165"/>
      <c r="R55" s="1165"/>
      <c r="S55" s="1165"/>
      <c r="T55" s="1165"/>
      <c r="U55" s="1165"/>
      <c r="V55" s="1165"/>
      <c r="W55" s="1165"/>
      <c r="X55" s="1165"/>
      <c r="Y55" s="1165"/>
      <c r="Z55" s="1165"/>
      <c r="AA55" s="1165"/>
      <c r="AB55" s="1165"/>
      <c r="AC55" s="1165"/>
      <c r="AD55" s="1165"/>
      <c r="AE55" s="1165"/>
      <c r="AF55" s="1165"/>
      <c r="AG55" s="1165"/>
      <c r="AH55" s="1165"/>
      <c r="AI55" s="1165"/>
      <c r="AJ55" s="1165"/>
      <c r="AK55" s="1165"/>
      <c r="AL55" s="1165"/>
      <c r="AM55" s="1165"/>
      <c r="AN55" s="1165"/>
      <c r="AO55" s="1165"/>
      <c r="AP55" s="1165"/>
      <c r="AQ55" s="1165"/>
      <c r="AR55" s="1165"/>
      <c r="AS55" s="1165"/>
      <c r="AT55" s="1165"/>
      <c r="AU55" s="1165"/>
      <c r="AV55" s="1165"/>
      <c r="AW55" s="1165"/>
      <c r="AX55" s="166"/>
      <c r="AY55" s="1168">
        <f ca="1">INDEX(INDIRECT("'"&amp;AY$4&amp;"'!Year.NetBalance"), MATCH('Intermediate output'!$C55, INDIRECT("'"&amp;AY$4&amp;"'!Year.Vectors"), 0))</f>
        <v>1204.9134654632253</v>
      </c>
      <c r="AZ55" s="1168"/>
      <c r="BA55" s="1168">
        <f ca="1">INDEX(INDIRECT("'"&amp;BA$4&amp;"'!Year.NetBalance"), MATCH('Intermediate output'!$C55, INDIRECT("'"&amp;BA$4&amp;"'!Year.Vectors"), 0))</f>
        <v>1583.5121319367117</v>
      </c>
      <c r="BB55" s="1168">
        <f ca="1">INDEX(INDIRECT("'"&amp;BB$4&amp;"'!Year.NetBalance"), MATCH('Intermediate output'!$C55, INDIRECT("'"&amp;BB$4&amp;"'!Year.Vectors"), 0))</f>
        <v>2198.9967999595065</v>
      </c>
      <c r="BC55" s="1168">
        <f ca="1">INDEX(INDIRECT("'"&amp;BC$4&amp;"'!Year.NetBalance"), MATCH('Intermediate output'!$C55, INDIRECT("'"&amp;BC$4&amp;"'!Year.Vectors"), 0))</f>
        <v>3112.3803529601846</v>
      </c>
      <c r="BD55" s="1168">
        <f ca="1">INDEX(INDIRECT("'"&amp;BD$4&amp;"'!Year.NetBalance"), MATCH('Intermediate output'!$C55, INDIRECT("'"&amp;BD$4&amp;"'!Year.Vectors"), 0))</f>
        <v>4300.9018175874617</v>
      </c>
      <c r="BE55" s="1168">
        <f ca="1">INDEX(INDIRECT("'"&amp;BE$4&amp;"'!Year.NetBalance"), MATCH('Intermediate output'!$C55, INDIRECT("'"&amp;BE$4&amp;"'!Year.Vectors"), 0))</f>
        <v>5927.1542532879812</v>
      </c>
      <c r="BF55" s="1168">
        <f ca="1">INDEX(INDIRECT("'"&amp;BF$4&amp;"'!Year.NetBalance"), MATCH('Intermediate output'!$C55, INDIRECT("'"&amp;BF$4&amp;"'!Year.Vectors"), 0))</f>
        <v>7390.4313450575319</v>
      </c>
      <c r="BG55" s="1168">
        <f ca="1">INDEX(INDIRECT("'"&amp;BG$4&amp;"'!Year.NetBalance"), MATCH('Intermediate output'!$C55, INDIRECT("'"&amp;BG$4&amp;"'!Year.Vectors"), 0))</f>
        <v>9103.9909450769155</v>
      </c>
      <c r="BH55" s="1168">
        <f ca="1">INDEX(INDIRECT("'"&amp;BH$4&amp;"'!Year.NetBalance"), MATCH('Intermediate output'!$C55, INDIRECT("'"&amp;BH$4&amp;"'!Year.Vectors"), 0))</f>
        <v>10665.554627399255</v>
      </c>
      <c r="BI55" s="1168">
        <f ca="1">INDEX(INDIRECT("'"&amp;BI$4&amp;"'!Year.NetBalance"), MATCH('Intermediate output'!$C55, INDIRECT("'"&amp;BI$4&amp;"'!Year.Vectors"), 0))</f>
        <v>12423.428404122662</v>
      </c>
      <c r="BJ55" s="1169"/>
      <c r="BK55" s="22"/>
    </row>
    <row r="56" spans="1:75">
      <c r="B56" s="164"/>
      <c r="C56" s="1170" t="s">
        <v>26</v>
      </c>
      <c r="D56" s="1164" t="str">
        <f>INDEX(Vectors[Description], MATCH($C56, Vectors[Code], 0))</f>
        <v>Distribution losses and own use</v>
      </c>
      <c r="E56" s="166"/>
      <c r="F56" s="267"/>
      <c r="G56" s="267"/>
      <c r="H56" s="1165"/>
      <c r="I56" s="1165"/>
      <c r="J56" s="1165"/>
      <c r="K56" s="1165"/>
      <c r="L56" s="1165"/>
      <c r="M56" s="1165"/>
      <c r="N56" s="1165"/>
      <c r="O56" s="1165"/>
      <c r="P56" s="1165"/>
      <c r="Q56" s="1165"/>
      <c r="R56" s="1165"/>
      <c r="S56" s="1165"/>
      <c r="T56" s="1165"/>
      <c r="U56" s="1165"/>
      <c r="V56" s="1165"/>
      <c r="W56" s="1165"/>
      <c r="X56" s="1165"/>
      <c r="Y56" s="1165"/>
      <c r="Z56" s="1165"/>
      <c r="AA56" s="1165"/>
      <c r="AB56" s="1165"/>
      <c r="AC56" s="1165"/>
      <c r="AD56" s="1165"/>
      <c r="AE56" s="1165"/>
      <c r="AF56" s="1165"/>
      <c r="AG56" s="1165"/>
      <c r="AH56" s="1165"/>
      <c r="AI56" s="1165"/>
      <c r="AJ56" s="1165"/>
      <c r="AK56" s="1165"/>
      <c r="AL56" s="1165"/>
      <c r="AM56" s="1165"/>
      <c r="AN56" s="1165"/>
      <c r="AO56" s="1165"/>
      <c r="AP56" s="1165"/>
      <c r="AQ56" s="1165"/>
      <c r="AR56" s="1165"/>
      <c r="AS56" s="1165"/>
      <c r="AT56" s="1165"/>
      <c r="AU56" s="1165"/>
      <c r="AV56" s="1165"/>
      <c r="AW56" s="1165"/>
      <c r="AX56" s="166"/>
      <c r="AY56" s="1168">
        <f ca="1">INDEX(INDIRECT("'"&amp;AY$4&amp;"'!Year.NetBalance"), MATCH('Intermediate output'!$C56, INDIRECT("'"&amp;AY$4&amp;"'!Year.Vectors"), 0))</f>
        <v>404.77084403907202</v>
      </c>
      <c r="AZ56" s="1168"/>
      <c r="BA56" s="1168">
        <f ca="1">INDEX(INDIRECT("'"&amp;BA$4&amp;"'!Year.NetBalance"), MATCH('Intermediate output'!$C56, INDIRECT("'"&amp;BA$4&amp;"'!Year.Vectors"), 0))</f>
        <v>500.4949957075288</v>
      </c>
      <c r="BB56" s="1168">
        <f ca="1">INDEX(INDIRECT("'"&amp;BB$4&amp;"'!Year.NetBalance"), MATCH('Intermediate output'!$C56, INDIRECT("'"&amp;BB$4&amp;"'!Year.Vectors"), 0))</f>
        <v>693.56163029937284</v>
      </c>
      <c r="BC56" s="1168">
        <f ca="1">INDEX(INDIRECT("'"&amp;BC$4&amp;"'!Year.NetBalance"), MATCH('Intermediate output'!$C56, INDIRECT("'"&amp;BC$4&amp;"'!Year.Vectors"), 0))</f>
        <v>910.76948797011448</v>
      </c>
      <c r="BD56" s="1168">
        <f ca="1">INDEX(INDIRECT("'"&amp;BD$4&amp;"'!Year.NetBalance"), MATCH('Intermediate output'!$C56, INDIRECT("'"&amp;BD$4&amp;"'!Year.Vectors"), 0))</f>
        <v>1169.3574840485151</v>
      </c>
      <c r="BE56" s="1168">
        <f ca="1">INDEX(INDIRECT("'"&amp;BE$4&amp;"'!Year.NetBalance"), MATCH('Intermediate output'!$C56, INDIRECT("'"&amp;BE$4&amp;"'!Year.Vectors"), 0))</f>
        <v>1499.4249304748269</v>
      </c>
      <c r="BF56" s="1168">
        <f ca="1">INDEX(INDIRECT("'"&amp;BF$4&amp;"'!Year.NetBalance"), MATCH('Intermediate output'!$C56, INDIRECT("'"&amp;BF$4&amp;"'!Year.Vectors"), 0))</f>
        <v>1801.9421970099083</v>
      </c>
      <c r="BG56" s="1168">
        <f ca="1">INDEX(INDIRECT("'"&amp;BG$4&amp;"'!Year.NetBalance"), MATCH('Intermediate output'!$C56, INDIRECT("'"&amp;BG$4&amp;"'!Year.Vectors"), 0))</f>
        <v>2099.9177507492182</v>
      </c>
      <c r="BH56" s="1168">
        <f ca="1">INDEX(INDIRECT("'"&amp;BH$4&amp;"'!Year.NetBalance"), MATCH('Intermediate output'!$C56, INDIRECT("'"&amp;BH$4&amp;"'!Year.Vectors"), 0))</f>
        <v>2404.1479798917499</v>
      </c>
      <c r="BI56" s="1168">
        <f ca="1">INDEX(INDIRECT("'"&amp;BI$4&amp;"'!Year.NetBalance"), MATCH('Intermediate output'!$C56, INDIRECT("'"&amp;BI$4&amp;"'!Year.Vectors"), 0))</f>
        <v>2750.5719334910536</v>
      </c>
      <c r="BJ56" s="1169"/>
      <c r="BK56" s="22"/>
    </row>
    <row r="57" spans="1:75" s="51" customFormat="1">
      <c r="A57" s="3060"/>
      <c r="B57" s="164"/>
      <c r="C57" s="60"/>
      <c r="D57" s="1174" t="s">
        <v>1140</v>
      </c>
      <c r="E57" s="166"/>
      <c r="F57" s="1175"/>
      <c r="G57" s="1176"/>
      <c r="H57" s="1171"/>
      <c r="I57" s="1171"/>
      <c r="J57" s="1171"/>
      <c r="K57" s="1171"/>
      <c r="L57" s="1171"/>
      <c r="M57" s="1171"/>
      <c r="N57" s="1171"/>
      <c r="O57" s="1171"/>
      <c r="P57" s="1171"/>
      <c r="Q57" s="1171"/>
      <c r="R57" s="1171"/>
      <c r="S57" s="1171"/>
      <c r="T57" s="1171"/>
      <c r="U57" s="1171"/>
      <c r="V57" s="1171"/>
      <c r="W57" s="1171"/>
      <c r="X57" s="1171"/>
      <c r="Y57" s="1171"/>
      <c r="Z57" s="1171"/>
      <c r="AA57" s="1171"/>
      <c r="AB57" s="1171"/>
      <c r="AC57" s="1171"/>
      <c r="AD57" s="1171"/>
      <c r="AE57" s="1171"/>
      <c r="AF57" s="1171"/>
      <c r="AG57" s="1171"/>
      <c r="AH57" s="1171"/>
      <c r="AI57" s="1171"/>
      <c r="AJ57" s="1171"/>
      <c r="AK57" s="1171"/>
      <c r="AL57" s="1171"/>
      <c r="AM57" s="1171"/>
      <c r="AN57" s="1171"/>
      <c r="AO57" s="1171"/>
      <c r="AP57" s="1171"/>
      <c r="AQ57" s="1171"/>
      <c r="AR57" s="1171"/>
      <c r="AS57" s="1171"/>
      <c r="AT57" s="1171"/>
      <c r="AU57" s="1171"/>
      <c r="AV57" s="1171"/>
      <c r="AW57" s="1171"/>
      <c r="AX57" s="166"/>
      <c r="AY57" s="1175">
        <f t="shared" ref="AY57:BI57" ca="1" si="16">AY50-SUM(AY55:AY56)</f>
        <v>3938.8707024312575</v>
      </c>
      <c r="AZ57" s="1175"/>
      <c r="BA57" s="1175">
        <f t="shared" ca="1" si="16"/>
        <v>4904.5677325703546</v>
      </c>
      <c r="BB57" s="1175">
        <f t="shared" ca="1" si="16"/>
        <v>6548.1457293668154</v>
      </c>
      <c r="BC57" s="1175">
        <f t="shared" ca="1" si="16"/>
        <v>8682.9841023907993</v>
      </c>
      <c r="BD57" s="1175">
        <f t="shared" ca="1" si="16"/>
        <v>11209.116969724813</v>
      </c>
      <c r="BE57" s="1175">
        <f t="shared" ca="1" si="16"/>
        <v>14238.605478599178</v>
      </c>
      <c r="BF57" s="1175">
        <f t="shared" ca="1" si="16"/>
        <v>17350.063285247772</v>
      </c>
      <c r="BG57" s="1175">
        <f t="shared" ca="1" si="16"/>
        <v>20544.551565330505</v>
      </c>
      <c r="BH57" s="1175">
        <f t="shared" ca="1" si="16"/>
        <v>23679.361325251182</v>
      </c>
      <c r="BI57" s="1175">
        <f t="shared" ca="1" si="16"/>
        <v>27071.520924120727</v>
      </c>
      <c r="BJ57" s="1190"/>
      <c r="BK57" s="97"/>
    </row>
    <row r="58" spans="1:75" s="51" customFormat="1">
      <c r="B58" s="164"/>
      <c r="C58" s="60"/>
      <c r="D58" s="266"/>
      <c r="E58" s="166"/>
      <c r="F58" s="1176"/>
      <c r="G58" s="1176"/>
      <c r="H58" s="1171"/>
      <c r="I58" s="1171"/>
      <c r="J58" s="1171"/>
      <c r="K58" s="1171"/>
      <c r="L58" s="1171"/>
      <c r="M58" s="1171"/>
      <c r="N58" s="1171"/>
      <c r="O58" s="1171"/>
      <c r="P58" s="1171"/>
      <c r="Q58" s="1171"/>
      <c r="R58" s="1171"/>
      <c r="S58" s="1171"/>
      <c r="T58" s="1171"/>
      <c r="U58" s="1171"/>
      <c r="V58" s="1171"/>
      <c r="W58" s="1171"/>
      <c r="X58" s="1171"/>
      <c r="Y58" s="1171"/>
      <c r="Z58" s="1171"/>
      <c r="AA58" s="1171"/>
      <c r="AB58" s="1171"/>
      <c r="AC58" s="1171"/>
      <c r="AD58" s="1171"/>
      <c r="AE58" s="1171"/>
      <c r="AF58" s="1171"/>
      <c r="AG58" s="1171"/>
      <c r="AH58" s="1171"/>
      <c r="AI58" s="1171"/>
      <c r="AJ58" s="1171"/>
      <c r="AK58" s="1171"/>
      <c r="AL58" s="1171"/>
      <c r="AM58" s="1171"/>
      <c r="AN58" s="1171"/>
      <c r="AO58" s="1171"/>
      <c r="AP58" s="1171"/>
      <c r="AQ58" s="1171"/>
      <c r="AR58" s="1171"/>
      <c r="AS58" s="1171"/>
      <c r="AT58" s="1171"/>
      <c r="AU58" s="1171"/>
      <c r="AV58" s="1171"/>
      <c r="AW58" s="1171"/>
      <c r="AX58" s="166"/>
      <c r="AY58" s="1176"/>
      <c r="AZ58" s="1176"/>
      <c r="BA58" s="1176"/>
      <c r="BB58" s="1176"/>
      <c r="BC58" s="1176"/>
      <c r="BD58" s="1176"/>
      <c r="BE58" s="1176"/>
      <c r="BF58" s="1176"/>
      <c r="BG58" s="1176"/>
      <c r="BH58" s="1176"/>
      <c r="BI58" s="1176"/>
      <c r="BJ58" s="1190"/>
      <c r="BK58" s="97"/>
    </row>
    <row r="59" spans="1:75" s="51" customFormat="1">
      <c r="B59" s="164"/>
      <c r="C59" s="266" t="s">
        <v>2079</v>
      </c>
      <c r="D59" s="266"/>
      <c r="E59" s="166"/>
      <c r="F59" s="166"/>
      <c r="G59" s="1176"/>
      <c r="H59" s="1171"/>
      <c r="I59" s="1171"/>
      <c r="J59" s="1171"/>
      <c r="K59" s="1171"/>
      <c r="L59" s="1171"/>
      <c r="M59" s="1171"/>
      <c r="N59" s="1171"/>
      <c r="O59" s="1171"/>
      <c r="P59" s="1171"/>
      <c r="Q59" s="1171"/>
      <c r="R59" s="1171"/>
      <c r="S59" s="1171"/>
      <c r="T59" s="1171"/>
      <c r="U59" s="1171"/>
      <c r="V59" s="1171"/>
      <c r="W59" s="1171"/>
      <c r="X59" s="1171"/>
      <c r="Y59" s="1171"/>
      <c r="Z59" s="1171"/>
      <c r="AA59" s="1171"/>
      <c r="AB59" s="1171"/>
      <c r="AC59" s="1171"/>
      <c r="AD59" s="1171"/>
      <c r="AE59" s="1171"/>
      <c r="AF59" s="1171"/>
      <c r="AG59" s="1171"/>
      <c r="AH59" s="1171"/>
      <c r="AI59" s="1171"/>
      <c r="AJ59" s="1171"/>
      <c r="AK59" s="1171"/>
      <c r="AL59" s="1171"/>
      <c r="AM59" s="1171"/>
      <c r="AN59" s="1171"/>
      <c r="AO59" s="1171"/>
      <c r="AP59" s="1171"/>
      <c r="AQ59" s="1171"/>
      <c r="AR59" s="1171"/>
      <c r="AS59" s="1171"/>
      <c r="AT59" s="1171"/>
      <c r="AU59" s="1171"/>
      <c r="AV59" s="1171"/>
      <c r="AW59" s="1171"/>
      <c r="AX59" s="166"/>
      <c r="AY59" s="1176"/>
      <c r="AZ59" s="1176"/>
      <c r="BA59" s="1176"/>
      <c r="BB59" s="1176"/>
      <c r="BC59" s="1176"/>
      <c r="BD59" s="1176"/>
      <c r="BE59" s="1176"/>
      <c r="BF59" s="1176"/>
      <c r="BG59" s="1176"/>
      <c r="BH59" s="1176"/>
      <c r="BI59" s="1176"/>
      <c r="BJ59" s="1190"/>
      <c r="BK59" s="97"/>
    </row>
    <row r="60" spans="1:75" s="51" customFormat="1">
      <c r="B60" s="164"/>
      <c r="C60" s="60" t="s">
        <v>36</v>
      </c>
      <c r="D60" s="166" t="str">
        <f>INDEX(Vectors[Description],MATCH($C60,Vectors[Code],0))</f>
        <v>Solid hydrocarbons</v>
      </c>
      <c r="E60" s="166"/>
      <c r="F60" s="267"/>
      <c r="G60" s="1176"/>
      <c r="H60" s="1171"/>
      <c r="I60" s="1171"/>
      <c r="J60" s="1171"/>
      <c r="K60" s="1171"/>
      <c r="L60" s="1171"/>
      <c r="M60" s="1171"/>
      <c r="N60" s="1171"/>
      <c r="O60" s="1171"/>
      <c r="P60" s="1171"/>
      <c r="Q60" s="1171"/>
      <c r="R60" s="1171"/>
      <c r="S60" s="1171"/>
      <c r="T60" s="1171"/>
      <c r="U60" s="1171"/>
      <c r="V60" s="1171"/>
      <c r="W60" s="1171"/>
      <c r="X60" s="1171"/>
      <c r="Y60" s="1171"/>
      <c r="Z60" s="1171"/>
      <c r="AA60" s="1171"/>
      <c r="AB60" s="1171"/>
      <c r="AC60" s="1171"/>
      <c r="AD60" s="1171"/>
      <c r="AE60" s="1171"/>
      <c r="AF60" s="1171"/>
      <c r="AG60" s="1171"/>
      <c r="AH60" s="1171"/>
      <c r="AI60" s="1171"/>
      <c r="AJ60" s="1171"/>
      <c r="AK60" s="1171"/>
      <c r="AL60" s="1171"/>
      <c r="AM60" s="1171"/>
      <c r="AN60" s="1171"/>
      <c r="AO60" s="1171"/>
      <c r="AP60" s="1171"/>
      <c r="AQ60" s="1171"/>
      <c r="AR60" s="1171"/>
      <c r="AS60" s="1171"/>
      <c r="AT60" s="1171"/>
      <c r="AU60" s="1171"/>
      <c r="AV60" s="1171"/>
      <c r="AW60" s="1171"/>
      <c r="AX60" s="166"/>
      <c r="AY60" s="1275">
        <f ca="1">-(INDEX(INDIRECT(AY$64&amp;"!Year.Matrix"),MATCH("Subtotal.Supply",INDIRECT(AY$64&amp;"!Year.Modules"),0),MATCH("V.03",INDIRECT(AY$64&amp;"!Year.Vectors"),0))+INDEX(INDIRECT(AY$64&amp;"!Year.Matrix"),MATCH("Subtotal.Consumption",INDIRECT(AY$64&amp;"!Year.Modules"),0),MATCH("V.03",INDIRECT(AY$64&amp;"!Year.Vectors"),0)))+AY240</f>
        <v>3253.4798011484609</v>
      </c>
      <c r="AZ60" s="1275"/>
      <c r="BA60" s="1275">
        <f t="shared" ref="BA60:BI60" ca="1" si="17">-(INDEX(INDIRECT(BA$64&amp;"!Year.Matrix"),MATCH("Subtotal.Supply",INDIRECT(BA$64&amp;"!Year.Modules"),0),MATCH("V.03",INDIRECT(BA$64&amp;"!Year.Vectors"),0))+INDEX(INDIRECT(BA$64&amp;"!Year.Matrix"),MATCH("Subtotal.Consumption",INDIRECT(BA$64&amp;"!Year.Modules"),0),MATCH("V.03",INDIRECT(BA$64&amp;"!Year.Vectors"),0)))+BA240</f>
        <v>4186.6587822140627</v>
      </c>
      <c r="BB60" s="1275">
        <f t="shared" ca="1" si="17"/>
        <v>5440.2416760911601</v>
      </c>
      <c r="BC60" s="1275">
        <f t="shared" ca="1" si="17"/>
        <v>7599.0050414244033</v>
      </c>
      <c r="BD60" s="1275">
        <f t="shared" ca="1" si="17"/>
        <v>10283.250772451853</v>
      </c>
      <c r="BE60" s="1275">
        <f t="shared" ca="1" si="17"/>
        <v>13752.901942267128</v>
      </c>
      <c r="BF60" s="1275">
        <f t="shared" ca="1" si="17"/>
        <v>16958.349070363496</v>
      </c>
      <c r="BG60" s="1275">
        <f t="shared" ca="1" si="17"/>
        <v>20459.946248371478</v>
      </c>
      <c r="BH60" s="1275">
        <f t="shared" ca="1" si="17"/>
        <v>23583.182597617422</v>
      </c>
      <c r="BI60" s="1275">
        <f t="shared" ca="1" si="17"/>
        <v>27066.994339922483</v>
      </c>
      <c r="BJ60" s="1190"/>
      <c r="BK60" s="97"/>
    </row>
    <row r="61" spans="1:75" s="51" customFormat="1">
      <c r="B61" s="164"/>
      <c r="C61" s="60" t="s">
        <v>38</v>
      </c>
      <c r="D61" s="166" t="str">
        <f>INDEX(Vectors[Description],MATCH($C61,Vectors[Code],0))</f>
        <v>Liquid hydrocarbons</v>
      </c>
      <c r="E61" s="166"/>
      <c r="F61" s="267"/>
      <c r="G61" s="1176"/>
      <c r="H61" s="1171"/>
      <c r="I61" s="1171"/>
      <c r="J61" s="1171"/>
      <c r="K61" s="1171"/>
      <c r="L61" s="1171"/>
      <c r="M61" s="1171"/>
      <c r="N61" s="1171"/>
      <c r="O61" s="1171"/>
      <c r="P61" s="1171"/>
      <c r="Q61" s="1171"/>
      <c r="R61" s="1171"/>
      <c r="S61" s="1171"/>
      <c r="T61" s="1171"/>
      <c r="U61" s="1171"/>
      <c r="V61" s="1171"/>
      <c r="W61" s="1171"/>
      <c r="X61" s="1171"/>
      <c r="Y61" s="1171"/>
      <c r="Z61" s="1171"/>
      <c r="AA61" s="1171"/>
      <c r="AB61" s="1171"/>
      <c r="AC61" s="1171"/>
      <c r="AD61" s="1171"/>
      <c r="AE61" s="1171"/>
      <c r="AF61" s="1171"/>
      <c r="AG61" s="1171"/>
      <c r="AH61" s="1171"/>
      <c r="AI61" s="1171"/>
      <c r="AJ61" s="1171"/>
      <c r="AK61" s="1171"/>
      <c r="AL61" s="1171"/>
      <c r="AM61" s="1171"/>
      <c r="AN61" s="1171"/>
      <c r="AO61" s="1171"/>
      <c r="AP61" s="1171"/>
      <c r="AQ61" s="1171"/>
      <c r="AR61" s="1171"/>
      <c r="AS61" s="1171"/>
      <c r="AT61" s="1171"/>
      <c r="AU61" s="1171"/>
      <c r="AV61" s="1171"/>
      <c r="AW61" s="1171"/>
      <c r="AX61" s="166"/>
      <c r="AY61" s="1275">
        <f ca="1">-(INDEX(INDIRECT(AY$64&amp;"!Year.Matrix"),MATCH("Subtotal.Supply",INDIRECT(AY$64&amp;"!Year.Modules"),0),MATCH("V.04",INDIRECT(AY$64&amp;"!Year.Vectors"),0))+INDEX(INDIRECT(AY$64&amp;"!Year.Matrix"),MATCH("Subtotal.Consumption",INDIRECT(AY$64&amp;"!Year.Modules"),0),MATCH("V.04",INDIRECT(AY$64&amp;"!Year.Vectors"),0)))+AY241</f>
        <v>1507.1271398060596</v>
      </c>
      <c r="AZ61" s="1275"/>
      <c r="BA61" s="1275">
        <f t="shared" ref="BA61:BI61" ca="1" si="18">-(INDEX(INDIRECT(BA$64&amp;"!Year.Matrix"),MATCH("Subtotal.Supply",INDIRECT(BA$64&amp;"!Year.Modules"),0),MATCH("V.04",INDIRECT(BA$64&amp;"!Year.Vectors"),0))+INDEX(INDIRECT(BA$64&amp;"!Year.Matrix"),MATCH("Subtotal.Consumption",INDIRECT(BA$64&amp;"!Year.Modules"),0),MATCH("V.04",INDIRECT(BA$64&amp;"!Year.Vectors"),0)))+BA241</f>
        <v>1784.7830860037395</v>
      </c>
      <c r="BB61" s="1275">
        <f t="shared" ca="1" si="18"/>
        <v>2414.9219458854045</v>
      </c>
      <c r="BC61" s="1275">
        <f t="shared" ca="1" si="18"/>
        <v>3241.2908350865459</v>
      </c>
      <c r="BD61" s="1275">
        <f t="shared" ca="1" si="18"/>
        <v>4223.7654770972395</v>
      </c>
      <c r="BE61" s="1275">
        <f t="shared" ca="1" si="18"/>
        <v>5375.2726406997626</v>
      </c>
      <c r="BF61" s="1275">
        <f t="shared" ca="1" si="18"/>
        <v>6663.9787683041413</v>
      </c>
      <c r="BG61" s="1275">
        <f t="shared" ca="1" si="18"/>
        <v>7973.920334522948</v>
      </c>
      <c r="BH61" s="1275">
        <f t="shared" ca="1" si="18"/>
        <v>9448.4442070287369</v>
      </c>
      <c r="BI61" s="1275">
        <f t="shared" ca="1" si="18"/>
        <v>11027.044368693952</v>
      </c>
      <c r="BJ61" s="1190"/>
      <c r="BK61" s="97"/>
    </row>
    <row r="62" spans="1:75" s="51" customFormat="1">
      <c r="B62" s="164"/>
      <c r="C62" s="60" t="s">
        <v>39</v>
      </c>
      <c r="D62" s="166" t="str">
        <f>INDEX(Vectors[Description],MATCH($C62,Vectors[Code],0))</f>
        <v>Gaseous hydrocarbons</v>
      </c>
      <c r="E62" s="166"/>
      <c r="F62" s="1175"/>
      <c r="G62" s="1176"/>
      <c r="H62" s="1171"/>
      <c r="I62" s="1171"/>
      <c r="J62" s="1171"/>
      <c r="K62" s="1171"/>
      <c r="L62" s="1171"/>
      <c r="M62" s="1171"/>
      <c r="N62" s="1171"/>
      <c r="O62" s="1171"/>
      <c r="P62" s="1171"/>
      <c r="Q62" s="1171"/>
      <c r="R62" s="1171"/>
      <c r="S62" s="1171"/>
      <c r="T62" s="1171"/>
      <c r="U62" s="1171"/>
      <c r="V62" s="1171"/>
      <c r="W62" s="1171"/>
      <c r="X62" s="1171"/>
      <c r="Y62" s="1171"/>
      <c r="Z62" s="1171"/>
      <c r="AA62" s="1171"/>
      <c r="AB62" s="1171"/>
      <c r="AC62" s="1171"/>
      <c r="AD62" s="1171"/>
      <c r="AE62" s="1171"/>
      <c r="AF62" s="1171"/>
      <c r="AG62" s="1171"/>
      <c r="AH62" s="1171"/>
      <c r="AI62" s="1171"/>
      <c r="AJ62" s="1171"/>
      <c r="AK62" s="1171"/>
      <c r="AL62" s="1171"/>
      <c r="AM62" s="1171"/>
      <c r="AN62" s="1171"/>
      <c r="AO62" s="1171"/>
      <c r="AP62" s="1171"/>
      <c r="AQ62" s="1171"/>
      <c r="AR62" s="1171"/>
      <c r="AS62" s="1171"/>
      <c r="AT62" s="1171"/>
      <c r="AU62" s="1171"/>
      <c r="AV62" s="1171"/>
      <c r="AW62" s="1171"/>
      <c r="AX62" s="166"/>
      <c r="AY62" s="1275">
        <f ca="1">-(INDEX(INDIRECT(AY$64&amp;"!Year.Matrix"),MATCH("Subtotal.Supply",INDIRECT(AY$64&amp;"!Year.Modules"),0),MATCH("V.05",INDIRECT(AY$64&amp;"!Year.Vectors"),0))+INDEX(INDIRECT(AY$64&amp;"!Year.Matrix"),MATCH("Subtotal.Consumption",INDIRECT(AY$64&amp;"!Year.Modules"),0),MATCH("V.05",INDIRECT(AY$64&amp;"!Year.Vectors"),0)))+AY242</f>
        <v>400.80896663638987</v>
      </c>
      <c r="AZ62" s="1275"/>
      <c r="BA62" s="1275">
        <f t="shared" ref="BA62:BI62" ca="1" si="19">-(INDEX(INDIRECT(BA$64&amp;"!Year.Matrix"),MATCH("Subtotal.Supply",INDIRECT(BA$64&amp;"!Year.Modules"),0),MATCH("V.05",INDIRECT(BA$64&amp;"!Year.Vectors"),0))+INDEX(INDIRECT(BA$64&amp;"!Year.Matrix"),MATCH("Subtotal.Consumption",INDIRECT(BA$64&amp;"!Year.Modules"),0),MATCH("V.05",INDIRECT(BA$64&amp;"!Year.Vectors"),0)))+BA242</f>
        <v>538.99887527499732</v>
      </c>
      <c r="BB62" s="1275">
        <f t="shared" ca="1" si="19"/>
        <v>841.23652056611616</v>
      </c>
      <c r="BC62" s="1275">
        <f t="shared" ca="1" si="19"/>
        <v>994.46394646854696</v>
      </c>
      <c r="BD62" s="1275">
        <f t="shared" ca="1" si="19"/>
        <v>1149.3965479446485</v>
      </c>
      <c r="BE62" s="1275">
        <f t="shared" ca="1" si="19"/>
        <v>1340.1633809947466</v>
      </c>
      <c r="BF62" s="1275">
        <f t="shared" ca="1" si="19"/>
        <v>1555.4213398542583</v>
      </c>
      <c r="BG62" s="1275">
        <f t="shared" ca="1" si="19"/>
        <v>1794.9126529437026</v>
      </c>
      <c r="BH62" s="1275">
        <f t="shared" ca="1" si="19"/>
        <v>2055.9244870184016</v>
      </c>
      <c r="BI62" s="1275">
        <f t="shared" ca="1" si="19"/>
        <v>2348.7378176448806</v>
      </c>
      <c r="BJ62" s="1190"/>
      <c r="BK62" s="97"/>
    </row>
    <row r="63" spans="1:75" s="51" customFormat="1">
      <c r="B63" s="164"/>
      <c r="C63" s="60"/>
      <c r="D63" s="266"/>
      <c r="E63" s="166"/>
      <c r="F63" s="1176"/>
      <c r="G63" s="1176"/>
      <c r="H63" s="1171"/>
      <c r="I63" s="1171"/>
      <c r="J63" s="1171"/>
      <c r="K63" s="1171"/>
      <c r="L63" s="1171"/>
      <c r="M63" s="1171"/>
      <c r="N63" s="1171"/>
      <c r="O63" s="1171"/>
      <c r="P63" s="1171"/>
      <c r="Q63" s="1171"/>
      <c r="R63" s="1171"/>
      <c r="S63" s="1171"/>
      <c r="T63" s="1171"/>
      <c r="U63" s="1171"/>
      <c r="V63" s="1171"/>
      <c r="W63" s="1171"/>
      <c r="X63" s="1171"/>
      <c r="Y63" s="1171"/>
      <c r="Z63" s="1171"/>
      <c r="AA63" s="1171"/>
      <c r="AB63" s="1171"/>
      <c r="AC63" s="1171"/>
      <c r="AD63" s="1171"/>
      <c r="AE63" s="1171"/>
      <c r="AF63" s="1171"/>
      <c r="AG63" s="1171"/>
      <c r="AH63" s="1171"/>
      <c r="AI63" s="1171"/>
      <c r="AJ63" s="1171"/>
      <c r="AK63" s="1171"/>
      <c r="AL63" s="1171"/>
      <c r="AM63" s="1171"/>
      <c r="AN63" s="1171"/>
      <c r="AO63" s="1171"/>
      <c r="AP63" s="1171"/>
      <c r="AQ63" s="1171"/>
      <c r="AR63" s="1171"/>
      <c r="AS63" s="1171"/>
      <c r="AT63" s="1171"/>
      <c r="AU63" s="1171"/>
      <c r="AV63" s="1171"/>
      <c r="AW63" s="1171"/>
      <c r="AX63" s="166"/>
      <c r="AY63" s="1176"/>
      <c r="AZ63" s="1176"/>
      <c r="BA63" s="1176"/>
      <c r="BB63" s="1176"/>
      <c r="BC63" s="1176"/>
      <c r="BD63" s="1176"/>
      <c r="BE63" s="1176"/>
      <c r="BF63" s="1176"/>
      <c r="BG63" s="1176"/>
      <c r="BH63" s="1176"/>
      <c r="BI63" s="1176"/>
      <c r="BJ63" s="1190"/>
      <c r="BK63" s="97"/>
    </row>
    <row r="64" spans="1:75" s="51" customFormat="1" ht="18">
      <c r="B64" s="1189"/>
      <c r="C64" s="266" t="s">
        <v>2002</v>
      </c>
      <c r="D64" s="266"/>
      <c r="E64" s="166"/>
      <c r="F64" s="1176"/>
      <c r="G64" s="1176"/>
      <c r="H64" s="1171"/>
      <c r="I64" s="1171"/>
      <c r="J64" s="1171"/>
      <c r="K64" s="1171"/>
      <c r="L64" s="1171"/>
      <c r="M64" s="1171"/>
      <c r="N64" s="1171"/>
      <c r="O64" s="1171"/>
      <c r="P64" s="1171"/>
      <c r="Q64" s="1171"/>
      <c r="R64" s="1171"/>
      <c r="S64" s="1171"/>
      <c r="T64" s="1171"/>
      <c r="U64" s="1171"/>
      <c r="V64" s="1171"/>
      <c r="W64" s="1171"/>
      <c r="X64" s="1171"/>
      <c r="Y64" s="1171"/>
      <c r="Z64" s="1171"/>
      <c r="AA64" s="1171"/>
      <c r="AB64" s="1171"/>
      <c r="AC64" s="1171"/>
      <c r="AD64" s="1171"/>
      <c r="AE64" s="1171"/>
      <c r="AF64" s="1171"/>
      <c r="AG64" s="1171"/>
      <c r="AH64" s="1171"/>
      <c r="AI64" s="1171"/>
      <c r="AJ64" s="1171"/>
      <c r="AK64" s="1171"/>
      <c r="AL64" s="1171"/>
      <c r="AM64" s="1171"/>
      <c r="AN64" s="1171"/>
      <c r="AO64" s="1171"/>
      <c r="AP64" s="1171"/>
      <c r="AQ64" s="1171"/>
      <c r="AR64" s="1171"/>
      <c r="AS64" s="1171"/>
      <c r="AT64" s="1171"/>
      <c r="AU64" s="1171"/>
      <c r="AV64" s="1171"/>
      <c r="AW64" s="1171"/>
      <c r="AX64" s="166"/>
      <c r="AY64" s="2405">
        <v>2007</v>
      </c>
      <c r="AZ64" s="2405"/>
      <c r="BA64" s="2405">
        <f>AY64+5</f>
        <v>2012</v>
      </c>
      <c r="BB64" s="2405">
        <f t="shared" ref="BB64:BI64" si="20">BA64+5</f>
        <v>2017</v>
      </c>
      <c r="BC64" s="2405">
        <f t="shared" si="20"/>
        <v>2022</v>
      </c>
      <c r="BD64" s="2405">
        <f t="shared" si="20"/>
        <v>2027</v>
      </c>
      <c r="BE64" s="2405">
        <f t="shared" si="20"/>
        <v>2032</v>
      </c>
      <c r="BF64" s="2405">
        <f t="shared" si="20"/>
        <v>2037</v>
      </c>
      <c r="BG64" s="2405">
        <f t="shared" si="20"/>
        <v>2042</v>
      </c>
      <c r="BH64" s="2405">
        <f t="shared" si="20"/>
        <v>2047</v>
      </c>
      <c r="BI64" s="2405">
        <f t="shared" si="20"/>
        <v>2052</v>
      </c>
      <c r="BJ64" s="1190"/>
      <c r="BK64" s="97"/>
    </row>
    <row r="65" spans="2:63" s="51" customFormat="1" ht="18">
      <c r="B65" s="1189"/>
      <c r="C65" s="60"/>
      <c r="D65" s="266" t="s">
        <v>768</v>
      </c>
      <c r="E65" s="166"/>
      <c r="F65" s="1176"/>
      <c r="G65" s="1176"/>
      <c r="H65" s="1171"/>
      <c r="I65" s="1171"/>
      <c r="J65" s="1171"/>
      <c r="K65" s="1171"/>
      <c r="L65" s="1171"/>
      <c r="M65" s="1171"/>
      <c r="N65" s="1171"/>
      <c r="O65" s="1171"/>
      <c r="P65" s="1171"/>
      <c r="Q65" s="1171"/>
      <c r="R65" s="1171"/>
      <c r="S65" s="1171"/>
      <c r="T65" s="1171"/>
      <c r="U65" s="1171"/>
      <c r="V65" s="1171"/>
      <c r="W65" s="1171"/>
      <c r="X65" s="1171"/>
      <c r="Y65" s="1171"/>
      <c r="Z65" s="1171"/>
      <c r="AA65" s="1171"/>
      <c r="AB65" s="1171"/>
      <c r="AC65" s="1171"/>
      <c r="AD65" s="1171"/>
      <c r="AE65" s="1171"/>
      <c r="AF65" s="1171"/>
      <c r="AG65" s="1171"/>
      <c r="AH65" s="1171"/>
      <c r="AI65" s="1171"/>
      <c r="AJ65" s="1171"/>
      <c r="AK65" s="1171"/>
      <c r="AL65" s="1171"/>
      <c r="AM65" s="1171"/>
      <c r="AN65" s="1171"/>
      <c r="AO65" s="1171"/>
      <c r="AP65" s="1171"/>
      <c r="AQ65" s="1171"/>
      <c r="AR65" s="1171"/>
      <c r="AS65" s="1171"/>
      <c r="AT65" s="1171"/>
      <c r="AU65" s="1171"/>
      <c r="AV65" s="1171"/>
      <c r="AW65" s="1171"/>
      <c r="AX65" s="166"/>
      <c r="AY65" s="2498">
        <f ca="1">AY41/AY43</f>
        <v>0.13507952627584974</v>
      </c>
      <c r="AZ65" s="2498"/>
      <c r="BA65" s="2498">
        <f t="shared" ref="BA65:BH65" ca="1" si="21">BA41/BA43</f>
        <v>0.16485930672602372</v>
      </c>
      <c r="BB65" s="2498">
        <f t="shared" ca="1" si="21"/>
        <v>0.30038380160452349</v>
      </c>
      <c r="BC65" s="2498">
        <f t="shared" ca="1" si="21"/>
        <v>0.46122158513957046</v>
      </c>
      <c r="BD65" s="2498">
        <f t="shared" ca="1" si="21"/>
        <v>0.58505685653728867</v>
      </c>
      <c r="BE65" s="2498">
        <f t="shared" ca="1" si="21"/>
        <v>0.69093361123828889</v>
      </c>
      <c r="BF65" s="2498">
        <f t="shared" ca="1" si="21"/>
        <v>0.74862270069949943</v>
      </c>
      <c r="BG65" s="2498">
        <f t="shared" ca="1" si="21"/>
        <v>0.82548120110721002</v>
      </c>
      <c r="BH65" s="2498">
        <f t="shared" ca="1" si="21"/>
        <v>0.87291357847041562</v>
      </c>
      <c r="BI65" s="2498">
        <f t="shared" ref="BI65" ca="1" si="22">IF(BI41&gt;0,BI41/BI43,0)</f>
        <v>0.90683193945501583</v>
      </c>
      <c r="BJ65" s="1190"/>
      <c r="BK65" s="97"/>
    </row>
    <row r="66" spans="2:63" s="51" customFormat="1" ht="18">
      <c r="B66" s="1189"/>
      <c r="C66" s="60"/>
      <c r="D66" s="266" t="s">
        <v>877</v>
      </c>
      <c r="E66" s="166"/>
      <c r="F66" s="1176"/>
      <c r="G66" s="1176"/>
      <c r="H66" s="1171"/>
      <c r="I66" s="1171"/>
      <c r="J66" s="1171"/>
      <c r="K66" s="1171"/>
      <c r="L66" s="1171"/>
      <c r="M66" s="1171"/>
      <c r="N66" s="1171"/>
      <c r="O66" s="1171"/>
      <c r="P66" s="1171"/>
      <c r="Q66" s="1171"/>
      <c r="R66" s="1171"/>
      <c r="S66" s="1171"/>
      <c r="T66" s="1171"/>
      <c r="U66" s="1171"/>
      <c r="V66" s="1171"/>
      <c r="W66" s="1171"/>
      <c r="X66" s="1171"/>
      <c r="Y66" s="1171"/>
      <c r="Z66" s="1171"/>
      <c r="AA66" s="1171"/>
      <c r="AB66" s="1171"/>
      <c r="AC66" s="1171"/>
      <c r="AD66" s="1171"/>
      <c r="AE66" s="1171"/>
      <c r="AF66" s="1171"/>
      <c r="AG66" s="1171"/>
      <c r="AH66" s="1171"/>
      <c r="AI66" s="1171"/>
      <c r="AJ66" s="1171"/>
      <c r="AK66" s="1171"/>
      <c r="AL66" s="1171"/>
      <c r="AM66" s="1171"/>
      <c r="AN66" s="1171"/>
      <c r="AO66" s="1171"/>
      <c r="AP66" s="1171"/>
      <c r="AQ66" s="1171"/>
      <c r="AR66" s="1171"/>
      <c r="AS66" s="1171"/>
      <c r="AT66" s="1171"/>
      <c r="AU66" s="1171"/>
      <c r="AV66" s="1171"/>
      <c r="AW66" s="1171"/>
      <c r="AX66" s="166"/>
      <c r="AY66" s="2498">
        <f ca="1">AY45/AY46</f>
        <v>0.7548840026793262</v>
      </c>
      <c r="AZ66" s="2498"/>
      <c r="BA66" s="2498">
        <f ca="1">BA45/BA46</f>
        <v>0.76801844856785839</v>
      </c>
      <c r="BB66" s="2498">
        <f t="shared" ref="BB66:BH66" ca="1" si="23">BB45/BB46</f>
        <v>0.81384388492225168</v>
      </c>
      <c r="BC66" s="2498">
        <f t="shared" ca="1" si="23"/>
        <v>0.88245797397316117</v>
      </c>
      <c r="BD66" s="2498">
        <f t="shared" ca="1" si="23"/>
        <v>0.9102173710055752</v>
      </c>
      <c r="BE66" s="2498">
        <f t="shared" ca="1" si="23"/>
        <v>0.92973992657010773</v>
      </c>
      <c r="BF66" s="2498">
        <f t="shared" ca="1" si="23"/>
        <v>0.9434642844335549</v>
      </c>
      <c r="BG66" s="2498">
        <f t="shared" ca="1" si="23"/>
        <v>0.95279461204771887</v>
      </c>
      <c r="BH66" s="2498">
        <f t="shared" ca="1" si="23"/>
        <v>0.96013780817215177</v>
      </c>
      <c r="BI66" s="2498">
        <f t="shared" ref="BI66" ca="1" si="24">IF(BI45&gt;0,BI45/BI46,0)</f>
        <v>0.96576894692905224</v>
      </c>
      <c r="BJ66" s="1190"/>
      <c r="BK66" s="2556">
        <f>34/124</f>
        <v>0.27419354838709675</v>
      </c>
    </row>
    <row r="67" spans="2:63" s="51" customFormat="1" ht="18">
      <c r="B67" s="1189"/>
      <c r="C67" s="60"/>
      <c r="D67" s="266" t="s">
        <v>876</v>
      </c>
      <c r="E67" s="166"/>
      <c r="F67" s="1176"/>
      <c r="G67" s="1176"/>
      <c r="H67" s="1171"/>
      <c r="I67" s="1171"/>
      <c r="J67" s="1171"/>
      <c r="K67" s="1171"/>
      <c r="L67" s="1171"/>
      <c r="M67" s="1171"/>
      <c r="N67" s="1171"/>
      <c r="O67" s="1171"/>
      <c r="P67" s="1171"/>
      <c r="Q67" s="1171"/>
      <c r="R67" s="1171"/>
      <c r="S67" s="1171"/>
      <c r="T67" s="1171"/>
      <c r="U67" s="1171"/>
      <c r="V67" s="1171"/>
      <c r="W67" s="1171"/>
      <c r="X67" s="1171"/>
      <c r="Y67" s="1171"/>
      <c r="Z67" s="1171"/>
      <c r="AA67" s="1171"/>
      <c r="AB67" s="1171"/>
      <c r="AC67" s="1171"/>
      <c r="AD67" s="1171"/>
      <c r="AE67" s="1171"/>
      <c r="AF67" s="1171"/>
      <c r="AG67" s="1171"/>
      <c r="AH67" s="1171"/>
      <c r="AI67" s="1171"/>
      <c r="AJ67" s="1171"/>
      <c r="AK67" s="1171"/>
      <c r="AL67" s="1171"/>
      <c r="AM67" s="1171"/>
      <c r="AN67" s="1171"/>
      <c r="AO67" s="1171"/>
      <c r="AP67" s="1171"/>
      <c r="AQ67" s="1171"/>
      <c r="AR67" s="1171"/>
      <c r="AS67" s="1171"/>
      <c r="AT67" s="1171"/>
      <c r="AU67" s="1171"/>
      <c r="AV67" s="1171"/>
      <c r="AW67" s="1171"/>
      <c r="AX67" s="166"/>
      <c r="AY67" s="2498">
        <f ca="1">AY47/AY62</f>
        <v>0.38380841620981121</v>
      </c>
      <c r="AZ67" s="2498"/>
      <c r="BA67" s="2498">
        <f ca="1">BA47/BA49</f>
        <v>0.26119364634362074</v>
      </c>
      <c r="BB67" s="2498">
        <f t="shared" ref="BB67:BH67" ca="1" si="25">BB47/BB49</f>
        <v>0.46866472811271864</v>
      </c>
      <c r="BC67" s="2498">
        <f t="shared" ca="1" si="25"/>
        <v>0.51428530855442001</v>
      </c>
      <c r="BD67" s="2498">
        <f t="shared" ca="1" si="25"/>
        <v>0.55098845581071276</v>
      </c>
      <c r="BE67" s="2498">
        <f t="shared" ca="1" si="25"/>
        <v>0.57919315329283294</v>
      </c>
      <c r="BF67" s="2498">
        <f t="shared" ca="1" si="25"/>
        <v>0.61587715650918029</v>
      </c>
      <c r="BG67" s="2498">
        <f t="shared" ca="1" si="25"/>
        <v>0.64677620066441044</v>
      </c>
      <c r="BH67" s="2498">
        <f t="shared" ca="1" si="25"/>
        <v>0.67223126154277801</v>
      </c>
      <c r="BI67" s="2498">
        <f t="shared" ref="BI67" ca="1" si="26">IF(BI47&gt;0,BI47/BI49,0)</f>
        <v>0.70058784339200642</v>
      </c>
      <c r="BJ67" s="1190"/>
      <c r="BK67" s="97"/>
    </row>
    <row r="68" spans="2:63" s="51" customFormat="1" ht="18">
      <c r="B68" s="1189"/>
      <c r="C68" s="60"/>
      <c r="D68" s="266" t="s">
        <v>2057</v>
      </c>
      <c r="E68" s="166"/>
      <c r="F68" s="1176"/>
      <c r="G68" s="1176"/>
      <c r="H68" s="1171"/>
      <c r="I68" s="1171"/>
      <c r="J68" s="1171"/>
      <c r="K68" s="1171"/>
      <c r="L68" s="1171"/>
      <c r="M68" s="1171"/>
      <c r="N68" s="1171"/>
      <c r="O68" s="1171"/>
      <c r="P68" s="1171"/>
      <c r="Q68" s="1171"/>
      <c r="R68" s="1171"/>
      <c r="S68" s="1171"/>
      <c r="T68" s="1171"/>
      <c r="U68" s="1171"/>
      <c r="V68" s="1171"/>
      <c r="W68" s="1171"/>
      <c r="X68" s="1171"/>
      <c r="Y68" s="1171"/>
      <c r="Z68" s="1171"/>
      <c r="AA68" s="1171"/>
      <c r="AB68" s="1171"/>
      <c r="AC68" s="1171"/>
      <c r="AD68" s="1171"/>
      <c r="AE68" s="1171"/>
      <c r="AF68" s="1171"/>
      <c r="AG68" s="1171"/>
      <c r="AH68" s="1171"/>
      <c r="AI68" s="1171"/>
      <c r="AJ68" s="1171"/>
      <c r="AK68" s="1171"/>
      <c r="AL68" s="1171"/>
      <c r="AM68" s="1171"/>
      <c r="AN68" s="1171"/>
      <c r="AO68" s="1171"/>
      <c r="AP68" s="1171"/>
      <c r="AQ68" s="1171"/>
      <c r="AR68" s="1171"/>
      <c r="AS68" s="1171"/>
      <c r="AT68" s="1171"/>
      <c r="AU68" s="1171"/>
      <c r="AV68" s="1171"/>
      <c r="AW68" s="1171"/>
      <c r="AX68" s="166"/>
      <c r="AY68" s="2498">
        <f ca="1">(AY65*AY43+AY46*AY66+AY67*AY49)/AY50</f>
        <v>0.30694137298932872</v>
      </c>
      <c r="AZ68" s="2498"/>
      <c r="BA68" s="2498">
        <f ca="1">(BA65*BA43+BA46*BA66+BA67*BA49)/BA50</f>
        <v>0.30896872038307943</v>
      </c>
      <c r="BB68" s="2498">
        <f t="shared" ref="BB68:BI68" ca="1" si="27">(BB65*BB43+BB46*BB66+BB67*BB49)/BB50</f>
        <v>0.41280262195996537</v>
      </c>
      <c r="BC68" s="2498">
        <f t="shared" ca="1" si="27"/>
        <v>0.52756384593140027</v>
      </c>
      <c r="BD68" s="2498">
        <f t="shared" ca="1" si="27"/>
        <v>0.61665991241300089</v>
      </c>
      <c r="BE68" s="2498">
        <f t="shared" ca="1" si="27"/>
        <v>0.69526596174704458</v>
      </c>
      <c r="BF68" s="2498">
        <f t="shared" ca="1" si="27"/>
        <v>0.74533166634231784</v>
      </c>
      <c r="BG68" s="2498">
        <f t="shared" ca="1" si="27"/>
        <v>0.80424450756455557</v>
      </c>
      <c r="BH68" s="2498">
        <f t="shared" ca="1" si="27"/>
        <v>0.84384086837418315</v>
      </c>
      <c r="BI68" s="2498">
        <f t="shared" ca="1" si="27"/>
        <v>0.87393085626223332</v>
      </c>
      <c r="BJ68" s="1190"/>
      <c r="BK68" s="97"/>
    </row>
    <row r="69" spans="2:63" s="51" customFormat="1" ht="18">
      <c r="B69" s="1189"/>
      <c r="C69" s="60"/>
      <c r="D69" s="266" t="s">
        <v>768</v>
      </c>
      <c r="E69" s="166"/>
      <c r="F69" s="1176"/>
      <c r="G69" s="1176"/>
      <c r="H69" s="1171"/>
      <c r="I69" s="1171"/>
      <c r="J69" s="1171"/>
      <c r="K69" s="1171"/>
      <c r="L69" s="1171"/>
      <c r="M69" s="1171"/>
      <c r="N69" s="1171"/>
      <c r="O69" s="1171"/>
      <c r="P69" s="1171"/>
      <c r="Q69" s="1171"/>
      <c r="R69" s="1171"/>
      <c r="S69" s="1171"/>
      <c r="T69" s="1171"/>
      <c r="U69" s="1171"/>
      <c r="V69" s="1171"/>
      <c r="W69" s="1171"/>
      <c r="X69" s="1171"/>
      <c r="Y69" s="1171"/>
      <c r="Z69" s="1171"/>
      <c r="AA69" s="1171"/>
      <c r="AB69" s="1171"/>
      <c r="AC69" s="1171"/>
      <c r="AD69" s="1171"/>
      <c r="AE69" s="1171"/>
      <c r="AF69" s="1171"/>
      <c r="AG69" s="1171"/>
      <c r="AH69" s="1171"/>
      <c r="AI69" s="1171"/>
      <c r="AJ69" s="1171"/>
      <c r="AK69" s="1171"/>
      <c r="AL69" s="1171"/>
      <c r="AM69" s="1171"/>
      <c r="AN69" s="1171"/>
      <c r="AO69" s="1171"/>
      <c r="AP69" s="1171"/>
      <c r="AQ69" s="1171"/>
      <c r="AR69" s="1171"/>
      <c r="AS69" s="1171"/>
      <c r="AT69" s="1171"/>
      <c r="AU69" s="1171"/>
      <c r="AV69" s="1171"/>
      <c r="AW69" s="1171"/>
      <c r="AX69" s="166"/>
      <c r="AY69" s="2498">
        <f ca="1">IF(AY41&gt;0,AY41/AY43,0)</f>
        <v>0.13507952627584974</v>
      </c>
      <c r="AZ69" s="2498"/>
      <c r="BA69" s="2498">
        <f t="shared" ref="BA69:BI69" ca="1" si="28">IF(BA41&gt;0,BA41/BA43,0)</f>
        <v>0.16485930672602372</v>
      </c>
      <c r="BB69" s="2498">
        <f t="shared" ca="1" si="28"/>
        <v>0.30038380160452349</v>
      </c>
      <c r="BC69" s="2498">
        <f t="shared" ca="1" si="28"/>
        <v>0.46122158513957046</v>
      </c>
      <c r="BD69" s="2498">
        <f t="shared" ca="1" si="28"/>
        <v>0.58505685653728867</v>
      </c>
      <c r="BE69" s="2498">
        <f t="shared" ca="1" si="28"/>
        <v>0.69093361123828889</v>
      </c>
      <c r="BF69" s="2498">
        <f t="shared" ca="1" si="28"/>
        <v>0.74862270069949943</v>
      </c>
      <c r="BG69" s="2498">
        <f t="shared" ca="1" si="28"/>
        <v>0.82548120110721002</v>
      </c>
      <c r="BH69" s="2498">
        <f t="shared" ca="1" si="28"/>
        <v>0.87291357847041562</v>
      </c>
      <c r="BI69" s="2498">
        <f t="shared" ca="1" si="28"/>
        <v>0.90683193945501583</v>
      </c>
      <c r="BJ69" s="1190"/>
      <c r="BK69" s="97"/>
    </row>
    <row r="70" spans="2:63" s="51" customFormat="1" ht="18">
      <c r="B70" s="1189"/>
      <c r="C70" s="60"/>
      <c r="D70" s="266" t="s">
        <v>877</v>
      </c>
      <c r="E70" s="166"/>
      <c r="F70" s="1176"/>
      <c r="G70" s="1176"/>
      <c r="H70" s="1171"/>
      <c r="I70" s="1171"/>
      <c r="J70" s="1171"/>
      <c r="K70" s="1171"/>
      <c r="L70" s="1171"/>
      <c r="M70" s="1171"/>
      <c r="N70" s="1171"/>
      <c r="O70" s="1171"/>
      <c r="P70" s="1171"/>
      <c r="Q70" s="1171"/>
      <c r="R70" s="1171"/>
      <c r="S70" s="1171"/>
      <c r="T70" s="1171"/>
      <c r="U70" s="1171"/>
      <c r="V70" s="1171"/>
      <c r="W70" s="1171"/>
      <c r="X70" s="1171"/>
      <c r="Y70" s="1171"/>
      <c r="Z70" s="1171"/>
      <c r="AA70" s="1171"/>
      <c r="AB70" s="1171"/>
      <c r="AC70" s="1171"/>
      <c r="AD70" s="1171"/>
      <c r="AE70" s="1171"/>
      <c r="AF70" s="1171"/>
      <c r="AG70" s="1171"/>
      <c r="AH70" s="1171"/>
      <c r="AI70" s="1171"/>
      <c r="AJ70" s="1171"/>
      <c r="AK70" s="1171"/>
      <c r="AL70" s="1171"/>
      <c r="AM70" s="1171"/>
      <c r="AN70" s="1171"/>
      <c r="AO70" s="1171"/>
      <c r="AP70" s="1171"/>
      <c r="AQ70" s="1171"/>
      <c r="AR70" s="1171"/>
      <c r="AS70" s="1171"/>
      <c r="AT70" s="1171"/>
      <c r="AU70" s="1171"/>
      <c r="AV70" s="1171"/>
      <c r="AW70" s="1171"/>
      <c r="AX70" s="166"/>
      <c r="AY70" s="2498">
        <f ca="1">IF(AY45, AY45/AY46,0)</f>
        <v>0.7548840026793262</v>
      </c>
      <c r="AZ70" s="2498"/>
      <c r="BA70" s="2498">
        <f t="shared" ref="BA70:BI70" ca="1" si="29">IF(BA45, BA45/BA46,0)</f>
        <v>0.76801844856785839</v>
      </c>
      <c r="BB70" s="2498">
        <f t="shared" ca="1" si="29"/>
        <v>0.81384388492225168</v>
      </c>
      <c r="BC70" s="2498">
        <f t="shared" ca="1" si="29"/>
        <v>0.88245797397316117</v>
      </c>
      <c r="BD70" s="2498">
        <f t="shared" ca="1" si="29"/>
        <v>0.9102173710055752</v>
      </c>
      <c r="BE70" s="2498">
        <f t="shared" ca="1" si="29"/>
        <v>0.92973992657010773</v>
      </c>
      <c r="BF70" s="2498">
        <f t="shared" ca="1" si="29"/>
        <v>0.9434642844335549</v>
      </c>
      <c r="BG70" s="2498">
        <f t="shared" ca="1" si="29"/>
        <v>0.95279461204771887</v>
      </c>
      <c r="BH70" s="2498">
        <f t="shared" ca="1" si="29"/>
        <v>0.96013780817215177</v>
      </c>
      <c r="BI70" s="2498">
        <f t="shared" ca="1" si="29"/>
        <v>0.96576894692905224</v>
      </c>
      <c r="BJ70" s="1190"/>
      <c r="BK70" s="2556">
        <f>34/124</f>
        <v>0.27419354838709675</v>
      </c>
    </row>
    <row r="71" spans="2:63" s="51" customFormat="1" ht="18">
      <c r="B71" s="1189"/>
      <c r="C71" s="60"/>
      <c r="D71" s="266" t="s">
        <v>876</v>
      </c>
      <c r="E71" s="166"/>
      <c r="F71" s="1176"/>
      <c r="G71" s="1176"/>
      <c r="H71" s="1171"/>
      <c r="I71" s="1171"/>
      <c r="J71" s="1171"/>
      <c r="K71" s="1171"/>
      <c r="L71" s="1171"/>
      <c r="M71" s="1171"/>
      <c r="N71" s="1171"/>
      <c r="O71" s="1171"/>
      <c r="P71" s="1171"/>
      <c r="Q71" s="1171"/>
      <c r="R71" s="1171"/>
      <c r="S71" s="1171"/>
      <c r="T71" s="1171"/>
      <c r="U71" s="1171"/>
      <c r="V71" s="1171"/>
      <c r="W71" s="1171"/>
      <c r="X71" s="1171"/>
      <c r="Y71" s="1171"/>
      <c r="Z71" s="1171"/>
      <c r="AA71" s="1171"/>
      <c r="AB71" s="1171"/>
      <c r="AC71" s="1171"/>
      <c r="AD71" s="1171"/>
      <c r="AE71" s="1171"/>
      <c r="AF71" s="1171"/>
      <c r="AG71" s="1171"/>
      <c r="AH71" s="1171"/>
      <c r="AI71" s="1171"/>
      <c r="AJ71" s="1171"/>
      <c r="AK71" s="1171"/>
      <c r="AL71" s="1171"/>
      <c r="AM71" s="1171"/>
      <c r="AN71" s="1171"/>
      <c r="AO71" s="1171"/>
      <c r="AP71" s="1171"/>
      <c r="AQ71" s="1171"/>
      <c r="AR71" s="1171"/>
      <c r="AS71" s="1171"/>
      <c r="AT71" s="1171"/>
      <c r="AU71" s="1171"/>
      <c r="AV71" s="1171"/>
      <c r="AW71" s="1171"/>
      <c r="AX71" s="166"/>
      <c r="AY71" s="2498">
        <f ca="1">IF(AY47, AY47/AY62, AY47)</f>
        <v>0.38380841620981121</v>
      </c>
      <c r="AZ71" s="2498"/>
      <c r="BA71" s="2498">
        <f t="shared" ref="BA71:BI71" ca="1" si="30">IF(BA47, BA47/BA62, BA47)</f>
        <v>0.29462950092573048</v>
      </c>
      <c r="BB71" s="2498">
        <f t="shared" ca="1" si="30"/>
        <v>0.53169525756961389</v>
      </c>
      <c r="BC71" s="2498">
        <f t="shared" ca="1" si="30"/>
        <v>0.58406174462385163</v>
      </c>
      <c r="BD71" s="2498">
        <f t="shared" ca="1" si="30"/>
        <v>0.62623499675217986</v>
      </c>
      <c r="BE71" s="2498">
        <f t="shared" ca="1" si="30"/>
        <v>0.65888204187734456</v>
      </c>
      <c r="BF71" s="2498">
        <f t="shared" ca="1" si="30"/>
        <v>0.70150498484247803</v>
      </c>
      <c r="BG71" s="2498">
        <f t="shared" ca="1" si="30"/>
        <v>0.7374911930792758</v>
      </c>
      <c r="BH71" s="2498">
        <f t="shared" ca="1" si="30"/>
        <v>0.76720361366316148</v>
      </c>
      <c r="BI71" s="2498">
        <f t="shared" ca="1" si="30"/>
        <v>0.80019302795080449</v>
      </c>
      <c r="BJ71" s="1190"/>
      <c r="BK71" s="97"/>
    </row>
    <row r="72" spans="2:63" s="51" customFormat="1" ht="18">
      <c r="B72" s="1189"/>
      <c r="C72" s="60"/>
      <c r="D72" s="266" t="s">
        <v>2820</v>
      </c>
      <c r="E72" s="166"/>
      <c r="F72" s="1176"/>
      <c r="G72" s="1176"/>
      <c r="H72" s="1171"/>
      <c r="I72" s="1171"/>
      <c r="J72" s="1171"/>
      <c r="K72" s="1171"/>
      <c r="L72" s="1171"/>
      <c r="M72" s="1171"/>
      <c r="N72" s="1171"/>
      <c r="O72" s="1171"/>
      <c r="P72" s="1171"/>
      <c r="Q72" s="1171"/>
      <c r="R72" s="1171"/>
      <c r="S72" s="1171"/>
      <c r="T72" s="1171"/>
      <c r="U72" s="1171"/>
      <c r="V72" s="1171"/>
      <c r="W72" s="1171"/>
      <c r="X72" s="1171"/>
      <c r="Y72" s="1171"/>
      <c r="Z72" s="1171"/>
      <c r="AA72" s="1171"/>
      <c r="AB72" s="1171"/>
      <c r="AC72" s="1171"/>
      <c r="AD72" s="1171"/>
      <c r="AE72" s="1171"/>
      <c r="AF72" s="1171"/>
      <c r="AG72" s="1171"/>
      <c r="AH72" s="1171"/>
      <c r="AI72" s="1171"/>
      <c r="AJ72" s="1171"/>
      <c r="AK72" s="1171"/>
      <c r="AL72" s="1171"/>
      <c r="AM72" s="1171"/>
      <c r="AN72" s="1171"/>
      <c r="AO72" s="1171"/>
      <c r="AP72" s="1171"/>
      <c r="AQ72" s="1171"/>
      <c r="AR72" s="1171"/>
      <c r="AS72" s="1171"/>
      <c r="AT72" s="1171"/>
      <c r="AU72" s="1171"/>
      <c r="AV72" s="1171"/>
      <c r="AW72" s="1171"/>
      <c r="AX72" s="166"/>
      <c r="AY72" s="2498">
        <f ca="1">(AY69*AY43+AY46*AY70+AY71*AY49)/AY50</f>
        <v>0.30694137298932872</v>
      </c>
      <c r="AZ72" s="2498"/>
      <c r="BA72" s="2498">
        <f t="shared" ref="BA72:BI72" ca="1" si="31">(BA69*BA43+BA46*BA70+BA71*BA49)/BA50</f>
        <v>0.3118775969082756</v>
      </c>
      <c r="BB72" s="2498">
        <f t="shared" ca="1" si="31"/>
        <v>0.41917446695295812</v>
      </c>
      <c r="BC72" s="2498">
        <f t="shared" ca="1" si="31"/>
        <v>0.5337659498718289</v>
      </c>
      <c r="BD72" s="2498">
        <f t="shared" ca="1" si="31"/>
        <v>0.62255338757121859</v>
      </c>
      <c r="BE72" s="2498">
        <f t="shared" ca="1" si="31"/>
        <v>0.70087356621539065</v>
      </c>
      <c r="BF72" s="2498">
        <f t="shared" ca="1" si="31"/>
        <v>0.7510472272325549</v>
      </c>
      <c r="BG72" s="2498">
        <f t="shared" ca="1" si="31"/>
        <v>0.81009244244036727</v>
      </c>
      <c r="BH72" s="2498">
        <f t="shared" ca="1" si="31"/>
        <v>0.84990474011301564</v>
      </c>
      <c r="BI72" s="2498">
        <f t="shared" ca="1" si="31"/>
        <v>0.88025596473357348</v>
      </c>
      <c r="BJ72" s="1190"/>
      <c r="BK72" s="97"/>
    </row>
    <row r="73" spans="2:63" ht="18">
      <c r="B73" s="1189"/>
      <c r="C73" s="1179" t="s">
        <v>1141</v>
      </c>
      <c r="D73" s="166"/>
      <c r="E73" s="166"/>
      <c r="F73" s="166"/>
      <c r="G73" s="166"/>
      <c r="H73" s="1156"/>
      <c r="I73" s="1156"/>
      <c r="J73" s="1156"/>
      <c r="K73" s="1156"/>
      <c r="L73" s="1156"/>
      <c r="M73" s="1156"/>
      <c r="N73" s="1156"/>
      <c r="O73" s="1156"/>
      <c r="P73" s="1156"/>
      <c r="Q73" s="1156"/>
      <c r="R73" s="1156"/>
      <c r="S73" s="1156"/>
      <c r="T73" s="1156"/>
      <c r="U73" s="1156"/>
      <c r="V73" s="1156"/>
      <c r="W73" s="1156"/>
      <c r="X73" s="1156"/>
      <c r="Y73" s="1156"/>
      <c r="Z73" s="1156"/>
      <c r="AA73" s="1156"/>
      <c r="AB73" s="1156"/>
      <c r="AC73" s="1156"/>
      <c r="AD73" s="1156"/>
      <c r="AE73" s="1156"/>
      <c r="AF73" s="1156"/>
      <c r="AG73" s="1156"/>
      <c r="AH73" s="1156"/>
      <c r="AI73" s="1156"/>
      <c r="AJ73" s="1156"/>
      <c r="AK73" s="1156"/>
      <c r="AL73" s="1156"/>
      <c r="AM73" s="1156"/>
      <c r="AN73" s="1156"/>
      <c r="AO73" s="1156"/>
      <c r="AP73" s="1156"/>
      <c r="AQ73" s="1156"/>
      <c r="AR73" s="1156"/>
      <c r="AS73" s="1156"/>
      <c r="AT73" s="1156"/>
      <c r="AU73" s="1156"/>
      <c r="AV73" s="1156"/>
      <c r="AW73" s="1156"/>
      <c r="AX73" s="166"/>
      <c r="AY73" s="1168"/>
      <c r="AZ73" s="1168"/>
      <c r="BA73" s="1168"/>
      <c r="BB73" s="1168"/>
      <c r="BC73" s="1168"/>
      <c r="BD73" s="1168"/>
      <c r="BE73" s="1168"/>
      <c r="BF73" s="1168"/>
      <c r="BG73" s="1168"/>
      <c r="BH73" s="1168"/>
      <c r="BI73" s="1168"/>
      <c r="BJ73" s="1169"/>
      <c r="BK73" s="22"/>
    </row>
    <row r="74" spans="2:63">
      <c r="B74" s="164"/>
      <c r="C74" s="166"/>
      <c r="D74" s="166"/>
      <c r="E74" s="166"/>
      <c r="F74" s="166"/>
      <c r="G74" s="166"/>
      <c r="H74" s="1156"/>
      <c r="I74" s="1156"/>
      <c r="J74" s="1156"/>
      <c r="K74" s="1156"/>
      <c r="L74" s="1156"/>
      <c r="M74" s="1156"/>
      <c r="N74" s="1156"/>
      <c r="O74" s="1156"/>
      <c r="P74" s="1156"/>
      <c r="Q74" s="1156"/>
      <c r="R74" s="1156"/>
      <c r="S74" s="1156"/>
      <c r="T74" s="1156"/>
      <c r="U74" s="1156"/>
      <c r="V74" s="1156"/>
      <c r="W74" s="1156"/>
      <c r="X74" s="1156"/>
      <c r="Y74" s="1156"/>
      <c r="Z74" s="1156"/>
      <c r="AA74" s="1156"/>
      <c r="AB74" s="1156"/>
      <c r="AC74" s="1156"/>
      <c r="AD74" s="1156"/>
      <c r="AE74" s="1156"/>
      <c r="AF74" s="1156"/>
      <c r="AG74" s="1156"/>
      <c r="AH74" s="1156"/>
      <c r="AI74" s="1156"/>
      <c r="AJ74" s="1156"/>
      <c r="AK74" s="1156"/>
      <c r="AL74" s="1156"/>
      <c r="AM74" s="1156"/>
      <c r="AN74" s="1156"/>
      <c r="AO74" s="1156"/>
      <c r="AP74" s="1156"/>
      <c r="AQ74" s="1156"/>
      <c r="AR74" s="1156"/>
      <c r="AS74" s="1156"/>
      <c r="AT74" s="1156"/>
      <c r="AU74" s="1156"/>
      <c r="AV74" s="1156"/>
      <c r="AW74" s="1156"/>
      <c r="AX74" s="166"/>
      <c r="AY74" s="1168"/>
      <c r="AZ74" s="1168"/>
      <c r="BA74" s="1168"/>
      <c r="BB74" s="1168"/>
      <c r="BC74" s="1168"/>
      <c r="BD74" s="1168"/>
      <c r="BE74" s="1168"/>
      <c r="BF74" s="1168"/>
      <c r="BG74" s="1168"/>
      <c r="BH74" s="1168"/>
      <c r="BI74" s="1168"/>
      <c r="BJ74" s="1169"/>
      <c r="BK74" s="1020"/>
    </row>
    <row r="75" spans="2:63">
      <c r="B75" s="164"/>
      <c r="C75" s="1170" t="s">
        <v>51</v>
      </c>
      <c r="D75" s="166" t="str">
        <f>INDEX(Vectors[Description],MATCH($C75,Vectors[Code],0))</f>
        <v>Coal indigenous production</v>
      </c>
      <c r="E75" s="166"/>
      <c r="F75" s="267"/>
      <c r="G75" s="267"/>
      <c r="H75" s="1165"/>
      <c r="I75" s="1165"/>
      <c r="J75" s="1165"/>
      <c r="K75" s="1165"/>
      <c r="L75" s="1165"/>
      <c r="M75" s="1165"/>
      <c r="N75" s="1165"/>
      <c r="O75" s="1165"/>
      <c r="P75" s="1165"/>
      <c r="Q75" s="1165"/>
      <c r="R75" s="1165"/>
      <c r="S75" s="1165"/>
      <c r="T75" s="1165"/>
      <c r="U75" s="1165"/>
      <c r="V75" s="1165"/>
      <c r="W75" s="1165"/>
      <c r="X75" s="1165"/>
      <c r="Y75" s="1165"/>
      <c r="Z75" s="1165"/>
      <c r="AA75" s="1165"/>
      <c r="AB75" s="1165"/>
      <c r="AC75" s="1165"/>
      <c r="AD75" s="1165"/>
      <c r="AE75" s="1165"/>
      <c r="AF75" s="1165"/>
      <c r="AG75" s="1165"/>
      <c r="AH75" s="1165"/>
      <c r="AI75" s="1165"/>
      <c r="AJ75" s="1165"/>
      <c r="AK75" s="1165"/>
      <c r="AL75" s="1165"/>
      <c r="AM75" s="1165"/>
      <c r="AN75" s="1165"/>
      <c r="AO75" s="1165"/>
      <c r="AP75" s="1165"/>
      <c r="AQ75" s="1165"/>
      <c r="AR75" s="1165"/>
      <c r="AS75" s="1165"/>
      <c r="AT75" s="1165"/>
      <c r="AU75" s="1165"/>
      <c r="AV75" s="1165"/>
      <c r="AW75" s="1165"/>
      <c r="AX75" s="166"/>
      <c r="AY75" s="1168">
        <f ca="1">INDEX(INDIRECT("'"&amp;AY$4&amp;"'!Year.NetBalance"), MATCH('Intermediate output'!$C75, INDIRECT("'"&amp;AY$4&amp;"'!Year.Vectors"), 0))</f>
        <v>0</v>
      </c>
      <c r="AZ75" s="1168"/>
      <c r="BA75" s="1168">
        <f ca="1">INDEX(INDIRECT("'"&amp;BA$4&amp;"'!Year.NetBalance"), MATCH('Intermediate output'!$C75, INDIRECT("'"&amp;BA$4&amp;"'!Year.Vectors"), 0))</f>
        <v>0</v>
      </c>
      <c r="BB75" s="1168">
        <f ca="1">INDEX(INDIRECT("'"&amp;BB$4&amp;"'!Year.NetBalance"), MATCH('Intermediate output'!$C75, INDIRECT("'"&amp;BB$4&amp;"'!Year.Vectors"), 0))</f>
        <v>0</v>
      </c>
      <c r="BC75" s="1168">
        <f ca="1">INDEX(INDIRECT("'"&amp;BC$4&amp;"'!Year.NetBalance"), MATCH('Intermediate output'!$C75, INDIRECT("'"&amp;BC$4&amp;"'!Year.Vectors"), 0))</f>
        <v>0</v>
      </c>
      <c r="BD75" s="1168">
        <f ca="1">INDEX(INDIRECT("'"&amp;BD$4&amp;"'!Year.NetBalance"), MATCH('Intermediate output'!$C75, INDIRECT("'"&amp;BD$4&amp;"'!Year.Vectors"), 0))</f>
        <v>0</v>
      </c>
      <c r="BE75" s="1168">
        <f ca="1">INDEX(INDIRECT("'"&amp;BE$4&amp;"'!Year.NetBalance"), MATCH('Intermediate output'!$C75, INDIRECT("'"&amp;BE$4&amp;"'!Year.Vectors"), 0))</f>
        <v>0</v>
      </c>
      <c r="BF75" s="1168">
        <f ca="1">INDEX(INDIRECT("'"&amp;BF$4&amp;"'!Year.NetBalance"), MATCH('Intermediate output'!$C75, INDIRECT("'"&amp;BF$4&amp;"'!Year.Vectors"), 0))</f>
        <v>0</v>
      </c>
      <c r="BG75" s="1168">
        <f ca="1">INDEX(INDIRECT("'"&amp;BG$4&amp;"'!Year.NetBalance"), MATCH('Intermediate output'!$C75, INDIRECT("'"&amp;BG$4&amp;"'!Year.Vectors"), 0))</f>
        <v>0</v>
      </c>
      <c r="BH75" s="1168">
        <f ca="1">INDEX(INDIRECT("'"&amp;BH$4&amp;"'!Year.NetBalance"), MATCH('Intermediate output'!$C75, INDIRECT("'"&amp;BH$4&amp;"'!Year.Vectors"), 0))</f>
        <v>0</v>
      </c>
      <c r="BI75" s="1168">
        <f ca="1">INDEX(INDIRECT("'"&amp;BI$4&amp;"'!Year.NetBalance"), MATCH('Intermediate output'!$C75, INDIRECT("'"&amp;BI$4&amp;"'!Year.Vectors"), 0))</f>
        <v>0</v>
      </c>
      <c r="BJ75" s="1169"/>
      <c r="BK75" s="1020"/>
    </row>
    <row r="76" spans="2:63">
      <c r="B76" s="164"/>
      <c r="C76" s="1170" t="s">
        <v>52</v>
      </c>
      <c r="D76" s="166" t="str">
        <f>INDEX(Vectors[Description],MATCH($C76,Vectors[Code],0))</f>
        <v>Oil and petroleum products</v>
      </c>
      <c r="E76" s="166"/>
      <c r="F76" s="267"/>
      <c r="G76" s="267"/>
      <c r="H76" s="1165"/>
      <c r="I76" s="1165"/>
      <c r="J76" s="1165"/>
      <c r="K76" s="1165"/>
      <c r="L76" s="1165"/>
      <c r="M76" s="1165"/>
      <c r="N76" s="1165"/>
      <c r="O76" s="1165"/>
      <c r="P76" s="1165"/>
      <c r="Q76" s="1165"/>
      <c r="R76" s="1165"/>
      <c r="S76" s="1165"/>
      <c r="T76" s="1165"/>
      <c r="U76" s="1165"/>
      <c r="V76" s="1165"/>
      <c r="W76" s="1165"/>
      <c r="X76" s="1165"/>
      <c r="Y76" s="1165"/>
      <c r="Z76" s="1165"/>
      <c r="AA76" s="1165"/>
      <c r="AB76" s="1165"/>
      <c r="AC76" s="1165"/>
      <c r="AD76" s="1165"/>
      <c r="AE76" s="1165"/>
      <c r="AF76" s="1165"/>
      <c r="AG76" s="1165"/>
      <c r="AH76" s="1165"/>
      <c r="AI76" s="1165"/>
      <c r="AJ76" s="1165"/>
      <c r="AK76" s="1165"/>
      <c r="AL76" s="1165"/>
      <c r="AM76" s="1165"/>
      <c r="AN76" s="1165"/>
      <c r="AO76" s="1165"/>
      <c r="AP76" s="1165"/>
      <c r="AQ76" s="1165"/>
      <c r="AR76" s="1165"/>
      <c r="AS76" s="1165"/>
      <c r="AT76" s="1165"/>
      <c r="AU76" s="1165"/>
      <c r="AV76" s="1165"/>
      <c r="AW76" s="1165"/>
      <c r="AX76" s="166"/>
      <c r="AY76" s="1168">
        <f ca="1">INDEX(INDIRECT("'"&amp;AY$4&amp;"'!Year.NetBalance"), MATCH('Intermediate output'!$C76, INDIRECT("'"&amp;AY$4&amp;"'!Year.Vectors"), 0))</f>
        <v>0</v>
      </c>
      <c r="AZ76" s="1168"/>
      <c r="BA76" s="1168">
        <f ca="1">INDEX(INDIRECT("'"&amp;BA$4&amp;"'!Year.NetBalance"), MATCH('Intermediate output'!$C76, INDIRECT("'"&amp;BA$4&amp;"'!Year.Vectors"), 0))</f>
        <v>0</v>
      </c>
      <c r="BB76" s="1168">
        <f ca="1">INDEX(INDIRECT("'"&amp;BB$4&amp;"'!Year.NetBalance"), MATCH('Intermediate output'!$C76, INDIRECT("'"&amp;BB$4&amp;"'!Year.Vectors"), 0))</f>
        <v>0</v>
      </c>
      <c r="BC76" s="1168">
        <f ca="1">INDEX(INDIRECT("'"&amp;BC$4&amp;"'!Year.NetBalance"), MATCH('Intermediate output'!$C76, INDIRECT("'"&amp;BC$4&amp;"'!Year.Vectors"), 0))</f>
        <v>0</v>
      </c>
      <c r="BD76" s="1168">
        <f ca="1">INDEX(INDIRECT("'"&amp;BD$4&amp;"'!Year.NetBalance"), MATCH('Intermediate output'!$C76, INDIRECT("'"&amp;BD$4&amp;"'!Year.Vectors"), 0))</f>
        <v>0</v>
      </c>
      <c r="BE76" s="1168">
        <f ca="1">INDEX(INDIRECT("'"&amp;BE$4&amp;"'!Year.NetBalance"), MATCH('Intermediate output'!$C76, INDIRECT("'"&amp;BE$4&amp;"'!Year.Vectors"), 0))</f>
        <v>0</v>
      </c>
      <c r="BF76" s="1168">
        <f ca="1">INDEX(INDIRECT("'"&amp;BF$4&amp;"'!Year.NetBalance"), MATCH('Intermediate output'!$C76, INDIRECT("'"&amp;BF$4&amp;"'!Year.Vectors"), 0))</f>
        <v>0</v>
      </c>
      <c r="BG76" s="1168">
        <f ca="1">INDEX(INDIRECT("'"&amp;BG$4&amp;"'!Year.NetBalance"), MATCH('Intermediate output'!$C76, INDIRECT("'"&amp;BG$4&amp;"'!Year.Vectors"), 0))</f>
        <v>0</v>
      </c>
      <c r="BH76" s="1168">
        <f ca="1">INDEX(INDIRECT("'"&amp;BH$4&amp;"'!Year.NetBalance"), MATCH('Intermediate output'!$C76, INDIRECT("'"&amp;BH$4&amp;"'!Year.Vectors"), 0))</f>
        <v>5.6843418860808015E-13</v>
      </c>
      <c r="BI76" s="1168">
        <f ca="1">INDEX(INDIRECT("'"&amp;BI$4&amp;"'!Year.NetBalance"), MATCH('Intermediate output'!$C76, INDIRECT("'"&amp;BI$4&amp;"'!Year.Vectors"), 0))</f>
        <v>-7.9580786405131221E-13</v>
      </c>
      <c r="BJ76" s="1169"/>
      <c r="BK76" s="1020"/>
    </row>
    <row r="77" spans="2:63">
      <c r="B77" s="164"/>
      <c r="C77" s="1170" t="s">
        <v>53</v>
      </c>
      <c r="D77" s="166" t="str">
        <f>INDEX(Vectors[Description],MATCH($C77,Vectors[Code],0))</f>
        <v>Natural gas</v>
      </c>
      <c r="E77" s="166"/>
      <c r="F77" s="267"/>
      <c r="G77" s="267"/>
      <c r="H77" s="1165"/>
      <c r="I77" s="1165"/>
      <c r="J77" s="1165"/>
      <c r="K77" s="1165"/>
      <c r="L77" s="1165"/>
      <c r="M77" s="1165"/>
      <c r="N77" s="1165"/>
      <c r="O77" s="1165"/>
      <c r="P77" s="1165"/>
      <c r="Q77" s="1165"/>
      <c r="R77" s="1165"/>
      <c r="S77" s="1165"/>
      <c r="T77" s="1165"/>
      <c r="U77" s="1165"/>
      <c r="V77" s="1165"/>
      <c r="W77" s="1165"/>
      <c r="X77" s="1165"/>
      <c r="Y77" s="1165"/>
      <c r="Z77" s="1165"/>
      <c r="AA77" s="1165"/>
      <c r="AB77" s="1165"/>
      <c r="AC77" s="1165"/>
      <c r="AD77" s="1165"/>
      <c r="AE77" s="1165"/>
      <c r="AF77" s="1165"/>
      <c r="AG77" s="1165"/>
      <c r="AH77" s="1165"/>
      <c r="AI77" s="1165"/>
      <c r="AJ77" s="1165"/>
      <c r="AK77" s="1165"/>
      <c r="AL77" s="1165"/>
      <c r="AM77" s="1165"/>
      <c r="AN77" s="1165"/>
      <c r="AO77" s="1165"/>
      <c r="AP77" s="1165"/>
      <c r="AQ77" s="1165"/>
      <c r="AR77" s="1165"/>
      <c r="AS77" s="1165"/>
      <c r="AT77" s="1165"/>
      <c r="AU77" s="1165"/>
      <c r="AV77" s="1165"/>
      <c r="AW77" s="1165"/>
      <c r="AX77" s="166"/>
      <c r="AY77" s="1168">
        <f ca="1">INDEX(INDIRECT("'"&amp;AY$4&amp;"'!Year.NetBalance"), MATCH('Intermediate output'!$C77, INDIRECT("'"&amp;AY$4&amp;"'!Year.Vectors"), 0))</f>
        <v>0</v>
      </c>
      <c r="AZ77" s="1168"/>
      <c r="BA77" s="1168">
        <f ca="1">INDEX(INDIRECT("'"&amp;BA$4&amp;"'!Year.NetBalance"), MATCH('Intermediate output'!$C77, INDIRECT("'"&amp;BA$4&amp;"'!Year.Vectors"), 0))</f>
        <v>0</v>
      </c>
      <c r="BB77" s="1168">
        <f ca="1">INDEX(INDIRECT("'"&amp;BB$4&amp;"'!Year.NetBalance"), MATCH('Intermediate output'!$C77, INDIRECT("'"&amp;BB$4&amp;"'!Year.Vectors"), 0))</f>
        <v>0</v>
      </c>
      <c r="BC77" s="1168">
        <f ca="1">INDEX(INDIRECT("'"&amp;BC$4&amp;"'!Year.NetBalance"), MATCH('Intermediate output'!$C77, INDIRECT("'"&amp;BC$4&amp;"'!Year.Vectors"), 0))</f>
        <v>0</v>
      </c>
      <c r="BD77" s="1168">
        <f ca="1">INDEX(INDIRECT("'"&amp;BD$4&amp;"'!Year.NetBalance"), MATCH('Intermediate output'!$C77, INDIRECT("'"&amp;BD$4&amp;"'!Year.Vectors"), 0))</f>
        <v>0</v>
      </c>
      <c r="BE77" s="1168">
        <f ca="1">INDEX(INDIRECT("'"&amp;BE$4&amp;"'!Year.NetBalance"), MATCH('Intermediate output'!$C77, INDIRECT("'"&amp;BE$4&amp;"'!Year.Vectors"), 0))</f>
        <v>0</v>
      </c>
      <c r="BF77" s="1168">
        <f ca="1">INDEX(INDIRECT("'"&amp;BF$4&amp;"'!Year.NetBalance"), MATCH('Intermediate output'!$C77, INDIRECT("'"&amp;BF$4&amp;"'!Year.Vectors"), 0))</f>
        <v>0</v>
      </c>
      <c r="BG77" s="1168">
        <f ca="1">INDEX(INDIRECT("'"&amp;BG$4&amp;"'!Year.NetBalance"), MATCH('Intermediate output'!$C77, INDIRECT("'"&amp;BG$4&amp;"'!Year.Vectors"), 0))</f>
        <v>0</v>
      </c>
      <c r="BH77" s="1168">
        <f ca="1">INDEX(INDIRECT("'"&amp;BH$4&amp;"'!Year.NetBalance"), MATCH('Intermediate output'!$C77, INDIRECT("'"&amp;BH$4&amp;"'!Year.Vectors"), 0))</f>
        <v>0</v>
      </c>
      <c r="BI77" s="1168">
        <f ca="1">INDEX(INDIRECT("'"&amp;BI$4&amp;"'!Year.NetBalance"), MATCH('Intermediate output'!$C77, INDIRECT("'"&amp;BI$4&amp;"'!Year.Vectors"), 0))</f>
        <v>0</v>
      </c>
      <c r="BJ77" s="1169"/>
      <c r="BK77" s="1020"/>
    </row>
    <row r="78" spans="2:63">
      <c r="B78" s="164"/>
      <c r="C78" s="1170" t="s">
        <v>36</v>
      </c>
      <c r="D78" s="166" t="str">
        <f>INDEX(Vectors[Description],MATCH($C78,Vectors[Code],0))</f>
        <v>Solid hydrocarbons</v>
      </c>
      <c r="E78" s="166"/>
      <c r="F78" s="267"/>
      <c r="G78" s="267"/>
      <c r="H78" s="1165"/>
      <c r="I78" s="1165"/>
      <c r="J78" s="1165"/>
      <c r="K78" s="1165"/>
      <c r="L78" s="1165"/>
      <c r="M78" s="1165"/>
      <c r="N78" s="1165"/>
      <c r="O78" s="1165"/>
      <c r="P78" s="1165"/>
      <c r="Q78" s="1165"/>
      <c r="R78" s="1165"/>
      <c r="S78" s="1165"/>
      <c r="T78" s="1165"/>
      <c r="U78" s="1165"/>
      <c r="V78" s="1165"/>
      <c r="W78" s="1165"/>
      <c r="X78" s="1165"/>
      <c r="Y78" s="1165"/>
      <c r="Z78" s="1165"/>
      <c r="AA78" s="1165"/>
      <c r="AB78" s="1165"/>
      <c r="AC78" s="1165"/>
      <c r="AD78" s="1165"/>
      <c r="AE78" s="1165"/>
      <c r="AF78" s="1165"/>
      <c r="AG78" s="1165"/>
      <c r="AH78" s="1165"/>
      <c r="AI78" s="1165"/>
      <c r="AJ78" s="1165"/>
      <c r="AK78" s="1165"/>
      <c r="AL78" s="1165"/>
      <c r="AM78" s="1165"/>
      <c r="AN78" s="1165"/>
      <c r="AO78" s="1165"/>
      <c r="AP78" s="1165"/>
      <c r="AQ78" s="1165"/>
      <c r="AR78" s="1165"/>
      <c r="AS78" s="1165"/>
      <c r="AT78" s="1165"/>
      <c r="AU78" s="1165"/>
      <c r="AV78" s="1165"/>
      <c r="AW78" s="1165"/>
      <c r="AX78" s="166"/>
      <c r="AY78" s="1168">
        <f ca="1">INDEX(INDIRECT("'"&amp;AY$4&amp;"'!Year.NetBalance"), MATCH('Intermediate output'!$C78, INDIRECT("'"&amp;AY$4&amp;"'!Year.Vectors"), 0))</f>
        <v>0</v>
      </c>
      <c r="AZ78" s="1168"/>
      <c r="BA78" s="1168">
        <f ca="1">INDEX(INDIRECT("'"&amp;BA$4&amp;"'!Year.NetBalance"), MATCH('Intermediate output'!$C78, INDIRECT("'"&amp;BA$4&amp;"'!Year.Vectors"), 0))</f>
        <v>0</v>
      </c>
      <c r="BB78" s="1168">
        <f ca="1">INDEX(INDIRECT("'"&amp;BB$4&amp;"'!Year.NetBalance"), MATCH('Intermediate output'!$C78, INDIRECT("'"&amp;BB$4&amp;"'!Year.Vectors"), 0))</f>
        <v>0</v>
      </c>
      <c r="BC78" s="1168">
        <f ca="1">INDEX(INDIRECT("'"&amp;BC$4&amp;"'!Year.NetBalance"), MATCH('Intermediate output'!$C78, INDIRECT("'"&amp;BC$4&amp;"'!Year.Vectors"), 0))</f>
        <v>0</v>
      </c>
      <c r="BD78" s="1168">
        <f ca="1">INDEX(INDIRECT("'"&amp;BD$4&amp;"'!Year.NetBalance"), MATCH('Intermediate output'!$C78, INDIRECT("'"&amp;BD$4&amp;"'!Year.Vectors"), 0))</f>
        <v>0</v>
      </c>
      <c r="BE78" s="1168">
        <f ca="1">INDEX(INDIRECT("'"&amp;BE$4&amp;"'!Year.NetBalance"), MATCH('Intermediate output'!$C78, INDIRECT("'"&amp;BE$4&amp;"'!Year.Vectors"), 0))</f>
        <v>0</v>
      </c>
      <c r="BF78" s="1168">
        <f ca="1">INDEX(INDIRECT("'"&amp;BF$4&amp;"'!Year.NetBalance"), MATCH('Intermediate output'!$C78, INDIRECT("'"&amp;BF$4&amp;"'!Year.Vectors"), 0))</f>
        <v>0</v>
      </c>
      <c r="BG78" s="1168">
        <f ca="1">INDEX(INDIRECT("'"&amp;BG$4&amp;"'!Year.NetBalance"), MATCH('Intermediate output'!$C78, INDIRECT("'"&amp;BG$4&amp;"'!Year.Vectors"), 0))</f>
        <v>0</v>
      </c>
      <c r="BH78" s="1168">
        <f ca="1">INDEX(INDIRECT("'"&amp;BH$4&amp;"'!Year.NetBalance"), MATCH('Intermediate output'!$C78, INDIRECT("'"&amp;BH$4&amp;"'!Year.Vectors"), 0))</f>
        <v>0</v>
      </c>
      <c r="BI78" s="1168">
        <f ca="1">INDEX(INDIRECT("'"&amp;BI$4&amp;"'!Year.NetBalance"), MATCH('Intermediate output'!$C78, INDIRECT("'"&amp;BI$4&amp;"'!Year.Vectors"), 0))</f>
        <v>0</v>
      </c>
      <c r="BJ78" s="1169"/>
      <c r="BK78" s="1020"/>
    </row>
    <row r="79" spans="2:63">
      <c r="B79" s="164"/>
      <c r="C79" s="1170" t="s">
        <v>38</v>
      </c>
      <c r="D79" s="166" t="str">
        <f>INDEX(Vectors[Description],MATCH($C79,Vectors[Code],0))</f>
        <v>Liquid hydrocarbons</v>
      </c>
      <c r="E79" s="166"/>
      <c r="F79" s="267"/>
      <c r="G79" s="267"/>
      <c r="H79" s="1165"/>
      <c r="I79" s="1165"/>
      <c r="J79" s="1165"/>
      <c r="K79" s="1165"/>
      <c r="L79" s="1165"/>
      <c r="M79" s="1165"/>
      <c r="N79" s="1165"/>
      <c r="O79" s="1165"/>
      <c r="P79" s="1165"/>
      <c r="Q79" s="1165"/>
      <c r="R79" s="1165"/>
      <c r="S79" s="1165"/>
      <c r="T79" s="1165"/>
      <c r="U79" s="1165"/>
      <c r="V79" s="1165"/>
      <c r="W79" s="1165"/>
      <c r="X79" s="1165"/>
      <c r="Y79" s="1165"/>
      <c r="Z79" s="1165"/>
      <c r="AA79" s="1165"/>
      <c r="AB79" s="1165"/>
      <c r="AC79" s="1165"/>
      <c r="AD79" s="1165"/>
      <c r="AE79" s="1165"/>
      <c r="AF79" s="1165"/>
      <c r="AG79" s="1165"/>
      <c r="AH79" s="1165"/>
      <c r="AI79" s="1165"/>
      <c r="AJ79" s="1165"/>
      <c r="AK79" s="1165"/>
      <c r="AL79" s="1165"/>
      <c r="AM79" s="1165"/>
      <c r="AN79" s="1165"/>
      <c r="AO79" s="1165"/>
      <c r="AP79" s="1165"/>
      <c r="AQ79" s="1165"/>
      <c r="AR79" s="1165"/>
      <c r="AS79" s="1165"/>
      <c r="AT79" s="1165"/>
      <c r="AU79" s="1165"/>
      <c r="AV79" s="1165"/>
      <c r="AW79" s="1165"/>
      <c r="AX79" s="166"/>
      <c r="AY79" s="1168">
        <f ca="1">INDEX(INDIRECT("'"&amp;AY$4&amp;"'!Year.NetBalance"), MATCH('Intermediate output'!$C79, INDIRECT("'"&amp;AY$4&amp;"'!Year.Vectors"), 0))</f>
        <v>0</v>
      </c>
      <c r="AZ79" s="1168"/>
      <c r="BA79" s="1168">
        <f ca="1">INDEX(INDIRECT("'"&amp;BA$4&amp;"'!Year.NetBalance"), MATCH('Intermediate output'!$C79, INDIRECT("'"&amp;BA$4&amp;"'!Year.Vectors"), 0))</f>
        <v>0</v>
      </c>
      <c r="BB79" s="1168">
        <f ca="1">INDEX(INDIRECT("'"&amp;BB$4&amp;"'!Year.NetBalance"), MATCH('Intermediate output'!$C79, INDIRECT("'"&amp;BB$4&amp;"'!Year.Vectors"), 0))</f>
        <v>0</v>
      </c>
      <c r="BC79" s="1168">
        <f ca="1">INDEX(INDIRECT("'"&amp;BC$4&amp;"'!Year.NetBalance"), MATCH('Intermediate output'!$C79, INDIRECT("'"&amp;BC$4&amp;"'!Year.Vectors"), 0))</f>
        <v>0</v>
      </c>
      <c r="BD79" s="1168">
        <f ca="1">INDEX(INDIRECT("'"&amp;BD$4&amp;"'!Year.NetBalance"), MATCH('Intermediate output'!$C79, INDIRECT("'"&amp;BD$4&amp;"'!Year.Vectors"), 0))</f>
        <v>0</v>
      </c>
      <c r="BE79" s="1168">
        <f ca="1">INDEX(INDIRECT("'"&amp;BE$4&amp;"'!Year.NetBalance"), MATCH('Intermediate output'!$C79, INDIRECT("'"&amp;BE$4&amp;"'!Year.Vectors"), 0))</f>
        <v>0</v>
      </c>
      <c r="BF79" s="1168">
        <f ca="1">INDEX(INDIRECT("'"&amp;BF$4&amp;"'!Year.NetBalance"), MATCH('Intermediate output'!$C79, INDIRECT("'"&amp;BF$4&amp;"'!Year.Vectors"), 0))</f>
        <v>0</v>
      </c>
      <c r="BG79" s="1168">
        <f ca="1">INDEX(INDIRECT("'"&amp;BG$4&amp;"'!Year.NetBalance"), MATCH('Intermediate output'!$C79, INDIRECT("'"&amp;BG$4&amp;"'!Year.Vectors"), 0))</f>
        <v>0</v>
      </c>
      <c r="BH79" s="1168">
        <f ca="1">INDEX(INDIRECT("'"&amp;BH$4&amp;"'!Year.NetBalance"), MATCH('Intermediate output'!$C79, INDIRECT("'"&amp;BH$4&amp;"'!Year.Vectors"), 0))</f>
        <v>0</v>
      </c>
      <c r="BI79" s="1168">
        <f ca="1">INDEX(INDIRECT("'"&amp;BI$4&amp;"'!Year.NetBalance"), MATCH('Intermediate output'!$C79, INDIRECT("'"&amp;BI$4&amp;"'!Year.Vectors"), 0))</f>
        <v>0</v>
      </c>
      <c r="BJ79" s="1169"/>
      <c r="BK79" s="1020"/>
    </row>
    <row r="80" spans="2:63">
      <c r="B80" s="164"/>
      <c r="C80" s="1170" t="s">
        <v>39</v>
      </c>
      <c r="D80" s="166" t="str">
        <f>INDEX(Vectors[Description],MATCH($C80,Vectors[Code],0))</f>
        <v>Gaseous hydrocarbons</v>
      </c>
      <c r="E80" s="166"/>
      <c r="F80" s="267"/>
      <c r="G80" s="267"/>
      <c r="H80" s="1165"/>
      <c r="I80" s="1165"/>
      <c r="J80" s="1165"/>
      <c r="K80" s="1165"/>
      <c r="L80" s="1165"/>
      <c r="M80" s="1165"/>
      <c r="N80" s="1165"/>
      <c r="O80" s="1165"/>
      <c r="P80" s="1165"/>
      <c r="Q80" s="1165"/>
      <c r="R80" s="1165"/>
      <c r="S80" s="1165"/>
      <c r="T80" s="1165"/>
      <c r="U80" s="1165"/>
      <c r="V80" s="1165"/>
      <c r="W80" s="1165"/>
      <c r="X80" s="1165"/>
      <c r="Y80" s="1165"/>
      <c r="Z80" s="1165"/>
      <c r="AA80" s="1165"/>
      <c r="AB80" s="1165"/>
      <c r="AC80" s="1165"/>
      <c r="AD80" s="1165"/>
      <c r="AE80" s="1165"/>
      <c r="AF80" s="1165"/>
      <c r="AG80" s="1165"/>
      <c r="AH80" s="1165"/>
      <c r="AI80" s="1165"/>
      <c r="AJ80" s="1165"/>
      <c r="AK80" s="1165"/>
      <c r="AL80" s="1165"/>
      <c r="AM80" s="1165"/>
      <c r="AN80" s="1165"/>
      <c r="AO80" s="1165"/>
      <c r="AP80" s="1165"/>
      <c r="AQ80" s="1165"/>
      <c r="AR80" s="1165"/>
      <c r="AS80" s="1165"/>
      <c r="AT80" s="1165"/>
      <c r="AU80" s="1165"/>
      <c r="AV80" s="1165"/>
      <c r="AW80" s="1165"/>
      <c r="AX80" s="166"/>
      <c r="AY80" s="1168">
        <f ca="1">INDEX(INDIRECT("'"&amp;AY$4&amp;"'!Year.NetBalance"), MATCH('Intermediate output'!$C80, INDIRECT("'"&amp;AY$4&amp;"'!Year.Vectors"), 0))</f>
        <v>0</v>
      </c>
      <c r="AZ80" s="1168"/>
      <c r="BA80" s="1168">
        <f ca="1">INDEX(INDIRECT("'"&amp;BA$4&amp;"'!Year.NetBalance"), MATCH('Intermediate output'!$C80, INDIRECT("'"&amp;BA$4&amp;"'!Year.Vectors"), 0))</f>
        <v>0</v>
      </c>
      <c r="BB80" s="1168">
        <f ca="1">INDEX(INDIRECT("'"&amp;BB$4&amp;"'!Year.NetBalance"), MATCH('Intermediate output'!$C80, INDIRECT("'"&amp;BB$4&amp;"'!Year.Vectors"), 0))</f>
        <v>0</v>
      </c>
      <c r="BC80" s="1168">
        <f ca="1">INDEX(INDIRECT("'"&amp;BC$4&amp;"'!Year.NetBalance"), MATCH('Intermediate output'!$C80, INDIRECT("'"&amp;BC$4&amp;"'!Year.Vectors"), 0))</f>
        <v>0</v>
      </c>
      <c r="BD80" s="1168">
        <f ca="1">INDEX(INDIRECT("'"&amp;BD$4&amp;"'!Year.NetBalance"), MATCH('Intermediate output'!$C80, INDIRECT("'"&amp;BD$4&amp;"'!Year.Vectors"), 0))</f>
        <v>0</v>
      </c>
      <c r="BE80" s="1168">
        <f ca="1">INDEX(INDIRECT("'"&amp;BE$4&amp;"'!Year.NetBalance"), MATCH('Intermediate output'!$C80, INDIRECT("'"&amp;BE$4&amp;"'!Year.Vectors"), 0))</f>
        <v>0</v>
      </c>
      <c r="BF80" s="1168">
        <f ca="1">INDEX(INDIRECT("'"&amp;BF$4&amp;"'!Year.NetBalance"), MATCH('Intermediate output'!$C80, INDIRECT("'"&amp;BF$4&amp;"'!Year.Vectors"), 0))</f>
        <v>0</v>
      </c>
      <c r="BG80" s="1168">
        <f ca="1">INDEX(INDIRECT("'"&amp;BG$4&amp;"'!Year.NetBalance"), MATCH('Intermediate output'!$C80, INDIRECT("'"&amp;BG$4&amp;"'!Year.Vectors"), 0))</f>
        <v>0</v>
      </c>
      <c r="BH80" s="1168">
        <f ca="1">INDEX(INDIRECT("'"&amp;BH$4&amp;"'!Year.NetBalance"), MATCH('Intermediate output'!$C80, INDIRECT("'"&amp;BH$4&amp;"'!Year.Vectors"), 0))</f>
        <v>0</v>
      </c>
      <c r="BI80" s="1168">
        <f ca="1">INDEX(INDIRECT("'"&amp;BI$4&amp;"'!Year.NetBalance"), MATCH('Intermediate output'!$C80, INDIRECT("'"&amp;BI$4&amp;"'!Year.Vectors"), 0))</f>
        <v>0</v>
      </c>
      <c r="BJ80" s="1169"/>
      <c r="BK80" s="1020"/>
    </row>
    <row r="81" spans="1:63">
      <c r="B81" s="164"/>
      <c r="C81" s="1170" t="s">
        <v>93</v>
      </c>
      <c r="D81" s="166" t="str">
        <f>INDEX(Vectors[Description],MATCH($C81,Vectors[Code],0))</f>
        <v>Solid Biomass Hydrocarbons</v>
      </c>
      <c r="E81" s="166"/>
      <c r="F81" s="267"/>
      <c r="G81" s="267"/>
      <c r="H81" s="1165"/>
      <c r="I81" s="1165"/>
      <c r="J81" s="1165"/>
      <c r="K81" s="1165"/>
      <c r="L81" s="1165"/>
      <c r="M81" s="1165"/>
      <c r="N81" s="1165"/>
      <c r="O81" s="1165"/>
      <c r="P81" s="1165"/>
      <c r="Q81" s="1165"/>
      <c r="R81" s="1165"/>
      <c r="S81" s="1165"/>
      <c r="T81" s="1165"/>
      <c r="U81" s="1165"/>
      <c r="V81" s="1165"/>
      <c r="W81" s="1165"/>
      <c r="X81" s="1165"/>
      <c r="Y81" s="1165"/>
      <c r="Z81" s="1165"/>
      <c r="AA81" s="1165"/>
      <c r="AB81" s="1165"/>
      <c r="AC81" s="1165"/>
      <c r="AD81" s="1165"/>
      <c r="AE81" s="1165"/>
      <c r="AF81" s="1165"/>
      <c r="AG81" s="1165"/>
      <c r="AH81" s="1165"/>
      <c r="AI81" s="1165"/>
      <c r="AJ81" s="1165"/>
      <c r="AK81" s="1165"/>
      <c r="AL81" s="1165"/>
      <c r="AM81" s="1165"/>
      <c r="AN81" s="1165"/>
      <c r="AO81" s="1165"/>
      <c r="AP81" s="1165"/>
      <c r="AQ81" s="1165"/>
      <c r="AR81" s="1165"/>
      <c r="AS81" s="1165"/>
      <c r="AT81" s="1165"/>
      <c r="AU81" s="1165"/>
      <c r="AV81" s="1165"/>
      <c r="AW81" s="1165"/>
      <c r="AX81" s="166"/>
      <c r="AY81" s="1168">
        <f ca="1">INDEX(INDIRECT("'"&amp;AY$4&amp;"'!Year.NetBalance"), MATCH('Intermediate output'!$C81, INDIRECT("'"&amp;AY$4&amp;"'!Year.Vectors"), 0))</f>
        <v>0</v>
      </c>
      <c r="AZ81" s="1168"/>
      <c r="BA81" s="1168">
        <f ca="1">INDEX(INDIRECT("'"&amp;BA$4&amp;"'!Year.NetBalance"), MATCH('Intermediate output'!$C81, INDIRECT("'"&amp;BA$4&amp;"'!Year.Vectors"), 0))</f>
        <v>0</v>
      </c>
      <c r="BB81" s="1168">
        <f ca="1">INDEX(INDIRECT("'"&amp;BB$4&amp;"'!Year.NetBalance"), MATCH('Intermediate output'!$C81, INDIRECT("'"&amp;BB$4&amp;"'!Year.Vectors"), 0))</f>
        <v>0</v>
      </c>
      <c r="BC81" s="1168">
        <f ca="1">INDEX(INDIRECT("'"&amp;BC$4&amp;"'!Year.NetBalance"), MATCH('Intermediate output'!$C81, INDIRECT("'"&amp;BC$4&amp;"'!Year.Vectors"), 0))</f>
        <v>0</v>
      </c>
      <c r="BD81" s="1168">
        <f ca="1">INDEX(INDIRECT("'"&amp;BD$4&amp;"'!Year.NetBalance"), MATCH('Intermediate output'!$C81, INDIRECT("'"&amp;BD$4&amp;"'!Year.Vectors"), 0))</f>
        <v>0</v>
      </c>
      <c r="BE81" s="1168">
        <f ca="1">INDEX(INDIRECT("'"&amp;BE$4&amp;"'!Year.NetBalance"), MATCH('Intermediate output'!$C81, INDIRECT("'"&amp;BE$4&amp;"'!Year.Vectors"), 0))</f>
        <v>0</v>
      </c>
      <c r="BF81" s="1168">
        <f ca="1">INDEX(INDIRECT("'"&amp;BF$4&amp;"'!Year.NetBalance"), MATCH('Intermediate output'!$C81, INDIRECT("'"&amp;BF$4&amp;"'!Year.Vectors"), 0))</f>
        <v>0</v>
      </c>
      <c r="BG81" s="1168">
        <f ca="1">INDEX(INDIRECT("'"&amp;BG$4&amp;"'!Year.NetBalance"), MATCH('Intermediate output'!$C81, INDIRECT("'"&amp;BG$4&amp;"'!Year.Vectors"), 0))</f>
        <v>0</v>
      </c>
      <c r="BH81" s="1168">
        <f ca="1">INDEX(INDIRECT("'"&amp;BH$4&amp;"'!Year.NetBalance"), MATCH('Intermediate output'!$C81, INDIRECT("'"&amp;BH$4&amp;"'!Year.Vectors"), 0))</f>
        <v>0</v>
      </c>
      <c r="BI81" s="1168">
        <f ca="1">INDEX(INDIRECT("'"&amp;BI$4&amp;"'!Year.NetBalance"), MATCH('Intermediate output'!$C81, INDIRECT("'"&amp;BI$4&amp;"'!Year.Vectors"), 0))</f>
        <v>0</v>
      </c>
      <c r="BJ81" s="1169"/>
      <c r="BK81" s="1020"/>
    </row>
    <row r="82" spans="1:63">
      <c r="B82" s="164"/>
      <c r="C82" s="1170" t="s">
        <v>254</v>
      </c>
      <c r="D82" s="166" t="str">
        <f>INDEX(Vectors[Description],MATCH($C82,Vectors[Code],0))</f>
        <v>Edible biomass</v>
      </c>
      <c r="E82" s="166"/>
      <c r="F82" s="267"/>
      <c r="G82" s="267"/>
      <c r="H82" s="1165"/>
      <c r="I82" s="1165"/>
      <c r="J82" s="1165"/>
      <c r="K82" s="1165"/>
      <c r="L82" s="1165"/>
      <c r="M82" s="1165"/>
      <c r="N82" s="1165"/>
      <c r="O82" s="1165"/>
      <c r="P82" s="1165"/>
      <c r="Q82" s="1165"/>
      <c r="R82" s="1165"/>
      <c r="S82" s="1165"/>
      <c r="T82" s="1165"/>
      <c r="U82" s="1165"/>
      <c r="V82" s="1165"/>
      <c r="W82" s="1165"/>
      <c r="X82" s="1165"/>
      <c r="Y82" s="1165"/>
      <c r="Z82" s="1165"/>
      <c r="AA82" s="1165"/>
      <c r="AB82" s="1165"/>
      <c r="AC82" s="1165"/>
      <c r="AD82" s="1165"/>
      <c r="AE82" s="1165"/>
      <c r="AF82" s="1165"/>
      <c r="AG82" s="1165"/>
      <c r="AH82" s="1165"/>
      <c r="AI82" s="1165"/>
      <c r="AJ82" s="1165"/>
      <c r="AK82" s="1165"/>
      <c r="AL82" s="1165"/>
      <c r="AM82" s="1165"/>
      <c r="AN82" s="1165"/>
      <c r="AO82" s="1165"/>
      <c r="AP82" s="1165"/>
      <c r="AQ82" s="1165"/>
      <c r="AR82" s="1165"/>
      <c r="AS82" s="1165"/>
      <c r="AT82" s="1165"/>
      <c r="AU82" s="1165"/>
      <c r="AV82" s="1165"/>
      <c r="AW82" s="1165"/>
      <c r="AX82" s="166"/>
      <c r="AY82" s="1168">
        <f ca="1">INDEX(INDIRECT("'"&amp;AY$4&amp;"'!Year.NetBalance"), MATCH('Intermediate output'!$C82, INDIRECT("'"&amp;AY$4&amp;"'!Year.Vectors"), 0))</f>
        <v>0</v>
      </c>
      <c r="AZ82" s="1168"/>
      <c r="BA82" s="1168">
        <f ca="1">INDEX(INDIRECT("'"&amp;BA$4&amp;"'!Year.NetBalance"), MATCH('Intermediate output'!$C82, INDIRECT("'"&amp;BA$4&amp;"'!Year.Vectors"), 0))</f>
        <v>0</v>
      </c>
      <c r="BB82" s="1168">
        <f ca="1">INDEX(INDIRECT("'"&amp;BB$4&amp;"'!Year.NetBalance"), MATCH('Intermediate output'!$C82, INDIRECT("'"&amp;BB$4&amp;"'!Year.Vectors"), 0))</f>
        <v>0</v>
      </c>
      <c r="BC82" s="1168">
        <f ca="1">INDEX(INDIRECT("'"&amp;BC$4&amp;"'!Year.NetBalance"), MATCH('Intermediate output'!$C82, INDIRECT("'"&amp;BC$4&amp;"'!Year.Vectors"), 0))</f>
        <v>0</v>
      </c>
      <c r="BD82" s="1168">
        <f ca="1">INDEX(INDIRECT("'"&amp;BD$4&amp;"'!Year.NetBalance"), MATCH('Intermediate output'!$C82, INDIRECT("'"&amp;BD$4&amp;"'!Year.Vectors"), 0))</f>
        <v>0</v>
      </c>
      <c r="BE82" s="1168">
        <f ca="1">INDEX(INDIRECT("'"&amp;BE$4&amp;"'!Year.NetBalance"), MATCH('Intermediate output'!$C82, INDIRECT("'"&amp;BE$4&amp;"'!Year.Vectors"), 0))</f>
        <v>0</v>
      </c>
      <c r="BF82" s="1168">
        <f ca="1">INDEX(INDIRECT("'"&amp;BF$4&amp;"'!Year.NetBalance"), MATCH('Intermediate output'!$C82, INDIRECT("'"&amp;BF$4&amp;"'!Year.Vectors"), 0))</f>
        <v>0</v>
      </c>
      <c r="BG82" s="1168">
        <f ca="1">INDEX(INDIRECT("'"&amp;BG$4&amp;"'!Year.NetBalance"), MATCH('Intermediate output'!$C82, INDIRECT("'"&amp;BG$4&amp;"'!Year.Vectors"), 0))</f>
        <v>0</v>
      </c>
      <c r="BH82" s="1168">
        <f ca="1">INDEX(INDIRECT("'"&amp;BH$4&amp;"'!Year.NetBalance"), MATCH('Intermediate output'!$C82, INDIRECT("'"&amp;BH$4&amp;"'!Year.Vectors"), 0))</f>
        <v>0</v>
      </c>
      <c r="BI82" s="1168">
        <f ca="1">INDEX(INDIRECT("'"&amp;BI$4&amp;"'!Year.NetBalance"), MATCH('Intermediate output'!$C82, INDIRECT("'"&amp;BI$4&amp;"'!Year.Vectors"), 0))</f>
        <v>0</v>
      </c>
      <c r="BJ82" s="1169"/>
      <c r="BK82" s="1020"/>
    </row>
    <row r="83" spans="1:63">
      <c r="B83" s="164"/>
      <c r="C83" s="1170" t="s">
        <v>253</v>
      </c>
      <c r="D83" s="166" t="str">
        <f>INDEX(Vectors[Description],MATCH($C83,Vectors[Code],0))</f>
        <v xml:space="preserve"> Gaseous Biomass Hydrocarbons</v>
      </c>
      <c r="E83" s="166"/>
      <c r="F83" s="267"/>
      <c r="G83" s="267"/>
      <c r="H83" s="1165"/>
      <c r="I83" s="1165"/>
      <c r="J83" s="1165"/>
      <c r="K83" s="1165"/>
      <c r="L83" s="1165"/>
      <c r="M83" s="1165"/>
      <c r="N83" s="1165"/>
      <c r="O83" s="1165"/>
      <c r="P83" s="1165"/>
      <c r="Q83" s="1165"/>
      <c r="R83" s="1165"/>
      <c r="S83" s="1165"/>
      <c r="T83" s="1165"/>
      <c r="U83" s="1165"/>
      <c r="V83" s="1165"/>
      <c r="W83" s="1165"/>
      <c r="X83" s="1165"/>
      <c r="Y83" s="1165"/>
      <c r="Z83" s="1165"/>
      <c r="AA83" s="1165"/>
      <c r="AB83" s="1165"/>
      <c r="AC83" s="1165"/>
      <c r="AD83" s="1165"/>
      <c r="AE83" s="1165"/>
      <c r="AF83" s="1165"/>
      <c r="AG83" s="1165"/>
      <c r="AH83" s="1165"/>
      <c r="AI83" s="1165"/>
      <c r="AJ83" s="1165"/>
      <c r="AK83" s="1165"/>
      <c r="AL83" s="1165"/>
      <c r="AM83" s="1165"/>
      <c r="AN83" s="1165"/>
      <c r="AO83" s="1165"/>
      <c r="AP83" s="1165"/>
      <c r="AQ83" s="1165"/>
      <c r="AR83" s="1165"/>
      <c r="AS83" s="1165"/>
      <c r="AT83" s="1165"/>
      <c r="AU83" s="1165"/>
      <c r="AV83" s="1165"/>
      <c r="AW83" s="1165"/>
      <c r="AX83" s="166"/>
      <c r="AY83" s="1168">
        <f ca="1">INDEX(INDIRECT("'"&amp;AY$4&amp;"'!Year.NetBalance"), MATCH('Intermediate output'!$C83, INDIRECT("'"&amp;AY$4&amp;"'!Year.Vectors"), 0))</f>
        <v>0</v>
      </c>
      <c r="AZ83" s="1168"/>
      <c r="BA83" s="1168">
        <f ca="1">INDEX(INDIRECT("'"&amp;BA$4&amp;"'!Year.NetBalance"), MATCH('Intermediate output'!$C83, INDIRECT("'"&amp;BA$4&amp;"'!Year.Vectors"), 0))</f>
        <v>0</v>
      </c>
      <c r="BB83" s="1168">
        <f ca="1">INDEX(INDIRECT("'"&amp;BB$4&amp;"'!Year.NetBalance"), MATCH('Intermediate output'!$C83, INDIRECT("'"&amp;BB$4&amp;"'!Year.Vectors"), 0))</f>
        <v>0</v>
      </c>
      <c r="BC83" s="1168">
        <f ca="1">INDEX(INDIRECT("'"&amp;BC$4&amp;"'!Year.NetBalance"), MATCH('Intermediate output'!$C83, INDIRECT("'"&amp;BC$4&amp;"'!Year.Vectors"), 0))</f>
        <v>0</v>
      </c>
      <c r="BD83" s="1168">
        <f ca="1">INDEX(INDIRECT("'"&amp;BD$4&amp;"'!Year.NetBalance"), MATCH('Intermediate output'!$C83, INDIRECT("'"&amp;BD$4&amp;"'!Year.Vectors"), 0))</f>
        <v>0</v>
      </c>
      <c r="BE83" s="1168">
        <f ca="1">INDEX(INDIRECT("'"&amp;BE$4&amp;"'!Year.NetBalance"), MATCH('Intermediate output'!$C83, INDIRECT("'"&amp;BE$4&amp;"'!Year.Vectors"), 0))</f>
        <v>0</v>
      </c>
      <c r="BF83" s="1168">
        <f ca="1">INDEX(INDIRECT("'"&amp;BF$4&amp;"'!Year.NetBalance"), MATCH('Intermediate output'!$C83, INDIRECT("'"&amp;BF$4&amp;"'!Year.Vectors"), 0))</f>
        <v>0</v>
      </c>
      <c r="BG83" s="1168">
        <f ca="1">INDEX(INDIRECT("'"&amp;BG$4&amp;"'!Year.NetBalance"), MATCH('Intermediate output'!$C83, INDIRECT("'"&amp;BG$4&amp;"'!Year.Vectors"), 0))</f>
        <v>0</v>
      </c>
      <c r="BH83" s="1168">
        <f ca="1">INDEX(INDIRECT("'"&amp;BH$4&amp;"'!Year.NetBalance"), MATCH('Intermediate output'!$C83, INDIRECT("'"&amp;BH$4&amp;"'!Year.Vectors"), 0))</f>
        <v>0</v>
      </c>
      <c r="BI83" s="1168">
        <f ca="1">INDEX(INDIRECT("'"&amp;BI$4&amp;"'!Year.NetBalance"), MATCH('Intermediate output'!$C83, INDIRECT("'"&amp;BI$4&amp;"'!Year.Vectors"), 0))</f>
        <v>0</v>
      </c>
      <c r="BJ83" s="1169"/>
      <c r="BK83" s="1020"/>
    </row>
    <row r="84" spans="1:63">
      <c r="B84" s="164"/>
      <c r="C84" s="1170" t="s">
        <v>255</v>
      </c>
      <c r="D84" s="166" t="str">
        <f>INDEX(Vectors[Description],MATCH($C84,Vectors[Code],0))</f>
        <v>Dry biomass and waste</v>
      </c>
      <c r="E84" s="166"/>
      <c r="F84" s="267"/>
      <c r="G84" s="267"/>
      <c r="H84" s="1165"/>
      <c r="I84" s="1165"/>
      <c r="J84" s="1165"/>
      <c r="K84" s="1165"/>
      <c r="L84" s="1165"/>
      <c r="M84" s="1165"/>
      <c r="N84" s="1165"/>
      <c r="O84" s="1165"/>
      <c r="P84" s="1165"/>
      <c r="Q84" s="1165"/>
      <c r="R84" s="1165"/>
      <c r="S84" s="1165"/>
      <c r="T84" s="1165"/>
      <c r="U84" s="1165"/>
      <c r="V84" s="1165"/>
      <c r="W84" s="1165"/>
      <c r="X84" s="1165"/>
      <c r="Y84" s="1165"/>
      <c r="Z84" s="1165"/>
      <c r="AA84" s="1165"/>
      <c r="AB84" s="1165"/>
      <c r="AC84" s="1165"/>
      <c r="AD84" s="1165"/>
      <c r="AE84" s="1165"/>
      <c r="AF84" s="1165"/>
      <c r="AG84" s="1165"/>
      <c r="AH84" s="1165"/>
      <c r="AI84" s="1165"/>
      <c r="AJ84" s="1165"/>
      <c r="AK84" s="1165"/>
      <c r="AL84" s="1165"/>
      <c r="AM84" s="1165"/>
      <c r="AN84" s="1165"/>
      <c r="AO84" s="1165"/>
      <c r="AP84" s="1165"/>
      <c r="AQ84" s="1165"/>
      <c r="AR84" s="1165"/>
      <c r="AS84" s="1165"/>
      <c r="AT84" s="1165"/>
      <c r="AU84" s="1165"/>
      <c r="AV84" s="1165"/>
      <c r="AW84" s="1165"/>
      <c r="AX84" s="166"/>
      <c r="AY84" s="1168">
        <f ca="1">INDEX(INDIRECT("'"&amp;AY$4&amp;"'!Year.NetBalance"), MATCH('Intermediate output'!$C84, INDIRECT("'"&amp;AY$4&amp;"'!Year.Vectors"), 0))</f>
        <v>0</v>
      </c>
      <c r="AZ84" s="1168"/>
      <c r="BA84" s="1168">
        <f ca="1">INDEX(INDIRECT("'"&amp;BA$4&amp;"'!Year.NetBalance"), MATCH('Intermediate output'!$C84, INDIRECT("'"&amp;BA$4&amp;"'!Year.Vectors"), 0))</f>
        <v>0</v>
      </c>
      <c r="BB84" s="1168">
        <f ca="1">INDEX(INDIRECT("'"&amp;BB$4&amp;"'!Year.NetBalance"), MATCH('Intermediate output'!$C84, INDIRECT("'"&amp;BB$4&amp;"'!Year.Vectors"), 0))</f>
        <v>0</v>
      </c>
      <c r="BC84" s="1168">
        <f ca="1">INDEX(INDIRECT("'"&amp;BC$4&amp;"'!Year.NetBalance"), MATCH('Intermediate output'!$C84, INDIRECT("'"&amp;BC$4&amp;"'!Year.Vectors"), 0))</f>
        <v>0</v>
      </c>
      <c r="BD84" s="1168">
        <f ca="1">INDEX(INDIRECT("'"&amp;BD$4&amp;"'!Year.NetBalance"), MATCH('Intermediate output'!$C84, INDIRECT("'"&amp;BD$4&amp;"'!Year.Vectors"), 0))</f>
        <v>0</v>
      </c>
      <c r="BE84" s="1168">
        <f ca="1">INDEX(INDIRECT("'"&amp;BE$4&amp;"'!Year.NetBalance"), MATCH('Intermediate output'!$C84, INDIRECT("'"&amp;BE$4&amp;"'!Year.Vectors"), 0))</f>
        <v>0</v>
      </c>
      <c r="BF84" s="1168">
        <f ca="1">INDEX(INDIRECT("'"&amp;BF$4&amp;"'!Year.NetBalance"), MATCH('Intermediate output'!$C84, INDIRECT("'"&amp;BF$4&amp;"'!Year.Vectors"), 0))</f>
        <v>0</v>
      </c>
      <c r="BG84" s="1168">
        <f ca="1">INDEX(INDIRECT("'"&amp;BG$4&amp;"'!Year.NetBalance"), MATCH('Intermediate output'!$C84, INDIRECT("'"&amp;BG$4&amp;"'!Year.Vectors"), 0))</f>
        <v>0</v>
      </c>
      <c r="BH84" s="1168">
        <f ca="1">INDEX(INDIRECT("'"&amp;BH$4&amp;"'!Year.NetBalance"), MATCH('Intermediate output'!$C84, INDIRECT("'"&amp;BH$4&amp;"'!Year.Vectors"), 0))</f>
        <v>0</v>
      </c>
      <c r="BI84" s="1168">
        <f ca="1">INDEX(INDIRECT("'"&amp;BI$4&amp;"'!Year.NetBalance"), MATCH('Intermediate output'!$C84, INDIRECT("'"&amp;BI$4&amp;"'!Year.Vectors"), 0))</f>
        <v>0</v>
      </c>
      <c r="BJ84" s="1169"/>
      <c r="BK84" s="1020"/>
    </row>
    <row r="85" spans="1:63">
      <c r="B85" s="164"/>
      <c r="C85" s="1170" t="s">
        <v>297</v>
      </c>
      <c r="D85" s="166" t="str">
        <f>INDEX(Vectors[Description],MATCH($C85,Vectors[Code],0))</f>
        <v>Wet biomass and waste</v>
      </c>
      <c r="E85" s="166"/>
      <c r="F85" s="267"/>
      <c r="G85" s="267"/>
      <c r="H85" s="1165"/>
      <c r="I85" s="1165"/>
      <c r="J85" s="1165"/>
      <c r="K85" s="1165"/>
      <c r="L85" s="1165"/>
      <c r="M85" s="1165"/>
      <c r="N85" s="1165"/>
      <c r="O85" s="1165"/>
      <c r="P85" s="1165"/>
      <c r="Q85" s="1165"/>
      <c r="R85" s="1165"/>
      <c r="S85" s="1165"/>
      <c r="T85" s="1165"/>
      <c r="U85" s="1165"/>
      <c r="V85" s="1165"/>
      <c r="W85" s="1165"/>
      <c r="X85" s="1165"/>
      <c r="Y85" s="1165"/>
      <c r="Z85" s="1165"/>
      <c r="AA85" s="1165"/>
      <c r="AB85" s="1165"/>
      <c r="AC85" s="1165"/>
      <c r="AD85" s="1165"/>
      <c r="AE85" s="1165"/>
      <c r="AF85" s="1165"/>
      <c r="AG85" s="1165"/>
      <c r="AH85" s="1165"/>
      <c r="AI85" s="1165"/>
      <c r="AJ85" s="1165"/>
      <c r="AK85" s="1165"/>
      <c r="AL85" s="1165"/>
      <c r="AM85" s="1165"/>
      <c r="AN85" s="1165"/>
      <c r="AO85" s="1165"/>
      <c r="AP85" s="1165"/>
      <c r="AQ85" s="1165"/>
      <c r="AR85" s="1165"/>
      <c r="AS85" s="1165"/>
      <c r="AT85" s="1165"/>
      <c r="AU85" s="1165"/>
      <c r="AV85" s="1165"/>
      <c r="AW85" s="1165"/>
      <c r="AX85" s="166"/>
      <c r="AY85" s="1168">
        <f ca="1">INDEX(INDIRECT("'"&amp;AY$4&amp;"'!Year.NetBalance"), MATCH('Intermediate output'!$C85, INDIRECT("'"&amp;AY$4&amp;"'!Year.Vectors"), 0))</f>
        <v>0</v>
      </c>
      <c r="AZ85" s="1168"/>
      <c r="BA85" s="1168">
        <f ca="1">INDEX(INDIRECT("'"&amp;BA$4&amp;"'!Year.NetBalance"), MATCH('Intermediate output'!$C85, INDIRECT("'"&amp;BA$4&amp;"'!Year.Vectors"), 0))</f>
        <v>0</v>
      </c>
      <c r="BB85" s="1168">
        <f ca="1">INDEX(INDIRECT("'"&amp;BB$4&amp;"'!Year.NetBalance"), MATCH('Intermediate output'!$C85, INDIRECT("'"&amp;BB$4&amp;"'!Year.Vectors"), 0))</f>
        <v>0</v>
      </c>
      <c r="BC85" s="1168">
        <f ca="1">INDEX(INDIRECT("'"&amp;BC$4&amp;"'!Year.NetBalance"), MATCH('Intermediate output'!$C85, INDIRECT("'"&amp;BC$4&amp;"'!Year.Vectors"), 0))</f>
        <v>0</v>
      </c>
      <c r="BD85" s="1168">
        <f ca="1">INDEX(INDIRECT("'"&amp;BD$4&amp;"'!Year.NetBalance"), MATCH('Intermediate output'!$C85, INDIRECT("'"&amp;BD$4&amp;"'!Year.Vectors"), 0))</f>
        <v>0</v>
      </c>
      <c r="BE85" s="1168">
        <f ca="1">INDEX(INDIRECT("'"&amp;BE$4&amp;"'!Year.NetBalance"), MATCH('Intermediate output'!$C85, INDIRECT("'"&amp;BE$4&amp;"'!Year.Vectors"), 0))</f>
        <v>0</v>
      </c>
      <c r="BF85" s="1168">
        <f ca="1">INDEX(INDIRECT("'"&amp;BF$4&amp;"'!Year.NetBalance"), MATCH('Intermediate output'!$C85, INDIRECT("'"&amp;BF$4&amp;"'!Year.Vectors"), 0))</f>
        <v>0</v>
      </c>
      <c r="BG85" s="1168">
        <f ca="1">INDEX(INDIRECT("'"&amp;BG$4&amp;"'!Year.NetBalance"), MATCH('Intermediate output'!$C85, INDIRECT("'"&amp;BG$4&amp;"'!Year.Vectors"), 0))</f>
        <v>0</v>
      </c>
      <c r="BH85" s="1168">
        <f ca="1">INDEX(INDIRECT("'"&amp;BH$4&amp;"'!Year.NetBalance"), MATCH('Intermediate output'!$C85, INDIRECT("'"&amp;BH$4&amp;"'!Year.Vectors"), 0))</f>
        <v>0</v>
      </c>
      <c r="BI85" s="1168">
        <f ca="1">INDEX(INDIRECT("'"&amp;BI$4&amp;"'!Year.NetBalance"), MATCH('Intermediate output'!$C85, INDIRECT("'"&amp;BI$4&amp;"'!Year.Vectors"), 0))</f>
        <v>1.7763568394002505E-15</v>
      </c>
      <c r="BJ85" s="1169"/>
      <c r="BK85" s="1020"/>
    </row>
    <row r="86" spans="1:63">
      <c r="B86" s="164"/>
      <c r="C86" s="1170" t="s">
        <v>408</v>
      </c>
      <c r="D86" s="166" t="str">
        <f>INDEX(Vectors[Description],MATCH($C86,Vectors[Code],0))</f>
        <v>Off Grid Renewables</v>
      </c>
      <c r="E86" s="166"/>
      <c r="F86" s="267"/>
      <c r="G86" s="267"/>
      <c r="H86" s="1165"/>
      <c r="I86" s="1165"/>
      <c r="J86" s="1165"/>
      <c r="K86" s="1165"/>
      <c r="L86" s="1165"/>
      <c r="M86" s="1165"/>
      <c r="N86" s="1165"/>
      <c r="O86" s="1165"/>
      <c r="P86" s="1165"/>
      <c r="Q86" s="1165"/>
      <c r="R86" s="1165"/>
      <c r="S86" s="1165"/>
      <c r="T86" s="1165"/>
      <c r="U86" s="1165"/>
      <c r="V86" s="1165"/>
      <c r="W86" s="1165"/>
      <c r="X86" s="1165"/>
      <c r="Y86" s="1165"/>
      <c r="Z86" s="1165"/>
      <c r="AA86" s="1165"/>
      <c r="AB86" s="1165"/>
      <c r="AC86" s="1165"/>
      <c r="AD86" s="1165"/>
      <c r="AE86" s="1165"/>
      <c r="AF86" s="1165"/>
      <c r="AG86" s="1165"/>
      <c r="AH86" s="1165"/>
      <c r="AI86" s="1165"/>
      <c r="AJ86" s="1165"/>
      <c r="AK86" s="1165"/>
      <c r="AL86" s="1165"/>
      <c r="AM86" s="1165"/>
      <c r="AN86" s="1165"/>
      <c r="AO86" s="1165"/>
      <c r="AP86" s="1165"/>
      <c r="AQ86" s="1165"/>
      <c r="AR86" s="1165"/>
      <c r="AS86" s="1165"/>
      <c r="AT86" s="1165"/>
      <c r="AU86" s="1165"/>
      <c r="AV86" s="1165"/>
      <c r="AW86" s="1165"/>
      <c r="AX86" s="166"/>
      <c r="AY86" s="1168">
        <f ca="1">INDEX(INDIRECT("'"&amp;AY$4&amp;"'!Year.NetBalance"), MATCH('Intermediate output'!$C86, INDIRECT("'"&amp;AY$4&amp;"'!Year.Vectors"), 0))</f>
        <v>0</v>
      </c>
      <c r="AZ86" s="1168"/>
      <c r="BA86" s="1168">
        <f ca="1">INDEX(INDIRECT("'"&amp;BA$4&amp;"'!Year.NetBalance"), MATCH('Intermediate output'!$C86, INDIRECT("'"&amp;BA$4&amp;"'!Year.Vectors"), 0))</f>
        <v>0</v>
      </c>
      <c r="BB86" s="1168">
        <f ca="1">INDEX(INDIRECT("'"&amp;BB$4&amp;"'!Year.NetBalance"), MATCH('Intermediate output'!$C86, INDIRECT("'"&amp;BB$4&amp;"'!Year.Vectors"), 0))</f>
        <v>0</v>
      </c>
      <c r="BC86" s="1168">
        <f ca="1">INDEX(INDIRECT("'"&amp;BC$4&amp;"'!Year.NetBalance"), MATCH('Intermediate output'!$C86, INDIRECT("'"&amp;BC$4&amp;"'!Year.Vectors"), 0))</f>
        <v>0</v>
      </c>
      <c r="BD86" s="1168">
        <f ca="1">INDEX(INDIRECT("'"&amp;BD$4&amp;"'!Year.NetBalance"), MATCH('Intermediate output'!$C86, INDIRECT("'"&amp;BD$4&amp;"'!Year.Vectors"), 0))</f>
        <v>0</v>
      </c>
      <c r="BE86" s="1168">
        <f ca="1">INDEX(INDIRECT("'"&amp;BE$4&amp;"'!Year.NetBalance"), MATCH('Intermediate output'!$C86, INDIRECT("'"&amp;BE$4&amp;"'!Year.Vectors"), 0))</f>
        <v>0</v>
      </c>
      <c r="BF86" s="1168">
        <f ca="1">INDEX(INDIRECT("'"&amp;BF$4&amp;"'!Year.NetBalance"), MATCH('Intermediate output'!$C86, INDIRECT("'"&amp;BF$4&amp;"'!Year.Vectors"), 0))</f>
        <v>0</v>
      </c>
      <c r="BG86" s="1168">
        <f ca="1">INDEX(INDIRECT("'"&amp;BG$4&amp;"'!Year.NetBalance"), MATCH('Intermediate output'!$C86, INDIRECT("'"&amp;BG$4&amp;"'!Year.Vectors"), 0))</f>
        <v>0</v>
      </c>
      <c r="BH86" s="1168">
        <f ca="1">INDEX(INDIRECT("'"&amp;BH$4&amp;"'!Year.NetBalance"), MATCH('Intermediate output'!$C86, INDIRECT("'"&amp;BH$4&amp;"'!Year.Vectors"), 0))</f>
        <v>0</v>
      </c>
      <c r="BI86" s="1168">
        <f ca="1">INDEX(INDIRECT("'"&amp;BI$4&amp;"'!Year.NetBalance"), MATCH('Intermediate output'!$C86, INDIRECT("'"&amp;BI$4&amp;"'!Year.Vectors"), 0))</f>
        <v>0</v>
      </c>
      <c r="BJ86" s="1169"/>
      <c r="BK86" s="1020"/>
    </row>
    <row r="87" spans="1:63">
      <c r="B87" s="164"/>
      <c r="C87" s="1170" t="s">
        <v>427</v>
      </c>
      <c r="D87" s="166" t="str">
        <f>INDEX(Vectors[Description],MATCH($C87,Vectors[Code],0))</f>
        <v>H2</v>
      </c>
      <c r="E87" s="166"/>
      <c r="F87" s="267"/>
      <c r="G87" s="267"/>
      <c r="H87" s="1165"/>
      <c r="I87" s="1165"/>
      <c r="J87" s="1165"/>
      <c r="K87" s="1165"/>
      <c r="L87" s="1165"/>
      <c r="M87" s="1165"/>
      <c r="N87" s="1165"/>
      <c r="O87" s="1165"/>
      <c r="P87" s="1165"/>
      <c r="Q87" s="1165"/>
      <c r="R87" s="1165"/>
      <c r="S87" s="1165"/>
      <c r="T87" s="1165"/>
      <c r="U87" s="1165"/>
      <c r="V87" s="1165"/>
      <c r="W87" s="1165"/>
      <c r="X87" s="1165"/>
      <c r="Y87" s="1165"/>
      <c r="Z87" s="1165"/>
      <c r="AA87" s="1165"/>
      <c r="AB87" s="1165"/>
      <c r="AC87" s="1165"/>
      <c r="AD87" s="1165"/>
      <c r="AE87" s="1165"/>
      <c r="AF87" s="1165"/>
      <c r="AG87" s="1165"/>
      <c r="AH87" s="1165"/>
      <c r="AI87" s="1165"/>
      <c r="AJ87" s="1165"/>
      <c r="AK87" s="1165"/>
      <c r="AL87" s="1165"/>
      <c r="AM87" s="1165"/>
      <c r="AN87" s="1165"/>
      <c r="AO87" s="1165"/>
      <c r="AP87" s="1165"/>
      <c r="AQ87" s="1165"/>
      <c r="AR87" s="1165"/>
      <c r="AS87" s="1165"/>
      <c r="AT87" s="1165"/>
      <c r="AU87" s="1165"/>
      <c r="AV87" s="1165"/>
      <c r="AW87" s="1165"/>
      <c r="AX87" s="166"/>
      <c r="AY87" s="1168">
        <f ca="1">INDEX(INDIRECT("'"&amp;AY$4&amp;"'!Year.NetBalance"), MATCH('Intermediate output'!$C87, INDIRECT("'"&amp;AY$4&amp;"'!Year.Vectors"), 0))</f>
        <v>0</v>
      </c>
      <c r="AZ87" s="1168"/>
      <c r="BA87" s="1168">
        <f ca="1">INDEX(INDIRECT("'"&amp;BA$4&amp;"'!Year.NetBalance"), MATCH('Intermediate output'!$C87, INDIRECT("'"&amp;BA$4&amp;"'!Year.Vectors"), 0))</f>
        <v>0</v>
      </c>
      <c r="BB87" s="1168">
        <f ca="1">INDEX(INDIRECT("'"&amp;BB$4&amp;"'!Year.NetBalance"), MATCH('Intermediate output'!$C87, INDIRECT("'"&amp;BB$4&amp;"'!Year.Vectors"), 0))</f>
        <v>0</v>
      </c>
      <c r="BC87" s="1168">
        <f ca="1">INDEX(INDIRECT("'"&amp;BC$4&amp;"'!Year.NetBalance"), MATCH('Intermediate output'!$C87, INDIRECT("'"&amp;BC$4&amp;"'!Year.Vectors"), 0))</f>
        <v>0</v>
      </c>
      <c r="BD87" s="1168">
        <f ca="1">INDEX(INDIRECT("'"&amp;BD$4&amp;"'!Year.NetBalance"), MATCH('Intermediate output'!$C87, INDIRECT("'"&amp;BD$4&amp;"'!Year.Vectors"), 0))</f>
        <v>0</v>
      </c>
      <c r="BE87" s="1168">
        <f ca="1">INDEX(INDIRECT("'"&amp;BE$4&amp;"'!Year.NetBalance"), MATCH('Intermediate output'!$C87, INDIRECT("'"&amp;BE$4&amp;"'!Year.Vectors"), 0))</f>
        <v>0</v>
      </c>
      <c r="BF87" s="1168">
        <f ca="1">INDEX(INDIRECT("'"&amp;BF$4&amp;"'!Year.NetBalance"), MATCH('Intermediate output'!$C87, INDIRECT("'"&amp;BF$4&amp;"'!Year.Vectors"), 0))</f>
        <v>0</v>
      </c>
      <c r="BG87" s="1168">
        <f ca="1">INDEX(INDIRECT("'"&amp;BG$4&amp;"'!Year.NetBalance"), MATCH('Intermediate output'!$C87, INDIRECT("'"&amp;BG$4&amp;"'!Year.Vectors"), 0))</f>
        <v>0</v>
      </c>
      <c r="BH87" s="1168">
        <f ca="1">INDEX(INDIRECT("'"&amp;BH$4&amp;"'!Year.NetBalance"), MATCH('Intermediate output'!$C87, INDIRECT("'"&amp;BH$4&amp;"'!Year.Vectors"), 0))</f>
        <v>0</v>
      </c>
      <c r="BI87" s="1168">
        <f ca="1">INDEX(INDIRECT("'"&amp;BI$4&amp;"'!Year.NetBalance"), MATCH('Intermediate output'!$C87, INDIRECT("'"&amp;BI$4&amp;"'!Year.Vectors"), 0))</f>
        <v>0</v>
      </c>
      <c r="BJ87" s="1169"/>
      <c r="BK87" s="1020"/>
    </row>
    <row r="88" spans="1:63">
      <c r="B88" s="164"/>
      <c r="C88" s="1170" t="s">
        <v>435</v>
      </c>
      <c r="D88" s="166" t="str">
        <f>INDEX(Vectors[Description],MATCH($C88,Vectors[Code],0))</f>
        <v>Energy crops (second generation)</v>
      </c>
      <c r="E88" s="166"/>
      <c r="F88" s="267"/>
      <c r="G88" s="267"/>
      <c r="H88" s="1165"/>
      <c r="I88" s="1165"/>
      <c r="J88" s="1165"/>
      <c r="K88" s="1165"/>
      <c r="L88" s="1165"/>
      <c r="M88" s="1165"/>
      <c r="N88" s="1165"/>
      <c r="O88" s="1165"/>
      <c r="P88" s="1165"/>
      <c r="Q88" s="1165"/>
      <c r="R88" s="1165"/>
      <c r="S88" s="1165"/>
      <c r="T88" s="1165"/>
      <c r="U88" s="1165"/>
      <c r="V88" s="1165"/>
      <c r="W88" s="1165"/>
      <c r="X88" s="1165"/>
      <c r="Y88" s="1165"/>
      <c r="Z88" s="1165"/>
      <c r="AA88" s="1165"/>
      <c r="AB88" s="1165"/>
      <c r="AC88" s="1165"/>
      <c r="AD88" s="1165"/>
      <c r="AE88" s="1165"/>
      <c r="AF88" s="1165"/>
      <c r="AG88" s="1165"/>
      <c r="AH88" s="1165"/>
      <c r="AI88" s="1165"/>
      <c r="AJ88" s="1165"/>
      <c r="AK88" s="1165"/>
      <c r="AL88" s="1165"/>
      <c r="AM88" s="1165"/>
      <c r="AN88" s="1165"/>
      <c r="AO88" s="1165"/>
      <c r="AP88" s="1165"/>
      <c r="AQ88" s="1165"/>
      <c r="AR88" s="1165"/>
      <c r="AS88" s="1165"/>
      <c r="AT88" s="1165"/>
      <c r="AU88" s="1165"/>
      <c r="AV88" s="1165"/>
      <c r="AW88" s="1165"/>
      <c r="AX88" s="166"/>
      <c r="AY88" s="1168">
        <f ca="1">INDEX(INDIRECT("'"&amp;AY$4&amp;"'!Year.NetBalance"), MATCH('Intermediate output'!$C88, INDIRECT("'"&amp;AY$4&amp;"'!Year.Vectors"), 0))</f>
        <v>0</v>
      </c>
      <c r="AZ88" s="1168"/>
      <c r="BA88" s="1168">
        <f ca="1">INDEX(INDIRECT("'"&amp;BA$4&amp;"'!Year.NetBalance"), MATCH('Intermediate output'!$C88, INDIRECT("'"&amp;BA$4&amp;"'!Year.Vectors"), 0))</f>
        <v>0</v>
      </c>
      <c r="BB88" s="1168">
        <f ca="1">INDEX(INDIRECT("'"&amp;BB$4&amp;"'!Year.NetBalance"), MATCH('Intermediate output'!$C88, INDIRECT("'"&amp;BB$4&amp;"'!Year.Vectors"), 0))</f>
        <v>0</v>
      </c>
      <c r="BC88" s="1168">
        <f ca="1">INDEX(INDIRECT("'"&amp;BC$4&amp;"'!Year.NetBalance"), MATCH('Intermediate output'!$C88, INDIRECT("'"&amp;BC$4&amp;"'!Year.Vectors"), 0))</f>
        <v>0</v>
      </c>
      <c r="BD88" s="1168">
        <f ca="1">INDEX(INDIRECT("'"&amp;BD$4&amp;"'!Year.NetBalance"), MATCH('Intermediate output'!$C88, INDIRECT("'"&amp;BD$4&amp;"'!Year.Vectors"), 0))</f>
        <v>0</v>
      </c>
      <c r="BE88" s="1168">
        <f ca="1">INDEX(INDIRECT("'"&amp;BE$4&amp;"'!Year.NetBalance"), MATCH('Intermediate output'!$C88, INDIRECT("'"&amp;BE$4&amp;"'!Year.Vectors"), 0))</f>
        <v>0</v>
      </c>
      <c r="BF88" s="1168">
        <f ca="1">INDEX(INDIRECT("'"&amp;BF$4&amp;"'!Year.NetBalance"), MATCH('Intermediate output'!$C88, INDIRECT("'"&amp;BF$4&amp;"'!Year.Vectors"), 0))</f>
        <v>0</v>
      </c>
      <c r="BG88" s="1168">
        <f ca="1">INDEX(INDIRECT("'"&amp;BG$4&amp;"'!Year.NetBalance"), MATCH('Intermediate output'!$C88, INDIRECT("'"&amp;BG$4&amp;"'!Year.Vectors"), 0))</f>
        <v>0</v>
      </c>
      <c r="BH88" s="1168">
        <f ca="1">INDEX(INDIRECT("'"&amp;BH$4&amp;"'!Year.NetBalance"), MATCH('Intermediate output'!$C88, INDIRECT("'"&amp;BH$4&amp;"'!Year.Vectors"), 0))</f>
        <v>0</v>
      </c>
      <c r="BI88" s="1168">
        <f ca="1">INDEX(INDIRECT("'"&amp;BI$4&amp;"'!Year.NetBalance"), MATCH('Intermediate output'!$C88, INDIRECT("'"&amp;BI$4&amp;"'!Year.Vectors"), 0))</f>
        <v>0</v>
      </c>
      <c r="BJ88" s="1169"/>
      <c r="BK88" s="1020"/>
    </row>
    <row r="89" spans="1:63" s="51" customFormat="1">
      <c r="B89" s="164"/>
      <c r="C89" s="60"/>
      <c r="D89" s="1174" t="s">
        <v>1142</v>
      </c>
      <c r="E89" s="166"/>
      <c r="F89" s="1175"/>
      <c r="G89" s="1176"/>
      <c r="H89" s="1171"/>
      <c r="I89" s="1171"/>
      <c r="J89" s="1171"/>
      <c r="K89" s="1171"/>
      <c r="L89" s="1171"/>
      <c r="M89" s="1171"/>
      <c r="N89" s="1171"/>
      <c r="O89" s="1171"/>
      <c r="P89" s="1171"/>
      <c r="Q89" s="1171"/>
      <c r="R89" s="1171"/>
      <c r="S89" s="1171"/>
      <c r="T89" s="1171"/>
      <c r="U89" s="1171"/>
      <c r="V89" s="1171"/>
      <c r="W89" s="1171"/>
      <c r="X89" s="1171"/>
      <c r="Y89" s="1171"/>
      <c r="Z89" s="1171"/>
      <c r="AA89" s="1171"/>
      <c r="AB89" s="1171"/>
      <c r="AC89" s="1171"/>
      <c r="AD89" s="1171"/>
      <c r="AE89" s="1171"/>
      <c r="AF89" s="1171"/>
      <c r="AG89" s="1171"/>
      <c r="AH89" s="1171"/>
      <c r="AI89" s="1171"/>
      <c r="AJ89" s="1171"/>
      <c r="AK89" s="1171"/>
      <c r="AL89" s="1171"/>
      <c r="AM89" s="1171"/>
      <c r="AN89" s="1171"/>
      <c r="AO89" s="1171"/>
      <c r="AP89" s="1171"/>
      <c r="AQ89" s="1171"/>
      <c r="AR89" s="1171"/>
      <c r="AS89" s="1171"/>
      <c r="AT89" s="1171"/>
      <c r="AU89" s="1171"/>
      <c r="AV89" s="1171"/>
      <c r="AW89" s="1171"/>
      <c r="AX89" s="166"/>
      <c r="AY89" s="1175">
        <f t="shared" ref="AY89:BI89" ca="1" si="32">SUM(AY75:AY88)</f>
        <v>0</v>
      </c>
      <c r="AZ89" s="1175"/>
      <c r="BA89" s="1175">
        <f t="shared" ca="1" si="32"/>
        <v>0</v>
      </c>
      <c r="BB89" s="1175">
        <f t="shared" ca="1" si="32"/>
        <v>0</v>
      </c>
      <c r="BC89" s="1175">
        <f t="shared" ca="1" si="32"/>
        <v>0</v>
      </c>
      <c r="BD89" s="1175">
        <f t="shared" ca="1" si="32"/>
        <v>0</v>
      </c>
      <c r="BE89" s="1175">
        <f t="shared" ca="1" si="32"/>
        <v>0</v>
      </c>
      <c r="BF89" s="1175">
        <f t="shared" ca="1" si="32"/>
        <v>0</v>
      </c>
      <c r="BG89" s="1175">
        <f t="shared" ca="1" si="32"/>
        <v>0</v>
      </c>
      <c r="BH89" s="1175">
        <f t="shared" ca="1" si="32"/>
        <v>5.6843418860808015E-13</v>
      </c>
      <c r="BI89" s="1175">
        <f t="shared" ca="1" si="32"/>
        <v>-7.9403150721191196E-13</v>
      </c>
      <c r="BJ89" s="1190"/>
      <c r="BK89" s="1020"/>
    </row>
    <row r="90" spans="1:63">
      <c r="B90" s="164"/>
      <c r="C90" s="166"/>
      <c r="D90" s="166"/>
      <c r="E90" s="166"/>
      <c r="F90" s="166"/>
      <c r="G90" s="166"/>
      <c r="H90" s="1156"/>
      <c r="I90" s="1156"/>
      <c r="J90" s="1156"/>
      <c r="K90" s="1156"/>
      <c r="L90" s="1156"/>
      <c r="M90" s="1156"/>
      <c r="N90" s="1156"/>
      <c r="O90" s="1156"/>
      <c r="P90" s="1156"/>
      <c r="Q90" s="1156"/>
      <c r="R90" s="1156"/>
      <c r="S90" s="1156"/>
      <c r="T90" s="1156"/>
      <c r="U90" s="1156"/>
      <c r="V90" s="1156"/>
      <c r="W90" s="1156"/>
      <c r="X90" s="1156"/>
      <c r="Y90" s="1156"/>
      <c r="Z90" s="1156"/>
      <c r="AA90" s="1156"/>
      <c r="AB90" s="1156"/>
      <c r="AC90" s="1156"/>
      <c r="AD90" s="1156"/>
      <c r="AE90" s="1156"/>
      <c r="AF90" s="1156"/>
      <c r="AG90" s="1156"/>
      <c r="AH90" s="1156"/>
      <c r="AI90" s="1156"/>
      <c r="AJ90" s="1156"/>
      <c r="AK90" s="1156"/>
      <c r="AL90" s="1156"/>
      <c r="AM90" s="1156"/>
      <c r="AN90" s="1156"/>
      <c r="AO90" s="1156"/>
      <c r="AP90" s="1156"/>
      <c r="AQ90" s="1156"/>
      <c r="AR90" s="1156"/>
      <c r="AS90" s="1156"/>
      <c r="AT90" s="1156"/>
      <c r="AU90" s="1156"/>
      <c r="AV90" s="1156"/>
      <c r="AW90" s="1156"/>
      <c r="AX90" s="166"/>
      <c r="AY90" s="1168"/>
      <c r="AZ90" s="1168"/>
      <c r="BA90" s="1168"/>
      <c r="BB90" s="1168"/>
      <c r="BC90" s="1168"/>
      <c r="BD90" s="1168"/>
      <c r="BE90" s="1168"/>
      <c r="BF90" s="1168"/>
      <c r="BG90" s="1168"/>
      <c r="BH90" s="1168"/>
      <c r="BI90" s="1168"/>
      <c r="BJ90" s="1169"/>
      <c r="BK90" s="1020"/>
    </row>
    <row r="91" spans="1:63" s="859" customFormat="1" ht="18">
      <c r="B91" s="1189"/>
      <c r="C91" s="266"/>
      <c r="D91" s="1174" t="s">
        <v>1143</v>
      </c>
      <c r="E91" s="166"/>
      <c r="F91" s="1175"/>
      <c r="G91" s="1176"/>
      <c r="H91" s="1171"/>
      <c r="I91" s="1171"/>
      <c r="J91" s="1171"/>
      <c r="K91" s="1171"/>
      <c r="L91" s="1171"/>
      <c r="M91" s="1171"/>
      <c r="N91" s="1171"/>
      <c r="O91" s="1171"/>
      <c r="P91" s="1171"/>
      <c r="Q91" s="1171"/>
      <c r="R91" s="1171"/>
      <c r="S91" s="1171"/>
      <c r="T91" s="1171"/>
      <c r="U91" s="1171"/>
      <c r="V91" s="1171"/>
      <c r="W91" s="1171"/>
      <c r="X91" s="1171"/>
      <c r="Y91" s="1171"/>
      <c r="Z91" s="1171"/>
      <c r="AA91" s="1171"/>
      <c r="AB91" s="1171"/>
      <c r="AC91" s="1171"/>
      <c r="AD91" s="1171"/>
      <c r="AE91" s="1171"/>
      <c r="AF91" s="1171"/>
      <c r="AG91" s="1171"/>
      <c r="AH91" s="1171"/>
      <c r="AI91" s="1171"/>
      <c r="AJ91" s="1171"/>
      <c r="AK91" s="1171"/>
      <c r="AL91" s="1171"/>
      <c r="AM91" s="1171"/>
      <c r="AN91" s="1171"/>
      <c r="AO91" s="1171"/>
      <c r="AP91" s="1171"/>
      <c r="AQ91" s="1171"/>
      <c r="AR91" s="1171"/>
      <c r="AS91" s="1171"/>
      <c r="AT91" s="1171"/>
      <c r="AU91" s="1171"/>
      <c r="AV91" s="1171"/>
      <c r="AW91" s="1171"/>
      <c r="AX91" s="166"/>
      <c r="AY91" s="1175">
        <f t="shared" ref="AY91:BI91" ca="1" si="33">AY21-AY57+AY89</f>
        <v>4.5474735088646412E-13</v>
      </c>
      <c r="AZ91" s="1175"/>
      <c r="BA91" s="1175">
        <f t="shared" ca="1" si="33"/>
        <v>0</v>
      </c>
      <c r="BB91" s="1175">
        <f t="shared" ca="1" si="33"/>
        <v>0</v>
      </c>
      <c r="BC91" s="1175">
        <f t="shared" ca="1" si="33"/>
        <v>-1.8189894035458565E-12</v>
      </c>
      <c r="BD91" s="1175">
        <f t="shared" ca="1" si="33"/>
        <v>1.8189894035458565E-12</v>
      </c>
      <c r="BE91" s="1175">
        <f t="shared" ca="1" si="33"/>
        <v>-3.637978807091713E-12</v>
      </c>
      <c r="BF91" s="1175">
        <f t="shared" ca="1" si="33"/>
        <v>0</v>
      </c>
      <c r="BG91" s="1175">
        <f t="shared" ca="1" si="33"/>
        <v>0</v>
      </c>
      <c r="BH91" s="1175">
        <f t="shared" ca="1" si="33"/>
        <v>4.2064129956997931E-12</v>
      </c>
      <c r="BI91" s="1175">
        <f t="shared" ca="1" si="33"/>
        <v>-7.9403150721191196E-13</v>
      </c>
      <c r="BJ91" s="1177"/>
      <c r="BK91" s="1020"/>
    </row>
    <row r="92" spans="1:63" s="859" customFormat="1">
      <c r="D92" s="1191"/>
      <c r="E92" s="3297"/>
      <c r="F92" s="1192"/>
      <c r="G92" s="1192"/>
      <c r="H92" s="1193"/>
      <c r="I92" s="1193"/>
      <c r="J92" s="1193"/>
      <c r="K92" s="1193"/>
      <c r="L92" s="1193"/>
      <c r="M92" s="1193"/>
      <c r="N92" s="1193"/>
      <c r="O92" s="1193"/>
      <c r="P92" s="1193"/>
      <c r="Q92" s="1193"/>
      <c r="R92" s="1193"/>
      <c r="S92" s="1193"/>
      <c r="T92" s="1193"/>
      <c r="U92" s="1193"/>
      <c r="V92" s="1193"/>
      <c r="W92" s="1193"/>
      <c r="X92" s="1193"/>
      <c r="Y92" s="1193"/>
      <c r="Z92" s="1193"/>
      <c r="AA92" s="1193"/>
      <c r="AB92" s="1193"/>
      <c r="AC92" s="1193"/>
      <c r="AD92" s="1193"/>
      <c r="AE92" s="1193"/>
      <c r="AF92" s="1193"/>
      <c r="AG92" s="1193"/>
      <c r="AH92" s="1193"/>
      <c r="AI92" s="1193"/>
      <c r="AJ92" s="1193"/>
      <c r="AK92" s="1193"/>
      <c r="AL92" s="1193"/>
      <c r="AM92" s="1193"/>
      <c r="AN92" s="1193"/>
      <c r="AO92" s="1193"/>
      <c r="AP92" s="1193"/>
      <c r="AQ92" s="1193"/>
      <c r="AR92" s="1193"/>
      <c r="AS92" s="1193"/>
      <c r="AT92" s="1193"/>
      <c r="AU92" s="1193"/>
      <c r="AV92" s="1193"/>
      <c r="AW92" s="1193"/>
      <c r="AX92" s="3297"/>
      <c r="AY92" s="1192"/>
      <c r="AZ92" s="1192"/>
      <c r="BA92" s="1192"/>
      <c r="BB92" s="1192"/>
      <c r="BC92" s="1192"/>
      <c r="BD92" s="1192"/>
      <c r="BE92" s="1192"/>
      <c r="BF92" s="1192"/>
      <c r="BG92" s="1192"/>
      <c r="BH92" s="1192"/>
      <c r="BI92" s="1192"/>
      <c r="BJ92" s="1178"/>
      <c r="BK92" s="1178"/>
    </row>
    <row r="93" spans="1:63" ht="21" customHeight="1">
      <c r="A93" s="420"/>
      <c r="B93" s="1194" t="s">
        <v>1144</v>
      </c>
      <c r="C93" s="1195"/>
      <c r="D93" s="1195"/>
      <c r="E93" s="1195"/>
      <c r="F93" s="1195"/>
      <c r="G93" s="1195"/>
      <c r="H93" s="1196"/>
      <c r="I93" s="1196"/>
      <c r="J93" s="1196"/>
      <c r="K93" s="1196"/>
      <c r="L93" s="1196"/>
      <c r="M93" s="1196"/>
      <c r="N93" s="1196"/>
      <c r="O93" s="1196"/>
      <c r="P93" s="1196"/>
      <c r="Q93" s="1196"/>
      <c r="R93" s="1196"/>
      <c r="S93" s="1196"/>
      <c r="T93" s="1196"/>
      <c r="U93" s="1196"/>
      <c r="V93" s="1196"/>
      <c r="W93" s="1196"/>
      <c r="X93" s="1196"/>
      <c r="Y93" s="1196"/>
      <c r="Z93" s="1196"/>
      <c r="AA93" s="1196"/>
      <c r="AB93" s="1196"/>
      <c r="AC93" s="1196"/>
      <c r="AD93" s="1196"/>
      <c r="AE93" s="1196"/>
      <c r="AF93" s="1196"/>
      <c r="AG93" s="1196"/>
      <c r="AH93" s="1196"/>
      <c r="AI93" s="1196"/>
      <c r="AJ93" s="1196"/>
      <c r="AK93" s="1196"/>
      <c r="AL93" s="1196"/>
      <c r="AM93" s="1196"/>
      <c r="AN93" s="1196"/>
      <c r="AO93" s="1196"/>
      <c r="AP93" s="1196"/>
      <c r="AQ93" s="1196"/>
      <c r="AR93" s="1196"/>
      <c r="AS93" s="1196"/>
      <c r="AT93" s="1196"/>
      <c r="AU93" s="1196"/>
      <c r="AV93" s="1196"/>
      <c r="AW93" s="1196"/>
      <c r="AX93" s="1195"/>
      <c r="AY93" s="1197"/>
      <c r="AZ93" s="1197"/>
      <c r="BA93" s="1197"/>
      <c r="BB93" s="1197"/>
      <c r="BC93" s="1197"/>
      <c r="BD93" s="1197"/>
      <c r="BE93" s="1197"/>
      <c r="BF93" s="1197"/>
      <c r="BG93" s="1197"/>
      <c r="BH93" s="1197"/>
      <c r="BI93" s="1197"/>
      <c r="BJ93" s="1198"/>
      <c r="BK93" s="22"/>
    </row>
    <row r="94" spans="1:63" ht="18">
      <c r="B94" s="2569"/>
      <c r="C94" s="191"/>
      <c r="D94" s="191"/>
      <c r="E94" s="191"/>
      <c r="F94" s="191"/>
      <c r="G94" s="191"/>
      <c r="H94" s="2570"/>
      <c r="I94" s="2570"/>
      <c r="J94" s="2570"/>
      <c r="K94" s="2570"/>
      <c r="L94" s="2570"/>
      <c r="M94" s="2570"/>
      <c r="N94" s="2570"/>
      <c r="O94" s="2570"/>
      <c r="P94" s="2570"/>
      <c r="Q94" s="2570"/>
      <c r="R94" s="2570"/>
      <c r="S94" s="2570"/>
      <c r="T94" s="2570"/>
      <c r="U94" s="2570"/>
      <c r="V94" s="2570"/>
      <c r="W94" s="2570"/>
      <c r="X94" s="2570"/>
      <c r="Y94" s="2570"/>
      <c r="Z94" s="2570"/>
      <c r="AA94" s="2570"/>
      <c r="AB94" s="2570"/>
      <c r="AC94" s="2570"/>
      <c r="AD94" s="2570"/>
      <c r="AE94" s="2570"/>
      <c r="AF94" s="2570"/>
      <c r="AG94" s="2570"/>
      <c r="AH94" s="2570"/>
      <c r="AI94" s="2570"/>
      <c r="AJ94" s="2570"/>
      <c r="AK94" s="2570"/>
      <c r="AL94" s="2570"/>
      <c r="AM94" s="2570"/>
      <c r="AN94" s="2570"/>
      <c r="AO94" s="2570"/>
      <c r="AP94" s="2570"/>
      <c r="AQ94" s="2570"/>
      <c r="AR94" s="2570"/>
      <c r="AS94" s="2570"/>
      <c r="AT94" s="2570"/>
      <c r="AU94" s="2570"/>
      <c r="AV94" s="2570"/>
      <c r="AW94" s="2570"/>
      <c r="AX94" s="191"/>
      <c r="AY94" s="2571"/>
      <c r="AZ94" s="2571"/>
      <c r="BA94" s="2571"/>
      <c r="BB94" s="2571"/>
      <c r="BC94" s="2571"/>
      <c r="BD94" s="2571"/>
      <c r="BE94" s="2571"/>
      <c r="BF94" s="2571"/>
      <c r="BG94" s="2571"/>
      <c r="BH94" s="2571"/>
      <c r="BI94" s="2571"/>
      <c r="BJ94" s="2572"/>
      <c r="BK94" s="22"/>
    </row>
    <row r="95" spans="1:63" ht="15.75">
      <c r="B95" s="2573"/>
      <c r="C95" s="187" t="s">
        <v>34</v>
      </c>
      <c r="D95" s="187" t="str">
        <f>INDEX(Vectors[Description],MATCH($C95,Vectors[Code],0))</f>
        <v>Electricity (delivered to end user)</v>
      </c>
      <c r="E95" s="187"/>
      <c r="F95" s="2574"/>
      <c r="G95" s="2574"/>
      <c r="H95" s="2575"/>
      <c r="I95" s="2575"/>
      <c r="J95" s="2575"/>
      <c r="K95" s="2575"/>
      <c r="L95" s="2575"/>
      <c r="M95" s="2575"/>
      <c r="N95" s="2575"/>
      <c r="O95" s="2575"/>
      <c r="P95" s="2575"/>
      <c r="Q95" s="2575"/>
      <c r="R95" s="2575"/>
      <c r="S95" s="2575"/>
      <c r="T95" s="2575"/>
      <c r="U95" s="2575"/>
      <c r="V95" s="2575"/>
      <c r="W95" s="2575"/>
      <c r="X95" s="2575"/>
      <c r="Y95" s="2575"/>
      <c r="Z95" s="2575"/>
      <c r="AA95" s="2575"/>
      <c r="AB95" s="2575"/>
      <c r="AC95" s="2575"/>
      <c r="AD95" s="2575"/>
      <c r="AE95" s="2575"/>
      <c r="AF95" s="2575"/>
      <c r="AG95" s="2575"/>
      <c r="AH95" s="2575"/>
      <c r="AI95" s="2575"/>
      <c r="AJ95" s="2575"/>
      <c r="AK95" s="2575"/>
      <c r="AL95" s="2575"/>
      <c r="AM95" s="2575"/>
      <c r="AN95" s="2575"/>
      <c r="AO95" s="2575"/>
      <c r="AP95" s="2575"/>
      <c r="AQ95" s="2575"/>
      <c r="AR95" s="2575"/>
      <c r="AS95" s="2575"/>
      <c r="AT95" s="2575"/>
      <c r="AU95" s="2575"/>
      <c r="AV95" s="2575"/>
      <c r="AW95" s="2575"/>
      <c r="AX95" s="187"/>
      <c r="AY95" s="2576">
        <f ca="1">INDEX(INDIRECT("'"&amp;AY$4&amp;"'!Year.NetBalance"), MATCH('Intermediate output'!$C95, INDIRECT("'"&amp;AY$4&amp;"'!Year.Vectors"), 0))</f>
        <v>-595.68681516482502</v>
      </c>
      <c r="AZ95" s="2576"/>
      <c r="BA95" s="2576">
        <f ca="1">INDEX(INDIRECT("'"&amp;BA$4&amp;"'!Year.NetBalance"), MATCH('Intermediate output'!$C95, INDIRECT("'"&amp;BA$4&amp;"'!Year.Vectors"), 0))</f>
        <v>-798.39296177664801</v>
      </c>
      <c r="BB95" s="2576">
        <f ca="1">INDEX(INDIRECT("'"&amp;BB$4&amp;"'!Year.NetBalance"), MATCH('Intermediate output'!$C95, INDIRECT("'"&amp;BB$4&amp;"'!Year.Vectors"), 0))</f>
        <v>-1142.8498773739643</v>
      </c>
      <c r="BC95" s="2576">
        <f ca="1">INDEX(INDIRECT("'"&amp;BC$4&amp;"'!Year.NetBalance"), MATCH('Intermediate output'!$C95, INDIRECT("'"&amp;BC$4&amp;"'!Year.Vectors"), 0))</f>
        <v>-1640.0251055308779</v>
      </c>
      <c r="BD95" s="2576">
        <f ca="1">INDEX(INDIRECT("'"&amp;BD$4&amp;"'!Year.NetBalance"), MATCH('Intermediate output'!$C95, INDIRECT("'"&amp;BD$4&amp;"'!Year.Vectors"), 0))</f>
        <v>-2290.662235710573</v>
      </c>
      <c r="BE95" s="2576">
        <f ca="1">INDEX(INDIRECT("'"&amp;BE$4&amp;"'!Year.NetBalance"), MATCH('Intermediate output'!$C95, INDIRECT("'"&amp;BE$4&amp;"'!Year.Vectors"), 0))</f>
        <v>-3170.4883780648101</v>
      </c>
      <c r="BF95" s="2576">
        <f ca="1">INDEX(INDIRECT("'"&amp;BF$4&amp;"'!Year.NetBalance"), MATCH('Intermediate output'!$C95, INDIRECT("'"&amp;BF$4&amp;"'!Year.Vectors"), 0))</f>
        <v>-3970.4133793283249</v>
      </c>
      <c r="BG95" s="2576">
        <f ca="1">INDEX(INDIRECT("'"&amp;BG$4&amp;"'!Year.NetBalance"), MATCH('Intermediate output'!$C95, INDIRECT("'"&amp;BG$4&amp;"'!Year.Vectors"), 0))</f>
        <v>-4914.3042732371441</v>
      </c>
      <c r="BH95" s="2576">
        <f ca="1">INDEX(INDIRECT("'"&amp;BH$4&amp;"'!Year.NetBalance"), MATCH('Intermediate output'!$C95, INDIRECT("'"&amp;BH$4&amp;"'!Year.Vectors"), 0))</f>
        <v>-5747.5586114860871</v>
      </c>
      <c r="BI95" s="2576">
        <f ca="1">INDEX(INDIRECT("'"&amp;BI$4&amp;"'!Year.NetBalance"), MATCH('Intermediate output'!$C95, INDIRECT("'"&amp;BI$4&amp;"'!Year.Vectors"), 0))</f>
        <v>-6680.5573002001365</v>
      </c>
      <c r="BJ95" s="2577" t="s">
        <v>1145</v>
      </c>
      <c r="BK95" s="22"/>
    </row>
    <row r="96" spans="1:63">
      <c r="B96" s="190"/>
      <c r="C96" s="187" t="s">
        <v>35</v>
      </c>
      <c r="D96" s="187" t="str">
        <f>INDEX(Vectors[Description],MATCH($C96,Vectors[Code],0))</f>
        <v>Electricity (supplied to grid)</v>
      </c>
      <c r="E96" s="187"/>
      <c r="F96" s="2574"/>
      <c r="G96" s="2574"/>
      <c r="H96" s="2575"/>
      <c r="I96" s="2575"/>
      <c r="J96" s="2575"/>
      <c r="K96" s="2575"/>
      <c r="L96" s="2575"/>
      <c r="M96" s="2575"/>
      <c r="N96" s="2575"/>
      <c r="O96" s="2575"/>
      <c r="P96" s="2575"/>
      <c r="Q96" s="2575"/>
      <c r="R96" s="2575"/>
      <c r="S96" s="2575"/>
      <c r="T96" s="2575"/>
      <c r="U96" s="2575"/>
      <c r="V96" s="2575"/>
      <c r="W96" s="2575"/>
      <c r="X96" s="2575"/>
      <c r="Y96" s="2575"/>
      <c r="Z96" s="2575"/>
      <c r="AA96" s="2575"/>
      <c r="AB96" s="2575"/>
      <c r="AC96" s="2575"/>
      <c r="AD96" s="2575"/>
      <c r="AE96" s="2575"/>
      <c r="AF96" s="2575"/>
      <c r="AG96" s="2575"/>
      <c r="AH96" s="2575"/>
      <c r="AI96" s="2575"/>
      <c r="AJ96" s="2575"/>
      <c r="AK96" s="2575"/>
      <c r="AL96" s="2575"/>
      <c r="AM96" s="2575"/>
      <c r="AN96" s="2575"/>
      <c r="AO96" s="2575"/>
      <c r="AP96" s="2575"/>
      <c r="AQ96" s="2575"/>
      <c r="AR96" s="2575"/>
      <c r="AS96" s="2575"/>
      <c r="AT96" s="2575"/>
      <c r="AU96" s="2575"/>
      <c r="AV96" s="2575"/>
      <c r="AW96" s="2575"/>
      <c r="AX96" s="187"/>
      <c r="AY96" s="2576">
        <f ca="1">INDEX(INDIRECT("'"&amp;AY$4&amp;"'!Year.NetBalance"), MATCH('Intermediate output'!$C96, INDIRECT("'"&amp;AY$4&amp;"'!Year.Vectors"), 0))</f>
        <v>595.68681516482502</v>
      </c>
      <c r="AZ96" s="2576"/>
      <c r="BA96" s="2576">
        <f ca="1">INDEX(INDIRECT("'"&amp;BA$4&amp;"'!Year.NetBalance"), MATCH('Intermediate output'!$C96, INDIRECT("'"&amp;BA$4&amp;"'!Year.Vectors"), 0))</f>
        <v>798.39296177664801</v>
      </c>
      <c r="BB96" s="2576">
        <f ca="1">INDEX(INDIRECT("'"&amp;BB$4&amp;"'!Year.NetBalance"), MATCH('Intermediate output'!$C96, INDIRECT("'"&amp;BB$4&amp;"'!Year.Vectors"), 0))</f>
        <v>1142.8498773739643</v>
      </c>
      <c r="BC96" s="2576">
        <f ca="1">INDEX(INDIRECT("'"&amp;BC$4&amp;"'!Year.NetBalance"), MATCH('Intermediate output'!$C96, INDIRECT("'"&amp;BC$4&amp;"'!Year.Vectors"), 0))</f>
        <v>1640.0251055308779</v>
      </c>
      <c r="BD96" s="2576">
        <f ca="1">INDEX(INDIRECT("'"&amp;BD$4&amp;"'!Year.NetBalance"), MATCH('Intermediate output'!$C96, INDIRECT("'"&amp;BD$4&amp;"'!Year.Vectors"), 0))</f>
        <v>2290.662235710573</v>
      </c>
      <c r="BE96" s="2576">
        <f ca="1">INDEX(INDIRECT("'"&amp;BE$4&amp;"'!Year.NetBalance"), MATCH('Intermediate output'!$C96, INDIRECT("'"&amp;BE$4&amp;"'!Year.Vectors"), 0))</f>
        <v>3170.4883780648101</v>
      </c>
      <c r="BF96" s="2576">
        <f ca="1">INDEX(INDIRECT("'"&amp;BF$4&amp;"'!Year.NetBalance"), MATCH('Intermediate output'!$C96, INDIRECT("'"&amp;BF$4&amp;"'!Year.Vectors"), 0))</f>
        <v>3970.4133793283249</v>
      </c>
      <c r="BG96" s="2576">
        <f ca="1">INDEX(INDIRECT("'"&amp;BG$4&amp;"'!Year.NetBalance"), MATCH('Intermediate output'!$C96, INDIRECT("'"&amp;BG$4&amp;"'!Year.Vectors"), 0))</f>
        <v>4914.3042732371441</v>
      </c>
      <c r="BH96" s="2576">
        <f ca="1">INDEX(INDIRECT("'"&amp;BH$4&amp;"'!Year.NetBalance"), MATCH('Intermediate output'!$C96, INDIRECT("'"&amp;BH$4&amp;"'!Year.Vectors"), 0))</f>
        <v>5747.5586114860871</v>
      </c>
      <c r="BI96" s="2576">
        <f ca="1">INDEX(INDIRECT("'"&amp;BI$4&amp;"'!Year.NetBalance"), MATCH('Intermediate output'!$C96, INDIRECT("'"&amp;BI$4&amp;"'!Year.Vectors"), 0))</f>
        <v>6680.5573002001365</v>
      </c>
      <c r="BJ96" s="2577"/>
      <c r="BK96" s="22"/>
    </row>
    <row r="97" spans="1:64" s="51" customFormat="1">
      <c r="B97" s="193"/>
      <c r="C97" s="189"/>
      <c r="D97" s="2578" t="s">
        <v>1146</v>
      </c>
      <c r="E97" s="187"/>
      <c r="F97" s="2579"/>
      <c r="G97" s="2580"/>
      <c r="H97" s="2581"/>
      <c r="I97" s="2581"/>
      <c r="J97" s="2581"/>
      <c r="K97" s="2581"/>
      <c r="L97" s="2581"/>
      <c r="M97" s="2581"/>
      <c r="N97" s="2581"/>
      <c r="O97" s="2581"/>
      <c r="P97" s="2581"/>
      <c r="Q97" s="2581"/>
      <c r="R97" s="2581"/>
      <c r="S97" s="2581"/>
      <c r="T97" s="2581"/>
      <c r="U97" s="2581"/>
      <c r="V97" s="2581"/>
      <c r="W97" s="2581"/>
      <c r="X97" s="2581"/>
      <c r="Y97" s="2581"/>
      <c r="Z97" s="2581"/>
      <c r="AA97" s="2581"/>
      <c r="AB97" s="2581"/>
      <c r="AC97" s="2581"/>
      <c r="AD97" s="2581"/>
      <c r="AE97" s="2581"/>
      <c r="AF97" s="2581"/>
      <c r="AG97" s="2581"/>
      <c r="AH97" s="2581"/>
      <c r="AI97" s="2581"/>
      <c r="AJ97" s="2581"/>
      <c r="AK97" s="2581"/>
      <c r="AL97" s="2581"/>
      <c r="AM97" s="2581"/>
      <c r="AN97" s="2581"/>
      <c r="AO97" s="2581"/>
      <c r="AP97" s="2581"/>
      <c r="AQ97" s="2581"/>
      <c r="AR97" s="2581"/>
      <c r="AS97" s="2581"/>
      <c r="AT97" s="2581"/>
      <c r="AU97" s="2581"/>
      <c r="AV97" s="2581"/>
      <c r="AW97" s="2581"/>
      <c r="AX97" s="187"/>
      <c r="AY97" s="2579">
        <f t="shared" ref="AY97:BI97" ca="1" si="34">SUM(AY95:AY96)</f>
        <v>0</v>
      </c>
      <c r="AZ97" s="2579"/>
      <c r="BA97" s="2579">
        <f t="shared" ca="1" si="34"/>
        <v>0</v>
      </c>
      <c r="BB97" s="2579">
        <f t="shared" ca="1" si="34"/>
        <v>0</v>
      </c>
      <c r="BC97" s="2579">
        <f t="shared" ca="1" si="34"/>
        <v>0</v>
      </c>
      <c r="BD97" s="2579">
        <f t="shared" ca="1" si="34"/>
        <v>0</v>
      </c>
      <c r="BE97" s="2579">
        <f t="shared" ca="1" si="34"/>
        <v>0</v>
      </c>
      <c r="BF97" s="2579">
        <f t="shared" ca="1" si="34"/>
        <v>0</v>
      </c>
      <c r="BG97" s="2579">
        <f t="shared" ca="1" si="34"/>
        <v>0</v>
      </c>
      <c r="BH97" s="2579">
        <f t="shared" ca="1" si="34"/>
        <v>0</v>
      </c>
      <c r="BI97" s="2579">
        <f t="shared" ca="1" si="34"/>
        <v>0</v>
      </c>
      <c r="BJ97" s="2582"/>
      <c r="BK97" s="97"/>
    </row>
    <row r="98" spans="1:64" ht="4.5" customHeight="1">
      <c r="B98" s="193"/>
      <c r="C98" s="187"/>
      <c r="D98" s="187"/>
      <c r="E98" s="187"/>
      <c r="F98" s="187"/>
      <c r="G98" s="187"/>
      <c r="H98" s="2583"/>
      <c r="I98" s="2583"/>
      <c r="J98" s="2583"/>
      <c r="K98" s="2583"/>
      <c r="L98" s="2583"/>
      <c r="M98" s="2583"/>
      <c r="N98" s="2583"/>
      <c r="O98" s="2583"/>
      <c r="P98" s="2583"/>
      <c r="Q98" s="2583"/>
      <c r="R98" s="2583"/>
      <c r="S98" s="2583"/>
      <c r="T98" s="2583"/>
      <c r="U98" s="2583"/>
      <c r="V98" s="2583"/>
      <c r="W98" s="2583"/>
      <c r="X98" s="2583"/>
      <c r="Y98" s="2583"/>
      <c r="Z98" s="2583"/>
      <c r="AA98" s="2583"/>
      <c r="AB98" s="2583"/>
      <c r="AC98" s="2583"/>
      <c r="AD98" s="2583"/>
      <c r="AE98" s="2583"/>
      <c r="AF98" s="2583"/>
      <c r="AG98" s="2583"/>
      <c r="AH98" s="2583"/>
      <c r="AI98" s="2583"/>
      <c r="AJ98" s="2583"/>
      <c r="AK98" s="2583"/>
      <c r="AL98" s="2583"/>
      <c r="AM98" s="2583"/>
      <c r="AN98" s="2583"/>
      <c r="AO98" s="2583"/>
      <c r="AP98" s="2583"/>
      <c r="AQ98" s="2583"/>
      <c r="AR98" s="2583"/>
      <c r="AS98" s="2583"/>
      <c r="AT98" s="2583"/>
      <c r="AU98" s="2583"/>
      <c r="AV98" s="2583"/>
      <c r="AW98" s="2583"/>
      <c r="AX98" s="187"/>
      <c r="AY98" s="2576"/>
      <c r="AZ98" s="2576"/>
      <c r="BA98" s="2576"/>
      <c r="BB98" s="2576"/>
      <c r="BC98" s="2576"/>
      <c r="BD98" s="2576"/>
      <c r="BE98" s="2576"/>
      <c r="BF98" s="2576"/>
      <c r="BG98" s="2576"/>
      <c r="BH98" s="2576"/>
      <c r="BI98" s="2576"/>
      <c r="BJ98" s="2577"/>
      <c r="BK98" s="22"/>
    </row>
    <row r="99" spans="1:64" s="37" customFormat="1" ht="18">
      <c r="B99" s="2584"/>
      <c r="C99" s="2585" t="s">
        <v>35</v>
      </c>
      <c r="D99" s="2585" t="s">
        <v>45</v>
      </c>
      <c r="E99" s="2585"/>
      <c r="F99" s="2585"/>
      <c r="G99" s="2585"/>
      <c r="H99" s="2586"/>
      <c r="I99" s="2586"/>
      <c r="J99" s="2586"/>
      <c r="K99" s="2586"/>
      <c r="L99" s="2586"/>
      <c r="M99" s="2586"/>
      <c r="N99" s="2586"/>
      <c r="O99" s="2586"/>
      <c r="P99" s="2586"/>
      <c r="Q99" s="2586"/>
      <c r="R99" s="2586"/>
      <c r="S99" s="2586"/>
      <c r="T99" s="2586"/>
      <c r="U99" s="2586"/>
      <c r="V99" s="2586"/>
      <c r="W99" s="2586"/>
      <c r="X99" s="2586"/>
      <c r="Y99" s="2586"/>
      <c r="Z99" s="2586"/>
      <c r="AA99" s="2586"/>
      <c r="AB99" s="2586"/>
      <c r="AC99" s="2586"/>
      <c r="AD99" s="2586"/>
      <c r="AE99" s="2586"/>
      <c r="AF99" s="2586"/>
      <c r="AG99" s="2586"/>
      <c r="AH99" s="2586"/>
      <c r="AI99" s="2586"/>
      <c r="AJ99" s="2586"/>
      <c r="AK99" s="2586"/>
      <c r="AL99" s="2586"/>
      <c r="AM99" s="2586"/>
      <c r="AN99" s="2586"/>
      <c r="AO99" s="2586"/>
      <c r="AP99" s="2586"/>
      <c r="AQ99" s="2586"/>
      <c r="AR99" s="2586"/>
      <c r="AS99" s="2586"/>
      <c r="AT99" s="2586"/>
      <c r="AU99" s="2586"/>
      <c r="AV99" s="2586"/>
      <c r="AW99" s="2586"/>
      <c r="AX99" s="2585"/>
      <c r="AY99" s="2587">
        <f ca="1">INDEX(INDIRECT("'"&amp;AY$4&amp;"'!Year.Matrix"), MATCH("VII.b", INDIRECT("'"&amp;AY$4&amp;"'!Year.Modules"), 0), MATCH('Intermediate output'!$C99, INDIRECT("'"&amp;AY$4&amp;"'!Year.Vectors"), 0))</f>
        <v>-195.08288504070401</v>
      </c>
      <c r="AZ99" s="2587"/>
      <c r="BA99" s="2587">
        <f ca="1">INDEX(INDIRECT("'"&amp;BA$4&amp;"'!Year.Matrix"), MATCH("VII.b", INDIRECT("'"&amp;BA$4&amp;"'!Year.Modules"), 0), MATCH('Intermediate output'!$C99, INDIRECT("'"&amp;BA$4&amp;"'!Year.Vectors"), 0))</f>
        <v>-234.32332560745226</v>
      </c>
      <c r="BB99" s="2587">
        <f ca="1">INDEX(INDIRECT("'"&amp;BB$4&amp;"'!Year.Matrix"), MATCH("VII.b", INDIRECT("'"&amp;BB$4&amp;"'!Year.Modules"), 0), MATCH('Intermediate output'!$C99, INDIRECT("'"&amp;BB$4&amp;"'!Year.Vectors"), 0))</f>
        <v>-313.04693193832941</v>
      </c>
      <c r="BC99" s="2587">
        <f ca="1">INDEX(INDIRECT("'"&amp;BC$4&amp;"'!Year.Matrix"), MATCH("VII.b", INDIRECT("'"&amp;BC$4&amp;"'!Year.Modules"), 0), MATCH('Intermediate output'!$C99, INDIRECT("'"&amp;BC$4&amp;"'!Year.Vectors"), 0))</f>
        <v>-423.93802753088653</v>
      </c>
      <c r="BD99" s="2587">
        <f ca="1">INDEX(INDIRECT("'"&amp;BD$4&amp;"'!Year.Matrix"), MATCH("VII.b", INDIRECT("'"&amp;BD$4&amp;"'!Year.Modules"), 0), MATCH('Intermediate output'!$C99, INDIRECT("'"&amp;BD$4&amp;"'!Year.Vectors"), 0))</f>
        <v>-557.71159630953753</v>
      </c>
      <c r="BE99" s="2587">
        <f ca="1">INDEX(INDIRECT("'"&amp;BE$4&amp;"'!Year.Matrix"), MATCH("VII.b", INDIRECT("'"&amp;BE$4&amp;"'!Year.Modules"), 0), MATCH('Intermediate output'!$C99, INDIRECT("'"&amp;BE$4&amp;"'!Year.Vectors"), 0))</f>
        <v>-729.63510033996545</v>
      </c>
      <c r="BF99" s="2587">
        <f ca="1">INDEX(INDIRECT("'"&amp;BF$4&amp;"'!Year.Matrix"), MATCH("VII.b", INDIRECT("'"&amp;BF$4&amp;"'!Year.Modules"), 0), MATCH('Intermediate output'!$C99, INDIRECT("'"&amp;BF$4&amp;"'!Year.Vectors"), 0))</f>
        <v>-865.89214021991711</v>
      </c>
      <c r="BG99" s="2587">
        <f ca="1">INDEX(INDIRECT("'"&amp;BG$4&amp;"'!Year.Matrix"), MATCH("VII.b", INDIRECT("'"&amp;BG$4&amp;"'!Year.Modules"), 0), MATCH('Intermediate output'!$C99, INDIRECT("'"&amp;BG$4&amp;"'!Year.Vectors"), 0))</f>
        <v>-978.85350735662541</v>
      </c>
      <c r="BH99" s="2587">
        <f ca="1">INDEX(INDIRECT("'"&amp;BH$4&amp;"'!Year.Matrix"), MATCH("VII.b", INDIRECT("'"&amp;BH$4&amp;"'!Year.Modules"), 0), MATCH('Intermediate output'!$C99, INDIRECT("'"&amp;BH$4&amp;"'!Year.Vectors"), 0))</f>
        <v>-1090.2145534112278</v>
      </c>
      <c r="BI99" s="2587">
        <f ca="1">INDEX(INDIRECT("'"&amp;BI$4&amp;"'!Year.Matrix"), MATCH("VII.b", INDIRECT("'"&amp;BI$4&amp;"'!Year.Modules"), 0), MATCH('Intermediate output'!$C99, INDIRECT("'"&amp;BI$4&amp;"'!Year.Vectors"), 0))</f>
        <v>-1227.112144415446</v>
      </c>
      <c r="BJ99" s="2588"/>
      <c r="BK99" s="141"/>
    </row>
    <row r="100" spans="1:64" s="113" customFormat="1">
      <c r="B100" s="193"/>
      <c r="C100" s="2589"/>
      <c r="D100" s="2589" t="s">
        <v>1147</v>
      </c>
      <c r="E100" s="2585"/>
      <c r="F100" s="2590"/>
      <c r="G100" s="2590"/>
      <c r="H100" s="2591"/>
      <c r="I100" s="2591"/>
      <c r="J100" s="2591"/>
      <c r="K100" s="2591"/>
      <c r="L100" s="2591"/>
      <c r="M100" s="2591"/>
      <c r="N100" s="2591"/>
      <c r="O100" s="2591"/>
      <c r="P100" s="2591"/>
      <c r="Q100" s="2591"/>
      <c r="R100" s="2591"/>
      <c r="S100" s="2591"/>
      <c r="T100" s="2591"/>
      <c r="U100" s="2591"/>
      <c r="V100" s="2591"/>
      <c r="W100" s="2591"/>
      <c r="X100" s="2591"/>
      <c r="Y100" s="2591"/>
      <c r="Z100" s="2591"/>
      <c r="AA100" s="2591"/>
      <c r="AB100" s="2591"/>
      <c r="AC100" s="2591"/>
      <c r="AD100" s="2591"/>
      <c r="AE100" s="2591"/>
      <c r="AF100" s="2591"/>
      <c r="AG100" s="2591"/>
      <c r="AH100" s="2591"/>
      <c r="AI100" s="2591"/>
      <c r="AJ100" s="2591"/>
      <c r="AK100" s="2591"/>
      <c r="AL100" s="2591"/>
      <c r="AM100" s="2591"/>
      <c r="AN100" s="2591"/>
      <c r="AO100" s="2591"/>
      <c r="AP100" s="2591"/>
      <c r="AQ100" s="2591"/>
      <c r="AR100" s="2591"/>
      <c r="AS100" s="2591"/>
      <c r="AT100" s="2591"/>
      <c r="AU100" s="2591"/>
      <c r="AV100" s="2591"/>
      <c r="AW100" s="2591"/>
      <c r="AX100" s="2585"/>
      <c r="AY100" s="2590">
        <f t="shared" ref="AY100:BI100" ca="1" si="35">-AY95-AY99</f>
        <v>790.76970020552903</v>
      </c>
      <c r="AZ100" s="2590"/>
      <c r="BA100" s="2590">
        <f t="shared" ca="1" si="35"/>
        <v>1032.7162873841003</v>
      </c>
      <c r="BB100" s="2590">
        <f t="shared" ca="1" si="35"/>
        <v>1455.8968093122937</v>
      </c>
      <c r="BC100" s="2590">
        <f t="shared" ca="1" si="35"/>
        <v>2063.9631330617644</v>
      </c>
      <c r="BD100" s="2590">
        <f t="shared" ca="1" si="35"/>
        <v>2848.3738320201105</v>
      </c>
      <c r="BE100" s="2590">
        <f t="shared" ca="1" si="35"/>
        <v>3900.1234784047756</v>
      </c>
      <c r="BF100" s="2590">
        <f t="shared" ca="1" si="35"/>
        <v>4836.305519548242</v>
      </c>
      <c r="BG100" s="2590">
        <f t="shared" ca="1" si="35"/>
        <v>5893.1577805937695</v>
      </c>
      <c r="BH100" s="2590">
        <f t="shared" ca="1" si="35"/>
        <v>6837.7731648973149</v>
      </c>
      <c r="BI100" s="2590">
        <f t="shared" ca="1" si="35"/>
        <v>7907.6694446155825</v>
      </c>
      <c r="BJ100" s="2592"/>
    </row>
    <row r="101" spans="1:64" s="113" customFormat="1">
      <c r="B101" s="2593"/>
      <c r="C101" s="2589"/>
      <c r="D101" s="2589" t="s">
        <v>1148</v>
      </c>
      <c r="E101" s="2585"/>
      <c r="F101" s="2590"/>
      <c r="G101" s="2590"/>
      <c r="H101" s="2591"/>
      <c r="I101" s="2591"/>
      <c r="J101" s="2591"/>
      <c r="K101" s="2591"/>
      <c r="L101" s="2591"/>
      <c r="M101" s="2591"/>
      <c r="N101" s="2591"/>
      <c r="O101" s="2591"/>
      <c r="P101" s="2591"/>
      <c r="Q101" s="2591"/>
      <c r="R101" s="2591"/>
      <c r="S101" s="2591"/>
      <c r="T101" s="2591"/>
      <c r="U101" s="2591"/>
      <c r="V101" s="2591"/>
      <c r="W101" s="2591"/>
      <c r="X101" s="2591"/>
      <c r="Y101" s="2591"/>
      <c r="Z101" s="2591"/>
      <c r="AA101" s="2591"/>
      <c r="AB101" s="2591"/>
      <c r="AC101" s="2591"/>
      <c r="AD101" s="2591"/>
      <c r="AE101" s="2591"/>
      <c r="AF101" s="2591"/>
      <c r="AG101" s="2591"/>
      <c r="AH101" s="2591"/>
      <c r="AI101" s="2591"/>
      <c r="AJ101" s="2591"/>
      <c r="AK101" s="2591"/>
      <c r="AL101" s="2591"/>
      <c r="AM101" s="2591"/>
      <c r="AN101" s="2591"/>
      <c r="AO101" s="2591"/>
      <c r="AP101" s="2591"/>
      <c r="AQ101" s="2591"/>
      <c r="AR101" s="2591"/>
      <c r="AS101" s="2591"/>
      <c r="AT101" s="2591"/>
      <c r="AU101" s="2591"/>
      <c r="AV101" s="2591"/>
      <c r="AW101" s="2591"/>
      <c r="AX101" s="2585"/>
      <c r="AY101" s="2590">
        <f t="shared" ref="AY101:BI101" ca="1" si="36">AY129</f>
        <v>790.76970020552903</v>
      </c>
      <c r="AZ101" s="2590"/>
      <c r="BA101" s="2590">
        <f t="shared" ca="1" si="36"/>
        <v>1032.7162873841003</v>
      </c>
      <c r="BB101" s="2590">
        <f t="shared" ca="1" si="36"/>
        <v>1455.8968093122935</v>
      </c>
      <c r="BC101" s="2590">
        <f t="shared" ca="1" si="36"/>
        <v>2063.963133061764</v>
      </c>
      <c r="BD101" s="2590">
        <f t="shared" ca="1" si="36"/>
        <v>2848.373832020111</v>
      </c>
      <c r="BE101" s="2590">
        <f t="shared" ca="1" si="36"/>
        <v>3900.1234784047761</v>
      </c>
      <c r="BF101" s="2590">
        <f t="shared" ca="1" si="36"/>
        <v>4836.305519548242</v>
      </c>
      <c r="BG101" s="2590">
        <f t="shared" ca="1" si="36"/>
        <v>5893.1577805937686</v>
      </c>
      <c r="BH101" s="2590">
        <f t="shared" ca="1" si="36"/>
        <v>6837.773164897314</v>
      </c>
      <c r="BI101" s="2590">
        <f t="shared" ca="1" si="36"/>
        <v>7907.6694446155816</v>
      </c>
      <c r="BJ101" s="2592"/>
    </row>
    <row r="102" spans="1:64">
      <c r="B102" s="2594"/>
      <c r="C102" s="187"/>
      <c r="D102" s="187"/>
      <c r="E102" s="187"/>
      <c r="F102" s="187"/>
      <c r="G102" s="187"/>
      <c r="H102" s="2583"/>
      <c r="I102" s="2583"/>
      <c r="J102" s="2583"/>
      <c r="K102" s="2583"/>
      <c r="L102" s="2583"/>
      <c r="M102" s="2583"/>
      <c r="N102" s="2583"/>
      <c r="O102" s="2583"/>
      <c r="P102" s="2583"/>
      <c r="Q102" s="2583"/>
      <c r="R102" s="2583"/>
      <c r="S102" s="2583"/>
      <c r="T102" s="2583"/>
      <c r="U102" s="2583"/>
      <c r="V102" s="2583"/>
      <c r="W102" s="2583"/>
      <c r="X102" s="2583"/>
      <c r="Y102" s="2583"/>
      <c r="Z102" s="2583"/>
      <c r="AA102" s="2583"/>
      <c r="AB102" s="2583"/>
      <c r="AC102" s="2583"/>
      <c r="AD102" s="2583"/>
      <c r="AE102" s="2583"/>
      <c r="AF102" s="2583"/>
      <c r="AG102" s="2583"/>
      <c r="AH102" s="2583"/>
      <c r="AI102" s="2583"/>
      <c r="AJ102" s="2583"/>
      <c r="AK102" s="2583"/>
      <c r="AL102" s="2583"/>
      <c r="AM102" s="2583"/>
      <c r="AN102" s="2583"/>
      <c r="AO102" s="2583"/>
      <c r="AP102" s="2583"/>
      <c r="AQ102" s="2583"/>
      <c r="AR102" s="2583"/>
      <c r="AS102" s="2583"/>
      <c r="AT102" s="2583"/>
      <c r="AU102" s="2583"/>
      <c r="AV102" s="2583"/>
      <c r="AW102" s="2583"/>
      <c r="AX102" s="187"/>
      <c r="AY102" s="187"/>
      <c r="AZ102" s="187"/>
      <c r="BA102" s="187"/>
      <c r="BB102" s="187"/>
      <c r="BC102" s="187"/>
      <c r="BD102" s="187"/>
      <c r="BE102" s="187"/>
      <c r="BF102" s="187"/>
      <c r="BG102" s="187"/>
      <c r="BH102" s="187"/>
      <c r="BI102" s="187"/>
      <c r="BJ102" s="194"/>
    </row>
    <row r="103" spans="1:64">
      <c r="B103" s="2594"/>
      <c r="C103" s="187"/>
      <c r="D103" s="187"/>
      <c r="E103" s="187"/>
      <c r="F103" s="187"/>
      <c r="G103" s="187"/>
      <c r="H103" s="2583"/>
      <c r="I103" s="2583"/>
      <c r="J103" s="2583"/>
      <c r="K103" s="2583"/>
      <c r="L103" s="2583"/>
      <c r="M103" s="2583"/>
      <c r="N103" s="2583"/>
      <c r="O103" s="2583"/>
      <c r="P103" s="2583"/>
      <c r="Q103" s="2583"/>
      <c r="R103" s="2583"/>
      <c r="S103" s="2583"/>
      <c r="T103" s="2583"/>
      <c r="U103" s="2583"/>
      <c r="V103" s="2583"/>
      <c r="W103" s="2583"/>
      <c r="X103" s="2583"/>
      <c r="Y103" s="2583"/>
      <c r="Z103" s="2583"/>
      <c r="AA103" s="2583"/>
      <c r="AB103" s="2583"/>
      <c r="AC103" s="2583"/>
      <c r="AD103" s="2583"/>
      <c r="AE103" s="2583"/>
      <c r="AF103" s="2583"/>
      <c r="AG103" s="2583"/>
      <c r="AH103" s="2583"/>
      <c r="AI103" s="2583"/>
      <c r="AJ103" s="2583"/>
      <c r="AK103" s="2583"/>
      <c r="AL103" s="2583"/>
      <c r="AM103" s="2583"/>
      <c r="AN103" s="2583"/>
      <c r="AO103" s="2583"/>
      <c r="AP103" s="2583"/>
      <c r="AQ103" s="2583"/>
      <c r="AR103" s="2583"/>
      <c r="AS103" s="2583"/>
      <c r="AT103" s="2583"/>
      <c r="AU103" s="2583"/>
      <c r="AV103" s="2583"/>
      <c r="AW103" s="2583"/>
      <c r="AX103" s="187"/>
      <c r="AY103" s="187"/>
      <c r="AZ103" s="187"/>
      <c r="BA103" s="187"/>
      <c r="BB103" s="187"/>
      <c r="BC103" s="187"/>
      <c r="BD103" s="187"/>
      <c r="BE103" s="187"/>
      <c r="BF103" s="187"/>
      <c r="BG103" s="187"/>
      <c r="BH103" s="187"/>
      <c r="BI103" s="187"/>
      <c r="BJ103" s="194"/>
    </row>
    <row r="104" spans="1:64">
      <c r="B104" s="1502"/>
      <c r="C104" s="187" t="s">
        <v>48</v>
      </c>
      <c r="D104" s="187" t="str">
        <f>INDEX(Vectors[Description],MATCH($C104,Vectors[Code],0))</f>
        <v>Unallocated</v>
      </c>
      <c r="E104" s="187"/>
      <c r="F104" s="2576"/>
      <c r="G104" s="2576"/>
      <c r="H104" s="2595"/>
      <c r="I104" s="2595"/>
      <c r="J104" s="2595"/>
      <c r="K104" s="2595"/>
      <c r="L104" s="2595"/>
      <c r="M104" s="2595"/>
      <c r="N104" s="2595"/>
      <c r="O104" s="2595"/>
      <c r="P104" s="2595"/>
      <c r="Q104" s="2595"/>
      <c r="R104" s="2595"/>
      <c r="S104" s="2595"/>
      <c r="T104" s="2595"/>
      <c r="U104" s="2595"/>
      <c r="V104" s="2595"/>
      <c r="W104" s="2595"/>
      <c r="X104" s="2595"/>
      <c r="Y104" s="2595"/>
      <c r="Z104" s="2595"/>
      <c r="AA104" s="2595"/>
      <c r="AB104" s="2595"/>
      <c r="AC104" s="2595"/>
      <c r="AD104" s="2595"/>
      <c r="AE104" s="2595"/>
      <c r="AF104" s="2595"/>
      <c r="AG104" s="2595"/>
      <c r="AH104" s="2595"/>
      <c r="AI104" s="2595"/>
      <c r="AJ104" s="2595"/>
      <c r="AK104" s="2595"/>
      <c r="AL104" s="2595"/>
      <c r="AM104" s="2595"/>
      <c r="AN104" s="2595"/>
      <c r="AO104" s="2595"/>
      <c r="AP104" s="2595"/>
      <c r="AQ104" s="2595"/>
      <c r="AR104" s="2595"/>
      <c r="AS104" s="2595"/>
      <c r="AT104" s="2595"/>
      <c r="AU104" s="2595"/>
      <c r="AV104" s="2595"/>
      <c r="AW104" s="2595"/>
      <c r="AX104" s="187"/>
      <c r="AY104" s="2576">
        <f ca="1">INDEX(INDIRECT("'"&amp;AY$4&amp;"'!Year.NetBalance"), MATCH('Intermediate output'!$C104, INDIRECT("'"&amp;AY$4&amp;"'!Year.Vectors"), 0))</f>
        <v>0</v>
      </c>
      <c r="AZ104" s="2576"/>
      <c r="BA104" s="2576">
        <f ca="1">INDEX(INDIRECT("'"&amp;BA$4&amp;"'!Year.NetBalance"), MATCH('Intermediate output'!$C104, INDIRECT("'"&amp;BA$4&amp;"'!Year.Vectors"), 0))</f>
        <v>0</v>
      </c>
      <c r="BB104" s="2576">
        <f ca="1">INDEX(INDIRECT("'"&amp;BB$4&amp;"'!Year.NetBalance"), MATCH('Intermediate output'!$C104, INDIRECT("'"&amp;BB$4&amp;"'!Year.Vectors"), 0))</f>
        <v>0</v>
      </c>
      <c r="BC104" s="2576">
        <f ca="1">INDEX(INDIRECT("'"&amp;BC$4&amp;"'!Year.NetBalance"), MATCH('Intermediate output'!$C104, INDIRECT("'"&amp;BC$4&amp;"'!Year.Vectors"), 0))</f>
        <v>0</v>
      </c>
      <c r="BD104" s="2576">
        <f ca="1">INDEX(INDIRECT("'"&amp;BD$4&amp;"'!Year.NetBalance"), MATCH('Intermediate output'!$C104, INDIRECT("'"&amp;BD$4&amp;"'!Year.Vectors"), 0))</f>
        <v>0</v>
      </c>
      <c r="BE104" s="2576">
        <f ca="1">INDEX(INDIRECT("'"&amp;BE$4&amp;"'!Year.NetBalance"), MATCH('Intermediate output'!$C104, INDIRECT("'"&amp;BE$4&amp;"'!Year.Vectors"), 0))</f>
        <v>-9.0949470177292824E-12</v>
      </c>
      <c r="BF104" s="2576">
        <f ca="1">INDEX(INDIRECT("'"&amp;BF$4&amp;"'!Year.NetBalance"), MATCH('Intermediate output'!$C104, INDIRECT("'"&amp;BF$4&amp;"'!Year.Vectors"), 0))</f>
        <v>0</v>
      </c>
      <c r="BG104" s="2576">
        <f ca="1">INDEX(INDIRECT("'"&amp;BG$4&amp;"'!Year.NetBalance"), MATCH('Intermediate output'!$C104, INDIRECT("'"&amp;BG$4&amp;"'!Year.Vectors"), 0))</f>
        <v>0</v>
      </c>
      <c r="BH104" s="2576">
        <f ca="1">INDEX(INDIRECT("'"&amp;BH$4&amp;"'!Year.NetBalance"), MATCH('Intermediate output'!$C104, INDIRECT("'"&amp;BH$4&amp;"'!Year.Vectors"), 0))</f>
        <v>0</v>
      </c>
      <c r="BI104" s="2576">
        <f ca="1">INDEX(INDIRECT("'"&amp;BI$4&amp;"'!Year.NetBalance"), MATCH('Intermediate output'!$C104, INDIRECT("'"&amp;BI$4&amp;"'!Year.Vectors"), 0))</f>
        <v>0</v>
      </c>
      <c r="BJ104" s="2577"/>
      <c r="BK104" s="22"/>
    </row>
    <row r="105" spans="1:64" ht="4.5" customHeight="1">
      <c r="B105" s="193"/>
      <c r="C105" s="187"/>
      <c r="D105" s="187"/>
      <c r="E105" s="187"/>
      <c r="F105" s="2574"/>
      <c r="G105" s="2574"/>
      <c r="H105" s="2575"/>
      <c r="I105" s="2575"/>
      <c r="J105" s="2575"/>
      <c r="K105" s="2575"/>
      <c r="L105" s="2575"/>
      <c r="M105" s="2575"/>
      <c r="N105" s="2575"/>
      <c r="O105" s="2575"/>
      <c r="P105" s="2575"/>
      <c r="Q105" s="2575"/>
      <c r="R105" s="2575"/>
      <c r="S105" s="2575"/>
      <c r="T105" s="2575"/>
      <c r="U105" s="2575"/>
      <c r="V105" s="2575"/>
      <c r="W105" s="2575"/>
      <c r="X105" s="2575"/>
      <c r="Y105" s="2575"/>
      <c r="Z105" s="2575"/>
      <c r="AA105" s="2575"/>
      <c r="AB105" s="2575"/>
      <c r="AC105" s="2575"/>
      <c r="AD105" s="2575"/>
      <c r="AE105" s="2575"/>
      <c r="AF105" s="2575"/>
      <c r="AG105" s="2575"/>
      <c r="AH105" s="2575"/>
      <c r="AI105" s="2575"/>
      <c r="AJ105" s="2575"/>
      <c r="AK105" s="2575"/>
      <c r="AL105" s="2575"/>
      <c r="AM105" s="2575"/>
      <c r="AN105" s="2575"/>
      <c r="AO105" s="2575"/>
      <c r="AP105" s="2575"/>
      <c r="AQ105" s="2575"/>
      <c r="AR105" s="2575"/>
      <c r="AS105" s="2575"/>
      <c r="AT105" s="2575"/>
      <c r="AU105" s="2575"/>
      <c r="AV105" s="2575"/>
      <c r="AW105" s="2575"/>
      <c r="AX105" s="187"/>
      <c r="AY105" s="2576"/>
      <c r="AZ105" s="2576"/>
      <c r="BA105" s="2576"/>
      <c r="BB105" s="2576"/>
      <c r="BC105" s="2576"/>
      <c r="BD105" s="2576"/>
      <c r="BE105" s="2576"/>
      <c r="BF105" s="2576"/>
      <c r="BG105" s="2576"/>
      <c r="BH105" s="2576"/>
      <c r="BI105" s="2576"/>
      <c r="BJ105" s="194"/>
    </row>
    <row r="106" spans="1:64" s="51" customFormat="1">
      <c r="B106" s="193"/>
      <c r="C106" s="189"/>
      <c r="D106" s="2578" t="s">
        <v>1149</v>
      </c>
      <c r="E106" s="187"/>
      <c r="F106" s="2579"/>
      <c r="G106" s="2580"/>
      <c r="H106" s="2581"/>
      <c r="I106" s="2581"/>
      <c r="J106" s="2581"/>
      <c r="K106" s="2581"/>
      <c r="L106" s="2581"/>
      <c r="M106" s="2581"/>
      <c r="N106" s="2581"/>
      <c r="O106" s="2581"/>
      <c r="P106" s="2581"/>
      <c r="Q106" s="2581"/>
      <c r="R106" s="2581"/>
      <c r="S106" s="2581"/>
      <c r="T106" s="2581"/>
      <c r="U106" s="2581"/>
      <c r="V106" s="2581"/>
      <c r="W106" s="2581"/>
      <c r="X106" s="2581"/>
      <c r="Y106" s="2581"/>
      <c r="Z106" s="2581"/>
      <c r="AA106" s="2581"/>
      <c r="AB106" s="2581"/>
      <c r="AC106" s="2581"/>
      <c r="AD106" s="2581"/>
      <c r="AE106" s="2581"/>
      <c r="AF106" s="2581"/>
      <c r="AG106" s="2581"/>
      <c r="AH106" s="2581"/>
      <c r="AI106" s="2581"/>
      <c r="AJ106" s="2581"/>
      <c r="AK106" s="2581"/>
      <c r="AL106" s="2581"/>
      <c r="AM106" s="2581"/>
      <c r="AN106" s="2581"/>
      <c r="AO106" s="2581"/>
      <c r="AP106" s="2581"/>
      <c r="AQ106" s="2581"/>
      <c r="AR106" s="2581"/>
      <c r="AS106" s="2581"/>
      <c r="AT106" s="2581"/>
      <c r="AU106" s="2581"/>
      <c r="AV106" s="2581"/>
      <c r="AW106" s="2581"/>
      <c r="AX106" s="187"/>
      <c r="AY106" s="2579">
        <f ca="1">AY91+AY97+AY104</f>
        <v>4.5474735088646412E-13</v>
      </c>
      <c r="AZ106" s="2579"/>
      <c r="BA106" s="2579">
        <f t="shared" ref="BA106:BI106" ca="1" si="37">BA91+BA97+BA104</f>
        <v>0</v>
      </c>
      <c r="BB106" s="2579">
        <f t="shared" ca="1" si="37"/>
        <v>0</v>
      </c>
      <c r="BC106" s="2579">
        <f t="shared" ca="1" si="37"/>
        <v>-1.8189894035458565E-12</v>
      </c>
      <c r="BD106" s="2579">
        <f t="shared" ca="1" si="37"/>
        <v>1.8189894035458565E-12</v>
      </c>
      <c r="BE106" s="2579">
        <f t="shared" ca="1" si="37"/>
        <v>-1.2732925824820995E-11</v>
      </c>
      <c r="BF106" s="2579">
        <f t="shared" ca="1" si="37"/>
        <v>0</v>
      </c>
      <c r="BG106" s="2579">
        <f t="shared" ca="1" si="37"/>
        <v>0</v>
      </c>
      <c r="BH106" s="2579">
        <f t="shared" ca="1" si="37"/>
        <v>4.2064129956997931E-12</v>
      </c>
      <c r="BI106" s="2579">
        <f t="shared" ca="1" si="37"/>
        <v>-7.9403150721191196E-13</v>
      </c>
      <c r="BJ106" s="2596"/>
    </row>
    <row r="107" spans="1:64" s="242" customFormat="1">
      <c r="B107" s="631"/>
      <c r="C107" s="35"/>
      <c r="D107" s="35"/>
      <c r="E107" s="35"/>
      <c r="F107" s="35"/>
      <c r="G107" s="35"/>
      <c r="H107" s="1203"/>
      <c r="I107" s="1203"/>
      <c r="J107" s="1203"/>
      <c r="K107" s="1203"/>
      <c r="L107" s="1203"/>
      <c r="M107" s="1203"/>
      <c r="N107" s="1203"/>
      <c r="O107" s="1203"/>
      <c r="P107" s="1203"/>
      <c r="Q107" s="1203"/>
      <c r="R107" s="1203"/>
      <c r="S107" s="1203"/>
      <c r="T107" s="1203"/>
      <c r="U107" s="1203"/>
      <c r="V107" s="1203"/>
      <c r="W107" s="1203"/>
      <c r="X107" s="1203"/>
      <c r="Y107" s="1203"/>
      <c r="Z107" s="1203"/>
      <c r="AA107" s="1203"/>
      <c r="AB107" s="1203"/>
      <c r="AC107" s="1203"/>
      <c r="AD107" s="1203"/>
      <c r="AE107" s="1203"/>
      <c r="AF107" s="1203"/>
      <c r="AG107" s="1203"/>
      <c r="AH107" s="1203"/>
      <c r="AI107" s="1203"/>
      <c r="AJ107" s="1203"/>
      <c r="AK107" s="1203"/>
      <c r="AL107" s="1203"/>
      <c r="AM107" s="1203"/>
      <c r="AN107" s="1203"/>
      <c r="AO107" s="1203"/>
      <c r="AP107" s="1203"/>
      <c r="AQ107" s="1203"/>
      <c r="AR107" s="1203"/>
      <c r="AS107" s="1203"/>
      <c r="AT107" s="1203"/>
      <c r="AU107" s="1203"/>
      <c r="AV107" s="1203"/>
      <c r="AW107" s="1203"/>
      <c r="AX107" s="35"/>
      <c r="AY107" s="35"/>
      <c r="AZ107" s="35"/>
      <c r="BA107" s="35"/>
      <c r="BB107" s="35"/>
      <c r="BC107" s="35"/>
      <c r="BD107" s="35"/>
      <c r="BE107" s="35"/>
      <c r="BF107" s="35"/>
      <c r="BG107" s="35"/>
      <c r="BH107" s="35"/>
      <c r="BI107" s="35"/>
      <c r="BJ107" s="632"/>
    </row>
    <row r="108" spans="1:64" ht="22.5">
      <c r="A108" s="420"/>
      <c r="B108" s="1194" t="s">
        <v>401</v>
      </c>
      <c r="C108" s="1195"/>
      <c r="D108" s="1195"/>
      <c r="E108" s="1195"/>
      <c r="F108" s="1195"/>
      <c r="G108" s="1195"/>
      <c r="H108" s="1196"/>
      <c r="I108" s="1196"/>
      <c r="J108" s="1196"/>
      <c r="K108" s="1196"/>
      <c r="L108" s="1196"/>
      <c r="M108" s="1196"/>
      <c r="N108" s="1196"/>
      <c r="O108" s="1196"/>
      <c r="P108" s="1196"/>
      <c r="Q108" s="1196"/>
      <c r="R108" s="1196"/>
      <c r="S108" s="1196"/>
      <c r="T108" s="1196"/>
      <c r="U108" s="1196"/>
      <c r="V108" s="1196"/>
      <c r="W108" s="1196"/>
      <c r="X108" s="1196"/>
      <c r="Y108" s="1196"/>
      <c r="Z108" s="1196"/>
      <c r="AA108" s="1196"/>
      <c r="AB108" s="1196"/>
      <c r="AC108" s="1196"/>
      <c r="AD108" s="1196"/>
      <c r="AE108" s="1196"/>
      <c r="AF108" s="1196"/>
      <c r="AG108" s="1196"/>
      <c r="AH108" s="1196"/>
      <c r="AI108" s="1196"/>
      <c r="AJ108" s="1196"/>
      <c r="AK108" s="1196"/>
      <c r="AL108" s="1196"/>
      <c r="AM108" s="1196"/>
      <c r="AN108" s="1196"/>
      <c r="AO108" s="1196"/>
      <c r="AP108" s="1196"/>
      <c r="AQ108" s="1196"/>
      <c r="AR108" s="1196"/>
      <c r="AS108" s="1196"/>
      <c r="AT108" s="1196"/>
      <c r="AU108" s="1196"/>
      <c r="AV108" s="1196"/>
      <c r="AW108" s="1196"/>
      <c r="AX108" s="1195"/>
      <c r="AY108" s="1197"/>
      <c r="AZ108" s="1197"/>
      <c r="BA108" s="1197"/>
      <c r="BB108" s="1197"/>
      <c r="BC108" s="1197"/>
      <c r="BD108" s="1197"/>
      <c r="BE108" s="1197"/>
      <c r="BF108" s="1197"/>
      <c r="BG108" s="1197"/>
      <c r="BH108" s="1197"/>
      <c r="BI108" s="1197"/>
      <c r="BJ108" s="1198"/>
    </row>
    <row r="109" spans="1:64" s="242" customFormat="1">
      <c r="A109" s="1204"/>
      <c r="B109" s="193"/>
      <c r="C109" s="187"/>
      <c r="D109" s="191"/>
      <c r="E109" s="191"/>
      <c r="F109" s="191"/>
      <c r="G109" s="191"/>
      <c r="H109" s="2570"/>
      <c r="I109" s="2570"/>
      <c r="J109" s="2570"/>
      <c r="K109" s="2570"/>
      <c r="L109" s="2570"/>
      <c r="M109" s="2570"/>
      <c r="N109" s="2570"/>
      <c r="O109" s="2570"/>
      <c r="P109" s="2570"/>
      <c r="Q109" s="2570"/>
      <c r="R109" s="2570"/>
      <c r="S109" s="2570"/>
      <c r="T109" s="2570"/>
      <c r="U109" s="2570"/>
      <c r="V109" s="2570"/>
      <c r="W109" s="2570"/>
      <c r="X109" s="2570"/>
      <c r="Y109" s="2570"/>
      <c r="Z109" s="2570"/>
      <c r="AA109" s="2570"/>
      <c r="AB109" s="2570"/>
      <c r="AC109" s="2570"/>
      <c r="AD109" s="2570"/>
      <c r="AE109" s="2570"/>
      <c r="AF109" s="2570"/>
      <c r="AG109" s="2570"/>
      <c r="AH109" s="2570"/>
      <c r="AI109" s="2570"/>
      <c r="AJ109" s="2570"/>
      <c r="AK109" s="2570"/>
      <c r="AL109" s="2570"/>
      <c r="AM109" s="2570"/>
      <c r="AN109" s="2570"/>
      <c r="AO109" s="2570"/>
      <c r="AP109" s="2570"/>
      <c r="AQ109" s="2570"/>
      <c r="AR109" s="2570"/>
      <c r="AS109" s="2570"/>
      <c r="AT109" s="2570"/>
      <c r="AU109" s="2570"/>
      <c r="AV109" s="2570"/>
      <c r="AW109" s="2570"/>
      <c r="AX109" s="191"/>
      <c r="AY109" s="2571"/>
      <c r="AZ109" s="2576"/>
      <c r="BA109" s="2576"/>
      <c r="BB109" s="2576"/>
      <c r="BC109" s="2576"/>
      <c r="BD109" s="2576"/>
      <c r="BE109" s="2576"/>
      <c r="BF109" s="2576"/>
      <c r="BG109" s="2576"/>
      <c r="BH109" s="2576"/>
      <c r="BI109" s="2576"/>
      <c r="BJ109" s="2577"/>
    </row>
    <row r="110" spans="1:64" ht="15.75">
      <c r="B110" s="2573"/>
      <c r="C110" s="187" t="s">
        <v>35</v>
      </c>
      <c r="D110" s="2600" t="str">
        <f>preferences.energyunits&amp;"/year"</f>
        <v>TWh/year</v>
      </c>
      <c r="E110" s="187"/>
      <c r="F110" s="2600"/>
      <c r="G110" s="187"/>
      <c r="H110" s="2583"/>
      <c r="I110" s="2583"/>
      <c r="J110" s="2583"/>
      <c r="K110" s="2583"/>
      <c r="L110" s="2583"/>
      <c r="M110" s="2583"/>
      <c r="N110" s="2583"/>
      <c r="O110" s="2583"/>
      <c r="P110" s="2583"/>
      <c r="Q110" s="2583"/>
      <c r="R110" s="2583"/>
      <c r="S110" s="2583"/>
      <c r="T110" s="2583"/>
      <c r="U110" s="2583"/>
      <c r="V110" s="2583"/>
      <c r="W110" s="2583"/>
      <c r="X110" s="2583"/>
      <c r="Y110" s="2583"/>
      <c r="Z110" s="2583"/>
      <c r="AA110" s="2583"/>
      <c r="AB110" s="2583"/>
      <c r="AC110" s="2583"/>
      <c r="AD110" s="2583"/>
      <c r="AE110" s="2583"/>
      <c r="AF110" s="2583"/>
      <c r="AG110" s="2583"/>
      <c r="AH110" s="2583"/>
      <c r="AI110" s="2583"/>
      <c r="AJ110" s="2583"/>
      <c r="AK110" s="2583"/>
      <c r="AL110" s="2583"/>
      <c r="AM110" s="2583"/>
      <c r="AN110" s="2583"/>
      <c r="AO110" s="2583"/>
      <c r="AP110" s="2583"/>
      <c r="AQ110" s="2583"/>
      <c r="AR110" s="2583"/>
      <c r="AS110" s="2583"/>
      <c r="AT110" s="2583"/>
      <c r="AU110" s="2583"/>
      <c r="AV110" s="2583"/>
      <c r="AW110" s="2583"/>
      <c r="AX110" s="187"/>
      <c r="AY110" s="2601">
        <v>2007</v>
      </c>
      <c r="AZ110" s="2601"/>
      <c r="BA110" s="2601">
        <f>AY110+5</f>
        <v>2012</v>
      </c>
      <c r="BB110" s="2601">
        <f t="shared" ref="BB110:BI110" si="38">BA110+5</f>
        <v>2017</v>
      </c>
      <c r="BC110" s="2601">
        <f t="shared" si="38"/>
        <v>2022</v>
      </c>
      <c r="BD110" s="2601">
        <f t="shared" si="38"/>
        <v>2027</v>
      </c>
      <c r="BE110" s="2601">
        <f t="shared" si="38"/>
        <v>2032</v>
      </c>
      <c r="BF110" s="2601">
        <f t="shared" si="38"/>
        <v>2037</v>
      </c>
      <c r="BG110" s="2601">
        <f t="shared" si="38"/>
        <v>2042</v>
      </c>
      <c r="BH110" s="2601">
        <f t="shared" si="38"/>
        <v>2047</v>
      </c>
      <c r="BI110" s="2601">
        <f t="shared" si="38"/>
        <v>2052</v>
      </c>
      <c r="BJ110" s="194"/>
    </row>
    <row r="111" spans="1:64" ht="15.75">
      <c r="B111" s="2597"/>
      <c r="C111" s="1503" t="s">
        <v>248</v>
      </c>
      <c r="D111" s="187" t="str">
        <f>INDEX(Modules[Module], MATCH($C111, Modules[Code], 0))</f>
        <v>Gas Power Stations</v>
      </c>
      <c r="E111" s="1503"/>
      <c r="F111" s="2576"/>
      <c r="G111" s="2576"/>
      <c r="H111" s="2595"/>
      <c r="I111" s="2595"/>
      <c r="J111" s="2595"/>
      <c r="K111" s="2595"/>
      <c r="L111" s="2595"/>
      <c r="M111" s="2595"/>
      <c r="N111" s="2595"/>
      <c r="O111" s="2595"/>
      <c r="P111" s="2595"/>
      <c r="Q111" s="2595"/>
      <c r="R111" s="2595"/>
      <c r="S111" s="2595"/>
      <c r="T111" s="2595"/>
      <c r="U111" s="2595"/>
      <c r="V111" s="2595"/>
      <c r="W111" s="2595"/>
      <c r="X111" s="2595"/>
      <c r="Y111" s="2595"/>
      <c r="Z111" s="2595"/>
      <c r="AA111" s="2595"/>
      <c r="AB111" s="2595"/>
      <c r="AC111" s="2595"/>
      <c r="AD111" s="2595"/>
      <c r="AE111" s="2595"/>
      <c r="AF111" s="2595"/>
      <c r="AG111" s="2595"/>
      <c r="AH111" s="2595">
        <f>221.2*Unit.TWh</f>
        <v>221.2</v>
      </c>
      <c r="AI111" s="2595">
        <f>214.6*Unit.TWh</f>
        <v>214.6</v>
      </c>
      <c r="AJ111" s="2595">
        <f>221.2*Unit.TWh</f>
        <v>221.2</v>
      </c>
      <c r="AK111" s="2595">
        <f>226.3*Unit.TWh</f>
        <v>226.3</v>
      </c>
      <c r="AL111" s="2595">
        <f>241.6*Unit.TWh</f>
        <v>241.6</v>
      </c>
      <c r="AM111" s="2595">
        <f>248.5*Unit.TWh</f>
        <v>248.5</v>
      </c>
      <c r="AN111" s="2595">
        <f>250.7*Unit.TWh</f>
        <v>250.7</v>
      </c>
      <c r="AO111" s="2595">
        <f>258.7*Unit.TWh</f>
        <v>258.7</v>
      </c>
      <c r="AP111" s="2595">
        <f>262.6*Unit.TWh</f>
        <v>262.60000000000002</v>
      </c>
      <c r="AQ111" s="2595">
        <f>264.2*Unit.TWh</f>
        <v>264.2</v>
      </c>
      <c r="AR111" s="2595">
        <f>267.6*Unit.TWh</f>
        <v>267.60000000000002</v>
      </c>
      <c r="AS111" s="2595">
        <f>276.5*Unit.TWh</f>
        <v>276.5</v>
      </c>
      <c r="AT111" s="2595">
        <f>279.3*Unit.TWh</f>
        <v>279.3</v>
      </c>
      <c r="AU111" s="2595">
        <f>250.1*Unit.TWh</f>
        <v>250.1</v>
      </c>
      <c r="AV111" s="2595">
        <f>263.1*Unit.TWh</f>
        <v>263.10000000000002</v>
      </c>
      <c r="AW111" s="2595" t="s">
        <v>1150</v>
      </c>
      <c r="AX111" s="1503"/>
      <c r="AY111" s="2576">
        <f ca="1">INDEX(INDIRECT("'"&amp;AY$4&amp;"'!Year.Matrix"), MATCH($C111, INDIRECT("'"&amp;AY$4&amp;"'!Year.Modules"), 0), MATCH($C$110, INDIRECT("'"&amp;AY$4&amp;"'!Year.Vectors"), 0))</f>
        <v>64.008837597600007</v>
      </c>
      <c r="AZ111" s="2576"/>
      <c r="BA111" s="2576">
        <f t="shared" ref="BA111:BI114" ca="1" si="39">INDEX(INDIRECT("'"&amp;BA$4&amp;"'!Year.Matrix"), MATCH($C111, INDIRECT("'"&amp;BA$4&amp;"'!Year.Modules"), 0), MATCH($C$110, INDIRECT("'"&amp;BA$4&amp;"'!Year.Vectors"), 0))</f>
        <v>96.596143677000001</v>
      </c>
      <c r="BB111" s="2576">
        <f t="shared" ca="1" si="39"/>
        <v>109.8605340414</v>
      </c>
      <c r="BC111" s="2576">
        <f t="shared" ca="1" si="39"/>
        <v>109.8605340414</v>
      </c>
      <c r="BD111" s="2576">
        <f t="shared" ca="1" si="39"/>
        <v>109.8605340414</v>
      </c>
      <c r="BE111" s="2576">
        <f t="shared" ca="1" si="39"/>
        <v>109.8605340414</v>
      </c>
      <c r="BF111" s="2576">
        <f t="shared" ca="1" si="39"/>
        <v>109.8605340414</v>
      </c>
      <c r="BG111" s="2576">
        <f t="shared" ca="1" si="39"/>
        <v>109.8605340414</v>
      </c>
      <c r="BH111" s="2576">
        <f t="shared" ca="1" si="39"/>
        <v>109.8605340414</v>
      </c>
      <c r="BI111" s="2576">
        <f t="shared" ca="1" si="39"/>
        <v>109.8605340414</v>
      </c>
      <c r="BJ111" s="194"/>
      <c r="BL111" s="15"/>
    </row>
    <row r="112" spans="1:64" s="410" customFormat="1">
      <c r="B112" s="193"/>
      <c r="C112" s="2598" t="s">
        <v>278</v>
      </c>
      <c r="D112" s="187" t="str">
        <f>INDEX(Modules[Module], MATCH($C112, Modules[Code], 0))</f>
        <v>Coal power stations</v>
      </c>
      <c r="E112" s="1503"/>
      <c r="F112" s="2602"/>
      <c r="G112" s="2602"/>
      <c r="H112" s="2603"/>
      <c r="I112" s="2603"/>
      <c r="J112" s="2603"/>
      <c r="K112" s="2603"/>
      <c r="L112" s="2603"/>
      <c r="M112" s="2603"/>
      <c r="N112" s="2603"/>
      <c r="O112" s="2603"/>
      <c r="P112" s="2603"/>
      <c r="Q112" s="2603"/>
      <c r="R112" s="2603"/>
      <c r="S112" s="2603"/>
      <c r="T112" s="2603"/>
      <c r="U112" s="2603"/>
      <c r="V112" s="2603"/>
      <c r="W112" s="2603"/>
      <c r="X112" s="2603"/>
      <c r="Y112" s="2603"/>
      <c r="Z112" s="2603"/>
      <c r="AA112" s="2603"/>
      <c r="AB112" s="2603"/>
      <c r="AC112" s="2603"/>
      <c r="AD112" s="2603"/>
      <c r="AE112" s="2603"/>
      <c r="AF112" s="2603"/>
      <c r="AG112" s="2603"/>
      <c r="AH112" s="2603"/>
      <c r="AI112" s="2603"/>
      <c r="AJ112" s="2603"/>
      <c r="AK112" s="2603"/>
      <c r="AL112" s="2603"/>
      <c r="AM112" s="2603"/>
      <c r="AN112" s="2603"/>
      <c r="AO112" s="2603"/>
      <c r="AP112" s="2603"/>
      <c r="AQ112" s="2603"/>
      <c r="AR112" s="2603"/>
      <c r="AS112" s="2603"/>
      <c r="AT112" s="2603"/>
      <c r="AU112" s="2603"/>
      <c r="AV112" s="2603"/>
      <c r="AW112" s="2603"/>
      <c r="AX112" s="1503"/>
      <c r="AY112" s="2602">
        <f ca="1">INDEX(INDIRECT("'"&amp;AY$4&amp;"'!Year.Matrix"), MATCH($C112, INDIRECT("'"&amp;AY$4&amp;"'!Year.Modules"), 0), MATCH($C$110, INDIRECT("'"&amp;AY$4&amp;"'!Year.Vectors"), 0))</f>
        <v>489.68979840000003</v>
      </c>
      <c r="AZ112" s="2602"/>
      <c r="BA112" s="2602">
        <f t="shared" ca="1" si="39"/>
        <v>710.86285644904808</v>
      </c>
      <c r="BB112" s="2602">
        <f t="shared" ca="1" si="39"/>
        <v>987.43322456128158</v>
      </c>
      <c r="BC112" s="2602">
        <f t="shared" ca="1" si="39"/>
        <v>936.05697418960165</v>
      </c>
      <c r="BD112" s="2602">
        <f t="shared" ca="1" si="39"/>
        <v>857.50498844560173</v>
      </c>
      <c r="BE112" s="2602">
        <f t="shared" ca="1" si="39"/>
        <v>774.08352476560174</v>
      </c>
      <c r="BF112" s="2602">
        <f t="shared" ca="1" si="39"/>
        <v>711.69800024920607</v>
      </c>
      <c r="BG112" s="2602">
        <f t="shared" ca="1" si="39"/>
        <v>631.66170278920595</v>
      </c>
      <c r="BH112" s="2602">
        <f t="shared" ca="1" si="39"/>
        <v>563.12045398120586</v>
      </c>
      <c r="BI112" s="2602">
        <f t="shared" ca="1" si="39"/>
        <v>336.94328475400596</v>
      </c>
      <c r="BJ112" s="2604"/>
      <c r="BL112" s="1205"/>
    </row>
    <row r="113" spans="2:64" s="410" customFormat="1">
      <c r="B113" s="193"/>
      <c r="C113" s="2598" t="s">
        <v>696</v>
      </c>
      <c r="D113" s="187" t="str">
        <f>INDEX(Modules[Module], MATCH($C113, Modules[Code], 0))</f>
        <v>Carbon Capture Storage (CCS)</v>
      </c>
      <c r="E113" s="1503"/>
      <c r="F113" s="2602"/>
      <c r="G113" s="2602"/>
      <c r="H113" s="2603"/>
      <c r="I113" s="2603"/>
      <c r="J113" s="2603"/>
      <c r="K113" s="2603"/>
      <c r="L113" s="2603"/>
      <c r="M113" s="2603"/>
      <c r="N113" s="2603"/>
      <c r="O113" s="2603"/>
      <c r="P113" s="2603"/>
      <c r="Q113" s="2603"/>
      <c r="R113" s="2603"/>
      <c r="S113" s="2603"/>
      <c r="T113" s="2603"/>
      <c r="U113" s="2603"/>
      <c r="V113" s="2603"/>
      <c r="W113" s="2603"/>
      <c r="X113" s="2603"/>
      <c r="Y113" s="2603"/>
      <c r="Z113" s="2603"/>
      <c r="AA113" s="2603"/>
      <c r="AB113" s="2603"/>
      <c r="AC113" s="2603"/>
      <c r="AD113" s="2603"/>
      <c r="AE113" s="2603"/>
      <c r="AF113" s="2603"/>
      <c r="AG113" s="2603"/>
      <c r="AH113" s="2603"/>
      <c r="AI113" s="2603"/>
      <c r="AJ113" s="2603"/>
      <c r="AK113" s="2603"/>
      <c r="AL113" s="2603"/>
      <c r="AM113" s="2603"/>
      <c r="AN113" s="2603"/>
      <c r="AO113" s="2603"/>
      <c r="AP113" s="2603"/>
      <c r="AQ113" s="2603"/>
      <c r="AR113" s="2603"/>
      <c r="AS113" s="2603"/>
      <c r="AT113" s="2603"/>
      <c r="AU113" s="2603"/>
      <c r="AV113" s="2603"/>
      <c r="AW113" s="2603"/>
      <c r="AX113" s="1503"/>
      <c r="AY113" s="2602">
        <f ca="1">INDEX(INDIRECT("'"&amp;AY$4&amp;"'!Year.Matrix"), MATCH($C113, INDIRECT("'"&amp;AY$4&amp;"'!Year.Modules"), 0), MATCH($C$110, INDIRECT("'"&amp;AY$4&amp;"'!Year.Vectors"), 0))</f>
        <v>0</v>
      </c>
      <c r="AZ113" s="2602"/>
      <c r="BA113" s="2602">
        <f t="shared" ca="1" si="39"/>
        <v>0</v>
      </c>
      <c r="BB113" s="2602">
        <f t="shared" ca="1" si="39"/>
        <v>0</v>
      </c>
      <c r="BC113" s="2602">
        <f t="shared" ca="1" si="39"/>
        <v>0</v>
      </c>
      <c r="BD113" s="2602">
        <f t="shared" ca="1" si="39"/>
        <v>0</v>
      </c>
      <c r="BE113" s="2602">
        <f t="shared" ca="1" si="39"/>
        <v>2.5772040000000001</v>
      </c>
      <c r="BF113" s="2602">
        <f t="shared" ca="1" si="39"/>
        <v>6.1362000000000005</v>
      </c>
      <c r="BG113" s="2602">
        <f t="shared" ca="1" si="39"/>
        <v>14.358708</v>
      </c>
      <c r="BH113" s="2602">
        <f t="shared" ca="1" si="39"/>
        <v>19.513116000000004</v>
      </c>
      <c r="BI113" s="2602">
        <f t="shared" ca="1" si="39"/>
        <v>27.244728000000002</v>
      </c>
      <c r="BJ113" s="2604"/>
      <c r="BL113" s="1205"/>
    </row>
    <row r="114" spans="2:64" s="410" customFormat="1">
      <c r="B114" s="2599"/>
      <c r="C114" s="2598" t="s">
        <v>1819</v>
      </c>
      <c r="D114" s="187" t="str">
        <f>INDEX(Modules[Module], MATCH($C114, Modules[Code], 0))</f>
        <v>Electricity Balancing Requirement</v>
      </c>
      <c r="E114" s="1503"/>
      <c r="F114" s="2602"/>
      <c r="G114" s="2602"/>
      <c r="H114" s="2603"/>
      <c r="I114" s="2603"/>
      <c r="J114" s="2603"/>
      <c r="K114" s="2603"/>
      <c r="L114" s="2603"/>
      <c r="M114" s="2603"/>
      <c r="N114" s="2603"/>
      <c r="O114" s="2603"/>
      <c r="P114" s="2603"/>
      <c r="Q114" s="2603"/>
      <c r="R114" s="2603"/>
      <c r="S114" s="2603"/>
      <c r="T114" s="2603"/>
      <c r="U114" s="2603"/>
      <c r="V114" s="2603"/>
      <c r="W114" s="2603"/>
      <c r="X114" s="2603"/>
      <c r="Y114" s="2603"/>
      <c r="Z114" s="2603"/>
      <c r="AA114" s="2603"/>
      <c r="AB114" s="2603"/>
      <c r="AC114" s="2603"/>
      <c r="AD114" s="2603"/>
      <c r="AE114" s="2603"/>
      <c r="AF114" s="2603"/>
      <c r="AG114" s="2603"/>
      <c r="AH114" s="2603">
        <f>221.2*Unit.TWh</f>
        <v>221.2</v>
      </c>
      <c r="AI114" s="2603">
        <f>214.6*Unit.TWh</f>
        <v>214.6</v>
      </c>
      <c r="AJ114" s="2603">
        <f>221.2*Unit.TWh</f>
        <v>221.2</v>
      </c>
      <c r="AK114" s="2603">
        <f>226.3*Unit.TWh</f>
        <v>226.3</v>
      </c>
      <c r="AL114" s="2603">
        <f>241.6*Unit.TWh</f>
        <v>241.6</v>
      </c>
      <c r="AM114" s="2603">
        <f>248.5*Unit.TWh</f>
        <v>248.5</v>
      </c>
      <c r="AN114" s="2603">
        <f>250.7*Unit.TWh</f>
        <v>250.7</v>
      </c>
      <c r="AO114" s="2603">
        <f>258.7*Unit.TWh</f>
        <v>258.7</v>
      </c>
      <c r="AP114" s="2603">
        <f>262.6*Unit.TWh</f>
        <v>262.60000000000002</v>
      </c>
      <c r="AQ114" s="2603">
        <f>264.2*Unit.TWh</f>
        <v>264.2</v>
      </c>
      <c r="AR114" s="2603">
        <f>267.6*Unit.TWh</f>
        <v>267.60000000000002</v>
      </c>
      <c r="AS114" s="2603">
        <f>276.5*Unit.TWh</f>
        <v>276.5</v>
      </c>
      <c r="AT114" s="2603">
        <f>279.3*Unit.TWh</f>
        <v>279.3</v>
      </c>
      <c r="AU114" s="2603">
        <f>250.1*Unit.TWh</f>
        <v>250.1</v>
      </c>
      <c r="AV114" s="2603">
        <f>263.1*Unit.TWh</f>
        <v>263.10000000000002</v>
      </c>
      <c r="AW114" s="2603" t="s">
        <v>1135</v>
      </c>
      <c r="AX114" s="2602">
        <f>AX111+AX112+AX113</f>
        <v>0</v>
      </c>
      <c r="AY114" s="2602">
        <f ca="1">INDEX(INDIRECT("'"&amp;AY$4&amp;"'!Year.Matrix"), MATCH($C114, INDIRECT("'"&amp;AY$4&amp;"'!Year.Modules"), 0), MATCH($C$110, INDIRECT("'"&amp;AY$4&amp;"'!Year.Vectors"), 0))</f>
        <v>57.253185663040085</v>
      </c>
      <c r="AZ114" s="2602"/>
      <c r="BA114" s="2602">
        <f t="shared" ca="1" si="39"/>
        <v>2.5585518968521228</v>
      </c>
      <c r="BB114" s="2602">
        <f t="shared" ca="1" si="39"/>
        <v>26.676280792411944</v>
      </c>
      <c r="BC114" s="2602">
        <f t="shared" ca="1" si="39"/>
        <v>633.96028414856255</v>
      </c>
      <c r="BD114" s="2602">
        <f t="shared" ca="1" si="39"/>
        <v>1436.0672738769088</v>
      </c>
      <c r="BE114" s="2602">
        <f t="shared" ca="1" si="39"/>
        <v>2499.5140421615743</v>
      </c>
      <c r="BF114" s="2602">
        <f t="shared" ca="1" si="39"/>
        <v>3442.540621324436</v>
      </c>
      <c r="BG114" s="2602">
        <f t="shared" ca="1" si="39"/>
        <v>4538.886109711163</v>
      </c>
      <c r="BH114" s="2602">
        <f t="shared" ca="1" si="39"/>
        <v>5541.1197894407087</v>
      </c>
      <c r="BI114" s="2602">
        <f t="shared" ca="1" si="39"/>
        <v>6841.2588476361761</v>
      </c>
      <c r="BJ114" s="2604"/>
      <c r="BL114" s="1205"/>
    </row>
    <row r="115" spans="2:64" s="410" customFormat="1">
      <c r="B115" s="2599"/>
      <c r="C115" s="2598"/>
      <c r="D115" s="186" t="s">
        <v>1947</v>
      </c>
      <c r="E115" s="1503"/>
      <c r="F115" s="2602"/>
      <c r="G115" s="2602"/>
      <c r="H115" s="2603"/>
      <c r="I115" s="2603"/>
      <c r="J115" s="2603"/>
      <c r="K115" s="2603"/>
      <c r="L115" s="2603"/>
      <c r="M115" s="2603"/>
      <c r="N115" s="2603"/>
      <c r="O115" s="2603"/>
      <c r="P115" s="2603"/>
      <c r="Q115" s="2603"/>
      <c r="R115" s="2603"/>
      <c r="S115" s="2603"/>
      <c r="T115" s="2603"/>
      <c r="U115" s="2603"/>
      <c r="V115" s="2603"/>
      <c r="W115" s="2603"/>
      <c r="X115" s="2603"/>
      <c r="Y115" s="2603"/>
      <c r="Z115" s="2603"/>
      <c r="AA115" s="2603"/>
      <c r="AB115" s="2603"/>
      <c r="AC115" s="2603"/>
      <c r="AD115" s="2603"/>
      <c r="AE115" s="2603"/>
      <c r="AF115" s="2603"/>
      <c r="AG115" s="2603"/>
      <c r="AH115" s="2603"/>
      <c r="AI115" s="2603"/>
      <c r="AJ115" s="2603"/>
      <c r="AK115" s="2603"/>
      <c r="AL115" s="2603"/>
      <c r="AM115" s="2603"/>
      <c r="AN115" s="2603"/>
      <c r="AO115" s="2603"/>
      <c r="AP115" s="2603"/>
      <c r="AQ115" s="2603"/>
      <c r="AR115" s="2603"/>
      <c r="AS115" s="2603"/>
      <c r="AT115" s="2603"/>
      <c r="AU115" s="2603"/>
      <c r="AV115" s="2603"/>
      <c r="AW115" s="2603"/>
      <c r="AX115" s="2602"/>
      <c r="AY115" s="2602">
        <f ca="1">SUM(AY111:AY114)</f>
        <v>610.95182166064012</v>
      </c>
      <c r="AZ115" s="2602"/>
      <c r="BA115" s="2602">
        <f t="shared" ref="BA115:BI115" ca="1" si="40">SUM(BA111:BA114)</f>
        <v>810.01755202290019</v>
      </c>
      <c r="BB115" s="2602">
        <f t="shared" ca="1" si="40"/>
        <v>1123.9700393950934</v>
      </c>
      <c r="BC115" s="2602">
        <f t="shared" ca="1" si="40"/>
        <v>1679.8777923795642</v>
      </c>
      <c r="BD115" s="2602">
        <f t="shared" ca="1" si="40"/>
        <v>2403.4327963639107</v>
      </c>
      <c r="BE115" s="2602">
        <f t="shared" ca="1" si="40"/>
        <v>3386.0353049685759</v>
      </c>
      <c r="BF115" s="2602">
        <f t="shared" ca="1" si="40"/>
        <v>4270.235355615042</v>
      </c>
      <c r="BG115" s="2602">
        <f t="shared" ca="1" si="40"/>
        <v>5294.7670545417686</v>
      </c>
      <c r="BH115" s="2602">
        <f t="shared" ca="1" si="40"/>
        <v>6233.6138934633145</v>
      </c>
      <c r="BI115" s="2602">
        <f t="shared" ca="1" si="40"/>
        <v>7315.307394431582</v>
      </c>
      <c r="BJ115" s="2604"/>
      <c r="BL115" s="1205"/>
    </row>
    <row r="116" spans="2:64">
      <c r="B116" s="2599"/>
      <c r="C116" s="1503" t="s">
        <v>61</v>
      </c>
      <c r="D116" s="187" t="str">
        <f>INDEX(Modules[Module], MATCH($C116, Modules[Code], 0))</f>
        <v>Nuclear power</v>
      </c>
      <c r="E116" s="1503"/>
      <c r="F116" s="2576"/>
      <c r="G116" s="2576"/>
      <c r="H116" s="2595"/>
      <c r="I116" s="2595"/>
      <c r="J116" s="2595"/>
      <c r="K116" s="2595"/>
      <c r="L116" s="2595"/>
      <c r="M116" s="2595"/>
      <c r="N116" s="2595"/>
      <c r="O116" s="2595"/>
      <c r="P116" s="2595"/>
      <c r="Q116" s="2595"/>
      <c r="R116" s="2595"/>
      <c r="S116" s="2595"/>
      <c r="T116" s="2595"/>
      <c r="U116" s="2595"/>
      <c r="V116" s="2595"/>
      <c r="W116" s="2595"/>
      <c r="X116" s="2595"/>
      <c r="Y116" s="2595"/>
      <c r="Z116" s="2595"/>
      <c r="AA116" s="2595"/>
      <c r="AB116" s="2595"/>
      <c r="AC116" s="2595"/>
      <c r="AD116" s="2595"/>
      <c r="AE116" s="2595"/>
      <c r="AF116" s="2595"/>
      <c r="AG116" s="2595"/>
      <c r="AH116" s="2595"/>
      <c r="AI116" s="2595"/>
      <c r="AJ116" s="2595"/>
      <c r="AK116" s="2595"/>
      <c r="AL116" s="2595"/>
      <c r="AM116" s="2595"/>
      <c r="AN116" s="2595"/>
      <c r="AO116" s="2595"/>
      <c r="AP116" s="2595"/>
      <c r="AQ116" s="2595"/>
      <c r="AR116" s="2595"/>
      <c r="AS116" s="2595"/>
      <c r="AT116" s="2595"/>
      <c r="AU116" s="2595"/>
      <c r="AV116" s="2595"/>
      <c r="AW116" s="2595"/>
      <c r="AX116" s="1503"/>
      <c r="AY116" s="2576">
        <f ca="1">INDEX(INDIRECT("'"&amp;AY$4&amp;"'!Year.Matrix"), MATCH($C116, INDIRECT("'"&amp;AY$4&amp;"'!Year.Modules"), 0), MATCH($C$110, INDIRECT("'"&amp;AY$4&amp;"'!Year.Vectors"), 0))</f>
        <v>28.331712000000003</v>
      </c>
      <c r="AZ116" s="2576"/>
      <c r="BA116" s="2576">
        <f t="shared" ref="BA116:BI117" ca="1" si="41">INDEX(INDIRECT("'"&amp;BA$4&amp;"'!Year.Matrix"), MATCH($C116, INDIRECT("'"&amp;BA$4&amp;"'!Year.Modules"), 0), MATCH($C$110, INDIRECT("'"&amp;BA$4&amp;"'!Year.Vectors"), 0))</f>
        <v>32.819904000000001</v>
      </c>
      <c r="BB116" s="2576">
        <f t="shared" ca="1" si="41"/>
        <v>69.987744000000006</v>
      </c>
      <c r="BC116" s="2576">
        <f t="shared" ca="1" si="41"/>
        <v>67.743648000000007</v>
      </c>
      <c r="BD116" s="2576">
        <f t="shared" ca="1" si="41"/>
        <v>67.743648000000007</v>
      </c>
      <c r="BE116" s="2576">
        <f t="shared" ca="1" si="41"/>
        <v>66.341088000000013</v>
      </c>
      <c r="BF116" s="2576">
        <f t="shared" ca="1" si="41"/>
        <v>63.255456000000002</v>
      </c>
      <c r="BG116" s="2576">
        <f t="shared" ca="1" si="41"/>
        <v>61.712640000000007</v>
      </c>
      <c r="BH116" s="2576">
        <f t="shared" ca="1" si="41"/>
        <v>58.627007999999996</v>
      </c>
      <c r="BI116" s="2576">
        <f t="shared" ca="1" si="41"/>
        <v>58.627007999999996</v>
      </c>
      <c r="BJ116" s="194"/>
      <c r="BL116" s="15"/>
    </row>
    <row r="117" spans="2:64">
      <c r="B117" s="2599"/>
      <c r="C117" s="1503" t="s">
        <v>62</v>
      </c>
      <c r="D117" s="187" t="str">
        <f>INDEX(Modules[Module], MATCH($C117, Modules[Code], 0))</f>
        <v>Hydro Power Generation</v>
      </c>
      <c r="E117" s="1503"/>
      <c r="F117" s="2576"/>
      <c r="G117" s="2576"/>
      <c r="H117" s="2595"/>
      <c r="I117" s="2595"/>
      <c r="J117" s="2595"/>
      <c r="K117" s="2595"/>
      <c r="L117" s="2595"/>
      <c r="M117" s="2595"/>
      <c r="N117" s="2595"/>
      <c r="O117" s="2595"/>
      <c r="P117" s="2595"/>
      <c r="Q117" s="2595"/>
      <c r="R117" s="2595"/>
      <c r="S117" s="2595"/>
      <c r="T117" s="2595"/>
      <c r="U117" s="2595"/>
      <c r="V117" s="2595"/>
      <c r="W117" s="2595"/>
      <c r="X117" s="2595"/>
      <c r="Y117" s="2595"/>
      <c r="Z117" s="2595"/>
      <c r="AA117" s="2595"/>
      <c r="AB117" s="2595"/>
      <c r="AC117" s="2595"/>
      <c r="AD117" s="2595"/>
      <c r="AE117" s="2595"/>
      <c r="AF117" s="2595"/>
      <c r="AG117" s="2595"/>
      <c r="AH117" s="2595">
        <f>85.8*Unit.TWh</f>
        <v>85.8</v>
      </c>
      <c r="AI117" s="2595">
        <f>89.3*Unit.TWh</f>
        <v>89.3</v>
      </c>
      <c r="AJ117" s="2595">
        <f>90.6*Unit.TWh</f>
        <v>90.6</v>
      </c>
      <c r="AK117" s="2595">
        <f>87.7*Unit.TWh</f>
        <v>87.7</v>
      </c>
      <c r="AL117" s="2595">
        <f>78.3*Unit.TWh</f>
        <v>78.3</v>
      </c>
      <c r="AM117" s="2595">
        <f>83*Unit.TWh</f>
        <v>83</v>
      </c>
      <c r="AN117" s="2595">
        <f>81.1*Unit.TWh</f>
        <v>81.099999999999994</v>
      </c>
      <c r="AO117" s="2595">
        <f>81.9*Unit.TWh</f>
        <v>81.900000000000006</v>
      </c>
      <c r="AP117" s="2595">
        <f>73.7*Unit.TWh</f>
        <v>73.7</v>
      </c>
      <c r="AQ117" s="2595">
        <f>75.2*Unit.TWh</f>
        <v>75.2</v>
      </c>
      <c r="AR117" s="2595">
        <f>69.2*Unit.TWh</f>
        <v>69.2</v>
      </c>
      <c r="AS117" s="2595">
        <f>57.2*Unit.TWh</f>
        <v>57.2</v>
      </c>
      <c r="AT117" s="2595">
        <f>47.7*Unit.TWh</f>
        <v>47.7</v>
      </c>
      <c r="AU117" s="2595">
        <f>62.8*Unit.TWh</f>
        <v>62.8</v>
      </c>
      <c r="AV117" s="2595">
        <f>56.5 *Unit.TWh</f>
        <v>56.5</v>
      </c>
      <c r="AW117" s="2595" t="s">
        <v>1151</v>
      </c>
      <c r="AX117" s="1503"/>
      <c r="AY117" s="2576">
        <f ca="1">INDEX(INDIRECT("'"&amp;AY$4&amp;"'!Year.Matrix"), MATCH($C117, INDIRECT("'"&amp;AY$4&amp;"'!Year.Modules"), 0), MATCH($C$110, INDIRECT("'"&amp;AY$4&amp;"'!Year.Vectors"), 0))</f>
        <v>121.49675999999999</v>
      </c>
      <c r="AZ117" s="2576"/>
      <c r="BA117" s="2576">
        <f t="shared" ca="1" si="41"/>
        <v>143.76240000000001</v>
      </c>
      <c r="BB117" s="2576">
        <f t="shared" ca="1" si="41"/>
        <v>171.81360000000004</v>
      </c>
      <c r="BC117" s="2576">
        <f t="shared" ca="1" si="41"/>
        <v>171.81360000000004</v>
      </c>
      <c r="BD117" s="2576">
        <f t="shared" ca="1" si="41"/>
        <v>171.81360000000004</v>
      </c>
      <c r="BE117" s="2576">
        <f t="shared" ca="1" si="41"/>
        <v>171.81360000000004</v>
      </c>
      <c r="BF117" s="2576">
        <f t="shared" ca="1" si="41"/>
        <v>171.81360000000004</v>
      </c>
      <c r="BG117" s="2576">
        <f t="shared" ca="1" si="41"/>
        <v>171.81360000000004</v>
      </c>
      <c r="BH117" s="2576">
        <f t="shared" ca="1" si="41"/>
        <v>171.81360000000004</v>
      </c>
      <c r="BI117" s="2576">
        <f t="shared" ca="1" si="41"/>
        <v>171.81360000000004</v>
      </c>
      <c r="BJ117" s="194"/>
      <c r="BL117" s="15"/>
    </row>
    <row r="118" spans="2:64">
      <c r="B118" s="193"/>
      <c r="C118" s="1503"/>
      <c r="D118" s="186" t="s">
        <v>1949</v>
      </c>
      <c r="E118" s="1503"/>
      <c r="F118" s="2576"/>
      <c r="G118" s="2576"/>
      <c r="H118" s="2595"/>
      <c r="I118" s="2595"/>
      <c r="J118" s="2595"/>
      <c r="K118" s="2595"/>
      <c r="L118" s="2595"/>
      <c r="M118" s="2595"/>
      <c r="N118" s="2595"/>
      <c r="O118" s="2595"/>
      <c r="P118" s="2595"/>
      <c r="Q118" s="2595"/>
      <c r="R118" s="2595"/>
      <c r="S118" s="2595"/>
      <c r="T118" s="2595"/>
      <c r="U118" s="2595"/>
      <c r="V118" s="2595"/>
      <c r="W118" s="2595"/>
      <c r="X118" s="2595"/>
      <c r="Y118" s="2595"/>
      <c r="Z118" s="2595"/>
      <c r="AA118" s="2595"/>
      <c r="AB118" s="2595"/>
      <c r="AC118" s="2595"/>
      <c r="AD118" s="2595"/>
      <c r="AE118" s="2595"/>
      <c r="AF118" s="2595"/>
      <c r="AG118" s="2595"/>
      <c r="AH118" s="2595"/>
      <c r="AI118" s="2595"/>
      <c r="AJ118" s="2595"/>
      <c r="AK118" s="2595"/>
      <c r="AL118" s="2595"/>
      <c r="AM118" s="2595"/>
      <c r="AN118" s="2595"/>
      <c r="AO118" s="2595"/>
      <c r="AP118" s="2595"/>
      <c r="AQ118" s="2595"/>
      <c r="AR118" s="2595"/>
      <c r="AS118" s="2595"/>
      <c r="AT118" s="2595"/>
      <c r="AU118" s="2595"/>
      <c r="AV118" s="2595"/>
      <c r="AW118" s="2595"/>
      <c r="AX118" s="1503"/>
      <c r="AY118" s="2576">
        <f ca="1">AY117+AY116</f>
        <v>149.828472</v>
      </c>
      <c r="AZ118" s="2576"/>
      <c r="BA118" s="2576">
        <f t="shared" ref="BA118:BI118" ca="1" si="42">BA117+BA116</f>
        <v>176.58230400000002</v>
      </c>
      <c r="BB118" s="2576">
        <f t="shared" ca="1" si="42"/>
        <v>241.80134400000003</v>
      </c>
      <c r="BC118" s="2576">
        <f t="shared" ca="1" si="42"/>
        <v>239.55724800000004</v>
      </c>
      <c r="BD118" s="2576">
        <f t="shared" ca="1" si="42"/>
        <v>239.55724800000004</v>
      </c>
      <c r="BE118" s="2576">
        <f t="shared" ca="1" si="42"/>
        <v>238.15468800000005</v>
      </c>
      <c r="BF118" s="2576">
        <f t="shared" ca="1" si="42"/>
        <v>235.06905600000005</v>
      </c>
      <c r="BG118" s="2576">
        <f t="shared" ca="1" si="42"/>
        <v>233.52624000000003</v>
      </c>
      <c r="BH118" s="2576">
        <f t="shared" ca="1" si="42"/>
        <v>230.44060800000003</v>
      </c>
      <c r="BI118" s="2576">
        <f t="shared" ca="1" si="42"/>
        <v>230.44060800000003</v>
      </c>
      <c r="BJ118" s="194"/>
      <c r="BL118" s="15"/>
    </row>
    <row r="119" spans="2:64" s="410" customFormat="1">
      <c r="B119" s="193"/>
      <c r="C119" s="2598" t="s">
        <v>311</v>
      </c>
      <c r="D119" s="187" t="str">
        <f>INDEX(Modules[Module], MATCH($C119, Modules[Code], 0))</f>
        <v>Solar PV</v>
      </c>
      <c r="E119" s="1503"/>
      <c r="F119" s="2602"/>
      <c r="G119" s="2602"/>
      <c r="H119" s="2603"/>
      <c r="I119" s="2603"/>
      <c r="J119" s="2603"/>
      <c r="K119" s="2603"/>
      <c r="L119" s="2603"/>
      <c r="M119" s="2603"/>
      <c r="N119" s="2603"/>
      <c r="O119" s="2603"/>
      <c r="P119" s="2603"/>
      <c r="Q119" s="2603"/>
      <c r="R119" s="2603"/>
      <c r="S119" s="2603"/>
      <c r="T119" s="2603"/>
      <c r="U119" s="2603"/>
      <c r="V119" s="2603"/>
      <c r="W119" s="2603"/>
      <c r="X119" s="2603"/>
      <c r="Y119" s="2603"/>
      <c r="Z119" s="2603"/>
      <c r="AA119" s="2603"/>
      <c r="AB119" s="2603"/>
      <c r="AC119" s="2603"/>
      <c r="AD119" s="2603"/>
      <c r="AE119" s="2603"/>
      <c r="AF119" s="2603"/>
      <c r="AG119" s="2603"/>
      <c r="AH119" s="2603"/>
      <c r="AI119" s="2603"/>
      <c r="AJ119" s="2603"/>
      <c r="AK119" s="2603"/>
      <c r="AL119" s="2603"/>
      <c r="AM119" s="2603"/>
      <c r="AN119" s="2603"/>
      <c r="AO119" s="2603"/>
      <c r="AP119" s="2603"/>
      <c r="AQ119" s="2603"/>
      <c r="AR119" s="2603">
        <f>3.6*Unit.TWh</f>
        <v>3.6</v>
      </c>
      <c r="AS119" s="2603">
        <f>4.5*Unit.TWh</f>
        <v>4.5</v>
      </c>
      <c r="AT119" s="2603">
        <f>5.8*Unit.TWh</f>
        <v>5.8</v>
      </c>
      <c r="AU119" s="2603">
        <f>7.6*Unit.TWh</f>
        <v>7.6</v>
      </c>
      <c r="AV119" s="2603">
        <f>7.1*Unit.TWh</f>
        <v>7.1</v>
      </c>
      <c r="AW119" s="2603" t="s">
        <v>1152</v>
      </c>
      <c r="AX119" s="1503"/>
      <c r="AY119" s="2602">
        <f t="shared" ref="AY119:AY125" ca="1" si="43">INDEX(INDIRECT("'"&amp;AY$4&amp;"'!Year.Matrix"), MATCH($C119, INDIRECT("'"&amp;AY$4&amp;"'!Year.Modules"), 0), MATCH($C$110, INDIRECT("'"&amp;AY$4&amp;"'!Year.Vectors"), 0))</f>
        <v>0</v>
      </c>
      <c r="AZ119" s="2602"/>
      <c r="BA119" s="2602">
        <f t="shared" ref="BA119:BI125" ca="1" si="44">INDEX(INDIRECT("'"&amp;BA$4&amp;"'!Year.Matrix"), MATCH($C119, INDIRECT("'"&amp;BA$4&amp;"'!Year.Modules"), 0), MATCH($C$110, INDIRECT("'"&amp;BA$4&amp;"'!Year.Vectors"), 0))</f>
        <v>1.56727314</v>
      </c>
      <c r="BB119" s="2602">
        <f t="shared" ca="1" si="44"/>
        <v>8.2727459460000006</v>
      </c>
      <c r="BC119" s="2602">
        <f t="shared" ca="1" si="44"/>
        <v>18.558353960999998</v>
      </c>
      <c r="BD119" s="2602">
        <f t="shared" ca="1" si="44"/>
        <v>32.792269185000002</v>
      </c>
      <c r="BE119" s="2602">
        <f t="shared" ca="1" si="44"/>
        <v>47.823373215000004</v>
      </c>
      <c r="BF119" s="2602">
        <f t="shared" ca="1" si="44"/>
        <v>60.992995229999998</v>
      </c>
      <c r="BG119" s="2602">
        <f t="shared" ca="1" si="44"/>
        <v>69.119910000000004</v>
      </c>
      <c r="BH119" s="2602">
        <f t="shared" ca="1" si="44"/>
        <v>68.111819999999994</v>
      </c>
      <c r="BI119" s="2602">
        <f t="shared" ca="1" si="44"/>
        <v>59.608800000000002</v>
      </c>
      <c r="BJ119" s="2604"/>
      <c r="BL119" s="1205"/>
    </row>
    <row r="120" spans="2:64" s="410" customFormat="1">
      <c r="B120" s="193"/>
      <c r="C120" s="2598" t="s">
        <v>407</v>
      </c>
      <c r="D120" s="187" t="str">
        <f>INDEX(Modules[Module], MATCH($C120, Modules[Code], 0))</f>
        <v>Solar CSP</v>
      </c>
      <c r="E120" s="1503"/>
      <c r="F120" s="2602"/>
      <c r="G120" s="2602"/>
      <c r="H120" s="2603"/>
      <c r="I120" s="2603"/>
      <c r="J120" s="2603"/>
      <c r="K120" s="2603"/>
      <c r="L120" s="2603"/>
      <c r="M120" s="2603"/>
      <c r="N120" s="2603"/>
      <c r="O120" s="2603"/>
      <c r="P120" s="2603"/>
      <c r="Q120" s="2603"/>
      <c r="R120" s="2603"/>
      <c r="S120" s="2603"/>
      <c r="T120" s="2603"/>
      <c r="U120" s="2603"/>
      <c r="V120" s="2603"/>
      <c r="W120" s="2603"/>
      <c r="X120" s="2603"/>
      <c r="Y120" s="2603"/>
      <c r="Z120" s="2603"/>
      <c r="AA120" s="2603"/>
      <c r="AB120" s="2603"/>
      <c r="AC120" s="2603"/>
      <c r="AD120" s="2603"/>
      <c r="AE120" s="2603"/>
      <c r="AF120" s="2603"/>
      <c r="AG120" s="2603"/>
      <c r="AH120" s="2603"/>
      <c r="AI120" s="2603"/>
      <c r="AJ120" s="2603"/>
      <c r="AK120" s="2603"/>
      <c r="AL120" s="2603"/>
      <c r="AM120" s="2603"/>
      <c r="AN120" s="2603"/>
      <c r="AO120" s="2603"/>
      <c r="AP120" s="2603"/>
      <c r="AQ120" s="2603"/>
      <c r="AR120" s="2603">
        <f>0.7*Unit.TWh</f>
        <v>0.7</v>
      </c>
      <c r="AS120" s="2603">
        <f>0.8*Unit.TWh</f>
        <v>0.8</v>
      </c>
      <c r="AT120" s="2603">
        <f>1.3*Unit.TWh</f>
        <v>1.3</v>
      </c>
      <c r="AU120" s="2603">
        <f>1.7*Unit.TWh</f>
        <v>1.7</v>
      </c>
      <c r="AV120" s="2603">
        <f>3*Unit.TWh</f>
        <v>3</v>
      </c>
      <c r="AW120" s="2603" t="s">
        <v>1153</v>
      </c>
      <c r="AX120" s="1503"/>
      <c r="AY120" s="2602">
        <f t="shared" ca="1" si="43"/>
        <v>0</v>
      </c>
      <c r="AZ120" s="2602"/>
      <c r="BA120" s="2602">
        <f t="shared" ca="1" si="44"/>
        <v>0</v>
      </c>
      <c r="BB120" s="2602">
        <f t="shared" ca="1" si="44"/>
        <v>2.5246079999999997</v>
      </c>
      <c r="BC120" s="2602">
        <f t="shared" ca="1" si="44"/>
        <v>8.5731479999999998</v>
      </c>
      <c r="BD120" s="2602">
        <f t="shared" ca="1" si="44"/>
        <v>15.638544</v>
      </c>
      <c r="BE120" s="2602">
        <f t="shared" ca="1" si="44"/>
        <v>25.719444000000003</v>
      </c>
      <c r="BF120" s="2602">
        <f t="shared" ca="1" si="44"/>
        <v>33.784163999999997</v>
      </c>
      <c r="BG120" s="2602">
        <f t="shared" ca="1" si="44"/>
        <v>37.816524000000008</v>
      </c>
      <c r="BH120" s="2602">
        <f t="shared" ca="1" si="44"/>
        <v>35.291916000000001</v>
      </c>
      <c r="BI120" s="2602">
        <f t="shared" ca="1" si="44"/>
        <v>29.243376000000001</v>
      </c>
      <c r="BJ120" s="2604"/>
      <c r="BL120" s="1205"/>
    </row>
    <row r="121" spans="2:64" s="410" customFormat="1">
      <c r="B121" s="2599"/>
      <c r="C121" s="2598" t="s">
        <v>1071</v>
      </c>
      <c r="D121" s="187" t="str">
        <f>INDEX(Modules[Module], MATCH($C121, Modules[Code], 0))</f>
        <v>Onshore Wind</v>
      </c>
      <c r="E121" s="1503"/>
      <c r="F121" s="2602"/>
      <c r="G121" s="2602"/>
      <c r="H121" s="2603"/>
      <c r="I121" s="2603"/>
      <c r="J121" s="2603"/>
      <c r="K121" s="2603"/>
      <c r="L121" s="2603"/>
      <c r="M121" s="2603"/>
      <c r="N121" s="2603"/>
      <c r="O121" s="2603"/>
      <c r="P121" s="2603"/>
      <c r="Q121" s="2603"/>
      <c r="R121" s="2603"/>
      <c r="S121" s="2603"/>
      <c r="T121" s="2603"/>
      <c r="U121" s="2603"/>
      <c r="V121" s="2603"/>
      <c r="W121" s="2603"/>
      <c r="X121" s="2603"/>
      <c r="Y121" s="2603"/>
      <c r="Z121" s="2603"/>
      <c r="AA121" s="2603"/>
      <c r="AB121" s="2603"/>
      <c r="AC121" s="2603"/>
      <c r="AD121" s="2603"/>
      <c r="AE121" s="2603"/>
      <c r="AF121" s="2603"/>
      <c r="AG121" s="2603"/>
      <c r="AH121" s="2603">
        <f>2.8*Unit.TWh</f>
        <v>2.8</v>
      </c>
      <c r="AI121" s="2603">
        <f>3.3*Unit.TWh</f>
        <v>3.3</v>
      </c>
      <c r="AJ121" s="2603">
        <f>4.2*Unit.TWh</f>
        <v>4.2</v>
      </c>
      <c r="AK121" s="2603">
        <f>4.4*Unit.TWh</f>
        <v>4.4000000000000004</v>
      </c>
      <c r="AL121" s="2603">
        <f>4.3*Unit.TWh</f>
        <v>4.3</v>
      </c>
      <c r="AM121" s="2603">
        <f>3.2*Unit.TWh</f>
        <v>3.2</v>
      </c>
      <c r="AN121" s="2603">
        <f>3.9*Unit.TWh</f>
        <v>3.9</v>
      </c>
      <c r="AO121" s="2603">
        <f>2.6*Unit.TWh</f>
        <v>2.6</v>
      </c>
      <c r="AP121" s="2603">
        <f>3.9*Unit.TWh</f>
        <v>3.9</v>
      </c>
      <c r="AQ121" s="2603">
        <f>3.8*Unit.TWh</f>
        <v>3.8</v>
      </c>
      <c r="AR121" s="2603">
        <f>3.7*Unit.TWh</f>
        <v>3.7</v>
      </c>
      <c r="AS121" s="2603">
        <f>4.1*Unit.TWh</f>
        <v>4.0999999999999996</v>
      </c>
      <c r="AT121" s="2603">
        <f>4.2*Unit.TWh</f>
        <v>4.2</v>
      </c>
      <c r="AU121" s="2603">
        <f>4.3*Unit.TWh</f>
        <v>4.3</v>
      </c>
      <c r="AV121" s="2603">
        <f>2.7*Unit.TWh</f>
        <v>2.7</v>
      </c>
      <c r="AW121" s="2603" t="s">
        <v>1154</v>
      </c>
      <c r="AX121" s="1503"/>
      <c r="AY121" s="2602">
        <f t="shared" ca="1" si="43"/>
        <v>12.437183268</v>
      </c>
      <c r="AZ121" s="2602"/>
      <c r="BA121" s="2602">
        <f t="shared" ca="1" si="44"/>
        <v>18.722249233199999</v>
      </c>
      <c r="BB121" s="2602">
        <f t="shared" ca="1" si="44"/>
        <v>36.604889233199998</v>
      </c>
      <c r="BC121" s="2602">
        <f t="shared" ca="1" si="44"/>
        <v>58.519889233199997</v>
      </c>
      <c r="BD121" s="2602">
        <f t="shared" ca="1" si="44"/>
        <v>81.311489233199993</v>
      </c>
      <c r="BE121" s="2602">
        <f t="shared" ca="1" si="44"/>
        <v>110.89673923319999</v>
      </c>
      <c r="BF121" s="2602">
        <f t="shared" ca="1" si="44"/>
        <v>129.14055596519998</v>
      </c>
      <c r="BG121" s="2602">
        <f t="shared" ca="1" si="44"/>
        <v>139.86152999999999</v>
      </c>
      <c r="BH121" s="2602">
        <f t="shared" ca="1" si="44"/>
        <v>148.27688999999998</v>
      </c>
      <c r="BI121" s="2602">
        <f t="shared" ca="1" si="44"/>
        <v>148.80284999999998</v>
      </c>
      <c r="BJ121" s="2604"/>
      <c r="BL121" s="1205"/>
    </row>
    <row r="122" spans="2:64" s="410" customFormat="1">
      <c r="B122" s="2599"/>
      <c r="C122" s="2598" t="s">
        <v>1285</v>
      </c>
      <c r="D122" s="187" t="str">
        <f>INDEX(Modules[Module], MATCH($C122, Modules[Code], 0))</f>
        <v>Offshore Wind</v>
      </c>
      <c r="E122" s="1503"/>
      <c r="F122" s="2602"/>
      <c r="G122" s="2602"/>
      <c r="H122" s="2603"/>
      <c r="I122" s="2603"/>
      <c r="J122" s="2603"/>
      <c r="K122" s="2603"/>
      <c r="L122" s="2603"/>
      <c r="M122" s="2603"/>
      <c r="N122" s="2603"/>
      <c r="O122" s="2603"/>
      <c r="P122" s="2603"/>
      <c r="Q122" s="2603"/>
      <c r="R122" s="2603"/>
      <c r="S122" s="2603"/>
      <c r="T122" s="2603"/>
      <c r="U122" s="2603"/>
      <c r="V122" s="2603"/>
      <c r="W122" s="2603"/>
      <c r="X122" s="2603"/>
      <c r="Y122" s="2603"/>
      <c r="Z122" s="2603"/>
      <c r="AA122" s="2603"/>
      <c r="AB122" s="2603"/>
      <c r="AC122" s="2603"/>
      <c r="AD122" s="2603"/>
      <c r="AE122" s="2603"/>
      <c r="AF122" s="2603"/>
      <c r="AG122" s="2603"/>
      <c r="AH122" s="2603"/>
      <c r="AI122" s="2603"/>
      <c r="AJ122" s="2603"/>
      <c r="AK122" s="2603"/>
      <c r="AL122" s="2603"/>
      <c r="AM122" s="2603"/>
      <c r="AN122" s="2603"/>
      <c r="AO122" s="2603"/>
      <c r="AP122" s="2603"/>
      <c r="AQ122" s="2603"/>
      <c r="AR122" s="2603"/>
      <c r="AS122" s="2603"/>
      <c r="AT122" s="2603"/>
      <c r="AU122" s="2603"/>
      <c r="AV122" s="2603"/>
      <c r="AW122" s="2603"/>
      <c r="AX122" s="1503"/>
      <c r="AY122" s="2602">
        <f t="shared" ca="1" si="43"/>
        <v>0</v>
      </c>
      <c r="AZ122" s="2602"/>
      <c r="BA122" s="2602">
        <f t="shared" ca="1" si="44"/>
        <v>0</v>
      </c>
      <c r="BB122" s="2602">
        <f t="shared" ca="1" si="44"/>
        <v>0</v>
      </c>
      <c r="BC122" s="2602">
        <f t="shared" ca="1" si="44"/>
        <v>1.4463900000000003</v>
      </c>
      <c r="BD122" s="2602">
        <f t="shared" ca="1" si="44"/>
        <v>3.02427</v>
      </c>
      <c r="BE122" s="2602">
        <f t="shared" ca="1" si="44"/>
        <v>4.6021499999999991</v>
      </c>
      <c r="BF122" s="2602">
        <f t="shared" ca="1" si="44"/>
        <v>7.8455700000000004</v>
      </c>
      <c r="BG122" s="2602">
        <f t="shared" ca="1" si="44"/>
        <v>11.176649999999999</v>
      </c>
      <c r="BH122" s="2602">
        <f t="shared" ca="1" si="44"/>
        <v>12.88602</v>
      </c>
      <c r="BI122" s="2602">
        <f t="shared" ca="1" si="44"/>
        <v>13.148999999999999</v>
      </c>
      <c r="BJ122" s="2604"/>
      <c r="BL122" s="1205"/>
    </row>
    <row r="123" spans="2:64" s="410" customFormat="1">
      <c r="B123" s="2599"/>
      <c r="C123" s="2598" t="s">
        <v>1073</v>
      </c>
      <c r="D123" s="187" t="str">
        <f>INDEX(Modules[Module], MATCH($C123, Modules[Code], 0))</f>
        <v>Small Hydro</v>
      </c>
      <c r="E123" s="1503"/>
      <c r="F123" s="2602"/>
      <c r="G123" s="2602"/>
      <c r="H123" s="2603"/>
      <c r="I123" s="2603"/>
      <c r="J123" s="2603"/>
      <c r="K123" s="2603"/>
      <c r="L123" s="2603"/>
      <c r="M123" s="2603"/>
      <c r="N123" s="2603"/>
      <c r="O123" s="2603"/>
      <c r="P123" s="2603"/>
      <c r="Q123" s="2603"/>
      <c r="R123" s="2603"/>
      <c r="S123" s="2603"/>
      <c r="T123" s="2603"/>
      <c r="U123" s="2603"/>
      <c r="V123" s="2603"/>
      <c r="W123" s="2603"/>
      <c r="X123" s="2603"/>
      <c r="Y123" s="2603"/>
      <c r="Z123" s="2603"/>
      <c r="AA123" s="2603"/>
      <c r="AB123" s="2603"/>
      <c r="AC123" s="2603"/>
      <c r="AD123" s="2603"/>
      <c r="AE123" s="2603"/>
      <c r="AF123" s="2603"/>
      <c r="AG123" s="2603"/>
      <c r="AH123" s="2603"/>
      <c r="AI123" s="2603"/>
      <c r="AJ123" s="2603"/>
      <c r="AK123" s="2603"/>
      <c r="AL123" s="2603"/>
      <c r="AM123" s="2603"/>
      <c r="AN123" s="2603"/>
      <c r="AO123" s="2603"/>
      <c r="AP123" s="2603"/>
      <c r="AQ123" s="2603"/>
      <c r="AR123" s="2603"/>
      <c r="AS123" s="2603"/>
      <c r="AT123" s="2603"/>
      <c r="AU123" s="2603"/>
      <c r="AV123" s="2603"/>
      <c r="AW123" s="2603"/>
      <c r="AX123" s="1503"/>
      <c r="AY123" s="2602">
        <f t="shared" ca="1" si="43"/>
        <v>7.0138343880000011</v>
      </c>
      <c r="AZ123" s="2602"/>
      <c r="BA123" s="2602">
        <f t="shared" ca="1" si="44"/>
        <v>12.081458988000001</v>
      </c>
      <c r="BB123" s="2602">
        <f t="shared" ca="1" si="44"/>
        <v>17.604038988000003</v>
      </c>
      <c r="BC123" s="2602">
        <f t="shared" ca="1" si="44"/>
        <v>23.937473988000004</v>
      </c>
      <c r="BD123" s="2602">
        <f t="shared" ca="1" si="44"/>
        <v>27.750683988000002</v>
      </c>
      <c r="BE123" s="2602">
        <f t="shared" ca="1" si="44"/>
        <v>31.651553988000003</v>
      </c>
      <c r="BF123" s="2602">
        <f t="shared" ca="1" si="44"/>
        <v>33.623903988000002</v>
      </c>
      <c r="BG123" s="2602">
        <f t="shared" ca="1" si="44"/>
        <v>33.902259552000004</v>
      </c>
      <c r="BH123" s="2602">
        <f t="shared" ca="1" si="44"/>
        <v>34.790711183999996</v>
      </c>
      <c r="BI123" s="2602">
        <f t="shared" ca="1" si="44"/>
        <v>35.382416183999993</v>
      </c>
      <c r="BJ123" s="2604"/>
      <c r="BL123" s="1205"/>
    </row>
    <row r="124" spans="2:64" s="410" customFormat="1">
      <c r="B124" s="2599"/>
      <c r="C124" s="2598" t="s">
        <v>304</v>
      </c>
      <c r="D124" s="187" t="str">
        <f>INDEX(Modules[Module], MATCH($C124, Modules[Code], 0))</f>
        <v>Biomass Based Electricity&amp; Biogas</v>
      </c>
      <c r="E124" s="1503"/>
      <c r="F124" s="2602"/>
      <c r="G124" s="2602"/>
      <c r="H124" s="2603"/>
      <c r="I124" s="2603"/>
      <c r="J124" s="2603"/>
      <c r="K124" s="2603"/>
      <c r="L124" s="2603"/>
      <c r="M124" s="2603"/>
      <c r="N124" s="2603"/>
      <c r="O124" s="2603"/>
      <c r="P124" s="2603"/>
      <c r="Q124" s="2603"/>
      <c r="R124" s="2603"/>
      <c r="S124" s="2603"/>
      <c r="T124" s="2603"/>
      <c r="U124" s="2603"/>
      <c r="V124" s="2603"/>
      <c r="W124" s="2603"/>
      <c r="X124" s="2603"/>
      <c r="Y124" s="2603"/>
      <c r="Z124" s="2603"/>
      <c r="AA124" s="2603"/>
      <c r="AB124" s="2603"/>
      <c r="AC124" s="2603"/>
      <c r="AD124" s="2603"/>
      <c r="AE124" s="2603"/>
      <c r="AF124" s="2603"/>
      <c r="AG124" s="2603"/>
      <c r="AH124" s="2603"/>
      <c r="AI124" s="2603"/>
      <c r="AJ124" s="2603"/>
      <c r="AK124" s="2603"/>
      <c r="AL124" s="2603"/>
      <c r="AM124" s="2603"/>
      <c r="AN124" s="2603"/>
      <c r="AO124" s="2603"/>
      <c r="AP124" s="2603"/>
      <c r="AQ124" s="2603"/>
      <c r="AR124" s="2603"/>
      <c r="AS124" s="2603"/>
      <c r="AT124" s="2603"/>
      <c r="AU124" s="2603"/>
      <c r="AV124" s="2603"/>
      <c r="AW124" s="2603"/>
      <c r="AX124" s="1503"/>
      <c r="AY124" s="2602">
        <f t="shared" ca="1" si="43"/>
        <v>9.538388888888889</v>
      </c>
      <c r="AZ124" s="2602"/>
      <c r="BA124" s="2602">
        <f t="shared" ca="1" si="44"/>
        <v>9.7454499999999999</v>
      </c>
      <c r="BB124" s="2602">
        <f t="shared" ca="1" si="44"/>
        <v>11.119143750000001</v>
      </c>
      <c r="BC124" s="2602">
        <f t="shared" ca="1" si="44"/>
        <v>12.4928375</v>
      </c>
      <c r="BD124" s="2602">
        <f t="shared" ca="1" si="44"/>
        <v>13.866531250000003</v>
      </c>
      <c r="BE124" s="2602">
        <f t="shared" ca="1" si="44"/>
        <v>15.240225000000006</v>
      </c>
      <c r="BF124" s="2602">
        <f t="shared" ca="1" si="44"/>
        <v>16.613918750000003</v>
      </c>
      <c r="BG124" s="2602">
        <f t="shared" ca="1" si="44"/>
        <v>17.987612500000004</v>
      </c>
      <c r="BH124" s="2602">
        <f t="shared" ca="1" si="44"/>
        <v>19.361306250000005</v>
      </c>
      <c r="BI124" s="2602">
        <f t="shared" ca="1" si="44"/>
        <v>20.735000000000003</v>
      </c>
      <c r="BJ124" s="2604"/>
      <c r="BL124" s="1205"/>
    </row>
    <row r="125" spans="2:64" s="410" customFormat="1">
      <c r="B125" s="2599"/>
      <c r="C125" s="2598" t="s">
        <v>296</v>
      </c>
      <c r="D125" s="187" t="str">
        <f>INDEX(Modules[Module], MATCH($C125, Modules[Code], 0))</f>
        <v>Waste to Electricity</v>
      </c>
      <c r="E125" s="1503"/>
      <c r="F125" s="2602"/>
      <c r="G125" s="2602"/>
      <c r="H125" s="2603"/>
      <c r="I125" s="2603"/>
      <c r="J125" s="2603"/>
      <c r="K125" s="2603"/>
      <c r="L125" s="2603"/>
      <c r="M125" s="2603"/>
      <c r="N125" s="2603"/>
      <c r="O125" s="2603"/>
      <c r="P125" s="2603"/>
      <c r="Q125" s="2603"/>
      <c r="R125" s="2603"/>
      <c r="S125" s="2603"/>
      <c r="T125" s="2603"/>
      <c r="U125" s="2603"/>
      <c r="V125" s="2603"/>
      <c r="W125" s="2603"/>
      <c r="X125" s="2603"/>
      <c r="Y125" s="2603"/>
      <c r="Z125" s="2603"/>
      <c r="AA125" s="2603"/>
      <c r="AB125" s="2603"/>
      <c r="AC125" s="2603"/>
      <c r="AD125" s="2603"/>
      <c r="AE125" s="2603"/>
      <c r="AF125" s="2603"/>
      <c r="AG125" s="2603"/>
      <c r="AH125" s="2603"/>
      <c r="AI125" s="2603"/>
      <c r="AJ125" s="2603"/>
      <c r="AK125" s="2603"/>
      <c r="AL125" s="2603"/>
      <c r="AM125" s="2603"/>
      <c r="AN125" s="2603"/>
      <c r="AO125" s="2603"/>
      <c r="AP125" s="2603"/>
      <c r="AQ125" s="2603"/>
      <c r="AR125" s="2603"/>
      <c r="AS125" s="2603"/>
      <c r="AT125" s="2603"/>
      <c r="AU125" s="2603"/>
      <c r="AV125" s="2603"/>
      <c r="AW125" s="2603"/>
      <c r="AX125" s="1503"/>
      <c r="AY125" s="2602">
        <f t="shared" ca="1" si="43"/>
        <v>0</v>
      </c>
      <c r="AZ125" s="2602"/>
      <c r="BA125" s="2602">
        <f t="shared" ca="1" si="44"/>
        <v>0</v>
      </c>
      <c r="BB125" s="2602">
        <f t="shared" ca="1" si="44"/>
        <v>0</v>
      </c>
      <c r="BC125" s="2602">
        <f t="shared" ca="1" si="44"/>
        <v>0</v>
      </c>
      <c r="BD125" s="2602">
        <f t="shared" ca="1" si="44"/>
        <v>0</v>
      </c>
      <c r="BE125" s="2602">
        <f t="shared" ca="1" si="44"/>
        <v>0</v>
      </c>
      <c r="BF125" s="2602">
        <f t="shared" ca="1" si="44"/>
        <v>0</v>
      </c>
      <c r="BG125" s="2602">
        <f t="shared" ca="1" si="44"/>
        <v>0</v>
      </c>
      <c r="BH125" s="2602">
        <f t="shared" ca="1" si="44"/>
        <v>0</v>
      </c>
      <c r="BI125" s="2602">
        <f t="shared" ca="1" si="44"/>
        <v>0</v>
      </c>
      <c r="BJ125" s="2604"/>
      <c r="BL125" s="1205"/>
    </row>
    <row r="126" spans="2:64" s="410" customFormat="1">
      <c r="B126" s="2599"/>
      <c r="C126" s="2598"/>
      <c r="D126" s="186" t="s">
        <v>1948</v>
      </c>
      <c r="E126" s="1503"/>
      <c r="F126" s="2602"/>
      <c r="G126" s="2602"/>
      <c r="H126" s="2603"/>
      <c r="I126" s="2603"/>
      <c r="J126" s="2603"/>
      <c r="K126" s="2603"/>
      <c r="L126" s="2603"/>
      <c r="M126" s="2603"/>
      <c r="N126" s="2603"/>
      <c r="O126" s="2603"/>
      <c r="P126" s="2603"/>
      <c r="Q126" s="2603"/>
      <c r="R126" s="2603"/>
      <c r="S126" s="2603"/>
      <c r="T126" s="2603"/>
      <c r="U126" s="2603"/>
      <c r="V126" s="2603"/>
      <c r="W126" s="2603"/>
      <c r="X126" s="2603"/>
      <c r="Y126" s="2603"/>
      <c r="Z126" s="2603"/>
      <c r="AA126" s="2603"/>
      <c r="AB126" s="2603"/>
      <c r="AC126" s="2603"/>
      <c r="AD126" s="2603"/>
      <c r="AE126" s="2603"/>
      <c r="AF126" s="2603"/>
      <c r="AG126" s="2603"/>
      <c r="AH126" s="2603"/>
      <c r="AI126" s="2603"/>
      <c r="AJ126" s="2603"/>
      <c r="AK126" s="2603"/>
      <c r="AL126" s="2603"/>
      <c r="AM126" s="2603"/>
      <c r="AN126" s="2603"/>
      <c r="AO126" s="2603"/>
      <c r="AP126" s="2603"/>
      <c r="AQ126" s="2603"/>
      <c r="AR126" s="2603"/>
      <c r="AS126" s="2603"/>
      <c r="AT126" s="2603"/>
      <c r="AU126" s="2603"/>
      <c r="AV126" s="2603"/>
      <c r="AW126" s="2603"/>
      <c r="AX126" s="1503"/>
      <c r="AY126" s="2602">
        <f ca="1">SUM(AY119:AY125)</f>
        <v>28.98940654488889</v>
      </c>
      <c r="AZ126" s="2602"/>
      <c r="BA126" s="2602">
        <f t="shared" ref="BA126:BI126" ca="1" si="45">SUM(BA119:BA125)</f>
        <v>42.1164313612</v>
      </c>
      <c r="BB126" s="2602">
        <f t="shared" ca="1" si="45"/>
        <v>76.125425917200005</v>
      </c>
      <c r="BC126" s="2602">
        <f t="shared" ca="1" si="45"/>
        <v>123.5280926822</v>
      </c>
      <c r="BD126" s="2602">
        <f t="shared" ca="1" si="45"/>
        <v>174.38378765619998</v>
      </c>
      <c r="BE126" s="2602">
        <f t="shared" ca="1" si="45"/>
        <v>235.93348543619999</v>
      </c>
      <c r="BF126" s="2602">
        <f t="shared" ca="1" si="45"/>
        <v>282.00110793319999</v>
      </c>
      <c r="BG126" s="2602">
        <f t="shared" ca="1" si="45"/>
        <v>309.86448605200002</v>
      </c>
      <c r="BH126" s="2602">
        <f t="shared" ca="1" si="45"/>
        <v>318.71866343399989</v>
      </c>
      <c r="BI126" s="2602">
        <f t="shared" ca="1" si="45"/>
        <v>306.92144218399994</v>
      </c>
      <c r="BJ126" s="2604"/>
      <c r="BL126" s="1205"/>
    </row>
    <row r="127" spans="2:64">
      <c r="B127" s="2599"/>
      <c r="C127" s="1503" t="s">
        <v>263</v>
      </c>
      <c r="D127" s="186" t="str">
        <f>INDEX(Modules[Module], MATCH($C127, Modules[Code], 0))</f>
        <v>Electricity imports</v>
      </c>
      <c r="E127" s="1503"/>
      <c r="F127" s="2576"/>
      <c r="G127" s="2576"/>
      <c r="H127" s="2595"/>
      <c r="I127" s="2595"/>
      <c r="J127" s="2595"/>
      <c r="K127" s="2595"/>
      <c r="L127" s="2595"/>
      <c r="M127" s="2595"/>
      <c r="N127" s="2595"/>
      <c r="O127" s="2595"/>
      <c r="P127" s="2595"/>
      <c r="Q127" s="2595"/>
      <c r="R127" s="2595"/>
      <c r="S127" s="2595"/>
      <c r="T127" s="2595"/>
      <c r="U127" s="2595"/>
      <c r="V127" s="2595"/>
      <c r="W127" s="2595"/>
      <c r="X127" s="2595"/>
      <c r="Y127" s="2595"/>
      <c r="Z127" s="2595"/>
      <c r="AA127" s="2595"/>
      <c r="AB127" s="2595"/>
      <c r="AC127" s="2595"/>
      <c r="AD127" s="2595"/>
      <c r="AE127" s="2595"/>
      <c r="AF127" s="2595"/>
      <c r="AG127" s="2595"/>
      <c r="AH127" s="2595"/>
      <c r="AI127" s="2595"/>
      <c r="AJ127" s="2595"/>
      <c r="AK127" s="2595"/>
      <c r="AL127" s="2595"/>
      <c r="AM127" s="2595"/>
      <c r="AN127" s="2595"/>
      <c r="AO127" s="2595"/>
      <c r="AP127" s="2595"/>
      <c r="AQ127" s="2595"/>
      <c r="AR127" s="2595">
        <f>7.9*Unit.TWh</f>
        <v>7.9</v>
      </c>
      <c r="AS127" s="2595">
        <f>9.4*Unit.TWh</f>
        <v>9.4</v>
      </c>
      <c r="AT127" s="2595">
        <f>11.3*Unit.TWh</f>
        <v>11.3</v>
      </c>
      <c r="AU127" s="2595">
        <f>13.6*Unit.TWh</f>
        <v>13.6</v>
      </c>
      <c r="AV127" s="2595">
        <f>12.9*Unit.TWh</f>
        <v>12.9</v>
      </c>
      <c r="AW127" s="2595" t="s">
        <v>1135</v>
      </c>
      <c r="AX127" s="1503"/>
      <c r="AY127" s="2602">
        <f ca="1">INDEX(INDIRECT("'"&amp;AY$4&amp;"'!Year.Matrix"), MATCH($C127, INDIRECT("'"&amp;AY$4&amp;"'!Year.Modules"), 0), MATCH($C$110, INDIRECT("'"&amp;AY$4&amp;"'!Year.Vectors"), 0))</f>
        <v>1</v>
      </c>
      <c r="AZ127" s="2602"/>
      <c r="BA127" s="2602">
        <f t="shared" ref="BA127:BI127" ca="1" si="46">INDEX(INDIRECT("'"&amp;BA$4&amp;"'!Year.Matrix"), MATCH($C127, INDIRECT("'"&amp;BA$4&amp;"'!Year.Modules"), 0), MATCH($C$110, INDIRECT("'"&amp;BA$4&amp;"'!Year.Vectors"), 0))</f>
        <v>4</v>
      </c>
      <c r="BB127" s="2602">
        <f t="shared" ca="1" si="46"/>
        <v>14</v>
      </c>
      <c r="BC127" s="2602">
        <f t="shared" ca="1" si="46"/>
        <v>21</v>
      </c>
      <c r="BD127" s="2602">
        <f t="shared" ca="1" si="46"/>
        <v>31</v>
      </c>
      <c r="BE127" s="2602">
        <f t="shared" ca="1" si="46"/>
        <v>40</v>
      </c>
      <c r="BF127" s="2602">
        <f t="shared" ca="1" si="46"/>
        <v>49</v>
      </c>
      <c r="BG127" s="2602">
        <f t="shared" ca="1" si="46"/>
        <v>55</v>
      </c>
      <c r="BH127" s="2602">
        <f t="shared" ca="1" si="46"/>
        <v>55</v>
      </c>
      <c r="BI127" s="2602">
        <f t="shared" ca="1" si="46"/>
        <v>55</v>
      </c>
      <c r="BJ127" s="194"/>
      <c r="BL127" s="15"/>
    </row>
    <row r="128" spans="2:64">
      <c r="B128" s="2599"/>
      <c r="C128" s="1503"/>
      <c r="D128" s="187"/>
      <c r="E128" s="1503"/>
      <c r="F128" s="2576"/>
      <c r="G128" s="2576"/>
      <c r="H128" s="2595"/>
      <c r="I128" s="2595"/>
      <c r="J128" s="2595"/>
      <c r="K128" s="2595"/>
      <c r="L128" s="2595"/>
      <c r="M128" s="2595"/>
      <c r="N128" s="2595"/>
      <c r="O128" s="2595"/>
      <c r="P128" s="2595"/>
      <c r="Q128" s="2595"/>
      <c r="R128" s="2595"/>
      <c r="S128" s="2595"/>
      <c r="T128" s="2595"/>
      <c r="U128" s="2595"/>
      <c r="V128" s="2595"/>
      <c r="W128" s="2595"/>
      <c r="X128" s="2595"/>
      <c r="Y128" s="2595"/>
      <c r="Z128" s="2595"/>
      <c r="AA128" s="2595"/>
      <c r="AB128" s="2595"/>
      <c r="AC128" s="2595"/>
      <c r="AD128" s="2595"/>
      <c r="AE128" s="2595"/>
      <c r="AF128" s="2595"/>
      <c r="AG128" s="2595"/>
      <c r="AH128" s="2595"/>
      <c r="AI128" s="2595"/>
      <c r="AJ128" s="2595"/>
      <c r="AK128" s="2595"/>
      <c r="AL128" s="2595"/>
      <c r="AM128" s="2595"/>
      <c r="AN128" s="2595"/>
      <c r="AO128" s="2595"/>
      <c r="AP128" s="2595"/>
      <c r="AQ128" s="2595"/>
      <c r="AR128" s="2595"/>
      <c r="AS128" s="2595"/>
      <c r="AT128" s="2595"/>
      <c r="AU128" s="2595"/>
      <c r="AV128" s="2595"/>
      <c r="AW128" s="2595"/>
      <c r="AX128" s="1503"/>
      <c r="AY128" s="2576"/>
      <c r="AZ128" s="2576"/>
      <c r="BA128" s="2576"/>
      <c r="BB128" s="2576"/>
      <c r="BC128" s="2576"/>
      <c r="BD128" s="2576"/>
      <c r="BE128" s="2576"/>
      <c r="BF128" s="2576"/>
      <c r="BG128" s="2576"/>
      <c r="BH128" s="2576"/>
      <c r="BI128" s="2576"/>
      <c r="BJ128" s="194"/>
      <c r="BL128" s="15"/>
    </row>
    <row r="129" spans="2:63">
      <c r="B129" s="193"/>
      <c r="C129" s="1503"/>
      <c r="D129" s="2605" t="s">
        <v>1155</v>
      </c>
      <c r="E129" s="1503"/>
      <c r="F129" s="2606"/>
      <c r="G129" s="2607"/>
      <c r="H129" s="2608"/>
      <c r="I129" s="2608"/>
      <c r="J129" s="2608"/>
      <c r="K129" s="2608"/>
      <c r="L129" s="2608"/>
      <c r="M129" s="2608"/>
      <c r="N129" s="2608"/>
      <c r="O129" s="2608"/>
      <c r="P129" s="2608"/>
      <c r="Q129" s="2608"/>
      <c r="R129" s="2608"/>
      <c r="S129" s="2608"/>
      <c r="T129" s="2608"/>
      <c r="U129" s="2608"/>
      <c r="V129" s="2608"/>
      <c r="W129" s="2608"/>
      <c r="X129" s="2608"/>
      <c r="Y129" s="2608"/>
      <c r="Z129" s="2608"/>
      <c r="AA129" s="2608"/>
      <c r="AB129" s="2608"/>
      <c r="AC129" s="2608"/>
      <c r="AD129" s="2608"/>
      <c r="AE129" s="2608"/>
      <c r="AF129" s="2608"/>
      <c r="AG129" s="2608"/>
      <c r="AH129" s="2608"/>
      <c r="AI129" s="2608"/>
      <c r="AJ129" s="2608"/>
      <c r="AK129" s="2608"/>
      <c r="AL129" s="2608"/>
      <c r="AM129" s="2608"/>
      <c r="AN129" s="2608"/>
      <c r="AO129" s="2608"/>
      <c r="AP129" s="2608"/>
      <c r="AQ129" s="2608"/>
      <c r="AR129" s="2608">
        <f>352.2*Unit.TWh</f>
        <v>352.2</v>
      </c>
      <c r="AS129" s="2608">
        <f>348.4*Unit.TWh</f>
        <v>348.4</v>
      </c>
      <c r="AT129" s="2608">
        <f>349.3*Unit.TWh</f>
        <v>349.3</v>
      </c>
      <c r="AU129" s="2608">
        <f>329.3*Unit.TWh</f>
        <v>329.3</v>
      </c>
      <c r="AV129" s="2608">
        <f>335.1*Unit.TWh</f>
        <v>335.1</v>
      </c>
      <c r="AW129" s="2608" t="s">
        <v>1135</v>
      </c>
      <c r="AX129" s="1503"/>
      <c r="AY129" s="2606">
        <f ca="1">AY115+AY118+AY126+AY127</f>
        <v>790.76970020552903</v>
      </c>
      <c r="AZ129" s="2606"/>
      <c r="BA129" s="2606">
        <f t="shared" ref="BA129:BI129" ca="1" si="47">BA115+BA118+BA126+BA127</f>
        <v>1032.7162873841003</v>
      </c>
      <c r="BB129" s="2606">
        <f t="shared" ca="1" si="47"/>
        <v>1455.8968093122935</v>
      </c>
      <c r="BC129" s="2606">
        <f t="shared" ca="1" si="47"/>
        <v>2063.963133061764</v>
      </c>
      <c r="BD129" s="2606">
        <f t="shared" ca="1" si="47"/>
        <v>2848.373832020111</v>
      </c>
      <c r="BE129" s="2606">
        <f t="shared" ca="1" si="47"/>
        <v>3900.1234784047761</v>
      </c>
      <c r="BF129" s="2606">
        <f t="shared" ca="1" si="47"/>
        <v>4836.305519548242</v>
      </c>
      <c r="BG129" s="2606">
        <f t="shared" ca="1" si="47"/>
        <v>5893.1577805937686</v>
      </c>
      <c r="BH129" s="2606">
        <f ca="1">BH115+BH118+BH126+BH127</f>
        <v>6837.773164897314</v>
      </c>
      <c r="BI129" s="2606">
        <f t="shared" ca="1" si="47"/>
        <v>7907.6694446155816</v>
      </c>
      <c r="BJ129" s="194"/>
      <c r="BK129" s="310">
        <f ca="1">BI129-BI99</f>
        <v>9134.7815890310267</v>
      </c>
    </row>
    <row r="130" spans="2:63">
      <c r="B130" s="193"/>
      <c r="C130" s="1503"/>
      <c r="D130" s="186" t="s">
        <v>2056</v>
      </c>
      <c r="E130" s="1503"/>
      <c r="F130" s="2607"/>
      <c r="G130" s="2607"/>
      <c r="H130" s="2608"/>
      <c r="I130" s="2608"/>
      <c r="J130" s="2608"/>
      <c r="K130" s="2608"/>
      <c r="L130" s="2608"/>
      <c r="M130" s="2608"/>
      <c r="N130" s="2608"/>
      <c r="O130" s="2608"/>
      <c r="P130" s="2608"/>
      <c r="Q130" s="2608"/>
      <c r="R130" s="2608"/>
      <c r="S130" s="2608"/>
      <c r="T130" s="2608"/>
      <c r="U130" s="2608"/>
      <c r="V130" s="2608"/>
      <c r="W130" s="2608"/>
      <c r="X130" s="2608"/>
      <c r="Y130" s="2608"/>
      <c r="Z130" s="2608"/>
      <c r="AA130" s="2608"/>
      <c r="AB130" s="2608"/>
      <c r="AC130" s="2608"/>
      <c r="AD130" s="2608"/>
      <c r="AE130" s="2608"/>
      <c r="AF130" s="2608"/>
      <c r="AG130" s="2608"/>
      <c r="AH130" s="2608"/>
      <c r="AI130" s="2608"/>
      <c r="AJ130" s="2608"/>
      <c r="AK130" s="2608"/>
      <c r="AL130" s="2608"/>
      <c r="AM130" s="2608"/>
      <c r="AN130" s="2608"/>
      <c r="AO130" s="2608"/>
      <c r="AP130" s="2608"/>
      <c r="AQ130" s="2608"/>
      <c r="AR130" s="2608"/>
      <c r="AS130" s="2608"/>
      <c r="AT130" s="2608"/>
      <c r="AU130" s="2608"/>
      <c r="AV130" s="2608"/>
      <c r="AW130" s="2608"/>
      <c r="AX130" s="1503"/>
      <c r="AY130" s="2609">
        <f ca="1">AY126/AY129</f>
        <v>3.6659733595450418E-2</v>
      </c>
      <c r="AZ130" s="2609"/>
      <c r="BA130" s="2609">
        <f t="shared" ref="BA130:BI130" ca="1" si="48">BA126/BA129</f>
        <v>4.0782189528434883E-2</v>
      </c>
      <c r="BB130" s="2609">
        <f t="shared" ca="1" si="48"/>
        <v>5.2287652140098145E-2</v>
      </c>
      <c r="BC130" s="2609">
        <f t="shared" ca="1" si="48"/>
        <v>5.9849951146633891E-2</v>
      </c>
      <c r="BD130" s="2609">
        <f t="shared" ca="1" si="48"/>
        <v>6.1222226414193774E-2</v>
      </c>
      <c r="BE130" s="2609">
        <f t="shared" ca="1" si="48"/>
        <v>6.0493850192840877E-2</v>
      </c>
      <c r="BF130" s="2609">
        <f t="shared" ca="1" si="48"/>
        <v>5.8309200440989022E-2</v>
      </c>
      <c r="BG130" s="2609">
        <f t="shared" ca="1" si="48"/>
        <v>5.2580381789944106E-2</v>
      </c>
      <c r="BH130" s="2609">
        <f t="shared" ca="1" si="48"/>
        <v>4.6611470686127421E-2</v>
      </c>
      <c r="BI130" s="2609">
        <f t="shared" ca="1" si="48"/>
        <v>3.8813135062567151E-2</v>
      </c>
      <c r="BJ130" s="194"/>
    </row>
    <row r="131" spans="2:63">
      <c r="B131" s="193"/>
      <c r="C131" s="187"/>
      <c r="D131" s="2585" t="s">
        <v>1156</v>
      </c>
      <c r="E131" s="187"/>
      <c r="F131" s="2610"/>
      <c r="G131" s="2610"/>
      <c r="H131" s="2595"/>
      <c r="I131" s="2595"/>
      <c r="J131" s="2595"/>
      <c r="K131" s="2595"/>
      <c r="L131" s="2595"/>
      <c r="M131" s="2595"/>
      <c r="N131" s="2595"/>
      <c r="O131" s="2595"/>
      <c r="P131" s="2595"/>
      <c r="Q131" s="2595"/>
      <c r="R131" s="2595"/>
      <c r="S131" s="2595"/>
      <c r="T131" s="2595"/>
      <c r="U131" s="2595"/>
      <c r="V131" s="2595"/>
      <c r="W131" s="2595"/>
      <c r="X131" s="2595"/>
      <c r="Y131" s="2595"/>
      <c r="Z131" s="2595"/>
      <c r="AA131" s="2595"/>
      <c r="AB131" s="2595"/>
      <c r="AC131" s="2595"/>
      <c r="AD131" s="2595"/>
      <c r="AE131" s="2595"/>
      <c r="AF131" s="2595"/>
      <c r="AG131" s="2595"/>
      <c r="AH131" s="2595"/>
      <c r="AI131" s="2595"/>
      <c r="AJ131" s="2595"/>
      <c r="AK131" s="2595"/>
      <c r="AL131" s="2595"/>
      <c r="AM131" s="2595"/>
      <c r="AN131" s="2595"/>
      <c r="AO131" s="2595"/>
      <c r="AP131" s="2595"/>
      <c r="AQ131" s="2595"/>
      <c r="AR131" s="2595"/>
      <c r="AS131" s="2595"/>
      <c r="AT131" s="2595"/>
      <c r="AU131" s="2595"/>
      <c r="AV131" s="2595"/>
      <c r="AW131" s="2595"/>
      <c r="AX131" s="2610">
        <f>AX33</f>
        <v>0</v>
      </c>
      <c r="AY131" s="2610">
        <f ca="1">AY33-AY127</f>
        <v>0</v>
      </c>
      <c r="AZ131" s="2610"/>
      <c r="BA131" s="2610">
        <f t="shared" ref="BA131:BI131" ca="1" si="49">BA33-BA127</f>
        <v>2.2737367544323206E-13</v>
      </c>
      <c r="BB131" s="2610">
        <f t="shared" ca="1" si="49"/>
        <v>4.5474735088646412E-13</v>
      </c>
      <c r="BC131" s="2610">
        <f t="shared" ca="1" si="49"/>
        <v>2.2737367544323206E-13</v>
      </c>
      <c r="BD131" s="2610">
        <f t="shared" ca="1" si="49"/>
        <v>-4.5474735088646412E-13</v>
      </c>
      <c r="BE131" s="2610">
        <f t="shared" ca="1" si="49"/>
        <v>-4.5474735088646412E-13</v>
      </c>
      <c r="BF131" s="2610">
        <f t="shared" ca="1" si="49"/>
        <v>0</v>
      </c>
      <c r="BG131" s="2610">
        <f t="shared" ca="1" si="49"/>
        <v>9.0949470177292824E-13</v>
      </c>
      <c r="BH131" s="2610">
        <f t="shared" ca="1" si="49"/>
        <v>9.0949470177292824E-13</v>
      </c>
      <c r="BI131" s="2610">
        <f t="shared" ca="1" si="49"/>
        <v>9.0949470177292824E-13</v>
      </c>
      <c r="BJ131" s="194" t="s">
        <v>1145</v>
      </c>
    </row>
    <row r="132" spans="2:63">
      <c r="B132" s="193"/>
      <c r="C132" s="187"/>
      <c r="D132" s="2585" t="s">
        <v>2076</v>
      </c>
      <c r="E132" s="187"/>
      <c r="F132" s="2610"/>
      <c r="G132" s="2610"/>
      <c r="H132" s="2595"/>
      <c r="I132" s="2595"/>
      <c r="J132" s="2595"/>
      <c r="K132" s="2595"/>
      <c r="L132" s="2595"/>
      <c r="M132" s="2595"/>
      <c r="N132" s="2595"/>
      <c r="O132" s="2595"/>
      <c r="P132" s="2595"/>
      <c r="Q132" s="2595"/>
      <c r="R132" s="2595"/>
      <c r="S132" s="2595"/>
      <c r="T132" s="2595"/>
      <c r="U132" s="2595"/>
      <c r="V132" s="2595"/>
      <c r="W132" s="2595"/>
      <c r="X132" s="2595"/>
      <c r="Y132" s="2595"/>
      <c r="Z132" s="2595"/>
      <c r="AA132" s="2595"/>
      <c r="AB132" s="2595"/>
      <c r="AC132" s="2595"/>
      <c r="AD132" s="2595"/>
      <c r="AE132" s="2595"/>
      <c r="AF132" s="2595"/>
      <c r="AG132" s="2595"/>
      <c r="AH132" s="2595"/>
      <c r="AI132" s="2595"/>
      <c r="AJ132" s="2595"/>
      <c r="AK132" s="2595"/>
      <c r="AL132" s="2595"/>
      <c r="AM132" s="2595"/>
      <c r="AN132" s="2595"/>
      <c r="AO132" s="2595"/>
      <c r="AP132" s="2595"/>
      <c r="AQ132" s="2595"/>
      <c r="AR132" s="2595"/>
      <c r="AS132" s="2595"/>
      <c r="AT132" s="2595"/>
      <c r="AU132" s="2595"/>
      <c r="AV132" s="2595"/>
      <c r="AW132" s="2595"/>
      <c r="AX132" s="2610">
        <f t="shared" ref="AX132:BI132" si="50">IF(AX131&lt;0,AX131+AX129,AX129)</f>
        <v>0</v>
      </c>
      <c r="AY132" s="2610">
        <f t="shared" ca="1" si="50"/>
        <v>790.76970020552903</v>
      </c>
      <c r="AZ132" s="2610"/>
      <c r="BA132" s="2610">
        <f t="shared" ca="1" si="50"/>
        <v>1032.7162873841003</v>
      </c>
      <c r="BB132" s="2610">
        <f t="shared" ca="1" si="50"/>
        <v>1455.8968093122935</v>
      </c>
      <c r="BC132" s="2610">
        <f t="shared" ca="1" si="50"/>
        <v>2063.963133061764</v>
      </c>
      <c r="BD132" s="2610">
        <f t="shared" ca="1" si="50"/>
        <v>2848.3738320201105</v>
      </c>
      <c r="BE132" s="2610">
        <f t="shared" ca="1" si="50"/>
        <v>3900.1234784047756</v>
      </c>
      <c r="BF132" s="2610">
        <f t="shared" ca="1" si="50"/>
        <v>4836.305519548242</v>
      </c>
      <c r="BG132" s="2610">
        <f t="shared" ca="1" si="50"/>
        <v>5893.1577805937686</v>
      </c>
      <c r="BH132" s="2610">
        <f t="shared" ca="1" si="50"/>
        <v>6837.773164897314</v>
      </c>
      <c r="BI132" s="2610">
        <f t="shared" ca="1" si="50"/>
        <v>7907.6694446155816</v>
      </c>
      <c r="BJ132" s="194"/>
    </row>
    <row r="133" spans="2:63">
      <c r="B133" s="193"/>
      <c r="C133" s="186"/>
      <c r="D133" s="187"/>
      <c r="E133" s="2607"/>
      <c r="F133" s="187"/>
      <c r="G133" s="187"/>
      <c r="H133" s="2583"/>
      <c r="I133" s="2583"/>
      <c r="J133" s="2583"/>
      <c r="K133" s="2583"/>
      <c r="L133" s="2583"/>
      <c r="M133" s="2583"/>
      <c r="N133" s="2583"/>
      <c r="O133" s="2583"/>
      <c r="P133" s="2583"/>
      <c r="Q133" s="2583"/>
      <c r="R133" s="2583"/>
      <c r="S133" s="2583"/>
      <c r="T133" s="2583"/>
      <c r="U133" s="2583"/>
      <c r="V133" s="2583"/>
      <c r="W133" s="2583"/>
      <c r="X133" s="2583"/>
      <c r="Y133" s="2583"/>
      <c r="Z133" s="2583"/>
      <c r="AA133" s="2583"/>
      <c r="AB133" s="2583"/>
      <c r="AC133" s="2583"/>
      <c r="AD133" s="2583"/>
      <c r="AE133" s="2583"/>
      <c r="AF133" s="2583"/>
      <c r="AG133" s="2583"/>
      <c r="AH133" s="2583"/>
      <c r="AI133" s="2583"/>
      <c r="AJ133" s="2583"/>
      <c r="AK133" s="2583"/>
      <c r="AL133" s="2583"/>
      <c r="AM133" s="2583"/>
      <c r="AN133" s="2583"/>
      <c r="AO133" s="2583"/>
      <c r="AP133" s="2583"/>
      <c r="AQ133" s="2583"/>
      <c r="AR133" s="2583"/>
      <c r="AS133" s="2583"/>
      <c r="AT133" s="2583"/>
      <c r="AU133" s="2583"/>
      <c r="AV133" s="2583"/>
      <c r="AW133" s="2583"/>
      <c r="AX133" s="2607"/>
      <c r="AY133" s="2607"/>
      <c r="AZ133" s="2607"/>
      <c r="BA133" s="2607"/>
      <c r="BB133" s="2607"/>
      <c r="BC133" s="2607"/>
      <c r="BD133" s="2607"/>
      <c r="BE133" s="2607"/>
      <c r="BF133" s="2607"/>
      <c r="BG133" s="2607"/>
      <c r="BH133" s="2607"/>
      <c r="BI133" s="2607"/>
      <c r="BJ133" s="194"/>
    </row>
    <row r="134" spans="2:63">
      <c r="B134" s="193"/>
      <c r="C134" s="2600"/>
      <c r="D134" s="2600" t="str">
        <f>Preferences.PowerUnits&amp;" installed capacity"</f>
        <v>GW installed capacity</v>
      </c>
      <c r="E134" s="2600"/>
      <c r="F134" s="2600"/>
      <c r="G134" s="2600"/>
      <c r="H134" s="2611"/>
      <c r="I134" s="2611"/>
      <c r="J134" s="2611"/>
      <c r="K134" s="2611"/>
      <c r="L134" s="2611"/>
      <c r="M134" s="2611"/>
      <c r="N134" s="2611"/>
      <c r="O134" s="2611"/>
      <c r="P134" s="2611"/>
      <c r="Q134" s="2611"/>
      <c r="R134" s="2611"/>
      <c r="S134" s="2611"/>
      <c r="T134" s="2611"/>
      <c r="U134" s="2611"/>
      <c r="V134" s="2611"/>
      <c r="W134" s="2611"/>
      <c r="X134" s="2611"/>
      <c r="Y134" s="2611"/>
      <c r="Z134" s="2611"/>
      <c r="AA134" s="2611"/>
      <c r="AB134" s="2611"/>
      <c r="AC134" s="2611"/>
      <c r="AD134" s="2611"/>
      <c r="AE134" s="2611"/>
      <c r="AF134" s="2611"/>
      <c r="AG134" s="2611"/>
      <c r="AH134" s="2611"/>
      <c r="AI134" s="2611"/>
      <c r="AJ134" s="2611"/>
      <c r="AK134" s="2611"/>
      <c r="AL134" s="2611"/>
      <c r="AM134" s="2611"/>
      <c r="AN134" s="2611"/>
      <c r="AO134" s="2611"/>
      <c r="AP134" s="2611"/>
      <c r="AQ134" s="2611"/>
      <c r="AR134" s="2611"/>
      <c r="AS134" s="2611"/>
      <c r="AT134" s="2611"/>
      <c r="AU134" s="2611"/>
      <c r="AV134" s="2611"/>
      <c r="AW134" s="2611"/>
      <c r="AX134" s="2600"/>
      <c r="AY134" s="2601">
        <v>2007</v>
      </c>
      <c r="AZ134" s="2601"/>
      <c r="BA134" s="2601">
        <f>AY134+5</f>
        <v>2012</v>
      </c>
      <c r="BB134" s="2601">
        <f t="shared" ref="BB134:BI134" si="51">BA134+5</f>
        <v>2017</v>
      </c>
      <c r="BC134" s="2601">
        <f t="shared" si="51"/>
        <v>2022</v>
      </c>
      <c r="BD134" s="2601">
        <f t="shared" si="51"/>
        <v>2027</v>
      </c>
      <c r="BE134" s="2601">
        <f t="shared" si="51"/>
        <v>2032</v>
      </c>
      <c r="BF134" s="2601">
        <f t="shared" si="51"/>
        <v>2037</v>
      </c>
      <c r="BG134" s="2601">
        <f t="shared" si="51"/>
        <v>2042</v>
      </c>
      <c r="BH134" s="2601">
        <f t="shared" si="51"/>
        <v>2047</v>
      </c>
      <c r="BI134" s="2601">
        <f t="shared" si="51"/>
        <v>2052</v>
      </c>
      <c r="BJ134" s="194"/>
    </row>
    <row r="135" spans="2:63">
      <c r="B135" s="193"/>
      <c r="C135" s="1503" t="s">
        <v>248</v>
      </c>
      <c r="D135" s="187" t="str">
        <f>INDEX(Modules[Module], MATCH($C135, Modules[Code], 0))</f>
        <v>Gas Power Stations</v>
      </c>
      <c r="E135" s="1503"/>
      <c r="F135" s="2607"/>
      <c r="G135" s="2607"/>
      <c r="H135" s="2608"/>
      <c r="I135" s="2608"/>
      <c r="J135" s="2608"/>
      <c r="K135" s="2608"/>
      <c r="L135" s="2608"/>
      <c r="M135" s="2608"/>
      <c r="N135" s="2608"/>
      <c r="O135" s="2608"/>
      <c r="P135" s="2608"/>
      <c r="Q135" s="2608"/>
      <c r="R135" s="2608"/>
      <c r="S135" s="2608"/>
      <c r="T135" s="2608"/>
      <c r="U135" s="2608"/>
      <c r="V135" s="2608"/>
      <c r="W135" s="2608"/>
      <c r="X135" s="2608"/>
      <c r="Y135" s="2608"/>
      <c r="Z135" s="2608"/>
      <c r="AA135" s="2608"/>
      <c r="AB135" s="2608"/>
      <c r="AC135" s="2608"/>
      <c r="AD135" s="2608"/>
      <c r="AE135" s="2608"/>
      <c r="AF135" s="2608"/>
      <c r="AG135" s="2608"/>
      <c r="AH135" s="2608"/>
      <c r="AI135" s="2608"/>
      <c r="AJ135" s="2608"/>
      <c r="AK135" s="2608"/>
      <c r="AL135" s="2608"/>
      <c r="AM135" s="2608"/>
      <c r="AN135" s="2608"/>
      <c r="AO135" s="2608"/>
      <c r="AP135" s="2608"/>
      <c r="AQ135" s="2608"/>
      <c r="AR135" s="2608">
        <f>63.6*Unit.GW</f>
        <v>63.6</v>
      </c>
      <c r="AS135" s="2608">
        <f>63.6*Unit.GW</f>
        <v>63.6</v>
      </c>
      <c r="AT135" s="2608">
        <f>63.7*Unit.GW</f>
        <v>63.7</v>
      </c>
      <c r="AU135" s="2608">
        <f>64.5*Unit.GW</f>
        <v>64.5</v>
      </c>
      <c r="AV135" s="2608">
        <f>69.3*Unit.GW</f>
        <v>69.3</v>
      </c>
      <c r="AW135" s="2608" t="s">
        <v>1157</v>
      </c>
      <c r="AX135" s="1503"/>
      <c r="AY135" s="2846">
        <f t="shared" ref="AY135:BI149" ca="1" si="52">IFERROR(INDEX(INDIRECT($C135&amp;".info["&amp;AY$134&amp;"]"), MATCH("B.02", INDIRECT($C135&amp;".info[Vector]"), 0)), 0)</f>
        <v>0</v>
      </c>
      <c r="AZ135" s="2846"/>
      <c r="BA135" s="2846">
        <f t="shared" ca="1" si="52"/>
        <v>18.381</v>
      </c>
      <c r="BB135" s="2846">
        <f t="shared" ca="1" si="52"/>
        <v>20.919</v>
      </c>
      <c r="BC135" s="2846">
        <f t="shared" ca="1" si="52"/>
        <v>20.919</v>
      </c>
      <c r="BD135" s="2846">
        <f t="shared" ca="1" si="52"/>
        <v>20.919</v>
      </c>
      <c r="BE135" s="2846">
        <f t="shared" ca="1" si="52"/>
        <v>20.919</v>
      </c>
      <c r="BF135" s="2846">
        <f t="shared" ca="1" si="52"/>
        <v>20.919</v>
      </c>
      <c r="BG135" s="2846">
        <f t="shared" ca="1" si="52"/>
        <v>20.919</v>
      </c>
      <c r="BH135" s="2846">
        <f t="shared" ca="1" si="52"/>
        <v>20.919</v>
      </c>
      <c r="BI135" s="2846">
        <f t="shared" ca="1" si="52"/>
        <v>20.919</v>
      </c>
      <c r="BJ135" s="194"/>
    </row>
    <row r="136" spans="2:63">
      <c r="B136" s="193"/>
      <c r="C136" s="2598" t="s">
        <v>278</v>
      </c>
      <c r="D136" s="187" t="str">
        <f>INDEX(Modules[Module], MATCH($C136, Modules[Code], 0))</f>
        <v>Coal power stations</v>
      </c>
      <c r="E136" s="1503"/>
      <c r="F136" s="2607"/>
      <c r="G136" s="2607"/>
      <c r="H136" s="2608"/>
      <c r="I136" s="2608"/>
      <c r="J136" s="2608"/>
      <c r="K136" s="2608"/>
      <c r="L136" s="2608"/>
      <c r="M136" s="2608"/>
      <c r="N136" s="2608"/>
      <c r="O136" s="2608"/>
      <c r="P136" s="2608"/>
      <c r="Q136" s="2608"/>
      <c r="R136" s="2608"/>
      <c r="S136" s="2608"/>
      <c r="T136" s="2608"/>
      <c r="U136" s="2608"/>
      <c r="V136" s="2608"/>
      <c r="W136" s="2608"/>
      <c r="X136" s="2608"/>
      <c r="Y136" s="2608"/>
      <c r="Z136" s="2608"/>
      <c r="AA136" s="2608"/>
      <c r="AB136" s="2608"/>
      <c r="AC136" s="2608"/>
      <c r="AD136" s="2608"/>
      <c r="AE136" s="2608"/>
      <c r="AF136" s="2608"/>
      <c r="AG136" s="2608"/>
      <c r="AH136" s="2608"/>
      <c r="AI136" s="2608"/>
      <c r="AJ136" s="2608"/>
      <c r="AK136" s="2608"/>
      <c r="AL136" s="2608"/>
      <c r="AM136" s="2608"/>
      <c r="AN136" s="2608"/>
      <c r="AO136" s="2608"/>
      <c r="AP136" s="2608"/>
      <c r="AQ136" s="2608"/>
      <c r="AR136" s="2608"/>
      <c r="AS136" s="2608"/>
      <c r="AT136" s="2608"/>
      <c r="AU136" s="2608"/>
      <c r="AV136" s="2608"/>
      <c r="AW136" s="2608" t="s">
        <v>1158</v>
      </c>
      <c r="AX136" s="1503"/>
      <c r="AY136" s="2846">
        <f t="shared" ca="1" si="52"/>
        <v>82</v>
      </c>
      <c r="AZ136" s="2846"/>
      <c r="BA136" s="2846">
        <f t="shared" ca="1" si="52"/>
        <v>125.02330000000001</v>
      </c>
      <c r="BB136" s="2846">
        <f t="shared" ca="1" si="52"/>
        <v>175.2914387382277</v>
      </c>
      <c r="BC136" s="2846">
        <f t="shared" ca="1" si="52"/>
        <v>165.92363873822771</v>
      </c>
      <c r="BD136" s="2846">
        <f t="shared" ca="1" si="52"/>
        <v>152.38363873822772</v>
      </c>
      <c r="BE136" s="2846">
        <f t="shared" ca="1" si="52"/>
        <v>137.6836387382277</v>
      </c>
      <c r="BF136" s="2846">
        <f t="shared" ca="1" si="52"/>
        <v>124.92613873822771</v>
      </c>
      <c r="BG136" s="2846">
        <f t="shared" ca="1" si="52"/>
        <v>109.53513873822772</v>
      </c>
      <c r="BH136" s="2846">
        <f t="shared" ca="1" si="52"/>
        <v>98.050138738227716</v>
      </c>
      <c r="BI136" s="2846">
        <f t="shared" ca="1" si="52"/>
        <v>60.151138738227722</v>
      </c>
      <c r="BJ136" s="194"/>
    </row>
    <row r="137" spans="2:63">
      <c r="B137" s="193"/>
      <c r="C137" s="2598" t="s">
        <v>696</v>
      </c>
      <c r="D137" s="187" t="str">
        <f>INDEX(Modules[Module], MATCH($C137, Modules[Code], 0))</f>
        <v>Carbon Capture Storage (CCS)</v>
      </c>
      <c r="E137" s="1503"/>
      <c r="F137" s="2607"/>
      <c r="G137" s="2607"/>
      <c r="H137" s="2608"/>
      <c r="I137" s="2608"/>
      <c r="J137" s="2608"/>
      <c r="K137" s="2608"/>
      <c r="L137" s="2608"/>
      <c r="M137" s="2608"/>
      <c r="N137" s="2608"/>
      <c r="O137" s="2608"/>
      <c r="P137" s="2608"/>
      <c r="Q137" s="2608"/>
      <c r="R137" s="2608"/>
      <c r="S137" s="2608"/>
      <c r="T137" s="2608"/>
      <c r="U137" s="2608"/>
      <c r="V137" s="2608"/>
      <c r="W137" s="2608"/>
      <c r="X137" s="2608"/>
      <c r="Y137" s="2608"/>
      <c r="Z137" s="2608"/>
      <c r="AA137" s="2608"/>
      <c r="AB137" s="2608"/>
      <c r="AC137" s="2608"/>
      <c r="AD137" s="2608"/>
      <c r="AE137" s="2608"/>
      <c r="AF137" s="2608"/>
      <c r="AG137" s="2608"/>
      <c r="AH137" s="2608"/>
      <c r="AI137" s="2608"/>
      <c r="AJ137" s="2608"/>
      <c r="AK137" s="2608"/>
      <c r="AL137" s="2608"/>
      <c r="AM137" s="2608"/>
      <c r="AN137" s="2608"/>
      <c r="AO137" s="2608"/>
      <c r="AP137" s="2608"/>
      <c r="AQ137" s="2608"/>
      <c r="AR137" s="2608"/>
      <c r="AS137" s="2608"/>
      <c r="AT137" s="2608"/>
      <c r="AU137" s="2608"/>
      <c r="AV137" s="2608"/>
      <c r="AW137" s="2608"/>
      <c r="AX137" s="1503"/>
      <c r="AY137" s="2846">
        <f t="shared" ca="1" si="52"/>
        <v>0</v>
      </c>
      <c r="AZ137" s="2846"/>
      <c r="BA137" s="2846">
        <f t="shared" ca="1" si="52"/>
        <v>0</v>
      </c>
      <c r="BB137" s="2846">
        <f t="shared" ca="1" si="52"/>
        <v>0</v>
      </c>
      <c r="BC137" s="2846">
        <f t="shared" ca="1" si="52"/>
        <v>0</v>
      </c>
      <c r="BD137" s="2846">
        <f t="shared" ca="1" si="52"/>
        <v>0</v>
      </c>
      <c r="BE137" s="2846">
        <f t="shared" ca="1" si="52"/>
        <v>1</v>
      </c>
      <c r="BF137" s="2846">
        <f t="shared" ca="1" si="52"/>
        <v>2</v>
      </c>
      <c r="BG137" s="2846">
        <f t="shared" ca="1" si="52"/>
        <v>5</v>
      </c>
      <c r="BH137" s="2846">
        <f t="shared" ca="1" si="52"/>
        <v>7</v>
      </c>
      <c r="BI137" s="2846">
        <f t="shared" ca="1" si="52"/>
        <v>10</v>
      </c>
      <c r="BJ137" s="194"/>
    </row>
    <row r="138" spans="2:63">
      <c r="B138" s="193"/>
      <c r="C138" s="2598" t="s">
        <v>1819</v>
      </c>
      <c r="D138" s="187" t="str">
        <f>INDEX(Modules[Module], MATCH($C138, Modules[Code], 0))</f>
        <v>Electricity Balancing Requirement</v>
      </c>
      <c r="E138" s="1503"/>
      <c r="F138" s="2607"/>
      <c r="G138" s="2607"/>
      <c r="H138" s="2608"/>
      <c r="I138" s="2608"/>
      <c r="J138" s="2608"/>
      <c r="K138" s="2608"/>
      <c r="L138" s="2608"/>
      <c r="M138" s="2608"/>
      <c r="N138" s="2608"/>
      <c r="O138" s="2608"/>
      <c r="P138" s="2608"/>
      <c r="Q138" s="2608"/>
      <c r="R138" s="2608"/>
      <c r="S138" s="2608"/>
      <c r="T138" s="2608"/>
      <c r="U138" s="2608"/>
      <c r="V138" s="2608"/>
      <c r="W138" s="2608"/>
      <c r="X138" s="2608"/>
      <c r="Y138" s="2608"/>
      <c r="Z138" s="2608"/>
      <c r="AA138" s="2608"/>
      <c r="AB138" s="2608"/>
      <c r="AC138" s="2608"/>
      <c r="AD138" s="2608"/>
      <c r="AE138" s="2608"/>
      <c r="AF138" s="2608"/>
      <c r="AG138" s="2608"/>
      <c r="AH138" s="2608"/>
      <c r="AI138" s="2608"/>
      <c r="AJ138" s="2608"/>
      <c r="AK138" s="2608"/>
      <c r="AL138" s="2608"/>
      <c r="AM138" s="2608"/>
      <c r="AN138" s="2608"/>
      <c r="AO138" s="2608"/>
      <c r="AP138" s="2608"/>
      <c r="AQ138" s="2608"/>
      <c r="AR138" s="2608"/>
      <c r="AS138" s="2608"/>
      <c r="AT138" s="2608"/>
      <c r="AU138" s="2608"/>
      <c r="AV138" s="2608"/>
      <c r="AW138" s="2608"/>
      <c r="AX138" s="1503"/>
      <c r="AY138" s="2846">
        <f t="shared" ca="1" si="52"/>
        <v>11.506446686594195</v>
      </c>
      <c r="AZ138" s="2846"/>
      <c r="BA138" s="2846">
        <f t="shared" ca="1" si="52"/>
        <v>0.51077638826046257</v>
      </c>
      <c r="BB138" s="2846">
        <f t="shared" ca="1" si="52"/>
        <v>4.5647297728288754</v>
      </c>
      <c r="BC138" s="2846">
        <f t="shared" ca="1" si="52"/>
        <v>94.920473755987715</v>
      </c>
      <c r="BD138" s="2846">
        <f t="shared" ca="1" si="52"/>
        <v>215.01691728992043</v>
      </c>
      <c r="BE138" s="2846">
        <f t="shared" ca="1" si="52"/>
        <v>374.24277667545812</v>
      </c>
      <c r="BF138" s="2846">
        <f t="shared" ca="1" si="52"/>
        <v>515.43857694368262</v>
      </c>
      <c r="BG138" s="2846">
        <f t="shared" ca="1" si="52"/>
        <v>679.59023716585682</v>
      </c>
      <c r="BH138" s="2846">
        <f t="shared" ca="1" si="52"/>
        <v>829.6508924983948</v>
      </c>
      <c r="BI138" s="2846">
        <f t="shared" ca="1" si="52"/>
        <v>1024.3157925533287</v>
      </c>
      <c r="BJ138" s="194"/>
    </row>
    <row r="139" spans="2:63">
      <c r="B139" s="193"/>
      <c r="C139" s="1503" t="s">
        <v>61</v>
      </c>
      <c r="D139" s="1503" t="str">
        <f>INDEX(Modules[Module], MATCH($C139, Modules[Code], 0))</f>
        <v>Nuclear power</v>
      </c>
      <c r="E139" s="1503"/>
      <c r="F139" s="2607"/>
      <c r="G139" s="2607"/>
      <c r="H139" s="2608"/>
      <c r="I139" s="2608"/>
      <c r="J139" s="2608"/>
      <c r="K139" s="2608"/>
      <c r="L139" s="2608"/>
      <c r="M139" s="2608"/>
      <c r="N139" s="2608"/>
      <c r="O139" s="2608"/>
      <c r="P139" s="2608"/>
      <c r="Q139" s="2608"/>
      <c r="R139" s="2608"/>
      <c r="S139" s="2608"/>
      <c r="T139" s="2608"/>
      <c r="U139" s="2608"/>
      <c r="V139" s="2608"/>
      <c r="W139" s="2608"/>
      <c r="X139" s="2608"/>
      <c r="Y139" s="2608"/>
      <c r="Z139" s="2608"/>
      <c r="AA139" s="2608"/>
      <c r="AB139" s="2608"/>
      <c r="AC139" s="2608"/>
      <c r="AD139" s="2608"/>
      <c r="AE139" s="2608"/>
      <c r="AF139" s="2608"/>
      <c r="AG139" s="2608"/>
      <c r="AH139" s="2608"/>
      <c r="AI139" s="2608"/>
      <c r="AJ139" s="2608"/>
      <c r="AK139" s="2608"/>
      <c r="AL139" s="2608"/>
      <c r="AM139" s="2608"/>
      <c r="AN139" s="2608"/>
      <c r="AO139" s="2608"/>
      <c r="AP139" s="2608"/>
      <c r="AQ139" s="2608"/>
      <c r="AR139" s="2608"/>
      <c r="AS139" s="2608"/>
      <c r="AT139" s="2608"/>
      <c r="AU139" s="2608"/>
      <c r="AV139" s="2608"/>
      <c r="AW139" s="2608"/>
      <c r="AX139" s="1503"/>
      <c r="AY139" s="2846">
        <f t="shared" ca="1" si="52"/>
        <v>4.04</v>
      </c>
      <c r="AZ139" s="2846"/>
      <c r="BA139" s="2846">
        <f t="shared" ca="1" si="52"/>
        <v>4.68</v>
      </c>
      <c r="BB139" s="2846">
        <f t="shared" ca="1" si="52"/>
        <v>9.98</v>
      </c>
      <c r="BC139" s="2846">
        <f t="shared" ca="1" si="52"/>
        <v>9.66</v>
      </c>
      <c r="BD139" s="2846">
        <f t="shared" ca="1" si="52"/>
        <v>9.66</v>
      </c>
      <c r="BE139" s="2846">
        <f t="shared" ca="1" si="52"/>
        <v>9.4600000000000009</v>
      </c>
      <c r="BF139" s="2846">
        <f t="shared" ca="1" si="52"/>
        <v>9.02</v>
      </c>
      <c r="BG139" s="2846">
        <f t="shared" ca="1" si="52"/>
        <v>8.8000000000000007</v>
      </c>
      <c r="BH139" s="2846">
        <f t="shared" ca="1" si="52"/>
        <v>8.36</v>
      </c>
      <c r="BI139" s="2846">
        <f t="shared" ca="1" si="52"/>
        <v>8.36</v>
      </c>
      <c r="BJ139" s="194"/>
    </row>
    <row r="140" spans="2:63">
      <c r="B140" s="193"/>
      <c r="C140" s="1503" t="s">
        <v>62</v>
      </c>
      <c r="D140" s="187" t="str">
        <f>INDEX(Modules[Module], MATCH($C140, Modules[Code], 0))</f>
        <v>Hydro Power Generation</v>
      </c>
      <c r="E140" s="1503"/>
      <c r="F140" s="2607"/>
      <c r="G140" s="2607"/>
      <c r="H140" s="2608"/>
      <c r="I140" s="2608"/>
      <c r="J140" s="2608"/>
      <c r="K140" s="2608"/>
      <c r="L140" s="2608"/>
      <c r="M140" s="2608"/>
      <c r="N140" s="2608"/>
      <c r="O140" s="2608"/>
      <c r="P140" s="2608"/>
      <c r="Q140" s="2608"/>
      <c r="R140" s="2608"/>
      <c r="S140" s="2608"/>
      <c r="T140" s="2608"/>
      <c r="U140" s="2608"/>
      <c r="V140" s="2608"/>
      <c r="W140" s="2608"/>
      <c r="X140" s="2608"/>
      <c r="Y140" s="2608"/>
      <c r="Z140" s="2608"/>
      <c r="AA140" s="2608"/>
      <c r="AB140" s="2608"/>
      <c r="AC140" s="2608"/>
      <c r="AD140" s="2608"/>
      <c r="AE140" s="2608"/>
      <c r="AF140" s="2608"/>
      <c r="AG140" s="2608"/>
      <c r="AH140" s="2608"/>
      <c r="AI140" s="2608"/>
      <c r="AJ140" s="2608"/>
      <c r="AK140" s="2608"/>
      <c r="AL140" s="2608"/>
      <c r="AM140" s="2608"/>
      <c r="AN140" s="2608"/>
      <c r="AO140" s="2608"/>
      <c r="AP140" s="2608"/>
      <c r="AQ140" s="2608"/>
      <c r="AR140" s="2608">
        <f>11*Unit.GW</f>
        <v>11</v>
      </c>
      <c r="AS140" s="2608">
        <f>11*Unit.GW</f>
        <v>11</v>
      </c>
      <c r="AT140" s="2608">
        <f>11*Unit.GW</f>
        <v>11</v>
      </c>
      <c r="AU140" s="2608">
        <f>10.9*Unit.GW</f>
        <v>10.9</v>
      </c>
      <c r="AV140" s="2608">
        <f>10.9*Unit.GW</f>
        <v>10.9</v>
      </c>
      <c r="AW140" s="2608" t="s">
        <v>1159</v>
      </c>
      <c r="AX140" s="1503"/>
      <c r="AY140" s="2846">
        <f t="shared" ca="1" si="52"/>
        <v>34.65</v>
      </c>
      <c r="AZ140" s="2846"/>
      <c r="BA140" s="2846">
        <f t="shared" ca="1" si="52"/>
        <v>41</v>
      </c>
      <c r="BB140" s="2846">
        <f t="shared" ca="1" si="52"/>
        <v>49</v>
      </c>
      <c r="BC140" s="2846">
        <f t="shared" ca="1" si="52"/>
        <v>49</v>
      </c>
      <c r="BD140" s="2846">
        <f t="shared" ca="1" si="52"/>
        <v>49</v>
      </c>
      <c r="BE140" s="2846">
        <f t="shared" ca="1" si="52"/>
        <v>49</v>
      </c>
      <c r="BF140" s="2846">
        <f t="shared" ca="1" si="52"/>
        <v>49</v>
      </c>
      <c r="BG140" s="2846">
        <f t="shared" ca="1" si="52"/>
        <v>49</v>
      </c>
      <c r="BH140" s="2846">
        <f t="shared" ca="1" si="52"/>
        <v>49</v>
      </c>
      <c r="BI140" s="2846">
        <f t="shared" ca="1" si="52"/>
        <v>49</v>
      </c>
      <c r="BJ140" s="194"/>
    </row>
    <row r="141" spans="2:63">
      <c r="B141" s="193"/>
      <c r="C141" s="2598" t="s">
        <v>311</v>
      </c>
      <c r="D141" s="187" t="str">
        <f>INDEX(Modules[Module], MATCH($C141, Modules[Code], 0))</f>
        <v>Solar PV</v>
      </c>
      <c r="E141" s="1503"/>
      <c r="F141" s="2607"/>
      <c r="G141" s="2607"/>
      <c r="H141" s="2608"/>
      <c r="I141" s="2608"/>
      <c r="J141" s="2608"/>
      <c r="K141" s="2608"/>
      <c r="L141" s="2608"/>
      <c r="M141" s="2608"/>
      <c r="N141" s="2608"/>
      <c r="O141" s="2608"/>
      <c r="P141" s="2608"/>
      <c r="Q141" s="2608"/>
      <c r="R141" s="2608"/>
      <c r="S141" s="2608"/>
      <c r="T141" s="2608"/>
      <c r="U141" s="2608"/>
      <c r="V141" s="2608"/>
      <c r="W141" s="2608"/>
      <c r="X141" s="2608"/>
      <c r="Y141" s="2608"/>
      <c r="Z141" s="2608"/>
      <c r="AA141" s="2608"/>
      <c r="AB141" s="2608"/>
      <c r="AC141" s="2608"/>
      <c r="AD141" s="2608"/>
      <c r="AE141" s="2608"/>
      <c r="AF141" s="2608"/>
      <c r="AG141" s="2608"/>
      <c r="AH141" s="2608"/>
      <c r="AI141" s="2608"/>
      <c r="AJ141" s="2608"/>
      <c r="AK141" s="2608"/>
      <c r="AL141" s="2608"/>
      <c r="AM141" s="2608"/>
      <c r="AN141" s="2608"/>
      <c r="AO141" s="2608"/>
      <c r="AP141" s="2608"/>
      <c r="AQ141" s="2608"/>
      <c r="AR141" s="2608"/>
      <c r="AS141" s="2608"/>
      <c r="AT141" s="2608"/>
      <c r="AU141" s="2608"/>
      <c r="AV141" s="2608"/>
      <c r="AW141" s="2608" t="s">
        <v>1160</v>
      </c>
      <c r="AX141" s="1503"/>
      <c r="AY141" s="2846">
        <f t="shared" ca="1" si="52"/>
        <v>0</v>
      </c>
      <c r="AZ141" s="2846"/>
      <c r="BA141" s="2846">
        <f t="shared" ca="1" si="52"/>
        <v>0.94100000000000006</v>
      </c>
      <c r="BB141" s="2846">
        <f t="shared" ca="1" si="52"/>
        <v>4.9409999999999998</v>
      </c>
      <c r="BC141" s="2846">
        <f t="shared" ca="1" si="52"/>
        <v>10.940999999999999</v>
      </c>
      <c r="BD141" s="2846">
        <f t="shared" ca="1" si="52"/>
        <v>18.940999999999999</v>
      </c>
      <c r="BE141" s="2846">
        <f t="shared" ca="1" si="52"/>
        <v>26.940999999999999</v>
      </c>
      <c r="BF141" s="2846">
        <f t="shared" ca="1" si="52"/>
        <v>33.941000000000003</v>
      </c>
      <c r="BG141" s="2846">
        <f t="shared" ca="1" si="52"/>
        <v>38</v>
      </c>
      <c r="BH141" s="2846">
        <f t="shared" ca="1" si="52"/>
        <v>37</v>
      </c>
      <c r="BI141" s="2846">
        <f t="shared" ca="1" si="52"/>
        <v>32</v>
      </c>
      <c r="BJ141" s="194"/>
    </row>
    <row r="142" spans="2:63">
      <c r="B142" s="193"/>
      <c r="C142" s="2598" t="s">
        <v>407</v>
      </c>
      <c r="D142" s="1503" t="str">
        <f>INDEX(Modules[Module], MATCH($C142, Modules[Code], 0))</f>
        <v>Solar CSP</v>
      </c>
      <c r="E142" s="1503"/>
      <c r="F142" s="2607"/>
      <c r="G142" s="2607"/>
      <c r="H142" s="2608"/>
      <c r="I142" s="2608"/>
      <c r="J142" s="2608"/>
      <c r="K142" s="2608"/>
      <c r="L142" s="2608"/>
      <c r="M142" s="2608"/>
      <c r="N142" s="2608"/>
      <c r="O142" s="2608"/>
      <c r="P142" s="2608"/>
      <c r="Q142" s="2608"/>
      <c r="R142" s="2608"/>
      <c r="S142" s="2608"/>
      <c r="T142" s="2608"/>
      <c r="U142" s="2608"/>
      <c r="V142" s="2608"/>
      <c r="W142" s="2608"/>
      <c r="X142" s="2608"/>
      <c r="Y142" s="2608"/>
      <c r="Z142" s="2608"/>
      <c r="AA142" s="2608"/>
      <c r="AB142" s="2608"/>
      <c r="AC142" s="2608"/>
      <c r="AD142" s="2608"/>
      <c r="AE142" s="2608"/>
      <c r="AF142" s="2608"/>
      <c r="AG142" s="2608"/>
      <c r="AH142" s="2608"/>
      <c r="AI142" s="2608"/>
      <c r="AJ142" s="2608"/>
      <c r="AK142" s="2608"/>
      <c r="AL142" s="2608"/>
      <c r="AM142" s="2608"/>
      <c r="AN142" s="2608"/>
      <c r="AO142" s="2608"/>
      <c r="AP142" s="2608"/>
      <c r="AQ142" s="2608"/>
      <c r="AR142" s="2608"/>
      <c r="AS142" s="2608"/>
      <c r="AT142" s="2608"/>
      <c r="AU142" s="2608"/>
      <c r="AV142" s="2608"/>
      <c r="AW142" s="2608"/>
      <c r="AX142" s="1503"/>
      <c r="AY142" s="2846">
        <f t="shared" ca="1" si="52"/>
        <v>0</v>
      </c>
      <c r="AZ142" s="2846"/>
      <c r="BA142" s="2846">
        <f t="shared" ca="1" si="52"/>
        <v>0</v>
      </c>
      <c r="BB142" s="2846">
        <f t="shared" ca="1" si="52"/>
        <v>1</v>
      </c>
      <c r="BC142" s="2846">
        <f t="shared" ca="1" si="52"/>
        <v>3</v>
      </c>
      <c r="BD142" s="2846">
        <f t="shared" ca="1" si="52"/>
        <v>5</v>
      </c>
      <c r="BE142" s="2846">
        <f t="shared" ca="1" si="52"/>
        <v>7.5</v>
      </c>
      <c r="BF142" s="2846">
        <f t="shared" ca="1" si="52"/>
        <v>9.5</v>
      </c>
      <c r="BG142" s="2846">
        <f t="shared" ca="1" si="52"/>
        <v>10.5</v>
      </c>
      <c r="BH142" s="2846">
        <f t="shared" ca="1" si="52"/>
        <v>9.5</v>
      </c>
      <c r="BI142" s="2846">
        <f t="shared" ca="1" si="52"/>
        <v>7.5</v>
      </c>
      <c r="BJ142" s="194"/>
    </row>
    <row r="143" spans="2:63">
      <c r="B143" s="193"/>
      <c r="C143" s="2598" t="s">
        <v>1071</v>
      </c>
      <c r="D143" s="187" t="str">
        <f>INDEX(Modules[Module], MATCH($C143, Modules[Code], 0))</f>
        <v>Onshore Wind</v>
      </c>
      <c r="E143" s="1503"/>
      <c r="F143" s="2607"/>
      <c r="G143" s="2607"/>
      <c r="H143" s="2608"/>
      <c r="I143" s="2608"/>
      <c r="J143" s="2608"/>
      <c r="K143" s="2608"/>
      <c r="L143" s="2608"/>
      <c r="M143" s="2608"/>
      <c r="N143" s="2608"/>
      <c r="O143" s="2608"/>
      <c r="P143" s="2608"/>
      <c r="Q143" s="2608"/>
      <c r="R143" s="2608"/>
      <c r="S143" s="2608"/>
      <c r="T143" s="2608"/>
      <c r="U143" s="2608"/>
      <c r="V143" s="2608"/>
      <c r="W143" s="2608"/>
      <c r="X143" s="2608"/>
      <c r="Y143" s="2608"/>
      <c r="Z143" s="2608"/>
      <c r="AA143" s="2608"/>
      <c r="AB143" s="2608"/>
      <c r="AC143" s="2608"/>
      <c r="AD143" s="2608"/>
      <c r="AE143" s="2608"/>
      <c r="AF143" s="2608"/>
      <c r="AG143" s="2608"/>
      <c r="AH143" s="2608"/>
      <c r="AI143" s="2608"/>
      <c r="AJ143" s="2608"/>
      <c r="AK143" s="2608"/>
      <c r="AL143" s="2608"/>
      <c r="AM143" s="2608"/>
      <c r="AN143" s="2608"/>
      <c r="AO143" s="2608"/>
      <c r="AP143" s="2608"/>
      <c r="AQ143" s="2608"/>
      <c r="AR143" s="2608">
        <f>1.4*Unit.GW</f>
        <v>1.4</v>
      </c>
      <c r="AS143" s="2608">
        <f>1.4*Unit.GW</f>
        <v>1.4</v>
      </c>
      <c r="AT143" s="2608">
        <f>1.5*Unit.GW</f>
        <v>1.5</v>
      </c>
      <c r="AU143" s="2608">
        <f>1.5*Unit.GW</f>
        <v>1.5</v>
      </c>
      <c r="AV143" s="2608">
        <f>1.5*Unit.GW</f>
        <v>1.5</v>
      </c>
      <c r="AW143" s="2608" t="s">
        <v>1161</v>
      </c>
      <c r="AX143" s="1503"/>
      <c r="AY143" s="2846">
        <f t="shared" ca="1" si="52"/>
        <v>7.0939899999999998</v>
      </c>
      <c r="AZ143" s="2846"/>
      <c r="BA143" s="2846">
        <f t="shared" ca="1" si="52"/>
        <v>10.353</v>
      </c>
      <c r="BB143" s="2846">
        <f t="shared" ca="1" si="52"/>
        <v>18.853000000000002</v>
      </c>
      <c r="BC143" s="2846">
        <f t="shared" ca="1" si="52"/>
        <v>28.853000000000002</v>
      </c>
      <c r="BD143" s="2846">
        <f t="shared" ca="1" si="52"/>
        <v>38.853000000000002</v>
      </c>
      <c r="BE143" s="2846">
        <f t="shared" ca="1" si="52"/>
        <v>51.353000000000002</v>
      </c>
      <c r="BF143" s="2846">
        <f t="shared" ca="1" si="52"/>
        <v>56.759010000000004</v>
      </c>
      <c r="BG143" s="2846">
        <f t="shared" ca="1" si="52"/>
        <v>58.5</v>
      </c>
      <c r="BH143" s="2846">
        <f t="shared" ca="1" si="52"/>
        <v>60</v>
      </c>
      <c r="BI143" s="2846">
        <f t="shared" ca="1" si="52"/>
        <v>58</v>
      </c>
      <c r="BJ143" s="194"/>
    </row>
    <row r="144" spans="2:63">
      <c r="B144" s="193"/>
      <c r="C144" s="2598" t="s">
        <v>1285</v>
      </c>
      <c r="D144" s="187" t="str">
        <f>INDEX(Modules[Module], MATCH($C144, Modules[Code], 0))</f>
        <v>Offshore Wind</v>
      </c>
      <c r="E144" s="1503"/>
      <c r="F144" s="2607"/>
      <c r="G144" s="2607"/>
      <c r="H144" s="2608"/>
      <c r="I144" s="2608"/>
      <c r="J144" s="2608"/>
      <c r="K144" s="2608"/>
      <c r="L144" s="2608"/>
      <c r="M144" s="2608"/>
      <c r="N144" s="2608"/>
      <c r="O144" s="2608"/>
      <c r="P144" s="2608"/>
      <c r="Q144" s="2608"/>
      <c r="R144" s="2608"/>
      <c r="S144" s="2608"/>
      <c r="T144" s="2608"/>
      <c r="U144" s="2608"/>
      <c r="V144" s="2608"/>
      <c r="W144" s="2608"/>
      <c r="X144" s="2608"/>
      <c r="Y144" s="2608"/>
      <c r="Z144" s="2608"/>
      <c r="AA144" s="2608"/>
      <c r="AB144" s="2608"/>
      <c r="AC144" s="2608"/>
      <c r="AD144" s="2608"/>
      <c r="AE144" s="2608"/>
      <c r="AF144" s="2608"/>
      <c r="AG144" s="2608"/>
      <c r="AH144" s="2608"/>
      <c r="AI144" s="2608"/>
      <c r="AJ144" s="2608"/>
      <c r="AK144" s="2608"/>
      <c r="AL144" s="2608"/>
      <c r="AM144" s="2608"/>
      <c r="AN144" s="2608"/>
      <c r="AO144" s="2608"/>
      <c r="AP144" s="2608"/>
      <c r="AQ144" s="2608"/>
      <c r="AR144" s="2608"/>
      <c r="AS144" s="2608"/>
      <c r="AT144" s="2608"/>
      <c r="AU144" s="2608"/>
      <c r="AV144" s="2608"/>
      <c r="AW144" s="2608"/>
      <c r="AX144" s="1503"/>
      <c r="AY144" s="2846">
        <f t="shared" ca="1" si="52"/>
        <v>0</v>
      </c>
      <c r="AZ144" s="2846"/>
      <c r="BA144" s="2846">
        <f t="shared" ca="1" si="52"/>
        <v>0</v>
      </c>
      <c r="BB144" s="2846">
        <f t="shared" ca="1" si="52"/>
        <v>0</v>
      </c>
      <c r="BC144" s="2846">
        <f t="shared" ca="1" si="52"/>
        <v>0.5</v>
      </c>
      <c r="BD144" s="2846">
        <f t="shared" ca="1" si="52"/>
        <v>1</v>
      </c>
      <c r="BE144" s="2846">
        <f t="shared" ca="1" si="52"/>
        <v>1.5</v>
      </c>
      <c r="BF144" s="2846">
        <f t="shared" ca="1" si="52"/>
        <v>2.5</v>
      </c>
      <c r="BG144" s="2846">
        <f t="shared" ca="1" si="52"/>
        <v>3.5</v>
      </c>
      <c r="BH144" s="2846">
        <f t="shared" ca="1" si="52"/>
        <v>4</v>
      </c>
      <c r="BI144" s="2846">
        <f t="shared" ca="1" si="52"/>
        <v>4</v>
      </c>
      <c r="BJ144" s="194"/>
    </row>
    <row r="145" spans="1:62">
      <c r="B145" s="193"/>
      <c r="C145" s="2598" t="s">
        <v>1073</v>
      </c>
      <c r="D145" s="187" t="str">
        <f>INDEX(Modules[Module], MATCH($C145, Modules[Code], 0))</f>
        <v>Small Hydro</v>
      </c>
      <c r="E145" s="1503"/>
      <c r="F145" s="2607"/>
      <c r="G145" s="2607"/>
      <c r="H145" s="2608"/>
      <c r="I145" s="2608"/>
      <c r="J145" s="2608"/>
      <c r="K145" s="2608"/>
      <c r="L145" s="2608"/>
      <c r="M145" s="2608"/>
      <c r="N145" s="2608"/>
      <c r="O145" s="2608"/>
      <c r="P145" s="2608"/>
      <c r="Q145" s="2608"/>
      <c r="R145" s="2608"/>
      <c r="S145" s="2608"/>
      <c r="T145" s="2608"/>
      <c r="U145" s="2608"/>
      <c r="V145" s="2608"/>
      <c r="W145" s="2608"/>
      <c r="X145" s="2608"/>
      <c r="Y145" s="2608"/>
      <c r="Z145" s="2608"/>
      <c r="AA145" s="2608"/>
      <c r="AB145" s="2608"/>
      <c r="AC145" s="2608"/>
      <c r="AD145" s="2608"/>
      <c r="AE145" s="2608"/>
      <c r="AF145" s="2608"/>
      <c r="AG145" s="2608"/>
      <c r="AH145" s="2608"/>
      <c r="AI145" s="2608"/>
      <c r="AJ145" s="2608"/>
      <c r="AK145" s="2608"/>
      <c r="AL145" s="2608"/>
      <c r="AM145" s="2608"/>
      <c r="AN145" s="2608"/>
      <c r="AO145" s="2608"/>
      <c r="AP145" s="2608"/>
      <c r="AQ145" s="2608"/>
      <c r="AR145" s="2608"/>
      <c r="AS145" s="2608"/>
      <c r="AT145" s="2608"/>
      <c r="AU145" s="2608"/>
      <c r="AV145" s="2608"/>
      <c r="AW145" s="2608"/>
      <c r="AX145" s="1503"/>
      <c r="AY145" s="2846">
        <f t="shared" ca="1" si="52"/>
        <v>1.9756</v>
      </c>
      <c r="AZ145" s="2846"/>
      <c r="BA145" s="2846">
        <f t="shared" ca="1" si="52"/>
        <v>3.3856000000000002</v>
      </c>
      <c r="BB145" s="2846">
        <f t="shared" ca="1" si="52"/>
        <v>4.8856000000000002</v>
      </c>
      <c r="BC145" s="2846">
        <f t="shared" ca="1" si="52"/>
        <v>6.5856000000000003</v>
      </c>
      <c r="BD145" s="2846">
        <f t="shared" ca="1" si="52"/>
        <v>7.5856000000000003</v>
      </c>
      <c r="BE145" s="2846">
        <f t="shared" ca="1" si="52"/>
        <v>8.5855999999999995</v>
      </c>
      <c r="BF145" s="2846">
        <f t="shared" ca="1" si="52"/>
        <v>9.0855999999999995</v>
      </c>
      <c r="BG145" s="2846">
        <f t="shared" ca="1" si="52"/>
        <v>8.9599999999999991</v>
      </c>
      <c r="BH145" s="2846">
        <f t="shared" ca="1" si="52"/>
        <v>9.0405999999999995</v>
      </c>
      <c r="BI145" s="2846">
        <f t="shared" ca="1" si="52"/>
        <v>9.0405999999999995</v>
      </c>
      <c r="BJ145" s="194"/>
    </row>
    <row r="146" spans="1:62">
      <c r="B146" s="193"/>
      <c r="C146" s="2598" t="s">
        <v>304</v>
      </c>
      <c r="D146" s="187" t="s">
        <v>499</v>
      </c>
      <c r="E146" s="1503"/>
      <c r="F146" s="2607"/>
      <c r="G146" s="2607"/>
      <c r="H146" s="2608"/>
      <c r="I146" s="2608"/>
      <c r="J146" s="2608"/>
      <c r="K146" s="2608"/>
      <c r="L146" s="2608"/>
      <c r="M146" s="2608"/>
      <c r="N146" s="2608"/>
      <c r="O146" s="2608"/>
      <c r="P146" s="2608"/>
      <c r="Q146" s="2608"/>
      <c r="R146" s="2608"/>
      <c r="S146" s="2608"/>
      <c r="T146" s="2608"/>
      <c r="U146" s="2608"/>
      <c r="V146" s="2608"/>
      <c r="W146" s="2608"/>
      <c r="X146" s="2608"/>
      <c r="Y146" s="2608"/>
      <c r="Z146" s="2608"/>
      <c r="AA146" s="2608"/>
      <c r="AB146" s="2608"/>
      <c r="AC146" s="2608"/>
      <c r="AD146" s="2608"/>
      <c r="AE146" s="2608"/>
      <c r="AF146" s="2608"/>
      <c r="AG146" s="2608"/>
      <c r="AH146" s="2608"/>
      <c r="AI146" s="2608"/>
      <c r="AJ146" s="2608"/>
      <c r="AK146" s="2608"/>
      <c r="AL146" s="2608"/>
      <c r="AM146" s="2608"/>
      <c r="AN146" s="2608"/>
      <c r="AO146" s="2608"/>
      <c r="AP146" s="2608"/>
      <c r="AQ146" s="2608"/>
      <c r="AR146" s="2608"/>
      <c r="AS146" s="2608"/>
      <c r="AT146" s="2608"/>
      <c r="AU146" s="2608"/>
      <c r="AV146" s="2608"/>
      <c r="AW146" s="2608"/>
      <c r="AX146" s="1503"/>
      <c r="AY146" s="2846">
        <f t="shared" ca="1" si="52"/>
        <v>1.0101398712196108</v>
      </c>
      <c r="AZ146" s="2846"/>
      <c r="BA146" s="2846">
        <f t="shared" ca="1" si="52"/>
        <v>1.3896660392425277</v>
      </c>
      <c r="BB146" s="2846">
        <f t="shared" ca="1" si="52"/>
        <v>1.5855498160506503</v>
      </c>
      <c r="BC146" s="2846">
        <f t="shared" ca="1" si="52"/>
        <v>1.7814335928587721</v>
      </c>
      <c r="BD146" s="2846">
        <f t="shared" ca="1" si="52"/>
        <v>1.9773173696668951</v>
      </c>
      <c r="BE146" s="2846">
        <f t="shared" ca="1" si="52"/>
        <v>2.1732011464750176</v>
      </c>
      <c r="BF146" s="2846">
        <f t="shared" ca="1" si="52"/>
        <v>2.3690849232831392</v>
      </c>
      <c r="BG146" s="2846">
        <f t="shared" ca="1" si="52"/>
        <v>2.5649687000912622</v>
      </c>
      <c r="BH146" s="2846">
        <f t="shared" ca="1" si="52"/>
        <v>2.7608524768993843</v>
      </c>
      <c r="BI146" s="2846">
        <f t="shared" ca="1" si="52"/>
        <v>2.9567362537075064</v>
      </c>
      <c r="BJ146" s="194"/>
    </row>
    <row r="147" spans="1:62">
      <c r="B147" s="193"/>
      <c r="C147" s="2598" t="s">
        <v>296</v>
      </c>
      <c r="D147" s="187" t="str">
        <f>INDEX(Modules[Module], MATCH($C147, Modules[Code], 0))</f>
        <v>Waste to Electricity</v>
      </c>
      <c r="E147" s="1503"/>
      <c r="F147" s="2607"/>
      <c r="G147" s="2607"/>
      <c r="H147" s="2608"/>
      <c r="I147" s="2608"/>
      <c r="J147" s="2608"/>
      <c r="K147" s="2608"/>
      <c r="L147" s="2608"/>
      <c r="M147" s="2608"/>
      <c r="N147" s="2608"/>
      <c r="O147" s="2608"/>
      <c r="P147" s="2608"/>
      <c r="Q147" s="2608"/>
      <c r="R147" s="2608"/>
      <c r="S147" s="2608"/>
      <c r="T147" s="2608"/>
      <c r="U147" s="2608"/>
      <c r="V147" s="2608"/>
      <c r="W147" s="2608"/>
      <c r="X147" s="2608"/>
      <c r="Y147" s="2608"/>
      <c r="Z147" s="2608"/>
      <c r="AA147" s="2608"/>
      <c r="AB147" s="2608"/>
      <c r="AC147" s="2608"/>
      <c r="AD147" s="2608"/>
      <c r="AE147" s="2608"/>
      <c r="AF147" s="2608"/>
      <c r="AG147" s="2608"/>
      <c r="AH147" s="2608"/>
      <c r="AI147" s="2608"/>
      <c r="AJ147" s="2608"/>
      <c r="AK147" s="2608"/>
      <c r="AL147" s="2608"/>
      <c r="AM147" s="2608"/>
      <c r="AN147" s="2608"/>
      <c r="AO147" s="2608"/>
      <c r="AP147" s="2608"/>
      <c r="AQ147" s="2608"/>
      <c r="AR147" s="2608"/>
      <c r="AS147" s="2608"/>
      <c r="AT147" s="2608"/>
      <c r="AU147" s="2608"/>
      <c r="AV147" s="2608"/>
      <c r="AW147" s="2608" t="s">
        <v>1162</v>
      </c>
      <c r="AX147" s="1503"/>
      <c r="AY147" s="2846">
        <f t="shared" ca="1" si="52"/>
        <v>0</v>
      </c>
      <c r="AZ147" s="2846"/>
      <c r="BA147" s="2846">
        <f t="shared" ca="1" si="52"/>
        <v>0</v>
      </c>
      <c r="BB147" s="2846">
        <f t="shared" ca="1" si="52"/>
        <v>0</v>
      </c>
      <c r="BC147" s="2846">
        <f t="shared" ca="1" si="52"/>
        <v>0</v>
      </c>
      <c r="BD147" s="2846">
        <f t="shared" ca="1" si="52"/>
        <v>0</v>
      </c>
      <c r="BE147" s="2846">
        <f t="shared" ca="1" si="52"/>
        <v>0</v>
      </c>
      <c r="BF147" s="2846">
        <f t="shared" ca="1" si="52"/>
        <v>0</v>
      </c>
      <c r="BG147" s="2846">
        <f t="shared" ca="1" si="52"/>
        <v>0</v>
      </c>
      <c r="BH147" s="2846">
        <f t="shared" ca="1" si="52"/>
        <v>0</v>
      </c>
      <c r="BI147" s="2846">
        <f t="shared" ca="1" si="52"/>
        <v>0</v>
      </c>
      <c r="BJ147" s="194"/>
    </row>
    <row r="148" spans="1:62">
      <c r="B148" s="193"/>
      <c r="C148" s="2598"/>
      <c r="D148" s="2598"/>
      <c r="E148" s="1503"/>
      <c r="F148" s="2598"/>
      <c r="G148" s="2598"/>
      <c r="H148" s="2612"/>
      <c r="I148" s="2612"/>
      <c r="J148" s="2612"/>
      <c r="K148" s="2612"/>
      <c r="L148" s="2612"/>
      <c r="M148" s="2612"/>
      <c r="N148" s="2612"/>
      <c r="O148" s="2612"/>
      <c r="P148" s="2612"/>
      <c r="Q148" s="2612"/>
      <c r="R148" s="2612"/>
      <c r="S148" s="2612"/>
      <c r="T148" s="2612"/>
      <c r="U148" s="2612"/>
      <c r="V148" s="2612"/>
      <c r="W148" s="2612"/>
      <c r="X148" s="2612"/>
      <c r="Y148" s="2612"/>
      <c r="Z148" s="2612"/>
      <c r="AA148" s="2612"/>
      <c r="AB148" s="2612"/>
      <c r="AC148" s="2612"/>
      <c r="AD148" s="2612"/>
      <c r="AE148" s="2612"/>
      <c r="AF148" s="2612"/>
      <c r="AG148" s="2612"/>
      <c r="AH148" s="2612"/>
      <c r="AI148" s="2612"/>
      <c r="AJ148" s="2612"/>
      <c r="AK148" s="2612"/>
      <c r="AL148" s="2612"/>
      <c r="AM148" s="2612"/>
      <c r="AN148" s="2612"/>
      <c r="AO148" s="2612"/>
      <c r="AP148" s="2612"/>
      <c r="AQ148" s="2612"/>
      <c r="AR148" s="2612"/>
      <c r="AS148" s="2612"/>
      <c r="AT148" s="2612"/>
      <c r="AU148" s="2612"/>
      <c r="AV148" s="2612"/>
      <c r="AW148" s="2612"/>
      <c r="AX148" s="1503"/>
      <c r="AY148" s="2846">
        <f t="shared" ca="1" si="52"/>
        <v>0</v>
      </c>
      <c r="AZ148" s="2846"/>
      <c r="BA148" s="2846">
        <f t="shared" ca="1" si="52"/>
        <v>0</v>
      </c>
      <c r="BB148" s="2846">
        <f t="shared" ca="1" si="52"/>
        <v>0</v>
      </c>
      <c r="BC148" s="2846">
        <f t="shared" ca="1" si="52"/>
        <v>0</v>
      </c>
      <c r="BD148" s="2846">
        <f t="shared" ca="1" si="52"/>
        <v>0</v>
      </c>
      <c r="BE148" s="2846">
        <f t="shared" ca="1" si="52"/>
        <v>0</v>
      </c>
      <c r="BF148" s="2846">
        <f t="shared" ca="1" si="52"/>
        <v>0</v>
      </c>
      <c r="BG148" s="2846">
        <f t="shared" ca="1" si="52"/>
        <v>0</v>
      </c>
      <c r="BH148" s="2846">
        <f t="shared" ca="1" si="52"/>
        <v>0</v>
      </c>
      <c r="BI148" s="2846">
        <f t="shared" ca="1" si="52"/>
        <v>0</v>
      </c>
      <c r="BJ148" s="194"/>
    </row>
    <row r="149" spans="1:62">
      <c r="B149" s="193"/>
      <c r="C149" s="2598" t="s">
        <v>267</v>
      </c>
      <c r="D149" s="2598" t="s">
        <v>1163</v>
      </c>
      <c r="E149" s="1503"/>
      <c r="F149" s="2598"/>
      <c r="G149" s="2598"/>
      <c r="H149" s="2612"/>
      <c r="I149" s="2612"/>
      <c r="J149" s="2612"/>
      <c r="K149" s="2612"/>
      <c r="L149" s="2612"/>
      <c r="M149" s="2612"/>
      <c r="N149" s="2612"/>
      <c r="O149" s="2612"/>
      <c r="P149" s="2612"/>
      <c r="Q149" s="2612"/>
      <c r="R149" s="2612"/>
      <c r="S149" s="2612"/>
      <c r="T149" s="2612"/>
      <c r="U149" s="2612"/>
      <c r="V149" s="2612"/>
      <c r="W149" s="2612"/>
      <c r="X149" s="2612"/>
      <c r="Y149" s="2612"/>
      <c r="Z149" s="2612"/>
      <c r="AA149" s="2612"/>
      <c r="AB149" s="2612"/>
      <c r="AC149" s="2612"/>
      <c r="AD149" s="2612"/>
      <c r="AE149" s="2612"/>
      <c r="AF149" s="2612"/>
      <c r="AG149" s="2612"/>
      <c r="AH149" s="2612"/>
      <c r="AI149" s="2612"/>
      <c r="AJ149" s="2612"/>
      <c r="AK149" s="2612"/>
      <c r="AL149" s="2612"/>
      <c r="AM149" s="2612"/>
      <c r="AN149" s="2612"/>
      <c r="AO149" s="2612"/>
      <c r="AP149" s="2612"/>
      <c r="AQ149" s="2612"/>
      <c r="AR149" s="2612"/>
      <c r="AS149" s="2612"/>
      <c r="AT149" s="2612"/>
      <c r="AU149" s="2612"/>
      <c r="AV149" s="2612"/>
      <c r="AW149" s="2612"/>
      <c r="AX149" s="1503"/>
      <c r="AY149" s="2846">
        <f t="shared" ca="1" si="52"/>
        <v>0</v>
      </c>
      <c r="AZ149" s="2846"/>
      <c r="BA149" s="2846">
        <f t="shared" ca="1" si="52"/>
        <v>0</v>
      </c>
      <c r="BB149" s="2846">
        <f t="shared" ca="1" si="52"/>
        <v>0</v>
      </c>
      <c r="BC149" s="2846">
        <f t="shared" ca="1" si="52"/>
        <v>0</v>
      </c>
      <c r="BD149" s="2846">
        <f t="shared" ca="1" si="52"/>
        <v>0</v>
      </c>
      <c r="BE149" s="2846">
        <f t="shared" ca="1" si="52"/>
        <v>0</v>
      </c>
      <c r="BF149" s="2846">
        <f t="shared" ca="1" si="52"/>
        <v>0</v>
      </c>
      <c r="BG149" s="2846">
        <f t="shared" ca="1" si="52"/>
        <v>0</v>
      </c>
      <c r="BH149" s="2846">
        <f t="shared" ca="1" si="52"/>
        <v>0</v>
      </c>
      <c r="BI149" s="2846">
        <f t="shared" ca="1" si="52"/>
        <v>0</v>
      </c>
      <c r="BJ149" s="194"/>
    </row>
    <row r="150" spans="1:62">
      <c r="B150" s="193"/>
      <c r="C150" s="1503"/>
      <c r="D150" s="2605" t="s">
        <v>1164</v>
      </c>
      <c r="E150" s="2605"/>
      <c r="F150" s="2605"/>
      <c r="G150" s="2605"/>
      <c r="H150" s="2613"/>
      <c r="I150" s="2613"/>
      <c r="J150" s="2613"/>
      <c r="K150" s="2613"/>
      <c r="L150" s="2613"/>
      <c r="M150" s="2613"/>
      <c r="N150" s="2613"/>
      <c r="O150" s="2613"/>
      <c r="P150" s="2613"/>
      <c r="Q150" s="2613"/>
      <c r="R150" s="2613"/>
      <c r="S150" s="2613"/>
      <c r="T150" s="2613"/>
      <c r="U150" s="2613"/>
      <c r="V150" s="2613"/>
      <c r="W150" s="2613"/>
      <c r="X150" s="2613"/>
      <c r="Y150" s="2613"/>
      <c r="Z150" s="2613"/>
      <c r="AA150" s="2613"/>
      <c r="AB150" s="2613"/>
      <c r="AC150" s="2613"/>
      <c r="AD150" s="2613"/>
      <c r="AE150" s="2613"/>
      <c r="AF150" s="2613"/>
      <c r="AG150" s="2613"/>
      <c r="AH150" s="2613"/>
      <c r="AI150" s="2613"/>
      <c r="AJ150" s="2613"/>
      <c r="AK150" s="2613"/>
      <c r="AL150" s="2613"/>
      <c r="AM150" s="2613"/>
      <c r="AN150" s="2613"/>
      <c r="AO150" s="2613"/>
      <c r="AP150" s="2613"/>
      <c r="AQ150" s="2613"/>
      <c r="AR150" s="2614">
        <f>74.996*Unit.GW</f>
        <v>74.995999999999995</v>
      </c>
      <c r="AS150" s="2614">
        <f>75.97856007*Unit.GW</f>
        <v>75.97856007</v>
      </c>
      <c r="AT150" s="2614">
        <f>76.78237735*Unit.GW</f>
        <v>76.782377350000004</v>
      </c>
      <c r="AU150" s="2614">
        <f>77.67526559*Unit.GW</f>
        <v>77.675265589999995</v>
      </c>
      <c r="AV150" s="2614">
        <f>83.19678575*Unit.GW</f>
        <v>83.196785750000004</v>
      </c>
      <c r="AW150" s="2613"/>
      <c r="AX150" s="2605"/>
      <c r="AY150" s="2847">
        <f t="shared" ref="AY150:BI150" ca="1" si="53">SUM(AY136:AY149)</f>
        <v>142.27617655781381</v>
      </c>
      <c r="AZ150" s="2847"/>
      <c r="BA150" s="2847">
        <f t="shared" ca="1" si="53"/>
        <v>187.28334242750304</v>
      </c>
      <c r="BB150" s="2847">
        <f t="shared" ca="1" si="53"/>
        <v>270.10131832710726</v>
      </c>
      <c r="BC150" s="2847">
        <f t="shared" ca="1" si="53"/>
        <v>371.16514608707422</v>
      </c>
      <c r="BD150" s="2847">
        <f t="shared" ca="1" si="53"/>
        <v>499.417473397815</v>
      </c>
      <c r="BE150" s="2847">
        <f t="shared" ca="1" si="53"/>
        <v>669.43921656016084</v>
      </c>
      <c r="BF150" s="2847">
        <f t="shared" ca="1" si="53"/>
        <v>814.53941060519344</v>
      </c>
      <c r="BG150" s="2847">
        <f t="shared" ca="1" si="53"/>
        <v>973.95034460417583</v>
      </c>
      <c r="BH150" s="2847">
        <f t="shared" ca="1" si="53"/>
        <v>1114.3624837135219</v>
      </c>
      <c r="BI150" s="2847">
        <f t="shared" ca="1" si="53"/>
        <v>1265.3242675452639</v>
      </c>
      <c r="BJ150" s="194"/>
    </row>
    <row r="151" spans="1:62">
      <c r="B151" s="193"/>
      <c r="C151" s="187"/>
      <c r="D151" s="186"/>
      <c r="E151" s="187"/>
      <c r="F151" s="2607"/>
      <c r="G151" s="2607"/>
      <c r="H151" s="2608"/>
      <c r="I151" s="2608"/>
      <c r="J151" s="2608"/>
      <c r="K151" s="2608"/>
      <c r="L151" s="2608"/>
      <c r="M151" s="2608"/>
      <c r="N151" s="2608"/>
      <c r="O151" s="2608"/>
      <c r="P151" s="2608"/>
      <c r="Q151" s="2608"/>
      <c r="R151" s="2608"/>
      <c r="S151" s="2608"/>
      <c r="T151" s="2608"/>
      <c r="U151" s="2608"/>
      <c r="V151" s="2608"/>
      <c r="W151" s="2608"/>
      <c r="X151" s="2608"/>
      <c r="Y151" s="2608"/>
      <c r="Z151" s="2608"/>
      <c r="AA151" s="2608"/>
      <c r="AB151" s="2608"/>
      <c r="AC151" s="2608"/>
      <c r="AD151" s="2608"/>
      <c r="AE151" s="2608"/>
      <c r="AF151" s="2608"/>
      <c r="AG151" s="2608"/>
      <c r="AH151" s="2608"/>
      <c r="AI151" s="2608"/>
      <c r="AJ151" s="2608"/>
      <c r="AK151" s="2608"/>
      <c r="AL151" s="2608"/>
      <c r="AM151" s="2608"/>
      <c r="AN151" s="2608"/>
      <c r="AO151" s="2608"/>
      <c r="AP151" s="2608"/>
      <c r="AQ151" s="2608"/>
      <c r="AR151" s="2608"/>
      <c r="AS151" s="2608"/>
      <c r="AT151" s="2608"/>
      <c r="AU151" s="2608"/>
      <c r="AV151" s="2608"/>
      <c r="AW151" s="2608"/>
      <c r="AX151" s="187"/>
      <c r="AY151" s="2607"/>
      <c r="AZ151" s="2607"/>
      <c r="BA151" s="2607"/>
      <c r="BB151" s="2607"/>
      <c r="BC151" s="2607"/>
      <c r="BD151" s="2607"/>
      <c r="BE151" s="2607"/>
      <c r="BF151" s="2607"/>
      <c r="BG151" s="2607"/>
      <c r="BH151" s="2607"/>
      <c r="BI151" s="2607"/>
      <c r="BJ151" s="194"/>
    </row>
    <row r="152" spans="1:62">
      <c r="B152" s="1201"/>
      <c r="H152" s="1207"/>
      <c r="I152" s="1207"/>
      <c r="J152" s="1207"/>
      <c r="K152" s="1207"/>
      <c r="L152" s="1207"/>
      <c r="M152" s="1207"/>
      <c r="N152" s="1207"/>
      <c r="O152" s="1207"/>
      <c r="P152" s="1207"/>
      <c r="Q152" s="1207"/>
      <c r="R152" s="1207"/>
      <c r="S152" s="1207"/>
      <c r="T152" s="1207"/>
      <c r="U152" s="1207"/>
      <c r="V152" s="1207"/>
      <c r="W152" s="1207"/>
      <c r="X152" s="1207"/>
      <c r="Y152" s="1207"/>
      <c r="Z152" s="1207"/>
      <c r="AA152" s="1207"/>
      <c r="AB152" s="1207"/>
      <c r="AC152" s="1207"/>
      <c r="AD152" s="1207"/>
      <c r="AE152" s="1207"/>
      <c r="AF152" s="1207"/>
      <c r="AG152" s="1207"/>
      <c r="AH152" s="1207"/>
      <c r="AI152" s="1207"/>
      <c r="AJ152" s="1207"/>
      <c r="AK152" s="1207"/>
      <c r="AL152" s="1207"/>
      <c r="AM152" s="1207"/>
      <c r="AN152" s="1207"/>
      <c r="AO152" s="1207"/>
      <c r="AP152" s="1207"/>
      <c r="AQ152" s="1207"/>
      <c r="AR152" s="1207"/>
      <c r="AS152" s="1207"/>
      <c r="AT152" s="1207"/>
      <c r="AU152" s="1207"/>
      <c r="AV152" s="1207"/>
      <c r="AW152" s="1207"/>
    </row>
    <row r="153" spans="1:62" ht="22.5">
      <c r="A153" s="420"/>
      <c r="B153" s="1208" t="s">
        <v>281</v>
      </c>
      <c r="C153" s="1209"/>
      <c r="D153" s="1209"/>
      <c r="E153" s="1209"/>
      <c r="F153" s="1209"/>
      <c r="G153" s="1209"/>
      <c r="H153" s="1210"/>
      <c r="I153" s="1210"/>
      <c r="J153" s="1210"/>
      <c r="K153" s="1210"/>
      <c r="L153" s="1210"/>
      <c r="M153" s="1210"/>
      <c r="N153" s="1210"/>
      <c r="O153" s="1210"/>
      <c r="P153" s="1210"/>
      <c r="Q153" s="1210"/>
      <c r="R153" s="1210"/>
      <c r="S153" s="1210"/>
      <c r="T153" s="1210"/>
      <c r="U153" s="1210"/>
      <c r="V153" s="1210"/>
      <c r="W153" s="1210"/>
      <c r="X153" s="1210"/>
      <c r="Y153" s="1210"/>
      <c r="Z153" s="1210"/>
      <c r="AA153" s="1210"/>
      <c r="AB153" s="1210"/>
      <c r="AC153" s="1210"/>
      <c r="AD153" s="1210"/>
      <c r="AE153" s="1210"/>
      <c r="AF153" s="1210"/>
      <c r="AG153" s="1210"/>
      <c r="AH153" s="1210"/>
      <c r="AI153" s="1210"/>
      <c r="AJ153" s="1210"/>
      <c r="AK153" s="1210"/>
      <c r="AL153" s="1210"/>
      <c r="AM153" s="1210"/>
      <c r="AN153" s="1210"/>
      <c r="AO153" s="1210"/>
      <c r="AP153" s="1210"/>
      <c r="AQ153" s="1210"/>
      <c r="AR153" s="1210"/>
      <c r="AS153" s="1210"/>
      <c r="AT153" s="1210"/>
      <c r="AU153" s="1210"/>
      <c r="AV153" s="1210"/>
      <c r="AW153" s="1210"/>
      <c r="AX153" s="1209"/>
      <c r="AY153" s="1209"/>
      <c r="AZ153" s="1209"/>
      <c r="BA153" s="1209"/>
      <c r="BB153" s="1209"/>
      <c r="BC153" s="1209"/>
      <c r="BD153" s="1209"/>
      <c r="BE153" s="1209"/>
      <c r="BF153" s="1209"/>
      <c r="BG153" s="1209"/>
      <c r="BH153" s="1209"/>
      <c r="BI153" s="1211"/>
      <c r="BJ153" s="1212"/>
    </row>
    <row r="154" spans="1:62">
      <c r="B154" s="1270"/>
      <c r="C154" s="1214"/>
      <c r="D154" s="1214"/>
      <c r="E154" s="1214"/>
      <c r="F154" s="1214"/>
      <c r="G154" s="1214"/>
      <c r="H154" s="1215"/>
      <c r="I154" s="1215"/>
      <c r="J154" s="1215"/>
      <c r="K154" s="1215"/>
      <c r="L154" s="1215"/>
      <c r="M154" s="1215"/>
      <c r="N154" s="1215"/>
      <c r="O154" s="1215"/>
      <c r="P154" s="1215"/>
      <c r="Q154" s="1215"/>
      <c r="R154" s="1215"/>
      <c r="S154" s="1215"/>
      <c r="T154" s="1215"/>
      <c r="U154" s="1215"/>
      <c r="V154" s="1215"/>
      <c r="W154" s="1215"/>
      <c r="X154" s="1215"/>
      <c r="Y154" s="1215"/>
      <c r="Z154" s="1215"/>
      <c r="AA154" s="1215"/>
      <c r="AB154" s="1215"/>
      <c r="AC154" s="1215"/>
      <c r="AD154" s="1215"/>
      <c r="AE154" s="1215"/>
      <c r="AF154" s="1215"/>
      <c r="AG154" s="1215"/>
      <c r="AH154" s="1215"/>
      <c r="AI154" s="1215"/>
      <c r="AJ154" s="1215"/>
      <c r="AK154" s="1215"/>
      <c r="AL154" s="1215"/>
      <c r="AM154" s="1215"/>
      <c r="AN154" s="1215"/>
      <c r="AO154" s="1215"/>
      <c r="AP154" s="1215"/>
      <c r="AQ154" s="1215"/>
      <c r="AR154" s="1215"/>
      <c r="AS154" s="1215"/>
      <c r="AT154" s="1215"/>
      <c r="AU154" s="1215"/>
      <c r="AV154" s="1215"/>
      <c r="AW154" s="1215"/>
      <c r="AX154" s="1214"/>
      <c r="AY154" s="1214"/>
      <c r="AZ154" s="1214"/>
      <c r="BA154" s="1214"/>
      <c r="BB154" s="1214"/>
      <c r="BC154" s="1214"/>
      <c r="BD154" s="1214"/>
      <c r="BE154" s="1214"/>
      <c r="BF154" s="1214"/>
      <c r="BG154" s="1214"/>
      <c r="BH154" s="1214"/>
      <c r="BI154" s="1216"/>
      <c r="BJ154" s="1217"/>
    </row>
    <row r="155" spans="1:62" ht="15.75">
      <c r="B155" s="2615"/>
      <c r="C155" s="1218" t="s">
        <v>1165</v>
      </c>
      <c r="D155" s="1214"/>
      <c r="E155" s="1214"/>
      <c r="F155" s="1214"/>
      <c r="G155" s="1214"/>
      <c r="H155" s="1215"/>
      <c r="I155" s="1215"/>
      <c r="J155" s="1215"/>
      <c r="K155" s="1215"/>
      <c r="L155" s="1215"/>
      <c r="M155" s="1215"/>
      <c r="N155" s="1215"/>
      <c r="O155" s="1215"/>
      <c r="P155" s="1215"/>
      <c r="Q155" s="1215"/>
      <c r="R155" s="1215"/>
      <c r="S155" s="1215"/>
      <c r="T155" s="1215"/>
      <c r="U155" s="1215"/>
      <c r="V155" s="1215"/>
      <c r="W155" s="1215"/>
      <c r="X155" s="1215"/>
      <c r="Y155" s="1215"/>
      <c r="Z155" s="1215"/>
      <c r="AA155" s="1215"/>
      <c r="AB155" s="1215"/>
      <c r="AC155" s="1215"/>
      <c r="AD155" s="1215"/>
      <c r="AE155" s="1215"/>
      <c r="AF155" s="1215"/>
      <c r="AG155" s="1215"/>
      <c r="AH155" s="1215"/>
      <c r="AI155" s="1215"/>
      <c r="AJ155" s="1215"/>
      <c r="AK155" s="1215"/>
      <c r="AL155" s="1215"/>
      <c r="AM155" s="1215"/>
      <c r="AN155" s="1215"/>
      <c r="AO155" s="1215"/>
      <c r="AP155" s="1215"/>
      <c r="AQ155" s="1215"/>
      <c r="AR155" s="1215"/>
      <c r="AS155" s="1215"/>
      <c r="AT155" s="1215"/>
      <c r="AU155" s="1215"/>
      <c r="AV155" s="1215"/>
      <c r="AW155" s="1215"/>
      <c r="AX155" s="1214"/>
      <c r="AY155" s="1214"/>
      <c r="AZ155" s="1214"/>
      <c r="BA155" s="1214"/>
      <c r="BB155" s="1214"/>
      <c r="BC155" s="1214"/>
      <c r="BD155" s="1214"/>
      <c r="BE155" s="1214"/>
      <c r="BF155" s="1214"/>
      <c r="BG155" s="1214"/>
      <c r="BH155" s="1214"/>
      <c r="BI155" s="1216"/>
      <c r="BJ155" s="1217"/>
    </row>
    <row r="156" spans="1:62" ht="15.75">
      <c r="B156" s="1213"/>
      <c r="C156" s="1214"/>
      <c r="D156" s="1220" t="s">
        <v>337</v>
      </c>
      <c r="E156" s="1214"/>
      <c r="F156" s="1214" t="s">
        <v>1166</v>
      </c>
      <c r="G156" s="1214"/>
      <c r="H156" s="1215"/>
      <c r="I156" s="1215"/>
      <c r="J156" s="1215"/>
      <c r="K156" s="1215"/>
      <c r="L156" s="1215"/>
      <c r="M156" s="1215"/>
      <c r="N156" s="1215"/>
      <c r="O156" s="1215"/>
      <c r="P156" s="1215"/>
      <c r="Q156" s="1215"/>
      <c r="R156" s="1215"/>
      <c r="S156" s="1215"/>
      <c r="T156" s="1215"/>
      <c r="U156" s="1215"/>
      <c r="V156" s="1215"/>
      <c r="W156" s="1215"/>
      <c r="X156" s="1215"/>
      <c r="Y156" s="1215"/>
      <c r="Z156" s="1215"/>
      <c r="AA156" s="1215"/>
      <c r="AB156" s="1215"/>
      <c r="AC156" s="1215"/>
      <c r="AD156" s="1215"/>
      <c r="AE156" s="1215"/>
      <c r="AF156" s="1215"/>
      <c r="AG156" s="1215"/>
      <c r="AH156" s="1215"/>
      <c r="AI156" s="1215"/>
      <c r="AJ156" s="1215"/>
      <c r="AK156" s="1215"/>
      <c r="AL156" s="1215"/>
      <c r="AM156" s="1215"/>
      <c r="AN156" s="1215"/>
      <c r="AO156" s="1215"/>
      <c r="AP156" s="1215"/>
      <c r="AQ156" s="1215"/>
      <c r="AR156" s="1215"/>
      <c r="AS156" s="1215"/>
      <c r="AT156" s="1215"/>
      <c r="AU156" s="1215"/>
      <c r="AV156" s="1215"/>
      <c r="AW156" s="1215"/>
      <c r="AX156" s="1214"/>
      <c r="AY156" s="2405">
        <v>2007</v>
      </c>
      <c r="AZ156" s="2405"/>
      <c r="BA156" s="2405">
        <f>AY156+5</f>
        <v>2012</v>
      </c>
      <c r="BB156" s="2405">
        <f t="shared" ref="BB156:BI156" si="54">BA156+5</f>
        <v>2017</v>
      </c>
      <c r="BC156" s="2405">
        <f t="shared" si="54"/>
        <v>2022</v>
      </c>
      <c r="BD156" s="2405">
        <f t="shared" si="54"/>
        <v>2027</v>
      </c>
      <c r="BE156" s="2405">
        <f t="shared" si="54"/>
        <v>2032</v>
      </c>
      <c r="BF156" s="2405">
        <f t="shared" si="54"/>
        <v>2037</v>
      </c>
      <c r="BG156" s="2405">
        <f t="shared" si="54"/>
        <v>2042</v>
      </c>
      <c r="BH156" s="2405">
        <f t="shared" si="54"/>
        <v>2047</v>
      </c>
      <c r="BI156" s="2405">
        <f t="shared" si="54"/>
        <v>2052</v>
      </c>
      <c r="BJ156" s="1217"/>
    </row>
    <row r="157" spans="1:62" s="410" customFormat="1" ht="15.75">
      <c r="B157" s="1213"/>
      <c r="C157" s="1222" t="s">
        <v>359</v>
      </c>
      <c r="D157" s="1223" t="str">
        <f>INDEX(IPCC[Sector_description], MATCH($C157, IPCC[Sector_code], 0))</f>
        <v>Fuel Combustion</v>
      </c>
      <c r="E157" s="1214"/>
      <c r="F157" s="1224"/>
      <c r="G157" s="1224"/>
      <c r="H157" s="1225"/>
      <c r="I157" s="1225"/>
      <c r="J157" s="1225"/>
      <c r="K157" s="1225"/>
      <c r="L157" s="1225"/>
      <c r="M157" s="1225"/>
      <c r="N157" s="1225"/>
      <c r="O157" s="1225"/>
      <c r="P157" s="1225"/>
      <c r="Q157" s="1225"/>
      <c r="R157" s="1225"/>
      <c r="S157" s="1225"/>
      <c r="T157" s="1225"/>
      <c r="U157" s="1225"/>
      <c r="V157" s="1225"/>
      <c r="W157" s="1225"/>
      <c r="X157" s="1225"/>
      <c r="Y157" s="1225"/>
      <c r="Z157" s="1225"/>
      <c r="AA157" s="1225"/>
      <c r="AB157" s="1225"/>
      <c r="AC157" s="1225"/>
      <c r="AD157" s="1225"/>
      <c r="AE157" s="1225"/>
      <c r="AF157" s="1225"/>
      <c r="AG157" s="1225"/>
      <c r="AH157" s="1225"/>
      <c r="AI157" s="1225"/>
      <c r="AJ157" s="1225"/>
      <c r="AK157" s="1225"/>
      <c r="AL157" s="1225"/>
      <c r="AM157" s="1225"/>
      <c r="AN157" s="1225"/>
      <c r="AO157" s="1225"/>
      <c r="AP157" s="1225"/>
      <c r="AQ157" s="1225"/>
      <c r="AR157" s="1225"/>
      <c r="AS157" s="1225"/>
      <c r="AT157" s="1225"/>
      <c r="AU157" s="1225"/>
      <c r="AV157" s="1225"/>
      <c r="AW157" s="1225"/>
      <c r="AX157" s="1226"/>
      <c r="AY157" s="1224"/>
      <c r="AZ157" s="1224"/>
      <c r="BA157" s="1224"/>
      <c r="BB157" s="1224"/>
      <c r="BC157" s="1224"/>
      <c r="BD157" s="1224"/>
      <c r="BE157" s="1224"/>
      <c r="BF157" s="1224"/>
      <c r="BG157" s="1224"/>
      <c r="BH157" s="1224"/>
      <c r="BI157" s="1224"/>
      <c r="BJ157" s="1227"/>
    </row>
    <row r="158" spans="1:62" s="410" customFormat="1">
      <c r="B158" s="1219"/>
      <c r="C158" s="1222" t="s">
        <v>358</v>
      </c>
      <c r="D158" s="1223" t="str">
        <f>INDEX(IPCC[Sector_description], MATCH($C158, IPCC[Sector_code], 0))</f>
        <v>Fugitive Emissions from Fuels</v>
      </c>
      <c r="E158" s="1214"/>
      <c r="F158" s="1224"/>
      <c r="G158" s="1224"/>
      <c r="H158" s="1225"/>
      <c r="I158" s="1225"/>
      <c r="J158" s="1225"/>
      <c r="K158" s="1225"/>
      <c r="L158" s="1225"/>
      <c r="M158" s="1225"/>
      <c r="N158" s="1225"/>
      <c r="O158" s="1225"/>
      <c r="P158" s="1225"/>
      <c r="Q158" s="1225"/>
      <c r="R158" s="1225"/>
      <c r="S158" s="1225"/>
      <c r="T158" s="1225"/>
      <c r="U158" s="1225"/>
      <c r="V158" s="1225"/>
      <c r="W158" s="1225"/>
      <c r="X158" s="1225"/>
      <c r="Y158" s="1225"/>
      <c r="Z158" s="1225"/>
      <c r="AA158" s="1225"/>
      <c r="AB158" s="1225"/>
      <c r="AC158" s="1225"/>
      <c r="AD158" s="1225"/>
      <c r="AE158" s="1225"/>
      <c r="AF158" s="1225"/>
      <c r="AG158" s="1225"/>
      <c r="AH158" s="1225"/>
      <c r="AI158" s="1225"/>
      <c r="AJ158" s="1225"/>
      <c r="AK158" s="1225"/>
      <c r="AL158" s="1225"/>
      <c r="AM158" s="1225"/>
      <c r="AN158" s="1225"/>
      <c r="AO158" s="1225"/>
      <c r="AP158" s="1225"/>
      <c r="AQ158" s="1225"/>
      <c r="AR158" s="1225"/>
      <c r="AS158" s="1225"/>
      <c r="AT158" s="1225"/>
      <c r="AU158" s="1225"/>
      <c r="AV158" s="1225"/>
      <c r="AW158" s="1225"/>
      <c r="AX158" s="1226"/>
      <c r="AY158" s="1224"/>
      <c r="AZ158" s="1224"/>
      <c r="BA158" s="1224"/>
      <c r="BB158" s="1224"/>
      <c r="BC158" s="1224"/>
      <c r="BD158" s="1224"/>
      <c r="BE158" s="1224"/>
      <c r="BF158" s="1224"/>
      <c r="BG158" s="1224"/>
      <c r="BH158" s="1224"/>
      <c r="BI158" s="1224"/>
      <c r="BJ158" s="1227"/>
    </row>
    <row r="159" spans="1:62">
      <c r="B159" s="1221"/>
      <c r="C159" s="1216">
        <v>1</v>
      </c>
      <c r="D159" s="1214" t="s">
        <v>338</v>
      </c>
      <c r="E159" s="1214"/>
      <c r="F159" s="1228"/>
      <c r="G159" s="1228"/>
      <c r="H159" s="1229"/>
      <c r="I159" s="1229"/>
      <c r="J159" s="1229"/>
      <c r="K159" s="1229"/>
      <c r="L159" s="1229"/>
      <c r="M159" s="1229"/>
      <c r="N159" s="1229"/>
      <c r="O159" s="1229"/>
      <c r="P159" s="1229"/>
      <c r="Q159" s="1229"/>
      <c r="R159" s="1229"/>
      <c r="S159" s="1229"/>
      <c r="T159" s="1229"/>
      <c r="U159" s="1229"/>
      <c r="V159" s="1229"/>
      <c r="W159" s="1229"/>
      <c r="X159" s="1229"/>
      <c r="Y159" s="1229"/>
      <c r="Z159" s="1229"/>
      <c r="AA159" s="1229"/>
      <c r="AB159" s="1229">
        <v>0.78066850625951545</v>
      </c>
      <c r="AC159" s="1229">
        <v>0.79303032723652089</v>
      </c>
      <c r="AD159" s="1229">
        <v>0.77229474496121564</v>
      </c>
      <c r="AE159" s="1229">
        <v>0.75219303835350082</v>
      </c>
      <c r="AF159" s="1229">
        <v>0.73578695789033777</v>
      </c>
      <c r="AG159" s="1229">
        <v>0.72618905012488555</v>
      </c>
      <c r="AH159" s="1229">
        <v>0.75184873958975085</v>
      </c>
      <c r="AI159" s="1229">
        <v>0.7201784237664568</v>
      </c>
      <c r="AJ159" s="1229">
        <v>0.72246178516056581</v>
      </c>
      <c r="AK159" s="1229">
        <v>0.70814678962938948</v>
      </c>
      <c r="AL159" s="1229">
        <v>0.71655214236841402</v>
      </c>
      <c r="AM159" s="1229">
        <v>0.73278215409989189</v>
      </c>
      <c r="AN159" s="1229">
        <v>0.71153756146931657</v>
      </c>
      <c r="AO159" s="1229">
        <v>0.71934758940799959</v>
      </c>
      <c r="AP159" s="1229">
        <v>0.7205408426019051</v>
      </c>
      <c r="AQ159" s="1229">
        <v>0.71432030961912574</v>
      </c>
      <c r="AR159" s="1229">
        <v>0.71223664220202376</v>
      </c>
      <c r="AS159" s="1229">
        <v>0.70043942142568083</v>
      </c>
      <c r="AT159" s="1229">
        <v>0.68490768791088796</v>
      </c>
      <c r="AU159" s="1229">
        <v>0.6244815767662123</v>
      </c>
      <c r="AV159" s="1229">
        <v>0.64593798340147146</v>
      </c>
      <c r="AW159" s="1229" t="s">
        <v>1167</v>
      </c>
      <c r="AX159" s="1230"/>
      <c r="AY159" s="1228"/>
      <c r="AZ159" s="1228"/>
      <c r="BA159" s="1228"/>
      <c r="BB159" s="1228"/>
      <c r="BC159" s="1228"/>
      <c r="BD159" s="1228"/>
      <c r="BE159" s="1228"/>
      <c r="BF159" s="1228"/>
      <c r="BG159" s="1228"/>
      <c r="BH159" s="1228"/>
      <c r="BI159" s="1228"/>
      <c r="BJ159" s="1217"/>
    </row>
    <row r="160" spans="1:62">
      <c r="B160" s="1221"/>
      <c r="C160" s="1216">
        <v>2</v>
      </c>
      <c r="D160" s="1223" t="str">
        <f>INDEX(IPCC[Sector_description], MATCH($C160, IPCC[Sector_code], 0))</f>
        <v>Industrial Processes</v>
      </c>
      <c r="E160" s="1214"/>
      <c r="F160" s="1228"/>
      <c r="G160" s="1228"/>
      <c r="H160" s="1229"/>
      <c r="I160" s="1229"/>
      <c r="J160" s="1229"/>
      <c r="K160" s="1229"/>
      <c r="L160" s="1229"/>
      <c r="M160" s="1229"/>
      <c r="N160" s="1229"/>
      <c r="O160" s="1229"/>
      <c r="P160" s="1229"/>
      <c r="Q160" s="1229"/>
      <c r="R160" s="1229"/>
      <c r="S160" s="1229"/>
      <c r="T160" s="1229"/>
      <c r="U160" s="1229"/>
      <c r="V160" s="1229"/>
      <c r="W160" s="1229"/>
      <c r="X160" s="1229"/>
      <c r="Y160" s="1229"/>
      <c r="Z160" s="1229"/>
      <c r="AA160" s="1229"/>
      <c r="AB160" s="1229">
        <v>6.9343482807534051E-2</v>
      </c>
      <c r="AC160" s="1229">
        <v>6.7201527667633432E-2</v>
      </c>
      <c r="AD160" s="1229">
        <v>6.0308740452555097E-2</v>
      </c>
      <c r="AE160" s="1229">
        <v>5.6069512654103593E-2</v>
      </c>
      <c r="AF160" s="1229">
        <v>5.9165018025826376E-2</v>
      </c>
      <c r="AG160" s="1229">
        <v>5.9469343411300474E-2</v>
      </c>
      <c r="AH160" s="1229">
        <v>6.1733706747177049E-2</v>
      </c>
      <c r="AI160" s="1229">
        <v>6.4683540079197119E-2</v>
      </c>
      <c r="AJ160" s="1229">
        <v>6.2693305864124527E-2</v>
      </c>
      <c r="AK160" s="1229">
        <v>4.1484572634347024E-2</v>
      </c>
      <c r="AL160" s="1229">
        <v>4.0566075608118368E-2</v>
      </c>
      <c r="AM160" s="1229">
        <v>3.8537288721952778E-2</v>
      </c>
      <c r="AN160" s="1229">
        <v>3.6084162089292063E-2</v>
      </c>
      <c r="AO160" s="1229">
        <v>3.8452603774106871E-2</v>
      </c>
      <c r="AP160" s="1229">
        <v>3.8792365320695729E-2</v>
      </c>
      <c r="AQ160" s="1229">
        <v>3.9211455411346581E-2</v>
      </c>
      <c r="AR160" s="1229">
        <v>3.8325588591845497E-2</v>
      </c>
      <c r="AS160" s="1229">
        <v>4.0488700222144139E-2</v>
      </c>
      <c r="AT160" s="1229">
        <v>3.944535219725577E-2</v>
      </c>
      <c r="AU160" s="1229">
        <v>3.2628142935156007E-2</v>
      </c>
      <c r="AV160" s="1229">
        <v>3.4335202352544399E-2</v>
      </c>
      <c r="AW160" s="1229" t="s">
        <v>1167</v>
      </c>
      <c r="AX160" s="1230"/>
      <c r="AY160" s="1228"/>
      <c r="AZ160" s="1228"/>
      <c r="BA160" s="1228"/>
      <c r="BB160" s="1228"/>
      <c r="BC160" s="1228"/>
      <c r="BD160" s="1228"/>
      <c r="BE160" s="1228"/>
      <c r="BF160" s="1228"/>
      <c r="BG160" s="1228"/>
      <c r="BH160" s="1228"/>
      <c r="BI160" s="1228"/>
      <c r="BJ160" s="1217"/>
    </row>
    <row r="161" spans="2:63">
      <c r="B161" s="1219"/>
      <c r="C161" s="1216">
        <v>3</v>
      </c>
      <c r="D161" s="1223" t="str">
        <f>INDEX(IPCC[Sector_description], MATCH($C161, IPCC[Sector_code], 0))</f>
        <v>Solvent and Other Product Use</v>
      </c>
      <c r="E161" s="1214"/>
      <c r="F161" s="1228"/>
      <c r="G161" s="1228"/>
      <c r="H161" s="1229"/>
      <c r="I161" s="1229"/>
      <c r="J161" s="1229"/>
      <c r="K161" s="1229"/>
      <c r="L161" s="1229"/>
      <c r="M161" s="1229"/>
      <c r="N161" s="1229"/>
      <c r="O161" s="1229"/>
      <c r="P161" s="1229"/>
      <c r="Q161" s="1229"/>
      <c r="R161" s="1229"/>
      <c r="S161" s="1229"/>
      <c r="T161" s="1229"/>
      <c r="U161" s="1229"/>
      <c r="V161" s="1229"/>
      <c r="W161" s="1229"/>
      <c r="X161" s="1229"/>
      <c r="Y161" s="1229"/>
      <c r="Z161" s="1229"/>
      <c r="AA161" s="1229"/>
      <c r="AB161" s="1229">
        <v>0</v>
      </c>
      <c r="AC161" s="1229">
        <v>0</v>
      </c>
      <c r="AD161" s="1229">
        <v>0</v>
      </c>
      <c r="AE161" s="1229">
        <v>0</v>
      </c>
      <c r="AF161" s="1229">
        <v>0</v>
      </c>
      <c r="AG161" s="1229">
        <v>0</v>
      </c>
      <c r="AH161" s="1229">
        <v>0</v>
      </c>
      <c r="AI161" s="1229">
        <v>0</v>
      </c>
      <c r="AJ161" s="1229">
        <v>0</v>
      </c>
      <c r="AK161" s="1229">
        <v>0</v>
      </c>
      <c r="AL161" s="1229">
        <v>0</v>
      </c>
      <c r="AM161" s="1229">
        <v>0</v>
      </c>
      <c r="AN161" s="1229">
        <v>0</v>
      </c>
      <c r="AO161" s="1229">
        <v>0</v>
      </c>
      <c r="AP161" s="1229">
        <v>0</v>
      </c>
      <c r="AQ161" s="1229">
        <v>0</v>
      </c>
      <c r="AR161" s="1229">
        <v>0</v>
      </c>
      <c r="AS161" s="1229">
        <v>0</v>
      </c>
      <c r="AT161" s="1229">
        <v>0</v>
      </c>
      <c r="AU161" s="1229">
        <v>0</v>
      </c>
      <c r="AV161" s="1229">
        <v>0</v>
      </c>
      <c r="AW161" s="1229" t="s">
        <v>1167</v>
      </c>
      <c r="AX161" s="1230"/>
      <c r="AY161" s="1228"/>
      <c r="AZ161" s="1228"/>
      <c r="BA161" s="1228"/>
      <c r="BB161" s="1228"/>
      <c r="BC161" s="1228"/>
      <c r="BD161" s="1228"/>
      <c r="BE161" s="1228"/>
      <c r="BF161" s="1228"/>
      <c r="BG161" s="1228"/>
      <c r="BH161" s="1228"/>
      <c r="BI161" s="1228"/>
      <c r="BJ161" s="1217"/>
    </row>
    <row r="162" spans="2:63">
      <c r="B162" s="1219"/>
      <c r="C162" s="1216">
        <v>4</v>
      </c>
      <c r="D162" s="1223" t="str">
        <f>INDEX(IPCC[Sector_description], MATCH($C162, IPCC[Sector_code], 0))</f>
        <v>Agriculture</v>
      </c>
      <c r="E162" s="1214"/>
      <c r="F162" s="1228"/>
      <c r="G162" s="1228"/>
      <c r="H162" s="1229"/>
      <c r="I162" s="1229"/>
      <c r="J162" s="1229"/>
      <c r="K162" s="1229"/>
      <c r="L162" s="1229"/>
      <c r="M162" s="1229"/>
      <c r="N162" s="1229"/>
      <c r="O162" s="1229"/>
      <c r="P162" s="1229"/>
      <c r="Q162" s="1229"/>
      <c r="R162" s="1229"/>
      <c r="S162" s="1229"/>
      <c r="T162" s="1229"/>
      <c r="U162" s="1229"/>
      <c r="V162" s="1229"/>
      <c r="W162" s="1229"/>
      <c r="X162" s="1229"/>
      <c r="Y162" s="1229"/>
      <c r="Z162" s="1229"/>
      <c r="AA162" s="1229"/>
      <c r="AB162" s="1229">
        <v>7.3637270562884535E-2</v>
      </c>
      <c r="AC162" s="1229">
        <v>7.3310664211066273E-2</v>
      </c>
      <c r="AD162" s="1229">
        <v>7.307789942306385E-2</v>
      </c>
      <c r="AE162" s="1229">
        <v>7.2162383125488991E-2</v>
      </c>
      <c r="AF162" s="1229">
        <v>7.233251461154927E-2</v>
      </c>
      <c r="AG162" s="1229">
        <v>7.1795116577178519E-2</v>
      </c>
      <c r="AH162" s="1229">
        <v>7.2276188394337998E-2</v>
      </c>
      <c r="AI162" s="1229">
        <v>7.1970485076200019E-2</v>
      </c>
      <c r="AJ162" s="1229">
        <v>7.1155859245786351E-2</v>
      </c>
      <c r="AK162" s="1229">
        <v>7.0293139708563074E-2</v>
      </c>
      <c r="AL162" s="1229">
        <v>6.7735970284910393E-2</v>
      </c>
      <c r="AM162" s="1229">
        <v>6.4151762853967925E-2</v>
      </c>
      <c r="AN162" s="1229">
        <v>6.4131985916650897E-2</v>
      </c>
      <c r="AO162" s="1229">
        <v>6.3578035995833143E-2</v>
      </c>
      <c r="AP162" s="1229">
        <v>6.3918783074347479E-2</v>
      </c>
      <c r="AQ162" s="1229">
        <v>6.4293092796044213E-2</v>
      </c>
      <c r="AR162" s="1229">
        <v>6.2203930708138899E-2</v>
      </c>
      <c r="AS162" s="1229">
        <v>6.0375061599688654E-2</v>
      </c>
      <c r="AT162" s="1229">
        <v>5.9536708630004403E-2</v>
      </c>
      <c r="AU162" s="1229">
        <v>5.8662754522045092E-2</v>
      </c>
      <c r="AV162" s="1229">
        <v>5.9166189388632114E-2</v>
      </c>
      <c r="AW162" s="1229" t="s">
        <v>1167</v>
      </c>
      <c r="AX162" s="1230"/>
      <c r="AY162" s="1228"/>
      <c r="AZ162" s="1228"/>
      <c r="BA162" s="1228"/>
      <c r="BB162" s="1228"/>
      <c r="BC162" s="1228"/>
      <c r="BD162" s="1228"/>
      <c r="BE162" s="1228"/>
      <c r="BF162" s="1228"/>
      <c r="BG162" s="1228"/>
      <c r="BH162" s="1228"/>
      <c r="BI162" s="1228"/>
      <c r="BJ162" s="1217"/>
    </row>
    <row r="163" spans="2:63">
      <c r="B163" s="1219"/>
      <c r="C163" s="1216">
        <v>5</v>
      </c>
      <c r="D163" s="1223" t="str">
        <f>INDEX(IPCC[Sector_description], MATCH($C163, IPCC[Sector_code], 0))</f>
        <v>Land Use, Land-Use Change and Forestry</v>
      </c>
      <c r="E163" s="1214"/>
      <c r="F163" s="1228"/>
      <c r="G163" s="1228"/>
      <c r="H163" s="1229"/>
      <c r="I163" s="1229"/>
      <c r="J163" s="1229"/>
      <c r="K163" s="1229"/>
      <c r="L163" s="1229"/>
      <c r="M163" s="1229"/>
      <c r="N163" s="1229"/>
      <c r="O163" s="1229"/>
      <c r="P163" s="1229"/>
      <c r="Q163" s="1229"/>
      <c r="R163" s="1229"/>
      <c r="S163" s="1229"/>
      <c r="T163" s="1229"/>
      <c r="U163" s="1229"/>
      <c r="V163" s="1229"/>
      <c r="W163" s="1229"/>
      <c r="X163" s="1229"/>
      <c r="Y163" s="1229"/>
      <c r="Z163" s="1229"/>
      <c r="AA163" s="1229"/>
      <c r="AB163" s="1229">
        <v>4.985445821672126E-3</v>
      </c>
      <c r="AC163" s="1229">
        <v>4.9541876781181602E-3</v>
      </c>
      <c r="AD163" s="1229">
        <v>4.2814993614007906E-3</v>
      </c>
      <c r="AE163" s="1229">
        <v>2.85139785334176E-3</v>
      </c>
      <c r="AF163" s="1229">
        <v>2.6295050724475699E-3</v>
      </c>
      <c r="AG163" s="1229">
        <v>3.1573278825746112E-3</v>
      </c>
      <c r="AH163" s="1229">
        <v>2.7934494919249478E-3</v>
      </c>
      <c r="AI163" s="1229">
        <v>2.4588709035687681E-3</v>
      </c>
      <c r="AJ163" s="1229">
        <v>1.5886960591720714E-3</v>
      </c>
      <c r="AK163" s="1229">
        <v>1.3600700980916927E-3</v>
      </c>
      <c r="AL163" s="1229">
        <v>4.8312545719096401E-4</v>
      </c>
      <c r="AM163" s="1229">
        <v>-1.4623827590729024E-4</v>
      </c>
      <c r="AN163" s="1229">
        <v>-1.1968507170436733E-3</v>
      </c>
      <c r="AO163" s="1229">
        <v>-1.6478975384083344E-3</v>
      </c>
      <c r="AP163" s="1229">
        <v>-3.0195909710430914E-3</v>
      </c>
      <c r="AQ163" s="1229">
        <v>-3.7712994763044764E-3</v>
      </c>
      <c r="AR163" s="1229">
        <v>-3.9659912657932167E-3</v>
      </c>
      <c r="AS163" s="1229">
        <v>-4.461209073727321E-3</v>
      </c>
      <c r="AT163" s="1229">
        <v>-4.9719007114346772E-3</v>
      </c>
      <c r="AU163" s="1229">
        <v>-5.3886085866594515E-3</v>
      </c>
      <c r="AV163" s="1229">
        <v>-4.9206320533610234E-3</v>
      </c>
      <c r="AW163" s="1229" t="s">
        <v>1167</v>
      </c>
      <c r="AX163" s="1230"/>
      <c r="AY163" s="1228"/>
      <c r="AZ163" s="1228"/>
      <c r="BA163" s="1228"/>
      <c r="BB163" s="1228"/>
      <c r="BC163" s="1228"/>
      <c r="BD163" s="1228"/>
      <c r="BE163" s="1228"/>
      <c r="BF163" s="1228"/>
      <c r="BG163" s="1228"/>
      <c r="BH163" s="1228"/>
      <c r="BI163" s="1228"/>
      <c r="BJ163" s="1217"/>
    </row>
    <row r="164" spans="2:63">
      <c r="B164" s="1219"/>
      <c r="C164" s="1216">
        <v>6</v>
      </c>
      <c r="D164" s="1223" t="str">
        <f>INDEX(IPCC[Sector_description], MATCH($C164, IPCC[Sector_code], 0))</f>
        <v>Waste</v>
      </c>
      <c r="E164" s="1214"/>
      <c r="F164" s="1228"/>
      <c r="G164" s="1228"/>
      <c r="H164" s="1229"/>
      <c r="I164" s="1229"/>
      <c r="J164" s="1229"/>
      <c r="K164" s="1229"/>
      <c r="L164" s="1229"/>
      <c r="M164" s="1229"/>
      <c r="N164" s="1229"/>
      <c r="O164" s="1229"/>
      <c r="P164" s="1229"/>
      <c r="Q164" s="1229"/>
      <c r="R164" s="1229"/>
      <c r="S164" s="1229"/>
      <c r="T164" s="1229"/>
      <c r="U164" s="1229"/>
      <c r="V164" s="1229"/>
      <c r="W164" s="1229"/>
      <c r="X164" s="1229"/>
      <c r="Y164" s="1229"/>
      <c r="Z164" s="1229"/>
      <c r="AA164" s="1229"/>
      <c r="AB164" s="1229">
        <v>5.891518004264519E-2</v>
      </c>
      <c r="AC164" s="1229">
        <v>5.7763754767127445E-2</v>
      </c>
      <c r="AD164" s="1229">
        <v>5.6093917262205951E-2</v>
      </c>
      <c r="AE164" s="1229">
        <v>5.429662701085268E-2</v>
      </c>
      <c r="AF164" s="1229">
        <v>5.2729999456029013E-2</v>
      </c>
      <c r="AG164" s="1229">
        <v>5.1327979005276206E-2</v>
      </c>
      <c r="AH164" s="1229">
        <v>5.0001887923747032E-2</v>
      </c>
      <c r="AI164" s="1229">
        <v>4.6033251120786184E-2</v>
      </c>
      <c r="AJ164" s="1229">
        <v>4.3417900556837259E-2</v>
      </c>
      <c r="AK164" s="1229">
        <v>3.9925678294356753E-2</v>
      </c>
      <c r="AL164" s="1229">
        <v>3.7678753821267202E-2</v>
      </c>
      <c r="AM164" s="1229">
        <v>3.3296983857234307E-2</v>
      </c>
      <c r="AN164" s="1229">
        <v>3.0624818715528856E-2</v>
      </c>
      <c r="AO164" s="1229">
        <v>2.6967867591497052E-2</v>
      </c>
      <c r="AP164" s="1229">
        <v>2.5021247166119889E-2</v>
      </c>
      <c r="AQ164" s="1229">
        <v>2.4379250511532797E-2</v>
      </c>
      <c r="AR164" s="1229">
        <v>2.3871769558427309E-2</v>
      </c>
      <c r="AS164" s="1229">
        <v>2.3398858470177794E-2</v>
      </c>
      <c r="AT164" s="1229">
        <v>2.2682335876657248E-2</v>
      </c>
      <c r="AU164" s="1229">
        <v>2.2024503390587171E-2</v>
      </c>
      <c r="AV164" s="1229">
        <v>2.1273529298134919E-2</v>
      </c>
      <c r="AW164" s="1229" t="s">
        <v>1167</v>
      </c>
      <c r="AX164" s="1230"/>
      <c r="AY164" s="1228"/>
      <c r="AZ164" s="1228"/>
      <c r="BA164" s="1228"/>
      <c r="BB164" s="1228"/>
      <c r="BC164" s="1228"/>
      <c r="BD164" s="1228"/>
      <c r="BE164" s="1228"/>
      <c r="BF164" s="1228"/>
      <c r="BG164" s="1228"/>
      <c r="BH164" s="1228"/>
      <c r="BI164" s="1228"/>
      <c r="BJ164" s="1217"/>
    </row>
    <row r="165" spans="2:63">
      <c r="B165" s="1219"/>
      <c r="C165" s="1216">
        <v>7</v>
      </c>
      <c r="D165" s="1223" t="str">
        <f>INDEX(IPCC[Sector_description], MATCH($C165, IPCC[Sector_code], 0))</f>
        <v>Other</v>
      </c>
      <c r="E165" s="1214"/>
      <c r="F165" s="1228"/>
      <c r="G165" s="1228"/>
      <c r="H165" s="1229"/>
      <c r="I165" s="1229"/>
      <c r="J165" s="1229"/>
      <c r="K165" s="1229"/>
      <c r="L165" s="1229"/>
      <c r="M165" s="1229"/>
      <c r="N165" s="1229"/>
      <c r="O165" s="1229"/>
      <c r="P165" s="1229"/>
      <c r="Q165" s="1229"/>
      <c r="R165" s="1229"/>
      <c r="S165" s="1229"/>
      <c r="T165" s="1229"/>
      <c r="U165" s="1229"/>
      <c r="V165" s="1229"/>
      <c r="W165" s="1229"/>
      <c r="X165" s="1229"/>
      <c r="Y165" s="1229"/>
      <c r="Z165" s="1229"/>
      <c r="AA165" s="1229"/>
      <c r="AB165" s="1229">
        <v>0</v>
      </c>
      <c r="AC165" s="1229">
        <v>0</v>
      </c>
      <c r="AD165" s="1229">
        <v>0</v>
      </c>
      <c r="AE165" s="1229">
        <v>0</v>
      </c>
      <c r="AF165" s="1229">
        <v>0</v>
      </c>
      <c r="AG165" s="1229">
        <v>0</v>
      </c>
      <c r="AH165" s="1229">
        <v>0</v>
      </c>
      <c r="AI165" s="1229">
        <v>0</v>
      </c>
      <c r="AJ165" s="1229">
        <v>0</v>
      </c>
      <c r="AK165" s="1229">
        <v>0</v>
      </c>
      <c r="AL165" s="1229">
        <v>0</v>
      </c>
      <c r="AM165" s="1229">
        <v>0</v>
      </c>
      <c r="AN165" s="1229">
        <v>0</v>
      </c>
      <c r="AO165" s="1229">
        <v>0</v>
      </c>
      <c r="AP165" s="1229">
        <v>0</v>
      </c>
      <c r="AQ165" s="1229">
        <v>0</v>
      </c>
      <c r="AR165" s="1229">
        <v>0</v>
      </c>
      <c r="AS165" s="1229">
        <v>0</v>
      </c>
      <c r="AT165" s="1229">
        <v>0</v>
      </c>
      <c r="AU165" s="1229">
        <v>0</v>
      </c>
      <c r="AV165" s="1229">
        <v>0</v>
      </c>
      <c r="AW165" s="1229" t="s">
        <v>1167</v>
      </c>
      <c r="AX165" s="1230"/>
      <c r="AY165" s="1228"/>
      <c r="AZ165" s="1228"/>
      <c r="BA165" s="1228"/>
      <c r="BB165" s="1228"/>
      <c r="BC165" s="1228"/>
      <c r="BD165" s="1228"/>
      <c r="BE165" s="1228"/>
      <c r="BF165" s="1228"/>
      <c r="BG165" s="1228"/>
      <c r="BH165" s="1228"/>
      <c r="BI165" s="1228"/>
      <c r="BJ165" s="1217"/>
    </row>
    <row r="166" spans="2:63">
      <c r="B166" s="1219"/>
      <c r="C166" s="1216" t="s">
        <v>345</v>
      </c>
      <c r="D166" s="1223" t="str">
        <f>INDEX(IPCC[Sector_description], MATCH($C166, IPCC[Sector_code], 0))</f>
        <v>International Aviation and Shipping</v>
      </c>
      <c r="E166" s="1214"/>
      <c r="F166" s="1228"/>
      <c r="G166" s="1228"/>
      <c r="H166" s="1229"/>
      <c r="I166" s="1229"/>
      <c r="J166" s="1229"/>
      <c r="K166" s="1229"/>
      <c r="L166" s="1229"/>
      <c r="M166" s="1229"/>
      <c r="N166" s="1229"/>
      <c r="O166" s="1229"/>
      <c r="P166" s="1229"/>
      <c r="Q166" s="1229"/>
      <c r="R166" s="1229"/>
      <c r="S166" s="1229"/>
      <c r="T166" s="1229"/>
      <c r="U166" s="1229"/>
      <c r="V166" s="1229"/>
      <c r="W166" s="1229"/>
      <c r="X166" s="1229"/>
      <c r="Y166" s="1229"/>
      <c r="Z166" s="1229"/>
      <c r="AA166" s="1229"/>
      <c r="AB166" s="1229">
        <v>3.1737423133451841E-2</v>
      </c>
      <c r="AC166" s="1229">
        <v>3.1401834014604092E-2</v>
      </c>
      <c r="AD166" s="1229">
        <v>3.370064471080534E-2</v>
      </c>
      <c r="AE166" s="1229">
        <v>3.5080277576749426E-2</v>
      </c>
      <c r="AF166" s="1229">
        <v>3.498646073499493E-2</v>
      </c>
      <c r="AG166" s="1229">
        <v>3.6854721398015496E-2</v>
      </c>
      <c r="AH166" s="1229">
        <v>3.9595940090069143E-2</v>
      </c>
      <c r="AI166" s="1229">
        <v>4.2348390762424769E-2</v>
      </c>
      <c r="AJ166" s="1229">
        <v>4.6261057726800003E-2</v>
      </c>
      <c r="AK166" s="1229">
        <v>4.5466986001059882E-2</v>
      </c>
      <c r="AL166" s="1229">
        <v>4.8153620412829522E-2</v>
      </c>
      <c r="AM166" s="1229">
        <v>4.7407544680983751E-2</v>
      </c>
      <c r="AN166" s="1229">
        <v>4.4704417121659366E-2</v>
      </c>
      <c r="AO166" s="1229">
        <v>4.6951156639025673E-2</v>
      </c>
      <c r="AP166" s="1229">
        <v>5.1755999103343713E-2</v>
      </c>
      <c r="AQ166" s="1229">
        <v>5.5831139470604634E-2</v>
      </c>
      <c r="AR166" s="1229">
        <v>5.9483094928962726E-2</v>
      </c>
      <c r="AS166" s="1229">
        <v>5.8669674297053533E-2</v>
      </c>
      <c r="AT166" s="1229">
        <v>5.902984569716286E-2</v>
      </c>
      <c r="AU166" s="1229">
        <v>5.5998995551261657E-2</v>
      </c>
      <c r="AV166" s="1229">
        <v>5.2417268836815141E-2</v>
      </c>
      <c r="AW166" s="1229" t="s">
        <v>1167</v>
      </c>
      <c r="AX166" s="1230"/>
      <c r="AY166" s="1228"/>
      <c r="AZ166" s="1228"/>
      <c r="BA166" s="1228"/>
      <c r="BB166" s="1228"/>
      <c r="BC166" s="1228"/>
      <c r="BD166" s="1228"/>
      <c r="BE166" s="1228"/>
      <c r="BF166" s="1228"/>
      <c r="BG166" s="1228"/>
      <c r="BH166" s="1228"/>
      <c r="BI166" s="1228"/>
      <c r="BJ166" s="1217"/>
    </row>
    <row r="167" spans="2:63" s="410" customFormat="1">
      <c r="B167" s="1219"/>
      <c r="C167" s="1216" t="s">
        <v>346</v>
      </c>
      <c r="D167" s="1223" t="str">
        <f>INDEX(IPCC[Sector_description], MATCH($C167, IPCC[Sector_code], 0))</f>
        <v>Bioenergy credit</v>
      </c>
      <c r="E167" s="1214"/>
      <c r="F167" s="1224"/>
      <c r="G167" s="1224"/>
      <c r="H167" s="1225"/>
      <c r="I167" s="1225"/>
      <c r="J167" s="1225"/>
      <c r="K167" s="1225"/>
      <c r="L167" s="1225"/>
      <c r="M167" s="1225"/>
      <c r="N167" s="1225"/>
      <c r="O167" s="1225"/>
      <c r="P167" s="1225"/>
      <c r="Q167" s="1225"/>
      <c r="R167" s="1225"/>
      <c r="S167" s="1225"/>
      <c r="T167" s="1225"/>
      <c r="U167" s="1225"/>
      <c r="V167" s="1225"/>
      <c r="W167" s="1225"/>
      <c r="X167" s="1225"/>
      <c r="Y167" s="1225"/>
      <c r="Z167" s="1225"/>
      <c r="AA167" s="1225"/>
      <c r="AB167" s="1225">
        <v>0</v>
      </c>
      <c r="AC167" s="1225">
        <v>0</v>
      </c>
      <c r="AD167" s="1225">
        <v>0</v>
      </c>
      <c r="AE167" s="1225">
        <v>0</v>
      </c>
      <c r="AF167" s="1225">
        <v>0</v>
      </c>
      <c r="AG167" s="1225">
        <v>0</v>
      </c>
      <c r="AH167" s="1225">
        <v>0</v>
      </c>
      <c r="AI167" s="1225">
        <v>0</v>
      </c>
      <c r="AJ167" s="1225">
        <v>0</v>
      </c>
      <c r="AK167" s="1225">
        <v>0</v>
      </c>
      <c r="AL167" s="1225">
        <v>0</v>
      </c>
      <c r="AM167" s="1225">
        <v>0</v>
      </c>
      <c r="AN167" s="1225">
        <v>0</v>
      </c>
      <c r="AO167" s="1225">
        <v>0</v>
      </c>
      <c r="AP167" s="1225">
        <v>0</v>
      </c>
      <c r="AQ167" s="1225">
        <v>0</v>
      </c>
      <c r="AR167" s="1225">
        <v>0</v>
      </c>
      <c r="AS167" s="1225">
        <v>0</v>
      </c>
      <c r="AT167" s="1225">
        <v>0</v>
      </c>
      <c r="AU167" s="1225">
        <v>0</v>
      </c>
      <c r="AV167" s="1225">
        <v>0</v>
      </c>
      <c r="AW167" s="1225" t="s">
        <v>1167</v>
      </c>
      <c r="AX167" s="1226"/>
      <c r="AY167" s="1228"/>
      <c r="AZ167" s="1228"/>
      <c r="BA167" s="1228"/>
      <c r="BB167" s="1228"/>
      <c r="BC167" s="1228"/>
      <c r="BD167" s="1228"/>
      <c r="BE167" s="1228"/>
      <c r="BF167" s="1228"/>
      <c r="BG167" s="1228"/>
      <c r="BH167" s="1228"/>
      <c r="BI167" s="1228"/>
      <c r="BJ167" s="1227"/>
    </row>
    <row r="168" spans="2:63">
      <c r="B168" s="1219"/>
      <c r="C168" s="1216" t="s">
        <v>369</v>
      </c>
      <c r="D168" s="1223" t="str">
        <f>INDEX(IPCC[Sector_description], MATCH($C168, IPCC[Sector_code], 0))</f>
        <v>Carbon capture</v>
      </c>
      <c r="E168" s="1214"/>
      <c r="F168" s="1224"/>
      <c r="G168" s="1224"/>
      <c r="H168" s="1225"/>
      <c r="I168" s="1225"/>
      <c r="J168" s="1225"/>
      <c r="K168" s="1225"/>
      <c r="L168" s="1225"/>
      <c r="M168" s="1225"/>
      <c r="N168" s="1225"/>
      <c r="O168" s="1225"/>
      <c r="P168" s="1225"/>
      <c r="Q168" s="1225"/>
      <c r="R168" s="1225"/>
      <c r="S168" s="1225"/>
      <c r="T168" s="1225"/>
      <c r="U168" s="1225"/>
      <c r="V168" s="1225"/>
      <c r="W168" s="1225"/>
      <c r="X168" s="1225"/>
      <c r="Y168" s="1225"/>
      <c r="Z168" s="1225"/>
      <c r="AA168" s="1225"/>
      <c r="AB168" s="1225">
        <v>0</v>
      </c>
      <c r="AC168" s="1225">
        <v>0</v>
      </c>
      <c r="AD168" s="1225">
        <v>0</v>
      </c>
      <c r="AE168" s="1225">
        <v>0</v>
      </c>
      <c r="AF168" s="1225">
        <v>0</v>
      </c>
      <c r="AG168" s="1225">
        <v>0</v>
      </c>
      <c r="AH168" s="1225">
        <v>0</v>
      </c>
      <c r="AI168" s="1225">
        <v>0</v>
      </c>
      <c r="AJ168" s="1225">
        <v>0</v>
      </c>
      <c r="AK168" s="1225">
        <v>0</v>
      </c>
      <c r="AL168" s="1225">
        <v>0</v>
      </c>
      <c r="AM168" s="1225">
        <v>0</v>
      </c>
      <c r="AN168" s="1225">
        <v>0</v>
      </c>
      <c r="AO168" s="1225">
        <v>0</v>
      </c>
      <c r="AP168" s="1225">
        <v>0</v>
      </c>
      <c r="AQ168" s="1225">
        <v>0</v>
      </c>
      <c r="AR168" s="1225">
        <v>0</v>
      </c>
      <c r="AS168" s="1225">
        <v>0</v>
      </c>
      <c r="AT168" s="1225">
        <v>0</v>
      </c>
      <c r="AU168" s="1225">
        <v>0</v>
      </c>
      <c r="AV168" s="1225">
        <v>0</v>
      </c>
      <c r="AW168" s="1225" t="s">
        <v>1167</v>
      </c>
      <c r="AX168" s="1226"/>
      <c r="AY168" s="1228"/>
      <c r="AZ168" s="1228"/>
      <c r="BA168" s="1228"/>
      <c r="BB168" s="1228"/>
      <c r="BC168" s="1228"/>
      <c r="BD168" s="1228"/>
      <c r="BE168" s="1228"/>
      <c r="BF168" s="1228"/>
      <c r="BG168" s="1228"/>
      <c r="BH168" s="1228"/>
      <c r="BI168" s="1228"/>
      <c r="BJ168" s="1217"/>
    </row>
    <row r="169" spans="2:63">
      <c r="B169" s="1221"/>
      <c r="C169" s="1214"/>
      <c r="D169" s="1220" t="s">
        <v>103</v>
      </c>
      <c r="E169" s="1214"/>
      <c r="F169" s="1231"/>
      <c r="G169" s="1231"/>
      <c r="H169" s="1232"/>
      <c r="I169" s="1232"/>
      <c r="J169" s="1232"/>
      <c r="K169" s="1232"/>
      <c r="L169" s="1232"/>
      <c r="M169" s="1232"/>
      <c r="N169" s="1232"/>
      <c r="O169" s="1232"/>
      <c r="P169" s="1232"/>
      <c r="Q169" s="1232"/>
      <c r="R169" s="1232"/>
      <c r="S169" s="1232"/>
      <c r="T169" s="1232"/>
      <c r="U169" s="1232"/>
      <c r="V169" s="1232"/>
      <c r="W169" s="1232"/>
      <c r="X169" s="1232"/>
      <c r="Y169" s="1232"/>
      <c r="Z169" s="1232"/>
      <c r="AA169" s="1232"/>
      <c r="AB169" s="1232">
        <v>1.019287308627703</v>
      </c>
      <c r="AC169" s="1232">
        <v>1.0276622955750703</v>
      </c>
      <c r="AD169" s="1232">
        <v>0.99975744617124662</v>
      </c>
      <c r="AE169" s="1232">
        <v>0.97265323657403735</v>
      </c>
      <c r="AF169" s="1232">
        <v>0.95763045579118489</v>
      </c>
      <c r="AG169" s="1232">
        <v>0.94879353839923086</v>
      </c>
      <c r="AH169" s="1232">
        <v>0.97824991223700708</v>
      </c>
      <c r="AI169" s="1232">
        <v>0.94767296170863369</v>
      </c>
      <c r="AJ169" s="1232">
        <v>0.94757860461328602</v>
      </c>
      <c r="AK169" s="1232">
        <v>0.90667723636580799</v>
      </c>
      <c r="AL169" s="1232">
        <v>0.91116968795273046</v>
      </c>
      <c r="AM169" s="1232">
        <v>0.91602949593812333</v>
      </c>
      <c r="AN169" s="1232">
        <v>0.88588609459540424</v>
      </c>
      <c r="AO169" s="1232">
        <v>0.89364935587005401</v>
      </c>
      <c r="AP169" s="1232">
        <v>0.89700964629536883</v>
      </c>
      <c r="AQ169" s="1232">
        <v>0.89426394833234946</v>
      </c>
      <c r="AR169" s="1232">
        <v>0.89215503472360502</v>
      </c>
      <c r="AS169" s="1232">
        <v>0.87891050694101758</v>
      </c>
      <c r="AT169" s="1232">
        <v>0.86063002960053347</v>
      </c>
      <c r="AU169" s="1232">
        <v>0.78840736457860272</v>
      </c>
      <c r="AV169" s="1232">
        <v>0.80820954122423716</v>
      </c>
      <c r="AW169" s="1232" t="s">
        <v>1167</v>
      </c>
      <c r="AX169" s="1228"/>
      <c r="AY169" s="1231"/>
      <c r="AZ169" s="1231"/>
      <c r="BA169" s="1231"/>
      <c r="BB169" s="1231"/>
      <c r="BC169" s="1231"/>
      <c r="BD169" s="1231"/>
      <c r="BE169" s="1231"/>
      <c r="BF169" s="1231"/>
      <c r="BG169" s="1231"/>
      <c r="BH169" s="1231"/>
      <c r="BI169" s="1231"/>
      <c r="BJ169" s="1217"/>
      <c r="BK169" s="1233"/>
    </row>
    <row r="170" spans="2:63" ht="5.25" customHeight="1">
      <c r="B170" s="1219"/>
      <c r="C170" s="1214"/>
      <c r="D170" s="1214"/>
      <c r="E170" s="1214"/>
      <c r="F170" s="1230"/>
      <c r="G170" s="1230"/>
      <c r="H170" s="1234"/>
      <c r="I170" s="1234"/>
      <c r="J170" s="1234"/>
      <c r="K170" s="1234"/>
      <c r="L170" s="1234"/>
      <c r="M170" s="1234"/>
      <c r="N170" s="1234"/>
      <c r="O170" s="1234"/>
      <c r="P170" s="1234"/>
      <c r="Q170" s="1234"/>
      <c r="R170" s="1234"/>
      <c r="S170" s="1234"/>
      <c r="T170" s="1234"/>
      <c r="U170" s="1234"/>
      <c r="V170" s="1234"/>
      <c r="W170" s="1234"/>
      <c r="X170" s="1234"/>
      <c r="Y170" s="1234"/>
      <c r="Z170" s="1234"/>
      <c r="AA170" s="1234"/>
      <c r="AB170" s="1234"/>
      <c r="AC170" s="1234"/>
      <c r="AD170" s="1234"/>
      <c r="AE170" s="1234"/>
      <c r="AF170" s="1234"/>
      <c r="AG170" s="1234"/>
      <c r="AH170" s="1234"/>
      <c r="AI170" s="1234"/>
      <c r="AJ170" s="1234"/>
      <c r="AK170" s="1234"/>
      <c r="AL170" s="1234"/>
      <c r="AM170" s="1234"/>
      <c r="AN170" s="1234"/>
      <c r="AO170" s="1234"/>
      <c r="AP170" s="1234"/>
      <c r="AQ170" s="1234"/>
      <c r="AR170" s="1234"/>
      <c r="AS170" s="1234"/>
      <c r="AT170" s="1234"/>
      <c r="AU170" s="1234"/>
      <c r="AV170" s="1234"/>
      <c r="AW170" s="1234"/>
      <c r="AX170" s="1230"/>
      <c r="AY170" s="1230"/>
      <c r="AZ170" s="1230"/>
      <c r="BA170" s="1230"/>
      <c r="BB170" s="1230"/>
      <c r="BC170" s="1230"/>
      <c r="BD170" s="1230"/>
      <c r="BE170" s="1230"/>
      <c r="BF170" s="1230"/>
      <c r="BG170" s="1230"/>
      <c r="BH170" s="1230"/>
      <c r="BI170" s="1230"/>
      <c r="BJ170" s="1217"/>
    </row>
    <row r="171" spans="2:63" s="37" customFormat="1">
      <c r="B171" s="1219"/>
      <c r="C171" s="1236" t="s">
        <v>1168</v>
      </c>
      <c r="D171" s="1236"/>
      <c r="E171" s="1236"/>
      <c r="F171" s="1237"/>
      <c r="G171" s="1237"/>
      <c r="H171" s="1238"/>
      <c r="I171" s="1238"/>
      <c r="J171" s="1238"/>
      <c r="K171" s="1238"/>
      <c r="L171" s="1238"/>
      <c r="M171" s="1238"/>
      <c r="N171" s="1238"/>
      <c r="O171" s="1238"/>
      <c r="P171" s="1238"/>
      <c r="Q171" s="1238"/>
      <c r="R171" s="1238"/>
      <c r="S171" s="1238"/>
      <c r="T171" s="1238"/>
      <c r="U171" s="1238"/>
      <c r="V171" s="1238"/>
      <c r="W171" s="1238"/>
      <c r="X171" s="1238"/>
      <c r="Y171" s="1238"/>
      <c r="Z171" s="1238"/>
      <c r="AA171" s="1238"/>
      <c r="AB171" s="1238"/>
      <c r="AC171" s="1238"/>
      <c r="AD171" s="1238"/>
      <c r="AE171" s="1238"/>
      <c r="AF171" s="1238"/>
      <c r="AG171" s="1238"/>
      <c r="AH171" s="1238"/>
      <c r="AI171" s="1238"/>
      <c r="AJ171" s="1238"/>
      <c r="AK171" s="1238"/>
      <c r="AL171" s="1238"/>
      <c r="AM171" s="1238"/>
      <c r="AN171" s="1238"/>
      <c r="AO171" s="1238"/>
      <c r="AP171" s="1238"/>
      <c r="AQ171" s="1238"/>
      <c r="AR171" s="1238"/>
      <c r="AS171" s="1238"/>
      <c r="AT171" s="1238"/>
      <c r="AU171" s="1238"/>
      <c r="AV171" s="1238"/>
      <c r="AW171" s="1238"/>
      <c r="AX171" s="1237"/>
      <c r="AY171" s="1237"/>
      <c r="AZ171" s="1237"/>
      <c r="BA171" s="1237"/>
      <c r="BB171" s="1237"/>
      <c r="BC171" s="1237"/>
      <c r="BD171" s="1237"/>
      <c r="BE171" s="1237"/>
      <c r="BF171" s="1237"/>
      <c r="BG171" s="1237"/>
      <c r="BH171" s="1237"/>
      <c r="BI171" s="1237"/>
      <c r="BJ171" s="1239"/>
    </row>
    <row r="172" spans="2:63">
      <c r="B172" s="1219"/>
      <c r="C172" s="1214"/>
      <c r="D172" s="1214"/>
      <c r="E172" s="1214"/>
      <c r="F172" s="1214"/>
      <c r="G172" s="1214"/>
      <c r="H172" s="1215"/>
      <c r="I172" s="1215"/>
      <c r="J172" s="1215"/>
      <c r="K172" s="1215"/>
      <c r="L172" s="1215"/>
      <c r="M172" s="1215"/>
      <c r="N172" s="1215"/>
      <c r="O172" s="1215"/>
      <c r="P172" s="1215"/>
      <c r="Q172" s="1215"/>
      <c r="R172" s="1215"/>
      <c r="S172" s="1215"/>
      <c r="T172" s="1215"/>
      <c r="U172" s="1215"/>
      <c r="V172" s="1215"/>
      <c r="W172" s="1215"/>
      <c r="X172" s="1215"/>
      <c r="Y172" s="1215"/>
      <c r="Z172" s="1215"/>
      <c r="AA172" s="1215"/>
      <c r="AB172" s="1215"/>
      <c r="AC172" s="1215"/>
      <c r="AD172" s="1215"/>
      <c r="AE172" s="1215"/>
      <c r="AF172" s="1215"/>
      <c r="AG172" s="1215"/>
      <c r="AH172" s="1215"/>
      <c r="AI172" s="1215"/>
      <c r="AJ172" s="1215"/>
      <c r="AK172" s="1215"/>
      <c r="AL172" s="1215"/>
      <c r="AM172" s="1215"/>
      <c r="AN172" s="1215"/>
      <c r="AO172" s="1215"/>
      <c r="AP172" s="1215"/>
      <c r="AQ172" s="1215"/>
      <c r="AR172" s="1215"/>
      <c r="AS172" s="1215"/>
      <c r="AT172" s="1215"/>
      <c r="AU172" s="1215"/>
      <c r="AV172" s="1215"/>
      <c r="AW172" s="1215"/>
      <c r="AX172" s="1214"/>
      <c r="AY172" s="1214"/>
      <c r="AZ172" s="1214"/>
      <c r="BA172" s="1214"/>
      <c r="BB172" s="1214"/>
      <c r="BC172" s="1214"/>
      <c r="BD172" s="1214"/>
      <c r="BE172" s="1214"/>
      <c r="BF172" s="1214"/>
      <c r="BG172" s="1214"/>
      <c r="BH172" s="1214"/>
      <c r="BI172" s="1214"/>
      <c r="BJ172" s="1217"/>
    </row>
    <row r="173" spans="2:63" s="51" customFormat="1" ht="13.5" customHeight="1">
      <c r="B173" s="1235"/>
      <c r="C173" s="1241"/>
      <c r="D173" s="1242"/>
      <c r="E173" s="1242" t="s">
        <v>1169</v>
      </c>
      <c r="F173" s="1243"/>
      <c r="G173" s="1243"/>
      <c r="H173" s="1244"/>
      <c r="I173" s="1244"/>
      <c r="J173" s="1244"/>
      <c r="K173" s="1244"/>
      <c r="L173" s="1244"/>
      <c r="M173" s="1244"/>
      <c r="N173" s="1244"/>
      <c r="O173" s="1244"/>
      <c r="P173" s="1244"/>
      <c r="Q173" s="1244"/>
      <c r="R173" s="1244"/>
      <c r="S173" s="1244"/>
      <c r="T173" s="1244"/>
      <c r="U173" s="1244"/>
      <c r="V173" s="1244"/>
      <c r="W173" s="1244"/>
      <c r="X173" s="1244"/>
      <c r="Y173" s="1244"/>
      <c r="Z173" s="1244"/>
      <c r="AA173" s="1244"/>
      <c r="AB173" s="1244"/>
      <c r="AC173" s="1244"/>
      <c r="AD173" s="1244"/>
      <c r="AE173" s="1244"/>
      <c r="AF173" s="1244"/>
      <c r="AG173" s="1244"/>
      <c r="AH173" s="1244"/>
      <c r="AI173" s="1244"/>
      <c r="AJ173" s="1244"/>
      <c r="AK173" s="1244"/>
      <c r="AL173" s="1244"/>
      <c r="AM173" s="1244"/>
      <c r="AN173" s="1244"/>
      <c r="AO173" s="1244"/>
      <c r="AP173" s="1244"/>
      <c r="AQ173" s="1244"/>
      <c r="AR173" s="1244"/>
      <c r="AS173" s="1244"/>
      <c r="AT173" s="1244"/>
      <c r="AU173" s="1244"/>
      <c r="AV173" s="1244"/>
      <c r="AW173" s="1244"/>
      <c r="AX173" s="1241"/>
      <c r="AY173" s="1245"/>
      <c r="AZ173" s="1245"/>
      <c r="BA173" s="1241"/>
      <c r="BB173" s="1241"/>
      <c r="BC173" s="1241"/>
      <c r="BD173" s="1241"/>
      <c r="BE173" s="1241"/>
      <c r="BF173" s="1241"/>
      <c r="BG173" s="1241"/>
      <c r="BH173" s="1246"/>
      <c r="BI173" s="1247"/>
      <c r="BJ173" s="1248"/>
    </row>
    <row r="174" spans="2:63" s="51" customFormat="1" ht="13.5" customHeight="1">
      <c r="B174" s="1219"/>
      <c r="C174" s="1241"/>
      <c r="D174" s="1242"/>
      <c r="E174" s="1242"/>
      <c r="F174" s="1243"/>
      <c r="G174" s="1243"/>
      <c r="H174" s="1244"/>
      <c r="I174" s="1244"/>
      <c r="J174" s="1244"/>
      <c r="K174" s="1244"/>
      <c r="L174" s="1244"/>
      <c r="M174" s="1244"/>
      <c r="N174" s="1244"/>
      <c r="O174" s="1244"/>
      <c r="P174" s="1244"/>
      <c r="Q174" s="1244"/>
      <c r="R174" s="1244"/>
      <c r="S174" s="1244"/>
      <c r="T174" s="1244"/>
      <c r="U174" s="1244"/>
      <c r="V174" s="1244"/>
      <c r="W174" s="1244"/>
      <c r="X174" s="1244"/>
      <c r="Y174" s="1244"/>
      <c r="Z174" s="1244"/>
      <c r="AA174" s="1244"/>
      <c r="AB174" s="1244"/>
      <c r="AC174" s="1244"/>
      <c r="AD174" s="1244"/>
      <c r="AE174" s="1244"/>
      <c r="AF174" s="1244"/>
      <c r="AG174" s="1244"/>
      <c r="AH174" s="1244"/>
      <c r="AI174" s="1244"/>
      <c r="AJ174" s="1244"/>
      <c r="AK174" s="1244"/>
      <c r="AL174" s="1244"/>
      <c r="AM174" s="1244"/>
      <c r="AN174" s="1244"/>
      <c r="AO174" s="1244"/>
      <c r="AP174" s="1244"/>
      <c r="AQ174" s="1244"/>
      <c r="AR174" s="1244"/>
      <c r="AS174" s="1244"/>
      <c r="AT174" s="1244"/>
      <c r="AU174" s="1244"/>
      <c r="AV174" s="1244"/>
      <c r="AW174" s="1244"/>
      <c r="AX174" s="1241"/>
      <c r="AY174" s="1245"/>
      <c r="AZ174" s="1245"/>
      <c r="BA174" s="1241"/>
      <c r="BB174" s="1241"/>
      <c r="BC174" s="1241"/>
      <c r="BD174" s="1241"/>
      <c r="BE174" s="1241"/>
      <c r="BF174" s="1241"/>
      <c r="BG174" s="1241"/>
      <c r="BH174" s="1246"/>
      <c r="BI174" s="1247"/>
      <c r="BJ174" s="1248"/>
    </row>
    <row r="175" spans="2:63" s="51" customFormat="1" ht="13.5" customHeight="1">
      <c r="B175" s="1240"/>
      <c r="C175" s="1241" t="s">
        <v>1170</v>
      </c>
      <c r="D175" s="1242"/>
      <c r="E175" s="1242"/>
      <c r="F175" s="1242" t="s">
        <v>109</v>
      </c>
      <c r="G175" s="1242"/>
      <c r="H175" s="1249"/>
      <c r="I175" s="1249"/>
      <c r="J175" s="1249"/>
      <c r="K175" s="1249"/>
      <c r="L175" s="1249"/>
      <c r="M175" s="1249"/>
      <c r="N175" s="1249"/>
      <c r="O175" s="1249"/>
      <c r="P175" s="1249"/>
      <c r="Q175" s="1249"/>
      <c r="R175" s="1249"/>
      <c r="S175" s="1249"/>
      <c r="T175" s="1249"/>
      <c r="U175" s="1249"/>
      <c r="V175" s="1249"/>
      <c r="W175" s="1249"/>
      <c r="X175" s="1249"/>
      <c r="Y175" s="1249"/>
      <c r="Z175" s="1249"/>
      <c r="AA175" s="1249"/>
      <c r="AB175" s="1249"/>
      <c r="AC175" s="1249"/>
      <c r="AD175" s="1249"/>
      <c r="AE175" s="1249"/>
      <c r="AF175" s="1249"/>
      <c r="AG175" s="1249"/>
      <c r="AH175" s="1249"/>
      <c r="AI175" s="1249"/>
      <c r="AJ175" s="1249"/>
      <c r="AK175" s="1249"/>
      <c r="AL175" s="1249"/>
      <c r="AM175" s="1249"/>
      <c r="AN175" s="1249"/>
      <c r="AO175" s="1249"/>
      <c r="AP175" s="1249"/>
      <c r="AQ175" s="1249"/>
      <c r="AR175" s="1249"/>
      <c r="AS175" s="1249"/>
      <c r="AT175" s="1249"/>
      <c r="AU175" s="1249"/>
      <c r="AV175" s="1249"/>
      <c r="AW175" s="1249"/>
      <c r="AX175" s="1241"/>
      <c r="AY175" s="2405">
        <v>2007</v>
      </c>
      <c r="AZ175" s="2405"/>
      <c r="BA175" s="2405">
        <f>AY175+5</f>
        <v>2012</v>
      </c>
      <c r="BB175" s="2405">
        <f t="shared" ref="BB175:BI175" si="55">BA175+5</f>
        <v>2017</v>
      </c>
      <c r="BC175" s="2405">
        <f t="shared" si="55"/>
        <v>2022</v>
      </c>
      <c r="BD175" s="2405">
        <f t="shared" si="55"/>
        <v>2027</v>
      </c>
      <c r="BE175" s="2405">
        <f t="shared" si="55"/>
        <v>2032</v>
      </c>
      <c r="BF175" s="2405">
        <v>2037</v>
      </c>
      <c r="BG175" s="2405">
        <f t="shared" si="55"/>
        <v>2042</v>
      </c>
      <c r="BH175" s="2405">
        <f t="shared" si="55"/>
        <v>2047</v>
      </c>
      <c r="BI175" s="2405">
        <f t="shared" si="55"/>
        <v>2052</v>
      </c>
      <c r="BJ175" s="1248"/>
    </row>
    <row r="176" spans="2:63" s="51" customFormat="1" ht="13.5" customHeight="1">
      <c r="B176" s="1240"/>
      <c r="C176" s="1242" t="s">
        <v>60</v>
      </c>
      <c r="D176" s="1242"/>
      <c r="E176" s="1242"/>
      <c r="F176" s="1242" t="str">
        <f>INDEX(Workstreams[Workstream], MATCH($C176, Workstreams[Code], 0))</f>
        <v>Hydrocarbon fuel power generation</v>
      </c>
      <c r="G176" s="1250"/>
      <c r="H176" s="1251"/>
      <c r="I176" s="1251"/>
      <c r="J176" s="1251"/>
      <c r="K176" s="1251"/>
      <c r="L176" s="1251"/>
      <c r="M176" s="1251"/>
      <c r="N176" s="1251"/>
      <c r="O176" s="1251"/>
      <c r="P176" s="1251"/>
      <c r="Q176" s="1251"/>
      <c r="R176" s="1251"/>
      <c r="S176" s="1251"/>
      <c r="T176" s="1251"/>
      <c r="U176" s="1251"/>
      <c r="V176" s="1251"/>
      <c r="W176" s="1251"/>
      <c r="X176" s="1251"/>
      <c r="Y176" s="1251"/>
      <c r="Z176" s="1251"/>
      <c r="AA176" s="1251"/>
      <c r="AB176" s="1251"/>
      <c r="AC176" s="1251"/>
      <c r="AD176" s="1251"/>
      <c r="AE176" s="1251"/>
      <c r="AF176" s="1251"/>
      <c r="AG176" s="1251"/>
      <c r="AH176" s="1251"/>
      <c r="AI176" s="1251"/>
      <c r="AJ176" s="1251"/>
      <c r="AK176" s="1251"/>
      <c r="AL176" s="1251"/>
      <c r="AM176" s="1251"/>
      <c r="AN176" s="1251"/>
      <c r="AO176" s="1251"/>
      <c r="AP176" s="1251"/>
      <c r="AQ176" s="1251"/>
      <c r="AR176" s="1251"/>
      <c r="AS176" s="1251"/>
      <c r="AT176" s="1251"/>
      <c r="AU176" s="1251"/>
      <c r="AV176" s="1251"/>
      <c r="AW176" s="1251"/>
      <c r="AX176" s="1241"/>
      <c r="AY176" s="1252">
        <f t="shared" ref="AY176:BI182" ca="1" si="56">SUMIFS(INDIRECT("'"&amp;AY$175&amp;"'!Year.EmissionsBySector"), INDIRECT("'"&amp;AY$175&amp;"'!Year.Modules"),$C176)</f>
        <v>595.06618519645599</v>
      </c>
      <c r="AZ176" s="1252"/>
      <c r="BA176" s="1252">
        <f t="shared" ca="1" si="56"/>
        <v>786.58498080937272</v>
      </c>
      <c r="BB176" s="1252">
        <f t="shared" ca="1" si="56"/>
        <v>1087.8432043865573</v>
      </c>
      <c r="BC176" s="1252">
        <f t="shared" ca="1" si="56"/>
        <v>1606.8342870120703</v>
      </c>
      <c r="BD176" s="1252">
        <f t="shared" ca="1" si="56"/>
        <v>2280.6290028913718</v>
      </c>
      <c r="BE176" s="1252">
        <f t="shared" ca="1" si="56"/>
        <v>3196.8110175540182</v>
      </c>
      <c r="BF176" s="1252">
        <f t="shared" ca="1" si="56"/>
        <v>4021.5588263312093</v>
      </c>
      <c r="BG176" s="1252">
        <f t="shared" ca="1" si="56"/>
        <v>4974.5893139179325</v>
      </c>
      <c r="BH176" s="1252">
        <f t="shared" ca="1" si="56"/>
        <v>5849.210459291693</v>
      </c>
      <c r="BI176" s="1252">
        <f t="shared" ca="1" si="56"/>
        <v>6837.1101374826903</v>
      </c>
      <c r="BJ176" s="1248"/>
    </row>
    <row r="177" spans="2:62" s="51" customFormat="1" ht="13.5" customHeight="1">
      <c r="B177" s="1240"/>
      <c r="C177" s="1242" t="s">
        <v>61</v>
      </c>
      <c r="D177" s="1242"/>
      <c r="E177" s="1242"/>
      <c r="F177" s="1242" t="str">
        <f>INDEX(Workstreams[Workstream], MATCH($C177, Workstreams[Code], 0))</f>
        <v>Nuclear power generation</v>
      </c>
      <c r="G177" s="1250"/>
      <c r="H177" s="1251"/>
      <c r="I177" s="1251"/>
      <c r="J177" s="1251"/>
      <c r="K177" s="1251"/>
      <c r="L177" s="1251"/>
      <c r="M177" s="1251"/>
      <c r="N177" s="1251"/>
      <c r="O177" s="1251"/>
      <c r="P177" s="1251"/>
      <c r="Q177" s="1251"/>
      <c r="R177" s="1251"/>
      <c r="S177" s="1251"/>
      <c r="T177" s="1251"/>
      <c r="U177" s="1251"/>
      <c r="V177" s="1251"/>
      <c r="W177" s="1251"/>
      <c r="X177" s="1251"/>
      <c r="Y177" s="1251"/>
      <c r="Z177" s="1251"/>
      <c r="AA177" s="1251"/>
      <c r="AB177" s="1251"/>
      <c r="AC177" s="1251"/>
      <c r="AD177" s="1251"/>
      <c r="AE177" s="1251"/>
      <c r="AF177" s="1251"/>
      <c r="AG177" s="1251"/>
      <c r="AH177" s="1251"/>
      <c r="AI177" s="1251"/>
      <c r="AJ177" s="1251"/>
      <c r="AK177" s="1251"/>
      <c r="AL177" s="1251"/>
      <c r="AM177" s="1251"/>
      <c r="AN177" s="1251"/>
      <c r="AO177" s="1251"/>
      <c r="AP177" s="1251"/>
      <c r="AQ177" s="1251"/>
      <c r="AR177" s="1251"/>
      <c r="AS177" s="1251"/>
      <c r="AT177" s="1251"/>
      <c r="AU177" s="1251"/>
      <c r="AV177" s="1251"/>
      <c r="AW177" s="1251"/>
      <c r="AX177" s="1241"/>
      <c r="AY177" s="1252">
        <f t="shared" ca="1" si="56"/>
        <v>0</v>
      </c>
      <c r="AZ177" s="1252"/>
      <c r="BA177" s="1252">
        <f t="shared" ca="1" si="56"/>
        <v>0</v>
      </c>
      <c r="BB177" s="1252">
        <f t="shared" ca="1" si="56"/>
        <v>0</v>
      </c>
      <c r="BC177" s="1252">
        <f t="shared" ca="1" si="56"/>
        <v>0</v>
      </c>
      <c r="BD177" s="1252">
        <f t="shared" ca="1" si="56"/>
        <v>0</v>
      </c>
      <c r="BE177" s="1252">
        <f t="shared" ca="1" si="56"/>
        <v>0</v>
      </c>
      <c r="BF177" s="1252">
        <f t="shared" ca="1" si="56"/>
        <v>0</v>
      </c>
      <c r="BG177" s="1252">
        <f t="shared" ca="1" si="56"/>
        <v>0</v>
      </c>
      <c r="BH177" s="1252">
        <f t="shared" ca="1" si="56"/>
        <v>0</v>
      </c>
      <c r="BI177" s="1252">
        <f t="shared" ca="1" si="56"/>
        <v>0</v>
      </c>
      <c r="BJ177" s="1248"/>
    </row>
    <row r="178" spans="2:62" s="51" customFormat="1" ht="13.5" customHeight="1">
      <c r="B178" s="1240"/>
      <c r="C178" s="1242" t="s">
        <v>62</v>
      </c>
      <c r="D178" s="1242"/>
      <c r="E178" s="1242"/>
      <c r="F178" s="1242" t="str">
        <f>INDEX(Workstreams[Workstream], MATCH($C178, Workstreams[Code], 0))</f>
        <v>Hydro Electric Power Generation</v>
      </c>
      <c r="G178" s="1250"/>
      <c r="H178" s="1251"/>
      <c r="I178" s="1251"/>
      <c r="J178" s="1251"/>
      <c r="K178" s="1251"/>
      <c r="L178" s="1251"/>
      <c r="M178" s="1251"/>
      <c r="N178" s="1251"/>
      <c r="O178" s="1251"/>
      <c r="P178" s="1251"/>
      <c r="Q178" s="1251"/>
      <c r="R178" s="1251"/>
      <c r="S178" s="1251"/>
      <c r="T178" s="1251"/>
      <c r="U178" s="1251"/>
      <c r="V178" s="1251"/>
      <c r="W178" s="1251"/>
      <c r="X178" s="1251"/>
      <c r="Y178" s="1251"/>
      <c r="Z178" s="1251"/>
      <c r="AA178" s="1251"/>
      <c r="AB178" s="1251"/>
      <c r="AC178" s="1251"/>
      <c r="AD178" s="1251"/>
      <c r="AE178" s="1251"/>
      <c r="AF178" s="1251"/>
      <c r="AG178" s="1251"/>
      <c r="AH178" s="1251"/>
      <c r="AI178" s="1251"/>
      <c r="AJ178" s="1251"/>
      <c r="AK178" s="1251"/>
      <c r="AL178" s="1251"/>
      <c r="AM178" s="1251"/>
      <c r="AN178" s="1251"/>
      <c r="AO178" s="1251"/>
      <c r="AP178" s="1251"/>
      <c r="AQ178" s="1251"/>
      <c r="AR178" s="1251"/>
      <c r="AS178" s="1251"/>
      <c r="AT178" s="1251"/>
      <c r="AU178" s="1251"/>
      <c r="AV178" s="1251"/>
      <c r="AW178" s="1251"/>
      <c r="AX178" s="1241"/>
      <c r="AY178" s="1252">
        <f t="shared" ca="1" si="56"/>
        <v>0</v>
      </c>
      <c r="AZ178" s="1252"/>
      <c r="BA178" s="1252">
        <f t="shared" ca="1" si="56"/>
        <v>0</v>
      </c>
      <c r="BB178" s="1252">
        <f t="shared" ca="1" si="56"/>
        <v>0</v>
      </c>
      <c r="BC178" s="1252">
        <f t="shared" ca="1" si="56"/>
        <v>0</v>
      </c>
      <c r="BD178" s="1252">
        <f t="shared" ca="1" si="56"/>
        <v>0</v>
      </c>
      <c r="BE178" s="1252">
        <f t="shared" ca="1" si="56"/>
        <v>0</v>
      </c>
      <c r="BF178" s="1252">
        <f t="shared" ca="1" si="56"/>
        <v>0</v>
      </c>
      <c r="BG178" s="1252">
        <f t="shared" ca="1" si="56"/>
        <v>0</v>
      </c>
      <c r="BH178" s="1252">
        <f t="shared" ca="1" si="56"/>
        <v>0</v>
      </c>
      <c r="BI178" s="1252">
        <f t="shared" ca="1" si="56"/>
        <v>0</v>
      </c>
      <c r="BJ178" s="1248"/>
    </row>
    <row r="179" spans="2:62" s="51" customFormat="1" ht="13.5" customHeight="1">
      <c r="B179" s="1240"/>
      <c r="C179" s="1242" t="s">
        <v>63</v>
      </c>
      <c r="D179" s="1242"/>
      <c r="E179" s="1242"/>
      <c r="F179" s="1242" t="str">
        <f>INDEX(Workstreams[Workstream], MATCH($C179, Workstreams[Code], 0))</f>
        <v>National  renewable power generation</v>
      </c>
      <c r="G179" s="1250"/>
      <c r="H179" s="1251"/>
      <c r="I179" s="1251"/>
      <c r="J179" s="1251"/>
      <c r="K179" s="1251"/>
      <c r="L179" s="1251"/>
      <c r="M179" s="1251"/>
      <c r="N179" s="1251"/>
      <c r="O179" s="1251"/>
      <c r="P179" s="1251"/>
      <c r="Q179" s="1251"/>
      <c r="R179" s="1251"/>
      <c r="S179" s="1251"/>
      <c r="T179" s="1251"/>
      <c r="U179" s="1251"/>
      <c r="V179" s="1251"/>
      <c r="W179" s="1251"/>
      <c r="X179" s="1251"/>
      <c r="Y179" s="1251"/>
      <c r="Z179" s="1251"/>
      <c r="AA179" s="1251"/>
      <c r="AB179" s="1251"/>
      <c r="AC179" s="1251"/>
      <c r="AD179" s="1251"/>
      <c r="AE179" s="1251"/>
      <c r="AF179" s="1251"/>
      <c r="AG179" s="1251"/>
      <c r="AH179" s="1251"/>
      <c r="AI179" s="1251"/>
      <c r="AJ179" s="1251"/>
      <c r="AK179" s="1251"/>
      <c r="AL179" s="1251"/>
      <c r="AM179" s="1251"/>
      <c r="AN179" s="1251"/>
      <c r="AO179" s="1251"/>
      <c r="AP179" s="1251"/>
      <c r="AQ179" s="1251"/>
      <c r="AR179" s="1251"/>
      <c r="AS179" s="1251"/>
      <c r="AT179" s="1251"/>
      <c r="AU179" s="1251"/>
      <c r="AV179" s="1251"/>
      <c r="AW179" s="1251"/>
      <c r="AX179" s="1241"/>
      <c r="AY179" s="1252">
        <f t="shared" ca="1" si="56"/>
        <v>0</v>
      </c>
      <c r="AZ179" s="1252"/>
      <c r="BA179" s="1252">
        <f t="shared" ca="1" si="56"/>
        <v>0</v>
      </c>
      <c r="BB179" s="1252">
        <f t="shared" ca="1" si="56"/>
        <v>0</v>
      </c>
      <c r="BC179" s="1252">
        <f t="shared" ca="1" si="56"/>
        <v>0</v>
      </c>
      <c r="BD179" s="1252">
        <f t="shared" ca="1" si="56"/>
        <v>0</v>
      </c>
      <c r="BE179" s="1252">
        <f t="shared" ca="1" si="56"/>
        <v>0</v>
      </c>
      <c r="BF179" s="1252">
        <f t="shared" ca="1" si="56"/>
        <v>0</v>
      </c>
      <c r="BG179" s="1252">
        <f t="shared" ca="1" si="56"/>
        <v>0</v>
      </c>
      <c r="BH179" s="1252">
        <f t="shared" ca="1" si="56"/>
        <v>0</v>
      </c>
      <c r="BI179" s="1252">
        <f t="shared" ca="1" si="56"/>
        <v>0</v>
      </c>
      <c r="BJ179" s="1248"/>
    </row>
    <row r="180" spans="2:62" s="51" customFormat="1" ht="13.5" customHeight="1">
      <c r="B180" s="1240"/>
      <c r="C180" s="1242" t="s">
        <v>190</v>
      </c>
      <c r="D180" s="1242"/>
      <c r="E180" s="1242"/>
      <c r="F180" s="1242" t="str">
        <f>INDEX(Workstreams[Workstream], MATCH($C180, Workstreams[Code], 0))</f>
        <v>Bioenergy</v>
      </c>
      <c r="G180" s="1250"/>
      <c r="H180" s="1251"/>
      <c r="I180" s="1251"/>
      <c r="J180" s="1251"/>
      <c r="K180" s="1251"/>
      <c r="L180" s="1251"/>
      <c r="M180" s="1251"/>
      <c r="N180" s="1251"/>
      <c r="O180" s="1251"/>
      <c r="P180" s="1251"/>
      <c r="Q180" s="1251"/>
      <c r="R180" s="1251"/>
      <c r="S180" s="1251"/>
      <c r="T180" s="1251"/>
      <c r="U180" s="1251"/>
      <c r="V180" s="1251"/>
      <c r="W180" s="1251"/>
      <c r="X180" s="1251"/>
      <c r="Y180" s="1251"/>
      <c r="Z180" s="1251"/>
      <c r="AA180" s="1251"/>
      <c r="AB180" s="1251"/>
      <c r="AC180" s="1251"/>
      <c r="AD180" s="1251"/>
      <c r="AE180" s="1251"/>
      <c r="AF180" s="1251"/>
      <c r="AG180" s="1251"/>
      <c r="AH180" s="1251"/>
      <c r="AI180" s="1251"/>
      <c r="AJ180" s="1251"/>
      <c r="AK180" s="1251"/>
      <c r="AL180" s="1251"/>
      <c r="AM180" s="1251"/>
      <c r="AN180" s="1251"/>
      <c r="AO180" s="1251"/>
      <c r="AP180" s="1251"/>
      <c r="AQ180" s="1251"/>
      <c r="AR180" s="1251"/>
      <c r="AS180" s="1251"/>
      <c r="AT180" s="1251"/>
      <c r="AU180" s="1251"/>
      <c r="AV180" s="1251"/>
      <c r="AW180" s="1251"/>
      <c r="AX180" s="1241"/>
      <c r="AY180" s="1252">
        <f t="shared" ca="1" si="56"/>
        <v>-313.89366247877757</v>
      </c>
      <c r="AZ180" s="1252"/>
      <c r="BA180" s="1252">
        <f t="shared" ca="1" si="56"/>
        <v>-317.74488604405229</v>
      </c>
      <c r="BB180" s="1252">
        <f t="shared" ca="1" si="56"/>
        <v>-316.49941332858305</v>
      </c>
      <c r="BC180" s="1252">
        <f t="shared" ca="1" si="56"/>
        <v>-315.46610321588201</v>
      </c>
      <c r="BD180" s="1252">
        <f t="shared" ca="1" si="56"/>
        <v>-314.6889283958385</v>
      </c>
      <c r="BE180" s="1252">
        <f t="shared" ca="1" si="56"/>
        <v>-314.23239533992523</v>
      </c>
      <c r="BF180" s="1252">
        <f t="shared" ca="1" si="56"/>
        <v>-313.99481361351673</v>
      </c>
      <c r="BG180" s="1252">
        <f t="shared" ca="1" si="56"/>
        <v>-312.92388420747147</v>
      </c>
      <c r="BH180" s="1252">
        <f t="shared" ca="1" si="56"/>
        <v>-312.11179177995979</v>
      </c>
      <c r="BI180" s="1252">
        <f t="shared" ca="1" si="56"/>
        <v>-311.84926752683651</v>
      </c>
      <c r="BJ180" s="1248"/>
    </row>
    <row r="181" spans="2:62" s="51" customFormat="1" ht="13.5" customHeight="1">
      <c r="B181" s="1240"/>
      <c r="C181" s="1242" t="s">
        <v>191</v>
      </c>
      <c r="D181" s="1242"/>
      <c r="E181" s="1242"/>
      <c r="F181" s="1242" t="str">
        <f>INDEX(Workstreams[Workstream], MATCH($C181, Workstreams[Code], 0))</f>
        <v>Waste</v>
      </c>
      <c r="G181" s="1250"/>
      <c r="H181" s="1251"/>
      <c r="I181" s="1251"/>
      <c r="J181" s="1251"/>
      <c r="K181" s="1251"/>
      <c r="L181" s="1251"/>
      <c r="M181" s="1251"/>
      <c r="N181" s="1251"/>
      <c r="O181" s="1251"/>
      <c r="P181" s="1251"/>
      <c r="Q181" s="1251"/>
      <c r="R181" s="1251"/>
      <c r="S181" s="1251"/>
      <c r="T181" s="1251"/>
      <c r="U181" s="1251"/>
      <c r="V181" s="1251"/>
      <c r="W181" s="1251"/>
      <c r="X181" s="1251"/>
      <c r="Y181" s="1251"/>
      <c r="Z181" s="1251"/>
      <c r="AA181" s="1251"/>
      <c r="AB181" s="1251"/>
      <c r="AC181" s="1251"/>
      <c r="AD181" s="1251"/>
      <c r="AE181" s="1251"/>
      <c r="AF181" s="1251"/>
      <c r="AG181" s="1251"/>
      <c r="AH181" s="1251"/>
      <c r="AI181" s="1251"/>
      <c r="AJ181" s="1251"/>
      <c r="AK181" s="1251"/>
      <c r="AL181" s="1251"/>
      <c r="AM181" s="1251"/>
      <c r="AN181" s="1251"/>
      <c r="AO181" s="1251"/>
      <c r="AP181" s="1251"/>
      <c r="AQ181" s="1251"/>
      <c r="AR181" s="1251"/>
      <c r="AS181" s="1251"/>
      <c r="AT181" s="1251"/>
      <c r="AU181" s="1251"/>
      <c r="AV181" s="1251"/>
      <c r="AW181" s="1251"/>
      <c r="AX181" s="1241"/>
      <c r="AY181" s="1252">
        <f t="shared" ca="1" si="56"/>
        <v>0</v>
      </c>
      <c r="AZ181" s="1252"/>
      <c r="BA181" s="1252">
        <f t="shared" ca="1" si="56"/>
        <v>0</v>
      </c>
      <c r="BB181" s="1252">
        <f t="shared" ca="1" si="56"/>
        <v>0</v>
      </c>
      <c r="BC181" s="1252">
        <f t="shared" ca="1" si="56"/>
        <v>0</v>
      </c>
      <c r="BD181" s="1252">
        <f t="shared" ca="1" si="56"/>
        <v>0</v>
      </c>
      <c r="BE181" s="1252">
        <f t="shared" ca="1" si="56"/>
        <v>0</v>
      </c>
      <c r="BF181" s="1252">
        <f t="shared" ca="1" si="56"/>
        <v>0</v>
      </c>
      <c r="BG181" s="1252">
        <f t="shared" ca="1" si="56"/>
        <v>0</v>
      </c>
      <c r="BH181" s="1252">
        <f t="shared" ca="1" si="56"/>
        <v>0</v>
      </c>
      <c r="BI181" s="1252">
        <f t="shared" ca="1" si="56"/>
        <v>0</v>
      </c>
      <c r="BJ181" s="1248"/>
    </row>
    <row r="182" spans="2:62" s="51" customFormat="1" ht="13.5" customHeight="1">
      <c r="B182" s="1240"/>
      <c r="C182" s="1242" t="s">
        <v>192</v>
      </c>
      <c r="D182" s="1242"/>
      <c r="E182" s="1242"/>
      <c r="F182" s="1242" t="str">
        <f>INDEX(Workstreams[Workstream], MATCH($C182, Workstreams[Code], 0))</f>
        <v>Electricity distribution, storage, and balancing</v>
      </c>
      <c r="G182" s="1250"/>
      <c r="H182" s="1251"/>
      <c r="I182" s="1251"/>
      <c r="J182" s="1251"/>
      <c r="K182" s="1251"/>
      <c r="L182" s="1251"/>
      <c r="M182" s="1251"/>
      <c r="N182" s="1251"/>
      <c r="O182" s="1251"/>
      <c r="P182" s="1251"/>
      <c r="Q182" s="1251"/>
      <c r="R182" s="1251"/>
      <c r="S182" s="1251"/>
      <c r="T182" s="1251"/>
      <c r="U182" s="1251"/>
      <c r="V182" s="1251"/>
      <c r="W182" s="1251"/>
      <c r="X182" s="1251"/>
      <c r="Y182" s="1251"/>
      <c r="Z182" s="1251"/>
      <c r="AA182" s="1251"/>
      <c r="AB182" s="1251"/>
      <c r="AC182" s="1251"/>
      <c r="AD182" s="1251"/>
      <c r="AE182" s="1251"/>
      <c r="AF182" s="1251"/>
      <c r="AG182" s="1251"/>
      <c r="AH182" s="1251"/>
      <c r="AI182" s="1251"/>
      <c r="AJ182" s="1251"/>
      <c r="AK182" s="1251"/>
      <c r="AL182" s="1251"/>
      <c r="AM182" s="1251"/>
      <c r="AN182" s="1251"/>
      <c r="AO182" s="1251"/>
      <c r="AP182" s="1251"/>
      <c r="AQ182" s="1251"/>
      <c r="AR182" s="1251"/>
      <c r="AS182" s="1251"/>
      <c r="AT182" s="1251"/>
      <c r="AU182" s="1251"/>
      <c r="AV182" s="1251"/>
      <c r="AW182" s="1251"/>
      <c r="AX182" s="1241"/>
      <c r="AY182" s="1252">
        <f t="shared" ca="1" si="56"/>
        <v>0</v>
      </c>
      <c r="AZ182" s="1252"/>
      <c r="BA182" s="1252">
        <f t="shared" ca="1" si="56"/>
        <v>0</v>
      </c>
      <c r="BB182" s="1252">
        <f t="shared" ca="1" si="56"/>
        <v>0</v>
      </c>
      <c r="BC182" s="1252">
        <f t="shared" ca="1" si="56"/>
        <v>0</v>
      </c>
      <c r="BD182" s="1252">
        <f t="shared" ca="1" si="56"/>
        <v>0</v>
      </c>
      <c r="BE182" s="1252">
        <f t="shared" ca="1" si="56"/>
        <v>0</v>
      </c>
      <c r="BF182" s="1252">
        <f t="shared" ca="1" si="56"/>
        <v>0</v>
      </c>
      <c r="BG182" s="1252">
        <f t="shared" ca="1" si="56"/>
        <v>0</v>
      </c>
      <c r="BH182" s="1252">
        <f t="shared" ca="1" si="56"/>
        <v>0</v>
      </c>
      <c r="BI182" s="1252">
        <f t="shared" ca="1" si="56"/>
        <v>0</v>
      </c>
      <c r="BJ182" s="1248"/>
    </row>
    <row r="183" spans="2:62" s="51" customFormat="1" ht="13.5" customHeight="1">
      <c r="B183" s="1240"/>
      <c r="C183" s="1242"/>
      <c r="D183" s="1242"/>
      <c r="E183" s="1242"/>
      <c r="F183" s="1242"/>
      <c r="G183" s="1250"/>
      <c r="H183" s="1251"/>
      <c r="I183" s="1251"/>
      <c r="J183" s="1251"/>
      <c r="K183" s="1251"/>
      <c r="L183" s="1251"/>
      <c r="M183" s="1251"/>
      <c r="N183" s="1251"/>
      <c r="O183" s="1251"/>
      <c r="P183" s="1251"/>
      <c r="Q183" s="1251"/>
      <c r="R183" s="1251"/>
      <c r="S183" s="1251"/>
      <c r="T183" s="1251"/>
      <c r="U183" s="1251"/>
      <c r="V183" s="1251"/>
      <c r="W183" s="1251"/>
      <c r="X183" s="1251"/>
      <c r="Y183" s="1251"/>
      <c r="Z183" s="1251"/>
      <c r="AA183" s="1251"/>
      <c r="AB183" s="1251"/>
      <c r="AC183" s="1251"/>
      <c r="AD183" s="1251"/>
      <c r="AE183" s="1251"/>
      <c r="AF183" s="1251"/>
      <c r="AG183" s="1251"/>
      <c r="AH183" s="1251"/>
      <c r="AI183" s="1251"/>
      <c r="AJ183" s="1251"/>
      <c r="AK183" s="1251"/>
      <c r="AL183" s="1251"/>
      <c r="AM183" s="1251"/>
      <c r="AN183" s="1251"/>
      <c r="AO183" s="1251"/>
      <c r="AP183" s="1251"/>
      <c r="AQ183" s="1251"/>
      <c r="AR183" s="1251"/>
      <c r="AS183" s="1251"/>
      <c r="AT183" s="1251"/>
      <c r="AU183" s="1251"/>
      <c r="AV183" s="1251"/>
      <c r="AW183" s="1251"/>
      <c r="AX183" s="1241"/>
      <c r="AY183" s="1252"/>
      <c r="AZ183" s="1252"/>
      <c r="BA183" s="1252"/>
      <c r="BB183" s="1252"/>
      <c r="BC183" s="1252"/>
      <c r="BD183" s="1252"/>
      <c r="BE183" s="1252"/>
      <c r="BF183" s="1252"/>
      <c r="BG183" s="1252"/>
      <c r="BH183" s="1252"/>
      <c r="BI183" s="1252"/>
      <c r="BJ183" s="1248"/>
    </row>
    <row r="184" spans="2:62" s="51" customFormat="1" ht="13.5" customHeight="1">
      <c r="B184" s="1240"/>
      <c r="C184" s="1242" t="s">
        <v>195</v>
      </c>
      <c r="D184" s="1242"/>
      <c r="E184" s="1242"/>
      <c r="F184" s="1242" t="str">
        <f>INDEX(Workstreams[Workstream], MATCH($C184, Workstreams[Code], 0))</f>
        <v>Buildings</v>
      </c>
      <c r="G184" s="1250"/>
      <c r="H184" s="1251"/>
      <c r="I184" s="1251"/>
      <c r="J184" s="1251"/>
      <c r="K184" s="1251"/>
      <c r="L184" s="1251"/>
      <c r="M184" s="1251"/>
      <c r="N184" s="1251"/>
      <c r="O184" s="1251"/>
      <c r="P184" s="1251"/>
      <c r="Q184" s="1251"/>
      <c r="R184" s="1251"/>
      <c r="S184" s="1251"/>
      <c r="T184" s="1251"/>
      <c r="U184" s="1251"/>
      <c r="V184" s="1251"/>
      <c r="W184" s="1251"/>
      <c r="X184" s="1251"/>
      <c r="Y184" s="1251"/>
      <c r="Z184" s="1251"/>
      <c r="AA184" s="1251"/>
      <c r="AB184" s="1251"/>
      <c r="AC184" s="1251"/>
      <c r="AD184" s="1251"/>
      <c r="AE184" s="1251"/>
      <c r="AF184" s="1251"/>
      <c r="AG184" s="1251"/>
      <c r="AH184" s="1251"/>
      <c r="AI184" s="1251"/>
      <c r="AJ184" s="1251"/>
      <c r="AK184" s="1251"/>
      <c r="AL184" s="1251"/>
      <c r="AM184" s="1251"/>
      <c r="AN184" s="1251"/>
      <c r="AO184" s="1251"/>
      <c r="AP184" s="1251"/>
      <c r="AQ184" s="1251"/>
      <c r="AR184" s="1251"/>
      <c r="AS184" s="1251"/>
      <c r="AT184" s="1251"/>
      <c r="AU184" s="1251"/>
      <c r="AV184" s="1251"/>
      <c r="AW184" s="1251"/>
      <c r="AX184" s="1241"/>
      <c r="AY184" s="1252">
        <f t="shared" ref="AY184:BI192" ca="1" si="57">SUMIFS(INDIRECT("'"&amp;AY$175&amp;"'!Year.EmissionsBySector"), INDIRECT("'"&amp;AY$175&amp;"'!Year.Modules"),$C184)</f>
        <v>0</v>
      </c>
      <c r="AZ184" s="1252"/>
      <c r="BA184" s="1252">
        <f t="shared" ca="1" si="57"/>
        <v>0</v>
      </c>
      <c r="BB184" s="1252">
        <f t="shared" ca="1" si="57"/>
        <v>0</v>
      </c>
      <c r="BC184" s="1252">
        <f t="shared" ca="1" si="57"/>
        <v>0</v>
      </c>
      <c r="BD184" s="1252">
        <f t="shared" ca="1" si="57"/>
        <v>0</v>
      </c>
      <c r="BE184" s="1252">
        <f t="shared" ca="1" si="57"/>
        <v>0</v>
      </c>
      <c r="BF184" s="1252">
        <f t="shared" ca="1" si="57"/>
        <v>0</v>
      </c>
      <c r="BG184" s="1252">
        <f t="shared" ca="1" si="57"/>
        <v>0</v>
      </c>
      <c r="BH184" s="1252">
        <f t="shared" ca="1" si="57"/>
        <v>0</v>
      </c>
      <c r="BI184" s="1252">
        <f t="shared" ca="1" si="57"/>
        <v>0</v>
      </c>
      <c r="BJ184" s="1248"/>
    </row>
    <row r="185" spans="2:62" s="51" customFormat="1" ht="13.5" customHeight="1">
      <c r="B185" s="1240"/>
      <c r="C185" s="1242" t="s">
        <v>196</v>
      </c>
      <c r="D185" s="1242"/>
      <c r="E185" s="1242"/>
      <c r="F185" s="1242" t="str">
        <f>INDEX(Workstreams[Workstream], MATCH($C185, Workstreams[Code], 0))</f>
        <v>Lighting and appliances</v>
      </c>
      <c r="G185" s="1250"/>
      <c r="H185" s="1251"/>
      <c r="I185" s="1251"/>
      <c r="J185" s="1251"/>
      <c r="K185" s="1251"/>
      <c r="L185" s="1251"/>
      <c r="M185" s="1251"/>
      <c r="N185" s="1251"/>
      <c r="O185" s="1251"/>
      <c r="P185" s="1251"/>
      <c r="Q185" s="1251"/>
      <c r="R185" s="1251"/>
      <c r="S185" s="1251"/>
      <c r="T185" s="1251"/>
      <c r="U185" s="1251"/>
      <c r="V185" s="1251"/>
      <c r="W185" s="1251"/>
      <c r="X185" s="1251"/>
      <c r="Y185" s="1251"/>
      <c r="Z185" s="1251"/>
      <c r="AA185" s="1251"/>
      <c r="AB185" s="1251"/>
      <c r="AC185" s="1251"/>
      <c r="AD185" s="1251"/>
      <c r="AE185" s="1251"/>
      <c r="AF185" s="1251"/>
      <c r="AG185" s="1251"/>
      <c r="AH185" s="1251"/>
      <c r="AI185" s="1251"/>
      <c r="AJ185" s="1251"/>
      <c r="AK185" s="1251"/>
      <c r="AL185" s="1251"/>
      <c r="AM185" s="1251"/>
      <c r="AN185" s="1251"/>
      <c r="AO185" s="1251"/>
      <c r="AP185" s="1251"/>
      <c r="AQ185" s="1251"/>
      <c r="AR185" s="1251"/>
      <c r="AS185" s="1251"/>
      <c r="AT185" s="1251"/>
      <c r="AU185" s="1251"/>
      <c r="AV185" s="1251"/>
      <c r="AW185" s="1251"/>
      <c r="AX185" s="1241"/>
      <c r="AY185" s="1252">
        <f t="shared" ca="1" si="57"/>
        <v>1.9940071140643392</v>
      </c>
      <c r="AZ185" s="1252"/>
      <c r="BA185" s="1252">
        <f t="shared" ca="1" si="57"/>
        <v>1.8329576632390179</v>
      </c>
      <c r="BB185" s="1252">
        <f t="shared" ca="1" si="57"/>
        <v>1.5593969490007227</v>
      </c>
      <c r="BC185" s="1252">
        <f t="shared" ca="1" si="57"/>
        <v>1.2520757241189449</v>
      </c>
      <c r="BD185" s="1252">
        <f t="shared" ca="1" si="57"/>
        <v>0.89960387313435453</v>
      </c>
      <c r="BE185" s="1252">
        <f t="shared" ca="1" si="57"/>
        <v>0.51206817193927345</v>
      </c>
      <c r="BF185" s="1252">
        <f t="shared" ca="1" si="57"/>
        <v>0.41076728618570002</v>
      </c>
      <c r="BG185" s="1252">
        <f t="shared" ca="1" si="57"/>
        <v>0.28960362076092644</v>
      </c>
      <c r="BH185" s="1252">
        <f t="shared" ca="1" si="57"/>
        <v>0.15320843556214719</v>
      </c>
      <c r="BI185" s="1252">
        <f t="shared" ca="1" si="57"/>
        <v>0</v>
      </c>
      <c r="BJ185" s="1248"/>
    </row>
    <row r="186" spans="2:62" s="51" customFormat="1" ht="13.5" customHeight="1">
      <c r="B186" s="1240"/>
      <c r="C186" s="1242" t="s">
        <v>197</v>
      </c>
      <c r="D186" s="1242"/>
      <c r="E186" s="1242"/>
      <c r="F186" s="1242" t="str">
        <f>INDEX(Workstreams[Workstream], MATCH($C186, Workstreams[Code], 0))</f>
        <v>Industry</v>
      </c>
      <c r="G186" s="1250"/>
      <c r="H186" s="1251"/>
      <c r="I186" s="1251"/>
      <c r="J186" s="1251"/>
      <c r="K186" s="1251"/>
      <c r="L186" s="1251"/>
      <c r="M186" s="1251"/>
      <c r="N186" s="1251"/>
      <c r="O186" s="1251"/>
      <c r="P186" s="1251"/>
      <c r="Q186" s="1251"/>
      <c r="R186" s="1251"/>
      <c r="S186" s="1251"/>
      <c r="T186" s="1251"/>
      <c r="U186" s="1251"/>
      <c r="V186" s="1251"/>
      <c r="W186" s="1251"/>
      <c r="X186" s="1251"/>
      <c r="Y186" s="1251"/>
      <c r="Z186" s="1251"/>
      <c r="AA186" s="1251"/>
      <c r="AB186" s="1251"/>
      <c r="AC186" s="1251"/>
      <c r="AD186" s="1251"/>
      <c r="AE186" s="1251"/>
      <c r="AF186" s="1251"/>
      <c r="AG186" s="1251"/>
      <c r="AH186" s="1251"/>
      <c r="AI186" s="1251"/>
      <c r="AJ186" s="1251"/>
      <c r="AK186" s="1251"/>
      <c r="AL186" s="1251"/>
      <c r="AM186" s="1251"/>
      <c r="AN186" s="1251"/>
      <c r="AO186" s="1251"/>
      <c r="AP186" s="1251"/>
      <c r="AQ186" s="1251"/>
      <c r="AR186" s="1251"/>
      <c r="AS186" s="1251"/>
      <c r="AT186" s="1251"/>
      <c r="AU186" s="1251"/>
      <c r="AV186" s="1251"/>
      <c r="AW186" s="1251"/>
      <c r="AX186" s="1241"/>
      <c r="AY186" s="1252">
        <f t="shared" ca="1" si="57"/>
        <v>656.32859095817719</v>
      </c>
      <c r="AZ186" s="1252"/>
      <c r="BA186" s="1252">
        <f t="shared" ca="1" si="57"/>
        <v>979.12998115429286</v>
      </c>
      <c r="BB186" s="1252">
        <f t="shared" ca="1" si="57"/>
        <v>1345.4936987492497</v>
      </c>
      <c r="BC186" s="1252">
        <f t="shared" ca="1" si="57"/>
        <v>1924.2235281328119</v>
      </c>
      <c r="BD186" s="1252">
        <f t="shared" ca="1" si="57"/>
        <v>2584.2470908653481</v>
      </c>
      <c r="BE186" s="1252">
        <f t="shared" ca="1" si="57"/>
        <v>3317.3344442972589</v>
      </c>
      <c r="BF186" s="1252">
        <f t="shared" ca="1" si="57"/>
        <v>4101.1617703764796</v>
      </c>
      <c r="BG186" s="1252">
        <f t="shared" ca="1" si="57"/>
        <v>4844.097183367986</v>
      </c>
      <c r="BH186" s="1252">
        <f t="shared" ca="1" si="57"/>
        <v>5519.430879030032</v>
      </c>
      <c r="BI186" s="1252">
        <f t="shared" ca="1" si="57"/>
        <v>6202.7146584073007</v>
      </c>
      <c r="BJ186" s="1248"/>
    </row>
    <row r="187" spans="2:62" s="51" customFormat="1" ht="13.5" customHeight="1">
      <c r="B187" s="1240"/>
      <c r="C187" s="1242" t="s">
        <v>198</v>
      </c>
      <c r="D187" s="1242"/>
      <c r="E187" s="1242"/>
      <c r="F187" s="1242" t="str">
        <f>INDEX(Workstreams[Workstream], MATCH($C187, Workstreams[Code], 0))</f>
        <v>Transport</v>
      </c>
      <c r="G187" s="1250"/>
      <c r="H187" s="1251"/>
      <c r="I187" s="1251"/>
      <c r="J187" s="1251"/>
      <c r="K187" s="1251"/>
      <c r="L187" s="1251"/>
      <c r="M187" s="1251"/>
      <c r="N187" s="1251"/>
      <c r="O187" s="1251"/>
      <c r="P187" s="1251"/>
      <c r="Q187" s="1251"/>
      <c r="R187" s="1251"/>
      <c r="S187" s="1251"/>
      <c r="T187" s="1251"/>
      <c r="U187" s="1251"/>
      <c r="V187" s="1251"/>
      <c r="W187" s="1251"/>
      <c r="X187" s="1251"/>
      <c r="Y187" s="1251"/>
      <c r="Z187" s="1251"/>
      <c r="AA187" s="1251"/>
      <c r="AB187" s="1251"/>
      <c r="AC187" s="1251"/>
      <c r="AD187" s="1251"/>
      <c r="AE187" s="1251"/>
      <c r="AF187" s="1251"/>
      <c r="AG187" s="1251"/>
      <c r="AH187" s="1251"/>
      <c r="AI187" s="1251"/>
      <c r="AJ187" s="1251"/>
      <c r="AK187" s="1251"/>
      <c r="AL187" s="1251"/>
      <c r="AM187" s="1251"/>
      <c r="AN187" s="1251"/>
      <c r="AO187" s="1251"/>
      <c r="AP187" s="1251"/>
      <c r="AQ187" s="1251"/>
      <c r="AR187" s="1251"/>
      <c r="AS187" s="1251"/>
      <c r="AT187" s="1251"/>
      <c r="AU187" s="1251"/>
      <c r="AV187" s="1251"/>
      <c r="AW187" s="1251"/>
      <c r="AX187" s="1241"/>
      <c r="AY187" s="1252">
        <f t="shared" ca="1" si="57"/>
        <v>221.70597052391258</v>
      </c>
      <c r="AZ187" s="1252"/>
      <c r="BA187" s="1252">
        <f t="shared" ca="1" si="57"/>
        <v>221.70597052391261</v>
      </c>
      <c r="BB187" s="1252">
        <f t="shared" ca="1" si="57"/>
        <v>332.72341446359428</v>
      </c>
      <c r="BC187" s="1252">
        <f t="shared" ca="1" si="57"/>
        <v>477.73809644813332</v>
      </c>
      <c r="BD187" s="1252">
        <f t="shared" ca="1" si="57"/>
        <v>649.49680855388033</v>
      </c>
      <c r="BE187" s="1252">
        <f t="shared" ca="1" si="57"/>
        <v>860.97101632540114</v>
      </c>
      <c r="BF187" s="1252">
        <f t="shared" ca="1" si="57"/>
        <v>1104.8989516151646</v>
      </c>
      <c r="BG187" s="1252">
        <f t="shared" ca="1" si="57"/>
        <v>1338.419311507872</v>
      </c>
      <c r="BH187" s="1252">
        <f t="shared" ca="1" si="57"/>
        <v>1594.8309940816716</v>
      </c>
      <c r="BI187" s="1252">
        <f t="shared" ca="1" si="57"/>
        <v>1853.5938094630712</v>
      </c>
      <c r="BJ187" s="1248"/>
    </row>
    <row r="188" spans="2:62" s="51" customFormat="1" ht="13.5" customHeight="1">
      <c r="B188" s="1240"/>
      <c r="C188" s="1242" t="s">
        <v>199</v>
      </c>
      <c r="D188" s="1242"/>
      <c r="E188" s="1242"/>
      <c r="F188" s="1242" t="str">
        <f>INDEX(Workstreams[Workstream], MATCH($C188, Workstreams[Code], 0))</f>
        <v>Cooking</v>
      </c>
      <c r="G188" s="1250"/>
      <c r="H188" s="1251"/>
      <c r="I188" s="1251"/>
      <c r="J188" s="1251"/>
      <c r="K188" s="1251"/>
      <c r="L188" s="1251"/>
      <c r="M188" s="1251"/>
      <c r="N188" s="1251"/>
      <c r="O188" s="1251"/>
      <c r="P188" s="1251"/>
      <c r="Q188" s="1251"/>
      <c r="R188" s="1251"/>
      <c r="S188" s="1251"/>
      <c r="T188" s="1251"/>
      <c r="U188" s="1251"/>
      <c r="V188" s="1251"/>
      <c r="W188" s="1251"/>
      <c r="X188" s="1251"/>
      <c r="Y188" s="1251"/>
      <c r="Z188" s="1251"/>
      <c r="AA188" s="1251"/>
      <c r="AB188" s="1251"/>
      <c r="AC188" s="1251"/>
      <c r="AD188" s="1251"/>
      <c r="AE188" s="1251"/>
      <c r="AF188" s="1251"/>
      <c r="AG188" s="1251"/>
      <c r="AH188" s="1251"/>
      <c r="AI188" s="1251"/>
      <c r="AJ188" s="1251"/>
      <c r="AK188" s="1251"/>
      <c r="AL188" s="1251"/>
      <c r="AM188" s="1251"/>
      <c r="AN188" s="1251"/>
      <c r="AO188" s="1251"/>
      <c r="AP188" s="1251"/>
      <c r="AQ188" s="1251"/>
      <c r="AR188" s="1251"/>
      <c r="AS188" s="1251"/>
      <c r="AT188" s="1251"/>
      <c r="AU188" s="1251"/>
      <c r="AV188" s="1251"/>
      <c r="AW188" s="1251"/>
      <c r="AX188" s="1241"/>
      <c r="AY188" s="1252">
        <f t="shared" ca="1" si="57"/>
        <v>10.704467295035755</v>
      </c>
      <c r="AZ188" s="1252"/>
      <c r="BA188" s="1252">
        <f t="shared" ca="1" si="57"/>
        <v>16.260888821331829</v>
      </c>
      <c r="BB188" s="1252">
        <f t="shared" ca="1" si="57"/>
        <v>24.239503543901211</v>
      </c>
      <c r="BC188" s="1252">
        <f t="shared" ca="1" si="57"/>
        <v>35.933460950189563</v>
      </c>
      <c r="BD188" s="1252">
        <f t="shared" ca="1" si="57"/>
        <v>52.751366453469238</v>
      </c>
      <c r="BE188" s="1252">
        <f t="shared" ca="1" si="57"/>
        <v>195.39740644307</v>
      </c>
      <c r="BF188" s="1252">
        <f t="shared" ca="1" si="57"/>
        <v>103.07922847908272</v>
      </c>
      <c r="BG188" s="1252">
        <f t="shared" ca="1" si="57"/>
        <v>137.80633413788036</v>
      </c>
      <c r="BH188" s="1252">
        <f t="shared" ca="1" si="57"/>
        <v>184.23361666422136</v>
      </c>
      <c r="BI188" s="1252">
        <f t="shared" ca="1" si="57"/>
        <v>246.3033097633579</v>
      </c>
      <c r="BJ188" s="1248"/>
    </row>
    <row r="189" spans="2:62" s="51" customFormat="1" ht="13.5" customHeight="1">
      <c r="B189" s="1240"/>
      <c r="C189" s="1242" t="s">
        <v>194</v>
      </c>
      <c r="D189" s="1242"/>
      <c r="E189" s="1242"/>
      <c r="F189" s="1242" t="str">
        <f>INDEX(Workstreams[Workstream], MATCH($C189, Workstreams[Code], 0))</f>
        <v>Agriculture</v>
      </c>
      <c r="G189" s="1250"/>
      <c r="H189" s="1251"/>
      <c r="I189" s="1251"/>
      <c r="J189" s="1251"/>
      <c r="K189" s="1251"/>
      <c r="L189" s="1251"/>
      <c r="M189" s="1251"/>
      <c r="N189" s="1251"/>
      <c r="O189" s="1251"/>
      <c r="P189" s="1251"/>
      <c r="Q189" s="1251"/>
      <c r="R189" s="1251"/>
      <c r="S189" s="1251"/>
      <c r="T189" s="1251"/>
      <c r="U189" s="1251"/>
      <c r="V189" s="1251"/>
      <c r="W189" s="1251"/>
      <c r="X189" s="1251"/>
      <c r="Y189" s="1251"/>
      <c r="Z189" s="1251"/>
      <c r="AA189" s="1251"/>
      <c r="AB189" s="1251"/>
      <c r="AC189" s="1251"/>
      <c r="AD189" s="1251"/>
      <c r="AE189" s="1251"/>
      <c r="AF189" s="1251"/>
      <c r="AG189" s="1251"/>
      <c r="AH189" s="1251"/>
      <c r="AI189" s="1251"/>
      <c r="AJ189" s="1251"/>
      <c r="AK189" s="1251"/>
      <c r="AL189" s="1251"/>
      <c r="AM189" s="1251"/>
      <c r="AN189" s="1251"/>
      <c r="AO189" s="1251"/>
      <c r="AP189" s="1251"/>
      <c r="AQ189" s="1251"/>
      <c r="AR189" s="1251"/>
      <c r="AS189" s="1251"/>
      <c r="AT189" s="1251"/>
      <c r="AU189" s="1251"/>
      <c r="AV189" s="1251"/>
      <c r="AW189" s="1251"/>
      <c r="AX189" s="1241"/>
      <c r="AY189" s="1252">
        <f t="shared" ca="1" si="57"/>
        <v>20.879036754401042</v>
      </c>
      <c r="AZ189" s="1252"/>
      <c r="BA189" s="1252">
        <f t="shared" ca="1" si="57"/>
        <v>27.03601947205911</v>
      </c>
      <c r="BB189" s="1252">
        <f t="shared" ca="1" si="57"/>
        <v>37.21072446431117</v>
      </c>
      <c r="BC189" s="1252">
        <f t="shared" ca="1" si="57"/>
        <v>50.995495766927469</v>
      </c>
      <c r="BD189" s="1252">
        <f t="shared" ca="1" si="57"/>
        <v>68.186469248991159</v>
      </c>
      <c r="BE189" s="1252">
        <f t="shared" ca="1" si="57"/>
        <v>85.704909681985981</v>
      </c>
      <c r="BF189" s="1252">
        <f t="shared" ca="1" si="57"/>
        <v>91.587093210349664</v>
      </c>
      <c r="BG189" s="1252">
        <f t="shared" ca="1" si="57"/>
        <v>98.698794368998193</v>
      </c>
      <c r="BH189" s="1252">
        <f t="shared" ca="1" si="57"/>
        <v>103.819221533879</v>
      </c>
      <c r="BI189" s="1252">
        <f t="shared" ca="1" si="57"/>
        <v>109.56385666370986</v>
      </c>
      <c r="BJ189" s="1248"/>
    </row>
    <row r="190" spans="2:62" s="51" customFormat="1" ht="13.5" customHeight="1">
      <c r="B190" s="1240"/>
      <c r="C190" s="1242" t="s">
        <v>308</v>
      </c>
      <c r="D190" s="1242"/>
      <c r="E190" s="1242"/>
      <c r="F190" s="1242" t="str">
        <f>INDEX(Workstreams[Workstream], MATCH($C190, Workstreams[Code], 0))</f>
        <v>Fossil fuel production</v>
      </c>
      <c r="G190" s="1250"/>
      <c r="H190" s="1251"/>
      <c r="I190" s="1251"/>
      <c r="J190" s="1251"/>
      <c r="K190" s="1251"/>
      <c r="L190" s="1251"/>
      <c r="M190" s="1251"/>
      <c r="N190" s="1251"/>
      <c r="O190" s="1251"/>
      <c r="P190" s="1251"/>
      <c r="Q190" s="1251"/>
      <c r="R190" s="1251"/>
      <c r="S190" s="1251"/>
      <c r="T190" s="1251"/>
      <c r="U190" s="1251"/>
      <c r="V190" s="1251"/>
      <c r="W190" s="1251"/>
      <c r="X190" s="1251"/>
      <c r="Y190" s="1251"/>
      <c r="Z190" s="1251"/>
      <c r="AA190" s="1251"/>
      <c r="AB190" s="1251"/>
      <c r="AC190" s="1251"/>
      <c r="AD190" s="1251"/>
      <c r="AE190" s="1251"/>
      <c r="AF190" s="1251"/>
      <c r="AG190" s="1251"/>
      <c r="AH190" s="1251"/>
      <c r="AI190" s="1251"/>
      <c r="AJ190" s="1251"/>
      <c r="AK190" s="1251"/>
      <c r="AL190" s="1251"/>
      <c r="AM190" s="1251"/>
      <c r="AN190" s="1251"/>
      <c r="AO190" s="1251"/>
      <c r="AP190" s="1251"/>
      <c r="AQ190" s="1251"/>
      <c r="AR190" s="1251"/>
      <c r="AS190" s="1251"/>
      <c r="AT190" s="1251"/>
      <c r="AU190" s="1251"/>
      <c r="AV190" s="1251"/>
      <c r="AW190" s="1251"/>
      <c r="AX190" s="1241"/>
      <c r="AY190" s="1252">
        <f t="shared" ca="1" si="57"/>
        <v>0</v>
      </c>
      <c r="AZ190" s="1252"/>
      <c r="BA190" s="1252">
        <f t="shared" ca="1" si="57"/>
        <v>0</v>
      </c>
      <c r="BB190" s="1252">
        <f t="shared" ca="1" si="57"/>
        <v>0</v>
      </c>
      <c r="BC190" s="1252">
        <f t="shared" ca="1" si="57"/>
        <v>0</v>
      </c>
      <c r="BD190" s="1252">
        <f t="shared" ca="1" si="57"/>
        <v>0</v>
      </c>
      <c r="BE190" s="1252">
        <f t="shared" ca="1" si="57"/>
        <v>0</v>
      </c>
      <c r="BF190" s="1252">
        <f t="shared" ca="1" si="57"/>
        <v>0</v>
      </c>
      <c r="BG190" s="1252">
        <f t="shared" ca="1" si="57"/>
        <v>0</v>
      </c>
      <c r="BH190" s="1252">
        <f t="shared" ca="1" si="57"/>
        <v>0</v>
      </c>
      <c r="BI190" s="1252">
        <f t="shared" ca="1" si="57"/>
        <v>0</v>
      </c>
      <c r="BJ190" s="1248"/>
    </row>
    <row r="191" spans="2:62" s="51" customFormat="1" ht="13.5" customHeight="1">
      <c r="B191" s="1240"/>
      <c r="C191" s="1242" t="s">
        <v>330</v>
      </c>
      <c r="D191" s="1242"/>
      <c r="E191" s="1242"/>
      <c r="F191" s="1242" t="str">
        <f>INDEX(Workstreams[Workstream], MATCH($C191, Workstreams[Code], 0))</f>
        <v>Telecom</v>
      </c>
      <c r="G191" s="1250"/>
      <c r="H191" s="1251"/>
      <c r="I191" s="1251"/>
      <c r="J191" s="1251"/>
      <c r="K191" s="1251"/>
      <c r="L191" s="1251"/>
      <c r="M191" s="1251"/>
      <c r="N191" s="1251"/>
      <c r="O191" s="1251"/>
      <c r="P191" s="1251"/>
      <c r="Q191" s="1251"/>
      <c r="R191" s="1251"/>
      <c r="S191" s="1251"/>
      <c r="T191" s="1251"/>
      <c r="U191" s="1251"/>
      <c r="V191" s="1251"/>
      <c r="W191" s="1251"/>
      <c r="X191" s="1251"/>
      <c r="Y191" s="1251"/>
      <c r="Z191" s="1251"/>
      <c r="AA191" s="1251"/>
      <c r="AB191" s="1251"/>
      <c r="AC191" s="1251"/>
      <c r="AD191" s="1251"/>
      <c r="AE191" s="1251"/>
      <c r="AF191" s="1251"/>
      <c r="AG191" s="1251"/>
      <c r="AH191" s="1251"/>
      <c r="AI191" s="1251"/>
      <c r="AJ191" s="1251"/>
      <c r="AK191" s="1251"/>
      <c r="AL191" s="1251"/>
      <c r="AM191" s="1251"/>
      <c r="AN191" s="1251"/>
      <c r="AO191" s="1251"/>
      <c r="AP191" s="1251"/>
      <c r="AQ191" s="1251"/>
      <c r="AR191" s="1251"/>
      <c r="AS191" s="1251"/>
      <c r="AT191" s="1251"/>
      <c r="AU191" s="1251"/>
      <c r="AV191" s="1251"/>
      <c r="AW191" s="1251"/>
      <c r="AX191" s="1241"/>
      <c r="AY191" s="1252">
        <f t="shared" ca="1" si="57"/>
        <v>3.0726872469131559</v>
      </c>
      <c r="AZ191" s="1252"/>
      <c r="BA191" s="1252">
        <f t="shared" ca="1" si="57"/>
        <v>18.29421654212566</v>
      </c>
      <c r="BB191" s="1252">
        <f t="shared" ca="1" si="57"/>
        <v>21.177514905456842</v>
      </c>
      <c r="BC191" s="1252">
        <f t="shared" ca="1" si="57"/>
        <v>25.074678438244892</v>
      </c>
      <c r="BD191" s="1252">
        <f t="shared" ca="1" si="57"/>
        <v>32.320342968977968</v>
      </c>
      <c r="BE191" s="1252">
        <f t="shared" ca="1" si="57"/>
        <v>36.462928193339295</v>
      </c>
      <c r="BF191" s="1252">
        <f t="shared" ca="1" si="57"/>
        <v>35.469500008939789</v>
      </c>
      <c r="BG191" s="1252">
        <f t="shared" ca="1" si="57"/>
        <v>36.23072660274935</v>
      </c>
      <c r="BH191" s="1252">
        <f t="shared" ca="1" si="57"/>
        <v>41.661688969135909</v>
      </c>
      <c r="BI191" s="1252">
        <f t="shared" ca="1" si="57"/>
        <v>52.715327395312691</v>
      </c>
      <c r="BJ191" s="1248"/>
    </row>
    <row r="192" spans="2:62" s="51" customFormat="1" ht="13.5" customHeight="1">
      <c r="B192" s="1240"/>
      <c r="C192" s="1242" t="s">
        <v>409</v>
      </c>
      <c r="D192" s="1242"/>
      <c r="E192" s="1242"/>
      <c r="F192" s="1242" t="str">
        <f>INDEX(Workstreams[Workstream], MATCH($C192, Workstreams[Code], 0))</f>
        <v>Transfer</v>
      </c>
      <c r="G192" s="1250"/>
      <c r="H192" s="1251"/>
      <c r="I192" s="1251"/>
      <c r="J192" s="1251"/>
      <c r="K192" s="1251"/>
      <c r="L192" s="1251"/>
      <c r="M192" s="1251"/>
      <c r="N192" s="1251"/>
      <c r="O192" s="1251"/>
      <c r="P192" s="1251"/>
      <c r="Q192" s="1251"/>
      <c r="R192" s="1251"/>
      <c r="S192" s="1251"/>
      <c r="T192" s="1251"/>
      <c r="U192" s="1251"/>
      <c r="V192" s="1251"/>
      <c r="W192" s="1251"/>
      <c r="X192" s="1251"/>
      <c r="Y192" s="1251"/>
      <c r="Z192" s="1251"/>
      <c r="AA192" s="1251"/>
      <c r="AB192" s="1251"/>
      <c r="AC192" s="1251"/>
      <c r="AD192" s="1251"/>
      <c r="AE192" s="1251"/>
      <c r="AF192" s="1251"/>
      <c r="AG192" s="1251"/>
      <c r="AH192" s="1251"/>
      <c r="AI192" s="1251"/>
      <c r="AJ192" s="1251"/>
      <c r="AK192" s="1251"/>
      <c r="AL192" s="1251"/>
      <c r="AM192" s="1251"/>
      <c r="AN192" s="1251"/>
      <c r="AO192" s="1251"/>
      <c r="AP192" s="1251"/>
      <c r="AQ192" s="1251"/>
      <c r="AR192" s="1251"/>
      <c r="AS192" s="1251"/>
      <c r="AT192" s="1251"/>
      <c r="AU192" s="1251"/>
      <c r="AV192" s="1251"/>
      <c r="AW192" s="1251"/>
      <c r="AX192" s="1241"/>
      <c r="AY192" s="1252">
        <f t="shared" ca="1" si="57"/>
        <v>0</v>
      </c>
      <c r="AZ192" s="1252"/>
      <c r="BA192" s="1252">
        <f t="shared" ca="1" si="57"/>
        <v>0</v>
      </c>
      <c r="BB192" s="1252">
        <f t="shared" ca="1" si="57"/>
        <v>0</v>
      </c>
      <c r="BC192" s="1252">
        <f t="shared" ca="1" si="57"/>
        <v>0</v>
      </c>
      <c r="BD192" s="1252">
        <f t="shared" ca="1" si="57"/>
        <v>0</v>
      </c>
      <c r="BE192" s="1252">
        <f t="shared" ca="1" si="57"/>
        <v>0</v>
      </c>
      <c r="BF192" s="1252">
        <f t="shared" ca="1" si="57"/>
        <v>0</v>
      </c>
      <c r="BG192" s="1252">
        <f t="shared" ca="1" si="57"/>
        <v>0</v>
      </c>
      <c r="BH192" s="1252">
        <f t="shared" ca="1" si="57"/>
        <v>0</v>
      </c>
      <c r="BI192" s="1252">
        <f t="shared" ca="1" si="57"/>
        <v>0</v>
      </c>
      <c r="BJ192" s="1248"/>
    </row>
    <row r="193" spans="2:62" s="51" customFormat="1" ht="13.5" customHeight="1">
      <c r="B193" s="1240"/>
      <c r="C193" s="1241"/>
      <c r="D193" s="1242"/>
      <c r="E193" s="1242"/>
      <c r="F193" s="1242" t="s">
        <v>103</v>
      </c>
      <c r="G193" s="1242"/>
      <c r="H193" s="1249"/>
      <c r="I193" s="1249"/>
      <c r="J193" s="1249"/>
      <c r="K193" s="1249"/>
      <c r="L193" s="1249"/>
      <c r="M193" s="1249"/>
      <c r="N193" s="1249"/>
      <c r="O193" s="1249"/>
      <c r="P193" s="1249"/>
      <c r="Q193" s="1249"/>
      <c r="R193" s="1249"/>
      <c r="S193" s="1249"/>
      <c r="T193" s="1249"/>
      <c r="U193" s="1249"/>
      <c r="V193" s="1249"/>
      <c r="W193" s="1249"/>
      <c r="X193" s="1249"/>
      <c r="Y193" s="1249"/>
      <c r="Z193" s="1249"/>
      <c r="AA193" s="1249"/>
      <c r="AB193" s="1249"/>
      <c r="AC193" s="1249"/>
      <c r="AD193" s="1249"/>
      <c r="AE193" s="1249"/>
      <c r="AF193" s="1249"/>
      <c r="AG193" s="1249"/>
      <c r="AH193" s="1249"/>
      <c r="AI193" s="1249"/>
      <c r="AJ193" s="1249"/>
      <c r="AK193" s="1249"/>
      <c r="AL193" s="1249"/>
      <c r="AM193" s="1249"/>
      <c r="AN193" s="1249"/>
      <c r="AO193" s="1249"/>
      <c r="AP193" s="1249"/>
      <c r="AQ193" s="1249"/>
      <c r="AR193" s="1249"/>
      <c r="AS193" s="1249"/>
      <c r="AT193" s="1249"/>
      <c r="AU193" s="1249"/>
      <c r="AV193" s="1249"/>
      <c r="AW193" s="1249"/>
      <c r="AX193" s="1241"/>
      <c r="AY193" s="1253">
        <f t="shared" ref="AY193:BI193" ca="1" si="58">SUM(AY176:AY192)</f>
        <v>1195.8572826101824</v>
      </c>
      <c r="AZ193" s="1253"/>
      <c r="BA193" s="1253">
        <f t="shared" ca="1" si="58"/>
        <v>1733.1001289422813</v>
      </c>
      <c r="BB193" s="1253">
        <f t="shared" ca="1" si="58"/>
        <v>2533.7480441334887</v>
      </c>
      <c r="BC193" s="1253">
        <f t="shared" ca="1" si="58"/>
        <v>3806.5855192566146</v>
      </c>
      <c r="BD193" s="1253">
        <f t="shared" ca="1" si="58"/>
        <v>5353.8417564593346</v>
      </c>
      <c r="BE193" s="1253">
        <f t="shared" ca="1" si="58"/>
        <v>7378.9613953270882</v>
      </c>
      <c r="BF193" s="1253">
        <f t="shared" ca="1" si="58"/>
        <v>9144.171323693894</v>
      </c>
      <c r="BG193" s="1253">
        <f t="shared" ca="1" si="58"/>
        <v>11117.207383316709</v>
      </c>
      <c r="BH193" s="1253">
        <f t="shared" ca="1" si="58"/>
        <v>12981.228276226235</v>
      </c>
      <c r="BI193" s="1253">
        <f t="shared" ca="1" si="58"/>
        <v>14990.151831648607</v>
      </c>
      <c r="BJ193" s="1248"/>
    </row>
    <row r="194" spans="2:62">
      <c r="B194" s="1240"/>
      <c r="C194" s="1214"/>
      <c r="D194" s="1214"/>
      <c r="E194" s="1214"/>
      <c r="F194" s="1236" t="s">
        <v>1171</v>
      </c>
      <c r="G194" s="1236"/>
      <c r="H194" s="1254"/>
      <c r="I194" s="1254"/>
      <c r="J194" s="1254"/>
      <c r="K194" s="1254"/>
      <c r="L194" s="1254"/>
      <c r="M194" s="1254"/>
      <c r="N194" s="1254"/>
      <c r="O194" s="1254"/>
      <c r="P194" s="1254"/>
      <c r="Q194" s="1254"/>
      <c r="R194" s="1254"/>
      <c r="S194" s="1254"/>
      <c r="T194" s="1254"/>
      <c r="U194" s="1254"/>
      <c r="V194" s="1254"/>
      <c r="W194" s="1254"/>
      <c r="X194" s="1254"/>
      <c r="Y194" s="1254"/>
      <c r="Z194" s="1254"/>
      <c r="AA194" s="1254"/>
      <c r="AB194" s="1254"/>
      <c r="AC194" s="1254"/>
      <c r="AD194" s="1254"/>
      <c r="AE194" s="1254"/>
      <c r="AF194" s="1254"/>
      <c r="AG194" s="1254"/>
      <c r="AH194" s="1254"/>
      <c r="AI194" s="1254"/>
      <c r="AJ194" s="1254"/>
      <c r="AK194" s="1254"/>
      <c r="AL194" s="1254"/>
      <c r="AM194" s="1254"/>
      <c r="AN194" s="1254"/>
      <c r="AO194" s="1254"/>
      <c r="AP194" s="1254"/>
      <c r="AQ194" s="1254"/>
      <c r="AR194" s="1254"/>
      <c r="AS194" s="1254"/>
      <c r="AT194" s="1254"/>
      <c r="AU194" s="1254"/>
      <c r="AV194" s="1254"/>
      <c r="AW194" s="1254"/>
      <c r="AX194" s="1214"/>
      <c r="AY194" s="1214"/>
      <c r="AZ194" s="1214"/>
      <c r="BA194" s="1255">
        <f ca="1">(AY193*(BA175-AY175))+BA193+((BA193-AY193)*6/(BA175-AY175))</f>
        <v>8357.0779575917113</v>
      </c>
      <c r="BB194" s="1255">
        <f t="shared" ref="BB194:BI194" ca="1" si="59">(BA193*(BB175-BA175-1))+BB193+((BB193-BA193)*10/(BB175-BA175))</f>
        <v>11067.444390285029</v>
      </c>
      <c r="BC194" s="1255">
        <f t="shared" ca="1" si="59"/>
        <v>16487.252646036821</v>
      </c>
      <c r="BD194" s="1255">
        <f t="shared" ca="1" si="59"/>
        <v>23674.696307891234</v>
      </c>
      <c r="BE194" s="1255">
        <f t="shared" ca="1" si="59"/>
        <v>32844.567698899933</v>
      </c>
      <c r="BF194" s="1255">
        <f t="shared" ca="1" si="59"/>
        <v>42190.436761735858</v>
      </c>
      <c r="BG194" s="1255">
        <f t="shared" ca="1" si="59"/>
        <v>51639.964797337918</v>
      </c>
      <c r="BH194" s="1255">
        <f t="shared" ca="1" si="59"/>
        <v>61178.099595312116</v>
      </c>
      <c r="BI194" s="1255">
        <f t="shared" ca="1" si="59"/>
        <v>70932.912047398291</v>
      </c>
      <c r="BJ194" s="1217" t="s">
        <v>1172</v>
      </c>
    </row>
    <row r="195" spans="2:62" ht="15.75">
      <c r="B195" s="1240"/>
      <c r="C195" s="1218" t="s">
        <v>1173</v>
      </c>
      <c r="D195" s="1214"/>
      <c r="E195" s="1214"/>
      <c r="F195" s="1236" t="s">
        <v>1174</v>
      </c>
      <c r="G195" s="1236"/>
      <c r="H195" s="1254"/>
      <c r="I195" s="1254"/>
      <c r="J195" s="1254"/>
      <c r="K195" s="1254"/>
      <c r="L195" s="1254"/>
      <c r="M195" s="1254"/>
      <c r="N195" s="1254"/>
      <c r="O195" s="1254"/>
      <c r="P195" s="1254"/>
      <c r="Q195" s="1254"/>
      <c r="R195" s="1254"/>
      <c r="S195" s="1254"/>
      <c r="T195" s="1254"/>
      <c r="U195" s="1254"/>
      <c r="V195" s="1254"/>
      <c r="W195" s="1254"/>
      <c r="X195" s="1254"/>
      <c r="Y195" s="1254"/>
      <c r="Z195" s="1254"/>
      <c r="AA195" s="1254"/>
      <c r="AB195" s="1254"/>
      <c r="AC195" s="1254"/>
      <c r="AD195" s="1254"/>
      <c r="AE195" s="1254"/>
      <c r="AF195" s="1254"/>
      <c r="AG195" s="1254"/>
      <c r="AH195" s="1254"/>
      <c r="AI195" s="1254"/>
      <c r="AJ195" s="1254"/>
      <c r="AK195" s="1254"/>
      <c r="AL195" s="1254"/>
      <c r="AM195" s="1254"/>
      <c r="AN195" s="1254"/>
      <c r="AO195" s="1254"/>
      <c r="AP195" s="1254"/>
      <c r="AQ195" s="1254"/>
      <c r="AR195" s="1254"/>
      <c r="AS195" s="1254"/>
      <c r="AT195" s="1254"/>
      <c r="AU195" s="1254"/>
      <c r="AV195" s="1254"/>
      <c r="AW195" s="1254"/>
      <c r="AX195" s="1214"/>
      <c r="AY195" s="1214"/>
      <c r="AZ195" s="1214"/>
      <c r="BA195" s="1256">
        <f ca="1">BA194</f>
        <v>8357.0779575917113</v>
      </c>
      <c r="BB195" s="1256">
        <f ca="1">BB194+BA194</f>
        <v>19424.52234787674</v>
      </c>
      <c r="BC195" s="1256">
        <f t="shared" ref="BC195:BI195" ca="1" si="60">BC194+BB195</f>
        <v>35911.774993913561</v>
      </c>
      <c r="BD195" s="1256">
        <f t="shared" ca="1" si="60"/>
        <v>59586.471301804791</v>
      </c>
      <c r="BE195" s="1256">
        <f t="shared" ca="1" si="60"/>
        <v>92431.039000704724</v>
      </c>
      <c r="BF195" s="1256">
        <f t="shared" ca="1" si="60"/>
        <v>134621.47576244059</v>
      </c>
      <c r="BG195" s="1256">
        <f t="shared" ca="1" si="60"/>
        <v>186261.44055977851</v>
      </c>
      <c r="BH195" s="1256">
        <f t="shared" ca="1" si="60"/>
        <v>247439.54015509062</v>
      </c>
      <c r="BI195" s="1256">
        <f t="shared" ca="1" si="60"/>
        <v>318372.4522024889</v>
      </c>
      <c r="BJ195" s="1217"/>
    </row>
    <row r="196" spans="2:62">
      <c r="B196" s="1219"/>
      <c r="C196" s="1214"/>
      <c r="D196" s="1214"/>
      <c r="E196" s="1214"/>
      <c r="F196" s="1214"/>
      <c r="G196" s="1214"/>
      <c r="H196" s="1215"/>
      <c r="I196" s="1215"/>
      <c r="J196" s="1215"/>
      <c r="K196" s="1215"/>
      <c r="L196" s="1215"/>
      <c r="M196" s="1215"/>
      <c r="N196" s="1215"/>
      <c r="O196" s="1215"/>
      <c r="P196" s="1215"/>
      <c r="Q196" s="1215"/>
      <c r="R196" s="1215"/>
      <c r="S196" s="1215"/>
      <c r="T196" s="1215"/>
      <c r="U196" s="1215"/>
      <c r="V196" s="1215"/>
      <c r="W196" s="1215"/>
      <c r="X196" s="1215"/>
      <c r="Y196" s="1215"/>
      <c r="Z196" s="1215"/>
      <c r="AA196" s="1215"/>
      <c r="AB196" s="1215"/>
      <c r="AC196" s="1215"/>
      <c r="AD196" s="1215"/>
      <c r="AE196" s="1215"/>
      <c r="AF196" s="1215"/>
      <c r="AG196" s="1215"/>
      <c r="AH196" s="1215"/>
      <c r="AI196" s="1215"/>
      <c r="AJ196" s="1215"/>
      <c r="AK196" s="1215"/>
      <c r="AL196" s="1215"/>
      <c r="AM196" s="1215"/>
      <c r="AN196" s="1215"/>
      <c r="AO196" s="1215"/>
      <c r="AP196" s="1215"/>
      <c r="AQ196" s="1215"/>
      <c r="AR196" s="1215"/>
      <c r="AS196" s="1215"/>
      <c r="AT196" s="1215"/>
      <c r="AU196" s="1215"/>
      <c r="AV196" s="1215"/>
      <c r="AW196" s="1215"/>
      <c r="AX196" s="1214"/>
      <c r="AY196" s="1214"/>
      <c r="AZ196" s="1214"/>
      <c r="BA196" s="1214"/>
      <c r="BB196" s="1214"/>
      <c r="BC196" s="1214"/>
      <c r="BD196" s="1214"/>
      <c r="BE196" s="1214"/>
      <c r="BF196" s="1214"/>
      <c r="BG196" s="1214"/>
      <c r="BH196" s="1214"/>
      <c r="BI196" s="1214"/>
      <c r="BJ196" s="1217"/>
    </row>
    <row r="197" spans="2:62">
      <c r="B197" s="1219"/>
      <c r="C197" s="1214"/>
      <c r="D197" s="1220" t="s">
        <v>337</v>
      </c>
      <c r="E197" s="1214"/>
      <c r="F197" s="1214" t="s">
        <v>1175</v>
      </c>
      <c r="G197" s="1214"/>
      <c r="H197" s="1215"/>
      <c r="I197" s="1215"/>
      <c r="J197" s="1215"/>
      <c r="K197" s="1215"/>
      <c r="L197" s="1215"/>
      <c r="M197" s="1215"/>
      <c r="N197" s="1215"/>
      <c r="O197" s="1215"/>
      <c r="P197" s="1215"/>
      <c r="Q197" s="1215"/>
      <c r="R197" s="1215"/>
      <c r="S197" s="1215"/>
      <c r="T197" s="1215"/>
      <c r="U197" s="1215"/>
      <c r="V197" s="1215"/>
      <c r="W197" s="1215"/>
      <c r="X197" s="1215"/>
      <c r="Y197" s="1215"/>
      <c r="Z197" s="1215"/>
      <c r="AA197" s="1215"/>
      <c r="AB197" s="1215">
        <v>1990</v>
      </c>
      <c r="AC197" s="1215">
        <v>1991</v>
      </c>
      <c r="AD197" s="1215">
        <v>1992</v>
      </c>
      <c r="AE197" s="1215">
        <v>1993</v>
      </c>
      <c r="AF197" s="1215">
        <v>1994</v>
      </c>
      <c r="AG197" s="1215">
        <v>1995</v>
      </c>
      <c r="AH197" s="1215">
        <v>1996</v>
      </c>
      <c r="AI197" s="1215">
        <v>1997</v>
      </c>
      <c r="AJ197" s="1215">
        <v>1998</v>
      </c>
      <c r="AK197" s="1215">
        <v>1999</v>
      </c>
      <c r="AL197" s="1215">
        <v>2000</v>
      </c>
      <c r="AM197" s="1215">
        <v>2001</v>
      </c>
      <c r="AN197" s="1215">
        <v>2002</v>
      </c>
      <c r="AO197" s="1215">
        <v>2003</v>
      </c>
      <c r="AP197" s="1215">
        <v>2004</v>
      </c>
      <c r="AQ197" s="1215">
        <v>2005</v>
      </c>
      <c r="AR197" s="1215">
        <v>2006</v>
      </c>
      <c r="AS197" s="1215">
        <v>2007</v>
      </c>
      <c r="AT197" s="1215">
        <v>2008</v>
      </c>
      <c r="AU197" s="1215">
        <v>2009</v>
      </c>
      <c r="AV197" s="1215">
        <v>2010</v>
      </c>
      <c r="AW197" s="1215"/>
      <c r="AX197" s="1214"/>
      <c r="AY197" s="1214"/>
      <c r="AZ197" s="1214"/>
      <c r="BA197" s="1214"/>
      <c r="BB197" s="1214"/>
      <c r="BC197" s="1214"/>
      <c r="BD197" s="1214"/>
      <c r="BE197" s="1214"/>
      <c r="BF197" s="1214"/>
      <c r="BG197" s="1214"/>
      <c r="BH197" s="1214"/>
      <c r="BI197" s="1216" t="s">
        <v>367</v>
      </c>
      <c r="BJ197" s="1217"/>
    </row>
    <row r="198" spans="2:62" s="410" customFormat="1">
      <c r="B198" s="1219"/>
      <c r="C198" s="1222" t="s">
        <v>359</v>
      </c>
      <c r="D198" s="1223" t="str">
        <f>INDEX(IPCC[Sector_description], MATCH($C198, IPCC[Sector_code], 0))</f>
        <v>Fuel Combustion</v>
      </c>
      <c r="E198" s="1214"/>
      <c r="F198" s="1224"/>
      <c r="G198" s="1224"/>
      <c r="H198" s="1225"/>
      <c r="I198" s="1225"/>
      <c r="J198" s="1225"/>
      <c r="K198" s="1225"/>
      <c r="L198" s="1225"/>
      <c r="M198" s="1225"/>
      <c r="N198" s="1225"/>
      <c r="O198" s="1225"/>
      <c r="P198" s="1225"/>
      <c r="Q198" s="1225"/>
      <c r="R198" s="1225"/>
      <c r="S198" s="1225"/>
      <c r="T198" s="1225"/>
      <c r="U198" s="1225"/>
      <c r="V198" s="1225"/>
      <c r="W198" s="1225"/>
      <c r="X198" s="1225"/>
      <c r="Y198" s="1225"/>
      <c r="Z198" s="1225"/>
      <c r="AA198" s="1225"/>
      <c r="AB198" s="1225">
        <v>574.32095470838158</v>
      </c>
      <c r="AC198" s="1225">
        <v>584.07437428245817</v>
      </c>
      <c r="AD198" s="1225">
        <v>567.77562980428604</v>
      </c>
      <c r="AE198" s="1225">
        <v>553.33753691323284</v>
      </c>
      <c r="AF198" s="1225">
        <v>546.2326953595707</v>
      </c>
      <c r="AG198" s="1225">
        <v>536.02033883393392</v>
      </c>
      <c r="AH198" s="1225">
        <v>556.6263616262188</v>
      </c>
      <c r="AI198" s="1225">
        <v>534.74891299255432</v>
      </c>
      <c r="AJ198" s="1225">
        <v>538.75473446895467</v>
      </c>
      <c r="AK198" s="1225">
        <v>530.66566313949943</v>
      </c>
      <c r="AL198" s="1225">
        <v>539.00049895868733</v>
      </c>
      <c r="AM198" s="1225">
        <v>552.19141203114191</v>
      </c>
      <c r="AN198" s="1225">
        <v>536.21693879087923</v>
      </c>
      <c r="AO198" s="1225">
        <v>545.64182602813037</v>
      </c>
      <c r="AP198" s="1225">
        <v>546.91526250414915</v>
      </c>
      <c r="AQ198" s="1225">
        <v>542.80240867747409</v>
      </c>
      <c r="AR198" s="1225">
        <v>542.65668632601535</v>
      </c>
      <c r="AS198" s="1225">
        <v>534.02574552989233</v>
      </c>
      <c r="AT198" s="1225">
        <v>522.9479251564137</v>
      </c>
      <c r="AU198" s="1225">
        <v>475.60178758150977</v>
      </c>
      <c r="AV198" s="1225">
        <v>492.7502706136072</v>
      </c>
      <c r="AW198" s="1257" t="s">
        <v>1176</v>
      </c>
      <c r="AX198" s="1226"/>
      <c r="AY198" s="1224">
        <f t="shared" ref="AY198:BI199" ca="1" si="61">SUMIFS(INDIRECT("'"&amp;AY$4&amp;"'!Year.Emissions"), INDIRECT("'"&amp;AY$4&amp;"'!Year.IPCC"), $C198)</f>
        <v>1178.5139623629584</v>
      </c>
      <c r="AZ198" s="1224"/>
      <c r="BA198" s="1224">
        <f t="shared" ca="1" si="61"/>
        <v>1542.9858078670618</v>
      </c>
      <c r="BB198" s="1224">
        <f t="shared" ca="1" si="61"/>
        <v>2156.3230931819899</v>
      </c>
      <c r="BC198" s="1224">
        <f t="shared" ca="1" si="61"/>
        <v>3134.8651799678455</v>
      </c>
      <c r="BD198" s="1224">
        <f t="shared" ca="1" si="61"/>
        <v>4344.0867964535209</v>
      </c>
      <c r="BE198" s="1224">
        <f t="shared" ca="1" si="61"/>
        <v>6004.0538581476249</v>
      </c>
      <c r="BF198" s="1224">
        <f t="shared" ca="1" si="61"/>
        <v>7384.0961877553927</v>
      </c>
      <c r="BG198" s="1224">
        <f t="shared" ca="1" si="61"/>
        <v>9000.8954295893436</v>
      </c>
      <c r="BH198" s="1224">
        <f t="shared" ca="1" si="61"/>
        <v>10532.623812014712</v>
      </c>
      <c r="BI198" s="1224">
        <f t="shared" ca="1" si="61"/>
        <v>12204.306963259591</v>
      </c>
      <c r="BJ198" s="1227"/>
    </row>
    <row r="199" spans="2:62" s="410" customFormat="1">
      <c r="B199" s="1219"/>
      <c r="C199" s="1222" t="s">
        <v>358</v>
      </c>
      <c r="D199" s="1223" t="str">
        <f>INDEX(IPCC[Sector_description], MATCH($C199, IPCC[Sector_code], 0))</f>
        <v>Fugitive Emissions from Fuels</v>
      </c>
      <c r="E199" s="1214"/>
      <c r="F199" s="1224"/>
      <c r="G199" s="1224"/>
      <c r="H199" s="1225"/>
      <c r="I199" s="1225"/>
      <c r="J199" s="1225"/>
      <c r="K199" s="1225"/>
      <c r="L199" s="1225"/>
      <c r="M199" s="1225"/>
      <c r="N199" s="1225"/>
      <c r="O199" s="1225"/>
      <c r="P199" s="1225"/>
      <c r="Q199" s="1225"/>
      <c r="R199" s="1225"/>
      <c r="S199" s="1225"/>
      <c r="T199" s="1225"/>
      <c r="U199" s="1225"/>
      <c r="V199" s="1225"/>
      <c r="W199" s="1225"/>
      <c r="X199" s="1225"/>
      <c r="Y199" s="1225"/>
      <c r="Z199" s="1225"/>
      <c r="AA199" s="1225"/>
      <c r="AB199" s="1225">
        <v>35.28336958104466</v>
      </c>
      <c r="AC199" s="1225">
        <v>35.182983866091305</v>
      </c>
      <c r="AD199" s="1225">
        <v>35.289835728726885</v>
      </c>
      <c r="AE199" s="1225">
        <v>34.031013507405163</v>
      </c>
      <c r="AF199" s="1225">
        <v>28.324761088666332</v>
      </c>
      <c r="AG199" s="1225">
        <v>31.042353791967415</v>
      </c>
      <c r="AH199" s="1225">
        <v>30.473334583513346</v>
      </c>
      <c r="AI199" s="1225">
        <v>27.620233281205483</v>
      </c>
      <c r="AJ199" s="1225">
        <v>25.397431061510737</v>
      </c>
      <c r="AK199" s="1225">
        <v>22.308283841071088</v>
      </c>
      <c r="AL199" s="1225">
        <v>20.536975736659553</v>
      </c>
      <c r="AM199" s="1225">
        <v>20.019669009851356</v>
      </c>
      <c r="AN199" s="1225">
        <v>19.40477630089951</v>
      </c>
      <c r="AO199" s="1225">
        <v>16.07854267407026</v>
      </c>
      <c r="AP199" s="1225">
        <v>15.736887486965456</v>
      </c>
      <c r="AQ199" s="1225">
        <v>14.992284178784804</v>
      </c>
      <c r="AR199" s="1225">
        <v>13.510923257815429</v>
      </c>
      <c r="AS199" s="1225">
        <v>12.929712235090694</v>
      </c>
      <c r="AT199" s="1225">
        <v>11.879194090477329</v>
      </c>
      <c r="AU199" s="1225">
        <v>12.040107260360204</v>
      </c>
      <c r="AV199" s="1225">
        <v>11.646390385331518</v>
      </c>
      <c r="AW199" s="1257" t="s">
        <v>1176</v>
      </c>
      <c r="AX199" s="1226"/>
      <c r="AY199" s="1224">
        <f t="shared" ca="1" si="61"/>
        <v>0</v>
      </c>
      <c r="AZ199" s="1224"/>
      <c r="BA199" s="1224">
        <f t="shared" ca="1" si="61"/>
        <v>0</v>
      </c>
      <c r="BB199" s="1224">
        <f t="shared" ca="1" si="61"/>
        <v>0</v>
      </c>
      <c r="BC199" s="1224">
        <f t="shared" ca="1" si="61"/>
        <v>0</v>
      </c>
      <c r="BD199" s="1224">
        <f t="shared" ca="1" si="61"/>
        <v>0</v>
      </c>
      <c r="BE199" s="1224">
        <f t="shared" ca="1" si="61"/>
        <v>0</v>
      </c>
      <c r="BF199" s="1224">
        <f t="shared" ca="1" si="61"/>
        <v>0</v>
      </c>
      <c r="BG199" s="1224">
        <f t="shared" ca="1" si="61"/>
        <v>0</v>
      </c>
      <c r="BH199" s="1224">
        <f t="shared" ca="1" si="61"/>
        <v>0</v>
      </c>
      <c r="BI199" s="1224">
        <f t="shared" ca="1" si="61"/>
        <v>0</v>
      </c>
      <c r="BJ199" s="1227"/>
    </row>
    <row r="200" spans="2:62">
      <c r="B200" s="1221"/>
      <c r="C200" s="1216">
        <v>1</v>
      </c>
      <c r="D200" s="1214" t="s">
        <v>338</v>
      </c>
      <c r="E200" s="1214"/>
      <c r="F200" s="1258"/>
      <c r="G200" s="1258"/>
      <c r="H200" s="1257"/>
      <c r="I200" s="1257"/>
      <c r="J200" s="1257"/>
      <c r="K200" s="1257"/>
      <c r="L200" s="1257"/>
      <c r="M200" s="1257"/>
      <c r="N200" s="1257"/>
      <c r="O200" s="1257"/>
      <c r="P200" s="1257"/>
      <c r="Q200" s="1257"/>
      <c r="R200" s="1257"/>
      <c r="S200" s="1257"/>
      <c r="T200" s="1257"/>
      <c r="U200" s="1257"/>
      <c r="V200" s="1257"/>
      <c r="W200" s="1257"/>
      <c r="X200" s="1257"/>
      <c r="Y200" s="1257"/>
      <c r="Z200" s="1257"/>
      <c r="AA200" s="1257"/>
      <c r="AB200" s="1257">
        <v>609.60432428942624</v>
      </c>
      <c r="AC200" s="1257">
        <v>619.25735814854954</v>
      </c>
      <c r="AD200" s="1257">
        <v>603.06546553301303</v>
      </c>
      <c r="AE200" s="1257">
        <v>587.36855042063803</v>
      </c>
      <c r="AF200" s="1257">
        <v>574.55745644823708</v>
      </c>
      <c r="AG200" s="1257">
        <v>567.06269262590126</v>
      </c>
      <c r="AH200" s="1257">
        <v>587.09969620973209</v>
      </c>
      <c r="AI200" s="1257">
        <v>562.36914627375972</v>
      </c>
      <c r="AJ200" s="1257">
        <v>564.15216553046548</v>
      </c>
      <c r="AK200" s="1257">
        <v>552.97394698057042</v>
      </c>
      <c r="AL200" s="1257">
        <v>559.53747469534676</v>
      </c>
      <c r="AM200" s="1257">
        <v>572.21108104099335</v>
      </c>
      <c r="AN200" s="1257">
        <v>555.62171509177858</v>
      </c>
      <c r="AO200" s="1257">
        <v>561.72036870220063</v>
      </c>
      <c r="AP200" s="1257">
        <v>562.65214999111447</v>
      </c>
      <c r="AQ200" s="1257">
        <v>557.79469285625896</v>
      </c>
      <c r="AR200" s="1257">
        <v>556.16760958383077</v>
      </c>
      <c r="AS200" s="1257">
        <v>546.95545776498307</v>
      </c>
      <c r="AT200" s="1257">
        <v>534.82711924689102</v>
      </c>
      <c r="AU200" s="1257">
        <v>487.64189484186994</v>
      </c>
      <c r="AV200" s="1257">
        <v>504.39666099893867</v>
      </c>
      <c r="AW200" s="1257" t="s">
        <v>1176</v>
      </c>
      <c r="AX200" s="1226"/>
      <c r="AY200" s="1258">
        <f t="shared" ref="AY200:BI200" ca="1" si="62">AY198+AY199</f>
        <v>1178.5139623629584</v>
      </c>
      <c r="AZ200" s="1258"/>
      <c r="BA200" s="1258">
        <f t="shared" ca="1" si="62"/>
        <v>1542.9858078670618</v>
      </c>
      <c r="BB200" s="1258">
        <f t="shared" ca="1" si="62"/>
        <v>2156.3230931819899</v>
      </c>
      <c r="BC200" s="1258">
        <f t="shared" ca="1" si="62"/>
        <v>3134.8651799678455</v>
      </c>
      <c r="BD200" s="1258">
        <f t="shared" ca="1" si="62"/>
        <v>4344.0867964535209</v>
      </c>
      <c r="BE200" s="1258">
        <f t="shared" ca="1" si="62"/>
        <v>6004.0538581476249</v>
      </c>
      <c r="BF200" s="1258">
        <f t="shared" ca="1" si="62"/>
        <v>7384.0961877553927</v>
      </c>
      <c r="BG200" s="1258">
        <f t="shared" ca="1" si="62"/>
        <v>9000.8954295893436</v>
      </c>
      <c r="BH200" s="1258">
        <f t="shared" ca="1" si="62"/>
        <v>10532.623812014712</v>
      </c>
      <c r="BI200" s="1258">
        <f t="shared" ca="1" si="62"/>
        <v>12204.306963259591</v>
      </c>
      <c r="BJ200" s="1217"/>
    </row>
    <row r="201" spans="2:62">
      <c r="B201" s="1221"/>
      <c r="C201" s="1216">
        <v>2</v>
      </c>
      <c r="D201" s="1223" t="str">
        <f>INDEX(IPCC[Sector_description], MATCH($C201, IPCC[Sector_code], 0))</f>
        <v>Industrial Processes</v>
      </c>
      <c r="E201" s="1214"/>
      <c r="F201" s="1258"/>
      <c r="G201" s="1258"/>
      <c r="H201" s="1257"/>
      <c r="I201" s="1257"/>
      <c r="J201" s="1257"/>
      <c r="K201" s="1257"/>
      <c r="L201" s="1257"/>
      <c r="M201" s="1257"/>
      <c r="N201" s="1257"/>
      <c r="O201" s="1257"/>
      <c r="P201" s="1257"/>
      <c r="Q201" s="1257"/>
      <c r="R201" s="1257"/>
      <c r="S201" s="1257"/>
      <c r="T201" s="1257"/>
      <c r="U201" s="1257"/>
      <c r="V201" s="1257"/>
      <c r="W201" s="1257"/>
      <c r="X201" s="1257"/>
      <c r="Y201" s="1257"/>
      <c r="Z201" s="1257"/>
      <c r="AA201" s="1257"/>
      <c r="AB201" s="1257">
        <v>54.14857476869939</v>
      </c>
      <c r="AC201" s="1257">
        <v>52.475976085330302</v>
      </c>
      <c r="AD201" s="1257">
        <v>47.09357259520948</v>
      </c>
      <c r="AE201" s="1257">
        <v>43.783266649903538</v>
      </c>
      <c r="AF201" s="1257">
        <v>46.200468631708674</v>
      </c>
      <c r="AG201" s="1257">
        <v>46.438108640865629</v>
      </c>
      <c r="AH201" s="1257">
        <v>48.20629279360756</v>
      </c>
      <c r="AI201" s="1257">
        <v>50.509743157896679</v>
      </c>
      <c r="AJ201" s="1257">
        <v>48.955619513700753</v>
      </c>
      <c r="AK201" s="1257">
        <v>32.394255265102153</v>
      </c>
      <c r="AL201" s="1257">
        <v>31.677024129804071</v>
      </c>
      <c r="AM201" s="1257">
        <v>30.092795678224793</v>
      </c>
      <c r="AN201" s="1257">
        <v>28.177211033386556</v>
      </c>
      <c r="AO201" s="1257">
        <v>30.026667340786869</v>
      </c>
      <c r="AP201" s="1257">
        <v>30.291978553378527</v>
      </c>
      <c r="AQ201" s="1257">
        <v>30.619235422944978</v>
      </c>
      <c r="AR201" s="1257">
        <v>29.927484392152323</v>
      </c>
      <c r="AS201" s="1257">
        <v>31.616603644661854</v>
      </c>
      <c r="AT201" s="1257">
        <v>30.80187951705711</v>
      </c>
      <c r="AU201" s="1257">
        <v>25.47849294203823</v>
      </c>
      <c r="AV201" s="1257">
        <v>26.811492537019994</v>
      </c>
      <c r="AW201" s="1257" t="s">
        <v>1176</v>
      </c>
      <c r="AX201" s="1226"/>
      <c r="AY201" s="1224">
        <f t="shared" ref="AY201:BI209" ca="1" si="63">SUMIFS(INDIRECT("'"&amp;AY$4&amp;"'!Year.Emissions"), INDIRECT("'"&amp;AY$4&amp;"'!Year.IPCC"), $C201)</f>
        <v>0</v>
      </c>
      <c r="AZ201" s="1224"/>
      <c r="BA201" s="1224">
        <f t="shared" ca="1" si="63"/>
        <v>0</v>
      </c>
      <c r="BB201" s="1224">
        <f t="shared" ca="1" si="63"/>
        <v>0</v>
      </c>
      <c r="BC201" s="1224">
        <f t="shared" ca="1" si="63"/>
        <v>0</v>
      </c>
      <c r="BD201" s="1224">
        <f t="shared" ca="1" si="63"/>
        <v>0</v>
      </c>
      <c r="BE201" s="1224">
        <f t="shared" ca="1" si="63"/>
        <v>0</v>
      </c>
      <c r="BF201" s="1224">
        <f t="shared" ca="1" si="63"/>
        <v>0</v>
      </c>
      <c r="BG201" s="1224">
        <f t="shared" ca="1" si="63"/>
        <v>0</v>
      </c>
      <c r="BH201" s="1224">
        <f t="shared" ca="1" si="63"/>
        <v>0</v>
      </c>
      <c r="BI201" s="1224">
        <f t="shared" ca="1" si="63"/>
        <v>0</v>
      </c>
      <c r="BJ201" s="1217"/>
    </row>
    <row r="202" spans="2:62">
      <c r="B202" s="1219"/>
      <c r="C202" s="1216">
        <v>3</v>
      </c>
      <c r="D202" s="1223" t="str">
        <f>INDEX(IPCC[Sector_description], MATCH($C202, IPCC[Sector_code], 0))</f>
        <v>Solvent and Other Product Use</v>
      </c>
      <c r="E202" s="1214"/>
      <c r="F202" s="1258"/>
      <c r="G202" s="1258"/>
      <c r="H202" s="1257"/>
      <c r="I202" s="1257"/>
      <c r="J202" s="1257"/>
      <c r="K202" s="1257"/>
      <c r="L202" s="1257"/>
      <c r="M202" s="1257"/>
      <c r="N202" s="1257"/>
      <c r="O202" s="1257"/>
      <c r="P202" s="1257"/>
      <c r="Q202" s="1257"/>
      <c r="R202" s="1257"/>
      <c r="S202" s="1257"/>
      <c r="T202" s="1257"/>
      <c r="U202" s="1257"/>
      <c r="V202" s="1257"/>
      <c r="W202" s="1257"/>
      <c r="X202" s="1257"/>
      <c r="Y202" s="1257"/>
      <c r="Z202" s="1257"/>
      <c r="AA202" s="1257"/>
      <c r="AB202" s="1257" t="s">
        <v>1177</v>
      </c>
      <c r="AC202" s="1257" t="s">
        <v>1177</v>
      </c>
      <c r="AD202" s="1257" t="s">
        <v>1177</v>
      </c>
      <c r="AE202" s="1257" t="s">
        <v>1177</v>
      </c>
      <c r="AF202" s="1257" t="s">
        <v>1177</v>
      </c>
      <c r="AG202" s="1257" t="s">
        <v>1177</v>
      </c>
      <c r="AH202" s="1257" t="s">
        <v>1177</v>
      </c>
      <c r="AI202" s="1257" t="s">
        <v>1177</v>
      </c>
      <c r="AJ202" s="1257" t="s">
        <v>1177</v>
      </c>
      <c r="AK202" s="1257" t="s">
        <v>1177</v>
      </c>
      <c r="AL202" s="1257" t="s">
        <v>1177</v>
      </c>
      <c r="AM202" s="1257" t="s">
        <v>1177</v>
      </c>
      <c r="AN202" s="1257" t="s">
        <v>1177</v>
      </c>
      <c r="AO202" s="1257" t="s">
        <v>1177</v>
      </c>
      <c r="AP202" s="1257" t="s">
        <v>1177</v>
      </c>
      <c r="AQ202" s="1257" t="s">
        <v>1177</v>
      </c>
      <c r="AR202" s="1257" t="s">
        <v>1177</v>
      </c>
      <c r="AS202" s="1257" t="s">
        <v>1177</v>
      </c>
      <c r="AT202" s="1257" t="s">
        <v>1177</v>
      </c>
      <c r="AU202" s="1257" t="s">
        <v>1177</v>
      </c>
      <c r="AV202" s="1257" t="s">
        <v>1177</v>
      </c>
      <c r="AW202" s="1257" t="s">
        <v>1176</v>
      </c>
      <c r="AX202" s="1226"/>
      <c r="AY202" s="1224">
        <f t="shared" ca="1" si="63"/>
        <v>0</v>
      </c>
      <c r="AZ202" s="1224"/>
      <c r="BA202" s="1224">
        <f t="shared" ca="1" si="63"/>
        <v>0</v>
      </c>
      <c r="BB202" s="1224">
        <f t="shared" ca="1" si="63"/>
        <v>0</v>
      </c>
      <c r="BC202" s="1224">
        <f t="shared" ca="1" si="63"/>
        <v>0</v>
      </c>
      <c r="BD202" s="1224">
        <f t="shared" ca="1" si="63"/>
        <v>0</v>
      </c>
      <c r="BE202" s="1224">
        <f t="shared" ca="1" si="63"/>
        <v>0</v>
      </c>
      <c r="BF202" s="1224">
        <f t="shared" ca="1" si="63"/>
        <v>0</v>
      </c>
      <c r="BG202" s="1224">
        <f t="shared" ca="1" si="63"/>
        <v>0</v>
      </c>
      <c r="BH202" s="1224">
        <f t="shared" ca="1" si="63"/>
        <v>0</v>
      </c>
      <c r="BI202" s="1224">
        <f t="shared" ca="1" si="63"/>
        <v>0</v>
      </c>
      <c r="BJ202" s="1217"/>
    </row>
    <row r="203" spans="2:62">
      <c r="B203" s="1219"/>
      <c r="C203" s="1216">
        <v>4</v>
      </c>
      <c r="D203" s="1223" t="str">
        <f>INDEX(IPCC[Sector_description], MATCH($C203, IPCC[Sector_code], 0))</f>
        <v>Agriculture</v>
      </c>
      <c r="E203" s="1214"/>
      <c r="F203" s="1258"/>
      <c r="G203" s="1258"/>
      <c r="H203" s="1257"/>
      <c r="I203" s="1257"/>
      <c r="J203" s="1257"/>
      <c r="K203" s="1257"/>
      <c r="L203" s="1257"/>
      <c r="M203" s="1257"/>
      <c r="N203" s="1257"/>
      <c r="O203" s="1257"/>
      <c r="P203" s="1257"/>
      <c r="Q203" s="1257"/>
      <c r="R203" s="1257"/>
      <c r="S203" s="1257"/>
      <c r="T203" s="1257"/>
      <c r="U203" s="1257"/>
      <c r="V203" s="1257"/>
      <c r="W203" s="1257"/>
      <c r="X203" s="1257"/>
      <c r="Y203" s="1257"/>
      <c r="Z203" s="1257"/>
      <c r="AA203" s="1257"/>
      <c r="AB203" s="1257">
        <v>57.50148520668305</v>
      </c>
      <c r="AC203" s="1257">
        <v>57.246446553512868</v>
      </c>
      <c r="AD203" s="1257">
        <v>57.064686407982649</v>
      </c>
      <c r="AE203" s="1257">
        <v>56.349782848425512</v>
      </c>
      <c r="AF203" s="1257">
        <v>56.482634229989579</v>
      </c>
      <c r="AG203" s="1257">
        <v>56.062993674503744</v>
      </c>
      <c r="AH203" s="1257">
        <v>56.438650509232893</v>
      </c>
      <c r="AI203" s="1257">
        <v>56.199934507252166</v>
      </c>
      <c r="AJ203" s="1257">
        <v>55.563813765969243</v>
      </c>
      <c r="AK203" s="1257">
        <v>54.890137863427519</v>
      </c>
      <c r="AL203" s="1257">
        <v>52.893308830233281</v>
      </c>
      <c r="AM203" s="1257">
        <v>50.094491750341383</v>
      </c>
      <c r="AN203" s="1257">
        <v>50.07904843936754</v>
      </c>
      <c r="AO203" s="1257">
        <v>49.646482933698181</v>
      </c>
      <c r="AP203" s="1257">
        <v>49.912563723285288</v>
      </c>
      <c r="AQ203" s="1257">
        <v>50.204852733460946</v>
      </c>
      <c r="AR203" s="1257">
        <v>48.573478811345488</v>
      </c>
      <c r="AS203" s="1257">
        <v>47.145361104365769</v>
      </c>
      <c r="AT203" s="1257">
        <v>46.490712439147927</v>
      </c>
      <c r="AU203" s="1257">
        <v>45.808263743996648</v>
      </c>
      <c r="AV203" s="1257">
        <v>46.201383319346213</v>
      </c>
      <c r="AW203" s="1257" t="s">
        <v>1176</v>
      </c>
      <c r="AX203" s="1226"/>
      <c r="AY203" s="1224">
        <f t="shared" ca="1" si="63"/>
        <v>0</v>
      </c>
      <c r="AZ203" s="1224"/>
      <c r="BA203" s="1224">
        <f t="shared" ca="1" si="63"/>
        <v>0</v>
      </c>
      <c r="BB203" s="1224">
        <f t="shared" ca="1" si="63"/>
        <v>0</v>
      </c>
      <c r="BC203" s="1224">
        <f t="shared" ca="1" si="63"/>
        <v>0</v>
      </c>
      <c r="BD203" s="1224">
        <f t="shared" ca="1" si="63"/>
        <v>0</v>
      </c>
      <c r="BE203" s="1224">
        <f t="shared" ca="1" si="63"/>
        <v>0</v>
      </c>
      <c r="BF203" s="1224">
        <f t="shared" ca="1" si="63"/>
        <v>0</v>
      </c>
      <c r="BG203" s="1224">
        <f t="shared" ca="1" si="63"/>
        <v>0</v>
      </c>
      <c r="BH203" s="1224">
        <f t="shared" ca="1" si="63"/>
        <v>0</v>
      </c>
      <c r="BI203" s="1224">
        <f t="shared" ca="1" si="63"/>
        <v>0</v>
      </c>
      <c r="BJ203" s="1217"/>
    </row>
    <row r="204" spans="2:62">
      <c r="B204" s="1219"/>
      <c r="C204" s="1216">
        <v>5</v>
      </c>
      <c r="D204" s="1223" t="str">
        <f>INDEX(IPCC[Sector_description], MATCH($C204, IPCC[Sector_code], 0))</f>
        <v>Land Use, Land-Use Change and Forestry</v>
      </c>
      <c r="E204" s="1214"/>
      <c r="F204" s="1258"/>
      <c r="G204" s="1258"/>
      <c r="H204" s="1257"/>
      <c r="I204" s="1257"/>
      <c r="J204" s="1257"/>
      <c r="K204" s="1257"/>
      <c r="L204" s="1257"/>
      <c r="M204" s="1257"/>
      <c r="N204" s="1257"/>
      <c r="O204" s="1257"/>
      <c r="P204" s="1257"/>
      <c r="Q204" s="1257"/>
      <c r="R204" s="1257"/>
      <c r="S204" s="1257"/>
      <c r="T204" s="1257"/>
      <c r="U204" s="1257"/>
      <c r="V204" s="1257"/>
      <c r="W204" s="1257"/>
      <c r="X204" s="1257"/>
      <c r="Y204" s="1257"/>
      <c r="Z204" s="1257"/>
      <c r="AA204" s="1257"/>
      <c r="AB204" s="1257">
        <v>3.8930087572812679</v>
      </c>
      <c r="AC204" s="1257">
        <v>3.8686000622628693</v>
      </c>
      <c r="AD204" s="1257">
        <v>3.3433147414361009</v>
      </c>
      <c r="AE204" s="1257">
        <v>2.2265845845315693</v>
      </c>
      <c r="AF204" s="1257">
        <v>2.0533141148288525</v>
      </c>
      <c r="AG204" s="1257">
        <v>2.4654776194817205</v>
      </c>
      <c r="AH204" s="1257">
        <v>2.1813341723246857</v>
      </c>
      <c r="AI204" s="1257">
        <v>1.920070200944781</v>
      </c>
      <c r="AJ204" s="1257">
        <v>1.2405726372813575</v>
      </c>
      <c r="AK204" s="1257">
        <v>1.0620443971872269</v>
      </c>
      <c r="AL204" s="1257">
        <v>0.37726047037436505</v>
      </c>
      <c r="AM204" s="1257">
        <v>-0.11419377707044237</v>
      </c>
      <c r="AN204" s="1257">
        <v>-0.93459050389331721</v>
      </c>
      <c r="AO204" s="1257">
        <v>-1.2868015775516333</v>
      </c>
      <c r="AP204" s="1257">
        <v>-2.3579223431888501</v>
      </c>
      <c r="AQ204" s="1257">
        <v>-2.9449125339525444</v>
      </c>
      <c r="AR204" s="1257">
        <v>-3.0969424363046301</v>
      </c>
      <c r="AS204" s="1257">
        <v>-3.4836455180367438</v>
      </c>
      <c r="AT204" s="1257">
        <v>-3.8824317227172771</v>
      </c>
      <c r="AU204" s="1257">
        <v>-4.2078283804095697</v>
      </c>
      <c r="AV204" s="1257">
        <v>-3.8423973221854002</v>
      </c>
      <c r="AW204" s="1257" t="s">
        <v>1176</v>
      </c>
      <c r="AX204" s="1226"/>
      <c r="AY204" s="1224">
        <f t="shared" ca="1" si="63"/>
        <v>0</v>
      </c>
      <c r="AZ204" s="1224"/>
      <c r="BA204" s="1224">
        <f t="shared" ca="1" si="63"/>
        <v>0</v>
      </c>
      <c r="BB204" s="1224">
        <f t="shared" ca="1" si="63"/>
        <v>0</v>
      </c>
      <c r="BC204" s="1224">
        <f t="shared" ca="1" si="63"/>
        <v>0</v>
      </c>
      <c r="BD204" s="1224">
        <f t="shared" ca="1" si="63"/>
        <v>0</v>
      </c>
      <c r="BE204" s="1224">
        <f t="shared" ca="1" si="63"/>
        <v>0</v>
      </c>
      <c r="BF204" s="1224">
        <f t="shared" ca="1" si="63"/>
        <v>0</v>
      </c>
      <c r="BG204" s="1224">
        <f t="shared" ca="1" si="63"/>
        <v>0</v>
      </c>
      <c r="BH204" s="1224">
        <f t="shared" ca="1" si="63"/>
        <v>0</v>
      </c>
      <c r="BI204" s="1224">
        <f t="shared" ca="1" si="63"/>
        <v>0</v>
      </c>
      <c r="BJ204" s="1217"/>
    </row>
    <row r="205" spans="2:62">
      <c r="B205" s="1219"/>
      <c r="C205" s="1216">
        <v>6</v>
      </c>
      <c r="D205" s="1223" t="str">
        <f>INDEX(IPCC[Sector_description], MATCH($C205, IPCC[Sector_code], 0))</f>
        <v>Waste</v>
      </c>
      <c r="E205" s="1214"/>
      <c r="F205" s="1258"/>
      <c r="G205" s="1258"/>
      <c r="H205" s="1257"/>
      <c r="I205" s="1257"/>
      <c r="J205" s="1257"/>
      <c r="K205" s="1257"/>
      <c r="L205" s="1257"/>
      <c r="M205" s="1257"/>
      <c r="N205" s="1257"/>
      <c r="O205" s="1257"/>
      <c r="P205" s="1257"/>
      <c r="Q205" s="1257"/>
      <c r="R205" s="1257"/>
      <c r="S205" s="1257"/>
      <c r="T205" s="1257"/>
      <c r="U205" s="1257"/>
      <c r="V205" s="1257"/>
      <c r="W205" s="1257"/>
      <c r="X205" s="1257"/>
      <c r="Y205" s="1257"/>
      <c r="Z205" s="1257"/>
      <c r="AA205" s="1257"/>
      <c r="AB205" s="1257">
        <v>46.005376459169604</v>
      </c>
      <c r="AC205" s="1257">
        <v>45.106257535550021</v>
      </c>
      <c r="AD205" s="1257">
        <v>43.802323592142784</v>
      </c>
      <c r="AE205" s="1257">
        <v>42.398865017289033</v>
      </c>
      <c r="AF205" s="1257">
        <v>41.175525117813187</v>
      </c>
      <c r="AG205" s="1257">
        <v>40.080722749499124</v>
      </c>
      <c r="AH205" s="1257">
        <v>39.045211708359346</v>
      </c>
      <c r="AI205" s="1257">
        <v>35.946203438881568</v>
      </c>
      <c r="AJ205" s="1257">
        <v>33.903942222331288</v>
      </c>
      <c r="AK205" s="1257">
        <v>31.176954037822373</v>
      </c>
      <c r="AL205" s="1257">
        <v>29.422387452691304</v>
      </c>
      <c r="AM205" s="1257">
        <v>26.000773929539882</v>
      </c>
      <c r="AN205" s="1257">
        <v>23.914147643814456</v>
      </c>
      <c r="AO205" s="1257">
        <v>21.058526850801719</v>
      </c>
      <c r="AP205" s="1257">
        <v>19.538460113710165</v>
      </c>
      <c r="AQ205" s="1257">
        <v>19.037141136861958</v>
      </c>
      <c r="AR205" s="1257">
        <v>18.640862074715724</v>
      </c>
      <c r="AS205" s="1257">
        <v>18.271577747130092</v>
      </c>
      <c r="AT205" s="1257">
        <v>17.712063346383925</v>
      </c>
      <c r="AU205" s="1257">
        <v>17.198378568592883</v>
      </c>
      <c r="AV205" s="1257">
        <v>16.611961862247568</v>
      </c>
      <c r="AW205" s="1257" t="s">
        <v>1176</v>
      </c>
      <c r="AX205" s="1226"/>
      <c r="AY205" s="1224">
        <f t="shared" ca="1" si="63"/>
        <v>0</v>
      </c>
      <c r="AZ205" s="1224"/>
      <c r="BA205" s="1224">
        <f t="shared" ca="1" si="63"/>
        <v>0</v>
      </c>
      <c r="BB205" s="1224">
        <f t="shared" ca="1" si="63"/>
        <v>0</v>
      </c>
      <c r="BC205" s="1224">
        <f t="shared" ca="1" si="63"/>
        <v>0</v>
      </c>
      <c r="BD205" s="1224">
        <f t="shared" ca="1" si="63"/>
        <v>0</v>
      </c>
      <c r="BE205" s="1224">
        <f t="shared" ca="1" si="63"/>
        <v>0</v>
      </c>
      <c r="BF205" s="1224">
        <f t="shared" ca="1" si="63"/>
        <v>0</v>
      </c>
      <c r="BG205" s="1224">
        <f t="shared" ca="1" si="63"/>
        <v>0</v>
      </c>
      <c r="BH205" s="1224">
        <f t="shared" ca="1" si="63"/>
        <v>0</v>
      </c>
      <c r="BI205" s="1224">
        <f t="shared" ca="1" si="63"/>
        <v>0</v>
      </c>
      <c r="BJ205" s="1217"/>
    </row>
    <row r="206" spans="2:62">
      <c r="B206" s="1219"/>
      <c r="C206" s="1216">
        <v>7</v>
      </c>
      <c r="D206" s="1223" t="str">
        <f>INDEX(IPCC[Sector_description], MATCH($C206, IPCC[Sector_code], 0))</f>
        <v>Other</v>
      </c>
      <c r="E206" s="1214"/>
      <c r="F206" s="1226"/>
      <c r="G206" s="1226"/>
      <c r="H206" s="1259"/>
      <c r="I206" s="1259"/>
      <c r="J206" s="1259"/>
      <c r="K206" s="1259"/>
      <c r="L206" s="1259"/>
      <c r="M206" s="1259"/>
      <c r="N206" s="1259"/>
      <c r="O206" s="1259"/>
      <c r="P206" s="1259"/>
      <c r="Q206" s="1259"/>
      <c r="R206" s="1259"/>
      <c r="S206" s="1259"/>
      <c r="T206" s="1259"/>
      <c r="U206" s="1259"/>
      <c r="V206" s="1259"/>
      <c r="W206" s="1259"/>
      <c r="X206" s="1259"/>
      <c r="Y206" s="1259"/>
      <c r="Z206" s="1259"/>
      <c r="AA206" s="1259"/>
      <c r="AB206" s="1259" t="s">
        <v>1178</v>
      </c>
      <c r="AC206" s="1259" t="s">
        <v>1178</v>
      </c>
      <c r="AD206" s="1259" t="s">
        <v>1178</v>
      </c>
      <c r="AE206" s="1259" t="s">
        <v>1178</v>
      </c>
      <c r="AF206" s="1259" t="s">
        <v>1178</v>
      </c>
      <c r="AG206" s="1259" t="s">
        <v>1178</v>
      </c>
      <c r="AH206" s="1259" t="s">
        <v>1178</v>
      </c>
      <c r="AI206" s="1259" t="s">
        <v>1178</v>
      </c>
      <c r="AJ206" s="1259" t="s">
        <v>1178</v>
      </c>
      <c r="AK206" s="1259" t="s">
        <v>1178</v>
      </c>
      <c r="AL206" s="1259" t="s">
        <v>1178</v>
      </c>
      <c r="AM206" s="1259" t="s">
        <v>1178</v>
      </c>
      <c r="AN206" s="1259" t="s">
        <v>1178</v>
      </c>
      <c r="AO206" s="1259" t="s">
        <v>1178</v>
      </c>
      <c r="AP206" s="1259" t="s">
        <v>1178</v>
      </c>
      <c r="AQ206" s="1259" t="s">
        <v>1178</v>
      </c>
      <c r="AR206" s="1259" t="s">
        <v>1178</v>
      </c>
      <c r="AS206" s="1259" t="s">
        <v>1178</v>
      </c>
      <c r="AT206" s="1259" t="s">
        <v>1178</v>
      </c>
      <c r="AU206" s="1259" t="s">
        <v>1178</v>
      </c>
      <c r="AV206" s="1259" t="s">
        <v>1178</v>
      </c>
      <c r="AW206" s="1259" t="s">
        <v>1176</v>
      </c>
      <c r="AX206" s="1226"/>
      <c r="AY206" s="1224">
        <f t="shared" ca="1" si="63"/>
        <v>0</v>
      </c>
      <c r="AZ206" s="1224"/>
      <c r="BA206" s="1224">
        <f t="shared" ca="1" si="63"/>
        <v>0</v>
      </c>
      <c r="BB206" s="1224">
        <f t="shared" ca="1" si="63"/>
        <v>0</v>
      </c>
      <c r="BC206" s="1224">
        <f t="shared" ca="1" si="63"/>
        <v>0</v>
      </c>
      <c r="BD206" s="1224">
        <f t="shared" ca="1" si="63"/>
        <v>0</v>
      </c>
      <c r="BE206" s="1224">
        <f t="shared" ca="1" si="63"/>
        <v>0</v>
      </c>
      <c r="BF206" s="1224">
        <f t="shared" ca="1" si="63"/>
        <v>0</v>
      </c>
      <c r="BG206" s="1224">
        <f t="shared" ca="1" si="63"/>
        <v>0</v>
      </c>
      <c r="BH206" s="1224">
        <f t="shared" ca="1" si="63"/>
        <v>0</v>
      </c>
      <c r="BI206" s="1224">
        <f t="shared" ca="1" si="63"/>
        <v>0</v>
      </c>
      <c r="BJ206" s="1217"/>
    </row>
    <row r="207" spans="2:62">
      <c r="B207" s="1219"/>
      <c r="C207" s="1216" t="s">
        <v>345</v>
      </c>
      <c r="D207" s="1223" t="str">
        <f>INDEX(IPCC[Sector_description], MATCH($C207, IPCC[Sector_code], 0))</f>
        <v>International Aviation and Shipping</v>
      </c>
      <c r="E207" s="1214"/>
      <c r="F207" s="1258"/>
      <c r="G207" s="1258"/>
      <c r="H207" s="1257"/>
      <c r="I207" s="1257"/>
      <c r="J207" s="1257"/>
      <c r="K207" s="1257"/>
      <c r="L207" s="1257"/>
      <c r="M207" s="1257"/>
      <c r="N207" s="1257"/>
      <c r="O207" s="1257"/>
      <c r="P207" s="1257"/>
      <c r="Q207" s="1257"/>
      <c r="R207" s="1257"/>
      <c r="S207" s="1257"/>
      <c r="T207" s="1257"/>
      <c r="U207" s="1257"/>
      <c r="V207" s="1257"/>
      <c r="W207" s="1257"/>
      <c r="X207" s="1257"/>
      <c r="Y207" s="1257"/>
      <c r="Z207" s="1257"/>
      <c r="AA207" s="1257"/>
      <c r="AB207" s="1257">
        <f t="shared" ref="AB207:AR207" si="64">0+0</f>
        <v>0</v>
      </c>
      <c r="AC207" s="1257">
        <f t="shared" si="64"/>
        <v>0</v>
      </c>
      <c r="AD207" s="1257">
        <f t="shared" si="64"/>
        <v>0</v>
      </c>
      <c r="AE207" s="1257">
        <f t="shared" si="64"/>
        <v>0</v>
      </c>
      <c r="AF207" s="1257">
        <f t="shared" si="64"/>
        <v>0</v>
      </c>
      <c r="AG207" s="1257">
        <f t="shared" si="64"/>
        <v>0</v>
      </c>
      <c r="AH207" s="1257">
        <f t="shared" si="64"/>
        <v>0</v>
      </c>
      <c r="AI207" s="1257">
        <f t="shared" si="64"/>
        <v>0</v>
      </c>
      <c r="AJ207" s="1257">
        <f t="shared" si="64"/>
        <v>0</v>
      </c>
      <c r="AK207" s="1257">
        <f t="shared" si="64"/>
        <v>0</v>
      </c>
      <c r="AL207" s="1257">
        <f t="shared" si="64"/>
        <v>0</v>
      </c>
      <c r="AM207" s="1257">
        <f t="shared" si="64"/>
        <v>0</v>
      </c>
      <c r="AN207" s="1257">
        <f t="shared" si="64"/>
        <v>0</v>
      </c>
      <c r="AO207" s="1257">
        <f t="shared" si="64"/>
        <v>0</v>
      </c>
      <c r="AP207" s="1257">
        <f t="shared" si="64"/>
        <v>0</v>
      </c>
      <c r="AQ207" s="1257">
        <f t="shared" si="64"/>
        <v>0</v>
      </c>
      <c r="AR207" s="1257">
        <f t="shared" si="64"/>
        <v>0</v>
      </c>
      <c r="AS207" s="1257"/>
      <c r="AT207" s="1257"/>
      <c r="AU207" s="1257"/>
      <c r="AV207" s="1257"/>
      <c r="AW207" s="1257" t="s">
        <v>1179</v>
      </c>
      <c r="AX207" s="1226"/>
      <c r="AY207" s="1224">
        <f t="shared" ca="1" si="63"/>
        <v>0</v>
      </c>
      <c r="AZ207" s="1224"/>
      <c r="BA207" s="1224">
        <f t="shared" ca="1" si="63"/>
        <v>0</v>
      </c>
      <c r="BB207" s="1224">
        <f t="shared" ca="1" si="63"/>
        <v>0</v>
      </c>
      <c r="BC207" s="1224">
        <f t="shared" ca="1" si="63"/>
        <v>0</v>
      </c>
      <c r="BD207" s="1224">
        <f t="shared" ca="1" si="63"/>
        <v>0</v>
      </c>
      <c r="BE207" s="1224">
        <f t="shared" ca="1" si="63"/>
        <v>0</v>
      </c>
      <c r="BF207" s="1224">
        <f t="shared" ca="1" si="63"/>
        <v>0</v>
      </c>
      <c r="BG207" s="1224">
        <f t="shared" ca="1" si="63"/>
        <v>0</v>
      </c>
      <c r="BH207" s="1224">
        <f t="shared" ca="1" si="63"/>
        <v>0</v>
      </c>
      <c r="BI207" s="1224">
        <f t="shared" ca="1" si="63"/>
        <v>0</v>
      </c>
      <c r="BJ207" s="1217"/>
    </row>
    <row r="208" spans="2:62" s="410" customFormat="1">
      <c r="B208" s="1219"/>
      <c r="C208" s="1216" t="s">
        <v>346</v>
      </c>
      <c r="D208" s="1223" t="str">
        <f>INDEX(IPCC[Sector_description], MATCH($C208, IPCC[Sector_code], 0))</f>
        <v>Bioenergy credit</v>
      </c>
      <c r="E208" s="1214"/>
      <c r="F208" s="1258"/>
      <c r="G208" s="1258"/>
      <c r="H208" s="1257"/>
      <c r="I208" s="1257"/>
      <c r="J208" s="1257"/>
      <c r="K208" s="1257"/>
      <c r="L208" s="1257"/>
      <c r="M208" s="1257"/>
      <c r="N208" s="1257"/>
      <c r="O208" s="1257"/>
      <c r="P208" s="1257"/>
      <c r="Q208" s="1257"/>
      <c r="R208" s="1257"/>
      <c r="S208" s="1257"/>
      <c r="T208" s="1257"/>
      <c r="U208" s="1257"/>
      <c r="V208" s="1257"/>
      <c r="W208" s="1257"/>
      <c r="X208" s="1257"/>
      <c r="Y208" s="1257"/>
      <c r="Z208" s="1257"/>
      <c r="AA208" s="1257"/>
      <c r="AB208" s="1257">
        <v>0</v>
      </c>
      <c r="AC208" s="1257">
        <v>0</v>
      </c>
      <c r="AD208" s="1257">
        <v>0</v>
      </c>
      <c r="AE208" s="1257">
        <v>0</v>
      </c>
      <c r="AF208" s="1257">
        <v>0</v>
      </c>
      <c r="AG208" s="1257">
        <v>0</v>
      </c>
      <c r="AH208" s="1257">
        <v>0</v>
      </c>
      <c r="AI208" s="1257">
        <v>0</v>
      </c>
      <c r="AJ208" s="1257">
        <v>0</v>
      </c>
      <c r="AK208" s="1257">
        <v>0</v>
      </c>
      <c r="AL208" s="1257">
        <v>0</v>
      </c>
      <c r="AM208" s="1257">
        <v>0</v>
      </c>
      <c r="AN208" s="1257">
        <v>0</v>
      </c>
      <c r="AO208" s="1257">
        <v>0</v>
      </c>
      <c r="AP208" s="1257">
        <v>0</v>
      </c>
      <c r="AQ208" s="1257">
        <v>0</v>
      </c>
      <c r="AR208" s="1257">
        <v>0</v>
      </c>
      <c r="AS208" s="1257">
        <v>0</v>
      </c>
      <c r="AT208" s="1257">
        <v>0</v>
      </c>
      <c r="AU208" s="1257">
        <v>0</v>
      </c>
      <c r="AV208" s="1257">
        <v>0</v>
      </c>
      <c r="AW208" s="1257" t="s">
        <v>1176</v>
      </c>
      <c r="AX208" s="1226"/>
      <c r="AY208" s="1224">
        <f t="shared" ca="1" si="63"/>
        <v>0</v>
      </c>
      <c r="AZ208" s="1224"/>
      <c r="BA208" s="1224">
        <f t="shared" ca="1" si="63"/>
        <v>0</v>
      </c>
      <c r="BB208" s="1224">
        <f t="shared" ca="1" si="63"/>
        <v>0</v>
      </c>
      <c r="BC208" s="1224">
        <f t="shared" ca="1" si="63"/>
        <v>0</v>
      </c>
      <c r="BD208" s="1224">
        <f t="shared" ca="1" si="63"/>
        <v>0</v>
      </c>
      <c r="BE208" s="1224">
        <f t="shared" ca="1" si="63"/>
        <v>0</v>
      </c>
      <c r="BF208" s="1224">
        <f t="shared" ca="1" si="63"/>
        <v>0</v>
      </c>
      <c r="BG208" s="1224">
        <f t="shared" ca="1" si="63"/>
        <v>0</v>
      </c>
      <c r="BH208" s="1224">
        <f t="shared" ca="1" si="63"/>
        <v>0</v>
      </c>
      <c r="BI208" s="1224">
        <f t="shared" ca="1" si="63"/>
        <v>0</v>
      </c>
      <c r="BJ208" s="1227"/>
    </row>
    <row r="209" spans="1:63">
      <c r="B209" s="1219"/>
      <c r="C209" s="1216" t="s">
        <v>369</v>
      </c>
      <c r="D209" s="1223" t="str">
        <f>INDEX(IPCC[Sector_description], MATCH($C209, IPCC[Sector_code], 0))</f>
        <v>Carbon capture</v>
      </c>
      <c r="E209" s="1214"/>
      <c r="F209" s="1258"/>
      <c r="G209" s="1258"/>
      <c r="H209" s="1257"/>
      <c r="I209" s="1257"/>
      <c r="J209" s="1257"/>
      <c r="K209" s="1257"/>
      <c r="L209" s="1257"/>
      <c r="M209" s="1257"/>
      <c r="N209" s="1257"/>
      <c r="O209" s="1257"/>
      <c r="P209" s="1257"/>
      <c r="Q209" s="1257"/>
      <c r="R209" s="1257"/>
      <c r="S209" s="1257"/>
      <c r="T209" s="1257"/>
      <c r="U209" s="1257"/>
      <c r="V209" s="1257"/>
      <c r="W209" s="1257"/>
      <c r="X209" s="1257"/>
      <c r="Y209" s="1257"/>
      <c r="Z209" s="1257"/>
      <c r="AA209" s="1257"/>
      <c r="AB209" s="1257">
        <v>0</v>
      </c>
      <c r="AC209" s="1257">
        <v>0</v>
      </c>
      <c r="AD209" s="1257">
        <v>0</v>
      </c>
      <c r="AE209" s="1257">
        <v>0</v>
      </c>
      <c r="AF209" s="1257">
        <v>0</v>
      </c>
      <c r="AG209" s="1257">
        <v>0</v>
      </c>
      <c r="AH209" s="1257">
        <v>0</v>
      </c>
      <c r="AI209" s="1257">
        <v>0</v>
      </c>
      <c r="AJ209" s="1257">
        <v>0</v>
      </c>
      <c r="AK209" s="1257">
        <v>0</v>
      </c>
      <c r="AL209" s="1257">
        <v>0</v>
      </c>
      <c r="AM209" s="1257">
        <v>0</v>
      </c>
      <c r="AN209" s="1257">
        <v>0</v>
      </c>
      <c r="AO209" s="1257">
        <v>0</v>
      </c>
      <c r="AP209" s="1257">
        <v>0</v>
      </c>
      <c r="AQ209" s="1257">
        <v>0</v>
      </c>
      <c r="AR209" s="1257">
        <v>0</v>
      </c>
      <c r="AS209" s="1257">
        <v>0</v>
      </c>
      <c r="AT209" s="1257">
        <v>0</v>
      </c>
      <c r="AU209" s="1257">
        <v>0</v>
      </c>
      <c r="AV209" s="1257">
        <v>0</v>
      </c>
      <c r="AW209" s="1257" t="s">
        <v>1176</v>
      </c>
      <c r="AX209" s="1226"/>
      <c r="AY209" s="2481">
        <f t="shared" ca="1" si="63"/>
        <v>0</v>
      </c>
      <c r="AZ209" s="2481"/>
      <c r="BA209" s="2481">
        <f t="shared" ca="1" si="63"/>
        <v>0</v>
      </c>
      <c r="BB209" s="2481">
        <f t="shared" ca="1" si="63"/>
        <v>0</v>
      </c>
      <c r="BC209" s="2481">
        <f t="shared" ca="1" si="63"/>
        <v>0</v>
      </c>
      <c r="BD209" s="2481">
        <f t="shared" ca="1" si="63"/>
        <v>0</v>
      </c>
      <c r="BE209" s="2481">
        <f t="shared" ca="1" si="63"/>
        <v>-5.9902178225806457</v>
      </c>
      <c r="BF209" s="2481">
        <f t="shared" ca="1" si="63"/>
        <v>-11.98043564516129</v>
      </c>
      <c r="BG209" s="2481">
        <f t="shared" ca="1" si="63"/>
        <v>-29.043480351906162</v>
      </c>
      <c r="BH209" s="2481">
        <f t="shared" ca="1" si="63"/>
        <v>-40.660872492668624</v>
      </c>
      <c r="BI209" s="2481">
        <f t="shared" ca="1" si="63"/>
        <v>-56.378520683111951</v>
      </c>
      <c r="BJ209" s="1217"/>
    </row>
    <row r="210" spans="1:63">
      <c r="B210" s="1221"/>
      <c r="C210" s="1214"/>
      <c r="D210" s="1214" t="s">
        <v>103</v>
      </c>
      <c r="E210" s="1214"/>
      <c r="F210" s="1260"/>
      <c r="G210" s="1260"/>
      <c r="H210" s="1261"/>
      <c r="I210" s="1261"/>
      <c r="J210" s="1261"/>
      <c r="K210" s="1261"/>
      <c r="L210" s="1261"/>
      <c r="M210" s="1261"/>
      <c r="N210" s="1261"/>
      <c r="O210" s="1261"/>
      <c r="P210" s="1261"/>
      <c r="Q210" s="1261"/>
      <c r="R210" s="1261"/>
      <c r="S210" s="1261"/>
      <c r="T210" s="1261"/>
      <c r="U210" s="1261"/>
      <c r="V210" s="1261"/>
      <c r="W210" s="1261"/>
      <c r="X210" s="1261"/>
      <c r="Y210" s="1261"/>
      <c r="Z210" s="1261"/>
      <c r="AA210" s="1261"/>
      <c r="AB210" s="1261">
        <v>795.93572182124274</v>
      </c>
      <c r="AC210" s="1261">
        <v>802.4755376560646</v>
      </c>
      <c r="AD210" s="1261">
        <v>780.68534536725031</v>
      </c>
      <c r="AE210" s="1261">
        <v>759.52035248688799</v>
      </c>
      <c r="AF210" s="1261">
        <v>747.78944230587103</v>
      </c>
      <c r="AG210" s="1261">
        <v>740.88891665083361</v>
      </c>
      <c r="AH210" s="1261">
        <v>763.89065519339613</v>
      </c>
      <c r="AI210" s="1261">
        <v>740.01388660823704</v>
      </c>
      <c r="AJ210" s="1261">
        <v>739.9402055350414</v>
      </c>
      <c r="AK210" s="1261">
        <v>708.00135984945894</v>
      </c>
      <c r="AL210" s="1261">
        <v>711.50940185716161</v>
      </c>
      <c r="AM210" s="1261">
        <v>715.30430320050698</v>
      </c>
      <c r="AN210" s="1261">
        <v>691.76608222710354</v>
      </c>
      <c r="AO210" s="1261">
        <v>697.82821693046253</v>
      </c>
      <c r="AP210" s="1261">
        <v>700.45218287466992</v>
      </c>
      <c r="AQ210" s="1261">
        <v>698.30813666551887</v>
      </c>
      <c r="AR210" s="1261">
        <v>696.66133927951546</v>
      </c>
      <c r="AS210" s="1261"/>
      <c r="AT210" s="1261"/>
      <c r="AU210" s="1261"/>
      <c r="AV210" s="1261"/>
      <c r="AW210" s="1261"/>
      <c r="AX210" s="1226"/>
      <c r="AY210" s="1260">
        <f t="shared" ref="AY210:BI210" ca="1" si="65">SUM(AY200:AY209)</f>
        <v>1178.5139623629584</v>
      </c>
      <c r="AZ210" s="1260"/>
      <c r="BA210" s="1260">
        <f t="shared" ca="1" si="65"/>
        <v>1542.9858078670618</v>
      </c>
      <c r="BB210" s="1260">
        <f t="shared" ca="1" si="65"/>
        <v>2156.3230931819899</v>
      </c>
      <c r="BC210" s="1260">
        <f t="shared" ca="1" si="65"/>
        <v>3134.8651799678455</v>
      </c>
      <c r="BD210" s="1260">
        <f t="shared" ca="1" si="65"/>
        <v>4344.0867964535209</v>
      </c>
      <c r="BE210" s="1260">
        <f t="shared" ca="1" si="65"/>
        <v>5998.0636403250446</v>
      </c>
      <c r="BF210" s="1260">
        <f t="shared" ca="1" si="65"/>
        <v>7372.1157521102314</v>
      </c>
      <c r="BG210" s="1260">
        <f t="shared" ca="1" si="65"/>
        <v>8971.851949237438</v>
      </c>
      <c r="BH210" s="1260">
        <f t="shared" ca="1" si="65"/>
        <v>10491.962939522044</v>
      </c>
      <c r="BI210" s="1260">
        <f t="shared" ca="1" si="65"/>
        <v>12147.928442576478</v>
      </c>
      <c r="BJ210" s="1217" t="s">
        <v>1172</v>
      </c>
      <c r="BK210" s="1233"/>
    </row>
    <row r="211" spans="1:63" ht="5.25" customHeight="1">
      <c r="B211" s="1219"/>
      <c r="C211" s="1214"/>
      <c r="D211" s="1214"/>
      <c r="E211" s="1214"/>
      <c r="F211" s="1226"/>
      <c r="G211" s="1226"/>
      <c r="H211" s="1259"/>
      <c r="I211" s="1259"/>
      <c r="J211" s="1259"/>
      <c r="K211" s="1259"/>
      <c r="L211" s="1259"/>
      <c r="M211" s="1259"/>
      <c r="N211" s="1259"/>
      <c r="O211" s="1259"/>
      <c r="P211" s="1259"/>
      <c r="Q211" s="1259"/>
      <c r="R211" s="1259"/>
      <c r="S211" s="1259"/>
      <c r="T211" s="1259"/>
      <c r="U211" s="1259"/>
      <c r="V211" s="1259"/>
      <c r="W211" s="1259"/>
      <c r="X211" s="1259"/>
      <c r="Y211" s="1259"/>
      <c r="Z211" s="1259"/>
      <c r="AA211" s="1259"/>
      <c r="AB211" s="1259"/>
      <c r="AC211" s="1259"/>
      <c r="AD211" s="1259"/>
      <c r="AE211" s="1259"/>
      <c r="AF211" s="1259"/>
      <c r="AG211" s="1259"/>
      <c r="AH211" s="1259"/>
      <c r="AI211" s="1259"/>
      <c r="AJ211" s="1259"/>
      <c r="AK211" s="1259"/>
      <c r="AL211" s="1259"/>
      <c r="AM211" s="1259"/>
      <c r="AN211" s="1259"/>
      <c r="AO211" s="1259"/>
      <c r="AP211" s="1259"/>
      <c r="AQ211" s="1259"/>
      <c r="AR211" s="1259"/>
      <c r="AS211" s="1259"/>
      <c r="AT211" s="1259"/>
      <c r="AU211" s="1259"/>
      <c r="AV211" s="1259"/>
      <c r="AW211" s="1259"/>
      <c r="AX211" s="1226"/>
      <c r="AY211" s="1226"/>
      <c r="AZ211" s="1226"/>
      <c r="BA211" s="1226"/>
      <c r="BB211" s="1226"/>
      <c r="BC211" s="1226"/>
      <c r="BD211" s="1226"/>
      <c r="BE211" s="1226"/>
      <c r="BF211" s="1226"/>
      <c r="BG211" s="1226"/>
      <c r="BH211" s="1226"/>
      <c r="BI211" s="1226"/>
      <c r="BJ211" s="1217"/>
    </row>
    <row r="212" spans="1:63" s="37" customFormat="1">
      <c r="B212" s="1219"/>
      <c r="C212" s="1236"/>
      <c r="D212" s="1236"/>
      <c r="E212" s="1236"/>
      <c r="F212" s="1262"/>
      <c r="G212" s="1262"/>
      <c r="H212" s="1263"/>
      <c r="I212" s="1263"/>
      <c r="J212" s="1263"/>
      <c r="K212" s="1263"/>
      <c r="L212" s="1263"/>
      <c r="M212" s="1263"/>
      <c r="N212" s="1263"/>
      <c r="O212" s="1263"/>
      <c r="P212" s="1263"/>
      <c r="Q212" s="1263"/>
      <c r="R212" s="1263"/>
      <c r="S212" s="1263"/>
      <c r="T212" s="1263"/>
      <c r="U212" s="1263"/>
      <c r="V212" s="1263"/>
      <c r="W212" s="1263"/>
      <c r="X212" s="1263"/>
      <c r="Y212" s="1263"/>
      <c r="Z212" s="1263"/>
      <c r="AA212" s="1263"/>
      <c r="AB212" s="1263"/>
      <c r="AC212" s="1263"/>
      <c r="AD212" s="1263"/>
      <c r="AE212" s="1263"/>
      <c r="AF212" s="1263"/>
      <c r="AG212" s="1263"/>
      <c r="AH212" s="1263"/>
      <c r="AI212" s="1263"/>
      <c r="AJ212" s="1263"/>
      <c r="AK212" s="1263"/>
      <c r="AL212" s="1263"/>
      <c r="AM212" s="1263"/>
      <c r="AN212" s="1263"/>
      <c r="AO212" s="1263"/>
      <c r="AP212" s="1263"/>
      <c r="AQ212" s="1263"/>
      <c r="AR212" s="1263"/>
      <c r="AS212" s="1263"/>
      <c r="AT212" s="1263"/>
      <c r="AU212" s="1263"/>
      <c r="AV212" s="1263"/>
      <c r="AW212" s="1263"/>
      <c r="AX212" s="1264"/>
      <c r="AY212" s="1262"/>
      <c r="AZ212" s="1262"/>
      <c r="BA212" s="1262"/>
      <c r="BB212" s="1262"/>
      <c r="BC212" s="1262"/>
      <c r="BD212" s="1262"/>
      <c r="BE212" s="1262"/>
      <c r="BF212" s="1262"/>
      <c r="BG212" s="1262"/>
      <c r="BH212" s="1262"/>
      <c r="BI212" s="1262"/>
      <c r="BJ212" s="1217"/>
    </row>
    <row r="213" spans="1:63">
      <c r="B213" s="1235"/>
      <c r="C213" s="1266"/>
      <c r="D213" s="1266"/>
      <c r="E213" s="1266"/>
      <c r="F213" s="1266"/>
      <c r="G213" s="1266"/>
      <c r="H213" s="1267"/>
      <c r="I213" s="1267"/>
      <c r="J213" s="1267"/>
      <c r="K213" s="1267"/>
      <c r="L213" s="1267"/>
      <c r="M213" s="1267"/>
      <c r="N213" s="1267"/>
      <c r="O213" s="1267"/>
      <c r="P213" s="1267"/>
      <c r="Q213" s="1267"/>
      <c r="R213" s="1267"/>
      <c r="S213" s="1267"/>
      <c r="T213" s="1267"/>
      <c r="U213" s="1267"/>
      <c r="V213" s="1267"/>
      <c r="W213" s="1267"/>
      <c r="X213" s="1267"/>
      <c r="Y213" s="1267"/>
      <c r="Z213" s="1267"/>
      <c r="AA213" s="1267"/>
      <c r="AB213" s="1267"/>
      <c r="AC213" s="1267"/>
      <c r="AD213" s="1267"/>
      <c r="AE213" s="1267"/>
      <c r="AF213" s="1267"/>
      <c r="AG213" s="1267"/>
      <c r="AH213" s="1267"/>
      <c r="AI213" s="1267"/>
      <c r="AJ213" s="1267"/>
      <c r="AK213" s="1267"/>
      <c r="AL213" s="1267"/>
      <c r="AM213" s="1267"/>
      <c r="AN213" s="1267"/>
      <c r="AO213" s="1267"/>
      <c r="AP213" s="1267"/>
      <c r="AQ213" s="1267"/>
      <c r="AR213" s="1267"/>
      <c r="AS213" s="1267"/>
      <c r="AT213" s="1267"/>
      <c r="AU213" s="1267"/>
      <c r="AV213" s="1267"/>
      <c r="AW213" s="1267"/>
      <c r="AX213" s="1266"/>
      <c r="AY213" s="1266"/>
      <c r="AZ213" s="1266"/>
      <c r="BA213" s="1266"/>
      <c r="BB213" s="1266"/>
      <c r="BC213" s="1266"/>
      <c r="BD213" s="1266"/>
      <c r="BE213" s="1266"/>
      <c r="BF213" s="1266"/>
      <c r="BG213" s="1266"/>
      <c r="BH213" s="1266"/>
      <c r="BI213" s="1266"/>
      <c r="BJ213" s="1268"/>
    </row>
    <row r="214" spans="1:63" s="242" customFormat="1">
      <c r="B214" s="1235"/>
      <c r="C214" s="35"/>
      <c r="D214" s="35"/>
      <c r="E214" s="35"/>
      <c r="F214" s="35"/>
      <c r="G214" s="35"/>
      <c r="H214" s="1203"/>
      <c r="I214" s="1203"/>
      <c r="J214" s="1203"/>
      <c r="K214" s="1203"/>
      <c r="L214" s="1203"/>
      <c r="M214" s="1203"/>
      <c r="N214" s="1203"/>
      <c r="O214" s="1203"/>
      <c r="P214" s="1203"/>
      <c r="Q214" s="1203"/>
      <c r="R214" s="1203"/>
      <c r="S214" s="1203"/>
      <c r="T214" s="1203"/>
      <c r="U214" s="1203"/>
      <c r="V214" s="1203"/>
      <c r="W214" s="1203"/>
      <c r="X214" s="1203"/>
      <c r="Y214" s="1203"/>
      <c r="Z214" s="1203"/>
      <c r="AA214" s="1203"/>
      <c r="AB214" s="1203"/>
      <c r="AC214" s="1203"/>
      <c r="AD214" s="1203"/>
      <c r="AE214" s="1203"/>
      <c r="AF214" s="1203"/>
      <c r="AG214" s="1203"/>
      <c r="AH214" s="1203"/>
      <c r="AI214" s="1203"/>
      <c r="AJ214" s="1203"/>
      <c r="AK214" s="1203"/>
      <c r="AL214" s="1203"/>
      <c r="AM214" s="1203"/>
      <c r="AN214" s="1203"/>
      <c r="AO214" s="1203"/>
      <c r="AP214" s="1203"/>
      <c r="AQ214" s="1203"/>
      <c r="AR214" s="1203"/>
      <c r="AS214" s="1203"/>
      <c r="AT214" s="1203"/>
      <c r="AU214" s="1203"/>
      <c r="AV214" s="1203"/>
      <c r="AW214" s="1203"/>
      <c r="AX214" s="35"/>
      <c r="AY214" s="35"/>
      <c r="AZ214" s="35"/>
      <c r="BA214" s="35"/>
      <c r="BB214" s="35"/>
      <c r="BC214" s="35"/>
      <c r="BD214" s="35"/>
      <c r="BE214" s="35"/>
      <c r="BF214" s="35"/>
      <c r="BG214" s="35"/>
      <c r="BH214" s="35"/>
      <c r="BI214" s="35"/>
      <c r="BJ214" s="35"/>
    </row>
    <row r="215" spans="1:63" ht="22.5">
      <c r="A215" s="420"/>
      <c r="B215" s="1208" t="s">
        <v>1180</v>
      </c>
      <c r="C215" s="1209"/>
      <c r="D215" s="1209"/>
      <c r="E215" s="1209"/>
      <c r="F215" s="1209"/>
      <c r="G215" s="1209"/>
      <c r="H215" s="1210"/>
      <c r="I215" s="1210"/>
      <c r="J215" s="1210"/>
      <c r="K215" s="1210"/>
      <c r="L215" s="1210"/>
      <c r="M215" s="1210"/>
      <c r="N215" s="1210"/>
      <c r="O215" s="1210"/>
      <c r="P215" s="1210"/>
      <c r="Q215" s="1210"/>
      <c r="R215" s="1210"/>
      <c r="S215" s="1210"/>
      <c r="T215" s="1210"/>
      <c r="U215" s="1210"/>
      <c r="V215" s="1210"/>
      <c r="W215" s="1210"/>
      <c r="X215" s="1210"/>
      <c r="Y215" s="1210"/>
      <c r="Z215" s="1210"/>
      <c r="AA215" s="1210"/>
      <c r="AB215" s="1210"/>
      <c r="AC215" s="1210"/>
      <c r="AD215" s="1210"/>
      <c r="AE215" s="1210"/>
      <c r="AF215" s="1210"/>
      <c r="AG215" s="1210"/>
      <c r="AH215" s="1210"/>
      <c r="AI215" s="1210"/>
      <c r="AJ215" s="1210"/>
      <c r="AK215" s="1210"/>
      <c r="AL215" s="1210"/>
      <c r="AM215" s="1210"/>
      <c r="AN215" s="1210"/>
      <c r="AO215" s="1210"/>
      <c r="AP215" s="1210"/>
      <c r="AQ215" s="1210"/>
      <c r="AR215" s="1210"/>
      <c r="AS215" s="1210"/>
      <c r="AT215" s="1210"/>
      <c r="AU215" s="1210"/>
      <c r="AV215" s="1210"/>
      <c r="AW215" s="1210"/>
      <c r="AX215" s="1209"/>
      <c r="AY215" s="1209"/>
      <c r="AZ215" s="1209"/>
      <c r="BA215" s="1209"/>
      <c r="BB215" s="1209"/>
      <c r="BC215" s="1209"/>
      <c r="BD215" s="1209"/>
      <c r="BE215" s="1209"/>
      <c r="BF215" s="1209"/>
      <c r="BG215" s="1209"/>
      <c r="BH215" s="1209"/>
      <c r="BI215" s="1211"/>
      <c r="BJ215" s="1212"/>
    </row>
    <row r="216" spans="1:63">
      <c r="B216" s="35"/>
      <c r="C216" s="1214"/>
      <c r="D216" s="1214"/>
      <c r="E216" s="1214"/>
      <c r="F216" s="1214"/>
      <c r="G216" s="1214"/>
      <c r="H216" s="1215"/>
      <c r="I216" s="1215"/>
      <c r="J216" s="1215"/>
      <c r="K216" s="1215"/>
      <c r="L216" s="1215"/>
      <c r="M216" s="1215"/>
      <c r="N216" s="1215"/>
      <c r="O216" s="1215"/>
      <c r="P216" s="1215"/>
      <c r="Q216" s="1215"/>
      <c r="R216" s="1215"/>
      <c r="S216" s="1215"/>
      <c r="T216" s="1215"/>
      <c r="U216" s="1215"/>
      <c r="V216" s="1215"/>
      <c r="W216" s="1215"/>
      <c r="X216" s="1215"/>
      <c r="Y216" s="1215"/>
      <c r="Z216" s="1215"/>
      <c r="AA216" s="1215"/>
      <c r="AB216" s="1215"/>
      <c r="AC216" s="1215"/>
      <c r="AD216" s="1215"/>
      <c r="AE216" s="1215"/>
      <c r="AF216" s="1215"/>
      <c r="AG216" s="1215"/>
      <c r="AH216" s="1215"/>
      <c r="AI216" s="1215"/>
      <c r="AJ216" s="1215"/>
      <c r="AK216" s="1215"/>
      <c r="AL216" s="1215"/>
      <c r="AM216" s="1215"/>
      <c r="AN216" s="1215"/>
      <c r="AO216" s="1215"/>
      <c r="AP216" s="1215"/>
      <c r="AQ216" s="1215"/>
      <c r="AR216" s="1215"/>
      <c r="AS216" s="1215"/>
      <c r="AT216" s="1215"/>
      <c r="AU216" s="1215"/>
      <c r="AV216" s="1215"/>
      <c r="AW216" s="1215"/>
      <c r="AX216" s="1214"/>
      <c r="AY216" s="1214"/>
      <c r="AZ216" s="1214"/>
      <c r="BA216" s="1214"/>
      <c r="BB216" s="1214"/>
      <c r="BC216" s="1214"/>
      <c r="BD216" s="1214"/>
      <c r="BE216" s="1214"/>
      <c r="BF216" s="1214"/>
      <c r="BG216" s="1214"/>
      <c r="BH216" s="1214"/>
      <c r="BI216" s="1214"/>
      <c r="BJ216" s="1214"/>
    </row>
    <row r="217" spans="1:63" ht="15.75">
      <c r="B217" s="1208" t="s">
        <v>1181</v>
      </c>
      <c r="C217" s="1214"/>
      <c r="D217" s="1214"/>
      <c r="E217" s="1214"/>
      <c r="F217" s="1214"/>
      <c r="G217" s="1214"/>
      <c r="H217" s="1215"/>
      <c r="I217" s="1215"/>
      <c r="J217" s="1215"/>
      <c r="K217" s="1215"/>
      <c r="L217" s="1215"/>
      <c r="M217" s="1215"/>
      <c r="N217" s="1215"/>
      <c r="O217" s="1215"/>
      <c r="P217" s="1215"/>
      <c r="Q217" s="1215"/>
      <c r="R217" s="1215"/>
      <c r="S217" s="1215"/>
      <c r="T217" s="1215"/>
      <c r="U217" s="1215"/>
      <c r="V217" s="1215"/>
      <c r="W217" s="1215"/>
      <c r="X217" s="1215"/>
      <c r="Y217" s="1215"/>
      <c r="Z217" s="1215"/>
      <c r="AA217" s="1215"/>
      <c r="AB217" s="1215"/>
      <c r="AC217" s="1215"/>
      <c r="AD217" s="1215"/>
      <c r="AE217" s="1215"/>
      <c r="AF217" s="1215"/>
      <c r="AG217" s="1215"/>
      <c r="AH217" s="1215"/>
      <c r="AI217" s="1215"/>
      <c r="AJ217" s="1215"/>
      <c r="AK217" s="1215"/>
      <c r="AL217" s="1215"/>
      <c r="AM217" s="1215"/>
      <c r="AN217" s="1215"/>
      <c r="AO217" s="1215"/>
      <c r="AP217" s="1215"/>
      <c r="AQ217" s="1215"/>
      <c r="AR217" s="1215"/>
      <c r="AS217" s="1215"/>
      <c r="AT217" s="1215"/>
      <c r="AU217" s="1215"/>
      <c r="AV217" s="1215"/>
      <c r="AW217" s="1215"/>
      <c r="AX217" s="1214"/>
      <c r="AY217" s="1214"/>
      <c r="AZ217" s="1214"/>
      <c r="BA217" s="1214"/>
      <c r="BB217" s="1214"/>
      <c r="BC217" s="1214"/>
      <c r="BD217" s="1214"/>
      <c r="BE217" s="1214"/>
      <c r="BF217" s="1214"/>
      <c r="BG217" s="1214"/>
      <c r="BH217" s="1214"/>
      <c r="BI217" s="1214"/>
      <c r="BJ217" s="1214"/>
    </row>
    <row r="218" spans="1:63">
      <c r="B218" s="1214"/>
      <c r="C218" s="1214"/>
      <c r="D218" s="1214"/>
      <c r="E218" s="1214"/>
      <c r="F218" s="1214"/>
      <c r="G218" s="1214"/>
      <c r="H218" s="1215"/>
      <c r="I218" s="1215"/>
      <c r="J218" s="1215"/>
      <c r="K218" s="1215"/>
      <c r="L218" s="1215"/>
      <c r="M218" s="1215"/>
      <c r="N218" s="1215"/>
      <c r="O218" s="1215"/>
      <c r="P218" s="1215"/>
      <c r="Q218" s="1215"/>
      <c r="R218" s="1215"/>
      <c r="S218" s="1215"/>
      <c r="T218" s="1215"/>
      <c r="U218" s="1215"/>
      <c r="V218" s="1215"/>
      <c r="W218" s="1215"/>
      <c r="X218" s="1215"/>
      <c r="Y218" s="1215"/>
      <c r="Z218" s="1215"/>
      <c r="AA218" s="1215"/>
      <c r="AB218" s="1215"/>
      <c r="AC218" s="1215"/>
      <c r="AD218" s="1215"/>
      <c r="AE218" s="1215"/>
      <c r="AF218" s="1215"/>
      <c r="AG218" s="1215"/>
      <c r="AH218" s="1215"/>
      <c r="AI218" s="1215"/>
      <c r="AJ218" s="1215"/>
      <c r="AK218" s="1215"/>
      <c r="AL218" s="1215"/>
      <c r="AM218" s="1215"/>
      <c r="AN218" s="1215"/>
      <c r="AO218" s="1215"/>
      <c r="AP218" s="1215"/>
      <c r="AQ218" s="1215"/>
      <c r="AR218" s="1215"/>
      <c r="AS218" s="1215"/>
      <c r="AT218" s="1215"/>
      <c r="AU218" s="1215"/>
      <c r="AV218" s="1215"/>
      <c r="AW218" s="1215"/>
      <c r="AX218" s="1214"/>
      <c r="AY218" s="1214"/>
      <c r="AZ218" s="1214"/>
      <c r="BA218" s="1214"/>
      <c r="BB218" s="1214"/>
      <c r="BC218" s="1214"/>
      <c r="BD218" s="1214"/>
      <c r="BE218" s="1214"/>
      <c r="BF218" s="1214"/>
      <c r="BG218" s="1214"/>
      <c r="BH218" s="1214"/>
      <c r="BI218" s="1214"/>
      <c r="BJ218" s="1214"/>
    </row>
    <row r="219" spans="1:63">
      <c r="B219" s="1220"/>
      <c r="C219" s="1236" t="s">
        <v>32</v>
      </c>
      <c r="D219" s="1214"/>
      <c r="E219" s="1214"/>
      <c r="F219" s="1214"/>
      <c r="G219" s="1214"/>
      <c r="H219" s="1215"/>
      <c r="I219" s="1215"/>
      <c r="J219" s="1215"/>
      <c r="K219" s="1215"/>
      <c r="L219" s="1215"/>
      <c r="M219" s="1215"/>
      <c r="N219" s="1215"/>
      <c r="O219" s="1215"/>
      <c r="P219" s="1215"/>
      <c r="Q219" s="1215"/>
      <c r="R219" s="1215"/>
      <c r="S219" s="1215"/>
      <c r="T219" s="1215"/>
      <c r="U219" s="1215"/>
      <c r="V219" s="1215"/>
      <c r="W219" s="1215"/>
      <c r="X219" s="1215"/>
      <c r="Y219" s="1215"/>
      <c r="Z219" s="1215"/>
      <c r="AA219" s="1215"/>
      <c r="AB219" s="1215"/>
      <c r="AC219" s="1215"/>
      <c r="AD219" s="1215"/>
      <c r="AE219" s="1215"/>
      <c r="AF219" s="1215"/>
      <c r="AG219" s="1215"/>
      <c r="AH219" s="1215"/>
      <c r="AI219" s="1215"/>
      <c r="AJ219" s="1215"/>
      <c r="AK219" s="1215"/>
      <c r="AL219" s="1215"/>
      <c r="AM219" s="1215"/>
      <c r="AN219" s="1215"/>
      <c r="AO219" s="1215"/>
      <c r="AP219" s="1215"/>
      <c r="AQ219" s="1215"/>
      <c r="AR219" s="1215"/>
      <c r="AS219" s="1215"/>
      <c r="AT219" s="1215"/>
      <c r="AU219" s="1215"/>
      <c r="AV219" s="1215"/>
      <c r="AW219" s="1215"/>
      <c r="AX219" s="1214"/>
      <c r="AY219" s="2405">
        <v>2007</v>
      </c>
      <c r="AZ219" s="2405"/>
      <c r="BA219" s="2405">
        <f>AY219+5</f>
        <v>2012</v>
      </c>
      <c r="BB219" s="2405">
        <f t="shared" ref="BB219:BI219" si="66">BA219+5</f>
        <v>2017</v>
      </c>
      <c r="BC219" s="2405">
        <f t="shared" si="66"/>
        <v>2022</v>
      </c>
      <c r="BD219" s="2405">
        <f t="shared" si="66"/>
        <v>2027</v>
      </c>
      <c r="BE219" s="2405">
        <f t="shared" si="66"/>
        <v>2032</v>
      </c>
      <c r="BF219" s="2405">
        <f t="shared" si="66"/>
        <v>2037</v>
      </c>
      <c r="BG219" s="2405">
        <f t="shared" si="66"/>
        <v>2042</v>
      </c>
      <c r="BH219" s="2405">
        <f t="shared" si="66"/>
        <v>2047</v>
      </c>
      <c r="BI219" s="2405">
        <f t="shared" si="66"/>
        <v>2052</v>
      </c>
      <c r="BJ219" s="1214"/>
    </row>
    <row r="220" spans="1:63">
      <c r="B220" s="1214"/>
      <c r="C220" s="1269" t="s">
        <v>304</v>
      </c>
      <c r="D220" s="1269" t="s">
        <v>36</v>
      </c>
      <c r="E220" s="166" t="str">
        <f>INDEX(Vectors[Description],MATCH($D220,Vectors[Code],0))</f>
        <v>Solid hydrocarbons</v>
      </c>
      <c r="F220" s="1270"/>
      <c r="G220" s="1270"/>
      <c r="H220" s="1271"/>
      <c r="I220" s="1271"/>
      <c r="J220" s="1271"/>
      <c r="K220" s="1271"/>
      <c r="L220" s="1271"/>
      <c r="M220" s="1271"/>
      <c r="N220" s="1271"/>
      <c r="O220" s="1271"/>
      <c r="P220" s="1271"/>
      <c r="Q220" s="1271"/>
      <c r="R220" s="1271"/>
      <c r="S220" s="1271"/>
      <c r="T220" s="1271"/>
      <c r="U220" s="1271"/>
      <c r="V220" s="1271"/>
      <c r="W220" s="1271"/>
      <c r="X220" s="1271"/>
      <c r="Y220" s="1271"/>
      <c r="Z220" s="1271"/>
      <c r="AA220" s="1271"/>
      <c r="AB220" s="1271"/>
      <c r="AC220" s="1271"/>
      <c r="AD220" s="1271"/>
      <c r="AE220" s="1271"/>
      <c r="AF220" s="1271"/>
      <c r="AG220" s="1271"/>
      <c r="AH220" s="1271"/>
      <c r="AI220" s="1271"/>
      <c r="AJ220" s="1271">
        <f>11.2811*Unit.TWh</f>
        <v>11.2811</v>
      </c>
      <c r="AK220" s="1271">
        <f>11.5128859*Unit.TWh</f>
        <v>11.512885900000001</v>
      </c>
      <c r="AL220" s="1271">
        <f>9.9829594*Unit.TWh</f>
        <v>9.9829594000000004</v>
      </c>
      <c r="AM220" s="1271">
        <f>10.7253023*Unit.TWh</f>
        <v>10.725302299999999</v>
      </c>
      <c r="AN220" s="1271">
        <f>11.7831671*Unit.TWh</f>
        <v>11.7831671</v>
      </c>
      <c r="AO220" s="1271">
        <f>11.9234249*Unit.TWh</f>
        <v>11.923424900000001</v>
      </c>
      <c r="AP220" s="1271">
        <f>8.2292717*Unit.TWh</f>
        <v>8.2292717</v>
      </c>
      <c r="AQ220" s="1271">
        <f>13.56519449*Unit.TWh</f>
        <v>13.56519449</v>
      </c>
      <c r="AR220" s="1271">
        <f>13.10799238*Unit.TWh</f>
        <v>13.107992380000001</v>
      </c>
      <c r="AS220" s="1271">
        <f>14.11044992*Unit.TWh</f>
        <v>14.110449920000001</v>
      </c>
      <c r="AT220" s="1271">
        <f>15.68101481*Unit.TWh</f>
        <v>15.681014810000001</v>
      </c>
      <c r="AU220" s="1271">
        <f>18.7866056*Unit.TWh</f>
        <v>18.786605600000001</v>
      </c>
      <c r="AV220" s="1271">
        <f>19.95985165*Unit.TWh</f>
        <v>19.959851650000001</v>
      </c>
      <c r="AW220" s="1271" t="s">
        <v>1182</v>
      </c>
      <c r="AX220" s="1272"/>
      <c r="AY220" s="1273"/>
      <c r="AZ220" s="1273"/>
      <c r="BA220" s="1273"/>
      <c r="BB220" s="1273"/>
      <c r="BC220" s="1273"/>
      <c r="BD220" s="1273"/>
      <c r="BE220" s="1273"/>
      <c r="BF220" s="1273"/>
      <c r="BG220" s="1273"/>
      <c r="BH220" s="1273"/>
      <c r="BI220" s="1273"/>
      <c r="BJ220" s="1214"/>
    </row>
    <row r="221" spans="1:63">
      <c r="B221" s="1214"/>
      <c r="C221" s="1269" t="s">
        <v>304</v>
      </c>
      <c r="D221" s="1269" t="s">
        <v>38</v>
      </c>
      <c r="E221" s="166" t="str">
        <f>INDEX(Vectors[Description],MATCH($D221,Vectors[Code],0))</f>
        <v>Liquid hydrocarbons</v>
      </c>
      <c r="F221" s="1270"/>
      <c r="G221" s="1270"/>
      <c r="H221" s="1271"/>
      <c r="I221" s="1271"/>
      <c r="J221" s="1271"/>
      <c r="K221" s="1271"/>
      <c r="L221" s="1271"/>
      <c r="M221" s="1271"/>
      <c r="N221" s="1271"/>
      <c r="O221" s="1271"/>
      <c r="P221" s="1271"/>
      <c r="Q221" s="1271"/>
      <c r="R221" s="1271"/>
      <c r="S221" s="1271"/>
      <c r="T221" s="1271"/>
      <c r="U221" s="1271"/>
      <c r="V221" s="1271"/>
      <c r="W221" s="1271"/>
      <c r="X221" s="1271"/>
      <c r="Y221" s="1271"/>
      <c r="Z221" s="1271"/>
      <c r="AA221" s="1271"/>
      <c r="AB221" s="1271"/>
      <c r="AC221" s="1271"/>
      <c r="AD221" s="1271"/>
      <c r="AE221" s="1271"/>
      <c r="AF221" s="1271"/>
      <c r="AG221" s="1271"/>
      <c r="AH221" s="1271"/>
      <c r="AI221" s="1271"/>
      <c r="AJ221" s="1271">
        <f t="shared" ref="AJ221:AP221" si="67">0*Unit.TWh</f>
        <v>0</v>
      </c>
      <c r="AK221" s="1271">
        <f t="shared" si="67"/>
        <v>0</v>
      </c>
      <c r="AL221" s="1271">
        <f t="shared" si="67"/>
        <v>0</v>
      </c>
      <c r="AM221" s="1271">
        <f t="shared" si="67"/>
        <v>0</v>
      </c>
      <c r="AN221" s="1271">
        <f t="shared" si="67"/>
        <v>0</v>
      </c>
      <c r="AO221" s="1271">
        <f t="shared" si="67"/>
        <v>0</v>
      </c>
      <c r="AP221" s="1271">
        <f t="shared" si="67"/>
        <v>0</v>
      </c>
      <c r="AQ221" s="1271">
        <f>0.09313615*Unit.TWh</f>
        <v>9.3136150000000001E-2</v>
      </c>
      <c r="AR221" s="1271">
        <f>2.691796244*Unit.TWh</f>
        <v>2.6917962439999998</v>
      </c>
      <c r="AS221" s="1271">
        <f>4.599912358*Unit.TWh</f>
        <v>4.5999123580000001</v>
      </c>
      <c r="AT221" s="1271">
        <f>3.516727083*Unit.TWh</f>
        <v>3.5167270830000001</v>
      </c>
      <c r="AU221" s="1271">
        <f>2.629156279*Unit.TWh</f>
        <v>2.629156279</v>
      </c>
      <c r="AV221" s="1271">
        <f>3.539047787*Unit.TWh</f>
        <v>3.5390477869999999</v>
      </c>
      <c r="AW221" s="1271" t="s">
        <v>1183</v>
      </c>
      <c r="AX221" s="1272"/>
      <c r="AY221" s="1273"/>
      <c r="AZ221" s="1273"/>
      <c r="BA221" s="1273"/>
      <c r="BB221" s="1273"/>
      <c r="BC221" s="1273"/>
      <c r="BD221" s="1273"/>
      <c r="BE221" s="1273"/>
      <c r="BF221" s="1273"/>
      <c r="BG221" s="1273"/>
      <c r="BH221" s="1273"/>
      <c r="BI221" s="1273"/>
      <c r="BJ221" s="1214"/>
    </row>
    <row r="222" spans="1:63">
      <c r="B222" s="1214"/>
      <c r="C222" s="1269" t="s">
        <v>304</v>
      </c>
      <c r="D222" s="1269" t="s">
        <v>39</v>
      </c>
      <c r="E222" s="166" t="str">
        <f>INDEX(Vectors[Description],MATCH($D222,Vectors[Code],0))</f>
        <v>Gaseous hydrocarbons</v>
      </c>
      <c r="F222" s="1270"/>
      <c r="G222" s="1270"/>
      <c r="H222" s="1271"/>
      <c r="I222" s="1271"/>
      <c r="J222" s="1271"/>
      <c r="K222" s="1271"/>
      <c r="L222" s="1271"/>
      <c r="M222" s="1271"/>
      <c r="N222" s="1271"/>
      <c r="O222" s="1271"/>
      <c r="P222" s="1271"/>
      <c r="Q222" s="1271"/>
      <c r="R222" s="1271"/>
      <c r="S222" s="1271"/>
      <c r="T222" s="1271"/>
      <c r="U222" s="1271"/>
      <c r="V222" s="1271"/>
      <c r="W222" s="1271"/>
      <c r="X222" s="1271"/>
      <c r="Y222" s="1271"/>
      <c r="Z222" s="1271"/>
      <c r="AA222" s="1271"/>
      <c r="AB222" s="1271"/>
      <c r="AC222" s="1271"/>
      <c r="AD222" s="1271"/>
      <c r="AE222" s="1271"/>
      <c r="AF222" s="1271"/>
      <c r="AG222" s="1271"/>
      <c r="AH222" s="1271"/>
      <c r="AI222" s="1271"/>
      <c r="AJ222" s="1271">
        <f>4.679912*Unit.TWh</f>
        <v>4.6799119999999998</v>
      </c>
      <c r="AK222" s="1271">
        <f>6.65236*Unit.TWh</f>
        <v>6.6523599999999998</v>
      </c>
      <c r="AL222" s="1271">
        <f>8.5030419*Unit.TWh</f>
        <v>8.5030418999999995</v>
      </c>
      <c r="AM222" s="1271">
        <f>9.7205866*Unit.TWh</f>
        <v>9.7205866000000007</v>
      </c>
      <c r="AN222" s="1271">
        <f>10.375123*Unit.TWh</f>
        <v>10.375123</v>
      </c>
      <c r="AO222" s="1271">
        <f>12.654603*Unit.TWh</f>
        <v>12.654603</v>
      </c>
      <c r="AP222" s="1271">
        <f>17.4844257*Unit.TWh</f>
        <v>17.484425699999999</v>
      </c>
      <c r="AQ222" s="1271">
        <f>18.91593462*Unit.TWh</f>
        <v>18.915934620000002</v>
      </c>
      <c r="AR222" s="1271">
        <f>19.24482717*Unit.TWh</f>
        <v>19.244827170000001</v>
      </c>
      <c r="AS222" s="1271">
        <f>20.29461125*Unit.TWh</f>
        <v>20.294611249999999</v>
      </c>
      <c r="AT222" s="1271">
        <f>20.91263605*Unit.TWh</f>
        <v>20.91263605</v>
      </c>
      <c r="AU222" s="1271">
        <f>21.92331406*Unit.TWh</f>
        <v>21.923314059999999</v>
      </c>
      <c r="AV222" s="1271">
        <f>22.89564828*Unit.TWh</f>
        <v>22.89564828</v>
      </c>
      <c r="AW222" s="1271" t="s">
        <v>1184</v>
      </c>
      <c r="AX222" s="1272"/>
      <c r="AY222" s="1273">
        <f t="shared" ref="AY222:BI222" ca="1" si="68">IFERROR(INDEX(INDIRECT($C222&amp;".Outputs["&amp;AY$4&amp;"]"),MATCH($D222,INDIRECT($C222&amp;".Outputs[Vector]"),0)),"na")</f>
        <v>9.1777777777777771</v>
      </c>
      <c r="AZ222" s="1273"/>
      <c r="BA222" s="1273">
        <f t="shared" ca="1" si="68"/>
        <v>10.305777777777783</v>
      </c>
      <c r="BB222" s="1273">
        <f t="shared" ca="1" si="68"/>
        <v>11.346016666666671</v>
      </c>
      <c r="BC222" s="1273">
        <f t="shared" ca="1" si="68"/>
        <v>12.386255555555559</v>
      </c>
      <c r="BD222" s="1273">
        <f t="shared" ca="1" si="68"/>
        <v>13.426494444444447</v>
      </c>
      <c r="BE222" s="1273">
        <f t="shared" ca="1" si="68"/>
        <v>14.466733333333337</v>
      </c>
      <c r="BF222" s="1273">
        <f t="shared" ca="1" si="68"/>
        <v>14.832036478670412</v>
      </c>
      <c r="BG222" s="1273">
        <f t="shared" ca="1" si="68"/>
        <v>15.206563986198885</v>
      </c>
      <c r="BH222" s="1273">
        <f t="shared" ca="1" si="68"/>
        <v>15.590548782623422</v>
      </c>
      <c r="BI222" s="1273">
        <f t="shared" ca="1" si="68"/>
        <v>15.984229676339865</v>
      </c>
      <c r="BJ222" s="1214"/>
    </row>
    <row r="223" spans="1:63">
      <c r="B223" s="1214"/>
      <c r="C223" s="1272"/>
      <c r="D223" s="1272"/>
      <c r="E223" s="1272"/>
      <c r="F223" s="1272"/>
      <c r="G223" s="1272"/>
      <c r="H223" s="1215"/>
      <c r="I223" s="1215"/>
      <c r="J223" s="1215"/>
      <c r="K223" s="1215"/>
      <c r="L223" s="1215"/>
      <c r="M223" s="1215"/>
      <c r="N223" s="1215"/>
      <c r="O223" s="1215"/>
      <c r="P223" s="1215"/>
      <c r="Q223" s="1215"/>
      <c r="R223" s="1215"/>
      <c r="S223" s="1215"/>
      <c r="T223" s="1215"/>
      <c r="U223" s="1215"/>
      <c r="V223" s="1215"/>
      <c r="W223" s="1215"/>
      <c r="X223" s="1215"/>
      <c r="Y223" s="1215"/>
      <c r="Z223" s="1215"/>
      <c r="AA223" s="1215"/>
      <c r="AB223" s="1215"/>
      <c r="AC223" s="1215"/>
      <c r="AD223" s="1215"/>
      <c r="AE223" s="1215"/>
      <c r="AF223" s="1215"/>
      <c r="AG223" s="1215"/>
      <c r="AH223" s="1215"/>
      <c r="AI223" s="1215"/>
      <c r="AJ223" s="1215"/>
      <c r="AK223" s="1215"/>
      <c r="AL223" s="1215"/>
      <c r="AM223" s="1215"/>
      <c r="AN223" s="1215"/>
      <c r="AO223" s="1215"/>
      <c r="AP223" s="1215"/>
      <c r="AQ223" s="1215"/>
      <c r="AR223" s="1215"/>
      <c r="AS223" s="1215"/>
      <c r="AT223" s="1215"/>
      <c r="AU223" s="1215"/>
      <c r="AV223" s="1215"/>
      <c r="AW223" s="1215"/>
      <c r="AX223" s="1272"/>
      <c r="AY223" s="1272"/>
      <c r="AZ223" s="1272"/>
      <c r="BA223" s="1272"/>
      <c r="BB223" s="1272"/>
      <c r="BC223" s="1272"/>
      <c r="BD223" s="1272"/>
      <c r="BE223" s="1272"/>
      <c r="BF223" s="1272"/>
      <c r="BG223" s="1272"/>
      <c r="BH223" s="1272"/>
      <c r="BI223" s="1272"/>
      <c r="BJ223" s="1214"/>
    </row>
    <row r="224" spans="1:63">
      <c r="B224" s="1214"/>
      <c r="C224" s="1274" t="s">
        <v>32</v>
      </c>
      <c r="D224" s="1272"/>
      <c r="E224" s="1272"/>
      <c r="F224" s="1272"/>
      <c r="G224" s="1272"/>
      <c r="H224" s="1215"/>
      <c r="I224" s="1215"/>
      <c r="J224" s="1215"/>
      <c r="K224" s="1215"/>
      <c r="L224" s="1215"/>
      <c r="M224" s="1215"/>
      <c r="N224" s="1215"/>
      <c r="O224" s="1215"/>
      <c r="P224" s="1215"/>
      <c r="Q224" s="1215"/>
      <c r="R224" s="1215"/>
      <c r="S224" s="1215"/>
      <c r="T224" s="1215"/>
      <c r="U224" s="1215"/>
      <c r="V224" s="1215"/>
      <c r="W224" s="1215"/>
      <c r="X224" s="1215"/>
      <c r="Y224" s="1215"/>
      <c r="Z224" s="1215"/>
      <c r="AA224" s="1215"/>
      <c r="AB224" s="1215"/>
      <c r="AC224" s="1215"/>
      <c r="AD224" s="1215"/>
      <c r="AE224" s="1215"/>
      <c r="AF224" s="1215"/>
      <c r="AG224" s="1215"/>
      <c r="AH224" s="1215"/>
      <c r="AI224" s="1215"/>
      <c r="AJ224" s="1215"/>
      <c r="AK224" s="1215"/>
      <c r="AL224" s="1215"/>
      <c r="AM224" s="1215"/>
      <c r="AN224" s="1215"/>
      <c r="AO224" s="1215"/>
      <c r="AP224" s="1215"/>
      <c r="AQ224" s="1215"/>
      <c r="AR224" s="1215"/>
      <c r="AS224" s="1215"/>
      <c r="AT224" s="1215"/>
      <c r="AU224" s="1215"/>
      <c r="AV224" s="1215"/>
      <c r="AW224" s="1215"/>
      <c r="AX224" s="1272"/>
      <c r="AY224" s="1272"/>
      <c r="AZ224" s="1272"/>
      <c r="BA224" s="1272"/>
      <c r="BB224" s="1272"/>
      <c r="BC224" s="1272"/>
      <c r="BD224" s="1272"/>
      <c r="BE224" s="1272"/>
      <c r="BF224" s="1272"/>
      <c r="BG224" s="1272"/>
      <c r="BH224" s="1272"/>
      <c r="BI224" s="1272"/>
      <c r="BJ224" s="1214"/>
    </row>
    <row r="225" spans="2:62">
      <c r="B225" s="1214"/>
      <c r="C225" s="1269" t="s">
        <v>432</v>
      </c>
      <c r="D225" s="1269" t="s">
        <v>36</v>
      </c>
      <c r="E225" s="1214" t="s">
        <v>49</v>
      </c>
      <c r="F225" s="1270"/>
      <c r="G225" s="1270"/>
      <c r="H225" s="1271"/>
      <c r="I225" s="1271"/>
      <c r="J225" s="1271"/>
      <c r="K225" s="1271"/>
      <c r="L225" s="1271"/>
      <c r="M225" s="1271"/>
      <c r="N225" s="1271"/>
      <c r="O225" s="1271"/>
      <c r="P225" s="1271"/>
      <c r="Q225" s="1271"/>
      <c r="R225" s="1271"/>
      <c r="S225" s="1271"/>
      <c r="T225" s="1271"/>
      <c r="U225" s="1271"/>
      <c r="V225" s="1271"/>
      <c r="W225" s="1271"/>
      <c r="X225" s="1271"/>
      <c r="Y225" s="1271"/>
      <c r="Z225" s="1271"/>
      <c r="AA225" s="1271"/>
      <c r="AB225" s="1271"/>
      <c r="AC225" s="1271"/>
      <c r="AD225" s="1271"/>
      <c r="AE225" s="1271"/>
      <c r="AF225" s="1271"/>
      <c r="AG225" s="1271"/>
      <c r="AH225" s="1271"/>
      <c r="AI225" s="1271"/>
      <c r="AJ225" s="1271">
        <f t="shared" ref="AJ225:AN227" si="69">0*Unit.TWh</f>
        <v>0</v>
      </c>
      <c r="AK225" s="1271">
        <f t="shared" si="69"/>
        <v>0</v>
      </c>
      <c r="AL225" s="1271">
        <f t="shared" si="69"/>
        <v>0</v>
      </c>
      <c r="AM225" s="1271">
        <f t="shared" si="69"/>
        <v>0</v>
      </c>
      <c r="AN225" s="1271">
        <f t="shared" si="69"/>
        <v>0</v>
      </c>
      <c r="AO225" s="1271">
        <f>1.2843009*Unit.TWh</f>
        <v>1.2843009000000001</v>
      </c>
      <c r="AP225" s="1271">
        <f>4.67526*Unit.TWh</f>
        <v>4.6752599999999997</v>
      </c>
      <c r="AQ225" s="1271">
        <f>4.89331583*Unit.TWh</f>
        <v>4.8933158299999997</v>
      </c>
      <c r="AR225" s="1271">
        <f>5.78000326*Unit.TWh</f>
        <v>5.78000326</v>
      </c>
      <c r="AS225" s="1271">
        <f>4.398455251*Unit.TWh</f>
        <v>4.3984552509999997</v>
      </c>
      <c r="AT225" s="1271">
        <f>5.033138643*Unit.TWh</f>
        <v>5.033138643</v>
      </c>
      <c r="AU225" s="1271">
        <f>4.917245238*Unit.TWh</f>
        <v>4.9172452379999996</v>
      </c>
      <c r="AV225" s="1271">
        <f>8.756573386*Unit.TWh</f>
        <v>8.7565733859999995</v>
      </c>
      <c r="AW225" s="1271" t="s">
        <v>1185</v>
      </c>
      <c r="AX225" s="1272"/>
      <c r="AY225" s="1273"/>
      <c r="AZ225" s="1273"/>
      <c r="BA225" s="1273"/>
      <c r="BB225" s="1273"/>
      <c r="BC225" s="1273"/>
      <c r="BD225" s="1273"/>
      <c r="BE225" s="1273"/>
      <c r="BF225" s="1273"/>
      <c r="BG225" s="1273"/>
      <c r="BH225" s="1273"/>
      <c r="BI225" s="1273"/>
      <c r="BJ225" s="1214"/>
    </row>
    <row r="226" spans="2:62">
      <c r="B226" s="1214"/>
      <c r="C226" s="1269" t="s">
        <v>432</v>
      </c>
      <c r="D226" s="1269" t="s">
        <v>38</v>
      </c>
      <c r="E226" s="1214" t="s">
        <v>50</v>
      </c>
      <c r="F226" s="1270"/>
      <c r="G226" s="1270"/>
      <c r="H226" s="1271"/>
      <c r="I226" s="1271"/>
      <c r="J226" s="1271"/>
      <c r="K226" s="1271"/>
      <c r="L226" s="1271"/>
      <c r="M226" s="1271"/>
      <c r="N226" s="1271"/>
      <c r="O226" s="1271"/>
      <c r="P226" s="1271"/>
      <c r="Q226" s="1271"/>
      <c r="R226" s="1271"/>
      <c r="S226" s="1271"/>
      <c r="T226" s="1271"/>
      <c r="U226" s="1271"/>
      <c r="V226" s="1271"/>
      <c r="W226" s="1271"/>
      <c r="X226" s="1271"/>
      <c r="Y226" s="1271"/>
      <c r="Z226" s="1271"/>
      <c r="AA226" s="1271"/>
      <c r="AB226" s="1271"/>
      <c r="AC226" s="1271"/>
      <c r="AD226" s="1271"/>
      <c r="AE226" s="1271"/>
      <c r="AF226" s="1271"/>
      <c r="AG226" s="1271"/>
      <c r="AH226" s="1271"/>
      <c r="AI226" s="1271"/>
      <c r="AJ226" s="1271">
        <f t="shared" si="69"/>
        <v>0</v>
      </c>
      <c r="AK226" s="1271">
        <f t="shared" si="69"/>
        <v>0</v>
      </c>
      <c r="AL226" s="1271">
        <f t="shared" si="69"/>
        <v>0</v>
      </c>
      <c r="AM226" s="1271">
        <f t="shared" si="69"/>
        <v>0</v>
      </c>
      <c r="AN226" s="1271">
        <f t="shared" si="69"/>
        <v>0</v>
      </c>
      <c r="AO226" s="1271">
        <f>0*Unit.TWh</f>
        <v>0</v>
      </c>
      <c r="AP226" s="1271">
        <f>0*Unit.TWh</f>
        <v>0</v>
      </c>
      <c r="AQ226" s="1271">
        <f>0.768079488*Unit.TWh</f>
        <v>0.76807948800000003</v>
      </c>
      <c r="AR226" s="1271">
        <f>0.621433135*Unit.TWh</f>
        <v>0.62143313499999997</v>
      </c>
      <c r="AS226" s="1271">
        <f>0.883831113*Unit.TWh</f>
        <v>0.88383111299999995</v>
      </c>
      <c r="AT226" s="1271">
        <f>6.362225731*Unit.TWh</f>
        <v>6.3622257309999997</v>
      </c>
      <c r="AU226" s="1271">
        <f>9.448472566*Unit.TWh</f>
        <v>9.4484725659999995</v>
      </c>
      <c r="AV226" s="1271">
        <f>11.52719409*Unit.TWh</f>
        <v>11.52719409</v>
      </c>
      <c r="AW226" s="1271" t="s">
        <v>1186</v>
      </c>
      <c r="AX226" s="1272"/>
      <c r="AY226" s="1273">
        <f t="shared" ref="AY226:BI226" ca="1" si="70">IFERROR(INDEX(INDIRECT($C226&amp;".Outputs["&amp;AY$4&amp;"]"),MATCH($D226,INDIRECT($C226&amp;".Outputs[Vector]"),0)),"na")</f>
        <v>0</v>
      </c>
      <c r="AZ226" s="1273"/>
      <c r="BA226" s="1273">
        <f t="shared" ca="1" si="70"/>
        <v>0.13142242804166665</v>
      </c>
      <c r="BB226" s="1273">
        <f t="shared" ca="1" si="70"/>
        <v>3.0140876139388606</v>
      </c>
      <c r="BC226" s="1273">
        <f t="shared" ca="1" si="70"/>
        <v>6.6403498055675261</v>
      </c>
      <c r="BD226" s="1273">
        <f t="shared" ca="1" si="70"/>
        <v>11.174550655547504</v>
      </c>
      <c r="BE226" s="1273">
        <f t="shared" ca="1" si="70"/>
        <v>16.858011722794185</v>
      </c>
      <c r="BF226" s="1273">
        <f t="shared" ca="1" si="70"/>
        <v>23.81237420320716</v>
      </c>
      <c r="BG226" s="1273">
        <f t="shared" ca="1" si="70"/>
        <v>32.28279205089418</v>
      </c>
      <c r="BH226" s="1273">
        <f t="shared" ca="1" si="70"/>
        <v>42.443260246537498</v>
      </c>
      <c r="BI226" s="1273">
        <f t="shared" ca="1" si="70"/>
        <v>54.656933937500007</v>
      </c>
      <c r="BJ226" s="1214"/>
    </row>
    <row r="227" spans="2:62">
      <c r="B227" s="1214"/>
      <c r="C227" s="1269" t="s">
        <v>432</v>
      </c>
      <c r="D227" s="1269" t="s">
        <v>39</v>
      </c>
      <c r="E227" s="1214" t="s">
        <v>163</v>
      </c>
      <c r="F227" s="1270"/>
      <c r="G227" s="1270"/>
      <c r="H227" s="1271"/>
      <c r="I227" s="1271"/>
      <c r="J227" s="1271"/>
      <c r="K227" s="1271"/>
      <c r="L227" s="1271"/>
      <c r="M227" s="1271"/>
      <c r="N227" s="1271"/>
      <c r="O227" s="1271"/>
      <c r="P227" s="1271"/>
      <c r="Q227" s="1271"/>
      <c r="R227" s="1271"/>
      <c r="S227" s="1271"/>
      <c r="T227" s="1271"/>
      <c r="U227" s="1271"/>
      <c r="V227" s="1271"/>
      <c r="W227" s="1271"/>
      <c r="X227" s="1271"/>
      <c r="Y227" s="1271"/>
      <c r="Z227" s="1271"/>
      <c r="AA227" s="1271"/>
      <c r="AB227" s="1271"/>
      <c r="AC227" s="1271"/>
      <c r="AD227" s="1271"/>
      <c r="AE227" s="1271"/>
      <c r="AF227" s="1271"/>
      <c r="AG227" s="1271"/>
      <c r="AH227" s="1271"/>
      <c r="AI227" s="1271"/>
      <c r="AJ227" s="1271">
        <f t="shared" si="69"/>
        <v>0</v>
      </c>
      <c r="AK227" s="1271">
        <f t="shared" si="69"/>
        <v>0</v>
      </c>
      <c r="AL227" s="1271">
        <f t="shared" si="69"/>
        <v>0</v>
      </c>
      <c r="AM227" s="1271">
        <f t="shared" si="69"/>
        <v>0</v>
      </c>
      <c r="AN227" s="1271">
        <f t="shared" si="69"/>
        <v>0</v>
      </c>
      <c r="AO227" s="1271">
        <f>0*Unit.TWh</f>
        <v>0</v>
      </c>
      <c r="AP227" s="1271">
        <f>0*Unit.TWh</f>
        <v>0</v>
      </c>
      <c r="AQ227" s="1271">
        <f t="shared" ref="AQ227:AV227" si="71">0*Unit.TWh</f>
        <v>0</v>
      </c>
      <c r="AR227" s="1271">
        <f t="shared" si="71"/>
        <v>0</v>
      </c>
      <c r="AS227" s="1271">
        <f t="shared" si="71"/>
        <v>0</v>
      </c>
      <c r="AT227" s="1271">
        <f t="shared" si="71"/>
        <v>0</v>
      </c>
      <c r="AU227" s="1271">
        <f t="shared" si="71"/>
        <v>0</v>
      </c>
      <c r="AV227" s="1271">
        <f t="shared" si="71"/>
        <v>0</v>
      </c>
      <c r="AW227" s="1271" t="s">
        <v>1187</v>
      </c>
      <c r="AX227" s="1272"/>
      <c r="AY227" s="1273"/>
      <c r="AZ227" s="1273"/>
      <c r="BA227" s="1273"/>
      <c r="BB227" s="1273"/>
      <c r="BC227" s="1273"/>
      <c r="BD227" s="1273"/>
      <c r="BE227" s="1273"/>
      <c r="BF227" s="1273"/>
      <c r="BG227" s="1273"/>
      <c r="BH227" s="1273"/>
      <c r="BI227" s="1273"/>
      <c r="BJ227" s="1214"/>
    </row>
    <row r="228" spans="2:62">
      <c r="B228" s="1214"/>
      <c r="C228" s="1214"/>
      <c r="D228" s="1214"/>
      <c r="E228" s="1214"/>
      <c r="F228" s="1214"/>
      <c r="G228" s="1214"/>
      <c r="H228" s="1215"/>
      <c r="I228" s="1215"/>
      <c r="J228" s="1215"/>
      <c r="K228" s="1215"/>
      <c r="L228" s="1215"/>
      <c r="M228" s="1215"/>
      <c r="N228" s="1215"/>
      <c r="O228" s="1215"/>
      <c r="P228" s="1215"/>
      <c r="Q228" s="1215"/>
      <c r="R228" s="1215"/>
      <c r="S228" s="1215"/>
      <c r="T228" s="1215"/>
      <c r="U228" s="1215"/>
      <c r="V228" s="1215"/>
      <c r="W228" s="1215"/>
      <c r="X228" s="1215"/>
      <c r="Y228" s="1215"/>
      <c r="Z228" s="1215"/>
      <c r="AA228" s="1215"/>
      <c r="AB228" s="1215"/>
      <c r="AC228" s="1215"/>
      <c r="AD228" s="1215"/>
      <c r="AE228" s="1215"/>
      <c r="AF228" s="1215"/>
      <c r="AG228" s="1215"/>
      <c r="AH228" s="1215"/>
      <c r="AI228" s="1215"/>
      <c r="AJ228" s="1215"/>
      <c r="AK228" s="1215"/>
      <c r="AL228" s="1215"/>
      <c r="AM228" s="1215"/>
      <c r="AN228" s="1215"/>
      <c r="AO228" s="1215"/>
      <c r="AP228" s="1215"/>
      <c r="AQ228" s="1215"/>
      <c r="AR228" s="1215"/>
      <c r="AS228" s="1215"/>
      <c r="AT228" s="1215"/>
      <c r="AU228" s="1215"/>
      <c r="AV228" s="1215"/>
      <c r="AW228" s="1215"/>
      <c r="AX228" s="1214"/>
      <c r="AY228" s="1214"/>
      <c r="AZ228" s="1214"/>
      <c r="BA228" s="1214"/>
      <c r="BB228" s="1214"/>
      <c r="BC228" s="1214"/>
      <c r="BD228" s="1214"/>
      <c r="BE228" s="1214"/>
      <c r="BF228" s="1214"/>
      <c r="BG228" s="1214"/>
      <c r="BH228" s="1214"/>
      <c r="BI228" s="1214"/>
      <c r="BJ228" s="1214"/>
    </row>
    <row r="229" spans="2:62">
      <c r="B229" s="1214"/>
      <c r="C229" s="1236" t="s">
        <v>32</v>
      </c>
      <c r="D229" s="1214"/>
      <c r="E229" s="1214"/>
      <c r="F229" s="1214"/>
      <c r="G229" s="1214"/>
      <c r="H229" s="1215"/>
      <c r="I229" s="1215"/>
      <c r="J229" s="1215"/>
      <c r="K229" s="1215"/>
      <c r="L229" s="1215"/>
      <c r="M229" s="1215"/>
      <c r="N229" s="1215"/>
      <c r="O229" s="1215"/>
      <c r="P229" s="1215"/>
      <c r="Q229" s="1215"/>
      <c r="R229" s="1215"/>
      <c r="S229" s="1215"/>
      <c r="T229" s="1215"/>
      <c r="U229" s="1215"/>
      <c r="V229" s="1215"/>
      <c r="W229" s="1215"/>
      <c r="X229" s="1215"/>
      <c r="Y229" s="1215"/>
      <c r="Z229" s="1215"/>
      <c r="AA229" s="1215"/>
      <c r="AB229" s="1215"/>
      <c r="AC229" s="1215"/>
      <c r="AD229" s="1215"/>
      <c r="AE229" s="1215"/>
      <c r="AF229" s="1215"/>
      <c r="AG229" s="1215"/>
      <c r="AH229" s="1215"/>
      <c r="AI229" s="1215"/>
      <c r="AJ229" s="1215"/>
      <c r="AK229" s="1215"/>
      <c r="AL229" s="1215"/>
      <c r="AM229" s="1215"/>
      <c r="AN229" s="1215"/>
      <c r="AO229" s="1215"/>
      <c r="AP229" s="1215"/>
      <c r="AQ229" s="1215"/>
      <c r="AR229" s="1215"/>
      <c r="AS229" s="1215"/>
      <c r="AT229" s="1215"/>
      <c r="AU229" s="1215"/>
      <c r="AV229" s="1215"/>
      <c r="AW229" s="1215"/>
      <c r="AX229" s="1214"/>
      <c r="AY229" s="1214"/>
      <c r="AZ229" s="1214"/>
      <c r="BA229" s="1214"/>
      <c r="BB229" s="1214"/>
      <c r="BC229" s="1214"/>
      <c r="BD229" s="1214"/>
      <c r="BE229" s="1214"/>
      <c r="BF229" s="1214"/>
      <c r="BG229" s="1214"/>
      <c r="BH229" s="1214"/>
      <c r="BI229" s="1214"/>
      <c r="BJ229" s="1214"/>
    </row>
    <row r="230" spans="2:62">
      <c r="B230" s="1214"/>
      <c r="C230" s="1269" t="s">
        <v>2068</v>
      </c>
      <c r="D230" s="1269" t="s">
        <v>36</v>
      </c>
      <c r="E230" s="1214" t="s">
        <v>49</v>
      </c>
      <c r="F230" s="1270"/>
      <c r="G230" s="1270"/>
      <c r="H230" s="1271"/>
      <c r="I230" s="1271"/>
      <c r="J230" s="1271"/>
      <c r="K230" s="1271"/>
      <c r="L230" s="1271"/>
      <c r="M230" s="1271"/>
      <c r="N230" s="1271"/>
      <c r="O230" s="1271"/>
      <c r="P230" s="1271"/>
      <c r="Q230" s="1271"/>
      <c r="R230" s="1271"/>
      <c r="S230" s="1271"/>
      <c r="T230" s="1271"/>
      <c r="U230" s="1271"/>
      <c r="V230" s="1271"/>
      <c r="W230" s="1271"/>
      <c r="X230" s="1271"/>
      <c r="Y230" s="1271"/>
      <c r="Z230" s="1271"/>
      <c r="AA230" s="1271"/>
      <c r="AB230" s="1271"/>
      <c r="AC230" s="1271"/>
      <c r="AD230" s="1271"/>
      <c r="AE230" s="1271"/>
      <c r="AF230" s="1271"/>
      <c r="AG230" s="1271"/>
      <c r="AH230" s="1271"/>
      <c r="AI230" s="1271"/>
      <c r="AJ230" s="1271">
        <f>11.2811*Unit.TWh</f>
        <v>11.2811</v>
      </c>
      <c r="AK230" s="1271">
        <f>11.5128859*Unit.TWh</f>
        <v>11.512885900000001</v>
      </c>
      <c r="AL230" s="1271">
        <f>9.9829594*Unit.TWh</f>
        <v>9.9829594000000004</v>
      </c>
      <c r="AM230" s="1271">
        <f>10.7253023*Unit.TWh</f>
        <v>10.725302299999999</v>
      </c>
      <c r="AN230" s="1271">
        <f>11.7831671*Unit.TWh</f>
        <v>11.7831671</v>
      </c>
      <c r="AO230" s="1271">
        <f>13.2077258*Unit.TWh</f>
        <v>13.2077258</v>
      </c>
      <c r="AP230" s="1271">
        <f>12.9045317*Unit.TWh</f>
        <v>12.9045317</v>
      </c>
      <c r="AQ230" s="1271">
        <f>18.45851032*Unit.TWh</f>
        <v>18.458510319999998</v>
      </c>
      <c r="AR230" s="1271">
        <f>18.88799564*Unit.TWh</f>
        <v>18.88799564</v>
      </c>
      <c r="AS230" s="1271">
        <f>18.50890517*Unit.TWh</f>
        <v>18.508905169999998</v>
      </c>
      <c r="AT230" s="1271">
        <f>20.71415345*Unit.TWh</f>
        <v>20.714153450000001</v>
      </c>
      <c r="AU230" s="1271">
        <f>23.70385084*Unit.TWh</f>
        <v>23.703850840000001</v>
      </c>
      <c r="AV230" s="1271">
        <f>28.71642504*Unit.TWh</f>
        <v>28.716425040000001</v>
      </c>
      <c r="AW230" s="1271" t="s">
        <v>1179</v>
      </c>
      <c r="AX230" s="1214"/>
      <c r="AY230" s="1273">
        <f t="shared" ref="AY230:BI230" ca="1" si="72">IFERROR(INDEX(INDIRECT($C230&amp;".Outputs["&amp;AY$4&amp;"]"),MATCH($D230,INDIRECT($C230&amp;".Outputs[Vector]"),0)),"na")</f>
        <v>937.23355555555554</v>
      </c>
      <c r="AZ230" s="1273"/>
      <c r="BA230" s="1273">
        <f t="shared" ca="1" si="72"/>
        <v>948.40980000000002</v>
      </c>
      <c r="BB230" s="1273">
        <f t="shared" ca="1" si="72"/>
        <v>947.50491464762865</v>
      </c>
      <c r="BC230" s="1273">
        <f t="shared" ca="1" si="72"/>
        <v>946.63986672306442</v>
      </c>
      <c r="BD230" s="1273">
        <f t="shared" ca="1" si="72"/>
        <v>945.81505619727227</v>
      </c>
      <c r="BE230" s="1273">
        <f t="shared" ca="1" si="72"/>
        <v>945.03088705695825</v>
      </c>
      <c r="BF230" s="1273">
        <f t="shared" ca="1" si="72"/>
        <v>944.28776734488724</v>
      </c>
      <c r="BG230" s="1273">
        <f t="shared" ca="1" si="72"/>
        <v>939.97345000000041</v>
      </c>
      <c r="BH230" s="1273">
        <f t="shared" ca="1" si="72"/>
        <v>935.10072500000024</v>
      </c>
      <c r="BI230" s="1273">
        <f t="shared" ca="1" si="72"/>
        <v>930.22800000000007</v>
      </c>
      <c r="BJ230" s="1214"/>
    </row>
    <row r="231" spans="2:62">
      <c r="B231" s="1214"/>
      <c r="C231" s="1269" t="s">
        <v>2068</v>
      </c>
      <c r="D231" s="1269" t="s">
        <v>38</v>
      </c>
      <c r="E231" s="1214" t="s">
        <v>50</v>
      </c>
      <c r="F231" s="1270"/>
      <c r="G231" s="1270"/>
      <c r="H231" s="1271"/>
      <c r="I231" s="1271"/>
      <c r="J231" s="1271"/>
      <c r="K231" s="1271"/>
      <c r="L231" s="1271"/>
      <c r="M231" s="1271"/>
      <c r="N231" s="1271"/>
      <c r="O231" s="1271"/>
      <c r="P231" s="1271"/>
      <c r="Q231" s="1271"/>
      <c r="R231" s="1271"/>
      <c r="S231" s="1271"/>
      <c r="T231" s="1271"/>
      <c r="U231" s="1271"/>
      <c r="V231" s="1271"/>
      <c r="W231" s="1271"/>
      <c r="X231" s="1271"/>
      <c r="Y231" s="1271"/>
      <c r="Z231" s="1271"/>
      <c r="AA231" s="1271"/>
      <c r="AB231" s="1271"/>
      <c r="AC231" s="1271"/>
      <c r="AD231" s="1271"/>
      <c r="AE231" s="1271"/>
      <c r="AF231" s="1271"/>
      <c r="AG231" s="1271"/>
      <c r="AH231" s="1271"/>
      <c r="AI231" s="1271"/>
      <c r="AJ231" s="1271">
        <f t="shared" ref="AJ231:AP231" si="73">0*Unit.TWh</f>
        <v>0</v>
      </c>
      <c r="AK231" s="1271">
        <f t="shared" si="73"/>
        <v>0</v>
      </c>
      <c r="AL231" s="1271">
        <f t="shared" si="73"/>
        <v>0</v>
      </c>
      <c r="AM231" s="1271">
        <f t="shared" si="73"/>
        <v>0</v>
      </c>
      <c r="AN231" s="1271">
        <f t="shared" si="73"/>
        <v>0</v>
      </c>
      <c r="AO231" s="1271">
        <f t="shared" si="73"/>
        <v>0</v>
      </c>
      <c r="AP231" s="1271">
        <f t="shared" si="73"/>
        <v>0</v>
      </c>
      <c r="AQ231" s="1271">
        <f>0.861215638*Unit.TWh</f>
        <v>0.86121563800000001</v>
      </c>
      <c r="AR231" s="1271">
        <f>3.313229379*Unit.TWh</f>
        <v>3.313229379</v>
      </c>
      <c r="AS231" s="1271">
        <f>5.483743472*Unit.TWh</f>
        <v>5.4837434719999996</v>
      </c>
      <c r="AT231" s="1271">
        <f>9.878952814*Unit.TWh</f>
        <v>9.8789528139999998</v>
      </c>
      <c r="AU231" s="1271">
        <f>12.07762885*Unit.TWh</f>
        <v>12.07762885</v>
      </c>
      <c r="AV231" s="1271">
        <f>15.06624188*Unit.TWh</f>
        <v>15.06624188</v>
      </c>
      <c r="AW231" s="1271" t="s">
        <v>1179</v>
      </c>
      <c r="AX231" s="1214"/>
      <c r="AY231" s="1273"/>
      <c r="AZ231" s="1273"/>
      <c r="BA231" s="1273"/>
      <c r="BB231" s="1273"/>
      <c r="BC231" s="1273"/>
      <c r="BD231" s="1273"/>
      <c r="BE231" s="1273"/>
      <c r="BF231" s="1273"/>
      <c r="BG231" s="1273"/>
      <c r="BH231" s="1273"/>
      <c r="BI231" s="1273"/>
      <c r="BJ231" s="1214"/>
    </row>
    <row r="232" spans="2:62">
      <c r="B232" s="1214"/>
      <c r="C232" s="1269" t="s">
        <v>2068</v>
      </c>
      <c r="D232" s="1269" t="s">
        <v>39</v>
      </c>
      <c r="E232" s="1214" t="s">
        <v>163</v>
      </c>
      <c r="F232" s="1270"/>
      <c r="G232" s="1270"/>
      <c r="H232" s="1271"/>
      <c r="I232" s="1271"/>
      <c r="J232" s="1271"/>
      <c r="K232" s="1271"/>
      <c r="L232" s="1271"/>
      <c r="M232" s="1271"/>
      <c r="N232" s="1271"/>
      <c r="O232" s="1271"/>
      <c r="P232" s="1271"/>
      <c r="Q232" s="1271"/>
      <c r="R232" s="1271"/>
      <c r="S232" s="1271"/>
      <c r="T232" s="1271"/>
      <c r="U232" s="1271"/>
      <c r="V232" s="1271"/>
      <c r="W232" s="1271"/>
      <c r="X232" s="1271"/>
      <c r="Y232" s="1271"/>
      <c r="Z232" s="1271"/>
      <c r="AA232" s="1271"/>
      <c r="AB232" s="1271"/>
      <c r="AC232" s="1271"/>
      <c r="AD232" s="1271"/>
      <c r="AE232" s="1271"/>
      <c r="AF232" s="1271"/>
      <c r="AG232" s="1271"/>
      <c r="AH232" s="1271"/>
      <c r="AI232" s="1271"/>
      <c r="AJ232" s="1271">
        <f>4.679912*Unit.TWh</f>
        <v>4.6799119999999998</v>
      </c>
      <c r="AK232" s="1271">
        <f>6.65236*Unit.TWh</f>
        <v>6.6523599999999998</v>
      </c>
      <c r="AL232" s="1271">
        <f>8.5030419*Unit.TWh</f>
        <v>8.5030418999999995</v>
      </c>
      <c r="AM232" s="1271">
        <f>9.7205866*Unit.TWh</f>
        <v>9.7205866000000007</v>
      </c>
      <c r="AN232" s="1271">
        <f>10.375123*Unit.TWh</f>
        <v>10.375123</v>
      </c>
      <c r="AO232" s="1271">
        <f>12.654603*Unit.TWh</f>
        <v>12.654603</v>
      </c>
      <c r="AP232" s="1271">
        <f>17.4844257*Unit.TWh</f>
        <v>17.484425699999999</v>
      </c>
      <c r="AQ232" s="1271">
        <f>18.91593462*Unit.TWh</f>
        <v>18.915934620000002</v>
      </c>
      <c r="AR232" s="1271">
        <f>19.24482717*Unit.TWh</f>
        <v>19.244827170000001</v>
      </c>
      <c r="AS232" s="1271">
        <f>20.29461125*Unit.TWh</f>
        <v>20.294611249999999</v>
      </c>
      <c r="AT232" s="1271">
        <f>20.91263605*Unit.TWh</f>
        <v>20.91263605</v>
      </c>
      <c r="AU232" s="1271">
        <f>21.92331406*Unit.TWh</f>
        <v>21.923314059999999</v>
      </c>
      <c r="AV232" s="1271">
        <f>22.89564828*Unit.TWh</f>
        <v>22.89564828</v>
      </c>
      <c r="AW232" s="1271" t="s">
        <v>1179</v>
      </c>
      <c r="AX232" s="1214"/>
      <c r="AY232" s="1273"/>
      <c r="AZ232" s="1273"/>
      <c r="BA232" s="1273"/>
      <c r="BB232" s="1273"/>
      <c r="BC232" s="1273"/>
      <c r="BD232" s="1273"/>
      <c r="BE232" s="1273"/>
      <c r="BF232" s="1273"/>
      <c r="BG232" s="1273"/>
      <c r="BH232" s="1273"/>
      <c r="BI232" s="1273"/>
      <c r="BJ232" s="1214"/>
    </row>
    <row r="233" spans="2:62">
      <c r="B233" s="1214"/>
      <c r="C233" s="1269"/>
      <c r="D233" s="1269"/>
      <c r="E233" s="1214"/>
      <c r="F233" s="1270"/>
      <c r="G233" s="1270"/>
      <c r="H233" s="1271"/>
      <c r="I233" s="1271"/>
      <c r="J233" s="1271"/>
      <c r="K233" s="1271"/>
      <c r="L233" s="1271"/>
      <c r="M233" s="1271"/>
      <c r="N233" s="1271"/>
      <c r="O233" s="1271"/>
      <c r="P233" s="1271"/>
      <c r="Q233" s="1271"/>
      <c r="R233" s="1271"/>
      <c r="S233" s="1271"/>
      <c r="T233" s="1271"/>
      <c r="U233" s="1271"/>
      <c r="V233" s="1271"/>
      <c r="W233" s="1271"/>
      <c r="X233" s="1271"/>
      <c r="Y233" s="1271"/>
      <c r="Z233" s="1271"/>
      <c r="AA233" s="1271"/>
      <c r="AB233" s="1271"/>
      <c r="AC233" s="1271"/>
      <c r="AD233" s="1271"/>
      <c r="AE233" s="1271"/>
      <c r="AF233" s="1271"/>
      <c r="AG233" s="1271"/>
      <c r="AH233" s="1271"/>
      <c r="AI233" s="1271"/>
      <c r="AJ233" s="1271"/>
      <c r="AK233" s="1271"/>
      <c r="AL233" s="1271"/>
      <c r="AM233" s="1271"/>
      <c r="AN233" s="1271"/>
      <c r="AO233" s="1271"/>
      <c r="AP233" s="1271"/>
      <c r="AQ233" s="1271"/>
      <c r="AR233" s="1271"/>
      <c r="AS233" s="1271"/>
      <c r="AT233" s="1271"/>
      <c r="AU233" s="1271"/>
      <c r="AV233" s="1271"/>
      <c r="AW233" s="1271"/>
      <c r="AX233" s="1214"/>
      <c r="AY233" s="1273"/>
      <c r="AZ233" s="1273"/>
      <c r="BA233" s="1273"/>
      <c r="BB233" s="1273"/>
      <c r="BC233" s="1273"/>
      <c r="BD233" s="1273"/>
      <c r="BE233" s="1273"/>
      <c r="BF233" s="1273"/>
      <c r="BG233" s="1273"/>
      <c r="BH233" s="1273"/>
      <c r="BI233" s="1273"/>
      <c r="BJ233" s="1214"/>
    </row>
    <row r="234" spans="2:62">
      <c r="B234" s="1214"/>
      <c r="C234" s="1236" t="s">
        <v>2091</v>
      </c>
      <c r="D234" s="1214"/>
      <c r="E234" s="1214"/>
      <c r="F234" s="1214"/>
      <c r="G234" s="1214"/>
      <c r="H234" s="1215"/>
      <c r="I234" s="1215"/>
      <c r="J234" s="1215"/>
      <c r="K234" s="1215"/>
      <c r="L234" s="1215"/>
      <c r="M234" s="1215"/>
      <c r="N234" s="1215"/>
      <c r="O234" s="1215"/>
      <c r="P234" s="1215"/>
      <c r="Q234" s="1215"/>
      <c r="R234" s="1215"/>
      <c r="S234" s="1215"/>
      <c r="T234" s="1215"/>
      <c r="U234" s="1215"/>
      <c r="V234" s="1215"/>
      <c r="W234" s="1215"/>
      <c r="X234" s="1215"/>
      <c r="Y234" s="1215"/>
      <c r="Z234" s="1215"/>
      <c r="AA234" s="1215"/>
      <c r="AB234" s="1215"/>
      <c r="AC234" s="1215"/>
      <c r="AD234" s="1215"/>
      <c r="AE234" s="1215"/>
      <c r="AF234" s="1215"/>
      <c r="AG234" s="1215"/>
      <c r="AH234" s="1215"/>
      <c r="AI234" s="1215"/>
      <c r="AJ234" s="1215"/>
      <c r="AK234" s="1215"/>
      <c r="AL234" s="1215"/>
      <c r="AM234" s="1215"/>
      <c r="AN234" s="1215"/>
      <c r="AO234" s="1215"/>
      <c r="AP234" s="1215"/>
      <c r="AQ234" s="1215"/>
      <c r="AR234" s="1215"/>
      <c r="AS234" s="1215"/>
      <c r="AT234" s="1215"/>
      <c r="AU234" s="1215"/>
      <c r="AV234" s="1215"/>
      <c r="AW234" s="1215"/>
      <c r="AX234" s="1214"/>
      <c r="AY234" s="1214"/>
      <c r="AZ234" s="1214"/>
      <c r="BA234" s="1214"/>
      <c r="BB234" s="1214"/>
      <c r="BC234" s="1214"/>
      <c r="BD234" s="1214"/>
      <c r="BE234" s="1214"/>
      <c r="BF234" s="1214"/>
      <c r="BG234" s="1214"/>
      <c r="BH234" s="1214"/>
      <c r="BI234" s="1214"/>
      <c r="BJ234" s="1214"/>
    </row>
    <row r="235" spans="2:62">
      <c r="B235" s="1214"/>
      <c r="C235" s="1269" t="s">
        <v>296</v>
      </c>
      <c r="D235" s="1269" t="s">
        <v>36</v>
      </c>
      <c r="E235" s="1214" t="s">
        <v>49</v>
      </c>
      <c r="F235" s="1270"/>
      <c r="G235" s="1270"/>
      <c r="H235" s="1271"/>
      <c r="I235" s="1271"/>
      <c r="J235" s="1271"/>
      <c r="K235" s="1271"/>
      <c r="L235" s="1271"/>
      <c r="M235" s="1271"/>
      <c r="N235" s="1271"/>
      <c r="O235" s="1271"/>
      <c r="P235" s="1271"/>
      <c r="Q235" s="1271"/>
      <c r="R235" s="1271"/>
      <c r="S235" s="1271"/>
      <c r="T235" s="1271"/>
      <c r="U235" s="1271"/>
      <c r="V235" s="1271"/>
      <c r="W235" s="1271"/>
      <c r="X235" s="1271"/>
      <c r="Y235" s="1271"/>
      <c r="Z235" s="1271"/>
      <c r="AA235" s="1271"/>
      <c r="AB235" s="1271"/>
      <c r="AC235" s="1271"/>
      <c r="AD235" s="1271"/>
      <c r="AE235" s="1271"/>
      <c r="AF235" s="1271"/>
      <c r="AG235" s="1271"/>
      <c r="AH235" s="1271"/>
      <c r="AI235" s="1271"/>
      <c r="AJ235" s="1271">
        <f>11.2811*Unit.TWh</f>
        <v>11.2811</v>
      </c>
      <c r="AK235" s="1271">
        <f>11.5128859*Unit.TWh</f>
        <v>11.512885900000001</v>
      </c>
      <c r="AL235" s="1271">
        <f>9.9829594*Unit.TWh</f>
        <v>9.9829594000000004</v>
      </c>
      <c r="AM235" s="1271">
        <f>10.7253023*Unit.TWh</f>
        <v>10.725302299999999</v>
      </c>
      <c r="AN235" s="1271">
        <f>11.7831671*Unit.TWh</f>
        <v>11.7831671</v>
      </c>
      <c r="AO235" s="1271">
        <f>13.2077258*Unit.TWh</f>
        <v>13.2077258</v>
      </c>
      <c r="AP235" s="1271">
        <f>12.9045317*Unit.TWh</f>
        <v>12.9045317</v>
      </c>
      <c r="AQ235" s="1271">
        <f>18.45851032*Unit.TWh</f>
        <v>18.458510319999998</v>
      </c>
      <c r="AR235" s="1271">
        <f>18.88799564*Unit.TWh</f>
        <v>18.88799564</v>
      </c>
      <c r="AS235" s="1271">
        <f>18.50890517*Unit.TWh</f>
        <v>18.508905169999998</v>
      </c>
      <c r="AT235" s="1271">
        <f>20.71415345*Unit.TWh</f>
        <v>20.714153450000001</v>
      </c>
      <c r="AU235" s="1271">
        <f>23.70385084*Unit.TWh</f>
        <v>23.703850840000001</v>
      </c>
      <c r="AV235" s="1271">
        <f>28.71642504*Unit.TWh</f>
        <v>28.716425040000001</v>
      </c>
      <c r="AW235" s="1271" t="s">
        <v>1179</v>
      </c>
      <c r="AX235" s="1214"/>
      <c r="AY235" s="1273">
        <f t="shared" ref="AY235:BI237" ca="1" si="74">IFERROR(INDEX(INDIRECT($C235&amp;".Outputs["&amp;AY$4&amp;"]"),MATCH($D235,INDIRECT($C235&amp;".Outputs[Vector]"),0)),"na")</f>
        <v>0</v>
      </c>
      <c r="AZ235" s="1273"/>
      <c r="BA235" s="1273">
        <f t="shared" ca="1" si="74"/>
        <v>0</v>
      </c>
      <c r="BB235" s="1273">
        <f t="shared" ca="1" si="74"/>
        <v>0</v>
      </c>
      <c r="BC235" s="1273">
        <f t="shared" ca="1" si="74"/>
        <v>0</v>
      </c>
      <c r="BD235" s="1273">
        <f t="shared" ca="1" si="74"/>
        <v>0</v>
      </c>
      <c r="BE235" s="1273">
        <f t="shared" ca="1" si="74"/>
        <v>0</v>
      </c>
      <c r="BF235" s="1273">
        <f t="shared" ca="1" si="74"/>
        <v>0</v>
      </c>
      <c r="BG235" s="1273">
        <f t="shared" ca="1" si="74"/>
        <v>0</v>
      </c>
      <c r="BH235" s="1273">
        <f t="shared" ca="1" si="74"/>
        <v>0</v>
      </c>
      <c r="BI235" s="1273">
        <f t="shared" ca="1" si="74"/>
        <v>0</v>
      </c>
      <c r="BJ235" s="1214"/>
    </row>
    <row r="236" spans="2:62">
      <c r="B236" s="1214"/>
      <c r="C236" s="1269" t="s">
        <v>296</v>
      </c>
      <c r="D236" s="1269" t="s">
        <v>38</v>
      </c>
      <c r="E236" s="1214" t="s">
        <v>50</v>
      </c>
      <c r="F236" s="1270"/>
      <c r="G236" s="1270"/>
      <c r="H236" s="1271"/>
      <c r="I236" s="1271"/>
      <c r="J236" s="1271"/>
      <c r="K236" s="1271"/>
      <c r="L236" s="1271"/>
      <c r="M236" s="1271"/>
      <c r="N236" s="1271"/>
      <c r="O236" s="1271"/>
      <c r="P236" s="1271"/>
      <c r="Q236" s="1271"/>
      <c r="R236" s="1271"/>
      <c r="S236" s="1271"/>
      <c r="T236" s="1271"/>
      <c r="U236" s="1271"/>
      <c r="V236" s="1271"/>
      <c r="W236" s="1271"/>
      <c r="X236" s="1271"/>
      <c r="Y236" s="1271"/>
      <c r="Z236" s="1271"/>
      <c r="AA236" s="1271"/>
      <c r="AB236" s="1271"/>
      <c r="AC236" s="1271"/>
      <c r="AD236" s="1271"/>
      <c r="AE236" s="1271"/>
      <c r="AF236" s="1271"/>
      <c r="AG236" s="1271"/>
      <c r="AH236" s="1271"/>
      <c r="AI236" s="1271"/>
      <c r="AJ236" s="1271">
        <f t="shared" ref="AJ236:AP236" si="75">0*Unit.TWh</f>
        <v>0</v>
      </c>
      <c r="AK236" s="1271">
        <f t="shared" si="75"/>
        <v>0</v>
      </c>
      <c r="AL236" s="1271">
        <f t="shared" si="75"/>
        <v>0</v>
      </c>
      <c r="AM236" s="1271">
        <f t="shared" si="75"/>
        <v>0</v>
      </c>
      <c r="AN236" s="1271">
        <f t="shared" si="75"/>
        <v>0</v>
      </c>
      <c r="AO236" s="1271">
        <f t="shared" si="75"/>
        <v>0</v>
      </c>
      <c r="AP236" s="1271">
        <f t="shared" si="75"/>
        <v>0</v>
      </c>
      <c r="AQ236" s="1271">
        <f>0.861215638*Unit.TWh</f>
        <v>0.86121563800000001</v>
      </c>
      <c r="AR236" s="1271">
        <f>3.313229379*Unit.TWh</f>
        <v>3.313229379</v>
      </c>
      <c r="AS236" s="1271">
        <f>5.483743472*Unit.TWh</f>
        <v>5.4837434719999996</v>
      </c>
      <c r="AT236" s="1271">
        <f>9.878952814*Unit.TWh</f>
        <v>9.8789528139999998</v>
      </c>
      <c r="AU236" s="1271">
        <f>12.07762885*Unit.TWh</f>
        <v>12.07762885</v>
      </c>
      <c r="AV236" s="1271">
        <f>15.06624188*Unit.TWh</f>
        <v>15.06624188</v>
      </c>
      <c r="AW236" s="1271" t="s">
        <v>1179</v>
      </c>
      <c r="AX236" s="1214"/>
      <c r="AY236" s="1273"/>
      <c r="AZ236" s="1273"/>
      <c r="BA236" s="1273"/>
      <c r="BB236" s="1273"/>
      <c r="BC236" s="1273"/>
      <c r="BD236" s="1273"/>
      <c r="BE236" s="1273"/>
      <c r="BF236" s="1273"/>
      <c r="BG236" s="1273"/>
      <c r="BH236" s="1273"/>
      <c r="BI236" s="1273"/>
      <c r="BJ236" s="1214"/>
    </row>
    <row r="237" spans="2:62">
      <c r="B237" s="1214"/>
      <c r="C237" s="1269" t="s">
        <v>296</v>
      </c>
      <c r="D237" s="1269" t="s">
        <v>39</v>
      </c>
      <c r="E237" s="1214" t="s">
        <v>163</v>
      </c>
      <c r="F237" s="1270"/>
      <c r="G237" s="1270"/>
      <c r="H237" s="1271"/>
      <c r="I237" s="1271"/>
      <c r="J237" s="1271"/>
      <c r="K237" s="1271"/>
      <c r="L237" s="1271"/>
      <c r="M237" s="1271"/>
      <c r="N237" s="1271"/>
      <c r="O237" s="1271"/>
      <c r="P237" s="1271"/>
      <c r="Q237" s="1271"/>
      <c r="R237" s="1271"/>
      <c r="S237" s="1271"/>
      <c r="T237" s="1271"/>
      <c r="U237" s="1271"/>
      <c r="V237" s="1271"/>
      <c r="W237" s="1271"/>
      <c r="X237" s="1271"/>
      <c r="Y237" s="1271"/>
      <c r="Z237" s="1271"/>
      <c r="AA237" s="1271"/>
      <c r="AB237" s="1271"/>
      <c r="AC237" s="1271"/>
      <c r="AD237" s="1271"/>
      <c r="AE237" s="1271"/>
      <c r="AF237" s="1271"/>
      <c r="AG237" s="1271"/>
      <c r="AH237" s="1271"/>
      <c r="AI237" s="1271"/>
      <c r="AJ237" s="1271">
        <f>4.679912*Unit.TWh</f>
        <v>4.6799119999999998</v>
      </c>
      <c r="AK237" s="1271">
        <f>6.65236*Unit.TWh</f>
        <v>6.6523599999999998</v>
      </c>
      <c r="AL237" s="1271">
        <f>8.5030419*Unit.TWh</f>
        <v>8.5030418999999995</v>
      </c>
      <c r="AM237" s="1271">
        <f>9.7205866*Unit.TWh</f>
        <v>9.7205866000000007</v>
      </c>
      <c r="AN237" s="1271">
        <f>10.375123*Unit.TWh</f>
        <v>10.375123</v>
      </c>
      <c r="AO237" s="1271">
        <f>12.654603*Unit.TWh</f>
        <v>12.654603</v>
      </c>
      <c r="AP237" s="1271">
        <f>17.4844257*Unit.TWh</f>
        <v>17.484425699999999</v>
      </c>
      <c r="AQ237" s="1271">
        <f>18.91593462*Unit.TWh</f>
        <v>18.915934620000002</v>
      </c>
      <c r="AR237" s="1271">
        <f>19.24482717*Unit.TWh</f>
        <v>19.244827170000001</v>
      </c>
      <c r="AS237" s="1271">
        <f>20.29461125*Unit.TWh</f>
        <v>20.294611249999999</v>
      </c>
      <c r="AT237" s="1271">
        <f>20.91263605*Unit.TWh</f>
        <v>20.91263605</v>
      </c>
      <c r="AU237" s="1271">
        <f>21.92331406*Unit.TWh</f>
        <v>21.923314059999999</v>
      </c>
      <c r="AV237" s="1271">
        <f>22.89564828*Unit.TWh</f>
        <v>22.89564828</v>
      </c>
      <c r="AW237" s="1271" t="s">
        <v>1179</v>
      </c>
      <c r="AX237" s="1214"/>
      <c r="AY237" s="1273">
        <f t="shared" ca="1" si="74"/>
        <v>0</v>
      </c>
      <c r="AZ237" s="1273"/>
      <c r="BA237" s="1273">
        <f t="shared" ca="1" si="74"/>
        <v>0</v>
      </c>
      <c r="BB237" s="1273">
        <f t="shared" ca="1" si="74"/>
        <v>0</v>
      </c>
      <c r="BC237" s="1273">
        <f t="shared" ca="1" si="74"/>
        <v>0</v>
      </c>
      <c r="BD237" s="1273">
        <f t="shared" ca="1" si="74"/>
        <v>0</v>
      </c>
      <c r="BE237" s="1273">
        <f t="shared" ca="1" si="74"/>
        <v>0</v>
      </c>
      <c r="BF237" s="1273">
        <f t="shared" ca="1" si="74"/>
        <v>0</v>
      </c>
      <c r="BG237" s="1273">
        <f t="shared" ca="1" si="74"/>
        <v>0</v>
      </c>
      <c r="BH237" s="1273">
        <f t="shared" ca="1" si="74"/>
        <v>0</v>
      </c>
      <c r="BI237" s="1273">
        <f t="shared" ca="1" si="74"/>
        <v>0</v>
      </c>
      <c r="BJ237" s="1214"/>
    </row>
    <row r="238" spans="2:62">
      <c r="B238" s="1214"/>
      <c r="C238" s="1269"/>
      <c r="D238" s="1269"/>
      <c r="E238" s="1214"/>
      <c r="F238" s="1270"/>
      <c r="G238" s="1270"/>
      <c r="H238" s="1271"/>
      <c r="I238" s="1271"/>
      <c r="J238" s="1271"/>
      <c r="K238" s="1271"/>
      <c r="L238" s="1271"/>
      <c r="M238" s="1271"/>
      <c r="N238" s="1271"/>
      <c r="O238" s="1271"/>
      <c r="P238" s="1271"/>
      <c r="Q238" s="1271"/>
      <c r="R238" s="1271"/>
      <c r="S238" s="1271"/>
      <c r="T238" s="1271"/>
      <c r="U238" s="1271"/>
      <c r="V238" s="1271"/>
      <c r="W238" s="1271"/>
      <c r="X238" s="1271"/>
      <c r="Y238" s="1271"/>
      <c r="Z238" s="1271"/>
      <c r="AA238" s="1271"/>
      <c r="AB238" s="1271"/>
      <c r="AC238" s="1271"/>
      <c r="AD238" s="1271"/>
      <c r="AE238" s="1271"/>
      <c r="AF238" s="1271"/>
      <c r="AG238" s="1271"/>
      <c r="AH238" s="1271"/>
      <c r="AI238" s="1271"/>
      <c r="AJ238" s="1271"/>
      <c r="AK238" s="1271"/>
      <c r="AL238" s="1271"/>
      <c r="AM238" s="1271"/>
      <c r="AN238" s="1271"/>
      <c r="AO238" s="1271"/>
      <c r="AP238" s="1271"/>
      <c r="AQ238" s="1271"/>
      <c r="AR238" s="1271"/>
      <c r="AS238" s="1271"/>
      <c r="AT238" s="1271"/>
      <c r="AU238" s="1271"/>
      <c r="AV238" s="1271"/>
      <c r="AW238" s="1271"/>
      <c r="AX238" s="1214"/>
      <c r="AY238" s="1273"/>
      <c r="AZ238" s="1273"/>
      <c r="BA238" s="1273"/>
      <c r="BB238" s="1273"/>
      <c r="BC238" s="1273"/>
      <c r="BD238" s="1273"/>
      <c r="BE238" s="1273"/>
      <c r="BF238" s="1273"/>
      <c r="BG238" s="1273"/>
      <c r="BH238" s="1273"/>
      <c r="BI238" s="1273"/>
      <c r="BJ238" s="1214"/>
    </row>
    <row r="239" spans="2:62">
      <c r="B239" s="1214"/>
      <c r="C239" s="1236" t="s">
        <v>2092</v>
      </c>
      <c r="D239" s="1214"/>
      <c r="E239" s="1214"/>
      <c r="F239" s="1214"/>
      <c r="G239" s="1214"/>
      <c r="H239" s="1215"/>
      <c r="I239" s="1215"/>
      <c r="J239" s="1215"/>
      <c r="K239" s="1215"/>
      <c r="L239" s="1215"/>
      <c r="M239" s="1215"/>
      <c r="N239" s="1215"/>
      <c r="O239" s="1215"/>
      <c r="P239" s="1215"/>
      <c r="Q239" s="1215"/>
      <c r="R239" s="1215"/>
      <c r="S239" s="1215"/>
      <c r="T239" s="1215"/>
      <c r="U239" s="1215"/>
      <c r="V239" s="1215"/>
      <c r="W239" s="1215"/>
      <c r="X239" s="1215"/>
      <c r="Y239" s="1215"/>
      <c r="Z239" s="1215"/>
      <c r="AA239" s="1215"/>
      <c r="AB239" s="1215"/>
      <c r="AC239" s="1215"/>
      <c r="AD239" s="1215"/>
      <c r="AE239" s="1215"/>
      <c r="AF239" s="1215"/>
      <c r="AG239" s="1215"/>
      <c r="AH239" s="1215"/>
      <c r="AI239" s="1215"/>
      <c r="AJ239" s="1215"/>
      <c r="AK239" s="1215"/>
      <c r="AL239" s="1215"/>
      <c r="AM239" s="1215"/>
      <c r="AN239" s="1215"/>
      <c r="AO239" s="1215"/>
      <c r="AP239" s="1215"/>
      <c r="AQ239" s="1215"/>
      <c r="AR239" s="1215"/>
      <c r="AS239" s="1215"/>
      <c r="AT239" s="1215"/>
      <c r="AU239" s="1215"/>
      <c r="AV239" s="1215"/>
      <c r="AW239" s="1215"/>
      <c r="AX239" s="1214"/>
      <c r="AY239" s="1214"/>
      <c r="AZ239" s="1214"/>
      <c r="BA239" s="1214"/>
      <c r="BB239" s="1214"/>
      <c r="BC239" s="1214"/>
      <c r="BD239" s="1214"/>
      <c r="BE239" s="1214"/>
      <c r="BF239" s="1214"/>
      <c r="BG239" s="1214"/>
      <c r="BH239" s="1214"/>
      <c r="BI239" s="1214"/>
      <c r="BJ239" s="1214"/>
    </row>
    <row r="240" spans="2:62">
      <c r="B240" s="1214"/>
      <c r="C240" s="1269" t="s">
        <v>190</v>
      </c>
      <c r="D240" s="1269" t="s">
        <v>36</v>
      </c>
      <c r="E240" s="1214" t="s">
        <v>49</v>
      </c>
      <c r="F240" s="1270"/>
      <c r="G240" s="1270"/>
      <c r="H240" s="1271"/>
      <c r="I240" s="1271"/>
      <c r="J240" s="1271"/>
      <c r="K240" s="1271"/>
      <c r="L240" s="1271"/>
      <c r="M240" s="1271"/>
      <c r="N240" s="1271"/>
      <c r="O240" s="1271"/>
      <c r="P240" s="1271"/>
      <c r="Q240" s="1271"/>
      <c r="R240" s="1271"/>
      <c r="S240" s="1271"/>
      <c r="T240" s="1271"/>
      <c r="U240" s="1271"/>
      <c r="V240" s="1271"/>
      <c r="W240" s="1271"/>
      <c r="X240" s="1271"/>
      <c r="Y240" s="1271"/>
      <c r="Z240" s="1271"/>
      <c r="AA240" s="1271"/>
      <c r="AB240" s="1271"/>
      <c r="AC240" s="1271"/>
      <c r="AD240" s="1271"/>
      <c r="AE240" s="1271"/>
      <c r="AF240" s="1271"/>
      <c r="AG240" s="1271"/>
      <c r="AH240" s="1271"/>
      <c r="AI240" s="1271"/>
      <c r="AJ240" s="1271">
        <f>11.2811*Unit.TWh</f>
        <v>11.2811</v>
      </c>
      <c r="AK240" s="1271">
        <f>11.5128859*Unit.TWh</f>
        <v>11.512885900000001</v>
      </c>
      <c r="AL240" s="1271">
        <f>9.9829594*Unit.TWh</f>
        <v>9.9829594000000004</v>
      </c>
      <c r="AM240" s="1271">
        <f>10.7253023*Unit.TWh</f>
        <v>10.725302299999999</v>
      </c>
      <c r="AN240" s="1271">
        <f>11.7831671*Unit.TWh</f>
        <v>11.7831671</v>
      </c>
      <c r="AO240" s="1271">
        <f>13.2077258*Unit.TWh</f>
        <v>13.2077258</v>
      </c>
      <c r="AP240" s="1271">
        <f>12.9045317*Unit.TWh</f>
        <v>12.9045317</v>
      </c>
      <c r="AQ240" s="1271">
        <f>18.45851032*Unit.TWh</f>
        <v>18.458510319999998</v>
      </c>
      <c r="AR240" s="1271">
        <f>18.88799564*Unit.TWh</f>
        <v>18.88799564</v>
      </c>
      <c r="AS240" s="1271">
        <f>18.50890517*Unit.TWh</f>
        <v>18.508905169999998</v>
      </c>
      <c r="AT240" s="1271">
        <f>20.71415345*Unit.TWh</f>
        <v>20.714153450000001</v>
      </c>
      <c r="AU240" s="1271">
        <f>23.70385084*Unit.TWh</f>
        <v>23.703850840000001</v>
      </c>
      <c r="AV240" s="1271">
        <f>28.71642504*Unit.TWh</f>
        <v>28.716425040000001</v>
      </c>
      <c r="AW240" s="1271" t="s">
        <v>1179</v>
      </c>
      <c r="AX240" s="1214"/>
      <c r="AY240" s="1273">
        <f ca="1">AY220+AY225+AY230+AY235</f>
        <v>937.23355555555554</v>
      </c>
      <c r="AZ240" s="1273"/>
      <c r="BA240" s="1273">
        <f t="shared" ref="BA240:BI240" ca="1" si="76">BA220+BA225+BA230+BA235</f>
        <v>948.40980000000002</v>
      </c>
      <c r="BB240" s="1273">
        <f t="shared" ca="1" si="76"/>
        <v>947.50491464762865</v>
      </c>
      <c r="BC240" s="1273">
        <f t="shared" ca="1" si="76"/>
        <v>946.63986672306442</v>
      </c>
      <c r="BD240" s="1273">
        <f t="shared" ca="1" si="76"/>
        <v>945.81505619727227</v>
      </c>
      <c r="BE240" s="1273">
        <f t="shared" ca="1" si="76"/>
        <v>945.03088705695825</v>
      </c>
      <c r="BF240" s="1273">
        <f t="shared" ca="1" si="76"/>
        <v>944.28776734488724</v>
      </c>
      <c r="BG240" s="1273">
        <f t="shared" ca="1" si="76"/>
        <v>939.97345000000041</v>
      </c>
      <c r="BH240" s="1273">
        <f t="shared" ca="1" si="76"/>
        <v>935.10072500000024</v>
      </c>
      <c r="BI240" s="1273">
        <f t="shared" ca="1" si="76"/>
        <v>930.22800000000007</v>
      </c>
      <c r="BJ240" s="1214"/>
    </row>
    <row r="241" spans="1:62">
      <c r="B241" s="1214"/>
      <c r="C241" s="1269" t="s">
        <v>190</v>
      </c>
      <c r="D241" s="1269" t="s">
        <v>38</v>
      </c>
      <c r="E241" s="1214" t="s">
        <v>50</v>
      </c>
      <c r="F241" s="1270"/>
      <c r="G241" s="1270"/>
      <c r="H241" s="1271"/>
      <c r="I241" s="1271"/>
      <c r="J241" s="1271"/>
      <c r="K241" s="1271"/>
      <c r="L241" s="1271"/>
      <c r="M241" s="1271"/>
      <c r="N241" s="1271"/>
      <c r="O241" s="1271"/>
      <c r="P241" s="1271"/>
      <c r="Q241" s="1271"/>
      <c r="R241" s="1271"/>
      <c r="S241" s="1271"/>
      <c r="T241" s="1271"/>
      <c r="U241" s="1271"/>
      <c r="V241" s="1271"/>
      <c r="W241" s="1271"/>
      <c r="X241" s="1271"/>
      <c r="Y241" s="1271"/>
      <c r="Z241" s="1271"/>
      <c r="AA241" s="1271"/>
      <c r="AB241" s="1271"/>
      <c r="AC241" s="1271"/>
      <c r="AD241" s="1271"/>
      <c r="AE241" s="1271"/>
      <c r="AF241" s="1271"/>
      <c r="AG241" s="1271"/>
      <c r="AH241" s="1271"/>
      <c r="AI241" s="1271"/>
      <c r="AJ241" s="1271">
        <f t="shared" ref="AJ241:AP241" si="77">0*Unit.TWh</f>
        <v>0</v>
      </c>
      <c r="AK241" s="1271">
        <f t="shared" si="77"/>
        <v>0</v>
      </c>
      <c r="AL241" s="1271">
        <f t="shared" si="77"/>
        <v>0</v>
      </c>
      <c r="AM241" s="1271">
        <f t="shared" si="77"/>
        <v>0</v>
      </c>
      <c r="AN241" s="1271">
        <f t="shared" si="77"/>
        <v>0</v>
      </c>
      <c r="AO241" s="1271">
        <f t="shared" si="77"/>
        <v>0</v>
      </c>
      <c r="AP241" s="1271">
        <f t="shared" si="77"/>
        <v>0</v>
      </c>
      <c r="AQ241" s="1271">
        <f>0.861215638*Unit.TWh</f>
        <v>0.86121563800000001</v>
      </c>
      <c r="AR241" s="1271">
        <f>3.313229379*Unit.TWh</f>
        <v>3.313229379</v>
      </c>
      <c r="AS241" s="1271">
        <f>5.483743472*Unit.TWh</f>
        <v>5.4837434719999996</v>
      </c>
      <c r="AT241" s="1271">
        <f>9.878952814*Unit.TWh</f>
        <v>9.8789528139999998</v>
      </c>
      <c r="AU241" s="1271">
        <f>12.07762885*Unit.TWh</f>
        <v>12.07762885</v>
      </c>
      <c r="AV241" s="1271">
        <f>15.06624188*Unit.TWh</f>
        <v>15.06624188</v>
      </c>
      <c r="AW241" s="1271" t="s">
        <v>1179</v>
      </c>
      <c r="AX241" s="1214"/>
      <c r="AY241" s="1273">
        <f t="shared" ref="AY241:BI242" ca="1" si="78">AY221+AY226+AY231+AY236</f>
        <v>0</v>
      </c>
      <c r="AZ241" s="1273"/>
      <c r="BA241" s="1273">
        <f t="shared" ca="1" si="78"/>
        <v>0.13142242804166665</v>
      </c>
      <c r="BB241" s="1273">
        <f t="shared" ca="1" si="78"/>
        <v>3.0140876139388606</v>
      </c>
      <c r="BC241" s="1273">
        <f t="shared" ca="1" si="78"/>
        <v>6.6403498055675261</v>
      </c>
      <c r="BD241" s="1273">
        <f t="shared" ca="1" si="78"/>
        <v>11.174550655547504</v>
      </c>
      <c r="BE241" s="1273">
        <f t="shared" ca="1" si="78"/>
        <v>16.858011722794185</v>
      </c>
      <c r="BF241" s="1273">
        <f t="shared" ca="1" si="78"/>
        <v>23.81237420320716</v>
      </c>
      <c r="BG241" s="1273">
        <f t="shared" ca="1" si="78"/>
        <v>32.28279205089418</v>
      </c>
      <c r="BH241" s="1273">
        <f t="shared" ca="1" si="78"/>
        <v>42.443260246537498</v>
      </c>
      <c r="BI241" s="1273">
        <f t="shared" ca="1" si="78"/>
        <v>54.656933937500007</v>
      </c>
      <c r="BJ241" s="1214"/>
    </row>
    <row r="242" spans="1:62">
      <c r="B242" s="1214"/>
      <c r="C242" s="1269" t="s">
        <v>190</v>
      </c>
      <c r="D242" s="1269" t="s">
        <v>39</v>
      </c>
      <c r="E242" s="1214" t="s">
        <v>163</v>
      </c>
      <c r="F242" s="1270"/>
      <c r="G242" s="1270"/>
      <c r="H242" s="1271"/>
      <c r="I242" s="1271"/>
      <c r="J242" s="1271"/>
      <c r="K242" s="1271"/>
      <c r="L242" s="1271"/>
      <c r="M242" s="1271"/>
      <c r="N242" s="1271"/>
      <c r="O242" s="1271"/>
      <c r="P242" s="1271"/>
      <c r="Q242" s="1271"/>
      <c r="R242" s="1271"/>
      <c r="S242" s="1271"/>
      <c r="T242" s="1271"/>
      <c r="U242" s="1271"/>
      <c r="V242" s="1271"/>
      <c r="W242" s="1271"/>
      <c r="X242" s="1271"/>
      <c r="Y242" s="1271"/>
      <c r="Z242" s="1271"/>
      <c r="AA242" s="1271"/>
      <c r="AB242" s="1271"/>
      <c r="AC242" s="1271"/>
      <c r="AD242" s="1271"/>
      <c r="AE242" s="1271"/>
      <c r="AF242" s="1271"/>
      <c r="AG242" s="1271"/>
      <c r="AH242" s="1271"/>
      <c r="AI242" s="1271"/>
      <c r="AJ242" s="1271">
        <f>4.679912*Unit.TWh</f>
        <v>4.6799119999999998</v>
      </c>
      <c r="AK242" s="1271">
        <f>6.65236*Unit.TWh</f>
        <v>6.6523599999999998</v>
      </c>
      <c r="AL242" s="1271">
        <f>8.5030419*Unit.TWh</f>
        <v>8.5030418999999995</v>
      </c>
      <c r="AM242" s="1271">
        <f>9.7205866*Unit.TWh</f>
        <v>9.7205866000000007</v>
      </c>
      <c r="AN242" s="1271">
        <f>10.375123*Unit.TWh</f>
        <v>10.375123</v>
      </c>
      <c r="AO242" s="1271">
        <f>12.654603*Unit.TWh</f>
        <v>12.654603</v>
      </c>
      <c r="AP242" s="1271">
        <f>17.4844257*Unit.TWh</f>
        <v>17.484425699999999</v>
      </c>
      <c r="AQ242" s="1271">
        <f>18.91593462*Unit.TWh</f>
        <v>18.915934620000002</v>
      </c>
      <c r="AR242" s="1271">
        <f>19.24482717*Unit.TWh</f>
        <v>19.244827170000001</v>
      </c>
      <c r="AS242" s="1271">
        <f>20.29461125*Unit.TWh</f>
        <v>20.294611249999999</v>
      </c>
      <c r="AT242" s="1271">
        <f>20.91263605*Unit.TWh</f>
        <v>20.91263605</v>
      </c>
      <c r="AU242" s="1271">
        <f>21.92331406*Unit.TWh</f>
        <v>21.923314059999999</v>
      </c>
      <c r="AV242" s="1271">
        <f>22.89564828*Unit.TWh</f>
        <v>22.89564828</v>
      </c>
      <c r="AW242" s="1271" t="s">
        <v>1179</v>
      </c>
      <c r="AX242" s="1214"/>
      <c r="AY242" s="1273">
        <f t="shared" ca="1" si="78"/>
        <v>9.1777777777777771</v>
      </c>
      <c r="AZ242" s="1273"/>
      <c r="BA242" s="1273">
        <f t="shared" ca="1" si="78"/>
        <v>10.305777777777783</v>
      </c>
      <c r="BB242" s="1273">
        <f t="shared" ca="1" si="78"/>
        <v>11.346016666666671</v>
      </c>
      <c r="BC242" s="1273">
        <f t="shared" ca="1" si="78"/>
        <v>12.386255555555559</v>
      </c>
      <c r="BD242" s="1273">
        <f t="shared" ca="1" si="78"/>
        <v>13.426494444444447</v>
      </c>
      <c r="BE242" s="1273">
        <f t="shared" ca="1" si="78"/>
        <v>14.466733333333337</v>
      </c>
      <c r="BF242" s="1273">
        <f t="shared" ca="1" si="78"/>
        <v>14.832036478670412</v>
      </c>
      <c r="BG242" s="1273">
        <f t="shared" ca="1" si="78"/>
        <v>15.206563986198885</v>
      </c>
      <c r="BH242" s="1273">
        <f t="shared" ca="1" si="78"/>
        <v>15.590548782623422</v>
      </c>
      <c r="BI242" s="1273">
        <f t="shared" ca="1" si="78"/>
        <v>15.984229676339865</v>
      </c>
      <c r="BJ242" s="1214"/>
    </row>
    <row r="243" spans="1:62">
      <c r="B243" s="1214"/>
      <c r="C243" s="1269"/>
      <c r="D243" s="1269"/>
      <c r="E243" s="1214"/>
      <c r="F243" s="1270"/>
      <c r="G243" s="1270"/>
      <c r="H243" s="1271"/>
      <c r="I243" s="1271"/>
      <c r="J243" s="1271"/>
      <c r="K243" s="1271"/>
      <c r="L243" s="1271"/>
      <c r="M243" s="1271"/>
      <c r="N243" s="1271"/>
      <c r="O243" s="1271"/>
      <c r="P243" s="1271"/>
      <c r="Q243" s="1271"/>
      <c r="R243" s="1271"/>
      <c r="S243" s="1271"/>
      <c r="T243" s="1271"/>
      <c r="U243" s="1271"/>
      <c r="V243" s="1271"/>
      <c r="W243" s="1271"/>
      <c r="X243" s="1271"/>
      <c r="Y243" s="1271"/>
      <c r="Z243" s="1271"/>
      <c r="AA243" s="1271"/>
      <c r="AB243" s="1271"/>
      <c r="AC243" s="1271"/>
      <c r="AD243" s="1271"/>
      <c r="AE243" s="1271"/>
      <c r="AF243" s="1271"/>
      <c r="AG243" s="1271"/>
      <c r="AH243" s="1271"/>
      <c r="AI243" s="1271"/>
      <c r="AJ243" s="1271"/>
      <c r="AK243" s="1271"/>
      <c r="AL243" s="1271"/>
      <c r="AM243" s="1271"/>
      <c r="AN243" s="1271"/>
      <c r="AO243" s="1271"/>
      <c r="AP243" s="1271"/>
      <c r="AQ243" s="1271"/>
      <c r="AR243" s="1271"/>
      <c r="AS243" s="1271"/>
      <c r="AT243" s="1271"/>
      <c r="AU243" s="1271"/>
      <c r="AV243" s="1271"/>
      <c r="AW243" s="1271"/>
      <c r="AX243" s="1214"/>
      <c r="AY243" s="1273"/>
      <c r="AZ243" s="1273"/>
      <c r="BA243" s="1273"/>
      <c r="BB243" s="1273"/>
      <c r="BC243" s="1273"/>
      <c r="BD243" s="1273"/>
      <c r="BE243" s="1273"/>
      <c r="BF243" s="1273"/>
      <c r="BG243" s="1273"/>
      <c r="BH243" s="1273"/>
      <c r="BI243" s="1273"/>
      <c r="BJ243" s="1214"/>
    </row>
    <row r="244" spans="1:62">
      <c r="B244" s="1214"/>
      <c r="C244" s="1214"/>
      <c r="D244" s="1214"/>
      <c r="E244" s="1214"/>
      <c r="F244" s="1214"/>
      <c r="G244" s="1214"/>
      <c r="H244" s="1215"/>
      <c r="I244" s="1215"/>
      <c r="J244" s="1215"/>
      <c r="K244" s="1215"/>
      <c r="L244" s="1215"/>
      <c r="M244" s="1215"/>
      <c r="N244" s="1215"/>
      <c r="O244" s="1215"/>
      <c r="P244" s="1215"/>
      <c r="Q244" s="1215"/>
      <c r="R244" s="1215"/>
      <c r="S244" s="1215"/>
      <c r="T244" s="1215"/>
      <c r="U244" s="1215"/>
      <c r="V244" s="1215"/>
      <c r="W244" s="1215"/>
      <c r="X244" s="1215"/>
      <c r="Y244" s="1215"/>
      <c r="Z244" s="1215"/>
      <c r="AA244" s="1215"/>
      <c r="AB244" s="1215"/>
      <c r="AC244" s="1215"/>
      <c r="AD244" s="1215"/>
      <c r="AE244" s="1215"/>
      <c r="AF244" s="1215"/>
      <c r="AG244" s="1215"/>
      <c r="AH244" s="1215"/>
      <c r="AI244" s="1215"/>
      <c r="AJ244" s="1215"/>
      <c r="AK244" s="1215"/>
      <c r="AL244" s="1215"/>
      <c r="AM244" s="1215"/>
      <c r="AN244" s="1215"/>
      <c r="AO244" s="1215"/>
      <c r="AP244" s="1215"/>
      <c r="AQ244" s="1215"/>
      <c r="AR244" s="1215"/>
      <c r="AS244" s="1215"/>
      <c r="AT244" s="1215"/>
      <c r="AU244" s="1215"/>
      <c r="AV244" s="1215"/>
      <c r="AW244" s="1215"/>
      <c r="AX244" s="1214"/>
      <c r="AY244" s="1214"/>
      <c r="AZ244" s="1214"/>
      <c r="BA244" s="1214"/>
      <c r="BB244" s="1214"/>
      <c r="BC244" s="1214"/>
      <c r="BD244" s="1214"/>
      <c r="BE244" s="1214"/>
      <c r="BF244" s="1214"/>
      <c r="BG244" s="1214"/>
      <c r="BH244" s="1214"/>
      <c r="BI244" s="1214"/>
      <c r="BJ244" s="1214"/>
    </row>
    <row r="245" spans="1:62">
      <c r="B245" s="1214"/>
      <c r="AY245" s="3297">
        <f>Unit.TWh</f>
        <v>1</v>
      </c>
    </row>
    <row r="246" spans="1:62" ht="22.5">
      <c r="A246" s="420"/>
      <c r="B246" s="1276" t="s">
        <v>1190</v>
      </c>
      <c r="C246" s="1277"/>
      <c r="D246" s="1277"/>
      <c r="E246" s="1277"/>
      <c r="F246" s="1277"/>
      <c r="G246" s="1277"/>
      <c r="H246" s="1277"/>
      <c r="I246" s="1277"/>
      <c r="J246" s="1277"/>
      <c r="K246" s="1277"/>
      <c r="L246" s="1277"/>
      <c r="M246" s="1277"/>
      <c r="N246" s="1277"/>
      <c r="O246" s="1277"/>
      <c r="P246" s="1277"/>
      <c r="Q246" s="1277"/>
      <c r="R246" s="1277"/>
      <c r="S246" s="1277"/>
      <c r="T246" s="1277"/>
      <c r="U246" s="1277"/>
      <c r="V246" s="1277"/>
      <c r="W246" s="1277"/>
      <c r="X246" s="1277"/>
      <c r="Y246" s="1277"/>
      <c r="Z246" s="1277"/>
      <c r="AA246" s="1277"/>
      <c r="AB246" s="1277"/>
      <c r="AC246" s="1277"/>
      <c r="AD246" s="1277"/>
      <c r="AE246" s="1277"/>
      <c r="AF246" s="1277"/>
      <c r="AG246" s="1277"/>
      <c r="AH246" s="1277"/>
      <c r="AI246" s="1277"/>
      <c r="AJ246" s="1277"/>
      <c r="AK246" s="1277"/>
      <c r="AL246" s="1277"/>
      <c r="AM246" s="1277"/>
      <c r="AN246" s="1277"/>
      <c r="AO246" s="1277"/>
      <c r="AP246" s="1277"/>
      <c r="AQ246" s="1277"/>
      <c r="AR246" s="1277"/>
      <c r="AS246" s="1277"/>
      <c r="AT246" s="1277"/>
      <c r="AU246" s="1277"/>
      <c r="AV246" s="1277"/>
      <c r="AW246" s="1277"/>
      <c r="AX246" s="1277"/>
      <c r="AY246" s="1278"/>
      <c r="AZ246" s="1278"/>
      <c r="BA246" s="1278"/>
      <c r="BB246" s="1278"/>
      <c r="BC246" s="1278"/>
      <c r="BD246" s="1278"/>
      <c r="BE246" s="1278"/>
      <c r="BF246" s="1278"/>
      <c r="BG246" s="1278"/>
      <c r="BH246" s="1278"/>
      <c r="BI246" s="1278"/>
      <c r="BJ246" s="1279"/>
    </row>
    <row r="247" spans="1:62">
      <c r="C247" s="1281"/>
      <c r="D247" s="1281"/>
      <c r="E247" s="1281"/>
      <c r="F247" s="1281"/>
      <c r="G247" s="1281"/>
      <c r="H247" s="1281"/>
      <c r="I247" s="1281"/>
      <c r="J247" s="1281"/>
      <c r="K247" s="1281"/>
      <c r="L247" s="1281"/>
      <c r="M247" s="1281"/>
      <c r="N247" s="1281"/>
      <c r="O247" s="1281"/>
      <c r="P247" s="1281"/>
      <c r="Q247" s="1281"/>
      <c r="R247" s="1281"/>
      <c r="S247" s="1281"/>
      <c r="T247" s="1281"/>
      <c r="U247" s="1281"/>
      <c r="V247" s="1281"/>
      <c r="W247" s="1281"/>
      <c r="X247" s="1281"/>
      <c r="Y247" s="1281"/>
      <c r="Z247" s="1281"/>
      <c r="AA247" s="1281"/>
      <c r="AB247" s="1281"/>
      <c r="AC247" s="1281"/>
      <c r="AD247" s="1281"/>
      <c r="AE247" s="1281"/>
      <c r="AF247" s="1281"/>
      <c r="AG247" s="1281"/>
      <c r="AH247" s="1281"/>
      <c r="AI247" s="1281"/>
      <c r="AJ247" s="1281"/>
      <c r="AK247" s="1281"/>
      <c r="AL247" s="1281"/>
      <c r="AM247" s="1281"/>
      <c r="AN247" s="1281"/>
      <c r="AO247" s="1281"/>
      <c r="AP247" s="1281"/>
      <c r="AQ247" s="1281"/>
      <c r="AR247" s="1281"/>
      <c r="AS247" s="1281"/>
      <c r="AT247" s="1281"/>
      <c r="AU247" s="1281"/>
      <c r="AV247" s="1281"/>
      <c r="AW247" s="1281"/>
      <c r="AX247" s="1281"/>
      <c r="AY247" s="1282"/>
      <c r="AZ247" s="1282"/>
      <c r="BA247" s="1282"/>
      <c r="BB247" s="1282"/>
      <c r="BC247" s="1282"/>
      <c r="BD247" s="1282"/>
      <c r="BE247" s="1282"/>
      <c r="BF247" s="1282"/>
      <c r="BG247" s="1282"/>
      <c r="BH247" s="1282"/>
      <c r="BI247" s="1282"/>
      <c r="BJ247" s="1283"/>
    </row>
    <row r="248" spans="1:62" ht="15.75">
      <c r="B248" s="1276"/>
      <c r="C248" s="1285" t="s">
        <v>7</v>
      </c>
      <c r="D248" s="1285" t="str">
        <f>INDEX(Vectors[Description], MATCH($C248, Vectors[Code], 0))</f>
        <v>Nuclear fission</v>
      </c>
      <c r="E248" s="1285">
        <f t="shared" ref="E248:F250" si="79">E26</f>
        <v>0</v>
      </c>
      <c r="F248" s="1286">
        <f t="shared" si="79"/>
        <v>0</v>
      </c>
      <c r="G248" s="1286"/>
      <c r="H248" s="1286"/>
      <c r="I248" s="1286"/>
      <c r="J248" s="1286"/>
      <c r="K248" s="1286"/>
      <c r="L248" s="1286"/>
      <c r="M248" s="1286"/>
      <c r="N248" s="1286"/>
      <c r="O248" s="1286"/>
      <c r="P248" s="1286"/>
      <c r="Q248" s="1286"/>
      <c r="R248" s="1286"/>
      <c r="S248" s="1286"/>
      <c r="T248" s="1286"/>
      <c r="U248" s="1286"/>
      <c r="V248" s="1286"/>
      <c r="W248" s="1286"/>
      <c r="X248" s="1286"/>
      <c r="Y248" s="1286"/>
      <c r="Z248" s="1286"/>
      <c r="AA248" s="1286"/>
      <c r="AB248" s="1286"/>
      <c r="AC248" s="1286"/>
      <c r="AD248" s="1286"/>
      <c r="AE248" s="1286"/>
      <c r="AF248" s="1286"/>
      <c r="AG248" s="1286"/>
      <c r="AH248" s="1286"/>
      <c r="AI248" s="1286"/>
      <c r="AJ248" s="1286"/>
      <c r="AK248" s="1286"/>
      <c r="AL248" s="1286"/>
      <c r="AM248" s="1286"/>
      <c r="AN248" s="1286"/>
      <c r="AO248" s="1286"/>
      <c r="AP248" s="1286"/>
      <c r="AQ248" s="1286"/>
      <c r="AR248" s="1286"/>
      <c r="AS248" s="1286"/>
      <c r="AT248" s="1286"/>
      <c r="AU248" s="1286"/>
      <c r="AV248" s="1286"/>
      <c r="AW248" s="1286"/>
      <c r="AX248" s="1286">
        <f t="shared" ref="AX248:AY250" si="80">AX26</f>
        <v>0</v>
      </c>
      <c r="AY248" s="1286">
        <f t="shared" ca="1" si="80"/>
        <v>80.94774857142859</v>
      </c>
      <c r="AZ248" s="1286"/>
      <c r="BA248" s="1286">
        <f t="shared" ref="BA248:BI250" ca="1" si="81">BA26</f>
        <v>93.771154285714289</v>
      </c>
      <c r="BB248" s="1286">
        <f t="shared" ca="1" si="81"/>
        <v>199.9649828571429</v>
      </c>
      <c r="BC248" s="1286">
        <f t="shared" ca="1" si="81"/>
        <v>193.55328000000003</v>
      </c>
      <c r="BD248" s="1286">
        <f t="shared" ca="1" si="81"/>
        <v>193.55328000000003</v>
      </c>
      <c r="BE248" s="1286">
        <f t="shared" ca="1" si="81"/>
        <v>189.54596571428576</v>
      </c>
      <c r="BF248" s="1286">
        <f t="shared" ca="1" si="81"/>
        <v>180.72987428571432</v>
      </c>
      <c r="BG248" s="1286">
        <f t="shared" ca="1" si="81"/>
        <v>176.3218285714286</v>
      </c>
      <c r="BH248" s="1286">
        <f t="shared" ca="1" si="81"/>
        <v>167.50573714285716</v>
      </c>
      <c r="BI248" s="1286">
        <f t="shared" ca="1" si="81"/>
        <v>167.50573714285716</v>
      </c>
      <c r="BJ248" s="1287"/>
    </row>
    <row r="249" spans="1:62" ht="15.75">
      <c r="B249" s="1280"/>
      <c r="C249" s="1285" t="s">
        <v>24</v>
      </c>
      <c r="D249" s="1285" t="str">
        <f>INDEX(Vectors[Description], MATCH($C249, Vectors[Code], 0))</f>
        <v>Solar</v>
      </c>
      <c r="E249" s="1285">
        <f t="shared" si="79"/>
        <v>0</v>
      </c>
      <c r="F249" s="1286">
        <f t="shared" si="79"/>
        <v>0</v>
      </c>
      <c r="G249" s="1286"/>
      <c r="H249" s="1286"/>
      <c r="I249" s="1286"/>
      <c r="J249" s="1286"/>
      <c r="K249" s="1286"/>
      <c r="L249" s="1286"/>
      <c r="M249" s="1286"/>
      <c r="N249" s="1286"/>
      <c r="O249" s="1286"/>
      <c r="P249" s="1286"/>
      <c r="Q249" s="1286"/>
      <c r="R249" s="1286"/>
      <c r="S249" s="1286"/>
      <c r="T249" s="1286"/>
      <c r="U249" s="1286"/>
      <c r="V249" s="1286"/>
      <c r="W249" s="1286"/>
      <c r="X249" s="1286"/>
      <c r="Y249" s="1286"/>
      <c r="Z249" s="1286"/>
      <c r="AA249" s="1286"/>
      <c r="AB249" s="1286"/>
      <c r="AC249" s="1286"/>
      <c r="AD249" s="1286"/>
      <c r="AE249" s="1286"/>
      <c r="AF249" s="1286"/>
      <c r="AG249" s="1286"/>
      <c r="AH249" s="1286"/>
      <c r="AI249" s="1286"/>
      <c r="AJ249" s="1286"/>
      <c r="AK249" s="1286"/>
      <c r="AL249" s="1286"/>
      <c r="AM249" s="1286"/>
      <c r="AN249" s="1286"/>
      <c r="AO249" s="1286"/>
      <c r="AP249" s="1286"/>
      <c r="AQ249" s="1286"/>
      <c r="AR249" s="1286"/>
      <c r="AS249" s="1286"/>
      <c r="AT249" s="1286"/>
      <c r="AU249" s="1286"/>
      <c r="AV249" s="1286"/>
      <c r="AW249" s="1286"/>
      <c r="AX249" s="1286">
        <f t="shared" si="80"/>
        <v>0</v>
      </c>
      <c r="AY249" s="1286">
        <f t="shared" ca="1" si="80"/>
        <v>0</v>
      </c>
      <c r="AZ249" s="1286"/>
      <c r="BA249" s="1286">
        <f t="shared" ca="1" si="81"/>
        <v>1.56727314</v>
      </c>
      <c r="BB249" s="1286">
        <f t="shared" ca="1" si="81"/>
        <v>10.99938034075161</v>
      </c>
      <c r="BC249" s="1286">
        <f t="shared" ca="1" si="81"/>
        <v>27.366299513783936</v>
      </c>
      <c r="BD249" s="1286">
        <f t="shared" ca="1" si="81"/>
        <v>49.233277769900653</v>
      </c>
      <c r="BE249" s="1286">
        <f t="shared" ca="1" si="81"/>
        <v>74.393168287263421</v>
      </c>
      <c r="BF249" s="1286">
        <f t="shared" ca="1" si="81"/>
        <v>96.634101460999375</v>
      </c>
      <c r="BG249" s="1286">
        <f t="shared" ca="1" si="81"/>
        <v>108.73461587841729</v>
      </c>
      <c r="BH249" s="1286">
        <f t="shared" ca="1" si="81"/>
        <v>106.76952554064533</v>
      </c>
      <c r="BI249" s="1286">
        <f t="shared" ca="1" si="81"/>
        <v>93.110973518033461</v>
      </c>
      <c r="BJ249" s="1287"/>
    </row>
    <row r="250" spans="1:62">
      <c r="B250" s="1284"/>
      <c r="C250" s="1285" t="s">
        <v>8</v>
      </c>
      <c r="D250" s="1285" t="str">
        <f>INDEX(Vectors[Description], MATCH($C250, Vectors[Code], 0))</f>
        <v>Wind</v>
      </c>
      <c r="E250" s="1285">
        <f t="shared" si="79"/>
        <v>0</v>
      </c>
      <c r="F250" s="1286">
        <f t="shared" si="79"/>
        <v>0</v>
      </c>
      <c r="G250" s="1286"/>
      <c r="H250" s="1286"/>
      <c r="I250" s="1286"/>
      <c r="J250" s="1286"/>
      <c r="K250" s="1286"/>
      <c r="L250" s="1286"/>
      <c r="M250" s="1286"/>
      <c r="N250" s="1286"/>
      <c r="O250" s="1286"/>
      <c r="P250" s="1286"/>
      <c r="Q250" s="1286"/>
      <c r="R250" s="1286"/>
      <c r="S250" s="1286"/>
      <c r="T250" s="1286"/>
      <c r="U250" s="1286"/>
      <c r="V250" s="1286"/>
      <c r="W250" s="1286"/>
      <c r="X250" s="1286"/>
      <c r="Y250" s="1286"/>
      <c r="Z250" s="1286"/>
      <c r="AA250" s="1286"/>
      <c r="AB250" s="1286"/>
      <c r="AC250" s="1286"/>
      <c r="AD250" s="1286"/>
      <c r="AE250" s="1286"/>
      <c r="AF250" s="1286"/>
      <c r="AG250" s="1286"/>
      <c r="AH250" s="1286"/>
      <c r="AI250" s="1286"/>
      <c r="AJ250" s="1286"/>
      <c r="AK250" s="1286"/>
      <c r="AL250" s="1286"/>
      <c r="AM250" s="1286"/>
      <c r="AN250" s="1286"/>
      <c r="AO250" s="1286"/>
      <c r="AP250" s="1286"/>
      <c r="AQ250" s="1286"/>
      <c r="AR250" s="1286"/>
      <c r="AS250" s="1286"/>
      <c r="AT250" s="1286"/>
      <c r="AU250" s="1286"/>
      <c r="AV250" s="1286"/>
      <c r="AW250" s="1286"/>
      <c r="AX250" s="1286">
        <f t="shared" si="80"/>
        <v>0</v>
      </c>
      <c r="AY250" s="1286">
        <f t="shared" ca="1" si="80"/>
        <v>12.437183268</v>
      </c>
      <c r="AZ250" s="1286"/>
      <c r="BA250" s="1286">
        <f t="shared" ca="1" si="81"/>
        <v>18.722249233199999</v>
      </c>
      <c r="BB250" s="1286">
        <f t="shared" ca="1" si="81"/>
        <v>36.604889233199998</v>
      </c>
      <c r="BC250" s="1286">
        <f t="shared" ca="1" si="81"/>
        <v>59.966279233199998</v>
      </c>
      <c r="BD250" s="1286">
        <f t="shared" ca="1" si="81"/>
        <v>84.335759233199994</v>
      </c>
      <c r="BE250" s="1286">
        <f t="shared" ca="1" si="81"/>
        <v>115.49888923319999</v>
      </c>
      <c r="BF250" s="1286">
        <f t="shared" ca="1" si="81"/>
        <v>136.98612596519999</v>
      </c>
      <c r="BG250" s="1286">
        <f t="shared" ca="1" si="81"/>
        <v>151.03817999999998</v>
      </c>
      <c r="BH250" s="1286">
        <f t="shared" ca="1" si="81"/>
        <v>161.16290999999998</v>
      </c>
      <c r="BI250" s="1286">
        <f t="shared" ca="1" si="81"/>
        <v>161.95184999999998</v>
      </c>
      <c r="BJ250" s="1287"/>
    </row>
    <row r="251" spans="1:62">
      <c r="B251" s="1284"/>
      <c r="C251" s="1285" t="s">
        <v>12</v>
      </c>
      <c r="D251" s="1285" t="str">
        <f>INDEX(Vectors[Description], MATCH($C251, Vectors[Code], 0))</f>
        <v>Hydro</v>
      </c>
      <c r="E251" s="1285">
        <f>E32</f>
        <v>0</v>
      </c>
      <c r="F251" s="1286">
        <f>F32</f>
        <v>0</v>
      </c>
      <c r="G251" s="1286"/>
      <c r="H251" s="1286"/>
      <c r="I251" s="1286"/>
      <c r="J251" s="1286"/>
      <c r="K251" s="1286"/>
      <c r="L251" s="1286"/>
      <c r="M251" s="1286"/>
      <c r="N251" s="1286"/>
      <c r="O251" s="1286"/>
      <c r="P251" s="1286"/>
      <c r="Q251" s="1286"/>
      <c r="R251" s="1286"/>
      <c r="S251" s="1286"/>
      <c r="T251" s="1286"/>
      <c r="U251" s="1286"/>
      <c r="V251" s="1286"/>
      <c r="W251" s="1286"/>
      <c r="X251" s="1286"/>
      <c r="Y251" s="1286"/>
      <c r="Z251" s="1286"/>
      <c r="AA251" s="1286"/>
      <c r="AB251" s="1286"/>
      <c r="AC251" s="1286"/>
      <c r="AD251" s="1286"/>
      <c r="AE251" s="1286"/>
      <c r="AF251" s="1286"/>
      <c r="AG251" s="1286"/>
      <c r="AH251" s="1286"/>
      <c r="AI251" s="1286"/>
      <c r="AJ251" s="1286"/>
      <c r="AK251" s="1286"/>
      <c r="AL251" s="1286"/>
      <c r="AM251" s="1286"/>
      <c r="AN251" s="1286"/>
      <c r="AO251" s="1286"/>
      <c r="AP251" s="1286"/>
      <c r="AQ251" s="1286"/>
      <c r="AR251" s="1286"/>
      <c r="AS251" s="1286"/>
      <c r="AT251" s="1286"/>
      <c r="AU251" s="1286"/>
      <c r="AV251" s="1286"/>
      <c r="AW251" s="1286"/>
      <c r="AX251" s="1286">
        <f>AX32</f>
        <v>0</v>
      </c>
      <c r="AY251" s="1286">
        <f ca="1">AY32</f>
        <v>128.51059438799999</v>
      </c>
      <c r="AZ251" s="1286"/>
      <c r="BA251" s="1286">
        <f t="shared" ref="BA251:BI251" ca="1" si="82">BA32</f>
        <v>155.84385898800002</v>
      </c>
      <c r="BB251" s="1286">
        <f t="shared" ca="1" si="82"/>
        <v>189.41763898800005</v>
      </c>
      <c r="BC251" s="1286">
        <f t="shared" ca="1" si="82"/>
        <v>195.75107398800003</v>
      </c>
      <c r="BD251" s="1286">
        <f t="shared" ca="1" si="82"/>
        <v>199.56428398800003</v>
      </c>
      <c r="BE251" s="1286">
        <f t="shared" ca="1" si="82"/>
        <v>203.46515398800005</v>
      </c>
      <c r="BF251" s="1286">
        <f t="shared" ca="1" si="82"/>
        <v>205.43750398800003</v>
      </c>
      <c r="BG251" s="1286">
        <f t="shared" ca="1" si="82"/>
        <v>205.71585955200004</v>
      </c>
      <c r="BH251" s="1286">
        <f t="shared" ca="1" si="82"/>
        <v>206.60431118400004</v>
      </c>
      <c r="BI251" s="1286">
        <f t="shared" ca="1" si="82"/>
        <v>207.19601618400003</v>
      </c>
      <c r="BJ251" s="1287"/>
    </row>
    <row r="252" spans="1:62">
      <c r="B252" s="1284"/>
      <c r="C252" s="1285" t="s">
        <v>47</v>
      </c>
      <c r="D252" s="1285" t="str">
        <f>INDEX(Vectors[Description], MATCH($C252, Vectors[Code], 0))</f>
        <v>Electricity oversupply (imports)</v>
      </c>
      <c r="E252" s="1285">
        <f>E33</f>
        <v>0</v>
      </c>
      <c r="F252" s="1286">
        <f>MAX(F33, 0)</f>
        <v>0</v>
      </c>
      <c r="G252" s="1286"/>
      <c r="H252" s="1286"/>
      <c r="I252" s="1286"/>
      <c r="J252" s="1286"/>
      <c r="K252" s="1286"/>
      <c r="L252" s="1286"/>
      <c r="M252" s="1286"/>
      <c r="N252" s="1286"/>
      <c r="O252" s="1286"/>
      <c r="P252" s="1286"/>
      <c r="Q252" s="1286"/>
      <c r="R252" s="1286"/>
      <c r="S252" s="1286"/>
      <c r="T252" s="1286"/>
      <c r="U252" s="1286"/>
      <c r="V252" s="1286"/>
      <c r="W252" s="1286"/>
      <c r="X252" s="1286"/>
      <c r="Y252" s="1286"/>
      <c r="Z252" s="1286"/>
      <c r="AA252" s="1286"/>
      <c r="AB252" s="1286"/>
      <c r="AC252" s="1286"/>
      <c r="AD252" s="1286"/>
      <c r="AE252" s="1286"/>
      <c r="AF252" s="1286"/>
      <c r="AG252" s="1286"/>
      <c r="AH252" s="1286"/>
      <c r="AI252" s="1286"/>
      <c r="AJ252" s="1286"/>
      <c r="AK252" s="1286"/>
      <c r="AL252" s="1286"/>
      <c r="AM252" s="1286"/>
      <c r="AN252" s="1286"/>
      <c r="AO252" s="1286"/>
      <c r="AP252" s="1286"/>
      <c r="AQ252" s="1286"/>
      <c r="AR252" s="1286"/>
      <c r="AS252" s="1286"/>
      <c r="AT252" s="1286"/>
      <c r="AU252" s="1286"/>
      <c r="AV252" s="1286"/>
      <c r="AW252" s="1286"/>
      <c r="AX252" s="1286">
        <f>MAX(AX33, 0)</f>
        <v>0</v>
      </c>
      <c r="AY252" s="1286">
        <f ca="1">MAX(AY33, 0)</f>
        <v>1</v>
      </c>
      <c r="AZ252" s="1286"/>
      <c r="BA252" s="1286">
        <f t="shared" ref="BA252:BI252" ca="1" si="83">MAX(BA33, 0)</f>
        <v>4.0000000000002274</v>
      </c>
      <c r="BB252" s="1286">
        <f t="shared" ca="1" si="83"/>
        <v>14.000000000000455</v>
      </c>
      <c r="BC252" s="1286">
        <f t="shared" ca="1" si="83"/>
        <v>21.000000000000227</v>
      </c>
      <c r="BD252" s="1286">
        <f t="shared" ca="1" si="83"/>
        <v>30.999999999999545</v>
      </c>
      <c r="BE252" s="1286">
        <f t="shared" ca="1" si="83"/>
        <v>39.999999999999545</v>
      </c>
      <c r="BF252" s="1286">
        <f t="shared" ca="1" si="83"/>
        <v>49</v>
      </c>
      <c r="BG252" s="1286">
        <f t="shared" ca="1" si="83"/>
        <v>55.000000000000909</v>
      </c>
      <c r="BH252" s="1286">
        <f t="shared" ca="1" si="83"/>
        <v>55.000000000000909</v>
      </c>
      <c r="BI252" s="1286">
        <f t="shared" ca="1" si="83"/>
        <v>55.000000000000909</v>
      </c>
      <c r="BJ252" s="1287"/>
    </row>
    <row r="253" spans="1:62">
      <c r="B253" s="1284"/>
      <c r="C253" s="1285"/>
      <c r="D253" s="1285" t="s">
        <v>2037</v>
      </c>
      <c r="E253" s="1285">
        <f>E40</f>
        <v>0</v>
      </c>
      <c r="F253" s="1286">
        <f>F40</f>
        <v>0</v>
      </c>
      <c r="G253" s="1286"/>
      <c r="H253" s="1286"/>
      <c r="I253" s="1286"/>
      <c r="J253" s="1286"/>
      <c r="K253" s="1286"/>
      <c r="L253" s="1286"/>
      <c r="M253" s="1286"/>
      <c r="N253" s="1286"/>
      <c r="O253" s="1286"/>
      <c r="P253" s="1286"/>
      <c r="Q253" s="1286"/>
      <c r="R253" s="1286"/>
      <c r="S253" s="1286"/>
      <c r="T253" s="1286"/>
      <c r="U253" s="1286"/>
      <c r="V253" s="1286"/>
      <c r="W253" s="1286"/>
      <c r="X253" s="1286"/>
      <c r="Y253" s="1286"/>
      <c r="Z253" s="1286"/>
      <c r="AA253" s="1286"/>
      <c r="AB253" s="1286"/>
      <c r="AC253" s="1286"/>
      <c r="AD253" s="1286"/>
      <c r="AE253" s="1286"/>
      <c r="AF253" s="1286"/>
      <c r="AG253" s="1286"/>
      <c r="AH253" s="1286"/>
      <c r="AI253" s="1286"/>
      <c r="AJ253" s="1286"/>
      <c r="AK253" s="1286"/>
      <c r="AL253" s="1286"/>
      <c r="AM253" s="1286"/>
      <c r="AN253" s="1286"/>
      <c r="AO253" s="1286"/>
      <c r="AP253" s="1286"/>
      <c r="AQ253" s="1286"/>
      <c r="AR253" s="1286"/>
      <c r="AS253" s="1286"/>
      <c r="AT253" s="1286"/>
      <c r="AU253" s="1286"/>
      <c r="AV253" s="1286"/>
      <c r="AW253" s="1286"/>
      <c r="AX253" s="1286">
        <f>AX40</f>
        <v>0</v>
      </c>
      <c r="AY253" s="1286">
        <f ca="1">AY40</f>
        <v>946.41133333333335</v>
      </c>
      <c r="AZ253" s="1286"/>
      <c r="BA253" s="1286">
        <f t="shared" ref="BA253:BI253" ca="1" si="84">BA40</f>
        <v>958.84700020581943</v>
      </c>
      <c r="BB253" s="1286">
        <f t="shared" ca="1" si="84"/>
        <v>961.86501892823412</v>
      </c>
      <c r="BC253" s="1286">
        <f t="shared" ca="1" si="84"/>
        <v>965.66647208418749</v>
      </c>
      <c r="BD253" s="1286">
        <f t="shared" ca="1" si="84"/>
        <v>970.41610129726416</v>
      </c>
      <c r="BE253" s="1286">
        <f t="shared" ca="1" si="84"/>
        <v>976.35563211308579</v>
      </c>
      <c r="BF253" s="1286">
        <f t="shared" ca="1" si="84"/>
        <v>982.93217802676475</v>
      </c>
      <c r="BG253" s="1286">
        <f t="shared" ca="1" si="84"/>
        <v>987.4628060370934</v>
      </c>
      <c r="BH253" s="1286">
        <f t="shared" ca="1" si="84"/>
        <v>993.13453402916116</v>
      </c>
      <c r="BI253" s="1286">
        <f t="shared" ca="1" si="84"/>
        <v>1000.8691636138399</v>
      </c>
      <c r="BJ253" s="1287"/>
    </row>
    <row r="254" spans="1:62">
      <c r="B254" s="1284"/>
      <c r="C254" s="1285"/>
      <c r="D254" s="1285" t="str">
        <f>D43</f>
        <v>Coal</v>
      </c>
      <c r="E254" s="1285">
        <f>E43</f>
        <v>0</v>
      </c>
      <c r="F254" s="1286">
        <f>MAX(F43,0)</f>
        <v>0</v>
      </c>
      <c r="G254" s="1286"/>
      <c r="H254" s="1286"/>
      <c r="I254" s="1286"/>
      <c r="J254" s="1286"/>
      <c r="K254" s="1286"/>
      <c r="L254" s="1286"/>
      <c r="M254" s="1286"/>
      <c r="N254" s="1286"/>
      <c r="O254" s="1286"/>
      <c r="P254" s="1286"/>
      <c r="Q254" s="1286"/>
      <c r="R254" s="1286"/>
      <c r="S254" s="1286"/>
      <c r="T254" s="1286"/>
      <c r="U254" s="1286"/>
      <c r="V254" s="1286"/>
      <c r="W254" s="1286"/>
      <c r="X254" s="1286"/>
      <c r="Y254" s="1286"/>
      <c r="Z254" s="1286"/>
      <c r="AA254" s="1286"/>
      <c r="AB254" s="1286"/>
      <c r="AC254" s="1286"/>
      <c r="AD254" s="1286"/>
      <c r="AE254" s="1286"/>
      <c r="AF254" s="1286"/>
      <c r="AG254" s="1286"/>
      <c r="AH254" s="1286"/>
      <c r="AI254" s="1286"/>
      <c r="AJ254" s="1286"/>
      <c r="AK254" s="1286"/>
      <c r="AL254" s="1286"/>
      <c r="AM254" s="1286"/>
      <c r="AN254" s="1286"/>
      <c r="AO254" s="1286"/>
      <c r="AP254" s="1286"/>
      <c r="AQ254" s="1286"/>
      <c r="AR254" s="1286"/>
      <c r="AS254" s="1286"/>
      <c r="AT254" s="1286"/>
      <c r="AU254" s="1286"/>
      <c r="AV254" s="1286"/>
      <c r="AW254" s="1286"/>
      <c r="AX254" s="1286">
        <f>MAX(AX43,0)</f>
        <v>0</v>
      </c>
      <c r="AY254" s="1286">
        <f ca="1">AY43</f>
        <v>2316.2462455929053</v>
      </c>
      <c r="AZ254" s="1286"/>
      <c r="BA254" s="1286">
        <f t="shared" ref="BA254:BI254" ca="1" si="85">BA43</f>
        <v>3238.2489822140624</v>
      </c>
      <c r="BB254" s="1286">
        <f t="shared" ca="1" si="85"/>
        <v>4492.7367614435316</v>
      </c>
      <c r="BC254" s="1286">
        <f t="shared" ca="1" si="85"/>
        <v>6652.3651747013391</v>
      </c>
      <c r="BD254" s="1286">
        <f t="shared" ca="1" si="85"/>
        <v>9337.4357162545803</v>
      </c>
      <c r="BE254" s="1286">
        <f t="shared" ca="1" si="85"/>
        <v>12807.871055210169</v>
      </c>
      <c r="BF254" s="1286">
        <f t="shared" ca="1" si="85"/>
        <v>16014.06130301861</v>
      </c>
      <c r="BG254" s="1286">
        <f t="shared" ca="1" si="85"/>
        <v>19519.972798371477</v>
      </c>
      <c r="BH254" s="1286">
        <f t="shared" ca="1" si="85"/>
        <v>22648.081872617422</v>
      </c>
      <c r="BI254" s="1286">
        <f t="shared" ca="1" si="85"/>
        <v>26136.766339922484</v>
      </c>
      <c r="BJ254" s="1287"/>
    </row>
    <row r="255" spans="1:62">
      <c r="B255" s="1284"/>
      <c r="C255" s="1285"/>
      <c r="D255" s="1285" t="s">
        <v>110</v>
      </c>
      <c r="E255" s="1285">
        <f>E46</f>
        <v>0</v>
      </c>
      <c r="F255" s="1286">
        <f>F46</f>
        <v>0</v>
      </c>
      <c r="G255" s="1286"/>
      <c r="H255" s="1286"/>
      <c r="I255" s="1286"/>
      <c r="J255" s="1286"/>
      <c r="K255" s="1286"/>
      <c r="L255" s="1286"/>
      <c r="M255" s="1286"/>
      <c r="N255" s="1286"/>
      <c r="O255" s="1286"/>
      <c r="P255" s="1286"/>
      <c r="Q255" s="1286"/>
      <c r="R255" s="1286"/>
      <c r="S255" s="1286"/>
      <c r="T255" s="1286"/>
      <c r="U255" s="1286"/>
      <c r="V255" s="1286"/>
      <c r="W255" s="1286"/>
      <c r="X255" s="1286"/>
      <c r="Y255" s="1286"/>
      <c r="Z255" s="1286"/>
      <c r="AA255" s="1286"/>
      <c r="AB255" s="1286"/>
      <c r="AC255" s="1286"/>
      <c r="AD255" s="1286"/>
      <c r="AE255" s="1286"/>
      <c r="AF255" s="1286"/>
      <c r="AG255" s="1286"/>
      <c r="AH255" s="1286"/>
      <c r="AI255" s="1286"/>
      <c r="AJ255" s="1286"/>
      <c r="AK255" s="1286"/>
      <c r="AL255" s="1286"/>
      <c r="AM255" s="1286"/>
      <c r="AN255" s="1286"/>
      <c r="AO255" s="1286"/>
      <c r="AP255" s="1286"/>
      <c r="AQ255" s="1286"/>
      <c r="AR255" s="1286"/>
      <c r="AS255" s="1286"/>
      <c r="AT255" s="1286"/>
      <c r="AU255" s="1286"/>
      <c r="AV255" s="1286"/>
      <c r="AW255" s="1286"/>
      <c r="AX255" s="1286">
        <f>AX46</f>
        <v>0</v>
      </c>
      <c r="AY255" s="1286">
        <f ca="1">AY46</f>
        <v>1612.6260395924837</v>
      </c>
      <c r="AZ255" s="1286"/>
      <c r="BA255" s="1286">
        <f t="shared" ref="BA255:BI255" ca="1" si="86">BA46</f>
        <v>1909.5772800259967</v>
      </c>
      <c r="BB255" s="1286">
        <f t="shared" ca="1" si="86"/>
        <v>2580.7414083504682</v>
      </c>
      <c r="BC255" s="1286">
        <f t="shared" ca="1" si="86"/>
        <v>3461.0760192506468</v>
      </c>
      <c r="BD255" s="1286">
        <f t="shared" ca="1" si="86"/>
        <v>4507.4722912926109</v>
      </c>
      <c r="BE255" s="1286">
        <f t="shared" ca="1" si="86"/>
        <v>5733.5036530053567</v>
      </c>
      <c r="BF255" s="1286">
        <f t="shared" ca="1" si="86"/>
        <v>7104.9780416879994</v>
      </c>
      <c r="BG255" s="1286">
        <f t="shared" ca="1" si="86"/>
        <v>8497.5521704450966</v>
      </c>
      <c r="BH255" s="1286">
        <f t="shared" ca="1" si="86"/>
        <v>10064.421013056954</v>
      </c>
      <c r="BI255" s="1286">
        <f t="shared" ca="1" si="86"/>
        <v>11740.454555189404</v>
      </c>
      <c r="BJ255" s="1287"/>
    </row>
    <row r="256" spans="1:62">
      <c r="B256" s="1284"/>
      <c r="C256" s="1285"/>
      <c r="D256" s="1285" t="str">
        <f t="shared" ref="D256:F256" si="87">D49</f>
        <v>Natural gas</v>
      </c>
      <c r="E256" s="1285">
        <f t="shared" si="87"/>
        <v>0</v>
      </c>
      <c r="F256" s="1286">
        <f t="shared" si="87"/>
        <v>0</v>
      </c>
      <c r="G256" s="1286"/>
      <c r="H256" s="1286"/>
      <c r="I256" s="1286"/>
      <c r="J256" s="1286"/>
      <c r="K256" s="1286"/>
      <c r="L256" s="1286"/>
      <c r="M256" s="1286"/>
      <c r="N256" s="1286"/>
      <c r="O256" s="1286"/>
      <c r="P256" s="1286"/>
      <c r="Q256" s="1286"/>
      <c r="R256" s="1286"/>
      <c r="S256" s="1286"/>
      <c r="T256" s="1286"/>
      <c r="U256" s="1286"/>
      <c r="V256" s="1286"/>
      <c r="W256" s="1286"/>
      <c r="X256" s="1286"/>
      <c r="Y256" s="1286"/>
      <c r="Z256" s="1286"/>
      <c r="AA256" s="1286"/>
      <c r="AB256" s="1286"/>
      <c r="AC256" s="1286"/>
      <c r="AD256" s="1286"/>
      <c r="AE256" s="1286"/>
      <c r="AF256" s="1286"/>
      <c r="AG256" s="1286"/>
      <c r="AH256" s="1286"/>
      <c r="AI256" s="1286"/>
      <c r="AJ256" s="1286"/>
      <c r="AK256" s="1286"/>
      <c r="AL256" s="1286"/>
      <c r="AM256" s="1286"/>
      <c r="AN256" s="1286"/>
      <c r="AO256" s="1286"/>
      <c r="AP256" s="1286"/>
      <c r="AQ256" s="1286"/>
      <c r="AR256" s="1286"/>
      <c r="AS256" s="1286"/>
      <c r="AT256" s="1286"/>
      <c r="AU256" s="1286"/>
      <c r="AV256" s="1286"/>
      <c r="AW256" s="1286"/>
      <c r="AX256" s="1286">
        <f>AX49</f>
        <v>0</v>
      </c>
      <c r="AY256" s="1286">
        <f ca="1">AY49</f>
        <v>450.37586718740386</v>
      </c>
      <c r="AZ256" s="1286"/>
      <c r="BA256" s="1286">
        <f t="shared" ref="BA256:BI256" ca="1" si="88">BA49</f>
        <v>607.99706212180251</v>
      </c>
      <c r="BB256" s="1286">
        <f t="shared" ca="1" si="88"/>
        <v>954.37407948436692</v>
      </c>
      <c r="BC256" s="1286">
        <f t="shared" ca="1" si="88"/>
        <v>1129.3893445499402</v>
      </c>
      <c r="BD256" s="1286">
        <f t="shared" ca="1" si="88"/>
        <v>1306.3655615252346</v>
      </c>
      <c r="BE256" s="1286">
        <f t="shared" ca="1" si="88"/>
        <v>1524.5511448106251</v>
      </c>
      <c r="BF256" s="1286">
        <f t="shared" ca="1" si="88"/>
        <v>1771.6776988819261</v>
      </c>
      <c r="BG256" s="1286">
        <f t="shared" ca="1" si="88"/>
        <v>2046.6620023011292</v>
      </c>
      <c r="BH256" s="1286">
        <f t="shared" ca="1" si="88"/>
        <v>2346.3840289711452</v>
      </c>
      <c r="BI256" s="1286">
        <f t="shared" ca="1" si="88"/>
        <v>2682.6666261638215</v>
      </c>
      <c r="BJ256" s="1287"/>
    </row>
    <row r="257" spans="2:65">
      <c r="D257" s="423" t="s">
        <v>2185</v>
      </c>
      <c r="AY257" s="359">
        <f ca="1">SUM(AY248,AY249,AY250,AY251)</f>
        <v>221.89552622742858</v>
      </c>
      <c r="AZ257" s="359">
        <f t="shared" ref="AZ257:BI257" si="89">SUM(AZ248,AZ249,AZ250,AZ251)</f>
        <v>0</v>
      </c>
      <c r="BA257" s="359">
        <f t="shared" ca="1" si="89"/>
        <v>269.90453564691433</v>
      </c>
      <c r="BB257" s="359">
        <f t="shared" ca="1" si="89"/>
        <v>436.98689141909455</v>
      </c>
      <c r="BC257" s="359">
        <f t="shared" ca="1" si="89"/>
        <v>476.63693273498399</v>
      </c>
      <c r="BD257" s="359">
        <f t="shared" ca="1" si="89"/>
        <v>526.6866009911007</v>
      </c>
      <c r="BE257" s="359">
        <f t="shared" ca="1" si="89"/>
        <v>582.90317722274926</v>
      </c>
      <c r="BF257" s="359">
        <f t="shared" ca="1" si="89"/>
        <v>619.78760569991368</v>
      </c>
      <c r="BG257" s="359">
        <f t="shared" ca="1" si="89"/>
        <v>641.81048400184591</v>
      </c>
      <c r="BH257" s="359">
        <f t="shared" ca="1" si="89"/>
        <v>642.04248386750248</v>
      </c>
      <c r="BI257" s="359">
        <f t="shared" ca="1" si="89"/>
        <v>629.7645768448906</v>
      </c>
    </row>
    <row r="258" spans="2:65">
      <c r="B258" s="1284"/>
      <c r="C258" s="1285"/>
      <c r="D258" s="1288" t="str">
        <f>D50</f>
        <v>Total Primary Supply</v>
      </c>
      <c r="E258" s="1285">
        <f>E50</f>
        <v>0</v>
      </c>
      <c r="F258" s="1289">
        <f>F50</f>
        <v>0</v>
      </c>
      <c r="G258" s="1289"/>
      <c r="H258" s="1289"/>
      <c r="I258" s="1289"/>
      <c r="J258" s="1289"/>
      <c r="K258" s="1289"/>
      <c r="L258" s="1289"/>
      <c r="M258" s="1289"/>
      <c r="N258" s="1289"/>
      <c r="O258" s="1289"/>
      <c r="P258" s="1289"/>
      <c r="Q258" s="1289"/>
      <c r="R258" s="1289"/>
      <c r="S258" s="1289"/>
      <c r="T258" s="1289"/>
      <c r="U258" s="1289"/>
      <c r="V258" s="1289"/>
      <c r="W258" s="1289"/>
      <c r="X258" s="1289"/>
      <c r="Y258" s="1289"/>
      <c r="Z258" s="1289"/>
      <c r="AA258" s="1289"/>
      <c r="AB258" s="1289"/>
      <c r="AC258" s="1289"/>
      <c r="AD258" s="1289"/>
      <c r="AE258" s="1289"/>
      <c r="AF258" s="1289"/>
      <c r="AG258" s="1289"/>
      <c r="AH258" s="1289"/>
      <c r="AI258" s="1289"/>
      <c r="AJ258" s="1289"/>
      <c r="AK258" s="1289"/>
      <c r="AL258" s="1289"/>
      <c r="AM258" s="1289"/>
      <c r="AN258" s="1289"/>
      <c r="AO258" s="1289"/>
      <c r="AP258" s="1289"/>
      <c r="AQ258" s="1289"/>
      <c r="AR258" s="1289"/>
      <c r="AS258" s="1289"/>
      <c r="AT258" s="1289"/>
      <c r="AU258" s="1289"/>
      <c r="AV258" s="1289"/>
      <c r="AW258" s="1289"/>
      <c r="AX258" s="1289">
        <f>AX50</f>
        <v>0</v>
      </c>
      <c r="AY258" s="1289">
        <f ca="1">SUM(AY248:AY256)</f>
        <v>5548.5550119335549</v>
      </c>
      <c r="AZ258" s="1289"/>
      <c r="BA258" s="1289">
        <f t="shared" ref="BA258:BI258" ca="1" si="90">SUM(BA248:BA256)</f>
        <v>6988.574860214595</v>
      </c>
      <c r="BB258" s="1289">
        <f t="shared" ca="1" si="90"/>
        <v>9440.704159625695</v>
      </c>
      <c r="BC258" s="1289">
        <f t="shared" ca="1" si="90"/>
        <v>12706.133943321098</v>
      </c>
      <c r="BD258" s="1289">
        <f t="shared" ca="1" si="90"/>
        <v>16679.37627136079</v>
      </c>
      <c r="BE258" s="1289">
        <f t="shared" ca="1" si="90"/>
        <v>21665.184662361986</v>
      </c>
      <c r="BF258" s="1289">
        <f t="shared" ca="1" si="90"/>
        <v>26542.436827315214</v>
      </c>
      <c r="BG258" s="1289">
        <f t="shared" ca="1" si="90"/>
        <v>31748.460261156637</v>
      </c>
      <c r="BH258" s="1289">
        <f t="shared" ca="1" si="90"/>
        <v>36749.063932542187</v>
      </c>
      <c r="BI258" s="1289">
        <f t="shared" ca="1" si="90"/>
        <v>42245.521261734444</v>
      </c>
      <c r="BJ258" s="1287"/>
    </row>
    <row r="259" spans="2:65">
      <c r="B259" s="1284"/>
      <c r="C259" s="1285"/>
      <c r="D259" s="1285" t="s">
        <v>2080</v>
      </c>
      <c r="E259" s="1285"/>
      <c r="F259" s="1290">
        <f>MAX(0,F33)+MAX(0,F39)+MAX(0,F41)+MAX(0,F45)+MAX(0,F47)+F26</f>
        <v>0</v>
      </c>
      <c r="G259" s="1290"/>
      <c r="H259" s="1290"/>
      <c r="I259" s="1290"/>
      <c r="J259" s="1290"/>
      <c r="K259" s="1290"/>
      <c r="L259" s="1290"/>
      <c r="M259" s="1290"/>
      <c r="N259" s="1290"/>
      <c r="O259" s="1290"/>
      <c r="P259" s="1290"/>
      <c r="Q259" s="1290"/>
      <c r="R259" s="1290"/>
      <c r="S259" s="1290"/>
      <c r="T259" s="1290"/>
      <c r="U259" s="1290"/>
      <c r="V259" s="1290"/>
      <c r="W259" s="1290"/>
      <c r="X259" s="1290"/>
      <c r="Y259" s="1290"/>
      <c r="Z259" s="1290"/>
      <c r="AA259" s="1290"/>
      <c r="AB259" s="1290"/>
      <c r="AC259" s="1290"/>
      <c r="AD259" s="1290"/>
      <c r="AE259" s="1290"/>
      <c r="AF259" s="1290"/>
      <c r="AG259" s="1290"/>
      <c r="AH259" s="1290"/>
      <c r="AI259" s="1290"/>
      <c r="AJ259" s="1290"/>
      <c r="AK259" s="1290"/>
      <c r="AL259" s="1290"/>
      <c r="AM259" s="1290"/>
      <c r="AN259" s="1290"/>
      <c r="AO259" s="1290"/>
      <c r="AP259" s="1290"/>
      <c r="AQ259" s="1290"/>
      <c r="AR259" s="1290"/>
      <c r="AS259" s="1290"/>
      <c r="AT259" s="1290"/>
      <c r="AU259" s="1290"/>
      <c r="AV259" s="1290"/>
      <c r="AW259" s="1290"/>
      <c r="AX259" s="1290">
        <f>MAX(0,AX33)+MAX(0,AX39)+MAX(0,AX41)+MAX(0,AX45)+MAX(0,AX47)</f>
        <v>0</v>
      </c>
      <c r="AY259" s="1290">
        <f ca="1">MAX(0,AY33)+MAX(0,AY39)+MAX(0,AY41)+MAX(0,AY45)+MAX(0,AY47)+AY26</f>
        <v>1766.0046484442212</v>
      </c>
      <c r="AZ259" s="1290"/>
      <c r="BA259" s="1290">
        <f t="shared" ref="BA259:BI259" ca="1" si="91">MAX(0,BA33)+MAX(0,BA39)+MAX(0,BA41)+MAX(0,BA45)+MAX(0,BA47)+BA26</f>
        <v>2257.0221861475761</v>
      </c>
      <c r="BB259" s="1290">
        <f t="shared" ca="1" si="91"/>
        <v>4111.112413098982</v>
      </c>
      <c r="BC259" s="1290">
        <f t="shared" ca="1" si="91"/>
        <v>6917.8501700579873</v>
      </c>
      <c r="BD259" s="1290">
        <f t="shared" ca="1" si="91"/>
        <v>10510.055990600831</v>
      </c>
      <c r="BE259" s="1290">
        <f t="shared" ca="1" si="91"/>
        <v>15292.611416418711</v>
      </c>
      <c r="BF259" s="1290">
        <f t="shared" ca="1" si="91"/>
        <v>20012.648543574265</v>
      </c>
      <c r="BG259" s="1290">
        <f t="shared" ca="1" si="91"/>
        <v>25764.84661723821</v>
      </c>
      <c r="BH259" s="1290">
        <f t="shared" ca="1" si="91"/>
        <v>31232.867757917629</v>
      </c>
      <c r="BI259" s="1290">
        <f t="shared" ca="1" si="91"/>
        <v>37142.170306654822</v>
      </c>
      <c r="BJ259" s="1287"/>
    </row>
    <row r="260" spans="2:65">
      <c r="B260" s="1284"/>
      <c r="C260" s="1285"/>
      <c r="D260" s="1285" t="s">
        <v>1192</v>
      </c>
      <c r="E260" s="1285"/>
      <c r="F260" s="1290"/>
      <c r="G260" s="1290"/>
      <c r="H260" s="1290"/>
      <c r="I260" s="1290"/>
      <c r="J260" s="1290"/>
      <c r="K260" s="1290"/>
      <c r="L260" s="1290"/>
      <c r="M260" s="1290"/>
      <c r="N260" s="1290"/>
      <c r="O260" s="1290"/>
      <c r="P260" s="1290"/>
      <c r="Q260" s="1290"/>
      <c r="R260" s="1290"/>
      <c r="S260" s="1290"/>
      <c r="T260" s="1290"/>
      <c r="U260" s="1290"/>
      <c r="V260" s="1290"/>
      <c r="W260" s="1290"/>
      <c r="X260" s="1290"/>
      <c r="Y260" s="1290"/>
      <c r="Z260" s="1290"/>
      <c r="AA260" s="1290"/>
      <c r="AB260" s="1290"/>
      <c r="AC260" s="1290"/>
      <c r="AD260" s="1290"/>
      <c r="AE260" s="1290"/>
      <c r="AF260" s="1290"/>
      <c r="AG260" s="1290"/>
      <c r="AH260" s="1290"/>
      <c r="AI260" s="1290"/>
      <c r="AJ260" s="1290"/>
      <c r="AK260" s="1290"/>
      <c r="AL260" s="1290"/>
      <c r="AM260" s="1290"/>
      <c r="AN260" s="1290"/>
      <c r="AO260" s="1290"/>
      <c r="AP260" s="1290"/>
      <c r="AQ260" s="1290"/>
      <c r="AR260" s="1290"/>
      <c r="AS260" s="1290"/>
      <c r="AT260" s="1290"/>
      <c r="AU260" s="1290"/>
      <c r="AV260" s="1290"/>
      <c r="AW260" s="1290"/>
      <c r="AX260" s="1290">
        <f>AX21+AX55+AX56</f>
        <v>0</v>
      </c>
      <c r="AY260" s="1290">
        <f ca="1">AY21+AY55+AY56</f>
        <v>5548.5550119335549</v>
      </c>
      <c r="AZ260" s="1290"/>
      <c r="BA260" s="1290">
        <f t="shared" ref="BA260:BI260" ca="1" si="92">BA21+BA55+BA56</f>
        <v>6988.574860214595</v>
      </c>
      <c r="BB260" s="1290">
        <f t="shared" ca="1" si="92"/>
        <v>9440.704159625695</v>
      </c>
      <c r="BC260" s="1290">
        <f t="shared" ca="1" si="92"/>
        <v>12706.133943321096</v>
      </c>
      <c r="BD260" s="1290">
        <f t="shared" ca="1" si="92"/>
        <v>16679.376271360794</v>
      </c>
      <c r="BE260" s="1290">
        <f t="shared" ca="1" si="92"/>
        <v>21665.184662361982</v>
      </c>
      <c r="BF260" s="1290">
        <f t="shared" ca="1" si="92"/>
        <v>26542.436827315214</v>
      </c>
      <c r="BG260" s="1290">
        <f t="shared" ca="1" si="92"/>
        <v>31748.460261156637</v>
      </c>
      <c r="BH260" s="1290">
        <f t="shared" ca="1" si="92"/>
        <v>36749.063932542187</v>
      </c>
      <c r="BI260" s="1290">
        <f t="shared" ca="1" si="92"/>
        <v>42245.521261734444</v>
      </c>
      <c r="BJ260" s="1287"/>
    </row>
    <row r="261" spans="2:65">
      <c r="B261" s="1284"/>
      <c r="C261" s="1285"/>
      <c r="D261" s="3064" t="s">
        <v>2143</v>
      </c>
      <c r="E261" s="1285"/>
      <c r="F261" s="1290"/>
      <c r="G261" s="1290"/>
      <c r="H261" s="1290"/>
      <c r="I261" s="1290"/>
      <c r="J261" s="1290"/>
      <c r="K261" s="1290"/>
      <c r="L261" s="1290"/>
      <c r="M261" s="1290"/>
      <c r="N261" s="1290"/>
      <c r="O261" s="1290"/>
      <c r="P261" s="1290"/>
      <c r="Q261" s="1290"/>
      <c r="R261" s="1290"/>
      <c r="S261" s="1290"/>
      <c r="T261" s="1290"/>
      <c r="U261" s="1290"/>
      <c r="V261" s="1290"/>
      <c r="W261" s="1290"/>
      <c r="X261" s="1290"/>
      <c r="Y261" s="1290"/>
      <c r="Z261" s="1290"/>
      <c r="AA261" s="1290"/>
      <c r="AB261" s="1290"/>
      <c r="AC261" s="1290"/>
      <c r="AD261" s="1290"/>
      <c r="AE261" s="1290"/>
      <c r="AF261" s="1290"/>
      <c r="AG261" s="1290"/>
      <c r="AH261" s="1290"/>
      <c r="AI261" s="1290"/>
      <c r="AJ261" s="1290"/>
      <c r="AK261" s="1290"/>
      <c r="AL261" s="1290"/>
      <c r="AM261" s="1290"/>
      <c r="AN261" s="1290"/>
      <c r="AO261" s="1290"/>
      <c r="AP261" s="1290"/>
      <c r="AQ261" s="1290"/>
      <c r="AR261" s="1290"/>
      <c r="AS261" s="1290"/>
      <c r="AT261" s="1290"/>
      <c r="AU261" s="1290"/>
      <c r="AV261" s="1290"/>
      <c r="AW261" s="1290"/>
      <c r="AX261" s="1290"/>
      <c r="AY261" s="3366">
        <v>5547.1980979558311</v>
      </c>
      <c r="AZ261" s="3366"/>
      <c r="BA261" s="3366">
        <v>6941.9888895050326</v>
      </c>
      <c r="BB261" s="3366">
        <v>9371.1432070643368</v>
      </c>
      <c r="BC261" s="3366">
        <v>12624.197665700363</v>
      </c>
      <c r="BD261" s="3366">
        <v>16604.348040651908</v>
      </c>
      <c r="BE261" s="3366">
        <v>21682.904316936692</v>
      </c>
      <c r="BF261" s="3366">
        <v>26663.52525264936</v>
      </c>
      <c r="BG261" s="3366">
        <v>31993.451088593945</v>
      </c>
      <c r="BH261" s="3366">
        <v>37112.099641157234</v>
      </c>
      <c r="BI261" s="3366">
        <v>42880.127248438141</v>
      </c>
      <c r="BJ261" s="1287"/>
    </row>
    <row r="266" spans="2:65">
      <c r="B266" s="1284"/>
      <c r="F266" s="310"/>
      <c r="G266" s="310"/>
      <c r="H266" s="310"/>
      <c r="I266" s="310"/>
      <c r="J266" s="310"/>
      <c r="K266" s="310"/>
      <c r="L266" s="310"/>
      <c r="M266" s="310"/>
      <c r="N266" s="310"/>
      <c r="O266" s="310"/>
      <c r="P266" s="310"/>
      <c r="Q266" s="310"/>
      <c r="R266" s="310"/>
      <c r="S266" s="310"/>
      <c r="T266" s="310"/>
      <c r="U266" s="310"/>
      <c r="V266" s="310"/>
      <c r="W266" s="310"/>
      <c r="X266" s="310"/>
      <c r="Y266" s="310"/>
      <c r="Z266" s="310"/>
      <c r="AA266" s="310"/>
      <c r="AB266" s="310"/>
      <c r="AC266" s="310"/>
      <c r="AD266" s="310"/>
      <c r="AE266" s="310"/>
      <c r="AF266" s="310"/>
      <c r="AG266" s="310"/>
      <c r="AH266" s="310"/>
      <c r="AI266" s="310"/>
      <c r="AJ266" s="310"/>
      <c r="AK266" s="310"/>
      <c r="AL266" s="310"/>
      <c r="AM266" s="310"/>
      <c r="AN266" s="310"/>
      <c r="AO266" s="310"/>
      <c r="AP266" s="310"/>
      <c r="AQ266" s="310"/>
      <c r="AR266" s="310"/>
      <c r="AS266" s="310"/>
      <c r="AT266" s="310"/>
      <c r="AU266" s="310"/>
      <c r="AV266" s="310"/>
      <c r="AW266" s="310"/>
      <c r="AX266" s="310"/>
      <c r="AY266" s="310"/>
      <c r="AZ266" s="310"/>
      <c r="BA266" s="310"/>
      <c r="BB266" s="310"/>
      <c r="BC266" s="310"/>
      <c r="BD266" s="310"/>
      <c r="BE266" s="310"/>
      <c r="BF266" s="310"/>
      <c r="BG266" s="310"/>
      <c r="BH266" s="310"/>
      <c r="BI266" s="310"/>
    </row>
    <row r="267" spans="2:65" ht="15.75">
      <c r="B267" s="1276" t="s">
        <v>1193</v>
      </c>
      <c r="C267" s="1277"/>
      <c r="D267" s="1277"/>
      <c r="E267" s="1277"/>
      <c r="F267" s="1277"/>
      <c r="G267" s="1277"/>
      <c r="H267" s="1277"/>
      <c r="I267" s="1277"/>
      <c r="J267" s="1277"/>
      <c r="K267" s="1277"/>
      <c r="L267" s="1277"/>
      <c r="M267" s="1277"/>
      <c r="N267" s="1277"/>
      <c r="O267" s="1277"/>
      <c r="P267" s="1277"/>
      <c r="Q267" s="1277"/>
      <c r="R267" s="1277"/>
      <c r="S267" s="1277"/>
      <c r="T267" s="1277"/>
      <c r="U267" s="1277"/>
      <c r="V267" s="1277"/>
      <c r="W267" s="1277"/>
      <c r="X267" s="1277"/>
      <c r="Y267" s="1277"/>
      <c r="Z267" s="1277"/>
      <c r="AA267" s="1277"/>
      <c r="AB267" s="1277"/>
      <c r="AC267" s="1277"/>
      <c r="AD267" s="1277"/>
      <c r="AE267" s="1277"/>
      <c r="AF267" s="1277"/>
      <c r="AG267" s="1277"/>
      <c r="AH267" s="1277"/>
      <c r="AI267" s="1277"/>
      <c r="AJ267" s="1277"/>
      <c r="AK267" s="1277"/>
      <c r="AL267" s="1277"/>
      <c r="AM267" s="1277"/>
      <c r="AN267" s="1277"/>
      <c r="AO267" s="1277"/>
      <c r="AP267" s="1277"/>
      <c r="AQ267" s="1277"/>
      <c r="AR267" s="1277"/>
      <c r="AS267" s="1277"/>
      <c r="AT267" s="1277"/>
      <c r="AU267" s="1277"/>
      <c r="AV267" s="1277"/>
      <c r="AW267" s="1277"/>
      <c r="AX267" s="1277"/>
      <c r="AY267" s="1278"/>
      <c r="AZ267" s="1278"/>
      <c r="BA267" s="1278"/>
      <c r="BB267" s="1278"/>
      <c r="BC267" s="1278"/>
      <c r="BD267" s="1278"/>
      <c r="BE267" s="1278"/>
      <c r="BF267" s="1278"/>
      <c r="BG267" s="1278"/>
      <c r="BH267" s="1278"/>
      <c r="BI267" s="1278"/>
      <c r="BJ267" s="1279"/>
    </row>
    <row r="268" spans="2:65">
      <c r="C268" s="1281"/>
      <c r="D268" s="1281"/>
      <c r="E268" s="1281"/>
      <c r="F268" s="1281"/>
      <c r="G268" s="1281"/>
      <c r="H268" s="1281"/>
      <c r="I268" s="1281"/>
      <c r="J268" s="1281"/>
      <c r="K268" s="1281"/>
      <c r="L268" s="1281"/>
      <c r="M268" s="1281"/>
      <c r="N268" s="1281"/>
      <c r="O268" s="1281"/>
      <c r="P268" s="1281"/>
      <c r="Q268" s="1281"/>
      <c r="R268" s="1281"/>
      <c r="S268" s="1281"/>
      <c r="T268" s="1281"/>
      <c r="U268" s="1281"/>
      <c r="V268" s="1281"/>
      <c r="W268" s="1281"/>
      <c r="X268" s="1281"/>
      <c r="Y268" s="1281"/>
      <c r="Z268" s="1281"/>
      <c r="AA268" s="1281"/>
      <c r="AB268" s="1281"/>
      <c r="AC268" s="1281"/>
      <c r="AD268" s="1281"/>
      <c r="AE268" s="1281"/>
      <c r="AF268" s="1281"/>
      <c r="AG268" s="1281"/>
      <c r="AH268" s="1281"/>
      <c r="AI268" s="1281"/>
      <c r="AJ268" s="1281"/>
      <c r="AK268" s="1281"/>
      <c r="AL268" s="1281"/>
      <c r="AM268" s="1281"/>
      <c r="AN268" s="1281"/>
      <c r="AO268" s="1281"/>
      <c r="AP268" s="1281"/>
      <c r="AQ268" s="1281"/>
      <c r="AR268" s="1281"/>
      <c r="AS268" s="1281"/>
      <c r="AT268" s="1281"/>
      <c r="AU268" s="1281"/>
      <c r="AV268" s="1281"/>
      <c r="AW268" s="1281"/>
      <c r="AX268" s="1281"/>
      <c r="AY268" s="1282"/>
      <c r="AZ268" s="1282"/>
      <c r="BA268" s="1282"/>
      <c r="BB268" s="1282"/>
      <c r="BC268" s="1282"/>
      <c r="BD268" s="1282"/>
      <c r="BE268" s="1282"/>
      <c r="BF268" s="1282"/>
      <c r="BG268" s="1282"/>
      <c r="BH268" s="1282"/>
      <c r="BI268" s="1282"/>
      <c r="BJ268" s="1283"/>
    </row>
    <row r="269" spans="2:65" ht="15.75">
      <c r="B269" s="1276"/>
      <c r="C269" s="1292" t="s">
        <v>34</v>
      </c>
      <c r="D269" s="1293"/>
      <c r="E269" s="1288"/>
      <c r="F269" s="1294"/>
      <c r="G269" s="1294"/>
      <c r="H269" s="1294"/>
      <c r="I269" s="1294"/>
      <c r="J269" s="1294"/>
      <c r="K269" s="1294"/>
      <c r="L269" s="1294"/>
      <c r="M269" s="1294"/>
      <c r="N269" s="1294"/>
      <c r="O269" s="1294"/>
      <c r="P269" s="1294"/>
      <c r="Q269" s="1294"/>
      <c r="R269" s="1294"/>
      <c r="S269" s="1294"/>
      <c r="T269" s="1294"/>
      <c r="U269" s="1294"/>
      <c r="V269" s="1294"/>
      <c r="W269" s="1294"/>
      <c r="X269" s="1294"/>
      <c r="Y269" s="1294"/>
      <c r="Z269" s="1294"/>
      <c r="AA269" s="1294"/>
      <c r="AB269" s="1294"/>
      <c r="AC269" s="1294"/>
      <c r="AD269" s="1294"/>
      <c r="AE269" s="1294"/>
      <c r="AF269" s="1294"/>
      <c r="AG269" s="1294"/>
      <c r="AH269" s="1294"/>
      <c r="AI269" s="1294"/>
      <c r="AJ269" s="1294"/>
      <c r="AK269" s="1294"/>
      <c r="AL269" s="1294"/>
      <c r="AM269" s="1294"/>
      <c r="AN269" s="1294"/>
      <c r="AO269" s="1294"/>
      <c r="AP269" s="1294"/>
      <c r="AQ269" s="1294"/>
      <c r="AR269" s="1294"/>
      <c r="AS269" s="1294"/>
      <c r="AT269" s="1294"/>
      <c r="AU269" s="1294"/>
      <c r="AV269" s="1294"/>
      <c r="AW269" s="1294"/>
      <c r="AX269" s="1294"/>
      <c r="AY269" s="2410" t="s">
        <v>203</v>
      </c>
      <c r="AZ269" s="2410"/>
      <c r="BA269" s="2410" t="s">
        <v>712</v>
      </c>
      <c r="BB269" s="2410" t="s">
        <v>713</v>
      </c>
      <c r="BC269" s="2410" t="s">
        <v>714</v>
      </c>
      <c r="BD269" s="2410" t="s">
        <v>715</v>
      </c>
      <c r="BE269" s="2410" t="s">
        <v>716</v>
      </c>
      <c r="BF269" s="2410" t="s">
        <v>717</v>
      </c>
      <c r="BG269" s="2410" t="s">
        <v>718</v>
      </c>
      <c r="BH269" s="2410" t="s">
        <v>719</v>
      </c>
      <c r="BI269" s="2411" t="s">
        <v>720</v>
      </c>
      <c r="BJ269" s="1287" t="str">
        <f>preferences.energyunits</f>
        <v>TWh</v>
      </c>
    </row>
    <row r="270" spans="2:65" ht="4.5" customHeight="1">
      <c r="B270" s="1280"/>
      <c r="C270" s="1288"/>
      <c r="D270" s="1285"/>
      <c r="E270" s="1285"/>
      <c r="F270" s="1286"/>
      <c r="G270" s="1286"/>
      <c r="H270" s="1286"/>
      <c r="I270" s="1286"/>
      <c r="J270" s="1286"/>
      <c r="K270" s="1286"/>
      <c r="L270" s="1286"/>
      <c r="M270" s="1286"/>
      <c r="N270" s="1286"/>
      <c r="O270" s="1286"/>
      <c r="P270" s="1286"/>
      <c r="Q270" s="1286"/>
      <c r="R270" s="1286"/>
      <c r="S270" s="1286"/>
      <c r="T270" s="1286"/>
      <c r="U270" s="1286"/>
      <c r="V270" s="1286"/>
      <c r="W270" s="1286"/>
      <c r="X270" s="1286"/>
      <c r="Y270" s="1286"/>
      <c r="Z270" s="1286"/>
      <c r="AA270" s="1286"/>
      <c r="AB270" s="1286"/>
      <c r="AC270" s="1286"/>
      <c r="AD270" s="1286"/>
      <c r="AE270" s="1286"/>
      <c r="AF270" s="1286"/>
      <c r="AG270" s="1286"/>
      <c r="AH270" s="1286"/>
      <c r="AI270" s="1286"/>
      <c r="AJ270" s="1286"/>
      <c r="AK270" s="1286"/>
      <c r="AL270" s="1286"/>
      <c r="AM270" s="1286"/>
      <c r="AN270" s="1286"/>
      <c r="AO270" s="1286"/>
      <c r="AP270" s="1286"/>
      <c r="AQ270" s="1286"/>
      <c r="AR270" s="1286"/>
      <c r="AS270" s="1286"/>
      <c r="AT270" s="1286"/>
      <c r="AU270" s="1286"/>
      <c r="AV270" s="1286"/>
      <c r="AW270" s="1286"/>
      <c r="AX270" s="1286"/>
      <c r="AY270" s="1286"/>
      <c r="AZ270" s="1286"/>
      <c r="BA270" s="1286"/>
      <c r="BB270" s="1286"/>
      <c r="BC270" s="1286"/>
      <c r="BD270" s="1286"/>
      <c r="BE270" s="1286"/>
      <c r="BF270" s="1286"/>
      <c r="BG270" s="1286"/>
      <c r="BH270" s="1286"/>
      <c r="BI270" s="1286"/>
      <c r="BJ270" s="1287"/>
    </row>
    <row r="271" spans="2:65">
      <c r="B271" s="1284"/>
      <c r="C271" s="1296" t="s">
        <v>300</v>
      </c>
      <c r="D271" s="1296" t="str">
        <f>INDEX(Modules[Module], MATCH($C271, Modules[Code], 0))</f>
        <v>Domestic Lighting &amp; Appliances</v>
      </c>
      <c r="E271" s="1297"/>
      <c r="F271" s="1298"/>
      <c r="G271" s="1298"/>
      <c r="H271" s="1298"/>
      <c r="I271" s="1298"/>
      <c r="J271" s="1298"/>
      <c r="K271" s="1298"/>
      <c r="L271" s="1298"/>
      <c r="M271" s="1298"/>
      <c r="N271" s="1298"/>
      <c r="O271" s="1298"/>
      <c r="P271" s="1298"/>
      <c r="Q271" s="1298"/>
      <c r="R271" s="1298"/>
      <c r="S271" s="1298"/>
      <c r="T271" s="1298"/>
      <c r="U271" s="1298"/>
      <c r="V271" s="1298"/>
      <c r="W271" s="1298"/>
      <c r="X271" s="1298"/>
      <c r="Y271" s="1298"/>
      <c r="Z271" s="1298"/>
      <c r="AA271" s="1298"/>
      <c r="AB271" s="1298"/>
      <c r="AC271" s="1298"/>
      <c r="AD271" s="1298"/>
      <c r="AE271" s="1298"/>
      <c r="AF271" s="1298"/>
      <c r="AG271" s="1298"/>
      <c r="AH271" s="1298"/>
      <c r="AI271" s="1298"/>
      <c r="AJ271" s="1298"/>
      <c r="AK271" s="1298"/>
      <c r="AL271" s="1298"/>
      <c r="AM271" s="1298"/>
      <c r="AN271" s="1298"/>
      <c r="AO271" s="1298"/>
      <c r="AP271" s="1298"/>
      <c r="AQ271" s="1298"/>
      <c r="AR271" s="1298"/>
      <c r="AS271" s="1298"/>
      <c r="AT271" s="1298"/>
      <c r="AU271" s="1298"/>
      <c r="AV271" s="1298"/>
      <c r="AW271" s="1298"/>
      <c r="AX271" s="1297"/>
      <c r="AY271" s="368">
        <f t="shared" ref="AY271:BI283" ca="1" si="93">-INDEX(INDIRECT($C271&amp;".Outputs["&amp;AY$269&amp;"]"),MATCH($C$269,INDIRECT($C271&amp;".Outputs[Vector]"),0))</f>
        <v>117.75237224936291</v>
      </c>
      <c r="AZ271" s="368"/>
      <c r="BA271" s="368">
        <f t="shared" ca="1" si="93"/>
        <v>162.82294056639219</v>
      </c>
      <c r="BB271" s="368">
        <f t="shared" ca="1" si="93"/>
        <v>294.19783287152961</v>
      </c>
      <c r="BC271" s="368">
        <f t="shared" ca="1" si="93"/>
        <v>491.61145515036219</v>
      </c>
      <c r="BD271" s="368">
        <f t="shared" ca="1" si="93"/>
        <v>770.89941292875449</v>
      </c>
      <c r="BE271" s="368">
        <f t="shared" ca="1" si="93"/>
        <v>1157.9120424167459</v>
      </c>
      <c r="BF271" s="368">
        <f t="shared" ca="1" si="93"/>
        <v>1452.2441557318687</v>
      </c>
      <c r="BG271" s="368">
        <f t="shared" ca="1" si="93"/>
        <v>1803.3634131162555</v>
      </c>
      <c r="BH271" s="368">
        <f t="shared" ca="1" si="93"/>
        <v>2203.8937916546888</v>
      </c>
      <c r="BI271" s="368">
        <f t="shared" ca="1" si="93"/>
        <v>2671.8455088986316</v>
      </c>
      <c r="BJ271" s="1287"/>
      <c r="BL271" s="260"/>
      <c r="BM271" s="260"/>
    </row>
    <row r="272" spans="2:65">
      <c r="B272" s="1284"/>
      <c r="C272" s="1296" t="s">
        <v>301</v>
      </c>
      <c r="D272" s="1296" t="str">
        <f>INDEX(Modules[Module], MATCH($C272, Modules[Code], 0))</f>
        <v>Commercial Lighting &amp; Appliances</v>
      </c>
      <c r="E272" s="1297"/>
      <c r="F272" s="1298"/>
      <c r="G272" s="1298"/>
      <c r="H272" s="1298"/>
      <c r="I272" s="1298"/>
      <c r="J272" s="1298"/>
      <c r="K272" s="1298"/>
      <c r="L272" s="1298"/>
      <c r="M272" s="1298"/>
      <c r="N272" s="1298"/>
      <c r="O272" s="1298"/>
      <c r="P272" s="1298"/>
      <c r="Q272" s="1298"/>
      <c r="R272" s="1298"/>
      <c r="S272" s="1298"/>
      <c r="T272" s="1298"/>
      <c r="U272" s="1298"/>
      <c r="V272" s="1298"/>
      <c r="W272" s="1298"/>
      <c r="X272" s="1298"/>
      <c r="Y272" s="1298"/>
      <c r="Z272" s="1298"/>
      <c r="AA272" s="1298"/>
      <c r="AB272" s="1298"/>
      <c r="AC272" s="1298"/>
      <c r="AD272" s="1298"/>
      <c r="AE272" s="1298"/>
      <c r="AF272" s="1298"/>
      <c r="AG272" s="1298"/>
      <c r="AH272" s="1298"/>
      <c r="AI272" s="1298"/>
      <c r="AJ272" s="1298"/>
      <c r="AK272" s="1298"/>
      <c r="AL272" s="1298"/>
      <c r="AM272" s="1298"/>
      <c r="AN272" s="1298"/>
      <c r="AO272" s="1298"/>
      <c r="AP272" s="1298"/>
      <c r="AQ272" s="1298"/>
      <c r="AR272" s="1298"/>
      <c r="AS272" s="1298"/>
      <c r="AT272" s="1298"/>
      <c r="AU272" s="1298"/>
      <c r="AV272" s="1298"/>
      <c r="AW272" s="1298"/>
      <c r="AX272" s="1297"/>
      <c r="AY272" s="368">
        <f t="shared" ca="1" si="93"/>
        <v>69.818571670709545</v>
      </c>
      <c r="AZ272" s="368"/>
      <c r="BA272" s="368">
        <f t="shared" ca="1" si="93"/>
        <v>69.818518207485297</v>
      </c>
      <c r="BB272" s="368">
        <f t="shared" ca="1" si="93"/>
        <v>115.39506380103352</v>
      </c>
      <c r="BC272" s="368">
        <f t="shared" ca="1" si="93"/>
        <v>190.74035461227521</v>
      </c>
      <c r="BD272" s="368">
        <f t="shared" ca="1" si="93"/>
        <v>315.3108276463584</v>
      </c>
      <c r="BE272" s="368">
        <f t="shared" ca="1" si="93"/>
        <v>521.28261048106583</v>
      </c>
      <c r="BF272" s="368">
        <f t="shared" ca="1" si="93"/>
        <v>689.40510635890666</v>
      </c>
      <c r="BG272" s="368">
        <f t="shared" ca="1" si="93"/>
        <v>911.74990255642501</v>
      </c>
      <c r="BH272" s="368">
        <f t="shared" ca="1" si="93"/>
        <v>970.17528463991505</v>
      </c>
      <c r="BI272" s="368">
        <f t="shared" ca="1" si="93"/>
        <v>1032.3445308366922</v>
      </c>
      <c r="BJ272" s="1287"/>
      <c r="BL272" s="260"/>
      <c r="BM272" s="260"/>
    </row>
    <row r="273" spans="2:65">
      <c r="B273" s="1284"/>
      <c r="C273" s="1296" t="s">
        <v>282</v>
      </c>
      <c r="D273" s="1296" t="str">
        <f>INDEX(Modules[Module], MATCH($C273, Modules[Code], 0))</f>
        <v>Domestic passenger transport</v>
      </c>
      <c r="E273" s="1297"/>
      <c r="F273" s="1298"/>
      <c r="G273" s="1298"/>
      <c r="H273" s="1298"/>
      <c r="I273" s="1298"/>
      <c r="J273" s="1298"/>
      <c r="K273" s="1298"/>
      <c r="L273" s="1298"/>
      <c r="M273" s="1298"/>
      <c r="N273" s="1298"/>
      <c r="O273" s="1298"/>
      <c r="P273" s="1298"/>
      <c r="Q273" s="1298"/>
      <c r="R273" s="1298"/>
      <c r="S273" s="1298"/>
      <c r="T273" s="1298"/>
      <c r="U273" s="1298"/>
      <c r="V273" s="1298"/>
      <c r="W273" s="1298"/>
      <c r="X273" s="1298"/>
      <c r="Y273" s="1298"/>
      <c r="Z273" s="1298"/>
      <c r="AA273" s="1298"/>
      <c r="AB273" s="1298"/>
      <c r="AC273" s="1298"/>
      <c r="AD273" s="1298"/>
      <c r="AE273" s="1298"/>
      <c r="AF273" s="1298"/>
      <c r="AG273" s="1298"/>
      <c r="AH273" s="1298"/>
      <c r="AI273" s="1298"/>
      <c r="AJ273" s="1298"/>
      <c r="AK273" s="1298"/>
      <c r="AL273" s="1298"/>
      <c r="AM273" s="1298"/>
      <c r="AN273" s="1298"/>
      <c r="AO273" s="1298"/>
      <c r="AP273" s="1298"/>
      <c r="AQ273" s="1298"/>
      <c r="AR273" s="1298"/>
      <c r="AS273" s="1298"/>
      <c r="AT273" s="1298"/>
      <c r="AU273" s="1298"/>
      <c r="AV273" s="1298"/>
      <c r="AW273" s="1298"/>
      <c r="AX273" s="1297"/>
      <c r="AY273" s="368">
        <f t="shared" ca="1" si="93"/>
        <v>7.8045578920344294</v>
      </c>
      <c r="AZ273" s="368"/>
      <c r="BA273" s="368">
        <f t="shared" ca="1" si="93"/>
        <v>7.8045578920344294</v>
      </c>
      <c r="BB273" s="368">
        <f t="shared" ca="1" si="93"/>
        <v>9.9812057374247392</v>
      </c>
      <c r="BC273" s="368">
        <f t="shared" ca="1" si="93"/>
        <v>12.677744583468431</v>
      </c>
      <c r="BD273" s="368">
        <f t="shared" ca="1" si="93"/>
        <v>15.183119042462815</v>
      </c>
      <c r="BE273" s="368">
        <f t="shared" ca="1" si="93"/>
        <v>17.97800145980359</v>
      </c>
      <c r="BF273" s="368">
        <f t="shared" ca="1" si="93"/>
        <v>20.996398618954622</v>
      </c>
      <c r="BG273" s="368">
        <f t="shared" ca="1" si="93"/>
        <v>23.918000610343412</v>
      </c>
      <c r="BH273" s="368">
        <f t="shared" ca="1" si="93"/>
        <v>26.470016839940651</v>
      </c>
      <c r="BI273" s="368">
        <f t="shared" ca="1" si="93"/>
        <v>28.239990009727272</v>
      </c>
      <c r="BJ273" s="1287"/>
      <c r="BL273" s="260"/>
      <c r="BM273" s="260"/>
    </row>
    <row r="274" spans="2:65">
      <c r="B274" s="1284"/>
      <c r="C274" s="1296" t="s">
        <v>294</v>
      </c>
      <c r="D274" s="1296" t="str">
        <f>INDEX(Modules[Module], MATCH($C274, Modules[Code], 0))</f>
        <v>Domestic freight</v>
      </c>
      <c r="E274" s="1297"/>
      <c r="F274" s="1298"/>
      <c r="G274" s="1298"/>
      <c r="H274" s="1298"/>
      <c r="I274" s="1298"/>
      <c r="J274" s="1298"/>
      <c r="K274" s="1298"/>
      <c r="L274" s="1298"/>
      <c r="M274" s="1298"/>
      <c r="N274" s="1298"/>
      <c r="O274" s="1298"/>
      <c r="P274" s="1298"/>
      <c r="Q274" s="1298"/>
      <c r="R274" s="1298"/>
      <c r="S274" s="1298"/>
      <c r="T274" s="1298"/>
      <c r="U274" s="1298"/>
      <c r="V274" s="1298"/>
      <c r="W274" s="1298"/>
      <c r="X274" s="1298"/>
      <c r="Y274" s="1298"/>
      <c r="Z274" s="1298"/>
      <c r="AA274" s="1298"/>
      <c r="AB274" s="1298"/>
      <c r="AC274" s="1298"/>
      <c r="AD274" s="1298"/>
      <c r="AE274" s="1298"/>
      <c r="AF274" s="1298"/>
      <c r="AG274" s="1298"/>
      <c r="AH274" s="1298"/>
      <c r="AI274" s="1298"/>
      <c r="AJ274" s="1298"/>
      <c r="AK274" s="1298"/>
      <c r="AL274" s="1298"/>
      <c r="AM274" s="1298"/>
      <c r="AN274" s="1298"/>
      <c r="AO274" s="1298"/>
      <c r="AP274" s="1298"/>
      <c r="AQ274" s="1298"/>
      <c r="AR274" s="1298"/>
      <c r="AS274" s="1298"/>
      <c r="AT274" s="1298"/>
      <c r="AU274" s="1298"/>
      <c r="AV274" s="1298"/>
      <c r="AW274" s="1298"/>
      <c r="AX274" s="1297"/>
      <c r="AY274" s="368">
        <f t="shared" ca="1" si="93"/>
        <v>6.3710415000000058</v>
      </c>
      <c r="AZ274" s="368"/>
      <c r="BA274" s="368">
        <f t="shared" ca="1" si="93"/>
        <v>6.3710415000000058</v>
      </c>
      <c r="BB274" s="368">
        <f t="shared" ca="1" si="93"/>
        <v>9.4068797025169406</v>
      </c>
      <c r="BC274" s="368">
        <f t="shared" ca="1" si="93"/>
        <v>13.140797584316113</v>
      </c>
      <c r="BD274" s="368">
        <f t="shared" ca="1" si="93"/>
        <v>17.610110958084224</v>
      </c>
      <c r="BE274" s="368">
        <f t="shared" ca="1" si="93"/>
        <v>22.892634286083435</v>
      </c>
      <c r="BF274" s="368">
        <f t="shared" ca="1" si="93"/>
        <v>28.404926019576415</v>
      </c>
      <c r="BG274" s="368">
        <f t="shared" ca="1" si="93"/>
        <v>30.876418737637415</v>
      </c>
      <c r="BH274" s="368">
        <f t="shared" ca="1" si="93"/>
        <v>33.484784986368169</v>
      </c>
      <c r="BI274" s="368">
        <f t="shared" ca="1" si="93"/>
        <v>35.946658228245852</v>
      </c>
      <c r="BJ274" s="1287"/>
      <c r="BL274" s="260"/>
      <c r="BM274" s="260"/>
    </row>
    <row r="275" spans="2:65">
      <c r="B275" s="1284"/>
      <c r="C275" s="1296" t="s">
        <v>298</v>
      </c>
      <c r="D275" s="1296" t="str">
        <f>INDEX(Modules[Module], MATCH($C275, Modules[Code], 0))</f>
        <v>Domestic Cooking</v>
      </c>
      <c r="E275" s="1297"/>
      <c r="F275" s="1298"/>
      <c r="G275" s="1298"/>
      <c r="H275" s="1298"/>
      <c r="I275" s="1298"/>
      <c r="J275" s="1298"/>
      <c r="K275" s="1298"/>
      <c r="L275" s="1298"/>
      <c r="M275" s="1298"/>
      <c r="N275" s="1298"/>
      <c r="O275" s="1298"/>
      <c r="P275" s="1298"/>
      <c r="Q275" s="1298"/>
      <c r="R275" s="1298"/>
      <c r="S275" s="1298"/>
      <c r="T275" s="1298"/>
      <c r="U275" s="1298"/>
      <c r="V275" s="1298"/>
      <c r="W275" s="1298"/>
      <c r="X275" s="1298"/>
      <c r="Y275" s="1298"/>
      <c r="Z275" s="1298"/>
      <c r="AA275" s="1298"/>
      <c r="AB275" s="1298"/>
      <c r="AC275" s="1298"/>
      <c r="AD275" s="1298"/>
      <c r="AE275" s="1298"/>
      <c r="AF275" s="1298"/>
      <c r="AG275" s="1298"/>
      <c r="AH275" s="1298"/>
      <c r="AI275" s="1298"/>
      <c r="AJ275" s="1298"/>
      <c r="AK275" s="1298"/>
      <c r="AL275" s="1298"/>
      <c r="AM275" s="1298"/>
      <c r="AN275" s="1298"/>
      <c r="AO275" s="1298"/>
      <c r="AP275" s="1298"/>
      <c r="AQ275" s="1298"/>
      <c r="AR275" s="1298"/>
      <c r="AS275" s="1298"/>
      <c r="AT275" s="1298"/>
      <c r="AU275" s="1298"/>
      <c r="AV275" s="1298"/>
      <c r="AW275" s="1298"/>
      <c r="AX275" s="1297"/>
      <c r="AY275" s="368">
        <f t="shared" ca="1" si="93"/>
        <v>0.30660334104356374</v>
      </c>
      <c r="AZ275" s="368"/>
      <c r="BA275" s="368">
        <f t="shared" ca="1" si="93"/>
        <v>0.40568124773609537</v>
      </c>
      <c r="BB275" s="368">
        <f t="shared" ca="1" si="93"/>
        <v>1.9119107308416539</v>
      </c>
      <c r="BC275" s="368">
        <f t="shared" ca="1" si="93"/>
        <v>3.0737404888957927</v>
      </c>
      <c r="BD275" s="368">
        <f t="shared" ca="1" si="93"/>
        <v>5.9878453050571316</v>
      </c>
      <c r="BE275" s="368">
        <f t="shared" ca="1" si="93"/>
        <v>10.924338830969084</v>
      </c>
      <c r="BF275" s="368">
        <f t="shared" ca="1" si="93"/>
        <v>14.605179460099949</v>
      </c>
      <c r="BG275" s="368">
        <f t="shared" ca="1" si="93"/>
        <v>19.221420721203312</v>
      </c>
      <c r="BH275" s="368">
        <f t="shared" ca="1" si="93"/>
        <v>25.37842895536987</v>
      </c>
      <c r="BI275" s="368">
        <f t="shared" ca="1" si="93"/>
        <v>29.2476501509129</v>
      </c>
      <c r="BJ275" s="1287"/>
      <c r="BL275" s="260"/>
      <c r="BM275" s="260"/>
    </row>
    <row r="276" spans="2:65">
      <c r="B276" s="1284"/>
      <c r="C276" s="1296" t="s">
        <v>1083</v>
      </c>
      <c r="D276" s="1296" t="str">
        <f>INDEX(Modules[Module], MATCH($C276, Modules[Code], 0))</f>
        <v>Commercial Cooking</v>
      </c>
      <c r="E276" s="1297"/>
      <c r="F276" s="1298"/>
      <c r="G276" s="1298"/>
      <c r="H276" s="1298"/>
      <c r="I276" s="1298"/>
      <c r="J276" s="1298"/>
      <c r="K276" s="1298"/>
      <c r="L276" s="1298"/>
      <c r="M276" s="1298"/>
      <c r="N276" s="1298"/>
      <c r="O276" s="1298"/>
      <c r="P276" s="1298"/>
      <c r="Q276" s="1298"/>
      <c r="R276" s="1298"/>
      <c r="S276" s="1298"/>
      <c r="T276" s="1298"/>
      <c r="U276" s="1298"/>
      <c r="V276" s="1298"/>
      <c r="W276" s="1298"/>
      <c r="X276" s="1298"/>
      <c r="Y276" s="1298"/>
      <c r="Z276" s="1298"/>
      <c r="AA276" s="1298"/>
      <c r="AB276" s="1298"/>
      <c r="AC276" s="1298"/>
      <c r="AD276" s="1298"/>
      <c r="AE276" s="1298"/>
      <c r="AF276" s="1298"/>
      <c r="AG276" s="1298"/>
      <c r="AH276" s="1298"/>
      <c r="AI276" s="1298"/>
      <c r="AJ276" s="1298"/>
      <c r="AK276" s="1298"/>
      <c r="AL276" s="1298"/>
      <c r="AM276" s="1298"/>
      <c r="AN276" s="1298"/>
      <c r="AO276" s="1298"/>
      <c r="AP276" s="1298"/>
      <c r="AQ276" s="1298"/>
      <c r="AR276" s="1298"/>
      <c r="AS276" s="1298"/>
      <c r="AT276" s="1298"/>
      <c r="AU276" s="1298"/>
      <c r="AV276" s="1298"/>
      <c r="AW276" s="1298"/>
      <c r="AX276" s="1297"/>
      <c r="AY276" s="368">
        <f t="shared" ca="1" si="93"/>
        <v>0</v>
      </c>
      <c r="AZ276" s="368"/>
      <c r="BA276" s="368">
        <f t="shared" ca="1" si="93"/>
        <v>0</v>
      </c>
      <c r="BB276" s="368">
        <f t="shared" ca="1" si="93"/>
        <v>0</v>
      </c>
      <c r="BC276" s="368">
        <f t="shared" ca="1" si="93"/>
        <v>0</v>
      </c>
      <c r="BD276" s="368">
        <f t="shared" ca="1" si="93"/>
        <v>0</v>
      </c>
      <c r="BE276" s="368">
        <f t="shared" ca="1" si="93"/>
        <v>0</v>
      </c>
      <c r="BF276" s="368">
        <f t="shared" ca="1" si="93"/>
        <v>0</v>
      </c>
      <c r="BG276" s="368">
        <f t="shared" ca="1" si="93"/>
        <v>0</v>
      </c>
      <c r="BH276" s="368">
        <f t="shared" ca="1" si="93"/>
        <v>0</v>
      </c>
      <c r="BI276" s="368">
        <f t="shared" ca="1" si="93"/>
        <v>0</v>
      </c>
      <c r="BJ276" s="1287"/>
      <c r="BL276" s="260"/>
      <c r="BM276" s="260"/>
    </row>
    <row r="277" spans="2:65">
      <c r="B277" s="1284"/>
      <c r="C277" s="1296" t="s">
        <v>194</v>
      </c>
      <c r="D277" s="1296" t="s">
        <v>106</v>
      </c>
      <c r="E277" s="1297"/>
      <c r="F277" s="1298"/>
      <c r="G277" s="1298"/>
      <c r="H277" s="1298"/>
      <c r="I277" s="1298"/>
      <c r="J277" s="1298"/>
      <c r="K277" s="1298"/>
      <c r="L277" s="1298"/>
      <c r="M277" s="1298"/>
      <c r="N277" s="1298"/>
      <c r="O277" s="1298"/>
      <c r="P277" s="1298"/>
      <c r="Q277" s="1298"/>
      <c r="R277" s="1298"/>
      <c r="S277" s="1298"/>
      <c r="T277" s="1298"/>
      <c r="U277" s="1298"/>
      <c r="V277" s="1298"/>
      <c r="W277" s="1298"/>
      <c r="X277" s="1298"/>
      <c r="Y277" s="1298"/>
      <c r="Z277" s="1298"/>
      <c r="AA277" s="1298"/>
      <c r="AB277" s="1298"/>
      <c r="AC277" s="1298"/>
      <c r="AD277" s="1298"/>
      <c r="AE277" s="1298"/>
      <c r="AF277" s="1298"/>
      <c r="AG277" s="1298"/>
      <c r="AH277" s="1298"/>
      <c r="AI277" s="1298"/>
      <c r="AJ277" s="1298"/>
      <c r="AK277" s="1298"/>
      <c r="AL277" s="1298"/>
      <c r="AM277" s="1298"/>
      <c r="AN277" s="1298"/>
      <c r="AO277" s="1298"/>
      <c r="AP277" s="1298"/>
      <c r="AQ277" s="1298"/>
      <c r="AR277" s="1298"/>
      <c r="AS277" s="1298"/>
      <c r="AT277" s="1298"/>
      <c r="AU277" s="1298"/>
      <c r="AV277" s="1298"/>
      <c r="AW277" s="1298"/>
      <c r="AX277" s="1297"/>
      <c r="AY277" s="368">
        <f t="shared" ca="1" si="93"/>
        <v>99.549000000000007</v>
      </c>
      <c r="AZ277" s="368"/>
      <c r="BA277" s="368">
        <f t="shared" ca="1" si="93"/>
        <v>135.84360999999998</v>
      </c>
      <c r="BB277" s="368">
        <f t="shared" ca="1" si="93"/>
        <v>188.77501314929791</v>
      </c>
      <c r="BC277" s="368">
        <f t="shared" ca="1" si="93"/>
        <v>262.32571067939568</v>
      </c>
      <c r="BD277" s="368">
        <f t="shared" ca="1" si="93"/>
        <v>335.74068575957824</v>
      </c>
      <c r="BE277" s="368">
        <f t="shared" ca="1" si="93"/>
        <v>428.7780628500808</v>
      </c>
      <c r="BF277" s="368">
        <f t="shared" ca="1" si="93"/>
        <v>506.91064092382578</v>
      </c>
      <c r="BG277" s="368">
        <f t="shared" ca="1" si="93"/>
        <v>599.26784878596698</v>
      </c>
      <c r="BH277" s="368">
        <f t="shared" ca="1" si="93"/>
        <v>658.56749564700988</v>
      </c>
      <c r="BI277" s="368">
        <f t="shared" ca="1" si="93"/>
        <v>723.71929535837114</v>
      </c>
      <c r="BJ277" s="1287"/>
      <c r="BL277" s="260"/>
      <c r="BM277" s="260"/>
    </row>
    <row r="278" spans="2:65">
      <c r="B278" s="1284"/>
      <c r="C278" s="1296" t="s">
        <v>330</v>
      </c>
      <c r="D278" s="1296" t="s">
        <v>1078</v>
      </c>
      <c r="E278" s="1297"/>
      <c r="F278" s="1298"/>
      <c r="G278" s="1298"/>
      <c r="H278" s="1298"/>
      <c r="I278" s="1298"/>
      <c r="J278" s="1298"/>
      <c r="K278" s="1298"/>
      <c r="L278" s="1298"/>
      <c r="M278" s="1298"/>
      <c r="N278" s="1298"/>
      <c r="O278" s="1298"/>
      <c r="P278" s="1298"/>
      <c r="Q278" s="1298"/>
      <c r="R278" s="1298"/>
      <c r="S278" s="1298"/>
      <c r="T278" s="1298"/>
      <c r="U278" s="1298"/>
      <c r="V278" s="1298"/>
      <c r="W278" s="1298"/>
      <c r="X278" s="1298"/>
      <c r="Y278" s="1298"/>
      <c r="Z278" s="1298"/>
      <c r="AA278" s="1298"/>
      <c r="AB278" s="1298"/>
      <c r="AC278" s="1298"/>
      <c r="AD278" s="1298"/>
      <c r="AE278" s="1298"/>
      <c r="AF278" s="1298"/>
      <c r="AG278" s="1298"/>
      <c r="AH278" s="1298"/>
      <c r="AI278" s="1298"/>
      <c r="AJ278" s="1298"/>
      <c r="AK278" s="1298"/>
      <c r="AL278" s="1298"/>
      <c r="AM278" s="1298"/>
      <c r="AN278" s="1298"/>
      <c r="AO278" s="1298"/>
      <c r="AP278" s="1298"/>
      <c r="AQ278" s="1298"/>
      <c r="AR278" s="1298"/>
      <c r="AS278" s="1298"/>
      <c r="AT278" s="1298"/>
      <c r="AU278" s="1298"/>
      <c r="AV278" s="1298"/>
      <c r="AW278" s="1298"/>
      <c r="AX278" s="1297"/>
      <c r="AY278" s="368">
        <f t="shared" ca="1" si="93"/>
        <v>2.3668199999999997</v>
      </c>
      <c r="AZ278" s="368"/>
      <c r="BA278" s="368">
        <f t="shared" ca="1" si="93"/>
        <v>14.091612362999999</v>
      </c>
      <c r="BB278" s="368">
        <f t="shared" ca="1" si="93"/>
        <v>20.064265232180411</v>
      </c>
      <c r="BC278" s="368">
        <f t="shared" ca="1" si="93"/>
        <v>28.249080569317663</v>
      </c>
      <c r="BD278" s="368">
        <f t="shared" ca="1" si="93"/>
        <v>37.448347295363597</v>
      </c>
      <c r="BE278" s="368">
        <f t="shared" ca="1" si="93"/>
        <v>44.542199023321331</v>
      </c>
      <c r="BF278" s="368">
        <f t="shared" ca="1" si="93"/>
        <v>57.224138138960534</v>
      </c>
      <c r="BG278" s="368">
        <f t="shared" ca="1" si="93"/>
        <v>63.627974159380635</v>
      </c>
      <c r="BH278" s="368">
        <f t="shared" ca="1" si="93"/>
        <v>77.413159434842669</v>
      </c>
      <c r="BI278" s="368">
        <f t="shared" ca="1" si="93"/>
        <v>97.952342914769488</v>
      </c>
      <c r="BJ278" s="1287"/>
      <c r="BL278" s="260"/>
      <c r="BM278" s="260"/>
    </row>
    <row r="279" spans="2:65">
      <c r="B279" s="1284"/>
      <c r="C279" s="1296" t="s">
        <v>310</v>
      </c>
      <c r="D279" s="1296" t="str">
        <f>INDEX(Modules[Module], MATCH($C279, Modules[Code], 0))</f>
        <v>Domestic Gas Production</v>
      </c>
      <c r="E279" s="1297"/>
      <c r="F279" s="1298"/>
      <c r="G279" s="1298"/>
      <c r="H279" s="1298"/>
      <c r="I279" s="1298"/>
      <c r="J279" s="1298"/>
      <c r="K279" s="1298"/>
      <c r="L279" s="1298"/>
      <c r="M279" s="1298"/>
      <c r="N279" s="1298"/>
      <c r="O279" s="1298"/>
      <c r="P279" s="1298"/>
      <c r="Q279" s="1298"/>
      <c r="R279" s="1298"/>
      <c r="S279" s="1298"/>
      <c r="T279" s="1298"/>
      <c r="U279" s="1298"/>
      <c r="V279" s="1298"/>
      <c r="W279" s="1298"/>
      <c r="X279" s="1298"/>
      <c r="Y279" s="1298"/>
      <c r="Z279" s="1298"/>
      <c r="AA279" s="1298"/>
      <c r="AB279" s="1298"/>
      <c r="AC279" s="1298"/>
      <c r="AD279" s="1298"/>
      <c r="AE279" s="1298"/>
      <c r="AF279" s="1298"/>
      <c r="AG279" s="1298"/>
      <c r="AH279" s="1298"/>
      <c r="AI279" s="1298"/>
      <c r="AJ279" s="1298"/>
      <c r="AK279" s="1298"/>
      <c r="AL279" s="1298"/>
      <c r="AM279" s="1298"/>
      <c r="AN279" s="1298"/>
      <c r="AO279" s="1298"/>
      <c r="AP279" s="1298"/>
      <c r="AQ279" s="1298"/>
      <c r="AR279" s="1298"/>
      <c r="AS279" s="1298"/>
      <c r="AT279" s="1298"/>
      <c r="AU279" s="1298"/>
      <c r="AV279" s="1298"/>
      <c r="AW279" s="1298"/>
      <c r="AX279" s="1297"/>
      <c r="AY279" s="368">
        <f t="shared" ca="1" si="93"/>
        <v>0</v>
      </c>
      <c r="AZ279" s="368"/>
      <c r="BA279" s="368">
        <f t="shared" ca="1" si="93"/>
        <v>0</v>
      </c>
      <c r="BB279" s="368">
        <f t="shared" ca="1" si="93"/>
        <v>0</v>
      </c>
      <c r="BC279" s="368">
        <f t="shared" ca="1" si="93"/>
        <v>0</v>
      </c>
      <c r="BD279" s="368">
        <f t="shared" ca="1" si="93"/>
        <v>0</v>
      </c>
      <c r="BE279" s="368">
        <f t="shared" ca="1" si="93"/>
        <v>0</v>
      </c>
      <c r="BF279" s="368">
        <f t="shared" ca="1" si="93"/>
        <v>0</v>
      </c>
      <c r="BG279" s="368">
        <f t="shared" ca="1" si="93"/>
        <v>0</v>
      </c>
      <c r="BH279" s="368">
        <f t="shared" ca="1" si="93"/>
        <v>0</v>
      </c>
      <c r="BI279" s="368">
        <f t="shared" ca="1" si="93"/>
        <v>0</v>
      </c>
      <c r="BJ279" s="1287"/>
      <c r="BL279" s="260"/>
      <c r="BM279" s="260"/>
    </row>
    <row r="280" spans="2:65">
      <c r="B280" s="1284"/>
      <c r="C280" s="1296" t="s">
        <v>314</v>
      </c>
      <c r="D280" s="1296" t="str">
        <f>INDEX(Modules[Module], MATCH($C280, Modules[Code], 0))</f>
        <v>Domestic Coal Production</v>
      </c>
      <c r="E280" s="1297"/>
      <c r="F280" s="1298"/>
      <c r="G280" s="1298"/>
      <c r="H280" s="1298"/>
      <c r="I280" s="1298"/>
      <c r="J280" s="1298"/>
      <c r="K280" s="1298"/>
      <c r="L280" s="1298"/>
      <c r="M280" s="1298"/>
      <c r="N280" s="1298"/>
      <c r="O280" s="1298"/>
      <c r="P280" s="1298"/>
      <c r="Q280" s="1298"/>
      <c r="R280" s="1298"/>
      <c r="S280" s="1298"/>
      <c r="T280" s="1298"/>
      <c r="U280" s="1298"/>
      <c r="V280" s="1298"/>
      <c r="W280" s="1298"/>
      <c r="X280" s="1298"/>
      <c r="Y280" s="1298"/>
      <c r="Z280" s="1298"/>
      <c r="AA280" s="1298"/>
      <c r="AB280" s="1298"/>
      <c r="AC280" s="1298"/>
      <c r="AD280" s="1298"/>
      <c r="AE280" s="1298"/>
      <c r="AF280" s="1298"/>
      <c r="AG280" s="1298"/>
      <c r="AH280" s="1298"/>
      <c r="AI280" s="1298"/>
      <c r="AJ280" s="1298"/>
      <c r="AK280" s="1298"/>
      <c r="AL280" s="1298"/>
      <c r="AM280" s="1298"/>
      <c r="AN280" s="1298"/>
      <c r="AO280" s="1298"/>
      <c r="AP280" s="1298"/>
      <c r="AQ280" s="1298"/>
      <c r="AR280" s="1298"/>
      <c r="AS280" s="1298"/>
      <c r="AT280" s="1298"/>
      <c r="AU280" s="1298"/>
      <c r="AV280" s="1298"/>
      <c r="AW280" s="1298"/>
      <c r="AX280" s="1297"/>
      <c r="AY280" s="368">
        <f t="shared" ca="1" si="93"/>
        <v>0</v>
      </c>
      <c r="AZ280" s="368"/>
      <c r="BA280" s="368">
        <f t="shared" ca="1" si="93"/>
        <v>0</v>
      </c>
      <c r="BB280" s="368">
        <f t="shared" ca="1" si="93"/>
        <v>0</v>
      </c>
      <c r="BC280" s="368">
        <f t="shared" ca="1" si="93"/>
        <v>0</v>
      </c>
      <c r="BD280" s="368">
        <f t="shared" ca="1" si="93"/>
        <v>0</v>
      </c>
      <c r="BE280" s="368">
        <f t="shared" ca="1" si="93"/>
        <v>0</v>
      </c>
      <c r="BF280" s="368">
        <f t="shared" ca="1" si="93"/>
        <v>0</v>
      </c>
      <c r="BG280" s="368">
        <f t="shared" ca="1" si="93"/>
        <v>0</v>
      </c>
      <c r="BH280" s="368">
        <f t="shared" ca="1" si="93"/>
        <v>0</v>
      </c>
      <c r="BI280" s="368">
        <f t="shared" ca="1" si="93"/>
        <v>0</v>
      </c>
      <c r="BJ280" s="1287"/>
      <c r="BL280" s="260"/>
      <c r="BM280" s="260"/>
    </row>
    <row r="281" spans="2:65">
      <c r="B281" s="1284"/>
      <c r="C281" s="1296" t="s">
        <v>818</v>
      </c>
      <c r="D281" s="1296" t="str">
        <f>INDEX(Modules[Module], MATCH($C281, Modules[Code], 0))</f>
        <v>Domestic Oil Production</v>
      </c>
      <c r="E281" s="1297"/>
      <c r="F281" s="1298"/>
      <c r="G281" s="1298"/>
      <c r="H281" s="1298"/>
      <c r="I281" s="1298"/>
      <c r="J281" s="1298"/>
      <c r="K281" s="1298"/>
      <c r="L281" s="1298"/>
      <c r="M281" s="1298"/>
      <c r="N281" s="1298"/>
      <c r="O281" s="1298"/>
      <c r="P281" s="1298"/>
      <c r="Q281" s="1298"/>
      <c r="R281" s="1298"/>
      <c r="S281" s="1298"/>
      <c r="T281" s="1298"/>
      <c r="U281" s="1298"/>
      <c r="V281" s="1298"/>
      <c r="W281" s="1298"/>
      <c r="X281" s="1298"/>
      <c r="Y281" s="1298"/>
      <c r="Z281" s="1298"/>
      <c r="AA281" s="1298"/>
      <c r="AB281" s="1298"/>
      <c r="AC281" s="1298"/>
      <c r="AD281" s="1298"/>
      <c r="AE281" s="1298"/>
      <c r="AF281" s="1298"/>
      <c r="AG281" s="1298"/>
      <c r="AH281" s="1298"/>
      <c r="AI281" s="1298"/>
      <c r="AJ281" s="1298"/>
      <c r="AK281" s="1298"/>
      <c r="AL281" s="1298"/>
      <c r="AM281" s="1298"/>
      <c r="AN281" s="1298"/>
      <c r="AO281" s="1298"/>
      <c r="AP281" s="1298"/>
      <c r="AQ281" s="1298"/>
      <c r="AR281" s="1298"/>
      <c r="AS281" s="1298"/>
      <c r="AT281" s="1298"/>
      <c r="AU281" s="1298"/>
      <c r="AV281" s="1298"/>
      <c r="AW281" s="1298"/>
      <c r="AX281" s="1297"/>
      <c r="AY281" s="368"/>
      <c r="AZ281" s="368"/>
      <c r="BA281" s="368"/>
      <c r="BB281" s="368"/>
      <c r="BC281" s="368"/>
      <c r="BD281" s="368"/>
      <c r="BE281" s="368"/>
      <c r="BF281" s="368"/>
      <c r="BG281" s="368"/>
      <c r="BH281" s="368"/>
      <c r="BI281" s="368"/>
      <c r="BJ281" s="1287"/>
      <c r="BL281" s="260"/>
      <c r="BM281" s="260"/>
    </row>
    <row r="282" spans="2:65">
      <c r="B282" s="1284"/>
      <c r="C282" s="1296" t="s">
        <v>410</v>
      </c>
      <c r="D282" s="1296" t="str">
        <f>INDEX(Modules[Module], MATCH($C282, Modules[Code], 0))</f>
        <v>Fossil Fuel Transfer</v>
      </c>
      <c r="E282" s="1297"/>
      <c r="F282" s="1298"/>
      <c r="G282" s="1298"/>
      <c r="H282" s="1298"/>
      <c r="I282" s="1298"/>
      <c r="J282" s="1298"/>
      <c r="K282" s="1298"/>
      <c r="L282" s="1298"/>
      <c r="M282" s="1298"/>
      <c r="N282" s="1298"/>
      <c r="O282" s="1298"/>
      <c r="P282" s="1298"/>
      <c r="Q282" s="1298"/>
      <c r="R282" s="1298"/>
      <c r="S282" s="1298"/>
      <c r="T282" s="1298"/>
      <c r="U282" s="1298"/>
      <c r="V282" s="1298"/>
      <c r="W282" s="1298"/>
      <c r="X282" s="1298"/>
      <c r="Y282" s="1298"/>
      <c r="Z282" s="1298"/>
      <c r="AA282" s="1298"/>
      <c r="AB282" s="1298"/>
      <c r="AC282" s="1298"/>
      <c r="AD282" s="1298"/>
      <c r="AE282" s="1298"/>
      <c r="AF282" s="1298"/>
      <c r="AG282" s="1298"/>
      <c r="AH282" s="1298"/>
      <c r="AI282" s="1298"/>
      <c r="AJ282" s="1298"/>
      <c r="AK282" s="1298"/>
      <c r="AL282" s="1298"/>
      <c r="AM282" s="1298"/>
      <c r="AN282" s="1298"/>
      <c r="AO282" s="1298"/>
      <c r="AP282" s="1298"/>
      <c r="AQ282" s="1298"/>
      <c r="AR282" s="1298"/>
      <c r="AS282" s="1298"/>
      <c r="AT282" s="1298"/>
      <c r="AU282" s="1298"/>
      <c r="AV282" s="1298"/>
      <c r="AW282" s="1298"/>
      <c r="AX282" s="1297"/>
      <c r="AY282" s="368"/>
      <c r="AZ282" s="368"/>
      <c r="BA282" s="368"/>
      <c r="BB282" s="368"/>
      <c r="BC282" s="368"/>
      <c r="BD282" s="368"/>
      <c r="BE282" s="368"/>
      <c r="BF282" s="368"/>
      <c r="BG282" s="368"/>
      <c r="BH282" s="368"/>
      <c r="BI282" s="368"/>
      <c r="BJ282" s="1287"/>
      <c r="BL282" s="260"/>
      <c r="BM282" s="260"/>
    </row>
    <row r="283" spans="2:65">
      <c r="B283" s="1284"/>
      <c r="C283" s="1296" t="s">
        <v>197</v>
      </c>
      <c r="D283" s="1296" t="str">
        <f>INDEX(Modules[Module], MATCH($C283, Modules[Code], 0))</f>
        <v>Industry</v>
      </c>
      <c r="E283" s="1297"/>
      <c r="F283" s="1298"/>
      <c r="G283" s="1298"/>
      <c r="H283" s="1298"/>
      <c r="I283" s="1298"/>
      <c r="J283" s="1298"/>
      <c r="K283" s="1298"/>
      <c r="L283" s="1298"/>
      <c r="M283" s="1298"/>
      <c r="N283" s="1298"/>
      <c r="O283" s="1298"/>
      <c r="P283" s="1298"/>
      <c r="Q283" s="1298"/>
      <c r="R283" s="1298"/>
      <c r="S283" s="1298"/>
      <c r="T283" s="1298"/>
      <c r="U283" s="1298"/>
      <c r="V283" s="1298"/>
      <c r="W283" s="1298"/>
      <c r="X283" s="1298"/>
      <c r="Y283" s="1298"/>
      <c r="Z283" s="1298"/>
      <c r="AA283" s="1298"/>
      <c r="AB283" s="1298"/>
      <c r="AC283" s="1298"/>
      <c r="AD283" s="1298"/>
      <c r="AE283" s="1298"/>
      <c r="AF283" s="1298"/>
      <c r="AG283" s="1298"/>
      <c r="AH283" s="1298"/>
      <c r="AI283" s="1298"/>
      <c r="AJ283" s="1298"/>
      <c r="AK283" s="1298"/>
      <c r="AL283" s="1298"/>
      <c r="AM283" s="1298"/>
      <c r="AN283" s="1298"/>
      <c r="AO283" s="1298"/>
      <c r="AP283" s="1298"/>
      <c r="AQ283" s="1298"/>
      <c r="AR283" s="1298"/>
      <c r="AS283" s="1298"/>
      <c r="AT283" s="1298"/>
      <c r="AU283" s="1298"/>
      <c r="AV283" s="1298"/>
      <c r="AW283" s="1298"/>
      <c r="AX283" s="1297"/>
      <c r="AY283" s="368">
        <f t="shared" ca="1" si="93"/>
        <v>291.71784851167462</v>
      </c>
      <c r="AZ283" s="368"/>
      <c r="BA283" s="368">
        <f t="shared" ca="1" si="93"/>
        <v>401.23500000000001</v>
      </c>
      <c r="BB283" s="368">
        <f t="shared" ca="1" si="93"/>
        <v>503.11770614913962</v>
      </c>
      <c r="BC283" s="368">
        <f t="shared" ca="1" si="93"/>
        <v>638.20622186284686</v>
      </c>
      <c r="BD283" s="368">
        <f t="shared" ca="1" si="93"/>
        <v>792.48188677491407</v>
      </c>
      <c r="BE283" s="368">
        <f t="shared" ca="1" si="93"/>
        <v>966.17848871674005</v>
      </c>
      <c r="BF283" s="368">
        <f t="shared" ca="1" si="93"/>
        <v>1200.6228340761327</v>
      </c>
      <c r="BG283" s="368">
        <f t="shared" ca="1" si="93"/>
        <v>1462.2792945499318</v>
      </c>
      <c r="BH283" s="368">
        <f t="shared" ca="1" si="93"/>
        <v>1752.1756493279522</v>
      </c>
      <c r="BI283" s="368">
        <f t="shared" ca="1" si="93"/>
        <v>2061.261323802787</v>
      </c>
      <c r="BJ283" s="1287"/>
      <c r="BL283" s="359"/>
    </row>
    <row r="284" spans="2:65">
      <c r="B284" s="1284"/>
      <c r="C284" s="1296"/>
      <c r="D284" s="1296"/>
      <c r="E284" s="1297"/>
      <c r="F284" s="1298"/>
      <c r="G284" s="1298"/>
      <c r="H284" s="1298"/>
      <c r="I284" s="1298"/>
      <c r="J284" s="1298"/>
      <c r="K284" s="1298"/>
      <c r="L284" s="1298"/>
      <c r="M284" s="1298"/>
      <c r="N284" s="1298"/>
      <c r="O284" s="1298"/>
      <c r="P284" s="1298"/>
      <c r="Q284" s="1298"/>
      <c r="R284" s="1298"/>
      <c r="S284" s="1298"/>
      <c r="T284" s="1298"/>
      <c r="U284" s="1298"/>
      <c r="V284" s="1298"/>
      <c r="W284" s="1298"/>
      <c r="X284" s="1298"/>
      <c r="Y284" s="1298"/>
      <c r="Z284" s="1298"/>
      <c r="AA284" s="1298"/>
      <c r="AB284" s="1298"/>
      <c r="AC284" s="1298"/>
      <c r="AD284" s="1298"/>
      <c r="AE284" s="1298"/>
      <c r="AF284" s="1298"/>
      <c r="AG284" s="1298"/>
      <c r="AH284" s="1298"/>
      <c r="AI284" s="1298"/>
      <c r="AJ284" s="1298"/>
      <c r="AK284" s="1298"/>
      <c r="AL284" s="1298"/>
      <c r="AM284" s="1298"/>
      <c r="AN284" s="1298"/>
      <c r="AO284" s="1298"/>
      <c r="AP284" s="1298"/>
      <c r="AQ284" s="1298"/>
      <c r="AR284" s="1298"/>
      <c r="AS284" s="1298"/>
      <c r="AT284" s="1298"/>
      <c r="AU284" s="1298"/>
      <c r="AV284" s="1298"/>
      <c r="AW284" s="1298"/>
      <c r="AX284" s="1297"/>
      <c r="AY284" s="368"/>
      <c r="AZ284" s="368"/>
      <c r="BA284" s="368"/>
      <c r="BB284" s="368"/>
      <c r="BC284" s="368"/>
      <c r="BD284" s="368"/>
      <c r="BE284" s="368"/>
      <c r="BF284" s="368"/>
      <c r="BG284" s="368"/>
      <c r="BH284" s="368"/>
      <c r="BI284" s="368"/>
      <c r="BJ284" s="1287"/>
    </row>
    <row r="285" spans="2:65">
      <c r="B285" s="1284"/>
      <c r="C285" s="1296"/>
      <c r="D285" s="1296" t="s">
        <v>103</v>
      </c>
      <c r="E285" s="1297"/>
      <c r="F285" s="1298"/>
      <c r="G285" s="1298"/>
      <c r="H285" s="1298"/>
      <c r="I285" s="1298"/>
      <c r="J285" s="1298"/>
      <c r="K285" s="1298"/>
      <c r="L285" s="1298"/>
      <c r="M285" s="1298"/>
      <c r="N285" s="1298"/>
      <c r="O285" s="1298"/>
      <c r="P285" s="1298"/>
      <c r="Q285" s="1298"/>
      <c r="R285" s="1298"/>
      <c r="S285" s="1298"/>
      <c r="T285" s="1298"/>
      <c r="U285" s="1298"/>
      <c r="V285" s="1298"/>
      <c r="W285" s="1298"/>
      <c r="X285" s="1298"/>
      <c r="Y285" s="1298"/>
      <c r="Z285" s="1298"/>
      <c r="AA285" s="1298"/>
      <c r="AB285" s="1298"/>
      <c r="AC285" s="1298"/>
      <c r="AD285" s="1298"/>
      <c r="AE285" s="1298"/>
      <c r="AF285" s="1298"/>
      <c r="AG285" s="1298"/>
      <c r="AH285" s="1298"/>
      <c r="AI285" s="1298"/>
      <c r="AJ285" s="1298"/>
      <c r="AK285" s="1298"/>
      <c r="AL285" s="1298"/>
      <c r="AM285" s="1298"/>
      <c r="AN285" s="1298"/>
      <c r="AO285" s="1298"/>
      <c r="AP285" s="1298"/>
      <c r="AQ285" s="1298"/>
      <c r="AR285" s="1298"/>
      <c r="AS285" s="1298"/>
      <c r="AT285" s="1298"/>
      <c r="AU285" s="1298"/>
      <c r="AV285" s="1298"/>
      <c r="AW285" s="1298"/>
      <c r="AX285" s="1297"/>
      <c r="AY285" s="368">
        <f t="shared" ref="AY285:BI285" ca="1" si="94">SUM(AY271:AY284)</f>
        <v>595.68681516482513</v>
      </c>
      <c r="AZ285" s="368"/>
      <c r="BA285" s="368">
        <f t="shared" ca="1" si="94"/>
        <v>798.39296177664801</v>
      </c>
      <c r="BB285" s="368">
        <f t="shared" ca="1" si="94"/>
        <v>1142.8498773739643</v>
      </c>
      <c r="BC285" s="368">
        <f t="shared" ca="1" si="94"/>
        <v>1640.0251055308781</v>
      </c>
      <c r="BD285" s="368">
        <f t="shared" ca="1" si="94"/>
        <v>2290.6622357105734</v>
      </c>
      <c r="BE285" s="368">
        <f t="shared" ca="1" si="94"/>
        <v>3170.4883780648101</v>
      </c>
      <c r="BF285" s="368">
        <f t="shared" ca="1" si="94"/>
        <v>3970.4133793283249</v>
      </c>
      <c r="BG285" s="368">
        <f t="shared" ca="1" si="94"/>
        <v>4914.3042732371441</v>
      </c>
      <c r="BH285" s="368">
        <f t="shared" ca="1" si="94"/>
        <v>5747.5586114860871</v>
      </c>
      <c r="BI285" s="368">
        <f t="shared" ca="1" si="94"/>
        <v>6680.5573002001365</v>
      </c>
      <c r="BJ285" s="1287"/>
    </row>
    <row r="286" spans="2:65">
      <c r="B286" s="1284"/>
      <c r="C286" s="1296"/>
      <c r="D286" s="1296"/>
      <c r="E286" s="1297"/>
      <c r="F286" s="1298"/>
      <c r="G286" s="1298"/>
      <c r="H286" s="1298"/>
      <c r="I286" s="1298"/>
      <c r="J286" s="1298"/>
      <c r="K286" s="1298"/>
      <c r="L286" s="1298"/>
      <c r="M286" s="1298"/>
      <c r="N286" s="1298"/>
      <c r="O286" s="1298"/>
      <c r="P286" s="1298"/>
      <c r="Q286" s="1298"/>
      <c r="R286" s="1298"/>
      <c r="S286" s="1298"/>
      <c r="T286" s="1298"/>
      <c r="U286" s="1298"/>
      <c r="V286" s="1298"/>
      <c r="W286" s="1298"/>
      <c r="X286" s="1298"/>
      <c r="Y286" s="1298"/>
      <c r="Z286" s="1298"/>
      <c r="AA286" s="1298"/>
      <c r="AB286" s="1298"/>
      <c r="AC286" s="1298"/>
      <c r="AD286" s="1298"/>
      <c r="AE286" s="1298"/>
      <c r="AF286" s="1298"/>
      <c r="AG286" s="1298"/>
      <c r="AH286" s="1298"/>
      <c r="AI286" s="1298"/>
      <c r="AJ286" s="1298"/>
      <c r="AK286" s="1298"/>
      <c r="AL286" s="1298"/>
      <c r="AM286" s="1298"/>
      <c r="AN286" s="1298"/>
      <c r="AO286" s="1298"/>
      <c r="AP286" s="1298"/>
      <c r="AQ286" s="1298"/>
      <c r="AR286" s="1298"/>
      <c r="AS286" s="1298"/>
      <c r="AT286" s="1298"/>
      <c r="AU286" s="1298"/>
      <c r="AV286" s="1298"/>
      <c r="AW286" s="1298"/>
      <c r="AX286" s="1297"/>
      <c r="AY286" s="368"/>
      <c r="AZ286" s="368"/>
      <c r="BA286" s="368"/>
      <c r="BB286" s="368"/>
      <c r="BC286" s="368"/>
      <c r="BD286" s="368"/>
      <c r="BE286" s="368"/>
      <c r="BF286" s="368"/>
      <c r="BG286" s="368"/>
      <c r="BH286" s="368"/>
      <c r="BI286" s="368"/>
      <c r="BJ286" s="1287"/>
    </row>
    <row r="287" spans="2:65">
      <c r="B287" s="1284"/>
      <c r="C287" s="1296"/>
      <c r="D287" s="1299" t="s">
        <v>113</v>
      </c>
      <c r="E287" s="1297"/>
      <c r="F287" s="1298"/>
      <c r="G287" s="1298"/>
      <c r="H287" s="1298"/>
      <c r="I287" s="1298"/>
      <c r="J287" s="1298"/>
      <c r="K287" s="1298"/>
      <c r="L287" s="1298"/>
      <c r="M287" s="1298"/>
      <c r="N287" s="1298"/>
      <c r="O287" s="1298"/>
      <c r="P287" s="1298"/>
      <c r="Q287" s="1298"/>
      <c r="R287" s="1298"/>
      <c r="S287" s="1298"/>
      <c r="T287" s="1298"/>
      <c r="U287" s="1298"/>
      <c r="V287" s="1298"/>
      <c r="W287" s="1298"/>
      <c r="X287" s="1298"/>
      <c r="Y287" s="1298"/>
      <c r="Z287" s="1298"/>
      <c r="AA287" s="1298"/>
      <c r="AB287" s="1298"/>
      <c r="AC287" s="1298"/>
      <c r="AD287" s="1298"/>
      <c r="AE287" s="1298"/>
      <c r="AF287" s="1298"/>
      <c r="AG287" s="1298"/>
      <c r="AH287" s="1298"/>
      <c r="AI287" s="1298"/>
      <c r="AJ287" s="1298"/>
      <c r="AK287" s="1298"/>
      <c r="AL287" s="1298"/>
      <c r="AM287" s="1298"/>
      <c r="AN287" s="1298"/>
      <c r="AO287" s="1298"/>
      <c r="AP287" s="1298"/>
      <c r="AQ287" s="1298"/>
      <c r="AR287" s="1298"/>
      <c r="AS287" s="1298"/>
      <c r="AT287" s="1298"/>
      <c r="AU287" s="1298"/>
      <c r="AV287" s="1298"/>
      <c r="AW287" s="1298"/>
      <c r="AX287" s="1297"/>
      <c r="AY287" s="368">
        <f ca="1">SUM(AY273,AY274)</f>
        <v>14.175599392034435</v>
      </c>
      <c r="AZ287" s="368"/>
      <c r="BA287" s="368">
        <f t="shared" ref="BA287:BI287" ca="1" si="95">SUM(BA273,BA274)</f>
        <v>14.175599392034435</v>
      </c>
      <c r="BB287" s="368">
        <f t="shared" ca="1" si="95"/>
        <v>19.38808543994168</v>
      </c>
      <c r="BC287" s="368">
        <f t="shared" ca="1" si="95"/>
        <v>25.818542167784543</v>
      </c>
      <c r="BD287" s="368">
        <f t="shared" ca="1" si="95"/>
        <v>32.793230000547041</v>
      </c>
      <c r="BE287" s="368">
        <f t="shared" ca="1" si="95"/>
        <v>40.870635745887029</v>
      </c>
      <c r="BF287" s="368">
        <f t="shared" ca="1" si="95"/>
        <v>49.401324638531037</v>
      </c>
      <c r="BG287" s="368">
        <f t="shared" ca="1" si="95"/>
        <v>54.794419347980828</v>
      </c>
      <c r="BH287" s="368">
        <f t="shared" ca="1" si="95"/>
        <v>59.954801826308824</v>
      </c>
      <c r="BI287" s="368">
        <f t="shared" ca="1" si="95"/>
        <v>64.186648237973117</v>
      </c>
      <c r="BJ287" s="1287"/>
    </row>
    <row r="288" spans="2:65">
      <c r="B288" s="1284"/>
      <c r="C288" s="1296"/>
      <c r="D288" s="1299" t="s">
        <v>33</v>
      </c>
      <c r="E288" s="1297"/>
      <c r="F288" s="1298"/>
      <c r="G288" s="1298"/>
      <c r="H288" s="1298"/>
      <c r="I288" s="1298"/>
      <c r="J288" s="1298"/>
      <c r="K288" s="1298"/>
      <c r="L288" s="1298"/>
      <c r="M288" s="1298"/>
      <c r="N288" s="1298"/>
      <c r="O288" s="1298"/>
      <c r="P288" s="1298"/>
      <c r="Q288" s="1298"/>
      <c r="R288" s="1298"/>
      <c r="S288" s="1298"/>
      <c r="T288" s="1298"/>
      <c r="U288" s="1298"/>
      <c r="V288" s="1298"/>
      <c r="W288" s="1298"/>
      <c r="X288" s="1298"/>
      <c r="Y288" s="1298"/>
      <c r="Z288" s="1298"/>
      <c r="AA288" s="1298"/>
      <c r="AB288" s="1298"/>
      <c r="AC288" s="1298"/>
      <c r="AD288" s="1298"/>
      <c r="AE288" s="1298"/>
      <c r="AF288" s="1298"/>
      <c r="AG288" s="1298"/>
      <c r="AH288" s="1298"/>
      <c r="AI288" s="1298"/>
      <c r="AJ288" s="1298"/>
      <c r="AK288" s="1298"/>
      <c r="AL288" s="1298"/>
      <c r="AM288" s="1298"/>
      <c r="AN288" s="1298"/>
      <c r="AO288" s="1298"/>
      <c r="AP288" s="1298"/>
      <c r="AQ288" s="1298"/>
      <c r="AR288" s="1298"/>
      <c r="AS288" s="1298"/>
      <c r="AT288" s="1298"/>
      <c r="AU288" s="1298"/>
      <c r="AV288" s="1298"/>
      <c r="AW288" s="1298"/>
      <c r="AX288" s="1297"/>
      <c r="AY288" s="368">
        <f ca="1">AY283</f>
        <v>291.71784851167462</v>
      </c>
      <c r="AZ288" s="368"/>
      <c r="BA288" s="368">
        <f t="shared" ref="BA288:BI288" ca="1" si="96">BA283</f>
        <v>401.23500000000001</v>
      </c>
      <c r="BB288" s="368">
        <f t="shared" ca="1" si="96"/>
        <v>503.11770614913962</v>
      </c>
      <c r="BC288" s="368">
        <f t="shared" ca="1" si="96"/>
        <v>638.20622186284686</v>
      </c>
      <c r="BD288" s="368">
        <f t="shared" ca="1" si="96"/>
        <v>792.48188677491407</v>
      </c>
      <c r="BE288" s="368">
        <f t="shared" ca="1" si="96"/>
        <v>966.17848871674005</v>
      </c>
      <c r="BF288" s="368">
        <f t="shared" ca="1" si="96"/>
        <v>1200.6228340761327</v>
      </c>
      <c r="BG288" s="368">
        <f t="shared" ca="1" si="96"/>
        <v>1462.2792945499318</v>
      </c>
      <c r="BH288" s="368">
        <f t="shared" ca="1" si="96"/>
        <v>1752.1756493279522</v>
      </c>
      <c r="BI288" s="368">
        <f t="shared" ca="1" si="96"/>
        <v>2061.261323802787</v>
      </c>
      <c r="BJ288" s="1287"/>
    </row>
    <row r="289" spans="1:62">
      <c r="B289" s="1284"/>
      <c r="C289" s="1296"/>
      <c r="D289" s="1299" t="s">
        <v>1051</v>
      </c>
      <c r="E289" s="1297"/>
      <c r="F289" s="1298"/>
      <c r="G289" s="1298"/>
      <c r="H289" s="1298"/>
      <c r="I289" s="1298"/>
      <c r="J289" s="1298"/>
      <c r="K289" s="1298"/>
      <c r="L289" s="1298"/>
      <c r="M289" s="1298"/>
      <c r="N289" s="1298"/>
      <c r="O289" s="1298"/>
      <c r="P289" s="1298"/>
      <c r="Q289" s="1298"/>
      <c r="R289" s="1298"/>
      <c r="S289" s="1298"/>
      <c r="T289" s="1298"/>
      <c r="U289" s="1298"/>
      <c r="V289" s="1298"/>
      <c r="W289" s="1298"/>
      <c r="X289" s="1298"/>
      <c r="Y289" s="1298"/>
      <c r="Z289" s="1298"/>
      <c r="AA289" s="1298"/>
      <c r="AB289" s="1298"/>
      <c r="AC289" s="1298"/>
      <c r="AD289" s="1298"/>
      <c r="AE289" s="1298"/>
      <c r="AF289" s="1298"/>
      <c r="AG289" s="1298"/>
      <c r="AH289" s="1298"/>
      <c r="AI289" s="1298"/>
      <c r="AJ289" s="1298"/>
      <c r="AK289" s="1298"/>
      <c r="AL289" s="1298"/>
      <c r="AM289" s="1298"/>
      <c r="AN289" s="1298"/>
      <c r="AO289" s="1298"/>
      <c r="AP289" s="1298"/>
      <c r="AQ289" s="1298"/>
      <c r="AR289" s="1298"/>
      <c r="AS289" s="1298"/>
      <c r="AT289" s="1298"/>
      <c r="AU289" s="1298"/>
      <c r="AV289" s="1298"/>
      <c r="AW289" s="1298"/>
      <c r="AX289" s="1297"/>
      <c r="AY289" s="368">
        <f ca="1">SUM(AY275,AY276)</f>
        <v>0.30660334104356374</v>
      </c>
      <c r="AZ289" s="368"/>
      <c r="BA289" s="368">
        <f t="shared" ref="BA289:BI289" ca="1" si="97">SUM(BA275,BA276)</f>
        <v>0.40568124773609537</v>
      </c>
      <c r="BB289" s="368">
        <f t="shared" ca="1" si="97"/>
        <v>1.9119107308416539</v>
      </c>
      <c r="BC289" s="368">
        <f t="shared" ca="1" si="97"/>
        <v>3.0737404888957927</v>
      </c>
      <c r="BD289" s="368">
        <f t="shared" ca="1" si="97"/>
        <v>5.9878453050571316</v>
      </c>
      <c r="BE289" s="368">
        <f t="shared" ca="1" si="97"/>
        <v>10.924338830969084</v>
      </c>
      <c r="BF289" s="368">
        <f t="shared" ca="1" si="97"/>
        <v>14.605179460099949</v>
      </c>
      <c r="BG289" s="368">
        <f t="shared" ca="1" si="97"/>
        <v>19.221420721203312</v>
      </c>
      <c r="BH289" s="368">
        <f t="shared" ca="1" si="97"/>
        <v>25.37842895536987</v>
      </c>
      <c r="BI289" s="368">
        <f t="shared" ca="1" si="97"/>
        <v>29.2476501509129</v>
      </c>
      <c r="BJ289" s="1287"/>
    </row>
    <row r="290" spans="1:62">
      <c r="B290" s="1284"/>
      <c r="C290" s="1296"/>
      <c r="D290" s="1299" t="s">
        <v>1194</v>
      </c>
      <c r="E290" s="1297"/>
      <c r="F290" s="1298"/>
      <c r="G290" s="1298"/>
      <c r="H290" s="1298"/>
      <c r="I290" s="1298"/>
      <c r="J290" s="1298"/>
      <c r="K290" s="1298"/>
      <c r="L290" s="1298"/>
      <c r="M290" s="1298"/>
      <c r="N290" s="1298"/>
      <c r="O290" s="1298"/>
      <c r="P290" s="1298"/>
      <c r="Q290" s="1298"/>
      <c r="R290" s="1298"/>
      <c r="S290" s="1298"/>
      <c r="T290" s="1298"/>
      <c r="U290" s="1298"/>
      <c r="V290" s="1298"/>
      <c r="W290" s="1298"/>
      <c r="X290" s="1298"/>
      <c r="Y290" s="1298"/>
      <c r="Z290" s="1298"/>
      <c r="AA290" s="1298"/>
      <c r="AB290" s="1298"/>
      <c r="AC290" s="1298"/>
      <c r="AD290" s="1298"/>
      <c r="AE290" s="1298"/>
      <c r="AF290" s="1298"/>
      <c r="AG290" s="1298"/>
      <c r="AH290" s="1298"/>
      <c r="AI290" s="1298"/>
      <c r="AJ290" s="1298"/>
      <c r="AK290" s="1298"/>
      <c r="AL290" s="1298"/>
      <c r="AM290" s="1298"/>
      <c r="AN290" s="1298"/>
      <c r="AO290" s="1298"/>
      <c r="AP290" s="1298"/>
      <c r="AQ290" s="1298"/>
      <c r="AR290" s="1298"/>
      <c r="AS290" s="1298"/>
      <c r="AT290" s="1298"/>
      <c r="AU290" s="1298"/>
      <c r="AV290" s="1298"/>
      <c r="AW290" s="1298"/>
      <c r="AX290" s="1297"/>
      <c r="AY290" s="368">
        <f ca="1">SUM(AY271,AY272)</f>
        <v>187.57094392007247</v>
      </c>
      <c r="AZ290" s="368"/>
      <c r="BA290" s="368">
        <f t="shared" ref="BA290:BI290" ca="1" si="98">SUM(BA271,BA272)</f>
        <v>232.6414587738775</v>
      </c>
      <c r="BB290" s="368">
        <f t="shared" ca="1" si="98"/>
        <v>409.59289667256314</v>
      </c>
      <c r="BC290" s="368">
        <f t="shared" ca="1" si="98"/>
        <v>682.35180976263746</v>
      </c>
      <c r="BD290" s="368">
        <f t="shared" ca="1" si="98"/>
        <v>1086.2102405751129</v>
      </c>
      <c r="BE290" s="368">
        <f t="shared" ca="1" si="98"/>
        <v>1679.1946528978117</v>
      </c>
      <c r="BF290" s="368">
        <f t="shared" ca="1" si="98"/>
        <v>2141.6492620907752</v>
      </c>
      <c r="BG290" s="368">
        <f t="shared" ca="1" si="98"/>
        <v>2715.1133156726805</v>
      </c>
      <c r="BH290" s="368">
        <f t="shared" ca="1" si="98"/>
        <v>3174.0690762946037</v>
      </c>
      <c r="BI290" s="368">
        <f t="shared" ca="1" si="98"/>
        <v>3704.1900397353238</v>
      </c>
      <c r="BJ290" s="1287"/>
    </row>
    <row r="291" spans="1:62">
      <c r="B291" s="1284"/>
      <c r="C291" s="1296"/>
      <c r="D291" s="1299" t="s">
        <v>1078</v>
      </c>
      <c r="E291" s="1297"/>
      <c r="F291" s="1298"/>
      <c r="G291" s="1298"/>
      <c r="H291" s="1298"/>
      <c r="I291" s="1298"/>
      <c r="J291" s="1298"/>
      <c r="K291" s="1298"/>
      <c r="L291" s="1298"/>
      <c r="M291" s="1298"/>
      <c r="N291" s="1298"/>
      <c r="O291" s="1298"/>
      <c r="P291" s="1298"/>
      <c r="Q291" s="1298"/>
      <c r="R291" s="1298"/>
      <c r="S291" s="1298"/>
      <c r="T291" s="1298"/>
      <c r="U291" s="1298"/>
      <c r="V291" s="1298"/>
      <c r="W291" s="1298"/>
      <c r="X291" s="1298"/>
      <c r="Y291" s="1298"/>
      <c r="Z291" s="1298"/>
      <c r="AA291" s="1298"/>
      <c r="AB291" s="1298"/>
      <c r="AC291" s="1298"/>
      <c r="AD291" s="1298"/>
      <c r="AE291" s="1298"/>
      <c r="AF291" s="1298"/>
      <c r="AG291" s="1298"/>
      <c r="AH291" s="1298"/>
      <c r="AI291" s="1298"/>
      <c r="AJ291" s="1298"/>
      <c r="AK291" s="1298"/>
      <c r="AL291" s="1298"/>
      <c r="AM291" s="1298"/>
      <c r="AN291" s="1298"/>
      <c r="AO291" s="1298"/>
      <c r="AP291" s="1298"/>
      <c r="AQ291" s="1298"/>
      <c r="AR291" s="1298"/>
      <c r="AS291" s="1298"/>
      <c r="AT291" s="1298"/>
      <c r="AU291" s="1298"/>
      <c r="AV291" s="1298"/>
      <c r="AW291" s="1298"/>
      <c r="AX291" s="1297"/>
      <c r="AY291" s="368">
        <f ca="1">AY277</f>
        <v>99.549000000000007</v>
      </c>
      <c r="AZ291" s="368"/>
      <c r="BA291" s="368">
        <f t="shared" ref="BA291:BI292" ca="1" si="99">BA277</f>
        <v>135.84360999999998</v>
      </c>
      <c r="BB291" s="368">
        <f t="shared" ca="1" si="99"/>
        <v>188.77501314929791</v>
      </c>
      <c r="BC291" s="368">
        <f t="shared" ca="1" si="99"/>
        <v>262.32571067939568</v>
      </c>
      <c r="BD291" s="368">
        <f t="shared" ca="1" si="99"/>
        <v>335.74068575957824</v>
      </c>
      <c r="BE291" s="368">
        <f t="shared" ca="1" si="99"/>
        <v>428.7780628500808</v>
      </c>
      <c r="BF291" s="368">
        <f t="shared" ca="1" si="99"/>
        <v>506.91064092382578</v>
      </c>
      <c r="BG291" s="368">
        <f t="shared" ca="1" si="99"/>
        <v>599.26784878596698</v>
      </c>
      <c r="BH291" s="368">
        <f t="shared" ca="1" si="99"/>
        <v>658.56749564700988</v>
      </c>
      <c r="BI291" s="368">
        <f t="shared" ca="1" si="99"/>
        <v>723.71929535837114</v>
      </c>
      <c r="BJ291" s="1287"/>
    </row>
    <row r="292" spans="1:62">
      <c r="B292" s="1284"/>
      <c r="C292" s="1296"/>
      <c r="D292" s="1299" t="s">
        <v>106</v>
      </c>
      <c r="E292" s="1297"/>
      <c r="F292" s="1298"/>
      <c r="G292" s="1298"/>
      <c r="H292" s="1298"/>
      <c r="I292" s="1298"/>
      <c r="J292" s="1298"/>
      <c r="K292" s="1298"/>
      <c r="L292" s="1298"/>
      <c r="M292" s="1298"/>
      <c r="N292" s="1298"/>
      <c r="O292" s="1298"/>
      <c r="P292" s="1298"/>
      <c r="Q292" s="1298"/>
      <c r="R292" s="1298"/>
      <c r="S292" s="1298"/>
      <c r="T292" s="1298"/>
      <c r="U292" s="1298"/>
      <c r="V292" s="1298"/>
      <c r="W292" s="1298"/>
      <c r="X292" s="1298"/>
      <c r="Y292" s="1298"/>
      <c r="Z292" s="1298"/>
      <c r="AA292" s="1298"/>
      <c r="AB292" s="1298"/>
      <c r="AC292" s="1298"/>
      <c r="AD292" s="1298"/>
      <c r="AE292" s="1298"/>
      <c r="AF292" s="1298"/>
      <c r="AG292" s="1298"/>
      <c r="AH292" s="1298"/>
      <c r="AI292" s="1298"/>
      <c r="AJ292" s="1298"/>
      <c r="AK292" s="1298"/>
      <c r="AL292" s="1298"/>
      <c r="AM292" s="1298"/>
      <c r="AN292" s="1298"/>
      <c r="AO292" s="1298"/>
      <c r="AP292" s="1298"/>
      <c r="AQ292" s="1298"/>
      <c r="AR292" s="1298"/>
      <c r="AS292" s="1298"/>
      <c r="AT292" s="1298"/>
      <c r="AU292" s="1298"/>
      <c r="AV292" s="1298"/>
      <c r="AW292" s="1298"/>
      <c r="AX292" s="1297"/>
      <c r="AY292" s="368">
        <f ca="1">AY278</f>
        <v>2.3668199999999997</v>
      </c>
      <c r="AZ292" s="368"/>
      <c r="BA292" s="368">
        <f t="shared" ca="1" si="99"/>
        <v>14.091612362999999</v>
      </c>
      <c r="BB292" s="368">
        <f t="shared" ca="1" si="99"/>
        <v>20.064265232180411</v>
      </c>
      <c r="BC292" s="368">
        <f t="shared" ca="1" si="99"/>
        <v>28.249080569317663</v>
      </c>
      <c r="BD292" s="368">
        <f t="shared" ca="1" si="99"/>
        <v>37.448347295363597</v>
      </c>
      <c r="BE292" s="368">
        <f t="shared" ca="1" si="99"/>
        <v>44.542199023321331</v>
      </c>
      <c r="BF292" s="368">
        <f t="shared" ca="1" si="99"/>
        <v>57.224138138960534</v>
      </c>
      <c r="BG292" s="368">
        <f t="shared" ca="1" si="99"/>
        <v>63.627974159380635</v>
      </c>
      <c r="BH292" s="368">
        <f t="shared" ca="1" si="99"/>
        <v>77.413159434842669</v>
      </c>
      <c r="BI292" s="368">
        <f t="shared" ca="1" si="99"/>
        <v>97.952342914769488</v>
      </c>
      <c r="BJ292" s="1287"/>
    </row>
    <row r="293" spans="1:62">
      <c r="B293" s="1284"/>
      <c r="C293" s="1296"/>
      <c r="D293" s="1299" t="s">
        <v>103</v>
      </c>
      <c r="E293" s="1297"/>
      <c r="F293" s="1298"/>
      <c r="G293" s="1298"/>
      <c r="H293" s="1298"/>
      <c r="I293" s="1298"/>
      <c r="J293" s="1298"/>
      <c r="K293" s="1298"/>
      <c r="L293" s="1298"/>
      <c r="M293" s="1298"/>
      <c r="N293" s="1298"/>
      <c r="O293" s="1298"/>
      <c r="P293" s="1298"/>
      <c r="Q293" s="1298"/>
      <c r="R293" s="1298"/>
      <c r="S293" s="1298"/>
      <c r="T293" s="1298"/>
      <c r="U293" s="1298"/>
      <c r="V293" s="1298"/>
      <c r="W293" s="1298"/>
      <c r="X293" s="1298"/>
      <c r="Y293" s="1298"/>
      <c r="Z293" s="1298"/>
      <c r="AA293" s="1298"/>
      <c r="AB293" s="1298"/>
      <c r="AC293" s="1298"/>
      <c r="AD293" s="1298"/>
      <c r="AE293" s="1298"/>
      <c r="AF293" s="1298"/>
      <c r="AG293" s="1298"/>
      <c r="AH293" s="1298"/>
      <c r="AI293" s="1298"/>
      <c r="AJ293" s="1298"/>
      <c r="AK293" s="1298"/>
      <c r="AL293" s="1298"/>
      <c r="AM293" s="1298"/>
      <c r="AN293" s="1298"/>
      <c r="AO293" s="1298"/>
      <c r="AP293" s="1298"/>
      <c r="AQ293" s="1298"/>
      <c r="AR293" s="1298"/>
      <c r="AS293" s="1298"/>
      <c r="AT293" s="1298"/>
      <c r="AU293" s="1298"/>
      <c r="AV293" s="1298"/>
      <c r="AW293" s="1298"/>
      <c r="AX293" s="1297"/>
      <c r="AY293" s="368">
        <f ca="1">SUM(AY287:AY292)</f>
        <v>595.68681516482502</v>
      </c>
      <c r="AZ293" s="368"/>
      <c r="BA293" s="368">
        <f t="shared" ref="BA293:BI293" ca="1" si="100">SUM(BA287:BA292)</f>
        <v>798.39296177664801</v>
      </c>
      <c r="BB293" s="368">
        <f t="shared" ca="1" si="100"/>
        <v>1142.8498773739643</v>
      </c>
      <c r="BC293" s="368">
        <f t="shared" ca="1" si="100"/>
        <v>1640.0251055308779</v>
      </c>
      <c r="BD293" s="368">
        <f t="shared" ca="1" si="100"/>
        <v>2290.662235710573</v>
      </c>
      <c r="BE293" s="368">
        <f t="shared" ca="1" si="100"/>
        <v>3170.4883780648101</v>
      </c>
      <c r="BF293" s="368">
        <f t="shared" ca="1" si="100"/>
        <v>3970.4133793283249</v>
      </c>
      <c r="BG293" s="368">
        <f t="shared" ca="1" si="100"/>
        <v>4914.3042732371441</v>
      </c>
      <c r="BH293" s="368">
        <f t="shared" ca="1" si="100"/>
        <v>5747.558611486088</v>
      </c>
      <c r="BI293" s="368">
        <f t="shared" ca="1" si="100"/>
        <v>6680.5573002001374</v>
      </c>
      <c r="BJ293" s="1287"/>
    </row>
    <row r="294" spans="1:62" s="3020" customFormat="1">
      <c r="A294" s="3012"/>
      <c r="B294" s="3013"/>
      <c r="C294" s="3014"/>
      <c r="D294" s="3015"/>
      <c r="E294" s="3016"/>
      <c r="F294" s="3017"/>
      <c r="G294" s="3017"/>
      <c r="H294" s="3017"/>
      <c r="I294" s="3017"/>
      <c r="J294" s="3017"/>
      <c r="K294" s="3017"/>
      <c r="L294" s="3017"/>
      <c r="M294" s="3017"/>
      <c r="N294" s="3017"/>
      <c r="O294" s="3017"/>
      <c r="P294" s="3017"/>
      <c r="Q294" s="3017"/>
      <c r="R294" s="3017"/>
      <c r="S294" s="3017"/>
      <c r="T294" s="3017"/>
      <c r="U294" s="3017"/>
      <c r="V294" s="3017"/>
      <c r="W294" s="3017"/>
      <c r="X294" s="3017"/>
      <c r="Y294" s="3017"/>
      <c r="Z294" s="3017"/>
      <c r="AA294" s="3017"/>
      <c r="AB294" s="3017"/>
      <c r="AC294" s="3017"/>
      <c r="AD294" s="3017"/>
      <c r="AE294" s="3017"/>
      <c r="AF294" s="3017"/>
      <c r="AG294" s="3017"/>
      <c r="AH294" s="3017"/>
      <c r="AI294" s="3017"/>
      <c r="AJ294" s="3017"/>
      <c r="AK294" s="3017"/>
      <c r="AL294" s="3017"/>
      <c r="AM294" s="3017"/>
      <c r="AN294" s="3017"/>
      <c r="AO294" s="3017"/>
      <c r="AP294" s="3017"/>
      <c r="AQ294" s="3017"/>
      <c r="AR294" s="3017"/>
      <c r="AS294" s="3017"/>
      <c r="AT294" s="3017"/>
      <c r="AU294" s="3017"/>
      <c r="AV294" s="3017"/>
      <c r="AW294" s="3017"/>
      <c r="AX294" s="3016"/>
      <c r="AY294" s="3018"/>
      <c r="AZ294" s="3018"/>
      <c r="BA294" s="3018"/>
      <c r="BB294" s="3018"/>
      <c r="BC294" s="3018"/>
      <c r="BD294" s="3018"/>
      <c r="BE294" s="3018"/>
      <c r="BF294" s="3018"/>
      <c r="BG294" s="3018"/>
      <c r="BH294" s="3018"/>
      <c r="BI294" s="3019"/>
    </row>
    <row r="295" spans="1:62" s="3020" customFormat="1">
      <c r="A295" s="3012"/>
      <c r="B295" s="3013"/>
    </row>
    <row r="296" spans="1:62" s="3020" customFormat="1">
      <c r="A296" s="3012"/>
      <c r="B296" s="3013"/>
    </row>
    <row r="297" spans="1:62" s="3020" customFormat="1">
      <c r="A297" s="3012"/>
    </row>
    <row r="298" spans="1:62" s="3022" customFormat="1">
      <c r="A298" s="3012"/>
      <c r="B298" s="3021" t="s">
        <v>281</v>
      </c>
    </row>
    <row r="299" spans="1:62" s="3024" customFormat="1">
      <c r="A299" s="3012"/>
      <c r="B299" s="3023"/>
    </row>
    <row r="300" spans="1:62" s="3024" customFormat="1">
      <c r="A300" s="3012"/>
      <c r="B300" s="3023"/>
      <c r="C300" s="1242" t="s">
        <v>60</v>
      </c>
      <c r="D300" s="1242" t="str">
        <f>INDEX(Workstreams[Workstream], MATCH($C300, Workstreams[Code], 0))</f>
        <v>Hydrocarbon fuel power generation</v>
      </c>
      <c r="E300" s="1242"/>
      <c r="AY300" s="3031">
        <f t="shared" ref="AY300:AY308" ca="1" si="101">SUMIFS(INDIRECT("'"&amp;AY$175&amp;"'!Year.EmissionsBySector"), INDIRECT("'"&amp;AY$175&amp;"'!Year.Modules"),$C300)</f>
        <v>595.06618519645599</v>
      </c>
      <c r="BA300" s="3031">
        <f t="shared" ref="BA300:BI308" ca="1" si="102">SUMIFS(INDIRECT("'"&amp;BA$175&amp;"'!Year.EmissionsBySector"), INDIRECT("'"&amp;BA$175&amp;"'!Year.Modules"),$C300)</f>
        <v>786.58498080937272</v>
      </c>
      <c r="BB300" s="3031">
        <f t="shared" ca="1" si="102"/>
        <v>1087.8432043865573</v>
      </c>
      <c r="BC300" s="3031">
        <f t="shared" ca="1" si="102"/>
        <v>1606.8342870120703</v>
      </c>
      <c r="BD300" s="3031">
        <f t="shared" ca="1" si="102"/>
        <v>2280.6290028913718</v>
      </c>
      <c r="BE300" s="3031">
        <f t="shared" ca="1" si="102"/>
        <v>3196.8110175540182</v>
      </c>
      <c r="BF300" s="3031">
        <f t="shared" ca="1" si="102"/>
        <v>4021.5588263312093</v>
      </c>
      <c r="BG300" s="3031">
        <f t="shared" ca="1" si="102"/>
        <v>4974.5893139179325</v>
      </c>
      <c r="BH300" s="3031">
        <f t="shared" ca="1" si="102"/>
        <v>5849.210459291693</v>
      </c>
      <c r="BI300" s="3031">
        <f t="shared" ca="1" si="102"/>
        <v>6837.1101374826903</v>
      </c>
    </row>
    <row r="301" spans="1:62" s="3028" customFormat="1" ht="13.5" customHeight="1">
      <c r="A301" s="3025"/>
      <c r="B301" s="3026"/>
      <c r="C301" s="3027" t="s">
        <v>195</v>
      </c>
      <c r="D301" s="3027" t="str">
        <f>INDEX(Workstreams[Workstream], MATCH($C301, Workstreams[Code], 0))</f>
        <v>Buildings</v>
      </c>
      <c r="E301" s="3027"/>
      <c r="G301" s="3029"/>
      <c r="H301" s="3030"/>
      <c r="I301" s="3030"/>
      <c r="J301" s="3030"/>
      <c r="K301" s="3030"/>
      <c r="L301" s="3030"/>
      <c r="M301" s="3030"/>
      <c r="N301" s="3030"/>
      <c r="O301" s="3030"/>
      <c r="P301" s="3030"/>
      <c r="Q301" s="3030"/>
      <c r="R301" s="3030"/>
      <c r="S301" s="3030"/>
      <c r="T301" s="3030"/>
      <c r="U301" s="3030"/>
      <c r="V301" s="3030"/>
      <c r="W301" s="3030"/>
      <c r="X301" s="3030"/>
      <c r="Y301" s="3030"/>
      <c r="Z301" s="3030"/>
      <c r="AA301" s="3030"/>
      <c r="AB301" s="3030"/>
      <c r="AC301" s="3030"/>
      <c r="AD301" s="3030"/>
      <c r="AE301" s="3030"/>
      <c r="AF301" s="3030"/>
      <c r="AG301" s="3030"/>
      <c r="AH301" s="3030"/>
      <c r="AI301" s="3030"/>
      <c r="AJ301" s="3030"/>
      <c r="AK301" s="3030"/>
      <c r="AL301" s="3030"/>
      <c r="AM301" s="3030"/>
      <c r="AN301" s="3030"/>
      <c r="AO301" s="3030"/>
      <c r="AP301" s="3030"/>
      <c r="AQ301" s="3030"/>
      <c r="AR301" s="3030"/>
      <c r="AS301" s="3030"/>
      <c r="AT301" s="3030"/>
      <c r="AU301" s="3030"/>
      <c r="AV301" s="3030"/>
      <c r="AW301" s="3030"/>
      <c r="AX301" s="1333"/>
      <c r="AY301" s="3031">
        <f t="shared" ca="1" si="101"/>
        <v>0</v>
      </c>
      <c r="BA301" s="3031">
        <f t="shared" ca="1" si="102"/>
        <v>0</v>
      </c>
      <c r="BB301" s="3031">
        <f t="shared" ca="1" si="102"/>
        <v>0</v>
      </c>
      <c r="BC301" s="3031">
        <f t="shared" ca="1" si="102"/>
        <v>0</v>
      </c>
      <c r="BD301" s="3031">
        <f t="shared" ca="1" si="102"/>
        <v>0</v>
      </c>
      <c r="BE301" s="3031">
        <f t="shared" ca="1" si="102"/>
        <v>0</v>
      </c>
      <c r="BF301" s="3031">
        <f t="shared" ca="1" si="102"/>
        <v>0</v>
      </c>
      <c r="BG301" s="3031">
        <f t="shared" ca="1" si="102"/>
        <v>0</v>
      </c>
      <c r="BH301" s="3031">
        <f t="shared" ca="1" si="102"/>
        <v>0</v>
      </c>
      <c r="BI301" s="3031">
        <f t="shared" ca="1" si="102"/>
        <v>0</v>
      </c>
    </row>
    <row r="302" spans="1:62" s="3028" customFormat="1" ht="13.5" customHeight="1">
      <c r="A302" s="3025"/>
      <c r="B302" s="3026"/>
      <c r="C302" s="3027" t="s">
        <v>196</v>
      </c>
      <c r="D302" s="3027" t="str">
        <f>INDEX(Workstreams[Workstream], MATCH($C302, Workstreams[Code], 0))</f>
        <v>Lighting and appliances</v>
      </c>
      <c r="E302" s="3027"/>
      <c r="G302" s="3029"/>
      <c r="H302" s="3030"/>
      <c r="I302" s="3030"/>
      <c r="J302" s="3030"/>
      <c r="K302" s="3030"/>
      <c r="L302" s="3030"/>
      <c r="M302" s="3030"/>
      <c r="N302" s="3030"/>
      <c r="O302" s="3030"/>
      <c r="P302" s="3030"/>
      <c r="Q302" s="3030"/>
      <c r="R302" s="3030"/>
      <c r="S302" s="3030"/>
      <c r="T302" s="3030"/>
      <c r="U302" s="3030"/>
      <c r="V302" s="3030"/>
      <c r="W302" s="3030"/>
      <c r="X302" s="3030"/>
      <c r="Y302" s="3030"/>
      <c r="Z302" s="3030"/>
      <c r="AA302" s="3030"/>
      <c r="AB302" s="3030"/>
      <c r="AC302" s="3030"/>
      <c r="AD302" s="3030"/>
      <c r="AE302" s="3030"/>
      <c r="AF302" s="3030"/>
      <c r="AG302" s="3030"/>
      <c r="AH302" s="3030"/>
      <c r="AI302" s="3030"/>
      <c r="AJ302" s="3030"/>
      <c r="AK302" s="3030"/>
      <c r="AL302" s="3030"/>
      <c r="AM302" s="3030"/>
      <c r="AN302" s="3030"/>
      <c r="AO302" s="3030"/>
      <c r="AP302" s="3030"/>
      <c r="AQ302" s="3030"/>
      <c r="AR302" s="3030"/>
      <c r="AS302" s="3030"/>
      <c r="AT302" s="3030"/>
      <c r="AU302" s="3030"/>
      <c r="AV302" s="3030"/>
      <c r="AW302" s="3030"/>
      <c r="AX302" s="1333"/>
      <c r="AY302" s="3031">
        <f t="shared" ca="1" si="101"/>
        <v>1.9940071140643392</v>
      </c>
      <c r="BA302" s="3031">
        <f t="shared" ca="1" si="102"/>
        <v>1.8329576632390179</v>
      </c>
      <c r="BB302" s="3031">
        <f t="shared" ca="1" si="102"/>
        <v>1.5593969490007227</v>
      </c>
      <c r="BC302" s="3031">
        <f t="shared" ca="1" si="102"/>
        <v>1.2520757241189449</v>
      </c>
      <c r="BD302" s="3031">
        <f t="shared" ca="1" si="102"/>
        <v>0.89960387313435453</v>
      </c>
      <c r="BE302" s="3031">
        <f t="shared" ca="1" si="102"/>
        <v>0.51206817193927345</v>
      </c>
      <c r="BF302" s="3031">
        <f t="shared" ca="1" si="102"/>
        <v>0.41076728618570002</v>
      </c>
      <c r="BG302" s="3031">
        <f t="shared" ca="1" si="102"/>
        <v>0.28960362076092644</v>
      </c>
      <c r="BH302" s="3031">
        <f t="shared" ca="1" si="102"/>
        <v>0.15320843556214719</v>
      </c>
      <c r="BI302" s="3031">
        <f t="shared" ca="1" si="102"/>
        <v>0</v>
      </c>
    </row>
    <row r="303" spans="1:62" s="3028" customFormat="1" ht="13.5" customHeight="1">
      <c r="A303" s="3025"/>
      <c r="B303" s="3026"/>
      <c r="C303" s="3027" t="s">
        <v>197</v>
      </c>
      <c r="D303" s="3027" t="str">
        <f>INDEX(Workstreams[Workstream], MATCH($C303, Workstreams[Code], 0))</f>
        <v>Industry</v>
      </c>
      <c r="E303" s="3027"/>
      <c r="G303" s="3029"/>
      <c r="H303" s="3030"/>
      <c r="I303" s="3030"/>
      <c r="J303" s="3030"/>
      <c r="K303" s="3030"/>
      <c r="L303" s="3030"/>
      <c r="M303" s="3030"/>
      <c r="N303" s="3030"/>
      <c r="O303" s="3030"/>
      <c r="P303" s="3030"/>
      <c r="Q303" s="3030"/>
      <c r="R303" s="3030"/>
      <c r="S303" s="3030"/>
      <c r="T303" s="3030"/>
      <c r="U303" s="3030"/>
      <c r="V303" s="3030"/>
      <c r="W303" s="3030"/>
      <c r="X303" s="3030"/>
      <c r="Y303" s="3030"/>
      <c r="Z303" s="3030"/>
      <c r="AA303" s="3030"/>
      <c r="AB303" s="3030"/>
      <c r="AC303" s="3030"/>
      <c r="AD303" s="3030"/>
      <c r="AE303" s="3030"/>
      <c r="AF303" s="3030"/>
      <c r="AG303" s="3030"/>
      <c r="AH303" s="3030"/>
      <c r="AI303" s="3030"/>
      <c r="AJ303" s="3030"/>
      <c r="AK303" s="3030"/>
      <c r="AL303" s="3030"/>
      <c r="AM303" s="3030"/>
      <c r="AN303" s="3030"/>
      <c r="AO303" s="3030"/>
      <c r="AP303" s="3030"/>
      <c r="AQ303" s="3030"/>
      <c r="AR303" s="3030"/>
      <c r="AS303" s="3030"/>
      <c r="AT303" s="3030"/>
      <c r="AU303" s="3030"/>
      <c r="AV303" s="3030"/>
      <c r="AW303" s="3030"/>
      <c r="AX303" s="1333"/>
      <c r="AY303" s="3031">
        <f t="shared" ca="1" si="101"/>
        <v>656.32859095817719</v>
      </c>
      <c r="BA303" s="3031">
        <f t="shared" ca="1" si="102"/>
        <v>979.12998115429286</v>
      </c>
      <c r="BB303" s="3031">
        <f t="shared" ca="1" si="102"/>
        <v>1345.4936987492497</v>
      </c>
      <c r="BC303" s="3031">
        <f t="shared" ca="1" si="102"/>
        <v>1924.2235281328119</v>
      </c>
      <c r="BD303" s="3031">
        <f t="shared" ca="1" si="102"/>
        <v>2584.2470908653481</v>
      </c>
      <c r="BE303" s="3031">
        <f t="shared" ca="1" si="102"/>
        <v>3317.3344442972589</v>
      </c>
      <c r="BF303" s="3031">
        <f t="shared" ca="1" si="102"/>
        <v>4101.1617703764796</v>
      </c>
      <c r="BG303" s="3031">
        <f t="shared" ca="1" si="102"/>
        <v>4844.097183367986</v>
      </c>
      <c r="BH303" s="3031">
        <f t="shared" ca="1" si="102"/>
        <v>5519.430879030032</v>
      </c>
      <c r="BI303" s="3031">
        <f t="shared" ca="1" si="102"/>
        <v>6202.7146584073007</v>
      </c>
    </row>
    <row r="304" spans="1:62" s="3028" customFormat="1" ht="13.5" customHeight="1">
      <c r="A304" s="3025"/>
      <c r="B304" s="3026"/>
      <c r="C304" s="3027" t="s">
        <v>198</v>
      </c>
      <c r="D304" s="3027" t="str">
        <f>INDEX(Workstreams[Workstream], MATCH($C304, Workstreams[Code], 0))</f>
        <v>Transport</v>
      </c>
      <c r="E304" s="3027"/>
      <c r="G304" s="3029"/>
      <c r="H304" s="3030"/>
      <c r="I304" s="3030"/>
      <c r="J304" s="3030"/>
      <c r="K304" s="3030"/>
      <c r="L304" s="3030"/>
      <c r="M304" s="3030"/>
      <c r="N304" s="3030"/>
      <c r="O304" s="3030"/>
      <c r="P304" s="3030"/>
      <c r="Q304" s="3030"/>
      <c r="R304" s="3030"/>
      <c r="S304" s="3030"/>
      <c r="T304" s="3030"/>
      <c r="U304" s="3030"/>
      <c r="V304" s="3030"/>
      <c r="W304" s="3030"/>
      <c r="X304" s="3030"/>
      <c r="Y304" s="3030"/>
      <c r="Z304" s="3030"/>
      <c r="AA304" s="3030"/>
      <c r="AB304" s="3030"/>
      <c r="AC304" s="3030"/>
      <c r="AD304" s="3030"/>
      <c r="AE304" s="3030"/>
      <c r="AF304" s="3030"/>
      <c r="AG304" s="3030"/>
      <c r="AH304" s="3030"/>
      <c r="AI304" s="3030"/>
      <c r="AJ304" s="3030"/>
      <c r="AK304" s="3030"/>
      <c r="AL304" s="3030"/>
      <c r="AM304" s="3030"/>
      <c r="AN304" s="3030"/>
      <c r="AO304" s="3030"/>
      <c r="AP304" s="3030"/>
      <c r="AQ304" s="3030"/>
      <c r="AR304" s="3030"/>
      <c r="AS304" s="3030"/>
      <c r="AT304" s="3030"/>
      <c r="AU304" s="3030"/>
      <c r="AV304" s="3030"/>
      <c r="AW304" s="3030"/>
      <c r="AX304" s="1333"/>
      <c r="AY304" s="3031">
        <f t="shared" ca="1" si="101"/>
        <v>221.70597052391258</v>
      </c>
      <c r="BA304" s="3031">
        <f t="shared" ca="1" si="102"/>
        <v>221.70597052391261</v>
      </c>
      <c r="BB304" s="3031">
        <f t="shared" ca="1" si="102"/>
        <v>332.72341446359428</v>
      </c>
      <c r="BC304" s="3031">
        <f t="shared" ca="1" si="102"/>
        <v>477.73809644813332</v>
      </c>
      <c r="BD304" s="3031">
        <f t="shared" ca="1" si="102"/>
        <v>649.49680855388033</v>
      </c>
      <c r="BE304" s="3031">
        <f t="shared" ca="1" si="102"/>
        <v>860.97101632540114</v>
      </c>
      <c r="BF304" s="3031">
        <f t="shared" ca="1" si="102"/>
        <v>1104.8989516151646</v>
      </c>
      <c r="BG304" s="3031">
        <f t="shared" ca="1" si="102"/>
        <v>1338.419311507872</v>
      </c>
      <c r="BH304" s="3031">
        <f t="shared" ca="1" si="102"/>
        <v>1594.8309940816716</v>
      </c>
      <c r="BI304" s="3031">
        <f t="shared" ca="1" si="102"/>
        <v>1853.5938094630712</v>
      </c>
    </row>
    <row r="305" spans="1:61" s="3028" customFormat="1" ht="13.5" customHeight="1">
      <c r="A305" s="3025"/>
      <c r="B305" s="3026"/>
      <c r="C305" s="3027" t="s">
        <v>199</v>
      </c>
      <c r="D305" s="3027" t="str">
        <f>INDEX(Workstreams[Workstream], MATCH($C305, Workstreams[Code], 0))</f>
        <v>Cooking</v>
      </c>
      <c r="E305" s="3027"/>
      <c r="G305" s="3029"/>
      <c r="H305" s="3030"/>
      <c r="I305" s="3030"/>
      <c r="J305" s="3030"/>
      <c r="K305" s="3030"/>
      <c r="L305" s="3030"/>
      <c r="M305" s="3030"/>
      <c r="N305" s="3030"/>
      <c r="O305" s="3030"/>
      <c r="P305" s="3030"/>
      <c r="Q305" s="3030"/>
      <c r="R305" s="3030"/>
      <c r="S305" s="3030"/>
      <c r="T305" s="3030"/>
      <c r="U305" s="3030"/>
      <c r="V305" s="3030"/>
      <c r="W305" s="3030"/>
      <c r="X305" s="3030"/>
      <c r="Y305" s="3030"/>
      <c r="Z305" s="3030"/>
      <c r="AA305" s="3030"/>
      <c r="AB305" s="3030"/>
      <c r="AC305" s="3030"/>
      <c r="AD305" s="3030"/>
      <c r="AE305" s="3030"/>
      <c r="AF305" s="3030"/>
      <c r="AG305" s="3030"/>
      <c r="AH305" s="3030"/>
      <c r="AI305" s="3030"/>
      <c r="AJ305" s="3030"/>
      <c r="AK305" s="3030"/>
      <c r="AL305" s="3030"/>
      <c r="AM305" s="3030"/>
      <c r="AN305" s="3030"/>
      <c r="AO305" s="3030"/>
      <c r="AP305" s="3030"/>
      <c r="AQ305" s="3030"/>
      <c r="AR305" s="3030"/>
      <c r="AS305" s="3030"/>
      <c r="AT305" s="3030"/>
      <c r="AU305" s="3030"/>
      <c r="AV305" s="3030"/>
      <c r="AW305" s="3030"/>
      <c r="AX305" s="1333"/>
      <c r="AY305" s="3031">
        <f t="shared" ca="1" si="101"/>
        <v>10.704467295035755</v>
      </c>
      <c r="BA305" s="3031">
        <f t="shared" ca="1" si="102"/>
        <v>16.260888821331829</v>
      </c>
      <c r="BB305" s="3031">
        <f t="shared" ca="1" si="102"/>
        <v>24.239503543901211</v>
      </c>
      <c r="BC305" s="3031">
        <f t="shared" ca="1" si="102"/>
        <v>35.933460950189563</v>
      </c>
      <c r="BD305" s="3031">
        <f t="shared" ca="1" si="102"/>
        <v>52.751366453469238</v>
      </c>
      <c r="BE305" s="3031">
        <f t="shared" ca="1" si="102"/>
        <v>195.39740644307</v>
      </c>
      <c r="BF305" s="3031">
        <f t="shared" ca="1" si="102"/>
        <v>103.07922847908272</v>
      </c>
      <c r="BG305" s="3031">
        <f t="shared" ca="1" si="102"/>
        <v>137.80633413788036</v>
      </c>
      <c r="BH305" s="3031">
        <f t="shared" ca="1" si="102"/>
        <v>184.23361666422136</v>
      </c>
      <c r="BI305" s="3031">
        <f t="shared" ca="1" si="102"/>
        <v>246.3033097633579</v>
      </c>
    </row>
    <row r="306" spans="1:61" s="3028" customFormat="1" ht="13.5" customHeight="1">
      <c r="A306" s="3025"/>
      <c r="B306" s="3026"/>
      <c r="C306" s="3027" t="s">
        <v>194</v>
      </c>
      <c r="D306" s="3027" t="str">
        <f>INDEX(Workstreams[Workstream], MATCH($C306, Workstreams[Code], 0))</f>
        <v>Agriculture</v>
      </c>
      <c r="E306" s="3027"/>
      <c r="G306" s="3029"/>
      <c r="H306" s="3030"/>
      <c r="I306" s="3030"/>
      <c r="J306" s="3030"/>
      <c r="K306" s="3030"/>
      <c r="L306" s="3030"/>
      <c r="M306" s="3030"/>
      <c r="N306" s="3030"/>
      <c r="O306" s="3030"/>
      <c r="P306" s="3030"/>
      <c r="Q306" s="3030"/>
      <c r="R306" s="3030"/>
      <c r="S306" s="3030"/>
      <c r="T306" s="3030"/>
      <c r="U306" s="3030"/>
      <c r="V306" s="3030"/>
      <c r="W306" s="3030"/>
      <c r="X306" s="3030"/>
      <c r="Y306" s="3030"/>
      <c r="Z306" s="3030"/>
      <c r="AA306" s="3030"/>
      <c r="AB306" s="3030"/>
      <c r="AC306" s="3030"/>
      <c r="AD306" s="3030"/>
      <c r="AE306" s="3030"/>
      <c r="AF306" s="3030"/>
      <c r="AG306" s="3030"/>
      <c r="AH306" s="3030"/>
      <c r="AI306" s="3030"/>
      <c r="AJ306" s="3030"/>
      <c r="AK306" s="3030"/>
      <c r="AL306" s="3030"/>
      <c r="AM306" s="3030"/>
      <c r="AN306" s="3030"/>
      <c r="AO306" s="3030"/>
      <c r="AP306" s="3030"/>
      <c r="AQ306" s="3030"/>
      <c r="AR306" s="3030"/>
      <c r="AS306" s="3030"/>
      <c r="AT306" s="3030"/>
      <c r="AU306" s="3030"/>
      <c r="AV306" s="3030"/>
      <c r="AW306" s="3030"/>
      <c r="AX306" s="1333"/>
      <c r="AY306" s="3031">
        <f t="shared" ca="1" si="101"/>
        <v>20.879036754401042</v>
      </c>
      <c r="BA306" s="3031">
        <f t="shared" ca="1" si="102"/>
        <v>27.03601947205911</v>
      </c>
      <c r="BB306" s="3031">
        <f t="shared" ca="1" si="102"/>
        <v>37.21072446431117</v>
      </c>
      <c r="BC306" s="3031">
        <f t="shared" ca="1" si="102"/>
        <v>50.995495766927469</v>
      </c>
      <c r="BD306" s="3031">
        <f t="shared" ca="1" si="102"/>
        <v>68.186469248991159</v>
      </c>
      <c r="BE306" s="3031">
        <f t="shared" ca="1" si="102"/>
        <v>85.704909681985981</v>
      </c>
      <c r="BF306" s="3031">
        <f t="shared" ca="1" si="102"/>
        <v>91.587093210349664</v>
      </c>
      <c r="BG306" s="3031">
        <f t="shared" ca="1" si="102"/>
        <v>98.698794368998193</v>
      </c>
      <c r="BH306" s="3031">
        <f t="shared" ca="1" si="102"/>
        <v>103.819221533879</v>
      </c>
      <c r="BI306" s="3031">
        <f t="shared" ca="1" si="102"/>
        <v>109.56385666370986</v>
      </c>
    </row>
    <row r="307" spans="1:61" s="3028" customFormat="1" ht="13.5" customHeight="1">
      <c r="A307" s="3025"/>
      <c r="B307" s="3026"/>
      <c r="C307" s="3027" t="s">
        <v>330</v>
      </c>
      <c r="D307" s="3027" t="str">
        <f>INDEX(Workstreams[Workstream], MATCH($C307, Workstreams[Code], 0))</f>
        <v>Telecom</v>
      </c>
      <c r="E307" s="3027"/>
      <c r="G307" s="3029"/>
      <c r="H307" s="3030"/>
      <c r="I307" s="3030"/>
      <c r="J307" s="3030"/>
      <c r="K307" s="3030"/>
      <c r="L307" s="3030"/>
      <c r="M307" s="3030"/>
      <c r="N307" s="3030"/>
      <c r="O307" s="3030"/>
      <c r="P307" s="3030"/>
      <c r="Q307" s="3030"/>
      <c r="R307" s="3030"/>
      <c r="S307" s="3030"/>
      <c r="T307" s="3030"/>
      <c r="U307" s="3030"/>
      <c r="V307" s="3030"/>
      <c r="W307" s="3030"/>
      <c r="X307" s="3030"/>
      <c r="Y307" s="3030"/>
      <c r="Z307" s="3030"/>
      <c r="AA307" s="3030"/>
      <c r="AB307" s="3030"/>
      <c r="AC307" s="3030"/>
      <c r="AD307" s="3030"/>
      <c r="AE307" s="3030"/>
      <c r="AF307" s="3030"/>
      <c r="AG307" s="3030"/>
      <c r="AH307" s="3030"/>
      <c r="AI307" s="3030"/>
      <c r="AJ307" s="3030"/>
      <c r="AK307" s="3030"/>
      <c r="AL307" s="3030"/>
      <c r="AM307" s="3030"/>
      <c r="AN307" s="3030"/>
      <c r="AO307" s="3030"/>
      <c r="AP307" s="3030"/>
      <c r="AQ307" s="3030"/>
      <c r="AR307" s="3030"/>
      <c r="AS307" s="3030"/>
      <c r="AT307" s="3030"/>
      <c r="AU307" s="3030"/>
      <c r="AV307" s="3030"/>
      <c r="AW307" s="3030"/>
      <c r="AX307" s="1333"/>
      <c r="AY307" s="3031">
        <f t="shared" ca="1" si="101"/>
        <v>3.0726872469131559</v>
      </c>
      <c r="BA307" s="3031">
        <f t="shared" ca="1" si="102"/>
        <v>18.29421654212566</v>
      </c>
      <c r="BB307" s="3031">
        <f t="shared" ca="1" si="102"/>
        <v>21.177514905456842</v>
      </c>
      <c r="BC307" s="3031">
        <f t="shared" ca="1" si="102"/>
        <v>25.074678438244892</v>
      </c>
      <c r="BD307" s="3031">
        <f t="shared" ca="1" si="102"/>
        <v>32.320342968977968</v>
      </c>
      <c r="BE307" s="3031">
        <f t="shared" ca="1" si="102"/>
        <v>36.462928193339295</v>
      </c>
      <c r="BF307" s="3031">
        <f t="shared" ca="1" si="102"/>
        <v>35.469500008939789</v>
      </c>
      <c r="BG307" s="3031">
        <f t="shared" ca="1" si="102"/>
        <v>36.23072660274935</v>
      </c>
      <c r="BH307" s="3031">
        <f t="shared" ca="1" si="102"/>
        <v>41.661688969135909</v>
      </c>
      <c r="BI307" s="3031">
        <f t="shared" ca="1" si="102"/>
        <v>52.715327395312691</v>
      </c>
    </row>
    <row r="308" spans="1:61" s="3028" customFormat="1" ht="13.5" customHeight="1">
      <c r="A308" s="3025"/>
      <c r="B308" s="3026"/>
      <c r="C308" s="3027" t="s">
        <v>190</v>
      </c>
      <c r="D308" s="3027" t="s">
        <v>492</v>
      </c>
      <c r="E308" s="3027"/>
      <c r="G308" s="3029"/>
      <c r="H308" s="3030"/>
      <c r="I308" s="3030"/>
      <c r="J308" s="3030"/>
      <c r="K308" s="3030"/>
      <c r="L308" s="3030"/>
      <c r="M308" s="3030"/>
      <c r="N308" s="3030"/>
      <c r="O308" s="3030"/>
      <c r="P308" s="3030"/>
      <c r="Q308" s="3030"/>
      <c r="R308" s="3030"/>
      <c r="S308" s="3030"/>
      <c r="T308" s="3030"/>
      <c r="U308" s="3030"/>
      <c r="V308" s="3030"/>
      <c r="W308" s="3030"/>
      <c r="X308" s="3030"/>
      <c r="Y308" s="3030"/>
      <c r="Z308" s="3030"/>
      <c r="AA308" s="3030"/>
      <c r="AB308" s="3030"/>
      <c r="AC308" s="3030"/>
      <c r="AD308" s="3030"/>
      <c r="AE308" s="3030"/>
      <c r="AF308" s="3030"/>
      <c r="AG308" s="3030"/>
      <c r="AH308" s="3030"/>
      <c r="AI308" s="3030"/>
      <c r="AJ308" s="3030"/>
      <c r="AK308" s="3030"/>
      <c r="AL308" s="3030"/>
      <c r="AM308" s="3030"/>
      <c r="AN308" s="3030"/>
      <c r="AO308" s="3030"/>
      <c r="AP308" s="3030"/>
      <c r="AQ308" s="3030"/>
      <c r="AR308" s="3030"/>
      <c r="AS308" s="3030"/>
      <c r="AT308" s="3030"/>
      <c r="AU308" s="3030"/>
      <c r="AV308" s="3030"/>
      <c r="AW308" s="3030"/>
      <c r="AX308" s="1333"/>
      <c r="AY308" s="3031">
        <f t="shared" ca="1" si="101"/>
        <v>-313.89366247877757</v>
      </c>
      <c r="BA308" s="3031">
        <f t="shared" ca="1" si="102"/>
        <v>-317.74488604405229</v>
      </c>
      <c r="BB308" s="3031">
        <f t="shared" ca="1" si="102"/>
        <v>-316.49941332858305</v>
      </c>
      <c r="BC308" s="3031">
        <f t="shared" ca="1" si="102"/>
        <v>-315.46610321588201</v>
      </c>
      <c r="BD308" s="3031">
        <f t="shared" ca="1" si="102"/>
        <v>-314.6889283958385</v>
      </c>
      <c r="BE308" s="3031">
        <f t="shared" ca="1" si="102"/>
        <v>-314.23239533992523</v>
      </c>
      <c r="BF308" s="3031">
        <f t="shared" ca="1" si="102"/>
        <v>-313.99481361351673</v>
      </c>
      <c r="BG308" s="3031">
        <f t="shared" ca="1" si="102"/>
        <v>-312.92388420747147</v>
      </c>
      <c r="BH308" s="3031">
        <f t="shared" ca="1" si="102"/>
        <v>-312.11179177995979</v>
      </c>
      <c r="BI308" s="3031">
        <f t="shared" ca="1" si="102"/>
        <v>-311.84926752683651</v>
      </c>
    </row>
    <row r="309" spans="1:61" s="3028" customFormat="1" ht="13.5" customHeight="1">
      <c r="A309" s="3025"/>
      <c r="B309" s="3026"/>
      <c r="C309" s="1333"/>
      <c r="D309" s="3027" t="s">
        <v>103</v>
      </c>
      <c r="E309" s="3027"/>
      <c r="G309" s="3027"/>
      <c r="H309" s="3032"/>
      <c r="I309" s="3032"/>
      <c r="J309" s="3032"/>
      <c r="K309" s="3032"/>
      <c r="L309" s="3032"/>
      <c r="M309" s="3032"/>
      <c r="N309" s="3032"/>
      <c r="O309" s="3032"/>
      <c r="P309" s="3032"/>
      <c r="Q309" s="3032"/>
      <c r="R309" s="3032"/>
      <c r="S309" s="3032"/>
      <c r="T309" s="3032"/>
      <c r="U309" s="3032"/>
      <c r="V309" s="3032"/>
      <c r="W309" s="3032"/>
      <c r="X309" s="3032"/>
      <c r="Y309" s="3032"/>
      <c r="Z309" s="3032"/>
      <c r="AA309" s="3032"/>
      <c r="AB309" s="3032"/>
      <c r="AC309" s="3032"/>
      <c r="AD309" s="3032"/>
      <c r="AE309" s="3032"/>
      <c r="AF309" s="3032"/>
      <c r="AG309" s="3032"/>
      <c r="AH309" s="3032"/>
      <c r="AI309" s="3032"/>
      <c r="AJ309" s="3032"/>
      <c r="AK309" s="3032"/>
      <c r="AL309" s="3032"/>
      <c r="AM309" s="3032"/>
      <c r="AN309" s="3032"/>
      <c r="AO309" s="3032"/>
      <c r="AP309" s="3032"/>
      <c r="AQ309" s="3032"/>
      <c r="AR309" s="3032"/>
      <c r="AS309" s="3032"/>
      <c r="AT309" s="3032"/>
      <c r="AU309" s="3032"/>
      <c r="AV309" s="3032"/>
      <c r="AW309" s="3032"/>
      <c r="AX309" s="1333"/>
      <c r="AY309" s="3033">
        <f ca="1">SUM(AY300:AY308)</f>
        <v>1195.8572826101824</v>
      </c>
      <c r="BA309" s="3033">
        <f t="shared" ref="BA309:BI309" ca="1" si="103">SUM(BA300:BA308)</f>
        <v>1733.1001289422811</v>
      </c>
      <c r="BB309" s="3033">
        <f t="shared" ca="1" si="103"/>
        <v>2533.7480441334883</v>
      </c>
      <c r="BC309" s="3033">
        <f t="shared" ca="1" si="103"/>
        <v>3806.5855192566141</v>
      </c>
      <c r="BD309" s="3033">
        <f t="shared" ca="1" si="103"/>
        <v>5353.8417564593346</v>
      </c>
      <c r="BE309" s="3033">
        <f t="shared" ca="1" si="103"/>
        <v>7378.9613953270873</v>
      </c>
      <c r="BF309" s="3033">
        <f t="shared" ca="1" si="103"/>
        <v>9144.171323693894</v>
      </c>
      <c r="BG309" s="3033">
        <f t="shared" ca="1" si="103"/>
        <v>11117.207383316707</v>
      </c>
      <c r="BH309" s="3033">
        <f t="shared" ca="1" si="103"/>
        <v>12981.228276226235</v>
      </c>
      <c r="BI309" s="3033">
        <f t="shared" ca="1" si="103"/>
        <v>14990.151831648607</v>
      </c>
    </row>
    <row r="310" spans="1:61" s="3020" customFormat="1">
      <c r="A310" s="3012"/>
      <c r="B310" s="3024"/>
      <c r="C310" s="3024"/>
      <c r="D310" s="3024"/>
      <c r="E310" s="3024"/>
      <c r="F310" s="3024"/>
      <c r="G310" s="3024"/>
      <c r="H310" s="3024"/>
      <c r="I310" s="3024"/>
      <c r="J310" s="3024"/>
      <c r="K310" s="3024"/>
      <c r="L310" s="3024"/>
      <c r="M310" s="3024"/>
      <c r="N310" s="3024"/>
      <c r="O310" s="3024"/>
      <c r="P310" s="3024"/>
      <c r="Q310" s="3024"/>
      <c r="R310" s="3024"/>
      <c r="S310" s="3024"/>
      <c r="T310" s="3024"/>
      <c r="U310" s="3024"/>
      <c r="V310" s="3024"/>
      <c r="W310" s="3024"/>
      <c r="X310" s="3024"/>
      <c r="Y310" s="3024"/>
      <c r="Z310" s="3024"/>
      <c r="AA310" s="3024"/>
      <c r="AB310" s="3024"/>
      <c r="AC310" s="3024"/>
      <c r="AD310" s="3024"/>
      <c r="AE310" s="3024"/>
      <c r="AF310" s="3024"/>
      <c r="AG310" s="3024"/>
      <c r="AH310" s="3024"/>
      <c r="AI310" s="3024"/>
      <c r="AJ310" s="3024"/>
      <c r="AK310" s="3024"/>
      <c r="AL310" s="3024"/>
      <c r="AM310" s="3024"/>
      <c r="AN310" s="3024"/>
      <c r="AO310" s="3024"/>
      <c r="AP310" s="3024"/>
      <c r="AQ310" s="3024"/>
      <c r="AR310" s="3024"/>
      <c r="AS310" s="3024"/>
      <c r="AT310" s="3024"/>
      <c r="AU310" s="3024"/>
      <c r="AV310" s="3024"/>
      <c r="AW310" s="3024"/>
      <c r="AX310" s="3024"/>
      <c r="AY310" s="3024"/>
      <c r="BA310" s="3024"/>
      <c r="BB310" s="3024"/>
      <c r="BC310" s="3024"/>
      <c r="BD310" s="3024"/>
      <c r="BE310" s="3024"/>
      <c r="BF310" s="3024"/>
      <c r="BG310" s="3024"/>
      <c r="BH310" s="3024"/>
      <c r="BI310" s="3024"/>
    </row>
    <row r="311" spans="1:61" s="3020" customFormat="1">
      <c r="A311" s="3012"/>
      <c r="B311" s="3024"/>
      <c r="C311" s="3024"/>
      <c r="D311" s="3024"/>
      <c r="E311" s="3024"/>
      <c r="F311" s="3024"/>
      <c r="G311" s="3024"/>
      <c r="H311" s="3024"/>
      <c r="I311" s="3024"/>
      <c r="J311" s="3024"/>
      <c r="K311" s="3024"/>
      <c r="L311" s="3024"/>
      <c r="M311" s="3024"/>
      <c r="N311" s="3024"/>
      <c r="O311" s="3024"/>
      <c r="P311" s="3024"/>
      <c r="Q311" s="3024"/>
      <c r="R311" s="3024"/>
      <c r="S311" s="3024"/>
      <c r="T311" s="3024"/>
      <c r="U311" s="3024"/>
      <c r="V311" s="3024"/>
      <c r="W311" s="3024"/>
      <c r="X311" s="3024"/>
      <c r="Y311" s="3024"/>
      <c r="Z311" s="3024"/>
      <c r="AA311" s="3024"/>
      <c r="AB311" s="3024"/>
      <c r="AC311" s="3024"/>
      <c r="AD311" s="3024"/>
      <c r="AE311" s="3024"/>
      <c r="AF311" s="3024"/>
      <c r="AG311" s="3024"/>
      <c r="AH311" s="3024"/>
      <c r="AI311" s="3024"/>
      <c r="AJ311" s="3024"/>
      <c r="AK311" s="3024"/>
      <c r="AL311" s="3024"/>
      <c r="AM311" s="3024"/>
      <c r="AN311" s="3024"/>
      <c r="AO311" s="3024"/>
      <c r="AP311" s="3024"/>
      <c r="AQ311" s="3024"/>
      <c r="AR311" s="3024"/>
      <c r="AS311" s="3024"/>
      <c r="AT311" s="3024"/>
      <c r="AU311" s="3024"/>
      <c r="AV311" s="3024"/>
      <c r="AW311" s="3024"/>
      <c r="AX311" s="3024"/>
      <c r="AY311" s="3024"/>
      <c r="BA311" s="3024"/>
      <c r="BB311" s="3024"/>
      <c r="BC311" s="3024"/>
      <c r="BD311" s="3024"/>
      <c r="BE311" s="3024"/>
      <c r="BF311" s="3024"/>
      <c r="BG311" s="3024"/>
      <c r="BH311" s="3024"/>
      <c r="BI311" s="3024"/>
    </row>
    <row r="312" spans="1:61" s="3020" customFormat="1">
      <c r="A312" s="3012"/>
      <c r="B312" s="3024"/>
      <c r="C312" s="3023" t="s">
        <v>2357</v>
      </c>
      <c r="D312" s="3024"/>
      <c r="E312" s="3024"/>
      <c r="F312" s="3024"/>
      <c r="G312" s="3024"/>
      <c r="H312" s="3024"/>
      <c r="I312" s="3024"/>
      <c r="J312" s="3024"/>
      <c r="K312" s="3024"/>
      <c r="L312" s="3024"/>
      <c r="M312" s="3024"/>
      <c r="N312" s="3024"/>
      <c r="O312" s="3024"/>
      <c r="P312" s="3024"/>
      <c r="Q312" s="3024"/>
      <c r="R312" s="3024"/>
      <c r="S312" s="3024"/>
      <c r="T312" s="3024"/>
      <c r="U312" s="3024"/>
      <c r="V312" s="3024"/>
      <c r="W312" s="3024"/>
      <c r="X312" s="3024"/>
      <c r="Y312" s="3024"/>
      <c r="Z312" s="3024"/>
      <c r="AA312" s="3024"/>
      <c r="AB312" s="3024"/>
      <c r="AC312" s="3024"/>
      <c r="AD312" s="3024"/>
      <c r="AE312" s="3024"/>
      <c r="AF312" s="3024"/>
      <c r="AG312" s="3024"/>
      <c r="AH312" s="3024"/>
      <c r="AI312" s="3024"/>
      <c r="AJ312" s="3024"/>
      <c r="AK312" s="3024"/>
      <c r="AL312" s="3024"/>
      <c r="AM312" s="3024"/>
      <c r="AN312" s="3024"/>
      <c r="AO312" s="3024"/>
      <c r="AP312" s="3024"/>
      <c r="AQ312" s="3024"/>
      <c r="AR312" s="3024"/>
      <c r="AS312" s="3024"/>
      <c r="AT312" s="3024"/>
      <c r="AU312" s="3024"/>
      <c r="AV312" s="3024"/>
      <c r="AW312" s="3024"/>
      <c r="AX312" s="3024"/>
      <c r="AY312" s="3024"/>
      <c r="BA312" s="3024"/>
      <c r="BB312" s="3024"/>
      <c r="BC312" s="3024"/>
      <c r="BD312" s="3024"/>
      <c r="BE312" s="3024"/>
      <c r="BF312" s="3024"/>
      <c r="BG312" s="3024"/>
      <c r="BH312" s="3024"/>
      <c r="BI312" s="3024"/>
    </row>
    <row r="313" spans="1:61" s="3020" customFormat="1">
      <c r="A313" s="3012"/>
      <c r="B313" s="3024"/>
      <c r="C313" s="3024"/>
      <c r="D313" s="3024"/>
      <c r="E313" s="3024"/>
      <c r="F313" s="3024"/>
      <c r="G313" s="3024"/>
      <c r="H313" s="3024"/>
      <c r="I313" s="3024"/>
      <c r="J313" s="3024"/>
      <c r="K313" s="3024"/>
      <c r="L313" s="3024"/>
      <c r="M313" s="3024"/>
      <c r="N313" s="3024"/>
      <c r="O313" s="3024"/>
      <c r="P313" s="3024"/>
      <c r="Q313" s="3024"/>
      <c r="R313" s="3024"/>
      <c r="S313" s="3024"/>
      <c r="T313" s="3024"/>
      <c r="U313" s="3024"/>
      <c r="V313" s="3024"/>
      <c r="W313" s="3024"/>
      <c r="X313" s="3024"/>
      <c r="Y313" s="3024"/>
      <c r="Z313" s="3024"/>
      <c r="AA313" s="3024"/>
      <c r="AB313" s="3024"/>
      <c r="AC313" s="3024"/>
      <c r="AD313" s="3024"/>
      <c r="AE313" s="3024"/>
      <c r="AF313" s="3024"/>
      <c r="AG313" s="3024"/>
      <c r="AH313" s="3024"/>
      <c r="AI313" s="3024"/>
      <c r="AJ313" s="3024"/>
      <c r="AK313" s="3024"/>
      <c r="AL313" s="3024"/>
      <c r="AM313" s="3024"/>
      <c r="AN313" s="3024"/>
      <c r="AO313" s="3024"/>
      <c r="AP313" s="3024"/>
      <c r="AQ313" s="3024"/>
      <c r="AR313" s="3024"/>
      <c r="AS313" s="3024"/>
      <c r="AT313" s="3024"/>
      <c r="AU313" s="3024"/>
      <c r="AV313" s="3024"/>
      <c r="AW313" s="3024"/>
      <c r="AX313" s="3024"/>
      <c r="AY313" s="3024">
        <v>2007</v>
      </c>
      <c r="BA313" s="3024">
        <f>AY313+5</f>
        <v>2012</v>
      </c>
      <c r="BB313" s="3024">
        <f t="shared" ref="BB313:BI313" si="104">BA313+5</f>
        <v>2017</v>
      </c>
      <c r="BC313" s="3024">
        <f t="shared" si="104"/>
        <v>2022</v>
      </c>
      <c r="BD313" s="3024">
        <f t="shared" si="104"/>
        <v>2027</v>
      </c>
      <c r="BE313" s="3024">
        <f t="shared" si="104"/>
        <v>2032</v>
      </c>
      <c r="BF313" s="3024">
        <f t="shared" si="104"/>
        <v>2037</v>
      </c>
      <c r="BG313" s="3024">
        <f t="shared" si="104"/>
        <v>2042</v>
      </c>
      <c r="BH313" s="3024">
        <f t="shared" si="104"/>
        <v>2047</v>
      </c>
      <c r="BI313" s="3024">
        <f t="shared" si="104"/>
        <v>2052</v>
      </c>
    </row>
    <row r="314" spans="1:61" s="3020" customFormat="1">
      <c r="A314" s="3012"/>
      <c r="B314" s="3024"/>
      <c r="C314" s="3057" t="s">
        <v>60</v>
      </c>
      <c r="D314" s="3057" t="s">
        <v>157</v>
      </c>
      <c r="E314" s="3024"/>
      <c r="F314" s="3024"/>
      <c r="G314" s="3024"/>
      <c r="H314" s="3024"/>
      <c r="I314" s="3024"/>
      <c r="J314" s="3024"/>
      <c r="K314" s="3024"/>
      <c r="L314" s="3024"/>
      <c r="M314" s="3024"/>
      <c r="N314" s="3024"/>
      <c r="O314" s="3024"/>
      <c r="P314" s="3024"/>
      <c r="Q314" s="3024"/>
      <c r="R314" s="3024"/>
      <c r="S314" s="3024"/>
      <c r="T314" s="3024"/>
      <c r="U314" s="3024"/>
      <c r="V314" s="3024"/>
      <c r="W314" s="3024"/>
      <c r="X314" s="3024"/>
      <c r="Y314" s="3024"/>
      <c r="Z314" s="3024"/>
      <c r="AA314" s="3024"/>
      <c r="AB314" s="3024"/>
      <c r="AC314" s="3024"/>
      <c r="AD314" s="3024"/>
      <c r="AE314" s="3024"/>
      <c r="AF314" s="3024"/>
      <c r="AG314" s="3024"/>
      <c r="AH314" s="3024"/>
      <c r="AI314" s="3024"/>
      <c r="AJ314" s="3024"/>
      <c r="AK314" s="3024"/>
      <c r="AL314" s="3024"/>
      <c r="AM314" s="3024"/>
      <c r="AN314" s="3024"/>
      <c r="AO314" s="3024"/>
      <c r="AP314" s="3024"/>
      <c r="AQ314" s="3024"/>
      <c r="AR314" s="3024"/>
      <c r="AS314" s="3024"/>
      <c r="AT314" s="3024"/>
      <c r="AU314" s="3024"/>
      <c r="AV314" s="3024"/>
      <c r="AW314" s="3024"/>
      <c r="AX314" s="3024"/>
      <c r="AY314" s="3024">
        <f ca="1">(AY300*10^6)/'Global assumptions'!$C$6</f>
        <v>0.48938468879926023</v>
      </c>
      <c r="BA314" s="3024">
        <f ca="1">(BA300*10^6)/'Global assumptions'!$C$7</f>
        <v>0.64689047306642289</v>
      </c>
      <c r="BB314" s="3024">
        <f ca="1">(BB300*10^6)/'Global assumptions'!$C$8</f>
        <v>0.8409683923431307</v>
      </c>
      <c r="BC314" s="3024">
        <f ca="1">(BC300*10^6)/'Global assumptions'!$C$9</f>
        <v>1.1613498817541481</v>
      </c>
      <c r="BD314" s="3024">
        <f ca="1">(BD300*10^6)/'Global assumptions'!$C$10</f>
        <v>1.5690959178345096</v>
      </c>
      <c r="BE314" s="3024">
        <f ca="1">(BE300*10^6)/'Global assumptions'!$C$11</f>
        <v>2.084055482026296</v>
      </c>
      <c r="BF314" s="3024">
        <f ca="1">(BF300*10^6)/'Global assumptions'!$C$12</f>
        <v>2.5258677225809634</v>
      </c>
      <c r="BG314" s="3024">
        <f ca="1">(BG300*10^6)/'Global assumptions'!$C$13</f>
        <v>2.997500606581319</v>
      </c>
      <c r="BH314" s="3024">
        <f ca="1">(BH300*10^6)/'Global assumptions'!$C$14</f>
        <v>3.4322870171928224</v>
      </c>
      <c r="BI314" s="3024">
        <f ca="1">(BI300*10^6)/'Global assumptions'!$C$15</f>
        <v>3.889090710177689</v>
      </c>
    </row>
    <row r="315" spans="1:61" s="3020" customFormat="1">
      <c r="A315" s="3012"/>
      <c r="B315" s="3024"/>
      <c r="C315" s="3027" t="s">
        <v>195</v>
      </c>
      <c r="D315" s="3027" t="str">
        <f>INDEX(Workstreams[Workstream], MATCH($C315, Workstreams[Code], 0))</f>
        <v>Buildings</v>
      </c>
      <c r="E315" s="3027"/>
      <c r="G315" s="3024"/>
      <c r="H315" s="3024"/>
      <c r="I315" s="3024"/>
      <c r="J315" s="3024"/>
      <c r="K315" s="3024"/>
      <c r="L315" s="3024"/>
      <c r="M315" s="3024"/>
      <c r="N315" s="3024"/>
      <c r="O315" s="3024"/>
      <c r="P315" s="3024"/>
      <c r="Q315" s="3024"/>
      <c r="R315" s="3024"/>
      <c r="S315" s="3024"/>
      <c r="T315" s="3024"/>
      <c r="U315" s="3024"/>
      <c r="V315" s="3024"/>
      <c r="W315" s="3024"/>
      <c r="X315" s="3024"/>
      <c r="Y315" s="3024"/>
      <c r="Z315" s="3024"/>
      <c r="AA315" s="3024"/>
      <c r="AB315" s="3024"/>
      <c r="AC315" s="3024"/>
      <c r="AD315" s="3024"/>
      <c r="AE315" s="3024"/>
      <c r="AF315" s="3024"/>
      <c r="AG315" s="3024"/>
      <c r="AH315" s="3024"/>
      <c r="AI315" s="3024"/>
      <c r="AJ315" s="3024"/>
      <c r="AK315" s="3024"/>
      <c r="AL315" s="3024"/>
      <c r="AM315" s="3024"/>
      <c r="AN315" s="3024"/>
      <c r="AO315" s="3024"/>
      <c r="AP315" s="3024"/>
      <c r="AQ315" s="3024"/>
      <c r="AR315" s="3024"/>
      <c r="AS315" s="3024"/>
      <c r="AT315" s="3024"/>
      <c r="AU315" s="3024"/>
      <c r="AV315" s="3024"/>
      <c r="AW315" s="3024"/>
      <c r="AX315" s="3024"/>
      <c r="AY315" s="3024">
        <f ca="1">(AY301*10^6)/'Global assumptions'!$C$6</f>
        <v>0</v>
      </c>
      <c r="BA315" s="3024">
        <f ca="1">(BA301*10^6)/'Global assumptions'!$C$7</f>
        <v>0</v>
      </c>
      <c r="BB315" s="3024">
        <f ca="1">(BB301*10^6)/'Global assumptions'!$C$8</f>
        <v>0</v>
      </c>
      <c r="BC315" s="3024">
        <f ca="1">(BC301*10^6)/'Global assumptions'!$C$9</f>
        <v>0</v>
      </c>
      <c r="BD315" s="3024">
        <f ca="1">(BD301*10^6)/'Global assumptions'!$C$10</f>
        <v>0</v>
      </c>
      <c r="BE315" s="3024">
        <f ca="1">(BE301*10^6)/'Global assumptions'!$C$11</f>
        <v>0</v>
      </c>
      <c r="BF315" s="3024">
        <f ca="1">(BF301*10^6)/'Global assumptions'!$C$12</f>
        <v>0</v>
      </c>
      <c r="BG315" s="3024">
        <f ca="1">(BG301*10^6)/'Global assumptions'!$C$13</f>
        <v>0</v>
      </c>
      <c r="BH315" s="3024">
        <f ca="1">(BH301*10^6)/'Global assumptions'!$C$14</f>
        <v>0</v>
      </c>
      <c r="BI315" s="3024">
        <f ca="1">(BI301*10^6)/'Global assumptions'!$C$15</f>
        <v>0</v>
      </c>
    </row>
    <row r="316" spans="1:61" s="3020" customFormat="1">
      <c r="A316" s="3012"/>
      <c r="B316" s="3024"/>
      <c r="C316" s="3027" t="s">
        <v>196</v>
      </c>
      <c r="D316" s="3027" t="str">
        <f>INDEX(Workstreams[Workstream], MATCH($C316, Workstreams[Code], 0))</f>
        <v>Lighting and appliances</v>
      </c>
      <c r="E316" s="3027"/>
      <c r="G316" s="3024"/>
      <c r="H316" s="3024"/>
      <c r="I316" s="3024"/>
      <c r="J316" s="3024"/>
      <c r="K316" s="3024"/>
      <c r="L316" s="3024"/>
      <c r="M316" s="3024"/>
      <c r="N316" s="3024"/>
      <c r="O316" s="3024"/>
      <c r="P316" s="3024"/>
      <c r="Q316" s="3024"/>
      <c r="R316" s="3024"/>
      <c r="S316" s="3024"/>
      <c r="T316" s="3024"/>
      <c r="U316" s="3024"/>
      <c r="V316" s="3024"/>
      <c r="W316" s="3024"/>
      <c r="X316" s="3024"/>
      <c r="Y316" s="3024"/>
      <c r="Z316" s="3024"/>
      <c r="AA316" s="3024"/>
      <c r="AB316" s="3024"/>
      <c r="AC316" s="3024"/>
      <c r="AD316" s="3024"/>
      <c r="AE316" s="3024"/>
      <c r="AF316" s="3024"/>
      <c r="AG316" s="3024"/>
      <c r="AH316" s="3024"/>
      <c r="AI316" s="3024"/>
      <c r="AJ316" s="3024"/>
      <c r="AK316" s="3024"/>
      <c r="AL316" s="3024"/>
      <c r="AM316" s="3024"/>
      <c r="AN316" s="3024"/>
      <c r="AO316" s="3024"/>
      <c r="AP316" s="3024"/>
      <c r="AQ316" s="3024"/>
      <c r="AR316" s="3024"/>
      <c r="AS316" s="3024"/>
      <c r="AT316" s="3024"/>
      <c r="AU316" s="3024"/>
      <c r="AV316" s="3024"/>
      <c r="AW316" s="3024"/>
      <c r="AX316" s="3024"/>
      <c r="AY316" s="3024">
        <f ca="1">(AY302*10^6)/'Global assumptions'!$C$6</f>
        <v>1.639879017252045E-3</v>
      </c>
      <c r="BA316" s="3024">
        <f ca="1">(BA302*10^6)/'Global assumptions'!$C$7</f>
        <v>1.507431337760021E-3</v>
      </c>
      <c r="BB316" s="3024">
        <f ca="1">(BB302*10^6)/'Global assumptions'!$C$8</f>
        <v>1.205507870930196E-3</v>
      </c>
      <c r="BC316" s="3024">
        <f ca="1">(BC302*10^6)/'Global assumptions'!$C$9</f>
        <v>9.0494583412001415E-4</v>
      </c>
      <c r="BD316" s="3024">
        <f ca="1">(BD302*10^6)/'Global assumptions'!$C$10</f>
        <v>6.1893660179435323E-4</v>
      </c>
      <c r="BE316" s="3024">
        <f ca="1">(BE302*10^6)/'Global assumptions'!$C$11</f>
        <v>3.3382595187555353E-4</v>
      </c>
      <c r="BF316" s="3024">
        <f ca="1">(BF302*10^6)/'Global assumptions'!$C$12</f>
        <v>2.5799543770821035E-4</v>
      </c>
      <c r="BG316" s="3024">
        <f ca="1">(BG302*10^6)/'Global assumptions'!$C$13</f>
        <v>1.7450426037588364E-4</v>
      </c>
      <c r="BH316" s="3024">
        <f ca="1">(BH302*10^6)/'Global assumptions'!$C$14</f>
        <v>8.9901932570923281E-5</v>
      </c>
      <c r="BI316" s="3024">
        <f ca="1">(BI302*10^6)/'Global assumptions'!$C$15</f>
        <v>0</v>
      </c>
    </row>
    <row r="317" spans="1:61" s="3020" customFormat="1">
      <c r="A317" s="3012"/>
      <c r="B317" s="3024"/>
      <c r="C317" s="3027" t="s">
        <v>197</v>
      </c>
      <c r="D317" s="3027" t="str">
        <f>INDEX(Workstreams[Workstream], MATCH($C317, Workstreams[Code], 0))</f>
        <v>Industry</v>
      </c>
      <c r="E317" s="3027"/>
      <c r="G317" s="3024"/>
      <c r="H317" s="3024"/>
      <c r="I317" s="3024"/>
      <c r="J317" s="3024"/>
      <c r="K317" s="3024"/>
      <c r="L317" s="3024"/>
      <c r="M317" s="3024"/>
      <c r="N317" s="3024"/>
      <c r="O317" s="3024"/>
      <c r="P317" s="3024"/>
      <c r="Q317" s="3024"/>
      <c r="R317" s="3024"/>
      <c r="S317" s="3024"/>
      <c r="T317" s="3024"/>
      <c r="U317" s="3024"/>
      <c r="V317" s="3024"/>
      <c r="W317" s="3024"/>
      <c r="X317" s="3024"/>
      <c r="Y317" s="3024"/>
      <c r="Z317" s="3024"/>
      <c r="AA317" s="3024"/>
      <c r="AB317" s="3024"/>
      <c r="AC317" s="3024"/>
      <c r="AD317" s="3024"/>
      <c r="AE317" s="3024"/>
      <c r="AF317" s="3024"/>
      <c r="AG317" s="3024"/>
      <c r="AH317" s="3024"/>
      <c r="AI317" s="3024"/>
      <c r="AJ317" s="3024"/>
      <c r="AK317" s="3024"/>
      <c r="AL317" s="3024"/>
      <c r="AM317" s="3024"/>
      <c r="AN317" s="3024"/>
      <c r="AO317" s="3024"/>
      <c r="AP317" s="3024"/>
      <c r="AQ317" s="3024"/>
      <c r="AR317" s="3024"/>
      <c r="AS317" s="3024"/>
      <c r="AT317" s="3024"/>
      <c r="AU317" s="3024"/>
      <c r="AV317" s="3024"/>
      <c r="AW317" s="3024"/>
      <c r="AX317" s="3024"/>
      <c r="AY317" s="3024">
        <f ca="1">(AY303*10^6)/'Global assumptions'!$C$6</f>
        <v>0.53976712376974345</v>
      </c>
      <c r="BA317" s="3024">
        <f ca="1">(BA303*10^6)/'Global assumptions'!$C$7</f>
        <v>0.80524021199931717</v>
      </c>
      <c r="BB317" s="3024">
        <f ca="1">(BB303*10^6)/'Global assumptions'!$C$8</f>
        <v>1.0401477604330305</v>
      </c>
      <c r="BC317" s="3024">
        <f ca="1">(BC303*10^6)/'Global assumptions'!$C$9</f>
        <v>1.390745010190839</v>
      </c>
      <c r="BD317" s="3024">
        <f ca="1">(BD303*10^6)/'Global assumptions'!$C$10</f>
        <v>1.7779882461424896</v>
      </c>
      <c r="BE317" s="3024">
        <f ca="1">(BE303*10^6)/'Global assumptions'!$C$11</f>
        <v>2.1626267540963697</v>
      </c>
      <c r="BF317" s="3024">
        <f ca="1">(BF303*10^6)/'Global assumptions'!$C$12</f>
        <v>2.5758648793227428</v>
      </c>
      <c r="BG317" s="3024">
        <f ca="1">(BG303*10^6)/'Global assumptions'!$C$13</f>
        <v>2.918870951790884</v>
      </c>
      <c r="BH317" s="3024">
        <f ca="1">(BH303*10^6)/'Global assumptions'!$C$14</f>
        <v>3.2387740328772501</v>
      </c>
      <c r="BI317" s="3024">
        <f ca="1">(BI303*10^6)/'Global assumptions'!$C$15</f>
        <v>3.5282333428632566</v>
      </c>
    </row>
    <row r="318" spans="1:61" s="3020" customFormat="1">
      <c r="A318" s="3012"/>
      <c r="B318" s="3024"/>
      <c r="C318" s="3027" t="s">
        <v>198</v>
      </c>
      <c r="D318" s="3027" t="str">
        <f>INDEX(Workstreams[Workstream], MATCH($C318, Workstreams[Code], 0))</f>
        <v>Transport</v>
      </c>
      <c r="E318" s="3027"/>
      <c r="G318" s="3024"/>
      <c r="H318" s="3024"/>
      <c r="I318" s="3024"/>
      <c r="J318" s="3024"/>
      <c r="K318" s="3024"/>
      <c r="L318" s="3024"/>
      <c r="M318" s="3024"/>
      <c r="N318" s="3024"/>
      <c r="O318" s="3024"/>
      <c r="P318" s="3024"/>
      <c r="Q318" s="3024"/>
      <c r="R318" s="3024"/>
      <c r="S318" s="3024"/>
      <c r="T318" s="3024"/>
      <c r="U318" s="3024"/>
      <c r="V318" s="3024"/>
      <c r="W318" s="3024"/>
      <c r="X318" s="3024"/>
      <c r="Y318" s="3024"/>
      <c r="Z318" s="3024"/>
      <c r="AA318" s="3024"/>
      <c r="AB318" s="3024"/>
      <c r="AC318" s="3024"/>
      <c r="AD318" s="3024"/>
      <c r="AE318" s="3024"/>
      <c r="AF318" s="3024"/>
      <c r="AG318" s="3024"/>
      <c r="AH318" s="3024"/>
      <c r="AI318" s="3024"/>
      <c r="AJ318" s="3024"/>
      <c r="AK318" s="3024"/>
      <c r="AL318" s="3024"/>
      <c r="AM318" s="3024"/>
      <c r="AN318" s="3024"/>
      <c r="AO318" s="3024"/>
      <c r="AP318" s="3024"/>
      <c r="AQ318" s="3024"/>
      <c r="AR318" s="3024"/>
      <c r="AS318" s="3024"/>
      <c r="AT318" s="3024"/>
      <c r="AU318" s="3024"/>
      <c r="AV318" s="3024"/>
      <c r="AW318" s="3024"/>
      <c r="AX318" s="3024"/>
      <c r="AY318" s="3024">
        <f ca="1">(AY304*10^6)/'Global assumptions'!$C$6</f>
        <v>0.18233183146503737</v>
      </c>
      <c r="BA318" s="3024">
        <f ca="1">(BA304*10^6)/'Global assumptions'!$C$7</f>
        <v>0.1823318314650374</v>
      </c>
      <c r="BB318" s="3024">
        <f ca="1">(BB304*10^6)/'Global assumptions'!$C$8</f>
        <v>0.25721526211505163</v>
      </c>
      <c r="BC318" s="3024">
        <f ca="1">(BC304*10^6)/'Global assumptions'!$C$9</f>
        <v>0.34528830154053319</v>
      </c>
      <c r="BD318" s="3024">
        <f ca="1">(BD304*10^6)/'Global assumptions'!$C$10</f>
        <v>0.44686040108075276</v>
      </c>
      <c r="BE318" s="3024">
        <f ca="1">(BE304*10^6)/'Global assumptions'!$C$11</f>
        <v>0.56128165117861384</v>
      </c>
      <c r="BF318" s="3024">
        <f ca="1">(BF304*10^6)/'Global assumptions'!$C$12</f>
        <v>0.69396687183221173</v>
      </c>
      <c r="BG318" s="3024">
        <f ca="1">(BG304*10^6)/'Global assumptions'!$C$13</f>
        <v>0.80648118767924148</v>
      </c>
      <c r="BH318" s="3024">
        <f ca="1">(BH304*10^6)/'Global assumptions'!$C$14</f>
        <v>0.93583873476594071</v>
      </c>
      <c r="BI318" s="3024">
        <f ca="1">(BI304*10^6)/'Global assumptions'!$C$15</f>
        <v>1.0543627819164929</v>
      </c>
    </row>
    <row r="319" spans="1:61" s="3020" customFormat="1">
      <c r="A319" s="3012"/>
      <c r="B319" s="3024"/>
      <c r="C319" s="3027" t="s">
        <v>199</v>
      </c>
      <c r="D319" s="3027" t="str">
        <f>INDEX(Workstreams[Workstream], MATCH($C319, Workstreams[Code], 0))</f>
        <v>Cooking</v>
      </c>
      <c r="E319" s="3027"/>
      <c r="G319" s="3024"/>
      <c r="H319" s="3024"/>
      <c r="I319" s="3024"/>
      <c r="J319" s="3024"/>
      <c r="K319" s="3024"/>
      <c r="L319" s="3024"/>
      <c r="M319" s="3024"/>
      <c r="N319" s="3024"/>
      <c r="O319" s="3024"/>
      <c r="P319" s="3024"/>
      <c r="Q319" s="3024"/>
      <c r="R319" s="3024"/>
      <c r="S319" s="3024"/>
      <c r="T319" s="3024"/>
      <c r="U319" s="3024"/>
      <c r="V319" s="3024"/>
      <c r="W319" s="3024"/>
      <c r="X319" s="3024"/>
      <c r="Y319" s="3024"/>
      <c r="Z319" s="3024"/>
      <c r="AA319" s="3024"/>
      <c r="AB319" s="3024"/>
      <c r="AC319" s="3024"/>
      <c r="AD319" s="3024"/>
      <c r="AE319" s="3024"/>
      <c r="AF319" s="3024"/>
      <c r="AG319" s="3024"/>
      <c r="AH319" s="3024"/>
      <c r="AI319" s="3024"/>
      <c r="AJ319" s="3024"/>
      <c r="AK319" s="3024"/>
      <c r="AL319" s="3024"/>
      <c r="AM319" s="3024"/>
      <c r="AN319" s="3024"/>
      <c r="AO319" s="3024"/>
      <c r="AP319" s="3024"/>
      <c r="AQ319" s="3024"/>
      <c r="AR319" s="3024"/>
      <c r="AS319" s="3024"/>
      <c r="AT319" s="3024"/>
      <c r="AU319" s="3024"/>
      <c r="AV319" s="3024"/>
      <c r="AW319" s="3024"/>
      <c r="AX319" s="3024"/>
      <c r="AY319" s="3024">
        <f ca="1">(AY305*10^6)/'Global assumptions'!$C$6</f>
        <v>8.8033945236082479E-3</v>
      </c>
      <c r="BA319" s="3024">
        <f ca="1">(BA305*10^6)/'Global assumptions'!$C$7</f>
        <v>1.3373016671749947E-2</v>
      </c>
      <c r="BB319" s="3024">
        <f ca="1">(BB305*10^6)/'Global assumptions'!$C$8</f>
        <v>1.8738597846006011E-2</v>
      </c>
      <c r="BC319" s="3024">
        <f ca="1">(BC305*10^6)/'Global assumptions'!$C$9</f>
        <v>2.5971141494073972E-2</v>
      </c>
      <c r="BD319" s="3024">
        <f ca="1">(BD305*10^6)/'Global assumptions'!$C$10</f>
        <v>3.6293475903969016E-2</v>
      </c>
      <c r="BE319" s="3024">
        <f ca="1">(BE305*10^6)/'Global assumptions'!$C$11</f>
        <v>0.12738289308793005</v>
      </c>
      <c r="BF319" s="3024">
        <f ca="1">(BF305*10^6)/'Global assumptions'!$C$12</f>
        <v>6.4742182652936353E-2</v>
      </c>
      <c r="BG319" s="3024">
        <f ca="1">(BG305*10^6)/'Global assumptions'!$C$13</f>
        <v>8.3036919050451463E-2</v>
      </c>
      <c r="BH319" s="3024">
        <f ca="1">(BH305*10^6)/'Global assumptions'!$C$14</f>
        <v>0.10810735141228947</v>
      </c>
      <c r="BI319" s="3024">
        <f ca="1">(BI305*10^6)/'Global assumptions'!$C$15</f>
        <v>0.14010245478353142</v>
      </c>
    </row>
    <row r="320" spans="1:61" s="3020" customFormat="1">
      <c r="A320" s="3012"/>
      <c r="B320" s="3024"/>
      <c r="C320" s="3027" t="s">
        <v>194</v>
      </c>
      <c r="D320" s="3027" t="str">
        <f>INDEX(Workstreams[Workstream], MATCH($C320, Workstreams[Code], 0))</f>
        <v>Agriculture</v>
      </c>
      <c r="E320" s="3027"/>
      <c r="G320" s="3024"/>
      <c r="H320" s="3024"/>
      <c r="I320" s="3024"/>
      <c r="J320" s="3024"/>
      <c r="K320" s="3024"/>
      <c r="L320" s="3024"/>
      <c r="M320" s="3024"/>
      <c r="N320" s="3024"/>
      <c r="O320" s="3024"/>
      <c r="P320" s="3024"/>
      <c r="Q320" s="3024"/>
      <c r="R320" s="3024"/>
      <c r="S320" s="3024"/>
      <c r="T320" s="3024"/>
      <c r="U320" s="3024"/>
      <c r="V320" s="3024"/>
      <c r="W320" s="3024"/>
      <c r="X320" s="3024"/>
      <c r="Y320" s="3024"/>
      <c r="Z320" s="3024"/>
      <c r="AA320" s="3024"/>
      <c r="AB320" s="3024"/>
      <c r="AC320" s="3024"/>
      <c r="AD320" s="3024"/>
      <c r="AE320" s="3024"/>
      <c r="AF320" s="3024"/>
      <c r="AG320" s="3024"/>
      <c r="AH320" s="3024"/>
      <c r="AI320" s="3024"/>
      <c r="AJ320" s="3024"/>
      <c r="AK320" s="3024"/>
      <c r="AL320" s="3024"/>
      <c r="AM320" s="3024"/>
      <c r="AN320" s="3024"/>
      <c r="AO320" s="3024"/>
      <c r="AP320" s="3024"/>
      <c r="AQ320" s="3024"/>
      <c r="AR320" s="3024"/>
      <c r="AS320" s="3024"/>
      <c r="AT320" s="3024"/>
      <c r="AU320" s="3024"/>
      <c r="AV320" s="3024"/>
      <c r="AW320" s="3024"/>
      <c r="AX320" s="3024"/>
      <c r="AY320" s="3024">
        <f ca="1">(AY306*10^6)/'Global assumptions'!$C$6</f>
        <v>1.7170999056361311E-2</v>
      </c>
      <c r="BA320" s="3024">
        <f ca="1">(BA306*10^6)/'Global assumptions'!$C$7</f>
        <v>2.223452500722467E-2</v>
      </c>
      <c r="BB320" s="3024">
        <f ca="1">(BB306*10^6)/'Global assumptions'!$C$8</f>
        <v>2.8766133763110963E-2</v>
      </c>
      <c r="BC320" s="3024">
        <f ca="1">(BC306*10^6)/'Global assumptions'!$C$9</f>
        <v>3.6857324652340144E-2</v>
      </c>
      <c r="BD320" s="3024">
        <f ca="1">(BD306*10^6)/'Global assumptions'!$C$10</f>
        <v>4.6912983398219296E-2</v>
      </c>
      <c r="BE320" s="3024">
        <f ca="1">(BE306*10^6)/'Global assumptions'!$C$11</f>
        <v>5.5872488513873601E-2</v>
      </c>
      <c r="BF320" s="3024">
        <f ca="1">(BF306*10^6)/'Global assumptions'!$C$12</f>
        <v>5.7524182172931315E-2</v>
      </c>
      <c r="BG320" s="3024">
        <f ca="1">(BG306*10^6)/'Global assumptions'!$C$13</f>
        <v>5.9472185002727183E-2</v>
      </c>
      <c r="BH320" s="3024">
        <f ca="1">(BH306*10^6)/'Global assumptions'!$C$14</f>
        <v>6.0920592392045489E-2</v>
      </c>
      <c r="BI320" s="3024">
        <f ca="1">(BI306*10^6)/'Global assumptions'!$C$15</f>
        <v>6.2322204638195017E-2</v>
      </c>
    </row>
    <row r="321" spans="1:99" s="3020" customFormat="1">
      <c r="A321" s="3012"/>
      <c r="B321" s="3024"/>
      <c r="C321" s="3027" t="s">
        <v>330</v>
      </c>
      <c r="D321" s="3027" t="str">
        <f>INDEX(Workstreams[Workstream], MATCH($C321, Workstreams[Code], 0))</f>
        <v>Telecom</v>
      </c>
      <c r="E321" s="3027"/>
      <c r="G321" s="3024"/>
      <c r="H321" s="3024"/>
      <c r="I321" s="3024"/>
      <c r="J321" s="3024"/>
      <c r="K321" s="3024"/>
      <c r="L321" s="3024"/>
      <c r="M321" s="3024"/>
      <c r="N321" s="3024"/>
      <c r="O321" s="3024"/>
      <c r="P321" s="3024"/>
      <c r="Q321" s="3024"/>
      <c r="R321" s="3024"/>
      <c r="S321" s="3024"/>
      <c r="T321" s="3024"/>
      <c r="U321" s="3024"/>
      <c r="V321" s="3024"/>
      <c r="W321" s="3024"/>
      <c r="X321" s="3024"/>
      <c r="Y321" s="3024"/>
      <c r="Z321" s="3024"/>
      <c r="AA321" s="3024"/>
      <c r="AB321" s="3024"/>
      <c r="AC321" s="3024"/>
      <c r="AD321" s="3024"/>
      <c r="AE321" s="3024"/>
      <c r="AF321" s="3024"/>
      <c r="AG321" s="3024"/>
      <c r="AH321" s="3024"/>
      <c r="AI321" s="3024"/>
      <c r="AJ321" s="3024"/>
      <c r="AK321" s="3024"/>
      <c r="AL321" s="3024"/>
      <c r="AM321" s="3024"/>
      <c r="AN321" s="3024"/>
      <c r="AO321" s="3024"/>
      <c r="AP321" s="3024"/>
      <c r="AQ321" s="3024"/>
      <c r="AR321" s="3024"/>
      <c r="AS321" s="3024"/>
      <c r="AT321" s="3024"/>
      <c r="AU321" s="3024"/>
      <c r="AV321" s="3024"/>
      <c r="AW321" s="3024"/>
      <c r="AX321" s="3024"/>
      <c r="AY321" s="3024">
        <f ca="1">(AY307*10^6)/'Global assumptions'!$C$6</f>
        <v>2.5269896517672373E-3</v>
      </c>
      <c r="BA321" s="3024">
        <f ca="1">(BA307*10^6)/'Global assumptions'!$C$7</f>
        <v>1.5045233105185971E-2</v>
      </c>
      <c r="BB321" s="3024">
        <f ca="1">(BB307*10^6)/'Global assumptions'!$C$8</f>
        <v>1.637149599505721E-2</v>
      </c>
      <c r="BC321" s="3024">
        <f ca="1">(BC307*10^6)/'Global assumptions'!$C$9</f>
        <v>1.8122886146168131E-2</v>
      </c>
      <c r="BD321" s="3024">
        <f ca="1">(BD307*10^6)/'Global assumptions'!$C$10</f>
        <v>2.223672423324442E-2</v>
      </c>
      <c r="BE321" s="3024">
        <f ca="1">(BE307*10^6)/'Global assumptions'!$C$11</f>
        <v>2.3770803145630705E-2</v>
      </c>
      <c r="BF321" s="3024">
        <f ca="1">(BF307*10^6)/'Global assumptions'!$C$12</f>
        <v>2.2277745789037382E-2</v>
      </c>
      <c r="BG321" s="3024">
        <f ca="1">(BG307*10^6)/'Global assumptions'!$C$13</f>
        <v>2.183127452647737E-2</v>
      </c>
      <c r="BH321" s="3024">
        <f ca="1">(BH307*10^6)/'Global assumptions'!$C$14</f>
        <v>2.4446867685524603E-2</v>
      </c>
      <c r="BI321" s="3024">
        <f ca="1">(BI307*10^6)/'Global assumptions'!$C$15</f>
        <v>2.9985576644896497E-2</v>
      </c>
    </row>
    <row r="322" spans="1:99" s="3020" customFormat="1">
      <c r="A322" s="3012"/>
      <c r="B322" s="3024"/>
      <c r="C322" s="3027" t="s">
        <v>190</v>
      </c>
      <c r="D322" s="3027" t="s">
        <v>492</v>
      </c>
      <c r="E322" s="3027"/>
      <c r="G322" s="3024"/>
      <c r="H322" s="3024"/>
      <c r="I322" s="3024"/>
      <c r="J322" s="3024"/>
      <c r="K322" s="3024"/>
      <c r="L322" s="3024"/>
      <c r="M322" s="3024"/>
      <c r="N322" s="3024"/>
      <c r="O322" s="3024"/>
      <c r="P322" s="3024"/>
      <c r="Q322" s="3024"/>
      <c r="R322" s="3024"/>
      <c r="S322" s="3024"/>
      <c r="T322" s="3024"/>
      <c r="U322" s="3024"/>
      <c r="V322" s="3024"/>
      <c r="W322" s="3024"/>
      <c r="X322" s="3024"/>
      <c r="Y322" s="3024"/>
      <c r="Z322" s="3024"/>
      <c r="AA322" s="3024"/>
      <c r="AB322" s="3024"/>
      <c r="AC322" s="3024"/>
      <c r="AD322" s="3024"/>
      <c r="AE322" s="3024"/>
      <c r="AF322" s="3024"/>
      <c r="AG322" s="3024"/>
      <c r="AH322" s="3024"/>
      <c r="AI322" s="3024"/>
      <c r="AJ322" s="3024"/>
      <c r="AK322" s="3024"/>
      <c r="AL322" s="3024"/>
      <c r="AM322" s="3024"/>
      <c r="AN322" s="3024"/>
      <c r="AO322" s="3024"/>
      <c r="AP322" s="3024"/>
      <c r="AQ322" s="3024"/>
      <c r="AR322" s="3024"/>
      <c r="AS322" s="3024"/>
      <c r="AT322" s="3024"/>
      <c r="AU322" s="3024"/>
      <c r="AV322" s="3024"/>
      <c r="AW322" s="3024"/>
      <c r="AX322" s="3024"/>
      <c r="AY322" s="3024">
        <f ca="1">(AY308*10^6)/'Global assumptions'!C6</f>
        <v>-0.2581473391527398</v>
      </c>
      <c r="BA322" s="3024">
        <f ca="1">(BA308*10^6)/'Global assumptions'!C7</f>
        <v>-0.26131460002703422</v>
      </c>
      <c r="BB322" s="3024">
        <f ca="1">(BB308*10^6)/'Global assumptions'!C8</f>
        <v>-0.24467313095417595</v>
      </c>
      <c r="BC322" s="3024">
        <f ca="1">(BC308*10^6)/'Global assumptions'!C9</f>
        <v>-0.22800516806774759</v>
      </c>
      <c r="BD322" s="3024">
        <f ca="1">(BD308*10^6)/'Global assumptions'!C10</f>
        <v>-0.21650917896230293</v>
      </c>
      <c r="BE322" s="3024">
        <f ca="1">(BE308*10^6)/'Global assumptions'!C11</f>
        <v>-0.20485344380459916</v>
      </c>
      <c r="BF322" s="3024">
        <f ca="1">(BF308*10^6)/'Global assumptions'!C12</f>
        <v>-0.19721441336909304</v>
      </c>
      <c r="BG322" s="3024">
        <f ca="1">(BG308*10^6)/'Global assumptions'!C13</f>
        <v>-0.18855617489897428</v>
      </c>
      <c r="BH322" s="3024">
        <f ca="1">(BH308*10^6)/'Global assumptions'!C14</f>
        <v>-0.18314561568517554</v>
      </c>
      <c r="BI322" s="3024">
        <f ca="1">(BI308*10^6)/'Global assumptions'!C15</f>
        <v>-0.17738636133202226</v>
      </c>
    </row>
    <row r="323" spans="1:99" s="3020" customFormat="1">
      <c r="A323" s="3012"/>
      <c r="B323" s="3024"/>
      <c r="C323" s="1333"/>
      <c r="D323" s="3027" t="s">
        <v>103</v>
      </c>
      <c r="E323" s="3027"/>
      <c r="G323" s="3024"/>
      <c r="H323" s="3024"/>
      <c r="I323" s="3024"/>
      <c r="J323" s="3024"/>
      <c r="K323" s="3024"/>
      <c r="L323" s="3024"/>
      <c r="M323" s="3024"/>
      <c r="N323" s="3024"/>
      <c r="O323" s="3024"/>
      <c r="P323" s="3024"/>
      <c r="Q323" s="3024"/>
      <c r="R323" s="3024"/>
      <c r="S323" s="3024"/>
      <c r="T323" s="3024"/>
      <c r="U323" s="3024"/>
      <c r="V323" s="3024"/>
      <c r="W323" s="3024"/>
      <c r="X323" s="3024"/>
      <c r="Y323" s="3024"/>
      <c r="Z323" s="3024"/>
      <c r="AA323" s="3024"/>
      <c r="AB323" s="3024"/>
      <c r="AC323" s="3024"/>
      <c r="AD323" s="3024"/>
      <c r="AE323" s="3024"/>
      <c r="AF323" s="3024"/>
      <c r="AG323" s="3024"/>
      <c r="AH323" s="3024"/>
      <c r="AI323" s="3024"/>
      <c r="AJ323" s="3024"/>
      <c r="AK323" s="3024"/>
      <c r="AL323" s="3024"/>
      <c r="AM323" s="3024"/>
      <c r="AN323" s="3024"/>
      <c r="AO323" s="3024"/>
      <c r="AP323" s="3024"/>
      <c r="AQ323" s="3024"/>
      <c r="AR323" s="3024"/>
      <c r="AS323" s="3024"/>
      <c r="AT323" s="3024"/>
      <c r="AU323" s="3024"/>
      <c r="AV323" s="3024"/>
      <c r="AW323" s="3024"/>
      <c r="AX323" s="3024"/>
      <c r="AY323" s="3024">
        <f ca="1">SUM(AY314:AY322)</f>
        <v>0.98347756713029</v>
      </c>
      <c r="BA323" s="3024">
        <f t="shared" ref="BA323:BI323" ca="1" si="105">SUM(BA314:BA322)</f>
        <v>1.4253081226256636</v>
      </c>
      <c r="BB323" s="3024">
        <f t="shared" ca="1" si="105"/>
        <v>1.9587400194121412</v>
      </c>
      <c r="BC323" s="3024">
        <f t="shared" ca="1" si="105"/>
        <v>2.7512343235444745</v>
      </c>
      <c r="BD323" s="3024">
        <f t="shared" ca="1" si="105"/>
        <v>3.6834975062326754</v>
      </c>
      <c r="BE323" s="3024">
        <f t="shared" ca="1" si="105"/>
        <v>4.8104704541959906</v>
      </c>
      <c r="BF323" s="3024">
        <f t="shared" ca="1" si="105"/>
        <v>5.7432871664194369</v>
      </c>
      <c r="BG323" s="3024">
        <f t="shared" ca="1" si="105"/>
        <v>6.6988114539925023</v>
      </c>
      <c r="BH323" s="3024">
        <f t="shared" ca="1" si="105"/>
        <v>7.6173188825732678</v>
      </c>
      <c r="BI323" s="3024">
        <f t="shared" ca="1" si="105"/>
        <v>8.526710709692038</v>
      </c>
    </row>
    <row r="324" spans="1:99" s="3020" customFormat="1">
      <c r="A324" s="3012"/>
      <c r="B324" s="3024"/>
      <c r="C324" s="3024"/>
      <c r="D324" s="3024"/>
      <c r="E324" s="3024"/>
      <c r="F324" s="3024"/>
      <c r="G324" s="3024"/>
      <c r="H324" s="3024"/>
      <c r="I324" s="3024"/>
      <c r="J324" s="3024"/>
      <c r="K324" s="3024"/>
      <c r="L324" s="3024"/>
      <c r="M324" s="3024"/>
      <c r="N324" s="3024"/>
      <c r="O324" s="3024"/>
      <c r="P324" s="3024"/>
      <c r="Q324" s="3024"/>
      <c r="R324" s="3024"/>
      <c r="S324" s="3024"/>
      <c r="T324" s="3024"/>
      <c r="U324" s="3024"/>
      <c r="V324" s="3024"/>
      <c r="W324" s="3024"/>
      <c r="X324" s="3024"/>
      <c r="Y324" s="3024"/>
      <c r="Z324" s="3024"/>
      <c r="AA324" s="3024"/>
      <c r="AB324" s="3024"/>
      <c r="AC324" s="3024"/>
      <c r="AD324" s="3024"/>
      <c r="AE324" s="3024"/>
      <c r="AF324" s="3024"/>
      <c r="AG324" s="3024"/>
      <c r="AH324" s="3024"/>
      <c r="AI324" s="3024"/>
      <c r="AJ324" s="3024"/>
      <c r="AK324" s="3024"/>
      <c r="AL324" s="3024"/>
      <c r="AM324" s="3024"/>
      <c r="AN324" s="3024"/>
      <c r="AO324" s="3024"/>
      <c r="AP324" s="3024"/>
      <c r="AQ324" s="3024"/>
      <c r="AR324" s="3024"/>
      <c r="AS324" s="3024"/>
      <c r="AT324" s="3024"/>
      <c r="AU324" s="3024"/>
      <c r="AV324" s="3024"/>
      <c r="AW324" s="3024"/>
      <c r="AX324" s="3024"/>
      <c r="AY324" s="3024"/>
      <c r="BA324" s="3024"/>
      <c r="BB324" s="3024"/>
      <c r="BC324" s="3024"/>
      <c r="BD324" s="3024"/>
      <c r="BE324" s="3024"/>
      <c r="BF324" s="3024"/>
      <c r="BG324" s="3024"/>
      <c r="BH324" s="3024"/>
      <c r="BI324" s="3024"/>
      <c r="CR324" s="3020">
        <v>2020</v>
      </c>
      <c r="CS324" s="3020">
        <v>2025</v>
      </c>
      <c r="CT324" s="3020">
        <v>2030</v>
      </c>
      <c r="CU324" s="3020">
        <v>2035</v>
      </c>
    </row>
    <row r="325" spans="1:99" s="3020" customFormat="1">
      <c r="A325" s="3012"/>
      <c r="B325" s="3024"/>
      <c r="C325" s="3024"/>
      <c r="D325" s="3024"/>
      <c r="E325" s="3024"/>
      <c r="F325" s="3024"/>
      <c r="G325" s="3024"/>
      <c r="H325" s="3024"/>
      <c r="I325" s="3024"/>
      <c r="J325" s="3024"/>
      <c r="K325" s="3024"/>
      <c r="L325" s="3024"/>
      <c r="M325" s="3024"/>
      <c r="N325" s="3024"/>
      <c r="O325" s="3024"/>
      <c r="P325" s="3024"/>
      <c r="Q325" s="3024"/>
      <c r="R325" s="3024"/>
      <c r="S325" s="3024"/>
      <c r="T325" s="3024"/>
      <c r="U325" s="3024"/>
      <c r="V325" s="3024"/>
      <c r="W325" s="3024"/>
      <c r="X325" s="3024"/>
      <c r="Y325" s="3024"/>
      <c r="Z325" s="3024"/>
      <c r="AA325" s="3024"/>
      <c r="AB325" s="3024"/>
      <c r="AC325" s="3024"/>
      <c r="AD325" s="3024"/>
      <c r="AE325" s="3024"/>
      <c r="AF325" s="3024"/>
      <c r="AG325" s="3024"/>
      <c r="AH325" s="3024"/>
      <c r="AI325" s="3024"/>
      <c r="AJ325" s="3024"/>
      <c r="AK325" s="3024"/>
      <c r="AL325" s="3024"/>
      <c r="AM325" s="3024"/>
      <c r="AN325" s="3024"/>
      <c r="AO325" s="3024"/>
      <c r="AP325" s="3024"/>
      <c r="AQ325" s="3024"/>
      <c r="AR325" s="3024"/>
      <c r="AS325" s="3024"/>
      <c r="AT325" s="3024"/>
      <c r="AU325" s="3024"/>
      <c r="AV325" s="3024"/>
      <c r="AW325" s="3024"/>
      <c r="AX325" s="3024"/>
      <c r="AY325" s="3024"/>
      <c r="BA325" s="3024"/>
      <c r="BB325" s="3024"/>
      <c r="BC325" s="3024"/>
      <c r="BD325" s="3024"/>
      <c r="BE325" s="3024"/>
      <c r="BF325" s="3024"/>
      <c r="BG325" s="3024"/>
      <c r="BH325" s="3024"/>
      <c r="BI325" s="3024"/>
      <c r="CR325" s="3020">
        <v>120</v>
      </c>
      <c r="CS325" s="3020">
        <v>127</v>
      </c>
      <c r="CT325" s="3020">
        <v>136</v>
      </c>
      <c r="CU325" s="3020">
        <v>145</v>
      </c>
    </row>
    <row r="326" spans="1:99" s="3020" customFormat="1">
      <c r="A326" s="3012"/>
      <c r="B326" s="3024"/>
      <c r="C326" s="3024"/>
      <c r="D326" s="3024"/>
      <c r="E326" s="3024"/>
      <c r="F326" s="3024"/>
      <c r="G326" s="3024"/>
      <c r="H326" s="3024"/>
      <c r="I326" s="3024"/>
      <c r="J326" s="3024"/>
      <c r="K326" s="3024"/>
      <c r="L326" s="3024"/>
      <c r="M326" s="3024"/>
      <c r="N326" s="3024"/>
      <c r="O326" s="3024"/>
      <c r="P326" s="3024"/>
      <c r="Q326" s="3024"/>
      <c r="R326" s="3024"/>
      <c r="S326" s="3024"/>
      <c r="T326" s="3024"/>
      <c r="U326" s="3024"/>
      <c r="V326" s="3024"/>
      <c r="W326" s="3024"/>
      <c r="X326" s="3024"/>
      <c r="Y326" s="3024"/>
      <c r="Z326" s="3024"/>
      <c r="AA326" s="3024"/>
      <c r="AB326" s="3024"/>
      <c r="AC326" s="3024"/>
      <c r="AD326" s="3024"/>
      <c r="AE326" s="3024"/>
      <c r="AF326" s="3024"/>
      <c r="AG326" s="3024"/>
      <c r="AH326" s="3024"/>
      <c r="AI326" s="3024"/>
      <c r="AJ326" s="3024"/>
      <c r="AK326" s="3024"/>
      <c r="AL326" s="3024"/>
      <c r="AM326" s="3024"/>
      <c r="AN326" s="3024"/>
      <c r="AO326" s="3024"/>
      <c r="AP326" s="3024"/>
      <c r="AQ326" s="3024"/>
      <c r="AR326" s="3024"/>
      <c r="AS326" s="3024"/>
      <c r="AT326" s="3024"/>
      <c r="AU326" s="3024"/>
      <c r="AV326" s="3024"/>
      <c r="AW326" s="3024"/>
      <c r="AX326" s="3024"/>
      <c r="AY326" s="3024"/>
      <c r="BA326" s="3024"/>
      <c r="BB326" s="3024"/>
      <c r="BC326" s="3024"/>
      <c r="BD326" s="3024"/>
      <c r="BE326" s="3024"/>
      <c r="BF326" s="3024"/>
      <c r="BG326" s="3024"/>
      <c r="BH326" s="3024"/>
      <c r="BI326" s="3024"/>
      <c r="CR326" s="3020">
        <v>5.2</v>
      </c>
      <c r="CS326" s="3020">
        <v>5.8</v>
      </c>
      <c r="CT326" s="3020">
        <v>6.2</v>
      </c>
      <c r="CU326" s="3020">
        <v>6.9</v>
      </c>
    </row>
    <row r="327" spans="1:99" s="3020" customFormat="1">
      <c r="A327" s="3012"/>
      <c r="B327" s="3024"/>
      <c r="C327" s="3024"/>
      <c r="D327" s="3024"/>
      <c r="E327" s="3024"/>
      <c r="F327" s="3024"/>
      <c r="G327" s="3024"/>
      <c r="H327" s="3024"/>
      <c r="I327" s="3024"/>
      <c r="J327" s="3024"/>
      <c r="K327" s="3024"/>
      <c r="L327" s="3024"/>
      <c r="M327" s="3024"/>
      <c r="N327" s="3024"/>
      <c r="O327" s="3024"/>
      <c r="P327" s="3024"/>
      <c r="Q327" s="3024"/>
      <c r="R327" s="3024"/>
      <c r="S327" s="3024"/>
      <c r="T327" s="3024"/>
      <c r="U327" s="3024"/>
      <c r="V327" s="3024"/>
      <c r="W327" s="3024"/>
      <c r="X327" s="3024"/>
      <c r="Y327" s="3024"/>
      <c r="Z327" s="3024"/>
      <c r="AA327" s="3024"/>
      <c r="AB327" s="3024"/>
      <c r="AC327" s="3024"/>
      <c r="AD327" s="3024"/>
      <c r="AE327" s="3024"/>
      <c r="AF327" s="3024"/>
      <c r="AG327" s="3024"/>
      <c r="AH327" s="3024"/>
      <c r="AI327" s="3024"/>
      <c r="AJ327" s="3024"/>
      <c r="AK327" s="3024"/>
      <c r="AL327" s="3024"/>
      <c r="AM327" s="3024"/>
      <c r="AN327" s="3024"/>
      <c r="AO327" s="3024"/>
      <c r="AP327" s="3024"/>
      <c r="AQ327" s="3024"/>
      <c r="AR327" s="3024"/>
      <c r="AS327" s="3024"/>
      <c r="AT327" s="3024"/>
      <c r="AU327" s="3024"/>
      <c r="AV327" s="3024"/>
      <c r="AW327" s="3024"/>
      <c r="AX327" s="3024"/>
      <c r="AY327" s="3024"/>
      <c r="BA327" s="3024"/>
      <c r="BB327" s="3024"/>
      <c r="BC327" s="3024"/>
      <c r="BD327" s="3024"/>
      <c r="BE327" s="3024"/>
      <c r="BF327" s="3024"/>
      <c r="BG327" s="3024"/>
      <c r="BH327" s="3024"/>
      <c r="BI327" s="3024"/>
      <c r="CR327" s="3020">
        <v>12.4</v>
      </c>
      <c r="CS327" s="3020">
        <v>12.9</v>
      </c>
      <c r="CT327" s="3020">
        <v>13.4</v>
      </c>
      <c r="CU327" s="3020">
        <v>14</v>
      </c>
    </row>
    <row r="328" spans="1:99" s="3020" customFormat="1">
      <c r="A328" s="3012"/>
    </row>
    <row r="329" spans="1:99" s="3020" customFormat="1">
      <c r="A329" s="3012"/>
      <c r="BA329" s="3146"/>
      <c r="BB329" s="3146"/>
      <c r="BC329" s="3146"/>
      <c r="BD329" s="3146"/>
      <c r="CR329" s="3020">
        <v>112</v>
      </c>
      <c r="CS329" s="3020">
        <v>116</v>
      </c>
      <c r="CT329" s="3020">
        <v>118</v>
      </c>
      <c r="CU329" s="3020">
        <v>120</v>
      </c>
    </row>
    <row r="330" spans="1:99" s="3035" customFormat="1">
      <c r="A330" s="3012"/>
      <c r="B330" s="3034" t="s">
        <v>2422</v>
      </c>
    </row>
    <row r="331" spans="1:99" s="3036" customFormat="1">
      <c r="A331" s="3012"/>
      <c r="B331" s="3036" t="s">
        <v>2423</v>
      </c>
    </row>
    <row r="332" spans="1:99" s="3036" customFormat="1">
      <c r="A332" s="3012"/>
    </row>
    <row r="333" spans="1:99" s="3036" customFormat="1">
      <c r="A333" s="3012"/>
      <c r="AY333" s="3037">
        <v>2007</v>
      </c>
      <c r="BA333" s="3037">
        <v>2012</v>
      </c>
      <c r="BB333" s="3037">
        <v>2017</v>
      </c>
      <c r="BC333" s="3037">
        <v>2022</v>
      </c>
      <c r="BD333" s="3037">
        <v>2027</v>
      </c>
      <c r="BE333" s="3037">
        <v>2032</v>
      </c>
      <c r="BF333" s="3037">
        <v>2037</v>
      </c>
      <c r="BG333" s="3037">
        <v>2042</v>
      </c>
      <c r="BH333" s="3037">
        <v>2047</v>
      </c>
      <c r="BI333" s="3037">
        <v>2052</v>
      </c>
    </row>
    <row r="334" spans="1:99" s="3036" customFormat="1">
      <c r="A334" s="3012"/>
    </row>
    <row r="335" spans="1:99" s="3036" customFormat="1">
      <c r="A335" s="3012"/>
      <c r="D335" s="3036" t="str">
        <f>"Coal Imports in "&amp;preferences.energyunits</f>
        <v>Coal Imports in TWh</v>
      </c>
      <c r="E335" s="3038"/>
      <c r="AY335" s="3039">
        <f ca="1">AY41</f>
        <v>312.87744559290513</v>
      </c>
      <c r="AZ335" s="3039"/>
      <c r="BA335" s="3039">
        <f t="shared" ref="BA335:BI335" ca="1" si="106">BA41</f>
        <v>533.85548221406225</v>
      </c>
      <c r="BB335" s="3039">
        <f t="shared" ca="1" si="106"/>
        <v>1349.5453480108031</v>
      </c>
      <c r="BC335" s="3039">
        <f t="shared" ca="1" si="106"/>
        <v>3068.214410803027</v>
      </c>
      <c r="BD335" s="3039">
        <f t="shared" ca="1" si="106"/>
        <v>5462.9307882709118</v>
      </c>
      <c r="BE335" s="3039">
        <f t="shared" ca="1" si="106"/>
        <v>8849.3886004507167</v>
      </c>
      <c r="BF335" s="3039">
        <f t="shared" ca="1" si="106"/>
        <v>11988.489821833136</v>
      </c>
      <c r="BG335" s="3039">
        <f t="shared" ca="1" si="106"/>
        <v>16113.370591179753</v>
      </c>
      <c r="BH335" s="3039">
        <f t="shared" ca="1" si="106"/>
        <v>19769.818192917424</v>
      </c>
      <c r="BI335" s="3039">
        <f t="shared" ca="1" si="106"/>
        <v>23701.654511114481</v>
      </c>
      <c r="BK335" s="3036">
        <v>46.5364</v>
      </c>
    </row>
    <row r="336" spans="1:99" s="3036" customFormat="1">
      <c r="A336" s="3012"/>
      <c r="D336" s="3036" t="str">
        <f>"Cost of Coal Imports in " &amp;Preferences.moneyunits&amp;"/"&amp;preferences.energyunits</f>
        <v>Cost of Coal Imports in INR Cr/TWh</v>
      </c>
      <c r="E336" s="3038"/>
      <c r="AY336" s="3036">
        <f>99*(USD2012_/unit.tce)</f>
        <v>127.74193548387096</v>
      </c>
      <c r="AZ336" s="3036">
        <f>0*(USD2012_/unit.tce)</f>
        <v>0</v>
      </c>
      <c r="BA336" s="3036">
        <f>99*(USD2012_/unit.tce)</f>
        <v>127.74193548387096</v>
      </c>
      <c r="BB336" s="3036">
        <f>99*(USD2012_/unit.tce)</f>
        <v>127.74193548387096</v>
      </c>
      <c r="BC336" s="3036">
        <f>112*(USD2012_/unit.tce)</f>
        <v>144.51612903225805</v>
      </c>
      <c r="BD336" s="3036">
        <f>116*(USD2012_/unit.tce)</f>
        <v>149.67741935483872</v>
      </c>
      <c r="BE336" s="3036">
        <f>118*(USD2012_/unit.tce)</f>
        <v>152.25806451612902</v>
      </c>
      <c r="BF336" s="3036">
        <f>120*(USD2012_/unit.tce)</f>
        <v>154.83870967741936</v>
      </c>
      <c r="BG336" s="3036">
        <f>120*(USD2012_/unit.tce)</f>
        <v>154.83870967741936</v>
      </c>
      <c r="BH336" s="3036">
        <f>120*(USD2012_/unit.tce)</f>
        <v>154.83870967741936</v>
      </c>
      <c r="BI336" s="3036">
        <f>120*(USD2012_/unit.tce)</f>
        <v>154.83870967741936</v>
      </c>
    </row>
    <row r="337" spans="1:64" s="3036" customFormat="1">
      <c r="A337" s="3012"/>
      <c r="D337" s="3036" t="str">
        <f>"Total Cost of Coal Imports "&amp;Preferences.moneyunits</f>
        <v>Total Cost of Coal Imports INR Cr</v>
      </c>
      <c r="E337" s="3038"/>
      <c r="AY337" s="3039">
        <f ca="1">AY335*AY336</f>
        <v>39967.570469287231</v>
      </c>
      <c r="AZ337" s="3039"/>
      <c r="BA337" s="3039">
        <f t="shared" ref="BA337:BI337" ca="1" si="107">BA335*BA336</f>
        <v>68195.73256669956</v>
      </c>
      <c r="BB337" s="3039">
        <f t="shared" ca="1" si="107"/>
        <v>172393.53477815419</v>
      </c>
      <c r="BC337" s="3039">
        <f t="shared" ca="1" si="107"/>
        <v>443406.46969024389</v>
      </c>
      <c r="BD337" s="3039">
        <f t="shared" ca="1" si="107"/>
        <v>817677.38250248495</v>
      </c>
      <c r="BE337" s="3039">
        <f t="shared" ca="1" si="107"/>
        <v>1347390.780455722</v>
      </c>
      <c r="BF337" s="3039">
        <f t="shared" ca="1" si="107"/>
        <v>1856282.2949935179</v>
      </c>
      <c r="BG337" s="3039">
        <f t="shared" ca="1" si="107"/>
        <v>2494973.5108923488</v>
      </c>
      <c r="BH337" s="3039">
        <f t="shared" ca="1" si="107"/>
        <v>3061133.1395485047</v>
      </c>
      <c r="BI337" s="3039">
        <f t="shared" ca="1" si="107"/>
        <v>3669933.601720952</v>
      </c>
    </row>
    <row r="338" spans="1:64" s="3036" customFormat="1">
      <c r="A338" s="3012"/>
      <c r="E338" s="3038"/>
      <c r="AY338" s="3039"/>
      <c r="AZ338" s="3039"/>
      <c r="BA338" s="3039"/>
      <c r="BB338" s="3039"/>
      <c r="BC338" s="3039"/>
      <c r="BD338" s="3039"/>
      <c r="BE338" s="3039"/>
      <c r="BF338" s="3039"/>
      <c r="BG338" s="3039"/>
      <c r="BH338" s="3039"/>
      <c r="BI338" s="3039"/>
    </row>
    <row r="339" spans="1:64" s="3036" customFormat="1">
      <c r="A339" s="3012"/>
      <c r="D339" s="3036" t="str">
        <f>"Oil Imports in "&amp;preferences.energyunits</f>
        <v>Oil Imports in TWh</v>
      </c>
      <c r="E339" s="3038"/>
      <c r="AY339" s="3039">
        <f ca="1">AY45</f>
        <v>1217.3455995924837</v>
      </c>
      <c r="AZ339" s="3039"/>
      <c r="BA339" s="3039">
        <f t="shared" ref="BA339:BI339" ca="1" si="108">BA45</f>
        <v>1466.5905800259968</v>
      </c>
      <c r="BB339" s="3039">
        <f t="shared" ca="1" si="108"/>
        <v>2100.3206137516681</v>
      </c>
      <c r="BC339" s="3039">
        <f t="shared" ca="1" si="108"/>
        <v>3054.2541317150194</v>
      </c>
      <c r="BD339" s="3039">
        <f t="shared" ca="1" si="108"/>
        <v>4102.7795788608364</v>
      </c>
      <c r="BE339" s="3039">
        <f t="shared" ca="1" si="108"/>
        <v>5330.667265334645</v>
      </c>
      <c r="BF339" s="3039">
        <f t="shared" ca="1" si="108"/>
        <v>6703.2930240172882</v>
      </c>
      <c r="BG339" s="3039">
        <f t="shared" ca="1" si="108"/>
        <v>8096.4219235944875</v>
      </c>
      <c r="BH339" s="3039">
        <f t="shared" ca="1" si="108"/>
        <v>9663.2311319982509</v>
      </c>
      <c r="BI339" s="3039">
        <f t="shared" ca="1" si="108"/>
        <v>11338.566432233665</v>
      </c>
    </row>
    <row r="340" spans="1:64" s="3036" customFormat="1">
      <c r="A340" s="3012"/>
      <c r="D340" s="3036" t="str">
        <f>"Cost of Oil Imports in " &amp;Preferences.moneyunits&amp;"/"&amp;preferences.energyunits</f>
        <v>Cost of Oil Imports in INR Cr/TWh</v>
      </c>
      <c r="E340" s="3038"/>
      <c r="AY340" s="3036">
        <f>109*(USD2012_/Unit.boe)</f>
        <v>401.67055644269749</v>
      </c>
      <c r="AZ340" s="3036">
        <f>0*(USD2012_/Unit.boe)</f>
        <v>0</v>
      </c>
      <c r="BA340" s="3036">
        <f>109*(USD2012_/Unit.boe)</f>
        <v>401.67055644269749</v>
      </c>
      <c r="BB340" s="3036">
        <f>109*(USD2012_/Unit.boe)</f>
        <v>401.67055644269749</v>
      </c>
      <c r="BC340" s="3036">
        <f>120*(USD2012_/Unit.boe)</f>
        <v>442.20611718462112</v>
      </c>
      <c r="BD340" s="3036">
        <f>127*(USD2012_/Unit.boe)</f>
        <v>468.00147402039067</v>
      </c>
      <c r="BE340" s="3036">
        <f>136*(USD2012_/Unit.boe)</f>
        <v>501.16693280923721</v>
      </c>
      <c r="BF340" s="3036">
        <f>145*(USD2012_/Unit.boe)</f>
        <v>534.33239159808386</v>
      </c>
      <c r="BG340" s="3036">
        <f>145*(USD2012_/Unit.boe)</f>
        <v>534.33239159808386</v>
      </c>
      <c r="BH340" s="3036">
        <f>145*(USD2012_/Unit.boe)</f>
        <v>534.33239159808386</v>
      </c>
      <c r="BI340" s="3036">
        <f>145*(USD2012_/Unit.boe)</f>
        <v>534.33239159808386</v>
      </c>
    </row>
    <row r="341" spans="1:64" s="3036" customFormat="1">
      <c r="A341" s="3012"/>
      <c r="D341" s="3036" t="str">
        <f>"Total Cost of Oil Imports "&amp;Preferences.moneyunits</f>
        <v>Total Cost of Oil Imports INR Cr</v>
      </c>
      <c r="E341" s="3038"/>
      <c r="AY341" s="3039">
        <f ca="1">AY339*AY340</f>
        <v>488971.88437138213</v>
      </c>
      <c r="AZ341" s="3039"/>
      <c r="BA341" s="3039">
        <f t="shared" ref="BA341:BI341" ca="1" si="109">BA339*BA340</f>
        <v>589086.25435266062</v>
      </c>
      <c r="BB341" s="3039">
        <f t="shared" ca="1" si="109"/>
        <v>843636.94963370042</v>
      </c>
      <c r="BC341" s="3039">
        <f t="shared" ca="1" si="109"/>
        <v>1350609.8604807851</v>
      </c>
      <c r="BD341" s="3039">
        <f t="shared" ca="1" si="109"/>
        <v>1920106.8904876292</v>
      </c>
      <c r="BE341" s="3039">
        <f t="shared" ca="1" si="109"/>
        <v>2671554.1631943681</v>
      </c>
      <c r="BF341" s="3039">
        <f t="shared" ca="1" si="109"/>
        <v>3581786.5931059094</v>
      </c>
      <c r="BG341" s="3039">
        <f t="shared" ca="1" si="109"/>
        <v>4326180.4898214014</v>
      </c>
      <c r="BH341" s="3039">
        <f t="shared" ca="1" si="109"/>
        <v>5163377.401325685</v>
      </c>
      <c r="BI341" s="3039">
        <f t="shared" ca="1" si="109"/>
        <v>6058563.3190291673</v>
      </c>
    </row>
    <row r="342" spans="1:64" s="3036" customFormat="1">
      <c r="A342" s="3012"/>
      <c r="E342" s="3038"/>
      <c r="AY342" s="3039"/>
      <c r="AZ342" s="3039"/>
      <c r="BA342" s="3039"/>
      <c r="BB342" s="3039"/>
      <c r="BC342" s="3039"/>
      <c r="BD342" s="3039"/>
      <c r="BE342" s="3039"/>
      <c r="BF342" s="3039"/>
      <c r="BG342" s="3039"/>
      <c r="BH342" s="3039"/>
      <c r="BI342" s="3039"/>
    </row>
    <row r="343" spans="1:64" s="3036" customFormat="1">
      <c r="A343" s="3012"/>
      <c r="D343" s="3036" t="str">
        <f>"Gas Imports in "&amp;preferences.energyunits</f>
        <v>Gas Imports in TWh</v>
      </c>
      <c r="E343" s="3038"/>
      <c r="AY343" s="3039">
        <f ca="1">AY47</f>
        <v>153.83385468740386</v>
      </c>
      <c r="AZ343" s="3039"/>
      <c r="BA343" s="3039">
        <f t="shared" ref="BA343:BI343" ca="1" si="110">BA47</f>
        <v>158.80496962180251</v>
      </c>
      <c r="BB343" s="3039">
        <f t="shared" ca="1" si="110"/>
        <v>447.28146847936694</v>
      </c>
      <c r="BC343" s="3039">
        <f t="shared" ca="1" si="110"/>
        <v>580.82834753994018</v>
      </c>
      <c r="BD343" s="3039">
        <f t="shared" ca="1" si="110"/>
        <v>719.79234346908368</v>
      </c>
      <c r="BE343" s="3039">
        <f t="shared" ca="1" si="110"/>
        <v>883.00958491906431</v>
      </c>
      <c r="BF343" s="3039">
        <f t="shared" ca="1" si="110"/>
        <v>1091.1358234381285</v>
      </c>
      <c r="BG343" s="3039">
        <f t="shared" ca="1" si="110"/>
        <v>1323.7322738925393</v>
      </c>
      <c r="BH343" s="3039">
        <f t="shared" ca="1" si="110"/>
        <v>1577.3126958590992</v>
      </c>
      <c r="BI343" s="3039">
        <f t="shared" ca="1" si="110"/>
        <v>1879.4436261638216</v>
      </c>
    </row>
    <row r="344" spans="1:64" s="3036" customFormat="1">
      <c r="A344" s="3012"/>
      <c r="D344" s="3036" t="str">
        <f>"Cost of Gas Imports in " &amp;Preferences.moneyunits&amp;"/"&amp;preferences.energyunits</f>
        <v>Cost of Gas Imports in INR Cr/TWh</v>
      </c>
      <c r="E344" s="3038"/>
      <c r="AY344" s="3036">
        <f>10.4*(USD2012_/unit.mmbtu)</f>
        <v>212.92890995260666</v>
      </c>
      <c r="AZ344" s="3036">
        <f>0*(USD2012_/unit.mmbtu)</f>
        <v>0</v>
      </c>
      <c r="BA344" s="3036">
        <f>10.4*(USD2012_/unit.mmbtu)</f>
        <v>212.92890995260666</v>
      </c>
      <c r="BB344" s="3036">
        <f>10.4*(USD2012_/unit.mmbtu)</f>
        <v>212.92890995260666</v>
      </c>
      <c r="BC344" s="3036">
        <f>10.8*(USD2012_/unit.mmbtu)</f>
        <v>221.11848341232232</v>
      </c>
      <c r="BD344" s="3036">
        <f>11.3*(USD2012_/unit.mmbtu)</f>
        <v>231.35545023696685</v>
      </c>
      <c r="BE344" s="3036">
        <f>11.8*(USD2012_/unit.mmbtu)</f>
        <v>241.5924170616114</v>
      </c>
      <c r="BF344" s="3036">
        <f>12.5*(USD2012_/unit.mmbtu)</f>
        <v>255.92417061611377</v>
      </c>
      <c r="BG344" s="3036">
        <f>12.5*(USD2012_/unit.mmbtu)</f>
        <v>255.92417061611377</v>
      </c>
      <c r="BH344" s="3036">
        <f>12.5*(USD2012_/unit.mmbtu)</f>
        <v>255.92417061611377</v>
      </c>
      <c r="BI344" s="3036">
        <f>12.5*(USD2012_/unit.mmbtu)</f>
        <v>255.92417061611377</v>
      </c>
    </row>
    <row r="345" spans="1:64" s="3036" customFormat="1">
      <c r="A345" s="3012"/>
      <c r="C345" s="3039"/>
      <c r="D345" s="3036" t="str">
        <f>"Total Cost of Gas Imports "&amp;Preferences.moneyunits</f>
        <v>Total Cost of Gas Imports INR Cr</v>
      </c>
      <c r="E345" s="3038"/>
      <c r="G345" s="3039"/>
      <c r="H345" s="3039"/>
      <c r="I345" s="3039"/>
      <c r="J345" s="3039"/>
      <c r="K345" s="3039"/>
      <c r="L345" s="3039"/>
      <c r="M345" s="3039"/>
      <c r="N345" s="3039"/>
      <c r="O345" s="3039"/>
      <c r="P345" s="3039"/>
      <c r="Q345" s="3039"/>
      <c r="R345" s="3039"/>
      <c r="S345" s="3039"/>
      <c r="T345" s="3039"/>
      <c r="U345" s="3039"/>
      <c r="V345" s="3039"/>
      <c r="W345" s="3039"/>
      <c r="X345" s="3039"/>
      <c r="Y345" s="3039"/>
      <c r="Z345" s="3039"/>
      <c r="AA345" s="3039"/>
      <c r="AB345" s="3039"/>
      <c r="AC345" s="3039"/>
      <c r="AD345" s="3039"/>
      <c r="AE345" s="3039"/>
      <c r="AF345" s="3039"/>
      <c r="AG345" s="3039"/>
      <c r="AH345" s="3039"/>
      <c r="AI345" s="3039"/>
      <c r="AJ345" s="3039"/>
      <c r="AK345" s="3039"/>
      <c r="AL345" s="3039"/>
      <c r="AM345" s="3039"/>
      <c r="AN345" s="3039"/>
      <c r="AO345" s="3039"/>
      <c r="AP345" s="3039"/>
      <c r="AQ345" s="3039"/>
      <c r="AR345" s="3039"/>
      <c r="AS345" s="3039"/>
      <c r="AT345" s="3039"/>
      <c r="AU345" s="3039"/>
      <c r="AV345" s="3039"/>
      <c r="AW345" s="3039"/>
      <c r="AY345" s="3039">
        <f ca="1">AY343*AY344</f>
        <v>32755.674992396594</v>
      </c>
      <c r="AZ345" s="3039"/>
      <c r="BA345" s="3039">
        <f t="shared" ref="BA345:BI345" ca="1" si="111">BA343*BA344</f>
        <v>33814.169076627222</v>
      </c>
      <c r="BB345" s="3039">
        <f t="shared" ca="1" si="111"/>
        <v>95239.155525312803</v>
      </c>
      <c r="BC345" s="3039">
        <f t="shared" ca="1" si="111"/>
        <v>128431.88333091684</v>
      </c>
      <c r="BD345" s="3039">
        <f t="shared" ca="1" si="111"/>
        <v>166527.88170041132</v>
      </c>
      <c r="BE345" s="3039">
        <f t="shared" ca="1" si="111"/>
        <v>213328.41990916696</v>
      </c>
      <c r="BF345" s="3039">
        <f t="shared" ca="1" si="111"/>
        <v>279248.03064293339</v>
      </c>
      <c r="BG345" s="3039">
        <f t="shared" ca="1" si="111"/>
        <v>338775.08431373048</v>
      </c>
      <c r="BH345" s="3039">
        <f t="shared" ca="1" si="111"/>
        <v>403672.4434900065</v>
      </c>
      <c r="BI345" s="3039">
        <f t="shared" ca="1" si="111"/>
        <v>480995.05124571745</v>
      </c>
      <c r="BJ345" s="3039"/>
      <c r="BK345" s="3039"/>
      <c r="BL345" s="3039"/>
    </row>
    <row r="346" spans="1:64" s="3036" customFormat="1">
      <c r="A346" s="3012"/>
      <c r="C346" s="3039"/>
      <c r="D346" s="3039"/>
      <c r="G346" s="3039"/>
      <c r="H346" s="3039"/>
      <c r="I346" s="3039"/>
      <c r="J346" s="3039"/>
      <c r="K346" s="3039"/>
      <c r="L346" s="3039"/>
      <c r="M346" s="3039"/>
      <c r="N346" s="3039"/>
      <c r="O346" s="3039"/>
      <c r="P346" s="3039"/>
      <c r="Q346" s="3039"/>
      <c r="R346" s="3039"/>
      <c r="S346" s="3039"/>
      <c r="T346" s="3039"/>
      <c r="U346" s="3039"/>
      <c r="V346" s="3039"/>
      <c r="W346" s="3039"/>
      <c r="X346" s="3039"/>
      <c r="Y346" s="3039"/>
      <c r="Z346" s="3039"/>
      <c r="AA346" s="3039"/>
      <c r="AB346" s="3039"/>
      <c r="AC346" s="3039"/>
      <c r="AD346" s="3039"/>
      <c r="AE346" s="3039"/>
      <c r="AF346" s="3039"/>
      <c r="AG346" s="3039"/>
      <c r="AH346" s="3039"/>
      <c r="AI346" s="3039"/>
      <c r="AJ346" s="3039"/>
      <c r="AK346" s="3039"/>
      <c r="AL346" s="3039"/>
      <c r="AM346" s="3039"/>
      <c r="AN346" s="3039"/>
      <c r="AO346" s="3039"/>
      <c r="AP346" s="3039"/>
      <c r="AQ346" s="3039"/>
      <c r="AR346" s="3039"/>
      <c r="AS346" s="3039"/>
      <c r="AT346" s="3039"/>
      <c r="AU346" s="3039"/>
      <c r="AV346" s="3039"/>
      <c r="AW346" s="3039"/>
      <c r="AY346" s="3045"/>
      <c r="AZ346" s="3039"/>
      <c r="BA346" s="3041"/>
      <c r="BB346" s="3102"/>
      <c r="BC346" s="3039"/>
      <c r="BD346" s="3039"/>
      <c r="BE346" s="3039"/>
      <c r="BF346" s="3045"/>
      <c r="BG346" s="3043"/>
      <c r="BH346" s="3043"/>
      <c r="BI346" s="3039"/>
      <c r="BJ346" s="3039"/>
      <c r="BK346" s="3039"/>
      <c r="BL346" s="3039"/>
    </row>
    <row r="347" spans="1:64" s="3036" customFormat="1">
      <c r="A347" s="3012"/>
      <c r="C347" s="3039"/>
      <c r="D347" s="3039"/>
      <c r="G347" s="3039"/>
      <c r="H347" s="3039"/>
      <c r="I347" s="3039"/>
      <c r="J347" s="3039"/>
      <c r="K347" s="3039"/>
      <c r="L347" s="3039"/>
      <c r="M347" s="3039"/>
      <c r="N347" s="3039"/>
      <c r="O347" s="3039"/>
      <c r="P347" s="3039"/>
      <c r="Q347" s="3039"/>
      <c r="R347" s="3039"/>
      <c r="S347" s="3039"/>
      <c r="T347" s="3039"/>
      <c r="U347" s="3039"/>
      <c r="V347" s="3039"/>
      <c r="W347" s="3039"/>
      <c r="X347" s="3039"/>
      <c r="Y347" s="3039"/>
      <c r="Z347" s="3039"/>
      <c r="AA347" s="3039"/>
      <c r="AB347" s="3039"/>
      <c r="AC347" s="3039"/>
      <c r="AD347" s="3039"/>
      <c r="AE347" s="3039"/>
      <c r="AF347" s="3039"/>
      <c r="AG347" s="3039"/>
      <c r="AH347" s="3039"/>
      <c r="AI347" s="3039"/>
      <c r="AJ347" s="3039"/>
      <c r="AK347" s="3039"/>
      <c r="AL347" s="3039"/>
      <c r="AM347" s="3039"/>
      <c r="AN347" s="3039"/>
      <c r="AO347" s="3039"/>
      <c r="AP347" s="3039"/>
      <c r="AQ347" s="3039"/>
      <c r="AR347" s="3039"/>
      <c r="AS347" s="3039"/>
      <c r="AT347" s="3039"/>
      <c r="AU347" s="3039"/>
      <c r="AV347" s="3039"/>
      <c r="AW347" s="3039"/>
      <c r="AY347" s="3045"/>
      <c r="AZ347" s="3039"/>
      <c r="BA347" s="3041"/>
      <c r="BB347" s="3102"/>
      <c r="BC347" s="3039"/>
      <c r="BD347" s="3039"/>
      <c r="BE347" s="3039"/>
      <c r="BF347" s="3045"/>
      <c r="BG347" s="3043"/>
      <c r="BH347" s="3043"/>
      <c r="BI347" s="3039"/>
      <c r="BJ347" s="3039"/>
      <c r="BK347" s="3039"/>
      <c r="BL347" s="3039"/>
    </row>
    <row r="348" spans="1:64" s="3036" customFormat="1">
      <c r="A348" s="3012"/>
      <c r="D348" s="3036" t="s">
        <v>768</v>
      </c>
      <c r="E348" s="3038"/>
      <c r="AY348" s="3039">
        <f ca="1">AY337</f>
        <v>39967.570469287231</v>
      </c>
      <c r="AZ348" s="3039"/>
      <c r="BA348" s="3039">
        <f t="shared" ref="BA348:BI348" ca="1" si="112">BA337</f>
        <v>68195.73256669956</v>
      </c>
      <c r="BB348" s="3039">
        <f t="shared" ca="1" si="112"/>
        <v>172393.53477815419</v>
      </c>
      <c r="BC348" s="3039">
        <f t="shared" ca="1" si="112"/>
        <v>443406.46969024389</v>
      </c>
      <c r="BD348" s="3039">
        <f t="shared" ca="1" si="112"/>
        <v>817677.38250248495</v>
      </c>
      <c r="BE348" s="3039">
        <f t="shared" ca="1" si="112"/>
        <v>1347390.780455722</v>
      </c>
      <c r="BF348" s="3039">
        <f t="shared" ca="1" si="112"/>
        <v>1856282.2949935179</v>
      </c>
      <c r="BG348" s="3039">
        <f t="shared" ca="1" si="112"/>
        <v>2494973.5108923488</v>
      </c>
      <c r="BH348" s="3039">
        <f t="shared" ca="1" si="112"/>
        <v>3061133.1395485047</v>
      </c>
      <c r="BI348" s="3039">
        <f t="shared" ca="1" si="112"/>
        <v>3669933.601720952</v>
      </c>
    </row>
    <row r="349" spans="1:64" s="3036" customFormat="1">
      <c r="A349" s="3012"/>
      <c r="C349" s="3039"/>
      <c r="D349" s="3036" t="s">
        <v>877</v>
      </c>
      <c r="E349" s="3038"/>
      <c r="G349" s="3039"/>
      <c r="H349" s="3039"/>
      <c r="I349" s="3039"/>
      <c r="J349" s="3039"/>
      <c r="K349" s="3039"/>
      <c r="L349" s="3039"/>
      <c r="M349" s="3039"/>
      <c r="N349" s="3039"/>
      <c r="O349" s="3039"/>
      <c r="P349" s="3039"/>
      <c r="Q349" s="3039"/>
      <c r="R349" s="3039"/>
      <c r="S349" s="3039"/>
      <c r="T349" s="3039"/>
      <c r="U349" s="3039"/>
      <c r="V349" s="3039"/>
      <c r="W349" s="3039"/>
      <c r="X349" s="3039"/>
      <c r="Y349" s="3039"/>
      <c r="Z349" s="3039"/>
      <c r="AA349" s="3039"/>
      <c r="AB349" s="3039"/>
      <c r="AC349" s="3039"/>
      <c r="AD349" s="3039"/>
      <c r="AE349" s="3039"/>
      <c r="AF349" s="3039"/>
      <c r="AG349" s="3039"/>
      <c r="AH349" s="3039"/>
      <c r="AI349" s="3039"/>
      <c r="AJ349" s="3039"/>
      <c r="AK349" s="3039"/>
      <c r="AL349" s="3039"/>
      <c r="AM349" s="3039"/>
      <c r="AN349" s="3039"/>
      <c r="AO349" s="3039"/>
      <c r="AP349" s="3039"/>
      <c r="AQ349" s="3039"/>
      <c r="AR349" s="3039"/>
      <c r="AS349" s="3039"/>
      <c r="AT349" s="3039"/>
      <c r="AU349" s="3039"/>
      <c r="AV349" s="3039"/>
      <c r="AW349" s="3039"/>
      <c r="AY349" s="3045">
        <f ca="1">AY341</f>
        <v>488971.88437138213</v>
      </c>
      <c r="AZ349" s="3039"/>
      <c r="BA349" s="3045">
        <f t="shared" ref="BA349:BI349" ca="1" si="113">BA341</f>
        <v>589086.25435266062</v>
      </c>
      <c r="BB349" s="3045">
        <f t="shared" ca="1" si="113"/>
        <v>843636.94963370042</v>
      </c>
      <c r="BC349" s="3045">
        <f t="shared" ca="1" si="113"/>
        <v>1350609.8604807851</v>
      </c>
      <c r="BD349" s="3045">
        <f t="shared" ca="1" si="113"/>
        <v>1920106.8904876292</v>
      </c>
      <c r="BE349" s="3045">
        <f t="shared" ca="1" si="113"/>
        <v>2671554.1631943681</v>
      </c>
      <c r="BF349" s="3045">
        <f t="shared" ca="1" si="113"/>
        <v>3581786.5931059094</v>
      </c>
      <c r="BG349" s="3045">
        <f t="shared" ca="1" si="113"/>
        <v>4326180.4898214014</v>
      </c>
      <c r="BH349" s="3045">
        <f t="shared" ca="1" si="113"/>
        <v>5163377.401325685</v>
      </c>
      <c r="BI349" s="3045">
        <f t="shared" ca="1" si="113"/>
        <v>6058563.3190291673</v>
      </c>
      <c r="BJ349" s="3039"/>
      <c r="BK349" s="3039"/>
      <c r="BL349" s="3039"/>
    </row>
    <row r="350" spans="1:64" s="3036" customFormat="1">
      <c r="A350" s="3012"/>
      <c r="C350" s="3039"/>
      <c r="D350" s="3036" t="s">
        <v>876</v>
      </c>
      <c r="E350" s="3038"/>
      <c r="G350" s="3039"/>
      <c r="H350" s="3039"/>
      <c r="I350" s="3039"/>
      <c r="J350" s="3039"/>
      <c r="K350" s="3039"/>
      <c r="L350" s="3039"/>
      <c r="M350" s="3039"/>
      <c r="N350" s="3039"/>
      <c r="O350" s="3039"/>
      <c r="P350" s="3039"/>
      <c r="Q350" s="3039"/>
      <c r="R350" s="3039"/>
      <c r="S350" s="3039"/>
      <c r="T350" s="3039"/>
      <c r="U350" s="3039"/>
      <c r="V350" s="3039"/>
      <c r="W350" s="3039"/>
      <c r="X350" s="3039"/>
      <c r="Y350" s="3039"/>
      <c r="Z350" s="3039"/>
      <c r="AA350" s="3039"/>
      <c r="AB350" s="3039"/>
      <c r="AC350" s="3039"/>
      <c r="AD350" s="3039"/>
      <c r="AE350" s="3039"/>
      <c r="AF350" s="3039"/>
      <c r="AG350" s="3039"/>
      <c r="AH350" s="3039"/>
      <c r="AI350" s="3039"/>
      <c r="AJ350" s="3039"/>
      <c r="AK350" s="3039"/>
      <c r="AL350" s="3039"/>
      <c r="AM350" s="3039"/>
      <c r="AN350" s="3039"/>
      <c r="AO350" s="3039"/>
      <c r="AP350" s="3039"/>
      <c r="AQ350" s="3039"/>
      <c r="AR350" s="3039"/>
      <c r="AS350" s="3039"/>
      <c r="AT350" s="3039"/>
      <c r="AU350" s="3039"/>
      <c r="AV350" s="3039"/>
      <c r="AW350" s="3039"/>
      <c r="AY350" s="3045">
        <f ca="1">AY345</f>
        <v>32755.674992396594</v>
      </c>
      <c r="AZ350" s="3039"/>
      <c r="BA350" s="3045">
        <f t="shared" ref="BA350:BI350" ca="1" si="114">BA345</f>
        <v>33814.169076627222</v>
      </c>
      <c r="BB350" s="3045">
        <f t="shared" ca="1" si="114"/>
        <v>95239.155525312803</v>
      </c>
      <c r="BC350" s="3045">
        <f t="shared" ca="1" si="114"/>
        <v>128431.88333091684</v>
      </c>
      <c r="BD350" s="3045">
        <f t="shared" ca="1" si="114"/>
        <v>166527.88170041132</v>
      </c>
      <c r="BE350" s="3045">
        <f t="shared" ca="1" si="114"/>
        <v>213328.41990916696</v>
      </c>
      <c r="BF350" s="3045">
        <f t="shared" ca="1" si="114"/>
        <v>279248.03064293339</v>
      </c>
      <c r="BG350" s="3045">
        <f t="shared" ca="1" si="114"/>
        <v>338775.08431373048</v>
      </c>
      <c r="BH350" s="3045">
        <f t="shared" ca="1" si="114"/>
        <v>403672.4434900065</v>
      </c>
      <c r="BI350" s="3045">
        <f t="shared" ca="1" si="114"/>
        <v>480995.05124571745</v>
      </c>
      <c r="BJ350" s="3039"/>
      <c r="BK350" s="3039"/>
      <c r="BL350" s="3039"/>
    </row>
    <row r="351" spans="1:64" s="3036" customFormat="1">
      <c r="A351" s="3012"/>
      <c r="C351" s="3039"/>
      <c r="D351" s="3043" t="s">
        <v>2524</v>
      </c>
      <c r="F351" s="3039"/>
      <c r="G351" s="3039"/>
      <c r="H351" s="3039"/>
      <c r="I351" s="3039"/>
      <c r="J351" s="3039"/>
      <c r="K351" s="3039"/>
      <c r="L351" s="3039"/>
      <c r="M351" s="3039"/>
      <c r="N351" s="3039"/>
      <c r="O351" s="3039"/>
      <c r="P351" s="3039"/>
      <c r="Q351" s="3039"/>
      <c r="R351" s="3039"/>
      <c r="S351" s="3039"/>
      <c r="T351" s="3039"/>
      <c r="U351" s="3039"/>
      <c r="V351" s="3039"/>
      <c r="W351" s="3039"/>
      <c r="X351" s="3039"/>
      <c r="Y351" s="3039"/>
      <c r="Z351" s="3039"/>
      <c r="AA351" s="3039"/>
      <c r="AB351" s="3039"/>
      <c r="AC351" s="3039"/>
      <c r="AD351" s="3039"/>
      <c r="AE351" s="3039"/>
      <c r="AF351" s="3039"/>
      <c r="AG351" s="3039"/>
      <c r="AH351" s="3039"/>
      <c r="AI351" s="3039"/>
      <c r="AJ351" s="3039"/>
      <c r="AK351" s="3039"/>
      <c r="AL351" s="3039"/>
      <c r="AM351" s="3039"/>
      <c r="AN351" s="3039"/>
      <c r="AO351" s="3039"/>
      <c r="AP351" s="3039"/>
      <c r="AQ351" s="3039"/>
      <c r="AR351" s="3039"/>
      <c r="AS351" s="3039"/>
      <c r="AT351" s="3039"/>
      <c r="AU351" s="3039"/>
      <c r="AV351" s="3039"/>
      <c r="AW351" s="3039"/>
      <c r="AY351" s="3045">
        <f ca="1">SUM(AY348:AY350)</f>
        <v>561695.12983306602</v>
      </c>
      <c r="BA351" s="3045">
        <f t="shared" ref="BA351:BI351" ca="1" si="115">SUM(BA348:BA350)</f>
        <v>691096.15599598747</v>
      </c>
      <c r="BB351" s="3045">
        <f t="shared" ca="1" si="115"/>
        <v>1111269.6399371675</v>
      </c>
      <c r="BC351" s="3045">
        <f t="shared" ca="1" si="115"/>
        <v>1922448.2135019458</v>
      </c>
      <c r="BD351" s="3045">
        <f t="shared" ca="1" si="115"/>
        <v>2904312.1546905255</v>
      </c>
      <c r="BE351" s="3045">
        <f t="shared" ca="1" si="115"/>
        <v>4232273.3635592572</v>
      </c>
      <c r="BF351" s="3045">
        <f t="shared" ca="1" si="115"/>
        <v>5717316.9187423605</v>
      </c>
      <c r="BG351" s="3045">
        <f t="shared" ca="1" si="115"/>
        <v>7159929.0850274814</v>
      </c>
      <c r="BH351" s="3045">
        <f t="shared" ca="1" si="115"/>
        <v>8628182.9843641967</v>
      </c>
      <c r="BI351" s="3045">
        <f t="shared" ca="1" si="115"/>
        <v>10209491.971995836</v>
      </c>
      <c r="BJ351" s="3039"/>
      <c r="BK351" s="3039"/>
      <c r="BL351" s="3039"/>
    </row>
    <row r="352" spans="1:64" s="3036" customFormat="1">
      <c r="A352" s="3012"/>
      <c r="C352" s="3039"/>
      <c r="D352" s="3043" t="s">
        <v>179</v>
      </c>
      <c r="E352" s="3036" t="str">
        <f>"The costs will be in "&amp;Preferences.moneyunits</f>
        <v>The costs will be in INR Cr</v>
      </c>
      <c r="F352" s="3039"/>
      <c r="G352" s="3039"/>
      <c r="H352" s="3039"/>
      <c r="I352" s="3039"/>
      <c r="J352" s="3039"/>
      <c r="K352" s="3039"/>
      <c r="L352" s="3039"/>
      <c r="M352" s="3039"/>
      <c r="N352" s="3039"/>
      <c r="O352" s="3039"/>
      <c r="P352" s="3039"/>
      <c r="Q352" s="3039"/>
      <c r="R352" s="3039"/>
      <c r="S352" s="3039"/>
      <c r="T352" s="3039"/>
      <c r="U352" s="3039"/>
      <c r="V352" s="3039"/>
      <c r="W352" s="3039"/>
      <c r="X352" s="3039"/>
      <c r="Y352" s="3039"/>
      <c r="Z352" s="3039"/>
      <c r="AA352" s="3039"/>
      <c r="AB352" s="3039"/>
      <c r="AC352" s="3039"/>
      <c r="AD352" s="3039"/>
      <c r="AE352" s="3039"/>
      <c r="AF352" s="3039"/>
      <c r="AG352" s="3039"/>
      <c r="AH352" s="3039"/>
      <c r="AI352" s="3039"/>
      <c r="AJ352" s="3039"/>
      <c r="AK352" s="3039"/>
      <c r="AL352" s="3039"/>
      <c r="AM352" s="3039"/>
      <c r="AN352" s="3039"/>
      <c r="AO352" s="3039"/>
      <c r="AP352" s="3039"/>
      <c r="AQ352" s="3039"/>
      <c r="AR352" s="3039"/>
      <c r="AS352" s="3039"/>
      <c r="AT352" s="3039"/>
      <c r="AU352" s="3039"/>
      <c r="AV352" s="3039"/>
      <c r="AW352" s="3039"/>
      <c r="AY352" s="3040"/>
      <c r="BA352" s="3041"/>
      <c r="BB352" s="3042"/>
      <c r="BF352" s="3040"/>
      <c r="BG352" s="3043"/>
      <c r="BH352" s="3043"/>
      <c r="BI352" s="3039"/>
      <c r="BJ352" s="3039"/>
      <c r="BK352" s="3039"/>
      <c r="BL352" s="3039"/>
    </row>
    <row r="353" spans="1:64" s="3036" customFormat="1">
      <c r="A353" s="3012"/>
      <c r="C353" s="3039"/>
      <c r="D353" s="3043"/>
      <c r="F353" s="3039"/>
      <c r="G353" s="3039"/>
      <c r="H353" s="3039"/>
      <c r="I353" s="3039"/>
      <c r="J353" s="3039"/>
      <c r="K353" s="3039"/>
      <c r="L353" s="3039"/>
      <c r="M353" s="3039"/>
      <c r="N353" s="3039"/>
      <c r="O353" s="3039"/>
      <c r="P353" s="3039"/>
      <c r="Q353" s="3039"/>
      <c r="R353" s="3039"/>
      <c r="S353" s="3039"/>
      <c r="T353" s="3039"/>
      <c r="U353" s="3039"/>
      <c r="V353" s="3039"/>
      <c r="W353" s="3039"/>
      <c r="X353" s="3039"/>
      <c r="Y353" s="3039"/>
      <c r="Z353" s="3039"/>
      <c r="AA353" s="3039"/>
      <c r="AB353" s="3039"/>
      <c r="AC353" s="3039"/>
      <c r="AD353" s="3039"/>
      <c r="AE353" s="3039"/>
      <c r="AF353" s="3039"/>
      <c r="AG353" s="3039"/>
      <c r="AH353" s="3039"/>
      <c r="AI353" s="3039"/>
      <c r="AJ353" s="3039"/>
      <c r="AK353" s="3039"/>
      <c r="AL353" s="3039"/>
      <c r="AM353" s="3039"/>
      <c r="AN353" s="3039"/>
      <c r="AO353" s="3039"/>
      <c r="AP353" s="3039"/>
      <c r="AQ353" s="3039"/>
      <c r="AR353" s="3039"/>
      <c r="AS353" s="3039"/>
      <c r="AT353" s="3039"/>
      <c r="AU353" s="3039"/>
      <c r="AV353" s="3039"/>
      <c r="AW353" s="3039"/>
      <c r="AY353" s="3040"/>
      <c r="BA353" s="3041"/>
      <c r="BB353" s="3042"/>
      <c r="BF353" s="3040"/>
      <c r="BG353" s="3043"/>
      <c r="BH353" s="3043"/>
      <c r="BI353" s="3039"/>
      <c r="BJ353" s="3039"/>
      <c r="BK353" s="3039"/>
      <c r="BL353" s="3039"/>
    </row>
    <row r="354" spans="1:64" s="3036" customFormat="1">
      <c r="A354" s="3012"/>
      <c r="C354" s="3039"/>
      <c r="D354" s="3043"/>
      <c r="F354" s="3039"/>
      <c r="G354" s="3039"/>
      <c r="H354" s="3039"/>
      <c r="I354" s="3039"/>
      <c r="J354" s="3039"/>
      <c r="K354" s="3039"/>
      <c r="L354" s="3039"/>
      <c r="M354" s="3039"/>
      <c r="N354" s="3039"/>
      <c r="O354" s="3039"/>
      <c r="P354" s="3039"/>
      <c r="Q354" s="3039"/>
      <c r="R354" s="3039"/>
      <c r="S354" s="3039"/>
      <c r="T354" s="3039"/>
      <c r="U354" s="3039"/>
      <c r="V354" s="3039"/>
      <c r="W354" s="3039"/>
      <c r="X354" s="3039"/>
      <c r="Y354" s="3039"/>
      <c r="Z354" s="3039"/>
      <c r="AA354" s="3039"/>
      <c r="AB354" s="3039"/>
      <c r="AC354" s="3039"/>
      <c r="AD354" s="3039"/>
      <c r="AE354" s="3039"/>
      <c r="AF354" s="3039"/>
      <c r="AG354" s="3039"/>
      <c r="AH354" s="3039"/>
      <c r="AI354" s="3039"/>
      <c r="AJ354" s="3039"/>
      <c r="AK354" s="3039"/>
      <c r="AL354" s="3039"/>
      <c r="AM354" s="3039"/>
      <c r="AN354" s="3039"/>
      <c r="AO354" s="3039"/>
      <c r="AP354" s="3039"/>
      <c r="AQ354" s="3039"/>
      <c r="AR354" s="3039"/>
      <c r="AS354" s="3039"/>
      <c r="AT354" s="3039"/>
      <c r="AU354" s="3039"/>
      <c r="AV354" s="3039"/>
      <c r="AW354" s="3039"/>
      <c r="AY354" s="3040"/>
      <c r="BA354" s="3041"/>
      <c r="BB354" s="3042"/>
      <c r="BF354" s="3040"/>
      <c r="BG354" s="3043"/>
      <c r="BH354" s="3043"/>
      <c r="BI354" s="3039"/>
      <c r="BJ354" s="3039"/>
      <c r="BK354" s="3039"/>
      <c r="BL354" s="3039"/>
    </row>
    <row r="355" spans="1:64" s="3036" customFormat="1">
      <c r="A355" s="3012"/>
      <c r="C355" s="3039"/>
      <c r="D355" s="3043"/>
      <c r="F355" s="3039"/>
      <c r="G355" s="3039"/>
      <c r="H355" s="3039"/>
      <c r="I355" s="3039"/>
      <c r="J355" s="3039"/>
      <c r="K355" s="3039"/>
      <c r="L355" s="3039"/>
      <c r="M355" s="3039"/>
      <c r="N355" s="3039"/>
      <c r="O355" s="3039"/>
      <c r="P355" s="3039"/>
      <c r="Q355" s="3039"/>
      <c r="R355" s="3039"/>
      <c r="S355" s="3039"/>
      <c r="T355" s="3039"/>
      <c r="U355" s="3039"/>
      <c r="V355" s="3039"/>
      <c r="W355" s="3039"/>
      <c r="X355" s="3039"/>
      <c r="Y355" s="3039"/>
      <c r="Z355" s="3039"/>
      <c r="AA355" s="3039"/>
      <c r="AB355" s="3039"/>
      <c r="AC355" s="3039"/>
      <c r="AD355" s="3039"/>
      <c r="AE355" s="3039"/>
      <c r="AF355" s="3039"/>
      <c r="AG355" s="3039"/>
      <c r="AH355" s="3039"/>
      <c r="AI355" s="3039"/>
      <c r="AJ355" s="3039"/>
      <c r="AK355" s="3039"/>
      <c r="AL355" s="3039"/>
      <c r="AM355" s="3039"/>
      <c r="AN355" s="3039"/>
      <c r="AO355" s="3039"/>
      <c r="AP355" s="3039"/>
      <c r="AQ355" s="3039"/>
      <c r="AR355" s="3039"/>
      <c r="AS355" s="3039"/>
      <c r="AT355" s="3039"/>
      <c r="AU355" s="3039"/>
      <c r="AV355" s="3039"/>
      <c r="AW355" s="3039"/>
      <c r="AY355" s="3040"/>
      <c r="BA355" s="3041"/>
      <c r="BB355" s="3042"/>
      <c r="BF355" s="3045"/>
      <c r="BG355" s="3043"/>
      <c r="BH355" s="3043"/>
      <c r="BI355" s="3039"/>
      <c r="BJ355" s="3039"/>
      <c r="BK355" s="3039"/>
      <c r="BL355" s="3039"/>
    </row>
    <row r="356" spans="1:64" s="3020" customFormat="1">
      <c r="A356" s="3012"/>
      <c r="C356" s="3046"/>
      <c r="D356" s="3047"/>
      <c r="F356" s="3046"/>
      <c r="G356" s="3046"/>
      <c r="H356" s="3046"/>
      <c r="I356" s="3046"/>
      <c r="J356" s="3046"/>
      <c r="K356" s="3046"/>
      <c r="L356" s="3046"/>
      <c r="M356" s="3046"/>
      <c r="N356" s="3046"/>
      <c r="O356" s="3046"/>
      <c r="P356" s="3046"/>
      <c r="Q356" s="3046"/>
      <c r="R356" s="3046"/>
      <c r="S356" s="3046"/>
      <c r="T356" s="3046"/>
      <c r="U356" s="3046"/>
      <c r="V356" s="3046"/>
      <c r="W356" s="3046"/>
      <c r="X356" s="3046"/>
      <c r="Y356" s="3046"/>
      <c r="Z356" s="3046"/>
      <c r="AA356" s="3046"/>
      <c r="AB356" s="3046"/>
      <c r="AC356" s="3046"/>
      <c r="AD356" s="3046"/>
      <c r="AE356" s="3046"/>
      <c r="AF356" s="3046"/>
      <c r="AG356" s="3046"/>
      <c r="AH356" s="3046"/>
      <c r="AI356" s="3046"/>
      <c r="AJ356" s="3046"/>
      <c r="AK356" s="3046"/>
      <c r="AL356" s="3046"/>
      <c r="AM356" s="3046"/>
      <c r="AN356" s="3046"/>
      <c r="AO356" s="3046"/>
      <c r="AP356" s="3046"/>
      <c r="AQ356" s="3046"/>
      <c r="AR356" s="3046"/>
      <c r="AS356" s="3046"/>
      <c r="AT356" s="3046"/>
      <c r="AU356" s="3046"/>
      <c r="AV356" s="3046"/>
      <c r="AW356" s="3046"/>
      <c r="AY356" s="3048"/>
      <c r="BA356" s="3049"/>
      <c r="BB356" s="3050"/>
      <c r="BF356" s="3051"/>
      <c r="BG356" s="3052"/>
      <c r="BH356" s="3052"/>
      <c r="BI356" s="3053"/>
      <c r="BJ356" s="3053"/>
      <c r="BK356" s="3053"/>
      <c r="BL356" s="3053"/>
    </row>
    <row r="357" spans="1:64" s="3020" customFormat="1">
      <c r="A357" s="3012"/>
      <c r="B357" s="3020" t="s">
        <v>2358</v>
      </c>
      <c r="C357" s="3046"/>
      <c r="D357" s="3047"/>
      <c r="F357" s="3046"/>
      <c r="G357" s="3046"/>
      <c r="H357" s="3046"/>
      <c r="I357" s="3046"/>
      <c r="J357" s="3046"/>
      <c r="K357" s="3046"/>
      <c r="L357" s="3046"/>
      <c r="M357" s="3046"/>
      <c r="N357" s="3046"/>
      <c r="O357" s="3046"/>
      <c r="P357" s="3046"/>
      <c r="Q357" s="3046"/>
      <c r="R357" s="3046"/>
      <c r="S357" s="3046"/>
      <c r="T357" s="3046"/>
      <c r="U357" s="3046"/>
      <c r="V357" s="3046"/>
      <c r="W357" s="3046"/>
      <c r="X357" s="3046"/>
      <c r="Y357" s="3046"/>
      <c r="Z357" s="3046"/>
      <c r="AA357" s="3046"/>
      <c r="AB357" s="3046"/>
      <c r="AC357" s="3046"/>
      <c r="AD357" s="3046"/>
      <c r="AE357" s="3046"/>
      <c r="AF357" s="3046"/>
      <c r="AG357" s="3046"/>
      <c r="AH357" s="3046"/>
      <c r="AI357" s="3046"/>
      <c r="AJ357" s="3046"/>
      <c r="AK357" s="3046"/>
      <c r="AL357" s="3046"/>
      <c r="AM357" s="3046"/>
      <c r="AN357" s="3046"/>
      <c r="AO357" s="3046"/>
      <c r="AP357" s="3046"/>
      <c r="AQ357" s="3046"/>
      <c r="AR357" s="3046"/>
      <c r="AS357" s="3046"/>
      <c r="AT357" s="3046"/>
      <c r="AU357" s="3046"/>
      <c r="AV357" s="3046"/>
      <c r="AW357" s="3046"/>
      <c r="AY357" s="3048"/>
      <c r="BA357" s="3049"/>
      <c r="BB357" s="3050"/>
      <c r="BF357" s="3054"/>
      <c r="BG357" s="3055"/>
      <c r="BH357" s="3055"/>
      <c r="BI357" s="3056"/>
      <c r="BJ357" s="3056"/>
      <c r="BK357" s="3056"/>
      <c r="BL357" s="3056"/>
    </row>
    <row r="358" spans="1:64" s="3020" customFormat="1">
      <c r="A358" s="3012"/>
      <c r="C358" s="3046"/>
      <c r="D358" s="3047"/>
      <c r="F358" s="3046"/>
      <c r="G358" s="3046"/>
      <c r="H358" s="3046"/>
      <c r="I358" s="3046"/>
      <c r="J358" s="3046"/>
      <c r="K358" s="3046"/>
      <c r="L358" s="3046"/>
      <c r="M358" s="3046"/>
      <c r="N358" s="3046"/>
      <c r="O358" s="3046"/>
      <c r="P358" s="3046"/>
      <c r="Q358" s="3046"/>
      <c r="R358" s="3046"/>
      <c r="S358" s="3046"/>
      <c r="T358" s="3046"/>
      <c r="U358" s="3046"/>
      <c r="V358" s="3046"/>
      <c r="W358" s="3046"/>
      <c r="X358" s="3046"/>
      <c r="Y358" s="3046"/>
      <c r="Z358" s="3046"/>
      <c r="AA358" s="3046"/>
      <c r="AB358" s="3046"/>
      <c r="AC358" s="3046"/>
      <c r="AD358" s="3046"/>
      <c r="AE358" s="3046"/>
      <c r="AF358" s="3046"/>
      <c r="AG358" s="3046"/>
      <c r="AH358" s="3046"/>
      <c r="AI358" s="3046"/>
      <c r="AJ358" s="3046"/>
      <c r="AK358" s="3046"/>
      <c r="AL358" s="3046"/>
      <c r="AM358" s="3046"/>
      <c r="AN358" s="3046"/>
      <c r="AO358" s="3046"/>
      <c r="AP358" s="3046"/>
      <c r="AQ358" s="3046"/>
      <c r="AR358" s="3046"/>
      <c r="AS358" s="3046"/>
      <c r="AT358" s="3046"/>
      <c r="AU358" s="3046"/>
      <c r="AV358" s="3046"/>
      <c r="AW358" s="3046"/>
      <c r="AY358" s="3048"/>
      <c r="BA358" s="3049"/>
      <c r="BB358" s="3050"/>
      <c r="BF358" s="3048"/>
      <c r="BG358" s="3047"/>
      <c r="BH358" s="3047"/>
      <c r="BI358" s="3046"/>
      <c r="BJ358" s="3046"/>
      <c r="BK358" s="3046"/>
      <c r="BL358" s="3046"/>
    </row>
    <row r="359" spans="1:64" s="3020" customFormat="1">
      <c r="A359" s="3012"/>
      <c r="C359" s="3046" t="s">
        <v>35</v>
      </c>
      <c r="D359" s="3047" t="str">
        <f>preferences.energyunits&amp;"/year"</f>
        <v>TWh/year</v>
      </c>
      <c r="F359" s="3046"/>
      <c r="G359" s="3046"/>
      <c r="H359" s="3046"/>
      <c r="I359" s="3046"/>
      <c r="J359" s="3046"/>
      <c r="K359" s="3046"/>
      <c r="L359" s="3046"/>
      <c r="M359" s="3046"/>
      <c r="N359" s="3046"/>
      <c r="O359" s="3046"/>
      <c r="P359" s="3046"/>
      <c r="Q359" s="3046"/>
      <c r="R359" s="3046"/>
      <c r="S359" s="3046"/>
      <c r="T359" s="3046"/>
      <c r="U359" s="3046"/>
      <c r="V359" s="3046"/>
      <c r="W359" s="3046"/>
      <c r="X359" s="3046"/>
      <c r="Y359" s="3046"/>
      <c r="Z359" s="3046"/>
      <c r="AA359" s="3046"/>
      <c r="AB359" s="3046"/>
      <c r="AC359" s="3046"/>
      <c r="AD359" s="3046"/>
      <c r="AE359" s="3046"/>
      <c r="AF359" s="3046"/>
      <c r="AG359" s="3046"/>
      <c r="AH359" s="3046"/>
      <c r="AI359" s="3046"/>
      <c r="AJ359" s="3046"/>
      <c r="AK359" s="3046"/>
      <c r="AL359" s="3046"/>
      <c r="AM359" s="3046"/>
      <c r="AN359" s="3046"/>
      <c r="AO359" s="3046"/>
      <c r="AP359" s="3046"/>
      <c r="AQ359" s="3046"/>
      <c r="AR359" s="3046"/>
      <c r="AS359" s="3046"/>
      <c r="AT359" s="3046"/>
      <c r="AU359" s="3046"/>
      <c r="AV359" s="3046"/>
      <c r="AW359" s="3046"/>
      <c r="AY359" s="3048">
        <v>2007</v>
      </c>
      <c r="BA359" s="3049">
        <f>AY359+5</f>
        <v>2012</v>
      </c>
      <c r="BB359" s="3050">
        <f t="shared" ref="BB359:BI359" si="116">BA359+5</f>
        <v>2017</v>
      </c>
      <c r="BC359" s="3020">
        <f t="shared" si="116"/>
        <v>2022</v>
      </c>
      <c r="BD359" s="3020">
        <f t="shared" si="116"/>
        <v>2027</v>
      </c>
      <c r="BE359" s="3020">
        <f t="shared" si="116"/>
        <v>2032</v>
      </c>
      <c r="BF359" s="3048">
        <f t="shared" si="116"/>
        <v>2037</v>
      </c>
      <c r="BG359" s="3047">
        <f t="shared" si="116"/>
        <v>2042</v>
      </c>
      <c r="BH359" s="3047">
        <f t="shared" si="116"/>
        <v>2047</v>
      </c>
      <c r="BI359" s="3046">
        <f t="shared" si="116"/>
        <v>2052</v>
      </c>
      <c r="BJ359" s="3046"/>
      <c r="BK359" s="3046"/>
      <c r="BL359" s="3046"/>
    </row>
    <row r="360" spans="1:64" s="3020" customFormat="1">
      <c r="A360" s="3012"/>
      <c r="C360" s="3046" t="s">
        <v>248</v>
      </c>
      <c r="D360" s="3047" t="str">
        <f>INDEX(Modules[Module], MATCH($C360, Modules[Code], 0))</f>
        <v>Gas Power Stations</v>
      </c>
      <c r="F360" s="3046"/>
      <c r="G360" s="3046"/>
      <c r="H360" s="3046"/>
      <c r="I360" s="3046"/>
      <c r="J360" s="3046"/>
      <c r="K360" s="3046"/>
      <c r="L360" s="3046"/>
      <c r="M360" s="3046"/>
      <c r="N360" s="3046"/>
      <c r="O360" s="3046"/>
      <c r="P360" s="3046"/>
      <c r="Q360" s="3046"/>
      <c r="R360" s="3046"/>
      <c r="S360" s="3046"/>
      <c r="T360" s="3046"/>
      <c r="U360" s="3046"/>
      <c r="V360" s="3046"/>
      <c r="W360" s="3046"/>
      <c r="X360" s="3046"/>
      <c r="Y360" s="3046"/>
      <c r="Z360" s="3046"/>
      <c r="AA360" s="3046"/>
      <c r="AB360" s="3046"/>
      <c r="AC360" s="3046"/>
      <c r="AD360" s="3046"/>
      <c r="AE360" s="3046"/>
      <c r="AF360" s="3046"/>
      <c r="AG360" s="3046"/>
      <c r="AH360" s="3046">
        <f>221.2*Unit.TWh</f>
        <v>221.2</v>
      </c>
      <c r="AI360" s="3046">
        <f>214.6*Unit.TWh</f>
        <v>214.6</v>
      </c>
      <c r="AJ360" s="3046">
        <f>221.2*Unit.TWh</f>
        <v>221.2</v>
      </c>
      <c r="AK360" s="3046">
        <f>226.3*Unit.TWh</f>
        <v>226.3</v>
      </c>
      <c r="AL360" s="3046">
        <f>241.6*Unit.TWh</f>
        <v>241.6</v>
      </c>
      <c r="AM360" s="3046">
        <f>248.5*Unit.TWh</f>
        <v>248.5</v>
      </c>
      <c r="AN360" s="3046">
        <f>250.7*Unit.TWh</f>
        <v>250.7</v>
      </c>
      <c r="AO360" s="3046">
        <f>258.7*Unit.TWh</f>
        <v>258.7</v>
      </c>
      <c r="AP360" s="3046">
        <f>262.6*Unit.TWh</f>
        <v>262.60000000000002</v>
      </c>
      <c r="AQ360" s="3046">
        <f>264.2*Unit.TWh</f>
        <v>264.2</v>
      </c>
      <c r="AR360" s="3046">
        <f>267.6*Unit.TWh</f>
        <v>267.60000000000002</v>
      </c>
      <c r="AS360" s="3046">
        <f>276.5*Unit.TWh</f>
        <v>276.5</v>
      </c>
      <c r="AT360" s="3046">
        <f>279.3*Unit.TWh</f>
        <v>279.3</v>
      </c>
      <c r="AU360" s="3046">
        <f>250.1*Unit.TWh</f>
        <v>250.1</v>
      </c>
      <c r="AV360" s="3046">
        <f>263.1*Unit.TWh</f>
        <v>263.10000000000002</v>
      </c>
      <c r="AW360" s="3046" t="s">
        <v>1150</v>
      </c>
      <c r="AY360" s="3058">
        <f t="shared" ref="AY360:AY373" ca="1" si="117">INDEX(INDIRECT("'"&amp;AY$4&amp;"'!Year.Matrix"), MATCH($C360, INDIRECT("'"&amp;AY$4&amp;"'!Year.Modules"), 0), MATCH($C$110, INDIRECT("'"&amp;AY$4&amp;"'!Year.Vectors"), 0))</f>
        <v>64.008837597600007</v>
      </c>
      <c r="BA360" s="3058">
        <f t="shared" ref="BA360:BI373" ca="1" si="118">INDEX(INDIRECT("'"&amp;BA$4&amp;"'!Year.Matrix"), MATCH($C360, INDIRECT("'"&amp;BA$4&amp;"'!Year.Modules"), 0), MATCH($C$110, INDIRECT("'"&amp;BA$4&amp;"'!Year.Vectors"), 0))</f>
        <v>96.596143677000001</v>
      </c>
      <c r="BB360" s="3058">
        <f t="shared" ca="1" si="118"/>
        <v>109.8605340414</v>
      </c>
      <c r="BC360" s="3058">
        <f t="shared" ca="1" si="118"/>
        <v>109.8605340414</v>
      </c>
      <c r="BD360" s="3058">
        <f t="shared" ca="1" si="118"/>
        <v>109.8605340414</v>
      </c>
      <c r="BE360" s="3058">
        <f t="shared" ca="1" si="118"/>
        <v>109.8605340414</v>
      </c>
      <c r="BF360" s="3058">
        <f t="shared" ca="1" si="118"/>
        <v>109.8605340414</v>
      </c>
      <c r="BG360" s="3058">
        <f t="shared" ca="1" si="118"/>
        <v>109.8605340414</v>
      </c>
      <c r="BH360" s="3058">
        <f t="shared" ca="1" si="118"/>
        <v>109.8605340414</v>
      </c>
      <c r="BI360" s="3058">
        <f t="shared" ca="1" si="118"/>
        <v>109.8605340414</v>
      </c>
      <c r="BJ360" s="3046"/>
      <c r="BK360" s="3046"/>
      <c r="BL360" s="3046"/>
    </row>
    <row r="361" spans="1:64" s="3020" customFormat="1">
      <c r="A361" s="3012"/>
      <c r="C361" s="3046" t="s">
        <v>278</v>
      </c>
      <c r="D361" s="3047" t="str">
        <f>INDEX(Modules[Module], MATCH($C361, Modules[Code], 0))</f>
        <v>Coal power stations</v>
      </c>
      <c r="F361" s="3046"/>
      <c r="G361" s="3046"/>
      <c r="H361" s="3046"/>
      <c r="I361" s="3046"/>
      <c r="J361" s="3046"/>
      <c r="K361" s="3046"/>
      <c r="L361" s="3046"/>
      <c r="M361" s="3046"/>
      <c r="N361" s="3046"/>
      <c r="O361" s="3046"/>
      <c r="P361" s="3046"/>
      <c r="Q361" s="3046"/>
      <c r="R361" s="3046"/>
      <c r="S361" s="3046"/>
      <c r="T361" s="3046"/>
      <c r="U361" s="3046"/>
      <c r="V361" s="3046"/>
      <c r="W361" s="3046"/>
      <c r="X361" s="3046"/>
      <c r="Y361" s="3046"/>
      <c r="Z361" s="3046"/>
      <c r="AA361" s="3046"/>
      <c r="AB361" s="3046"/>
      <c r="AC361" s="3046"/>
      <c r="AD361" s="3046"/>
      <c r="AE361" s="3046"/>
      <c r="AF361" s="3046"/>
      <c r="AG361" s="3046"/>
      <c r="AH361" s="3046"/>
      <c r="AI361" s="3046"/>
      <c r="AJ361" s="3046"/>
      <c r="AK361" s="3046"/>
      <c r="AL361" s="3046"/>
      <c r="AM361" s="3046"/>
      <c r="AN361" s="3046"/>
      <c r="AO361" s="3046"/>
      <c r="AP361" s="3046"/>
      <c r="AQ361" s="3046"/>
      <c r="AR361" s="3046"/>
      <c r="AS361" s="3046"/>
      <c r="AT361" s="3046"/>
      <c r="AU361" s="3046"/>
      <c r="AV361" s="3046"/>
      <c r="AW361" s="3046"/>
      <c r="AY361" s="3059">
        <f t="shared" ca="1" si="117"/>
        <v>489.68979840000003</v>
      </c>
      <c r="BA361" s="3058">
        <f t="shared" ca="1" si="118"/>
        <v>710.86285644904808</v>
      </c>
      <c r="BB361" s="3058">
        <f t="shared" ca="1" si="118"/>
        <v>987.43322456128158</v>
      </c>
      <c r="BC361" s="3058">
        <f t="shared" ca="1" si="118"/>
        <v>936.05697418960165</v>
      </c>
      <c r="BD361" s="3058">
        <f t="shared" ca="1" si="118"/>
        <v>857.50498844560173</v>
      </c>
      <c r="BE361" s="3058">
        <f t="shared" ca="1" si="118"/>
        <v>774.08352476560174</v>
      </c>
      <c r="BF361" s="3058">
        <f t="shared" ca="1" si="118"/>
        <v>711.69800024920607</v>
      </c>
      <c r="BG361" s="3058">
        <f t="shared" ca="1" si="118"/>
        <v>631.66170278920595</v>
      </c>
      <c r="BH361" s="3058">
        <f t="shared" ca="1" si="118"/>
        <v>563.12045398120586</v>
      </c>
      <c r="BI361" s="3058">
        <f t="shared" ca="1" si="118"/>
        <v>336.94328475400596</v>
      </c>
      <c r="BJ361" s="3046"/>
      <c r="BK361" s="3046"/>
      <c r="BL361" s="3046"/>
    </row>
    <row r="362" spans="1:64" s="3020" customFormat="1">
      <c r="A362" s="3012"/>
      <c r="C362" s="3046" t="s">
        <v>696</v>
      </c>
      <c r="D362" s="3047" t="str">
        <f>INDEX(Modules[Module], MATCH($C362, Modules[Code], 0))</f>
        <v>Carbon Capture Storage (CCS)</v>
      </c>
      <c r="F362" s="3046"/>
      <c r="G362" s="3046"/>
      <c r="H362" s="3046"/>
      <c r="I362" s="3046"/>
      <c r="J362" s="3046"/>
      <c r="K362" s="3046"/>
      <c r="L362" s="3046"/>
      <c r="M362" s="3046"/>
      <c r="N362" s="3046"/>
      <c r="O362" s="3046"/>
      <c r="P362" s="3046"/>
      <c r="Q362" s="3046"/>
      <c r="R362" s="3046"/>
      <c r="S362" s="3046"/>
      <c r="T362" s="3046"/>
      <c r="U362" s="3046"/>
      <c r="V362" s="3046"/>
      <c r="W362" s="3046"/>
      <c r="X362" s="3046"/>
      <c r="Y362" s="3046"/>
      <c r="Z362" s="3046"/>
      <c r="AA362" s="3046"/>
      <c r="AB362" s="3046"/>
      <c r="AC362" s="3046"/>
      <c r="AD362" s="3046"/>
      <c r="AE362" s="3046"/>
      <c r="AF362" s="3046"/>
      <c r="AG362" s="3046"/>
      <c r="AH362" s="3046"/>
      <c r="AI362" s="3046"/>
      <c r="AJ362" s="3046"/>
      <c r="AK362" s="3046"/>
      <c r="AL362" s="3046"/>
      <c r="AM362" s="3046"/>
      <c r="AN362" s="3046"/>
      <c r="AO362" s="3046"/>
      <c r="AP362" s="3046"/>
      <c r="AQ362" s="3046"/>
      <c r="AR362" s="3046"/>
      <c r="AS362" s="3046"/>
      <c r="AT362" s="3046"/>
      <c r="AU362" s="3046"/>
      <c r="AV362" s="3046"/>
      <c r="AW362" s="3046"/>
      <c r="AY362" s="3059">
        <f t="shared" ca="1" si="117"/>
        <v>0</v>
      </c>
      <c r="BA362" s="3058">
        <f t="shared" ca="1" si="118"/>
        <v>0</v>
      </c>
      <c r="BB362" s="3058">
        <f t="shared" ca="1" si="118"/>
        <v>0</v>
      </c>
      <c r="BC362" s="3058">
        <f t="shared" ca="1" si="118"/>
        <v>0</v>
      </c>
      <c r="BD362" s="3058">
        <f t="shared" ca="1" si="118"/>
        <v>0</v>
      </c>
      <c r="BE362" s="3058">
        <f t="shared" ca="1" si="118"/>
        <v>2.5772040000000001</v>
      </c>
      <c r="BF362" s="3058">
        <f t="shared" ca="1" si="118"/>
        <v>6.1362000000000005</v>
      </c>
      <c r="BG362" s="3058">
        <f t="shared" ca="1" si="118"/>
        <v>14.358708</v>
      </c>
      <c r="BH362" s="3058">
        <f t="shared" ca="1" si="118"/>
        <v>19.513116000000004</v>
      </c>
      <c r="BI362" s="3058">
        <f t="shared" ca="1" si="118"/>
        <v>27.244728000000002</v>
      </c>
      <c r="BJ362" s="3046"/>
      <c r="BK362" s="3046"/>
      <c r="BL362" s="3046"/>
    </row>
    <row r="363" spans="1:64" s="3020" customFormat="1">
      <c r="A363" s="3012"/>
      <c r="C363" s="3046" t="s">
        <v>1819</v>
      </c>
      <c r="D363" s="3047" t="str">
        <f>INDEX(Modules[Module], MATCH($C363, Modules[Code], 0))</f>
        <v>Electricity Balancing Requirement</v>
      </c>
      <c r="F363" s="3046"/>
      <c r="G363" s="3046"/>
      <c r="H363" s="3046"/>
      <c r="I363" s="3046"/>
      <c r="J363" s="3046"/>
      <c r="K363" s="3046"/>
      <c r="L363" s="3046"/>
      <c r="M363" s="3046"/>
      <c r="N363" s="3046"/>
      <c r="O363" s="3046"/>
      <c r="P363" s="3046"/>
      <c r="Q363" s="3046"/>
      <c r="R363" s="3046"/>
      <c r="S363" s="3046"/>
      <c r="T363" s="3046"/>
      <c r="U363" s="3046"/>
      <c r="V363" s="3046"/>
      <c r="W363" s="3046"/>
      <c r="X363" s="3046"/>
      <c r="Y363" s="3046"/>
      <c r="Z363" s="3046"/>
      <c r="AA363" s="3046"/>
      <c r="AB363" s="3046"/>
      <c r="AC363" s="3046"/>
      <c r="AD363" s="3046"/>
      <c r="AE363" s="3046"/>
      <c r="AF363" s="3046"/>
      <c r="AG363" s="3046"/>
      <c r="AH363" s="3046">
        <f>221.2*Unit.TWh</f>
        <v>221.2</v>
      </c>
      <c r="AI363" s="3046">
        <f>214.6*Unit.TWh</f>
        <v>214.6</v>
      </c>
      <c r="AJ363" s="3046">
        <f>221.2*Unit.TWh</f>
        <v>221.2</v>
      </c>
      <c r="AK363" s="3046">
        <f>226.3*Unit.TWh</f>
        <v>226.3</v>
      </c>
      <c r="AL363" s="3046">
        <f>241.6*Unit.TWh</f>
        <v>241.6</v>
      </c>
      <c r="AM363" s="3046">
        <f>248.5*Unit.TWh</f>
        <v>248.5</v>
      </c>
      <c r="AN363" s="3046">
        <f>250.7*Unit.TWh</f>
        <v>250.7</v>
      </c>
      <c r="AO363" s="3046">
        <f>258.7*Unit.TWh</f>
        <v>258.7</v>
      </c>
      <c r="AP363" s="3046">
        <f>262.6*Unit.TWh</f>
        <v>262.60000000000002</v>
      </c>
      <c r="AQ363" s="3046">
        <f>264.2*Unit.TWh</f>
        <v>264.2</v>
      </c>
      <c r="AR363" s="3046">
        <f>267.6*Unit.TWh</f>
        <v>267.60000000000002</v>
      </c>
      <c r="AS363" s="3046">
        <f>276.5*Unit.TWh</f>
        <v>276.5</v>
      </c>
      <c r="AT363" s="3046">
        <f>279.3*Unit.TWh</f>
        <v>279.3</v>
      </c>
      <c r="AU363" s="3046">
        <f>250.1*Unit.TWh</f>
        <v>250.1</v>
      </c>
      <c r="AV363" s="3046">
        <f>263.1*Unit.TWh</f>
        <v>263.10000000000002</v>
      </c>
      <c r="AW363" s="3046" t="s">
        <v>1135</v>
      </c>
      <c r="AX363" s="3020">
        <f t="shared" ref="AX363" si="119">AX360+AX361+AX362</f>
        <v>0</v>
      </c>
      <c r="AY363" s="3059">
        <f t="shared" ca="1" si="117"/>
        <v>57.253185663040085</v>
      </c>
      <c r="BA363" s="3058">
        <f t="shared" ca="1" si="118"/>
        <v>2.5585518968521228</v>
      </c>
      <c r="BB363" s="3058">
        <f t="shared" ca="1" si="118"/>
        <v>26.676280792411944</v>
      </c>
      <c r="BC363" s="3058">
        <f t="shared" ca="1" si="118"/>
        <v>633.96028414856255</v>
      </c>
      <c r="BD363" s="3058">
        <f t="shared" ca="1" si="118"/>
        <v>1436.0672738769088</v>
      </c>
      <c r="BE363" s="3058">
        <f t="shared" ca="1" si="118"/>
        <v>2499.5140421615743</v>
      </c>
      <c r="BF363" s="3058">
        <f t="shared" ca="1" si="118"/>
        <v>3442.540621324436</v>
      </c>
      <c r="BG363" s="3058">
        <f t="shared" ca="1" si="118"/>
        <v>4538.886109711163</v>
      </c>
      <c r="BH363" s="3058">
        <f t="shared" ca="1" si="118"/>
        <v>5541.1197894407087</v>
      </c>
      <c r="BI363" s="3058">
        <f t="shared" ca="1" si="118"/>
        <v>6841.2588476361761</v>
      </c>
      <c r="BJ363" s="3046"/>
      <c r="BK363" s="3046"/>
      <c r="BL363" s="3046"/>
    </row>
    <row r="364" spans="1:64" s="3020" customFormat="1">
      <c r="A364" s="3012"/>
      <c r="C364" s="3046" t="s">
        <v>61</v>
      </c>
      <c r="D364" s="3047" t="str">
        <f>INDEX(Modules[Module], MATCH($C364, Modules[Code], 0))</f>
        <v>Nuclear power</v>
      </c>
      <c r="F364" s="3046"/>
      <c r="G364" s="3046"/>
      <c r="H364" s="3046"/>
      <c r="I364" s="3046"/>
      <c r="J364" s="3046"/>
      <c r="K364" s="3046"/>
      <c r="L364" s="3046"/>
      <c r="M364" s="3046"/>
      <c r="N364" s="3046"/>
      <c r="O364" s="3046"/>
      <c r="P364" s="3046"/>
      <c r="Q364" s="3046"/>
      <c r="R364" s="3046"/>
      <c r="S364" s="3046"/>
      <c r="T364" s="3046"/>
      <c r="U364" s="3046"/>
      <c r="V364" s="3046"/>
      <c r="W364" s="3046"/>
      <c r="X364" s="3046"/>
      <c r="Y364" s="3046"/>
      <c r="Z364" s="3046"/>
      <c r="AA364" s="3046"/>
      <c r="AB364" s="3046"/>
      <c r="AC364" s="3046"/>
      <c r="AD364" s="3046"/>
      <c r="AE364" s="3046"/>
      <c r="AF364" s="3046"/>
      <c r="AG364" s="3046"/>
      <c r="AH364" s="3046"/>
      <c r="AI364" s="3046"/>
      <c r="AJ364" s="3046"/>
      <c r="AK364" s="3046"/>
      <c r="AL364" s="3046"/>
      <c r="AM364" s="3046"/>
      <c r="AN364" s="3046"/>
      <c r="AO364" s="3046"/>
      <c r="AP364" s="3046"/>
      <c r="AQ364" s="3046"/>
      <c r="AR364" s="3046"/>
      <c r="AS364" s="3046"/>
      <c r="AT364" s="3046"/>
      <c r="AU364" s="3046"/>
      <c r="AV364" s="3046"/>
      <c r="AW364" s="3046"/>
      <c r="AY364" s="3059">
        <f t="shared" ca="1" si="117"/>
        <v>28.331712000000003</v>
      </c>
      <c r="BA364" s="3058">
        <f t="shared" ca="1" si="118"/>
        <v>32.819904000000001</v>
      </c>
      <c r="BB364" s="3058">
        <f t="shared" ca="1" si="118"/>
        <v>69.987744000000006</v>
      </c>
      <c r="BC364" s="3058">
        <f t="shared" ca="1" si="118"/>
        <v>67.743648000000007</v>
      </c>
      <c r="BD364" s="3058">
        <f t="shared" ca="1" si="118"/>
        <v>67.743648000000007</v>
      </c>
      <c r="BE364" s="3058">
        <f t="shared" ca="1" si="118"/>
        <v>66.341088000000013</v>
      </c>
      <c r="BF364" s="3058">
        <f t="shared" ca="1" si="118"/>
        <v>63.255456000000002</v>
      </c>
      <c r="BG364" s="3058">
        <f t="shared" ca="1" si="118"/>
        <v>61.712640000000007</v>
      </c>
      <c r="BH364" s="3058">
        <f t="shared" ca="1" si="118"/>
        <v>58.627007999999996</v>
      </c>
      <c r="BI364" s="3058">
        <f t="shared" ca="1" si="118"/>
        <v>58.627007999999996</v>
      </c>
      <c r="BJ364" s="3046"/>
      <c r="BK364" s="3046"/>
      <c r="BL364" s="3046"/>
    </row>
    <row r="365" spans="1:64" s="3020" customFormat="1">
      <c r="A365" s="3012"/>
      <c r="C365" s="3046" t="s">
        <v>62</v>
      </c>
      <c r="D365" s="3047" t="str">
        <f>INDEX(Modules[Module], MATCH($C365, Modules[Code], 0))</f>
        <v>Hydro Power Generation</v>
      </c>
      <c r="F365" s="3046"/>
      <c r="G365" s="3046"/>
      <c r="H365" s="3046"/>
      <c r="I365" s="3046"/>
      <c r="J365" s="3046"/>
      <c r="K365" s="3046"/>
      <c r="L365" s="3046"/>
      <c r="M365" s="3046"/>
      <c r="N365" s="3046"/>
      <c r="O365" s="3046"/>
      <c r="P365" s="3046"/>
      <c r="Q365" s="3046"/>
      <c r="R365" s="3046"/>
      <c r="S365" s="3046"/>
      <c r="T365" s="3046"/>
      <c r="U365" s="3046"/>
      <c r="V365" s="3046"/>
      <c r="W365" s="3046"/>
      <c r="X365" s="3046"/>
      <c r="Y365" s="3046"/>
      <c r="Z365" s="3046"/>
      <c r="AA365" s="3046"/>
      <c r="AB365" s="3046"/>
      <c r="AC365" s="3046"/>
      <c r="AD365" s="3046"/>
      <c r="AE365" s="3046"/>
      <c r="AF365" s="3046"/>
      <c r="AG365" s="3046"/>
      <c r="AH365" s="3046">
        <f>85.8*Unit.TWh</f>
        <v>85.8</v>
      </c>
      <c r="AI365" s="3046">
        <f>89.3*Unit.TWh</f>
        <v>89.3</v>
      </c>
      <c r="AJ365" s="3046">
        <f>90.6*Unit.TWh</f>
        <v>90.6</v>
      </c>
      <c r="AK365" s="3046">
        <f>87.7*Unit.TWh</f>
        <v>87.7</v>
      </c>
      <c r="AL365" s="3046">
        <f>78.3*Unit.TWh</f>
        <v>78.3</v>
      </c>
      <c r="AM365" s="3046">
        <f>83*Unit.TWh</f>
        <v>83</v>
      </c>
      <c r="AN365" s="3046">
        <f>81.1*Unit.TWh</f>
        <v>81.099999999999994</v>
      </c>
      <c r="AO365" s="3046">
        <f>81.9*Unit.TWh</f>
        <v>81.900000000000006</v>
      </c>
      <c r="AP365" s="3046">
        <f>73.7*Unit.TWh</f>
        <v>73.7</v>
      </c>
      <c r="AQ365" s="3046">
        <f>75.2*Unit.TWh</f>
        <v>75.2</v>
      </c>
      <c r="AR365" s="3046">
        <f>69.2*Unit.TWh</f>
        <v>69.2</v>
      </c>
      <c r="AS365" s="3046">
        <f>57.2*Unit.TWh</f>
        <v>57.2</v>
      </c>
      <c r="AT365" s="3046">
        <f>47.7*Unit.TWh</f>
        <v>47.7</v>
      </c>
      <c r="AU365" s="3046">
        <f>62.8*Unit.TWh</f>
        <v>62.8</v>
      </c>
      <c r="AV365" s="3046">
        <f>56.5 *Unit.TWh</f>
        <v>56.5</v>
      </c>
      <c r="AW365" s="3046" t="s">
        <v>1151</v>
      </c>
      <c r="AY365" s="3058">
        <f t="shared" ca="1" si="117"/>
        <v>121.49675999999999</v>
      </c>
      <c r="BA365" s="3058">
        <f t="shared" ca="1" si="118"/>
        <v>143.76240000000001</v>
      </c>
      <c r="BB365" s="3058">
        <f t="shared" ca="1" si="118"/>
        <v>171.81360000000004</v>
      </c>
      <c r="BC365" s="3058">
        <f t="shared" ca="1" si="118"/>
        <v>171.81360000000004</v>
      </c>
      <c r="BD365" s="3058">
        <f t="shared" ca="1" si="118"/>
        <v>171.81360000000004</v>
      </c>
      <c r="BE365" s="3058">
        <f t="shared" ca="1" si="118"/>
        <v>171.81360000000004</v>
      </c>
      <c r="BF365" s="3058">
        <f t="shared" ca="1" si="118"/>
        <v>171.81360000000004</v>
      </c>
      <c r="BG365" s="3058">
        <f t="shared" ca="1" si="118"/>
        <v>171.81360000000004</v>
      </c>
      <c r="BH365" s="3058">
        <f t="shared" ca="1" si="118"/>
        <v>171.81360000000004</v>
      </c>
      <c r="BI365" s="3058">
        <f t="shared" ca="1" si="118"/>
        <v>171.81360000000004</v>
      </c>
      <c r="BJ365" s="3046"/>
      <c r="BK365" s="3046"/>
      <c r="BL365" s="3046"/>
    </row>
    <row r="366" spans="1:64" s="3020" customFormat="1">
      <c r="A366" s="3012"/>
      <c r="C366" s="3046" t="s">
        <v>311</v>
      </c>
      <c r="D366" s="3047" t="str">
        <f>INDEX(Modules[Module], MATCH($C366, Modules[Code], 0))</f>
        <v>Solar PV</v>
      </c>
      <c r="F366" s="3046"/>
      <c r="G366" s="3046"/>
      <c r="H366" s="3046"/>
      <c r="I366" s="3046"/>
      <c r="J366" s="3046"/>
      <c r="K366" s="3046"/>
      <c r="L366" s="3046"/>
      <c r="M366" s="3046"/>
      <c r="N366" s="3046"/>
      <c r="O366" s="3046"/>
      <c r="P366" s="3046"/>
      <c r="Q366" s="3046"/>
      <c r="R366" s="3046"/>
      <c r="S366" s="3046"/>
      <c r="T366" s="3046"/>
      <c r="U366" s="3046"/>
      <c r="V366" s="3046"/>
      <c r="W366" s="3046"/>
      <c r="X366" s="3046"/>
      <c r="Y366" s="3046"/>
      <c r="Z366" s="3046"/>
      <c r="AA366" s="3046"/>
      <c r="AB366" s="3046"/>
      <c r="AC366" s="3046"/>
      <c r="AD366" s="3046"/>
      <c r="AE366" s="3046"/>
      <c r="AF366" s="3046"/>
      <c r="AG366" s="3046"/>
      <c r="AH366" s="3046"/>
      <c r="AI366" s="3046"/>
      <c r="AJ366" s="3046"/>
      <c r="AK366" s="3046"/>
      <c r="AL366" s="3046"/>
      <c r="AM366" s="3046"/>
      <c r="AN366" s="3046"/>
      <c r="AO366" s="3046"/>
      <c r="AP366" s="3046"/>
      <c r="AQ366" s="3046"/>
      <c r="AR366" s="3046">
        <f>3.6*Unit.TWh</f>
        <v>3.6</v>
      </c>
      <c r="AS366" s="3046">
        <f>4.5*Unit.TWh</f>
        <v>4.5</v>
      </c>
      <c r="AT366" s="3046">
        <f>5.8*Unit.TWh</f>
        <v>5.8</v>
      </c>
      <c r="AU366" s="3046">
        <f>7.6*Unit.TWh</f>
        <v>7.6</v>
      </c>
      <c r="AV366" s="3046">
        <f>7.1*Unit.TWh</f>
        <v>7.1</v>
      </c>
      <c r="AW366" s="3046" t="s">
        <v>1152</v>
      </c>
      <c r="AY366" s="3058">
        <f t="shared" ca="1" si="117"/>
        <v>0</v>
      </c>
      <c r="BA366" s="3058">
        <f t="shared" ca="1" si="118"/>
        <v>1.56727314</v>
      </c>
      <c r="BB366" s="3058">
        <f t="shared" ca="1" si="118"/>
        <v>8.2727459460000006</v>
      </c>
      <c r="BC366" s="3058">
        <f t="shared" ca="1" si="118"/>
        <v>18.558353960999998</v>
      </c>
      <c r="BD366" s="3058">
        <f t="shared" ca="1" si="118"/>
        <v>32.792269185000002</v>
      </c>
      <c r="BE366" s="3058">
        <f t="shared" ca="1" si="118"/>
        <v>47.823373215000004</v>
      </c>
      <c r="BF366" s="3058">
        <f t="shared" ca="1" si="118"/>
        <v>60.992995229999998</v>
      </c>
      <c r="BG366" s="3058">
        <f t="shared" ca="1" si="118"/>
        <v>69.119910000000004</v>
      </c>
      <c r="BH366" s="3058">
        <f t="shared" ca="1" si="118"/>
        <v>68.111819999999994</v>
      </c>
      <c r="BI366" s="3058">
        <f t="shared" ca="1" si="118"/>
        <v>59.608800000000002</v>
      </c>
      <c r="BJ366" s="3046"/>
      <c r="BK366" s="3046"/>
      <c r="BL366" s="3046"/>
    </row>
    <row r="367" spans="1:64" s="3020" customFormat="1">
      <c r="A367" s="3012"/>
      <c r="C367" s="3046" t="s">
        <v>407</v>
      </c>
      <c r="D367" s="3047" t="str">
        <f>INDEX(Modules[Module], MATCH($C367, Modules[Code], 0))</f>
        <v>Solar CSP</v>
      </c>
      <c r="F367" s="3046"/>
      <c r="G367" s="3046"/>
      <c r="H367" s="3046"/>
      <c r="I367" s="3046"/>
      <c r="J367" s="3046"/>
      <c r="K367" s="3046"/>
      <c r="L367" s="3046"/>
      <c r="M367" s="3046"/>
      <c r="N367" s="3046"/>
      <c r="O367" s="3046"/>
      <c r="P367" s="3046"/>
      <c r="Q367" s="3046"/>
      <c r="R367" s="3046"/>
      <c r="S367" s="3046"/>
      <c r="T367" s="3046"/>
      <c r="U367" s="3046"/>
      <c r="V367" s="3046"/>
      <c r="W367" s="3046"/>
      <c r="X367" s="3046"/>
      <c r="Y367" s="3046"/>
      <c r="Z367" s="3046"/>
      <c r="AA367" s="3046"/>
      <c r="AB367" s="3046"/>
      <c r="AC367" s="3046"/>
      <c r="AD367" s="3046"/>
      <c r="AE367" s="3046"/>
      <c r="AF367" s="3046"/>
      <c r="AG367" s="3046"/>
      <c r="AH367" s="3046"/>
      <c r="AI367" s="3046"/>
      <c r="AJ367" s="3046"/>
      <c r="AK367" s="3046"/>
      <c r="AL367" s="3046"/>
      <c r="AM367" s="3046"/>
      <c r="AN367" s="3046"/>
      <c r="AO367" s="3046"/>
      <c r="AP367" s="3046"/>
      <c r="AQ367" s="3046"/>
      <c r="AR367" s="3046">
        <f>0.7*Unit.TWh</f>
        <v>0.7</v>
      </c>
      <c r="AS367" s="3046">
        <f>0.8*Unit.TWh</f>
        <v>0.8</v>
      </c>
      <c r="AT367" s="3046">
        <f>1.3*Unit.TWh</f>
        <v>1.3</v>
      </c>
      <c r="AU367" s="3046">
        <f>1.7*Unit.TWh</f>
        <v>1.7</v>
      </c>
      <c r="AV367" s="3046">
        <f>3*Unit.TWh</f>
        <v>3</v>
      </c>
      <c r="AW367" s="3046" t="s">
        <v>1153</v>
      </c>
      <c r="AY367" s="3058">
        <f t="shared" ca="1" si="117"/>
        <v>0</v>
      </c>
      <c r="BA367" s="3058">
        <f t="shared" ca="1" si="118"/>
        <v>0</v>
      </c>
      <c r="BB367" s="3058">
        <f t="shared" ca="1" si="118"/>
        <v>2.5246079999999997</v>
      </c>
      <c r="BC367" s="3058">
        <f t="shared" ca="1" si="118"/>
        <v>8.5731479999999998</v>
      </c>
      <c r="BD367" s="3058">
        <f t="shared" ca="1" si="118"/>
        <v>15.638544</v>
      </c>
      <c r="BE367" s="3058">
        <f t="shared" ca="1" si="118"/>
        <v>25.719444000000003</v>
      </c>
      <c r="BF367" s="3058">
        <f t="shared" ca="1" si="118"/>
        <v>33.784163999999997</v>
      </c>
      <c r="BG367" s="3058">
        <f t="shared" ca="1" si="118"/>
        <v>37.816524000000008</v>
      </c>
      <c r="BH367" s="3058">
        <f t="shared" ca="1" si="118"/>
        <v>35.291916000000001</v>
      </c>
      <c r="BI367" s="3058">
        <f t="shared" ca="1" si="118"/>
        <v>29.243376000000001</v>
      </c>
      <c r="BJ367" s="3046"/>
      <c r="BK367" s="3046"/>
      <c r="BL367" s="3046"/>
    </row>
    <row r="368" spans="1:64" s="3020" customFormat="1">
      <c r="A368" s="3012"/>
      <c r="C368" s="3046" t="s">
        <v>1071</v>
      </c>
      <c r="D368" s="3047" t="str">
        <f>INDEX(Modules[Module], MATCH($C368, Modules[Code], 0))</f>
        <v>Onshore Wind</v>
      </c>
      <c r="F368" s="3046"/>
      <c r="G368" s="3046"/>
      <c r="H368" s="3046"/>
      <c r="I368" s="3046"/>
      <c r="J368" s="3046"/>
      <c r="K368" s="3046"/>
      <c r="L368" s="3046"/>
      <c r="M368" s="3046"/>
      <c r="N368" s="3046"/>
      <c r="O368" s="3046"/>
      <c r="P368" s="3046"/>
      <c r="Q368" s="3046"/>
      <c r="R368" s="3046"/>
      <c r="S368" s="3046"/>
      <c r="T368" s="3046"/>
      <c r="U368" s="3046"/>
      <c r="V368" s="3046"/>
      <c r="W368" s="3046"/>
      <c r="X368" s="3046"/>
      <c r="Y368" s="3046"/>
      <c r="Z368" s="3046"/>
      <c r="AA368" s="3046"/>
      <c r="AB368" s="3046"/>
      <c r="AC368" s="3046"/>
      <c r="AD368" s="3046"/>
      <c r="AE368" s="3046"/>
      <c r="AF368" s="3046"/>
      <c r="AG368" s="3046"/>
      <c r="AH368" s="3046">
        <f>2.8*Unit.TWh</f>
        <v>2.8</v>
      </c>
      <c r="AI368" s="3046">
        <f>3.3*Unit.TWh</f>
        <v>3.3</v>
      </c>
      <c r="AJ368" s="3046">
        <f>4.2*Unit.TWh</f>
        <v>4.2</v>
      </c>
      <c r="AK368" s="3046">
        <f>4.4*Unit.TWh</f>
        <v>4.4000000000000004</v>
      </c>
      <c r="AL368" s="3046">
        <f>4.3*Unit.TWh</f>
        <v>4.3</v>
      </c>
      <c r="AM368" s="3046">
        <f>3.2*Unit.TWh</f>
        <v>3.2</v>
      </c>
      <c r="AN368" s="3046">
        <f>3.9*Unit.TWh</f>
        <v>3.9</v>
      </c>
      <c r="AO368" s="3046">
        <f>2.6*Unit.TWh</f>
        <v>2.6</v>
      </c>
      <c r="AP368" s="3046">
        <f>3.9*Unit.TWh</f>
        <v>3.9</v>
      </c>
      <c r="AQ368" s="3046">
        <f>3.8*Unit.TWh</f>
        <v>3.8</v>
      </c>
      <c r="AR368" s="3046">
        <f>3.7*Unit.TWh</f>
        <v>3.7</v>
      </c>
      <c r="AS368" s="3046">
        <f>4.1*Unit.TWh</f>
        <v>4.0999999999999996</v>
      </c>
      <c r="AT368" s="3046">
        <f>4.2*Unit.TWh</f>
        <v>4.2</v>
      </c>
      <c r="AU368" s="3046">
        <f>4.3*Unit.TWh</f>
        <v>4.3</v>
      </c>
      <c r="AV368" s="3046">
        <f>2.7*Unit.TWh</f>
        <v>2.7</v>
      </c>
      <c r="AW368" s="3046" t="s">
        <v>1154</v>
      </c>
      <c r="AY368" s="3058">
        <f t="shared" ca="1" si="117"/>
        <v>12.437183268</v>
      </c>
      <c r="BA368" s="3058">
        <f t="shared" ca="1" si="118"/>
        <v>18.722249233199999</v>
      </c>
      <c r="BB368" s="3058">
        <f t="shared" ca="1" si="118"/>
        <v>36.604889233199998</v>
      </c>
      <c r="BC368" s="3058">
        <f t="shared" ca="1" si="118"/>
        <v>58.519889233199997</v>
      </c>
      <c r="BD368" s="3058">
        <f t="shared" ca="1" si="118"/>
        <v>81.311489233199993</v>
      </c>
      <c r="BE368" s="3058">
        <f t="shared" ca="1" si="118"/>
        <v>110.89673923319999</v>
      </c>
      <c r="BF368" s="3058">
        <f t="shared" ca="1" si="118"/>
        <v>129.14055596519998</v>
      </c>
      <c r="BG368" s="3058">
        <f t="shared" ca="1" si="118"/>
        <v>139.86152999999999</v>
      </c>
      <c r="BH368" s="3058">
        <f t="shared" ca="1" si="118"/>
        <v>148.27688999999998</v>
      </c>
      <c r="BI368" s="3058">
        <f t="shared" ca="1" si="118"/>
        <v>148.80284999999998</v>
      </c>
      <c r="BJ368" s="3046"/>
      <c r="BK368" s="3046"/>
      <c r="BL368" s="3046"/>
    </row>
    <row r="369" spans="1:66" s="3020" customFormat="1">
      <c r="A369" s="3012"/>
      <c r="C369" s="3046" t="s">
        <v>1285</v>
      </c>
      <c r="D369" s="3047" t="str">
        <f>INDEX(Modules[Module], MATCH($C369, Modules[Code], 0))</f>
        <v>Offshore Wind</v>
      </c>
      <c r="F369" s="3046"/>
      <c r="G369" s="3046"/>
      <c r="H369" s="3046"/>
      <c r="I369" s="3046"/>
      <c r="J369" s="3046"/>
      <c r="K369" s="3046"/>
      <c r="L369" s="3046"/>
      <c r="M369" s="3046"/>
      <c r="N369" s="3046"/>
      <c r="O369" s="3046"/>
      <c r="P369" s="3046"/>
      <c r="Q369" s="3046"/>
      <c r="R369" s="3046"/>
      <c r="S369" s="3046"/>
      <c r="T369" s="3046"/>
      <c r="U369" s="3046"/>
      <c r="V369" s="3046"/>
      <c r="W369" s="3046"/>
      <c r="X369" s="3046"/>
      <c r="Y369" s="3046"/>
      <c r="Z369" s="3046"/>
      <c r="AA369" s="3046"/>
      <c r="AB369" s="3046"/>
      <c r="AC369" s="3046"/>
      <c r="AD369" s="3046"/>
      <c r="AE369" s="3046"/>
      <c r="AF369" s="3046"/>
      <c r="AG369" s="3046"/>
      <c r="AH369" s="3046"/>
      <c r="AI369" s="3046"/>
      <c r="AJ369" s="3046"/>
      <c r="AK369" s="3046"/>
      <c r="AL369" s="3046"/>
      <c r="AM369" s="3046"/>
      <c r="AN369" s="3046"/>
      <c r="AO369" s="3046"/>
      <c r="AP369" s="3046"/>
      <c r="AQ369" s="3046"/>
      <c r="AR369" s="3046"/>
      <c r="AS369" s="3046"/>
      <c r="AT369" s="3046"/>
      <c r="AU369" s="3046"/>
      <c r="AV369" s="3046"/>
      <c r="AW369" s="3046"/>
      <c r="AY369" s="3058">
        <f t="shared" ca="1" si="117"/>
        <v>0</v>
      </c>
      <c r="BA369" s="3058">
        <f t="shared" ca="1" si="118"/>
        <v>0</v>
      </c>
      <c r="BB369" s="3058">
        <f t="shared" ca="1" si="118"/>
        <v>0</v>
      </c>
      <c r="BC369" s="3058">
        <f t="shared" ca="1" si="118"/>
        <v>1.4463900000000003</v>
      </c>
      <c r="BD369" s="3058">
        <f t="shared" ca="1" si="118"/>
        <v>3.02427</v>
      </c>
      <c r="BE369" s="3058">
        <f t="shared" ca="1" si="118"/>
        <v>4.6021499999999991</v>
      </c>
      <c r="BF369" s="3058">
        <f t="shared" ca="1" si="118"/>
        <v>7.8455700000000004</v>
      </c>
      <c r="BG369" s="3058">
        <f t="shared" ca="1" si="118"/>
        <v>11.176649999999999</v>
      </c>
      <c r="BH369" s="3058">
        <f t="shared" ca="1" si="118"/>
        <v>12.88602</v>
      </c>
      <c r="BI369" s="3058">
        <f t="shared" ca="1" si="118"/>
        <v>13.148999999999999</v>
      </c>
      <c r="BJ369" s="3046"/>
      <c r="BK369" s="3046"/>
      <c r="BL369" s="3046"/>
    </row>
    <row r="370" spans="1:66" s="3020" customFormat="1">
      <c r="A370" s="3012"/>
      <c r="C370" s="3046" t="s">
        <v>1073</v>
      </c>
      <c r="D370" s="3047" t="str">
        <f>INDEX(Modules[Module], MATCH($C370, Modules[Code], 0))</f>
        <v>Small Hydro</v>
      </c>
      <c r="F370" s="3046"/>
      <c r="G370" s="3046"/>
      <c r="H370" s="3046"/>
      <c r="I370" s="3046"/>
      <c r="J370" s="3046"/>
      <c r="K370" s="3046"/>
      <c r="L370" s="3046"/>
      <c r="M370" s="3046"/>
      <c r="N370" s="3046"/>
      <c r="O370" s="3046"/>
      <c r="P370" s="3046"/>
      <c r="Q370" s="3046"/>
      <c r="R370" s="3046"/>
      <c r="S370" s="3046"/>
      <c r="T370" s="3046"/>
      <c r="U370" s="3046"/>
      <c r="V370" s="3046"/>
      <c r="W370" s="3046"/>
      <c r="X370" s="3046"/>
      <c r="Y370" s="3046"/>
      <c r="Z370" s="3046"/>
      <c r="AA370" s="3046"/>
      <c r="AB370" s="3046"/>
      <c r="AC370" s="3046"/>
      <c r="AD370" s="3046"/>
      <c r="AE370" s="3046"/>
      <c r="AF370" s="3046"/>
      <c r="AG370" s="3046"/>
      <c r="AH370" s="3046"/>
      <c r="AI370" s="3046"/>
      <c r="AJ370" s="3046"/>
      <c r="AK370" s="3046"/>
      <c r="AL370" s="3046"/>
      <c r="AM370" s="3046"/>
      <c r="AN370" s="3046"/>
      <c r="AO370" s="3046"/>
      <c r="AP370" s="3046"/>
      <c r="AQ370" s="3046"/>
      <c r="AR370" s="3046"/>
      <c r="AS370" s="3046"/>
      <c r="AT370" s="3046"/>
      <c r="AU370" s="3046"/>
      <c r="AV370" s="3046"/>
      <c r="AW370" s="3046"/>
      <c r="AY370" s="3058">
        <f t="shared" ca="1" si="117"/>
        <v>7.0138343880000011</v>
      </c>
      <c r="BA370" s="3058">
        <f t="shared" ca="1" si="118"/>
        <v>12.081458988000001</v>
      </c>
      <c r="BB370" s="3058">
        <f t="shared" ca="1" si="118"/>
        <v>17.604038988000003</v>
      </c>
      <c r="BC370" s="3058">
        <f t="shared" ca="1" si="118"/>
        <v>23.937473988000004</v>
      </c>
      <c r="BD370" s="3058">
        <f t="shared" ca="1" si="118"/>
        <v>27.750683988000002</v>
      </c>
      <c r="BE370" s="3058">
        <f t="shared" ca="1" si="118"/>
        <v>31.651553988000003</v>
      </c>
      <c r="BF370" s="3058">
        <f t="shared" ca="1" si="118"/>
        <v>33.623903988000002</v>
      </c>
      <c r="BG370" s="3058">
        <f t="shared" ca="1" si="118"/>
        <v>33.902259552000004</v>
      </c>
      <c r="BH370" s="3058">
        <f t="shared" ca="1" si="118"/>
        <v>34.790711183999996</v>
      </c>
      <c r="BI370" s="3058">
        <f t="shared" ca="1" si="118"/>
        <v>35.382416183999993</v>
      </c>
      <c r="BJ370" s="3046"/>
      <c r="BK370" s="3046"/>
      <c r="BL370" s="3046"/>
    </row>
    <row r="371" spans="1:66" s="3020" customFormat="1">
      <c r="A371" s="3012"/>
      <c r="C371" s="3046" t="s">
        <v>304</v>
      </c>
      <c r="D371" s="3047" t="str">
        <f>INDEX(Modules[Module], MATCH($C371, Modules[Code], 0))</f>
        <v>Biomass Based Electricity&amp; Biogas</v>
      </c>
      <c r="F371" s="3046"/>
      <c r="G371" s="3046"/>
      <c r="H371" s="3046"/>
      <c r="I371" s="3046"/>
      <c r="J371" s="3046"/>
      <c r="K371" s="3046"/>
      <c r="L371" s="3046"/>
      <c r="M371" s="3046"/>
      <c r="N371" s="3046"/>
      <c r="O371" s="3046"/>
      <c r="P371" s="3046"/>
      <c r="Q371" s="3046"/>
      <c r="R371" s="3046"/>
      <c r="S371" s="3046"/>
      <c r="T371" s="3046"/>
      <c r="U371" s="3046"/>
      <c r="V371" s="3046"/>
      <c r="W371" s="3046"/>
      <c r="X371" s="3046"/>
      <c r="Y371" s="3046"/>
      <c r="Z371" s="3046"/>
      <c r="AA371" s="3046"/>
      <c r="AB371" s="3046"/>
      <c r="AC371" s="3046"/>
      <c r="AD371" s="3046"/>
      <c r="AE371" s="3046"/>
      <c r="AF371" s="3046"/>
      <c r="AG371" s="3046"/>
      <c r="AH371" s="3046"/>
      <c r="AI371" s="3046"/>
      <c r="AJ371" s="3046"/>
      <c r="AK371" s="3046"/>
      <c r="AL371" s="3046"/>
      <c r="AM371" s="3046"/>
      <c r="AN371" s="3046"/>
      <c r="AO371" s="3046"/>
      <c r="AP371" s="3046"/>
      <c r="AQ371" s="3046"/>
      <c r="AR371" s="3046"/>
      <c r="AS371" s="3046"/>
      <c r="AT371" s="3046"/>
      <c r="AU371" s="3046"/>
      <c r="AV371" s="3046"/>
      <c r="AW371" s="3046"/>
      <c r="AY371" s="3058">
        <f t="shared" ca="1" si="117"/>
        <v>9.538388888888889</v>
      </c>
      <c r="BA371" s="3058">
        <f t="shared" ca="1" si="118"/>
        <v>9.7454499999999999</v>
      </c>
      <c r="BB371" s="3058">
        <f t="shared" ca="1" si="118"/>
        <v>11.119143750000001</v>
      </c>
      <c r="BC371" s="3058">
        <f t="shared" ca="1" si="118"/>
        <v>12.4928375</v>
      </c>
      <c r="BD371" s="3058">
        <f t="shared" ca="1" si="118"/>
        <v>13.866531250000003</v>
      </c>
      <c r="BE371" s="3058">
        <f t="shared" ca="1" si="118"/>
        <v>15.240225000000006</v>
      </c>
      <c r="BF371" s="3058">
        <f t="shared" ca="1" si="118"/>
        <v>16.613918750000003</v>
      </c>
      <c r="BG371" s="3058">
        <f t="shared" ca="1" si="118"/>
        <v>17.987612500000004</v>
      </c>
      <c r="BH371" s="3058">
        <f t="shared" ca="1" si="118"/>
        <v>19.361306250000005</v>
      </c>
      <c r="BI371" s="3058">
        <f t="shared" ca="1" si="118"/>
        <v>20.735000000000003</v>
      </c>
      <c r="BJ371" s="3046"/>
      <c r="BK371" s="3046"/>
      <c r="BL371" s="3046"/>
    </row>
    <row r="372" spans="1:66" s="3020" customFormat="1">
      <c r="A372" s="3012"/>
      <c r="C372" s="3046" t="s">
        <v>296</v>
      </c>
      <c r="D372" s="3047" t="str">
        <f>INDEX(Modules[Module], MATCH($C372, Modules[Code], 0))</f>
        <v>Waste to Electricity</v>
      </c>
      <c r="F372" s="3046"/>
      <c r="G372" s="3046"/>
      <c r="H372" s="3046"/>
      <c r="I372" s="3046"/>
      <c r="J372" s="3046"/>
      <c r="K372" s="3046"/>
      <c r="L372" s="3046"/>
      <c r="M372" s="3046"/>
      <c r="N372" s="3046"/>
      <c r="O372" s="3046"/>
      <c r="P372" s="3046"/>
      <c r="Q372" s="3046"/>
      <c r="R372" s="3046"/>
      <c r="S372" s="3046"/>
      <c r="T372" s="3046"/>
      <c r="U372" s="3046"/>
      <c r="V372" s="3046"/>
      <c r="W372" s="3046"/>
      <c r="X372" s="3046"/>
      <c r="Y372" s="3046"/>
      <c r="Z372" s="3046"/>
      <c r="AA372" s="3046"/>
      <c r="AB372" s="3046"/>
      <c r="AC372" s="3046"/>
      <c r="AD372" s="3046"/>
      <c r="AE372" s="3046"/>
      <c r="AF372" s="3046"/>
      <c r="AG372" s="3046"/>
      <c r="AH372" s="3046"/>
      <c r="AI372" s="3046"/>
      <c r="AJ372" s="3046"/>
      <c r="AK372" s="3046"/>
      <c r="AL372" s="3046"/>
      <c r="AM372" s="3046"/>
      <c r="AN372" s="3046"/>
      <c r="AO372" s="3046"/>
      <c r="AP372" s="3046"/>
      <c r="AQ372" s="3046"/>
      <c r="AR372" s="3046"/>
      <c r="AS372" s="3046"/>
      <c r="AT372" s="3046"/>
      <c r="AU372" s="3046"/>
      <c r="AV372" s="3046"/>
      <c r="AW372" s="3046"/>
      <c r="AY372" s="3058">
        <f t="shared" ca="1" si="117"/>
        <v>0</v>
      </c>
      <c r="BA372" s="3058">
        <f t="shared" ca="1" si="118"/>
        <v>0</v>
      </c>
      <c r="BB372" s="3058">
        <f t="shared" ca="1" si="118"/>
        <v>0</v>
      </c>
      <c r="BC372" s="3058">
        <f t="shared" ca="1" si="118"/>
        <v>0</v>
      </c>
      <c r="BD372" s="3058">
        <f t="shared" ca="1" si="118"/>
        <v>0</v>
      </c>
      <c r="BE372" s="3058">
        <f t="shared" ca="1" si="118"/>
        <v>0</v>
      </c>
      <c r="BF372" s="3058">
        <f t="shared" ca="1" si="118"/>
        <v>0</v>
      </c>
      <c r="BG372" s="3058">
        <f t="shared" ca="1" si="118"/>
        <v>0</v>
      </c>
      <c r="BH372" s="3058">
        <f t="shared" ca="1" si="118"/>
        <v>0</v>
      </c>
      <c r="BI372" s="3058">
        <f t="shared" ca="1" si="118"/>
        <v>0</v>
      </c>
      <c r="BJ372" s="3053"/>
      <c r="BK372" s="3053"/>
      <c r="BL372" s="3053"/>
    </row>
    <row r="373" spans="1:66" s="3020" customFormat="1">
      <c r="A373" s="3012"/>
      <c r="C373" s="3046" t="s">
        <v>263</v>
      </c>
      <c r="D373" s="3047" t="str">
        <f>INDEX(Modules[Module], MATCH($C373, Modules[Code], 0))</f>
        <v>Electricity imports</v>
      </c>
      <c r="F373" s="3046"/>
      <c r="G373" s="3046"/>
      <c r="H373" s="3046"/>
      <c r="I373" s="3046"/>
      <c r="J373" s="3046"/>
      <c r="K373" s="3046"/>
      <c r="L373" s="3046"/>
      <c r="M373" s="3046"/>
      <c r="N373" s="3046"/>
      <c r="O373" s="3046"/>
      <c r="P373" s="3046"/>
      <c r="Q373" s="3046"/>
      <c r="R373" s="3046"/>
      <c r="S373" s="3046"/>
      <c r="T373" s="3046"/>
      <c r="U373" s="3046"/>
      <c r="V373" s="3046"/>
      <c r="W373" s="3046"/>
      <c r="X373" s="3046"/>
      <c r="Y373" s="3046"/>
      <c r="Z373" s="3046"/>
      <c r="AA373" s="3046"/>
      <c r="AB373" s="3046"/>
      <c r="AC373" s="3046"/>
      <c r="AD373" s="3046"/>
      <c r="AE373" s="3046"/>
      <c r="AF373" s="3046"/>
      <c r="AG373" s="3046"/>
      <c r="AH373" s="3046"/>
      <c r="AI373" s="3046"/>
      <c r="AJ373" s="3046"/>
      <c r="AK373" s="3046"/>
      <c r="AL373" s="3046"/>
      <c r="AM373" s="3046"/>
      <c r="AN373" s="3046"/>
      <c r="AO373" s="3046"/>
      <c r="AP373" s="3046"/>
      <c r="AQ373" s="3046"/>
      <c r="AR373" s="3046">
        <f>7.9*Unit.TWh</f>
        <v>7.9</v>
      </c>
      <c r="AS373" s="3046">
        <f>9.4*Unit.TWh</f>
        <v>9.4</v>
      </c>
      <c r="AT373" s="3046">
        <f>11.3*Unit.TWh</f>
        <v>11.3</v>
      </c>
      <c r="AU373" s="3046">
        <f>13.6*Unit.TWh</f>
        <v>13.6</v>
      </c>
      <c r="AV373" s="3046">
        <f>12.9*Unit.TWh</f>
        <v>12.9</v>
      </c>
      <c r="AW373" s="3046" t="s">
        <v>1135</v>
      </c>
      <c r="AY373" s="3058">
        <f t="shared" ca="1" si="117"/>
        <v>1</v>
      </c>
      <c r="BA373" s="3058">
        <f t="shared" ca="1" si="118"/>
        <v>4</v>
      </c>
      <c r="BB373" s="3058">
        <f t="shared" ca="1" si="118"/>
        <v>14</v>
      </c>
      <c r="BC373" s="3058">
        <f t="shared" ca="1" si="118"/>
        <v>21</v>
      </c>
      <c r="BD373" s="3058">
        <f t="shared" ca="1" si="118"/>
        <v>31</v>
      </c>
      <c r="BE373" s="3058">
        <f t="shared" ca="1" si="118"/>
        <v>40</v>
      </c>
      <c r="BF373" s="3058">
        <f t="shared" ca="1" si="118"/>
        <v>49</v>
      </c>
      <c r="BG373" s="3058">
        <f t="shared" ca="1" si="118"/>
        <v>55</v>
      </c>
      <c r="BH373" s="3058">
        <f t="shared" ca="1" si="118"/>
        <v>55</v>
      </c>
      <c r="BI373" s="3058">
        <f t="shared" ca="1" si="118"/>
        <v>55</v>
      </c>
      <c r="BJ373" s="3046"/>
      <c r="BK373" s="3046"/>
      <c r="BL373" s="3046"/>
    </row>
    <row r="374" spans="1:66" s="3020" customFormat="1">
      <c r="A374" s="3012"/>
      <c r="C374" s="3046"/>
      <c r="D374" s="3047" t="s">
        <v>1155</v>
      </c>
      <c r="F374" s="3046"/>
      <c r="G374" s="3046"/>
      <c r="H374" s="3046"/>
      <c r="I374" s="3046"/>
      <c r="J374" s="3046"/>
      <c r="K374" s="3046"/>
      <c r="L374" s="3046"/>
      <c r="M374" s="3046"/>
      <c r="N374" s="3046"/>
      <c r="O374" s="3046"/>
      <c r="P374" s="3046"/>
      <c r="Q374" s="3046"/>
      <c r="R374" s="3046"/>
      <c r="S374" s="3046"/>
      <c r="T374" s="3046"/>
      <c r="U374" s="3046"/>
      <c r="V374" s="3046"/>
      <c r="W374" s="3046"/>
      <c r="X374" s="3046"/>
      <c r="Y374" s="3046"/>
      <c r="Z374" s="3046"/>
      <c r="AA374" s="3046"/>
      <c r="AB374" s="3046"/>
      <c r="AC374" s="3046"/>
      <c r="AD374" s="3046"/>
      <c r="AE374" s="3046"/>
      <c r="AF374" s="3046"/>
      <c r="AG374" s="3046"/>
      <c r="AH374" s="3046"/>
      <c r="AI374" s="3046"/>
      <c r="AJ374" s="3046"/>
      <c r="AK374" s="3046"/>
      <c r="AL374" s="3046"/>
      <c r="AM374" s="3046"/>
      <c r="AN374" s="3046"/>
      <c r="AO374" s="3046"/>
      <c r="AP374" s="3046"/>
      <c r="AQ374" s="3046"/>
      <c r="AR374" s="3046">
        <f>352.2*Unit.TWh</f>
        <v>352.2</v>
      </c>
      <c r="AS374" s="3046">
        <f>348.4*Unit.TWh</f>
        <v>348.4</v>
      </c>
      <c r="AT374" s="3046">
        <f>349.3*Unit.TWh</f>
        <v>349.3</v>
      </c>
      <c r="AU374" s="3046">
        <f>329.3*Unit.TWh</f>
        <v>329.3</v>
      </c>
      <c r="AV374" s="3046">
        <f>335.1*Unit.TWh</f>
        <v>335.1</v>
      </c>
      <c r="AW374" s="3046" t="s">
        <v>1135</v>
      </c>
      <c r="AY374" s="3058">
        <f ca="1">SUM(AY360:AY373)</f>
        <v>790.76970020552903</v>
      </c>
      <c r="BA374" s="3058">
        <f t="shared" ref="BA374:BI374" ca="1" si="120">SUM(BA360:BA373)</f>
        <v>1032.7162873841003</v>
      </c>
      <c r="BB374" s="3058">
        <f t="shared" ca="1" si="120"/>
        <v>1455.8968093122933</v>
      </c>
      <c r="BC374" s="3058">
        <f t="shared" ca="1" si="120"/>
        <v>2063.963133061764</v>
      </c>
      <c r="BD374" s="3058">
        <f t="shared" ca="1" si="120"/>
        <v>2848.373832020111</v>
      </c>
      <c r="BE374" s="3058">
        <f t="shared" ca="1" si="120"/>
        <v>3900.1234784047765</v>
      </c>
      <c r="BF374" s="3058">
        <f t="shared" ca="1" si="120"/>
        <v>4836.305519548243</v>
      </c>
      <c r="BG374" s="3058">
        <f t="shared" ca="1" si="120"/>
        <v>5893.1577805937695</v>
      </c>
      <c r="BH374" s="3058">
        <f t="shared" ca="1" si="120"/>
        <v>6837.7731648973158</v>
      </c>
      <c r="BI374" s="3058">
        <f t="shared" ca="1" si="120"/>
        <v>7907.6694446155834</v>
      </c>
      <c r="BJ374" s="3046"/>
      <c r="BK374" s="3046"/>
      <c r="BL374" s="3046"/>
    </row>
    <row r="375" spans="1:66">
      <c r="C375" s="359"/>
      <c r="D375" s="260"/>
      <c r="F375" s="359"/>
      <c r="G375" s="359"/>
      <c r="H375" s="359"/>
      <c r="I375" s="359"/>
      <c r="J375" s="359"/>
      <c r="K375" s="359"/>
      <c r="L375" s="359"/>
      <c r="M375" s="359"/>
      <c r="N375" s="359"/>
      <c r="O375" s="359"/>
      <c r="P375" s="359"/>
      <c r="Q375" s="359"/>
      <c r="R375" s="359"/>
      <c r="S375" s="359"/>
      <c r="T375" s="359"/>
      <c r="U375" s="359"/>
      <c r="V375" s="359"/>
      <c r="W375" s="359"/>
      <c r="X375" s="359"/>
      <c r="Y375" s="359"/>
      <c r="Z375" s="359"/>
      <c r="AA375" s="359"/>
      <c r="AB375" s="359"/>
      <c r="AC375" s="359"/>
      <c r="AD375" s="359"/>
      <c r="AE375" s="359"/>
      <c r="AF375" s="359"/>
      <c r="AG375" s="359"/>
      <c r="AH375" s="359"/>
      <c r="AI375" s="359"/>
      <c r="AJ375" s="359"/>
      <c r="AK375" s="359"/>
      <c r="AL375" s="359"/>
      <c r="AM375" s="359"/>
      <c r="AN375" s="359"/>
      <c r="AO375" s="359"/>
      <c r="AP375" s="359"/>
      <c r="AQ375" s="359"/>
      <c r="AR375" s="359"/>
      <c r="AS375" s="359"/>
      <c r="AT375" s="359"/>
      <c r="AU375" s="359"/>
      <c r="AV375" s="359"/>
      <c r="AW375" s="359"/>
      <c r="AY375" s="962"/>
      <c r="BA375" s="962"/>
      <c r="BB375" s="1303"/>
      <c r="BC375" s="1307"/>
      <c r="BG375" s="962"/>
      <c r="BH375" s="260"/>
      <c r="BI375" s="260"/>
      <c r="BK375" s="359"/>
      <c r="BL375" s="359"/>
      <c r="BM375" s="359"/>
    </row>
    <row r="376" spans="1:66">
      <c r="C376" s="359"/>
      <c r="D376" s="260"/>
      <c r="F376" s="359"/>
      <c r="G376" s="359"/>
      <c r="H376" s="359"/>
      <c r="I376" s="359"/>
      <c r="J376" s="359"/>
      <c r="K376" s="359"/>
      <c r="L376" s="359"/>
      <c r="M376" s="359"/>
      <c r="N376" s="359"/>
      <c r="O376" s="359"/>
      <c r="P376" s="359"/>
      <c r="Q376" s="359"/>
      <c r="R376" s="359"/>
      <c r="S376" s="359"/>
      <c r="T376" s="359"/>
      <c r="U376" s="359"/>
      <c r="V376" s="359"/>
      <c r="W376" s="359"/>
      <c r="X376" s="359"/>
      <c r="Y376" s="359"/>
      <c r="Z376" s="359"/>
      <c r="AA376" s="359"/>
      <c r="AB376" s="359"/>
      <c r="AC376" s="359"/>
      <c r="AD376" s="359"/>
      <c r="AE376" s="359"/>
      <c r="AF376" s="359"/>
      <c r="AG376" s="359"/>
      <c r="AH376" s="359"/>
      <c r="AI376" s="359"/>
      <c r="AJ376" s="359"/>
      <c r="AK376" s="359"/>
      <c r="AL376" s="359"/>
      <c r="AM376" s="359"/>
      <c r="AN376" s="359"/>
      <c r="AO376" s="359"/>
      <c r="AP376" s="359"/>
      <c r="AQ376" s="359"/>
      <c r="AR376" s="359"/>
      <c r="AS376" s="359"/>
      <c r="AT376" s="359"/>
      <c r="AU376" s="359"/>
      <c r="AV376" s="359"/>
      <c r="AW376" s="359"/>
      <c r="AY376" s="962"/>
      <c r="BA376" s="962"/>
      <c r="BB376" s="1303"/>
      <c r="BC376" s="1307"/>
      <c r="BG376" s="962"/>
      <c r="BH376" s="260"/>
      <c r="BI376" s="260"/>
      <c r="BK376" s="359"/>
      <c r="BL376" s="359"/>
      <c r="BM376" s="359"/>
    </row>
    <row r="377" spans="1:66">
      <c r="B377" s="3297" t="s">
        <v>2359</v>
      </c>
      <c r="C377" s="359"/>
      <c r="D377" s="260"/>
      <c r="F377" s="359"/>
      <c r="G377" s="359"/>
      <c r="H377" s="359"/>
      <c r="I377" s="359"/>
      <c r="J377" s="359"/>
      <c r="K377" s="359"/>
      <c r="L377" s="359"/>
      <c r="M377" s="359"/>
      <c r="N377" s="359"/>
      <c r="O377" s="359"/>
      <c r="P377" s="359"/>
      <c r="Q377" s="359"/>
      <c r="R377" s="359"/>
      <c r="S377" s="359"/>
      <c r="T377" s="359"/>
      <c r="U377" s="359"/>
      <c r="V377" s="359"/>
      <c r="W377" s="359"/>
      <c r="X377" s="359"/>
      <c r="Y377" s="359"/>
      <c r="Z377" s="359"/>
      <c r="AA377" s="359"/>
      <c r="AB377" s="359"/>
      <c r="AC377" s="359"/>
      <c r="AD377" s="359"/>
      <c r="AE377" s="359"/>
      <c r="AF377" s="359"/>
      <c r="AG377" s="359"/>
      <c r="AH377" s="359"/>
      <c r="AI377" s="359"/>
      <c r="AJ377" s="359"/>
      <c r="AK377" s="359"/>
      <c r="AL377" s="359"/>
      <c r="AM377" s="359"/>
      <c r="AN377" s="359"/>
      <c r="AO377" s="359"/>
      <c r="AP377" s="359"/>
      <c r="AQ377" s="359"/>
      <c r="AR377" s="359"/>
      <c r="AS377" s="359"/>
      <c r="AT377" s="359"/>
      <c r="AU377" s="359"/>
      <c r="AV377" s="359"/>
      <c r="AW377" s="359"/>
      <c r="AY377" s="962"/>
      <c r="BA377" s="962"/>
      <c r="BB377" s="1303"/>
      <c r="BC377" s="1307"/>
      <c r="BG377" s="962"/>
      <c r="BH377" s="260"/>
      <c r="BI377" s="260"/>
      <c r="BK377" s="359"/>
      <c r="BL377" s="359"/>
      <c r="BM377" s="359"/>
    </row>
    <row r="378" spans="1:66">
      <c r="C378" s="359" t="s">
        <v>315</v>
      </c>
      <c r="D378" s="260" t="s">
        <v>2525</v>
      </c>
      <c r="F378" s="359"/>
      <c r="G378" s="359"/>
      <c r="H378" s="359">
        <f>-29.52857*Unit.TWh</f>
        <v>-29.528569999999998</v>
      </c>
      <c r="I378" s="359">
        <f>9.75757*Unit.TWh</f>
        <v>9.7575699999999994</v>
      </c>
      <c r="J378" s="359">
        <f>22.96925*Unit.TWh</f>
        <v>22.969249999999999</v>
      </c>
      <c r="K378" s="359">
        <f>-10.66471*Unit.TWh</f>
        <v>-10.664709999999999</v>
      </c>
      <c r="L378" s="359">
        <f>1.95384*Unit.TWh</f>
        <v>1.95384</v>
      </c>
      <c r="M378" s="359">
        <f>14.35142*Unit.TWh</f>
        <v>14.351419999999999</v>
      </c>
      <c r="N378" s="359">
        <f>5.86152*Unit.TWh</f>
        <v>5.8615199999999996</v>
      </c>
      <c r="O378" s="359">
        <f>0.09304*Unit.TWh</f>
        <v>9.3039999999999998E-2</v>
      </c>
      <c r="P378" s="359">
        <f>-4.97764*Unit.TWh</f>
        <v>-4.9776400000000001</v>
      </c>
      <c r="Q378" s="359">
        <f>13.30472*Unit.TWh</f>
        <v>13.30472</v>
      </c>
      <c r="R378" s="359">
        <f>19.8873*Unit.TWh</f>
        <v>19.8873</v>
      </c>
      <c r="S378" s="359">
        <f>-42.93796*Unit.TWh</f>
        <v>-42.937959999999997</v>
      </c>
      <c r="T378" s="359">
        <f>-27.13279*Unit.TWh</f>
        <v>-27.13279</v>
      </c>
      <c r="U378" s="359">
        <f>-13.15353*Unit.TWh</f>
        <v>-13.15353</v>
      </c>
      <c r="V378" s="359">
        <f>73.40856*Unit.TWh</f>
        <v>73.408559999999994</v>
      </c>
      <c r="W378" s="359">
        <f>81.88683*Unit.TWh</f>
        <v>81.886830000000003</v>
      </c>
      <c r="X378" s="359">
        <f>60.23177*Unit.TWh</f>
        <v>60.231769999999997</v>
      </c>
      <c r="Y378" s="359">
        <f>63.86033*Unit.TWh</f>
        <v>63.860329999999998</v>
      </c>
      <c r="Z378" s="359">
        <f>89.26025*Unit.TWh</f>
        <v>89.260249999999999</v>
      </c>
      <c r="AA378" s="359">
        <f>82.59626*Unit.TWh</f>
        <v>82.596260000000001</v>
      </c>
      <c r="AB378" s="359">
        <f>97.58733*Unit.TWh</f>
        <v>97.587329999999994</v>
      </c>
      <c r="AC378" s="359">
        <f>139.17621*Unit.TWh</f>
        <v>139.17621</v>
      </c>
      <c r="AD378" s="359">
        <f>152.36463*Unit.TWh</f>
        <v>152.36463000000001</v>
      </c>
      <c r="AE378" s="359">
        <f>141.29287*Unit.TWh</f>
        <v>141.29286999999999</v>
      </c>
      <c r="AF378" s="359">
        <f>113.29946*Unit.TWh</f>
        <v>113.29946</v>
      </c>
      <c r="AG378" s="359">
        <f>124.74338*Unit.TWh</f>
        <v>124.74338</v>
      </c>
      <c r="AH378" s="359">
        <f>142.419426770673*Unit.TWh</f>
        <v>142.419426770673</v>
      </c>
      <c r="AI378" s="359">
        <f>155.127946717844*Unit.TWh</f>
        <v>155.127946717844</v>
      </c>
      <c r="AJ378" s="359">
        <f>167.939798014946*Unit.TWh</f>
        <v>167.93979801494601</v>
      </c>
      <c r="AK378" s="359">
        <f>154.269390475848*Unit.TWh</f>
        <v>154.26939047584801</v>
      </c>
      <c r="AL378" s="359">
        <f>177.54271957614*Unit.TWh</f>
        <v>177.54271957614</v>
      </c>
      <c r="AM378" s="359">
        <f>266.164196212801*Unit.TWh</f>
        <v>266.16419621280102</v>
      </c>
      <c r="AN378" s="359">
        <f>213.157281152347*Unit.TWh</f>
        <v>213.157281152347</v>
      </c>
      <c r="AO378" s="359">
        <f>242.680946975591*Unit.TWh</f>
        <v>242.68094697559101</v>
      </c>
      <c r="AP378" s="359">
        <f>274.594113303141*Unit.TWh</f>
        <v>274.594113303141</v>
      </c>
      <c r="AQ378" s="359">
        <f>333.178454490771*Unit.TWh</f>
        <v>333.178454490771</v>
      </c>
      <c r="AR378" s="359">
        <f>382.634191991217*Unit.TWh</f>
        <v>382.63419199121699</v>
      </c>
      <c r="AS378" s="359">
        <f>329.578033333439*Unit.TWh</f>
        <v>329.57803333343901</v>
      </c>
      <c r="AT378" s="359">
        <f>329.254958699124*Unit.TWh</f>
        <v>329.25495869912402</v>
      </c>
      <c r="AU378" s="359">
        <f>281.378070222345*Unit.TWh</f>
        <v>281.378070222345</v>
      </c>
      <c r="AV378" s="359">
        <f>192.811684484113*Unit.TWh</f>
        <v>192.81168448411299</v>
      </c>
      <c r="AW378" s="359" t="s">
        <v>1131</v>
      </c>
      <c r="AY378" s="1304">
        <f ca="1">AY41</f>
        <v>312.87744559290513</v>
      </c>
      <c r="BA378" s="1304">
        <f t="shared" ref="BA378:BI378" ca="1" si="121">BA41</f>
        <v>533.85548221406225</v>
      </c>
      <c r="BB378" s="1304">
        <f t="shared" ca="1" si="121"/>
        <v>1349.5453480108031</v>
      </c>
      <c r="BC378" s="1304">
        <f t="shared" ca="1" si="121"/>
        <v>3068.214410803027</v>
      </c>
      <c r="BD378" s="1304">
        <f t="shared" ca="1" si="121"/>
        <v>5462.9307882709118</v>
      </c>
      <c r="BE378" s="1304">
        <f t="shared" ca="1" si="121"/>
        <v>8849.3886004507167</v>
      </c>
      <c r="BF378" s="1304">
        <f t="shared" ca="1" si="121"/>
        <v>11988.489821833136</v>
      </c>
      <c r="BG378" s="1304">
        <f t="shared" ca="1" si="121"/>
        <v>16113.370591179753</v>
      </c>
      <c r="BH378" s="1304">
        <f t="shared" ca="1" si="121"/>
        <v>19769.818192917424</v>
      </c>
      <c r="BI378" s="1304">
        <f t="shared" ca="1" si="121"/>
        <v>23701.654511114481</v>
      </c>
      <c r="BK378" s="359"/>
      <c r="BL378" s="359"/>
      <c r="BM378" s="359"/>
    </row>
    <row r="379" spans="1:66">
      <c r="C379" s="359" t="s">
        <v>316</v>
      </c>
      <c r="D379" s="260" t="s">
        <v>2526</v>
      </c>
      <c r="F379" s="359"/>
      <c r="G379" s="359"/>
      <c r="H379" s="359"/>
      <c r="I379" s="359"/>
      <c r="J379" s="359"/>
      <c r="K379" s="359"/>
      <c r="L379" s="359"/>
      <c r="M379" s="359"/>
      <c r="N379" s="359"/>
      <c r="O379" s="359"/>
      <c r="P379" s="359"/>
      <c r="Q379" s="359"/>
      <c r="R379" s="359"/>
      <c r="S379" s="359"/>
      <c r="T379" s="359"/>
      <c r="U379" s="359"/>
      <c r="V379" s="359"/>
      <c r="W379" s="359"/>
      <c r="X379" s="359"/>
      <c r="Y379" s="359"/>
      <c r="Z379" s="359"/>
      <c r="AA379" s="359"/>
      <c r="AB379" s="359"/>
      <c r="AC379" s="359"/>
      <c r="AD379" s="359"/>
      <c r="AE379" s="359"/>
      <c r="AF379" s="359"/>
      <c r="AG379" s="359"/>
      <c r="AH379" s="359"/>
      <c r="AI379" s="359"/>
      <c r="AJ379" s="359">
        <f>-467.10732*Unit.TWh</f>
        <v>-467.10732000000002</v>
      </c>
      <c r="AK379" s="359">
        <f>-598.15416*Unit.TWh</f>
        <v>-598.15416000000005</v>
      </c>
      <c r="AL379" s="359">
        <f>-491.289015345148*Unit.TWh</f>
        <v>-491.28901534514802</v>
      </c>
      <c r="AM379" s="359">
        <f>-425.923816553362*Unit.TWh</f>
        <v>-425.92381655336197</v>
      </c>
      <c r="AN379" s="359">
        <f>-385.362040231585*Unit.TWh</f>
        <v>-385.36204023158501</v>
      </c>
      <c r="AO379" s="359">
        <f>-265.313047678547*Unit.TWh</f>
        <v>-265.31304767854698</v>
      </c>
      <c r="AP379" s="359">
        <f>-26.7418072519548*Unit.TWh</f>
        <v>-26.7418072519548</v>
      </c>
      <c r="AQ379" s="359">
        <f>59.0560078145415*Unit.TWh</f>
        <v>59.056007814541502</v>
      </c>
      <c r="AR379" s="359">
        <f>116.268946233383*Unit.TWh</f>
        <v>116.26894623338301</v>
      </c>
      <c r="AS379" s="359">
        <f>79.7439769052016*Unit.TWh</f>
        <v>79.743976905201606</v>
      </c>
      <c r="AT379" s="359">
        <f>146.439372991402*Unit.TWh</f>
        <v>146.439372991402</v>
      </c>
      <c r="AU379" s="359">
        <f>115.647880946813*Unit.TWh</f>
        <v>115.647880946813</v>
      </c>
      <c r="AV379" s="359">
        <f>156.542161812907*Unit.TWh</f>
        <v>156.54216181290701</v>
      </c>
      <c r="AW379" s="359" t="s">
        <v>1134</v>
      </c>
      <c r="AY379" s="1304">
        <f ca="1">AY45</f>
        <v>1217.3455995924837</v>
      </c>
      <c r="BA379" s="1304">
        <f t="shared" ref="BA379:BI379" ca="1" si="122">BA45</f>
        <v>1466.5905800259968</v>
      </c>
      <c r="BB379" s="1304">
        <f t="shared" ca="1" si="122"/>
        <v>2100.3206137516681</v>
      </c>
      <c r="BC379" s="1304">
        <f t="shared" ca="1" si="122"/>
        <v>3054.2541317150194</v>
      </c>
      <c r="BD379" s="1304">
        <f t="shared" ca="1" si="122"/>
        <v>4102.7795788608364</v>
      </c>
      <c r="BE379" s="1304">
        <f t="shared" ca="1" si="122"/>
        <v>5330.667265334645</v>
      </c>
      <c r="BF379" s="1304">
        <f t="shared" ca="1" si="122"/>
        <v>6703.2930240172882</v>
      </c>
      <c r="BG379" s="1304">
        <f t="shared" ca="1" si="122"/>
        <v>8096.4219235944875</v>
      </c>
      <c r="BH379" s="1304">
        <f t="shared" ca="1" si="122"/>
        <v>9663.2311319982509</v>
      </c>
      <c r="BI379" s="1304">
        <f t="shared" ca="1" si="122"/>
        <v>11338.566432233665</v>
      </c>
      <c r="BJ379" s="242"/>
      <c r="BK379" s="1305"/>
      <c r="BL379" s="1305"/>
      <c r="BM379" s="1305"/>
      <c r="BN379" s="242"/>
    </row>
    <row r="380" spans="1:66">
      <c r="C380" s="359" t="s">
        <v>317</v>
      </c>
      <c r="D380" s="260" t="s">
        <v>2527</v>
      </c>
      <c r="F380" s="359"/>
      <c r="G380" s="359"/>
      <c r="H380" s="359">
        <f>9.759*Unit.TWh</f>
        <v>9.7590000000000003</v>
      </c>
      <c r="I380" s="359">
        <f>9.73*Unit.TWh</f>
        <v>9.73</v>
      </c>
      <c r="J380" s="359">
        <f>8.968*Unit.TWh</f>
        <v>8.968</v>
      </c>
      <c r="K380" s="359">
        <f>8.587*Unit.TWh</f>
        <v>8.5869999999999997</v>
      </c>
      <c r="L380" s="359">
        <f>7.122*Unit.TWh</f>
        <v>7.1219999999999999</v>
      </c>
      <c r="M380" s="359">
        <f>9.818*Unit.TWh</f>
        <v>9.8179999999999996</v>
      </c>
      <c r="N380" s="359">
        <f>11.254*Unit.TWh</f>
        <v>11.254</v>
      </c>
      <c r="O380" s="359">
        <f>19.548*Unit.TWh</f>
        <v>19.547999999999998</v>
      </c>
      <c r="P380" s="359">
        <f>55.361*Unit.TWh</f>
        <v>55.360999999999997</v>
      </c>
      <c r="Q380" s="359">
        <f>95.424*Unit.TWh</f>
        <v>95.424000000000007</v>
      </c>
      <c r="R380" s="359">
        <f>116.291*Unit.TWh</f>
        <v>116.291</v>
      </c>
      <c r="S380" s="359">
        <f>124.262*Unit.TWh</f>
        <v>124.262</v>
      </c>
      <c r="T380" s="359">
        <f>115.001*Unit.TWh</f>
        <v>115.001</v>
      </c>
      <c r="U380" s="359">
        <f>124.497*Unit.TWh</f>
        <v>124.497</v>
      </c>
      <c r="V380" s="359">
        <f>147.415*Unit.TWh</f>
        <v>147.41499999999999</v>
      </c>
      <c r="W380" s="359">
        <f>147.122*Unit.TWh</f>
        <v>147.12200000000001</v>
      </c>
      <c r="X380" s="359">
        <f>137.099*Unit.TWh</f>
        <v>137.09899999999999</v>
      </c>
      <c r="Y380" s="359">
        <f>128.893*Unit.TWh</f>
        <v>128.893</v>
      </c>
      <c r="Z380" s="359">
        <f>115.441*Unit.TWh</f>
        <v>115.441</v>
      </c>
      <c r="AA380" s="359">
        <f>113.77*Unit.TWh</f>
        <v>113.77</v>
      </c>
      <c r="AB380" s="359">
        <f>79.833*Unit.TWh</f>
        <v>79.832999999999998</v>
      </c>
      <c r="AC380" s="359">
        <f>72.007*Unit.TWh</f>
        <v>72.007000000000005</v>
      </c>
      <c r="AD380" s="359">
        <f>60.635*Unit.TWh</f>
        <v>60.634999999999998</v>
      </c>
      <c r="AE380" s="359">
        <f>41.704*Unit.TWh</f>
        <v>41.704000000000001</v>
      </c>
      <c r="AF380" s="359">
        <f>23.496*Unit.TWh</f>
        <v>23.495999999999999</v>
      </c>
      <c r="AG380" s="359">
        <f>8.225*Unit.TWh</f>
        <v>8.2249999999999996</v>
      </c>
      <c r="AH380" s="359">
        <f>4.601*Unit.TWh</f>
        <v>4.601</v>
      </c>
      <c r="AI380" s="359">
        <f>-7.604*Unit.TWh</f>
        <v>-7.6040000000000001</v>
      </c>
      <c r="AJ380" s="359">
        <f>-21.022*Unit.TWh</f>
        <v>-21.021999999999998</v>
      </c>
      <c r="AK380" s="359">
        <f>-71.571*Unit.TWh</f>
        <v>-71.570999999999998</v>
      </c>
      <c r="AL380" s="359">
        <f>-120.31*Unit.TWh</f>
        <v>-120.31</v>
      </c>
      <c r="AM380" s="359">
        <f>-107.866*Unit.TWh</f>
        <v>-107.866</v>
      </c>
      <c r="AN380" s="359">
        <f>-90.238*Unit.TWh</f>
        <v>-90.238</v>
      </c>
      <c r="AO380" s="359">
        <f>-90.741*Unit.TWh</f>
        <v>-90.741</v>
      </c>
      <c r="AP380" s="359">
        <f>18.9210152317339*Unit.TWh</f>
        <v>18.9210152317339</v>
      </c>
      <c r="AQ380" s="359">
        <f>77.1469066294905*Unit.TWh</f>
        <v>77.146906629490502</v>
      </c>
      <c r="AR380" s="359">
        <f>123.438611928566*Unit.TWh</f>
        <v>123.438611928566</v>
      </c>
      <c r="AS380" s="359">
        <f>214.868653082757*Unit.TWh</f>
        <v>214.86865308275699</v>
      </c>
      <c r="AT380" s="359">
        <f>284.384233699597*Unit.TWh</f>
        <v>284.38423369959702</v>
      </c>
      <c r="AU380" s="359">
        <f>318.688961523769*Unit.TWh</f>
        <v>318.68896152376902</v>
      </c>
      <c r="AV380" s="359">
        <f>413.098109925268*Unit.TWh</f>
        <v>413.09810992526798</v>
      </c>
      <c r="AW380" s="359" t="s">
        <v>1136</v>
      </c>
      <c r="AY380" s="1304">
        <f ca="1">AY47</f>
        <v>153.83385468740386</v>
      </c>
      <c r="BA380" s="1304">
        <f t="shared" ref="BA380:BI380" ca="1" si="123">BA47</f>
        <v>158.80496962180251</v>
      </c>
      <c r="BB380" s="1304">
        <f t="shared" ca="1" si="123"/>
        <v>447.28146847936694</v>
      </c>
      <c r="BC380" s="1304">
        <f t="shared" ca="1" si="123"/>
        <v>580.82834753994018</v>
      </c>
      <c r="BD380" s="1304">
        <f t="shared" ca="1" si="123"/>
        <v>719.79234346908368</v>
      </c>
      <c r="BE380" s="1304">
        <f t="shared" ca="1" si="123"/>
        <v>883.00958491906431</v>
      </c>
      <c r="BF380" s="1304">
        <f t="shared" ca="1" si="123"/>
        <v>1091.1358234381285</v>
      </c>
      <c r="BG380" s="1304">
        <f t="shared" ca="1" si="123"/>
        <v>1323.7322738925393</v>
      </c>
      <c r="BH380" s="1304">
        <f t="shared" ca="1" si="123"/>
        <v>1577.3126958590992</v>
      </c>
      <c r="BI380" s="1304">
        <f t="shared" ca="1" si="123"/>
        <v>1879.4436261638216</v>
      </c>
      <c r="BK380" s="359"/>
      <c r="BL380" s="359"/>
      <c r="BM380" s="359"/>
    </row>
    <row r="381" spans="1:66">
      <c r="C381" s="359"/>
      <c r="D381" s="260" t="s">
        <v>2528</v>
      </c>
      <c r="F381" s="359"/>
      <c r="G381" s="359"/>
      <c r="H381" s="359"/>
      <c r="I381" s="359"/>
      <c r="J381" s="359"/>
      <c r="K381" s="359"/>
      <c r="L381" s="359"/>
      <c r="M381" s="359"/>
      <c r="N381" s="359"/>
      <c r="O381" s="359"/>
      <c r="P381" s="359"/>
      <c r="Q381" s="359"/>
      <c r="R381" s="359"/>
      <c r="S381" s="359"/>
      <c r="T381" s="359"/>
      <c r="U381" s="359"/>
      <c r="V381" s="359"/>
      <c r="W381" s="359"/>
      <c r="X381" s="359"/>
      <c r="Y381" s="359"/>
      <c r="Z381" s="359"/>
      <c r="AA381" s="359"/>
      <c r="AB381" s="359"/>
      <c r="AC381" s="359"/>
      <c r="AD381" s="359"/>
      <c r="AE381" s="359"/>
      <c r="AF381" s="359"/>
      <c r="AG381" s="359"/>
      <c r="AH381" s="359"/>
      <c r="AI381" s="359"/>
      <c r="AJ381" s="359"/>
      <c r="AK381" s="359"/>
      <c r="AL381" s="359"/>
      <c r="AM381" s="359"/>
      <c r="AN381" s="359"/>
      <c r="AO381" s="359"/>
      <c r="AP381" s="359"/>
      <c r="AQ381" s="359"/>
      <c r="AR381" s="359"/>
      <c r="AS381" s="359"/>
      <c r="AT381" s="359"/>
      <c r="AU381" s="359"/>
      <c r="AV381" s="359"/>
      <c r="AW381" s="359"/>
      <c r="AY381" s="1304">
        <f ca="1">SUM(AY378:AY380)</f>
        <v>1684.0568998727927</v>
      </c>
      <c r="BA381" s="1304">
        <f t="shared" ref="BA381:BI381" ca="1" si="124">SUM(BA378:BA380)</f>
        <v>2159.2510318618615</v>
      </c>
      <c r="BB381" s="1304">
        <f t="shared" ca="1" si="124"/>
        <v>3897.1474302418383</v>
      </c>
      <c r="BC381" s="1304">
        <f t="shared" ca="1" si="124"/>
        <v>6703.2968900579872</v>
      </c>
      <c r="BD381" s="1304">
        <f t="shared" ca="1" si="124"/>
        <v>10285.502710600833</v>
      </c>
      <c r="BE381" s="1304">
        <f t="shared" ca="1" si="124"/>
        <v>15063.065450704426</v>
      </c>
      <c r="BF381" s="1304">
        <f t="shared" ca="1" si="124"/>
        <v>19782.918669288552</v>
      </c>
      <c r="BG381" s="1304">
        <f t="shared" ca="1" si="124"/>
        <v>25533.524788666782</v>
      </c>
      <c r="BH381" s="1304">
        <f t="shared" ca="1" si="124"/>
        <v>31010.362020774774</v>
      </c>
      <c r="BI381" s="1304">
        <f t="shared" ca="1" si="124"/>
        <v>36919.664569511966</v>
      </c>
      <c r="BJ381" s="242"/>
      <c r="BK381" s="1305"/>
      <c r="BL381" s="1305"/>
      <c r="BM381" s="1305"/>
      <c r="BN381" s="242"/>
    </row>
    <row r="382" spans="1:66">
      <c r="C382" s="359"/>
      <c r="D382" s="260"/>
      <c r="F382" s="359"/>
      <c r="G382" s="359"/>
      <c r="H382" s="359"/>
      <c r="I382" s="359"/>
      <c r="J382" s="359"/>
      <c r="K382" s="359"/>
      <c r="L382" s="359"/>
      <c r="M382" s="359"/>
      <c r="N382" s="359"/>
      <c r="O382" s="359"/>
      <c r="P382" s="359"/>
      <c r="Q382" s="359"/>
      <c r="R382" s="359"/>
      <c r="S382" s="359"/>
      <c r="T382" s="359"/>
      <c r="U382" s="359"/>
      <c r="V382" s="359"/>
      <c r="W382" s="359"/>
      <c r="X382" s="359"/>
      <c r="Y382" s="359"/>
      <c r="Z382" s="359"/>
      <c r="AA382" s="359"/>
      <c r="AB382" s="359"/>
      <c r="AC382" s="359"/>
      <c r="AD382" s="359"/>
      <c r="AE382" s="359"/>
      <c r="AF382" s="359"/>
      <c r="AG382" s="359"/>
      <c r="AH382" s="359"/>
      <c r="AI382" s="359"/>
      <c r="AJ382" s="359"/>
      <c r="AK382" s="359"/>
      <c r="AL382" s="359"/>
      <c r="AM382" s="359"/>
      <c r="AN382" s="359"/>
      <c r="AO382" s="359"/>
      <c r="AP382" s="359"/>
      <c r="AQ382" s="359"/>
      <c r="AR382" s="359"/>
      <c r="AS382" s="359"/>
      <c r="AT382" s="359"/>
      <c r="AU382" s="359"/>
      <c r="AV382" s="359"/>
      <c r="AW382" s="359"/>
      <c r="AY382" s="1304"/>
      <c r="BA382" s="1304"/>
      <c r="BB382" s="1304"/>
      <c r="BC382" s="1304"/>
      <c r="BD382" s="1304"/>
      <c r="BE382" s="1304"/>
      <c r="BF382" s="1304"/>
      <c r="BG382" s="1304"/>
      <c r="BH382" s="1304"/>
      <c r="BI382" s="1304"/>
      <c r="BJ382" s="242"/>
      <c r="BK382" s="1305"/>
      <c r="BL382" s="1305"/>
      <c r="BM382" s="1305"/>
      <c r="BN382" s="242"/>
    </row>
    <row r="383" spans="1:66">
      <c r="C383" s="359"/>
      <c r="D383" s="260"/>
      <c r="F383" s="359"/>
      <c r="G383" s="359"/>
      <c r="H383" s="359"/>
      <c r="I383" s="359"/>
      <c r="J383" s="359"/>
      <c r="K383" s="359"/>
      <c r="L383" s="359"/>
      <c r="M383" s="359"/>
      <c r="N383" s="359"/>
      <c r="O383" s="359"/>
      <c r="P383" s="359"/>
      <c r="Q383" s="359"/>
      <c r="R383" s="359"/>
      <c r="S383" s="359"/>
      <c r="T383" s="359"/>
      <c r="U383" s="359"/>
      <c r="V383" s="359"/>
      <c r="W383" s="359"/>
      <c r="X383" s="359"/>
      <c r="Y383" s="359"/>
      <c r="Z383" s="359"/>
      <c r="AA383" s="359"/>
      <c r="AB383" s="359"/>
      <c r="AC383" s="359"/>
      <c r="AD383" s="359"/>
      <c r="AE383" s="359"/>
      <c r="AF383" s="359"/>
      <c r="AG383" s="359"/>
      <c r="AH383" s="359"/>
      <c r="AI383" s="359"/>
      <c r="AJ383" s="359"/>
      <c r="AK383" s="359"/>
      <c r="AL383" s="359"/>
      <c r="AM383" s="359"/>
      <c r="AN383" s="359"/>
      <c r="AO383" s="359"/>
      <c r="AP383" s="359"/>
      <c r="AQ383" s="359"/>
      <c r="AR383" s="359"/>
      <c r="AS383" s="359"/>
      <c r="AT383" s="359"/>
      <c r="AU383" s="359"/>
      <c r="AV383" s="359"/>
      <c r="AW383" s="359"/>
      <c r="AY383" s="1304"/>
      <c r="BA383" s="1304"/>
      <c r="BB383" s="1304"/>
      <c r="BC383" s="1304"/>
      <c r="BD383" s="1304"/>
      <c r="BE383" s="1304"/>
      <c r="BF383" s="1304"/>
      <c r="BG383" s="1304"/>
      <c r="BH383" s="1304"/>
      <c r="BI383" s="1304"/>
      <c r="BK383" s="359"/>
      <c r="BL383" s="359"/>
      <c r="BM383" s="359"/>
    </row>
    <row r="384" spans="1:66">
      <c r="C384" s="359"/>
      <c r="D384" s="260"/>
      <c r="F384" s="359"/>
      <c r="G384" s="359"/>
      <c r="H384" s="359"/>
      <c r="I384" s="359"/>
      <c r="J384" s="359"/>
      <c r="K384" s="359"/>
      <c r="L384" s="359"/>
      <c r="M384" s="359"/>
      <c r="N384" s="359"/>
      <c r="O384" s="359"/>
      <c r="P384" s="359"/>
      <c r="Q384" s="359"/>
      <c r="R384" s="359"/>
      <c r="S384" s="359"/>
      <c r="T384" s="359"/>
      <c r="U384" s="359"/>
      <c r="V384" s="359"/>
      <c r="W384" s="359"/>
      <c r="X384" s="359"/>
      <c r="Y384" s="359"/>
      <c r="Z384" s="359"/>
      <c r="AA384" s="359"/>
      <c r="AB384" s="359"/>
      <c r="AC384" s="359"/>
      <c r="AD384" s="359"/>
      <c r="AE384" s="359"/>
      <c r="AF384" s="359"/>
      <c r="AG384" s="359"/>
      <c r="AH384" s="359"/>
      <c r="AI384" s="359"/>
      <c r="AJ384" s="359"/>
      <c r="AK384" s="359"/>
      <c r="AL384" s="359"/>
      <c r="AM384" s="359"/>
      <c r="AN384" s="359"/>
      <c r="AO384" s="359"/>
      <c r="AP384" s="359"/>
      <c r="AQ384" s="359"/>
      <c r="AR384" s="359"/>
      <c r="AS384" s="359"/>
      <c r="AT384" s="359"/>
      <c r="AU384" s="359"/>
      <c r="AV384" s="359"/>
      <c r="AW384" s="359"/>
      <c r="AY384" s="962"/>
      <c r="BA384" s="962"/>
      <c r="BB384" s="1303"/>
      <c r="BC384" s="1307"/>
      <c r="BG384" s="962"/>
      <c r="BH384" s="260"/>
      <c r="BI384" s="260"/>
      <c r="BK384" s="359"/>
      <c r="BL384" s="359"/>
      <c r="BM384" s="359"/>
    </row>
    <row r="385" spans="3:65">
      <c r="C385" s="359"/>
      <c r="D385" s="260"/>
      <c r="F385" s="359"/>
      <c r="G385" s="359"/>
      <c r="H385" s="359"/>
      <c r="I385" s="359"/>
      <c r="J385" s="359"/>
      <c r="K385" s="359"/>
      <c r="L385" s="359"/>
      <c r="M385" s="359"/>
      <c r="N385" s="359"/>
      <c r="O385" s="359"/>
      <c r="P385" s="359"/>
      <c r="Q385" s="359"/>
      <c r="R385" s="359"/>
      <c r="S385" s="359"/>
      <c r="T385" s="359"/>
      <c r="U385" s="359"/>
      <c r="V385" s="359"/>
      <c r="W385" s="359"/>
      <c r="X385" s="359"/>
      <c r="Y385" s="359"/>
      <c r="Z385" s="359"/>
      <c r="AA385" s="359"/>
      <c r="AB385" s="359"/>
      <c r="AC385" s="359"/>
      <c r="AD385" s="359"/>
      <c r="AE385" s="359"/>
      <c r="AF385" s="359"/>
      <c r="AG385" s="359"/>
      <c r="AH385" s="359"/>
      <c r="AI385" s="359"/>
      <c r="AJ385" s="359"/>
      <c r="AK385" s="359"/>
      <c r="AL385" s="359"/>
      <c r="AM385" s="359"/>
      <c r="AN385" s="359"/>
      <c r="AO385" s="359"/>
      <c r="AP385" s="359"/>
      <c r="AQ385" s="359"/>
      <c r="AR385" s="359"/>
      <c r="AS385" s="359"/>
      <c r="AT385" s="359"/>
      <c r="AU385" s="359"/>
      <c r="AV385" s="359"/>
      <c r="AW385" s="359"/>
      <c r="AY385" s="962"/>
      <c r="BA385" s="962"/>
      <c r="BB385" s="1303"/>
      <c r="BC385" s="3020"/>
      <c r="BD385" s="3020"/>
      <c r="BE385" s="3020"/>
      <c r="BF385" s="3048"/>
      <c r="BG385" s="3047"/>
      <c r="BH385" s="3047"/>
      <c r="BI385" s="3046"/>
      <c r="BK385" s="359"/>
      <c r="BL385" s="359"/>
      <c r="BM385" s="359"/>
    </row>
    <row r="386" spans="3:65">
      <c r="C386" s="359"/>
      <c r="D386" s="260"/>
      <c r="F386" s="359"/>
      <c r="G386" s="359"/>
      <c r="H386" s="359"/>
      <c r="I386" s="359"/>
      <c r="J386" s="359"/>
      <c r="K386" s="359"/>
      <c r="L386" s="359"/>
      <c r="M386" s="359"/>
      <c r="N386" s="359"/>
      <c r="O386" s="359"/>
      <c r="P386" s="359"/>
      <c r="Q386" s="359"/>
      <c r="R386" s="359"/>
      <c r="S386" s="359"/>
      <c r="T386" s="359"/>
      <c r="U386" s="359"/>
      <c r="V386" s="359"/>
      <c r="W386" s="359"/>
      <c r="X386" s="359"/>
      <c r="Y386" s="359"/>
      <c r="Z386" s="359"/>
      <c r="AA386" s="359"/>
      <c r="AB386" s="359"/>
      <c r="AC386" s="359"/>
      <c r="AD386" s="359"/>
      <c r="AE386" s="359"/>
      <c r="AF386" s="359"/>
      <c r="AG386" s="359"/>
      <c r="AH386" s="359"/>
      <c r="AI386" s="359"/>
      <c r="AJ386" s="359"/>
      <c r="AK386" s="359"/>
      <c r="AL386" s="359"/>
      <c r="AM386" s="359"/>
      <c r="AN386" s="359"/>
      <c r="AO386" s="359"/>
      <c r="AP386" s="359"/>
      <c r="AQ386" s="359"/>
      <c r="AR386" s="359"/>
      <c r="AS386" s="359"/>
      <c r="AT386" s="359"/>
      <c r="AU386" s="359"/>
      <c r="AV386" s="359"/>
      <c r="AW386" s="359"/>
      <c r="AY386" s="1304"/>
      <c r="BA386" s="1304"/>
      <c r="BB386" s="1304"/>
      <c r="BC386" s="1304"/>
      <c r="BD386" s="1304"/>
      <c r="BE386" s="1304"/>
      <c r="BF386" s="1304"/>
      <c r="BG386" s="1304"/>
      <c r="BH386" s="1304"/>
      <c r="BI386" s="1304"/>
      <c r="BK386" s="359"/>
      <c r="BL386" s="359"/>
      <c r="BM386" s="359"/>
    </row>
    <row r="387" spans="3:65">
      <c r="C387" s="359"/>
      <c r="D387" s="260"/>
      <c r="F387" s="359"/>
      <c r="G387" s="359"/>
      <c r="H387" s="359"/>
      <c r="I387" s="359"/>
      <c r="J387" s="359"/>
      <c r="K387" s="359"/>
      <c r="L387" s="359"/>
      <c r="M387" s="359"/>
      <c r="N387" s="359"/>
      <c r="O387" s="359"/>
      <c r="P387" s="359"/>
      <c r="Q387" s="359"/>
      <c r="R387" s="359"/>
      <c r="S387" s="359"/>
      <c r="T387" s="359"/>
      <c r="U387" s="359"/>
      <c r="V387" s="359"/>
      <c r="W387" s="359"/>
      <c r="X387" s="359"/>
      <c r="Y387" s="359"/>
      <c r="Z387" s="359"/>
      <c r="AA387" s="359"/>
      <c r="AB387" s="359"/>
      <c r="AC387" s="359"/>
      <c r="AD387" s="359"/>
      <c r="AE387" s="359"/>
      <c r="AF387" s="359"/>
      <c r="AG387" s="359"/>
      <c r="AH387" s="359"/>
      <c r="AI387" s="359"/>
      <c r="AJ387" s="359"/>
      <c r="AK387" s="359"/>
      <c r="AL387" s="359"/>
      <c r="AM387" s="359"/>
      <c r="AN387" s="359"/>
      <c r="AO387" s="359"/>
      <c r="AP387" s="359"/>
      <c r="AQ387" s="359"/>
      <c r="AR387" s="359"/>
      <c r="AS387" s="359"/>
      <c r="AT387" s="359"/>
      <c r="AU387" s="359"/>
      <c r="AV387" s="359"/>
      <c r="AW387" s="359"/>
      <c r="AY387" s="1304"/>
      <c r="BA387" s="1304"/>
      <c r="BB387" s="1304"/>
      <c r="BC387" s="1304"/>
      <c r="BD387" s="1304"/>
      <c r="BE387" s="1304"/>
      <c r="BF387" s="1304"/>
      <c r="BG387" s="1304"/>
      <c r="BH387" s="1304"/>
      <c r="BI387" s="1304"/>
      <c r="BK387" s="359"/>
      <c r="BL387" s="359"/>
      <c r="BM387" s="359"/>
    </row>
    <row r="388" spans="3:65">
      <c r="C388" s="359"/>
      <c r="D388" s="260"/>
      <c r="F388" s="359"/>
      <c r="G388" s="359"/>
      <c r="H388" s="359"/>
      <c r="I388" s="359"/>
      <c r="J388" s="359"/>
      <c r="K388" s="359"/>
      <c r="L388" s="359"/>
      <c r="M388" s="359"/>
      <c r="N388" s="359"/>
      <c r="O388" s="359"/>
      <c r="P388" s="359"/>
      <c r="Q388" s="359"/>
      <c r="R388" s="359"/>
      <c r="S388" s="359"/>
      <c r="T388" s="359"/>
      <c r="U388" s="359"/>
      <c r="V388" s="359"/>
      <c r="W388" s="359"/>
      <c r="X388" s="359"/>
      <c r="Y388" s="359"/>
      <c r="Z388" s="359"/>
      <c r="AA388" s="359"/>
      <c r="AB388" s="359"/>
      <c r="AC388" s="359"/>
      <c r="AD388" s="359"/>
      <c r="AE388" s="359"/>
      <c r="AF388" s="359"/>
      <c r="AG388" s="359"/>
      <c r="AH388" s="359"/>
      <c r="AI388" s="359"/>
      <c r="AJ388" s="359"/>
      <c r="AK388" s="359"/>
      <c r="AL388" s="359"/>
      <c r="AM388" s="359"/>
      <c r="AN388" s="359"/>
      <c r="AO388" s="359"/>
      <c r="AP388" s="359"/>
      <c r="AQ388" s="359"/>
      <c r="AR388" s="359"/>
      <c r="AS388" s="359"/>
      <c r="AT388" s="359"/>
      <c r="AU388" s="359"/>
      <c r="AV388" s="359"/>
      <c r="AW388" s="359"/>
      <c r="AY388" s="1304"/>
      <c r="BA388" s="1304"/>
      <c r="BB388" s="1304"/>
      <c r="BC388" s="1304"/>
      <c r="BD388" s="1304"/>
      <c r="BE388" s="1304"/>
      <c r="BF388" s="1304"/>
      <c r="BG388" s="1304"/>
      <c r="BH388" s="1304"/>
      <c r="BI388" s="1304"/>
    </row>
    <row r="389" spans="3:65">
      <c r="C389" s="359"/>
      <c r="D389" s="260"/>
      <c r="F389" s="359"/>
      <c r="G389" s="359"/>
      <c r="H389" s="359"/>
      <c r="I389" s="359"/>
      <c r="J389" s="359"/>
      <c r="K389" s="359"/>
      <c r="L389" s="359"/>
      <c r="M389" s="359"/>
      <c r="N389" s="359"/>
      <c r="O389" s="359"/>
      <c r="P389" s="359"/>
      <c r="Q389" s="359"/>
      <c r="R389" s="359"/>
      <c r="S389" s="359"/>
      <c r="T389" s="359"/>
      <c r="U389" s="359"/>
      <c r="V389" s="359"/>
      <c r="W389" s="359"/>
      <c r="X389" s="359"/>
      <c r="Y389" s="359"/>
      <c r="Z389" s="359"/>
      <c r="AA389" s="359"/>
      <c r="AB389" s="359"/>
      <c r="AC389" s="359"/>
      <c r="AD389" s="359"/>
      <c r="AE389" s="359"/>
      <c r="AF389" s="359"/>
      <c r="AG389" s="359"/>
      <c r="AH389" s="359"/>
      <c r="AI389" s="359"/>
      <c r="AJ389" s="359"/>
      <c r="AK389" s="359"/>
      <c r="AL389" s="359"/>
      <c r="AM389" s="359"/>
      <c r="AN389" s="359"/>
      <c r="AO389" s="359"/>
      <c r="AP389" s="359"/>
      <c r="AQ389" s="359"/>
      <c r="AR389" s="359"/>
      <c r="AS389" s="359"/>
      <c r="AT389" s="359"/>
      <c r="AU389" s="359"/>
      <c r="AV389" s="359"/>
      <c r="AW389" s="359"/>
      <c r="AY389" s="1304"/>
      <c r="BA389" s="1304"/>
      <c r="BB389" s="1304"/>
      <c r="BC389" s="1304"/>
      <c r="BD389" s="1304"/>
      <c r="BE389" s="1304"/>
      <c r="BF389" s="1304"/>
      <c r="BG389" s="1304"/>
      <c r="BH389" s="1304"/>
      <c r="BI389" s="1304"/>
    </row>
    <row r="390" spans="3:65">
      <c r="C390" s="359"/>
      <c r="D390" s="260"/>
      <c r="F390" s="359"/>
      <c r="G390" s="359"/>
      <c r="H390" s="359"/>
      <c r="I390" s="359"/>
      <c r="J390" s="359"/>
      <c r="K390" s="359"/>
      <c r="L390" s="359"/>
      <c r="M390" s="359"/>
      <c r="N390" s="359"/>
      <c r="O390" s="359"/>
      <c r="P390" s="359"/>
      <c r="Q390" s="359"/>
      <c r="R390" s="359"/>
      <c r="S390" s="359"/>
      <c r="T390" s="359"/>
      <c r="U390" s="359"/>
      <c r="V390" s="359"/>
      <c r="W390" s="359"/>
      <c r="X390" s="359"/>
      <c r="Y390" s="359"/>
      <c r="Z390" s="359"/>
      <c r="AA390" s="359"/>
      <c r="AB390" s="359"/>
      <c r="AC390" s="359"/>
      <c r="AD390" s="359"/>
      <c r="AE390" s="359"/>
      <c r="AF390" s="359"/>
      <c r="AG390" s="359"/>
      <c r="AH390" s="359"/>
      <c r="AI390" s="359"/>
      <c r="AJ390" s="359"/>
      <c r="AK390" s="359"/>
      <c r="AL390" s="359"/>
      <c r="AM390" s="359"/>
      <c r="AN390" s="359"/>
      <c r="AO390" s="359"/>
      <c r="AP390" s="359"/>
      <c r="AQ390" s="359"/>
      <c r="AR390" s="359"/>
      <c r="AS390" s="359"/>
      <c r="AT390" s="359"/>
      <c r="AU390" s="359"/>
      <c r="AV390" s="359"/>
      <c r="AW390" s="359"/>
      <c r="AY390" s="1304"/>
      <c r="BA390" s="1304"/>
      <c r="BB390" s="1304"/>
      <c r="BC390" s="1304"/>
      <c r="BD390" s="1304"/>
      <c r="BE390" s="1304"/>
      <c r="BF390" s="1304"/>
      <c r="BG390" s="1304"/>
      <c r="BH390" s="1304"/>
      <c r="BI390" s="1304"/>
    </row>
    <row r="391" spans="3:65">
      <c r="C391" s="359"/>
      <c r="D391" s="260"/>
      <c r="F391" s="359"/>
      <c r="G391" s="359"/>
      <c r="H391" s="359"/>
      <c r="I391" s="359"/>
      <c r="J391" s="359"/>
      <c r="K391" s="359"/>
      <c r="L391" s="359"/>
      <c r="M391" s="359"/>
      <c r="N391" s="359"/>
      <c r="O391" s="359"/>
      <c r="P391" s="359"/>
      <c r="Q391" s="359"/>
      <c r="R391" s="359"/>
      <c r="S391" s="359"/>
      <c r="T391" s="359"/>
      <c r="U391" s="359"/>
      <c r="V391" s="359"/>
      <c r="W391" s="359"/>
      <c r="X391" s="359"/>
      <c r="Y391" s="359"/>
      <c r="Z391" s="359"/>
      <c r="AA391" s="359"/>
      <c r="AB391" s="359"/>
      <c r="AC391" s="359"/>
      <c r="AD391" s="359"/>
      <c r="AE391" s="359"/>
      <c r="AF391" s="359"/>
      <c r="AG391" s="359"/>
      <c r="AH391" s="359"/>
      <c r="AI391" s="359"/>
      <c r="AJ391" s="359"/>
      <c r="AK391" s="359"/>
      <c r="AL391" s="359"/>
      <c r="AM391" s="359"/>
      <c r="AN391" s="359"/>
      <c r="AO391" s="359"/>
      <c r="AP391" s="359"/>
      <c r="AQ391" s="359"/>
      <c r="AR391" s="359"/>
      <c r="AS391" s="359"/>
      <c r="AT391" s="359"/>
      <c r="AU391" s="359"/>
      <c r="AV391" s="359"/>
      <c r="AW391" s="359"/>
      <c r="AY391" s="1304"/>
      <c r="BA391" s="1304"/>
      <c r="BB391" s="1304"/>
      <c r="BC391" s="1304"/>
      <c r="BD391" s="1304"/>
      <c r="BE391" s="1304"/>
      <c r="BF391" s="1304"/>
      <c r="BG391" s="1304"/>
      <c r="BH391" s="1304"/>
      <c r="BI391" s="1304"/>
    </row>
    <row r="392" spans="3:65">
      <c r="C392" s="359"/>
      <c r="D392" s="260"/>
      <c r="F392" s="359"/>
      <c r="G392" s="359"/>
      <c r="H392" s="359"/>
      <c r="I392" s="359"/>
      <c r="J392" s="359"/>
      <c r="K392" s="359"/>
      <c r="L392" s="359"/>
      <c r="M392" s="359"/>
      <c r="N392" s="359"/>
      <c r="O392" s="359"/>
      <c r="P392" s="359"/>
      <c r="Q392" s="359"/>
      <c r="R392" s="359"/>
      <c r="S392" s="359"/>
      <c r="T392" s="359"/>
      <c r="U392" s="359"/>
      <c r="V392" s="359"/>
      <c r="W392" s="359"/>
      <c r="X392" s="359"/>
      <c r="Y392" s="359"/>
      <c r="Z392" s="359"/>
      <c r="AA392" s="359"/>
      <c r="AB392" s="359"/>
      <c r="AC392" s="359"/>
      <c r="AD392" s="359"/>
      <c r="AE392" s="359"/>
      <c r="AF392" s="359"/>
      <c r="AG392" s="359"/>
      <c r="AH392" s="359"/>
      <c r="AI392" s="359"/>
      <c r="AJ392" s="359"/>
      <c r="AK392" s="359"/>
      <c r="AL392" s="359"/>
      <c r="AM392" s="359"/>
      <c r="AN392" s="359"/>
      <c r="AO392" s="359"/>
      <c r="AP392" s="359"/>
      <c r="AQ392" s="359"/>
      <c r="AR392" s="359"/>
      <c r="AS392" s="359"/>
      <c r="AT392" s="359"/>
      <c r="AU392" s="359"/>
      <c r="AV392" s="359"/>
      <c r="AW392" s="359"/>
      <c r="AY392" s="962"/>
      <c r="AZ392" s="962"/>
      <c r="BA392" s="1303"/>
      <c r="BB392" s="625"/>
    </row>
    <row r="393" spans="3:65">
      <c r="C393" s="359"/>
      <c r="D393" s="260"/>
      <c r="F393" s="359"/>
      <c r="G393" s="359"/>
      <c r="H393" s="359"/>
      <c r="I393" s="359"/>
      <c r="J393" s="359"/>
      <c r="K393" s="359"/>
      <c r="L393" s="359"/>
      <c r="M393" s="359"/>
      <c r="N393" s="359"/>
      <c r="O393" s="359"/>
      <c r="P393" s="359"/>
      <c r="Q393" s="359"/>
      <c r="R393" s="359"/>
      <c r="S393" s="359"/>
      <c r="T393" s="359"/>
      <c r="U393" s="359"/>
      <c r="V393" s="359"/>
      <c r="W393" s="359"/>
      <c r="X393" s="359"/>
      <c r="Y393" s="359"/>
      <c r="Z393" s="359"/>
      <c r="AA393" s="359"/>
      <c r="AB393" s="359"/>
      <c r="AC393" s="359"/>
      <c r="AD393" s="359"/>
      <c r="AE393" s="359"/>
      <c r="AF393" s="359"/>
      <c r="AG393" s="359"/>
      <c r="AH393" s="359"/>
      <c r="AI393" s="359"/>
      <c r="AJ393" s="359"/>
      <c r="AK393" s="359"/>
      <c r="AL393" s="359"/>
      <c r="AM393" s="359"/>
      <c r="AN393" s="359"/>
      <c r="AO393" s="359"/>
      <c r="AP393" s="359"/>
      <c r="AQ393" s="359"/>
      <c r="AR393" s="359"/>
      <c r="AS393" s="359"/>
      <c r="AT393" s="359"/>
      <c r="AU393" s="359"/>
      <c r="AV393" s="359"/>
      <c r="AW393" s="359"/>
      <c r="AY393" s="962"/>
      <c r="AZ393" s="962"/>
      <c r="BA393" s="1303"/>
      <c r="BB393" s="625"/>
    </row>
    <row r="394" spans="3:65">
      <c r="C394" s="359"/>
      <c r="D394" s="260"/>
      <c r="F394" s="359"/>
      <c r="G394" s="359"/>
      <c r="H394" s="359"/>
      <c r="I394" s="359"/>
      <c r="J394" s="359"/>
      <c r="K394" s="359"/>
      <c r="L394" s="359"/>
      <c r="M394" s="359"/>
      <c r="N394" s="359"/>
      <c r="O394" s="359"/>
      <c r="P394" s="359"/>
      <c r="Q394" s="359"/>
      <c r="R394" s="359"/>
      <c r="S394" s="359"/>
      <c r="T394" s="359"/>
      <c r="U394" s="359"/>
      <c r="V394" s="359"/>
      <c r="W394" s="359"/>
      <c r="X394" s="359"/>
      <c r="Y394" s="359"/>
      <c r="Z394" s="359"/>
      <c r="AA394" s="359"/>
      <c r="AB394" s="359"/>
      <c r="AC394" s="359"/>
      <c r="AD394" s="359"/>
      <c r="AE394" s="359"/>
      <c r="AF394" s="359"/>
      <c r="AG394" s="359"/>
      <c r="AH394" s="359"/>
      <c r="AI394" s="359"/>
      <c r="AJ394" s="359"/>
      <c r="AK394" s="359"/>
      <c r="AL394" s="359"/>
      <c r="AM394" s="359"/>
      <c r="AN394" s="359"/>
      <c r="AO394" s="359"/>
      <c r="AP394" s="359"/>
      <c r="AQ394" s="359"/>
      <c r="AR394" s="359"/>
      <c r="AS394" s="359"/>
      <c r="AT394" s="359"/>
      <c r="AU394" s="359"/>
      <c r="AV394" s="359"/>
      <c r="AW394" s="359"/>
      <c r="AY394" s="1304"/>
      <c r="AZ394" s="1304"/>
      <c r="BA394" s="1303"/>
      <c r="BB394" s="625"/>
    </row>
    <row r="395" spans="3:65">
      <c r="C395" s="359"/>
      <c r="F395" s="359"/>
      <c r="G395" s="359"/>
      <c r="H395" s="359"/>
      <c r="I395" s="359"/>
      <c r="J395" s="359"/>
      <c r="K395" s="359"/>
      <c r="L395" s="359"/>
      <c r="M395" s="359"/>
      <c r="N395" s="359"/>
      <c r="O395" s="359"/>
      <c r="P395" s="359"/>
      <c r="Q395" s="359"/>
      <c r="R395" s="359"/>
      <c r="S395" s="359"/>
      <c r="T395" s="359"/>
      <c r="U395" s="359"/>
      <c r="V395" s="359"/>
      <c r="W395" s="359"/>
      <c r="X395" s="359"/>
      <c r="Y395" s="359"/>
      <c r="Z395" s="359"/>
      <c r="AA395" s="359"/>
      <c r="AB395" s="359"/>
      <c r="AC395" s="359"/>
      <c r="AD395" s="359"/>
      <c r="AE395" s="359"/>
      <c r="AF395" s="359"/>
      <c r="AG395" s="359"/>
      <c r="AH395" s="359"/>
      <c r="AI395" s="359"/>
      <c r="AJ395" s="359"/>
      <c r="AK395" s="359"/>
      <c r="AL395" s="359"/>
      <c r="AM395" s="359"/>
      <c r="AN395" s="359"/>
      <c r="AO395" s="359"/>
      <c r="AP395" s="359"/>
      <c r="AQ395" s="359"/>
      <c r="AR395" s="359"/>
      <c r="AS395" s="359"/>
      <c r="AT395" s="359"/>
      <c r="AU395" s="359"/>
      <c r="AV395" s="359"/>
      <c r="AW395" s="359"/>
      <c r="AY395" s="1304"/>
      <c r="AZ395" s="1304"/>
      <c r="BA395" s="1303"/>
      <c r="BB395" s="625"/>
    </row>
    <row r="396" spans="3:65">
      <c r="C396" s="359"/>
      <c r="D396" s="593" t="s">
        <v>2416</v>
      </c>
      <c r="F396" s="593" t="s">
        <v>2407</v>
      </c>
      <c r="G396" s="359"/>
      <c r="H396" s="359"/>
      <c r="I396" s="359"/>
      <c r="J396" s="359"/>
      <c r="K396" s="359"/>
      <c r="L396" s="359"/>
      <c r="M396" s="359"/>
      <c r="N396" s="359"/>
      <c r="O396" s="359"/>
      <c r="P396" s="359"/>
      <c r="Q396" s="359"/>
      <c r="R396" s="359"/>
      <c r="S396" s="359"/>
      <c r="T396" s="359"/>
      <c r="U396" s="359"/>
      <c r="V396" s="359"/>
      <c r="W396" s="359"/>
      <c r="X396" s="359"/>
      <c r="Y396" s="359"/>
      <c r="Z396" s="359"/>
      <c r="AA396" s="359"/>
      <c r="AB396" s="359"/>
      <c r="AC396" s="359"/>
      <c r="AD396" s="359"/>
      <c r="AE396" s="359"/>
      <c r="AF396" s="359"/>
      <c r="AG396" s="359"/>
      <c r="AH396" s="359"/>
      <c r="AI396" s="359"/>
      <c r="AJ396" s="359"/>
      <c r="AK396" s="359"/>
      <c r="AL396" s="359"/>
      <c r="AM396" s="359"/>
      <c r="AN396" s="359"/>
      <c r="AO396" s="359"/>
      <c r="AP396" s="359"/>
      <c r="AQ396" s="359"/>
      <c r="AR396" s="359"/>
      <c r="AS396" s="359"/>
      <c r="AT396" s="359"/>
      <c r="AU396" s="359"/>
      <c r="AV396" s="359"/>
      <c r="AW396" s="359"/>
      <c r="AY396" s="1304"/>
      <c r="AZ396" s="1304"/>
      <c r="BA396" s="1303"/>
      <c r="BB396" s="625"/>
    </row>
    <row r="397" spans="3:65">
      <c r="C397" s="359"/>
      <c r="D397" s="260" t="s">
        <v>2415</v>
      </c>
      <c r="F397" s="3141">
        <f>52620.99*Unit.kWh</f>
        <v>5.2620990000000003E-5</v>
      </c>
      <c r="G397" s="359"/>
      <c r="H397" s="359"/>
      <c r="I397" s="359"/>
      <c r="J397" s="359"/>
      <c r="K397" s="359"/>
      <c r="L397" s="359"/>
      <c r="M397" s="359"/>
      <c r="N397" s="359"/>
      <c r="O397" s="359"/>
      <c r="P397" s="359"/>
      <c r="Q397" s="359"/>
      <c r="R397" s="359"/>
      <c r="S397" s="359"/>
      <c r="T397" s="359"/>
      <c r="U397" s="359"/>
      <c r="V397" s="359"/>
      <c r="W397" s="359"/>
      <c r="X397" s="359"/>
      <c r="Y397" s="359"/>
      <c r="Z397" s="359"/>
      <c r="AA397" s="359"/>
      <c r="AB397" s="359"/>
      <c r="AC397" s="359"/>
      <c r="AD397" s="359"/>
      <c r="AE397" s="359"/>
      <c r="AF397" s="359"/>
      <c r="AG397" s="359"/>
      <c r="AH397" s="359"/>
      <c r="AI397" s="359"/>
      <c r="AJ397" s="359"/>
      <c r="AK397" s="359"/>
      <c r="AL397" s="359"/>
      <c r="AM397" s="359"/>
      <c r="AN397" s="359"/>
      <c r="AO397" s="359"/>
      <c r="AP397" s="359"/>
      <c r="AQ397" s="359"/>
      <c r="AR397" s="359"/>
      <c r="AS397" s="359"/>
      <c r="AT397" s="359"/>
      <c r="AU397" s="359"/>
      <c r="AV397" s="359"/>
      <c r="AW397" s="359"/>
      <c r="AY397" s="1304"/>
      <c r="AZ397" s="1304"/>
      <c r="BA397" s="1303"/>
      <c r="BB397" s="625"/>
    </row>
    <row r="398" spans="3:65">
      <c r="C398" s="359"/>
      <c r="D398" s="260" t="s">
        <v>2408</v>
      </c>
      <c r="F398" s="1617">
        <f>11919.8*(Unit.kWh)</f>
        <v>1.1919800000000001E-5</v>
      </c>
      <c r="G398" s="359"/>
      <c r="H398" s="359"/>
      <c r="I398" s="359"/>
      <c r="J398" s="359"/>
      <c r="K398" s="359"/>
      <c r="L398" s="359"/>
      <c r="M398" s="359"/>
      <c r="N398" s="359"/>
      <c r="O398" s="359"/>
      <c r="P398" s="359"/>
      <c r="Q398" s="359"/>
      <c r="R398" s="359"/>
      <c r="S398" s="359"/>
      <c r="T398" s="359"/>
      <c r="U398" s="359"/>
      <c r="V398" s="359"/>
      <c r="W398" s="359"/>
      <c r="X398" s="359"/>
      <c r="Y398" s="359"/>
      <c r="Z398" s="359"/>
      <c r="AA398" s="359"/>
      <c r="AB398" s="359"/>
      <c r="AC398" s="359"/>
      <c r="AD398" s="359"/>
      <c r="AE398" s="359"/>
      <c r="AF398" s="359"/>
      <c r="AG398" s="359"/>
      <c r="AH398" s="359"/>
      <c r="AI398" s="359"/>
      <c r="AJ398" s="359"/>
      <c r="AK398" s="359"/>
      <c r="AL398" s="359"/>
      <c r="AM398" s="359"/>
      <c r="AN398" s="359"/>
      <c r="AO398" s="359"/>
      <c r="AP398" s="359"/>
      <c r="AQ398" s="359"/>
      <c r="AR398" s="359"/>
      <c r="AS398" s="359"/>
      <c r="AT398" s="359"/>
      <c r="AU398" s="359"/>
      <c r="AV398" s="359"/>
      <c r="AW398" s="359"/>
      <c r="AY398" s="1304"/>
      <c r="AZ398" s="1304"/>
      <c r="BA398" s="1303"/>
      <c r="BB398" s="625"/>
    </row>
    <row r="399" spans="3:65">
      <c r="C399" s="359"/>
      <c r="D399" s="260" t="s">
        <v>2409</v>
      </c>
      <c r="F399" s="3141">
        <f>2559.48*(Unit.kWh)</f>
        <v>2.5594800000000001E-6</v>
      </c>
      <c r="G399" s="359"/>
      <c r="H399" s="359"/>
      <c r="I399" s="359"/>
      <c r="J399" s="359"/>
      <c r="K399" s="359"/>
      <c r="L399" s="359"/>
      <c r="M399" s="359"/>
      <c r="N399" s="359"/>
      <c r="O399" s="359"/>
      <c r="P399" s="359"/>
      <c r="Q399" s="359"/>
      <c r="R399" s="359"/>
      <c r="S399" s="359"/>
      <c r="T399" s="359"/>
      <c r="U399" s="359"/>
      <c r="V399" s="359"/>
      <c r="W399" s="359"/>
      <c r="X399" s="359"/>
      <c r="Y399" s="359"/>
      <c r="Z399" s="359"/>
      <c r="AA399" s="359"/>
      <c r="AB399" s="359"/>
      <c r="AC399" s="359"/>
      <c r="AD399" s="359"/>
      <c r="AE399" s="359"/>
      <c r="AF399" s="359"/>
      <c r="AG399" s="359"/>
      <c r="AH399" s="359"/>
      <c r="AI399" s="359"/>
      <c r="AJ399" s="359"/>
      <c r="AK399" s="359"/>
      <c r="AL399" s="359"/>
      <c r="AM399" s="359"/>
      <c r="AN399" s="359"/>
      <c r="AO399" s="359"/>
      <c r="AP399" s="359"/>
      <c r="AQ399" s="359"/>
      <c r="AR399" s="359"/>
      <c r="AS399" s="359"/>
      <c r="AT399" s="359"/>
      <c r="AU399" s="359"/>
      <c r="AV399" s="359"/>
      <c r="AW399" s="359"/>
      <c r="AY399" s="962"/>
      <c r="AZ399" s="962"/>
      <c r="BA399" s="1303"/>
      <c r="BB399" s="625"/>
    </row>
    <row r="400" spans="3:65">
      <c r="C400" s="359"/>
      <c r="D400" s="260" t="s">
        <v>2410</v>
      </c>
      <c r="F400" s="3141">
        <f>5467.34*(Unit.kWh)</f>
        <v>5.4673400000000004E-6</v>
      </c>
      <c r="G400" s="359"/>
      <c r="H400" s="359"/>
      <c r="I400" s="359"/>
      <c r="J400" s="359"/>
      <c r="K400" s="359"/>
      <c r="L400" s="359"/>
      <c r="M400" s="359"/>
      <c r="N400" s="359"/>
      <c r="O400" s="359"/>
      <c r="P400" s="359"/>
      <c r="Q400" s="359"/>
      <c r="R400" s="359"/>
      <c r="S400" s="359"/>
      <c r="T400" s="359"/>
      <c r="U400" s="359"/>
      <c r="V400" s="359"/>
      <c r="W400" s="359"/>
      <c r="X400" s="359"/>
      <c r="Y400" s="359"/>
      <c r="Z400" s="359"/>
      <c r="AA400" s="359"/>
      <c r="AB400" s="359"/>
      <c r="AC400" s="359"/>
      <c r="AD400" s="359"/>
      <c r="AE400" s="359"/>
      <c r="AF400" s="359"/>
      <c r="AG400" s="359"/>
      <c r="AH400" s="359"/>
      <c r="AI400" s="359"/>
      <c r="AJ400" s="359"/>
      <c r="AK400" s="359"/>
      <c r="AL400" s="359"/>
      <c r="AM400" s="359"/>
      <c r="AN400" s="359"/>
      <c r="AO400" s="359"/>
      <c r="AP400" s="359"/>
      <c r="AQ400" s="359"/>
      <c r="AR400" s="359"/>
      <c r="AS400" s="359"/>
      <c r="AT400" s="359"/>
      <c r="AU400" s="359"/>
      <c r="AV400" s="359"/>
      <c r="AW400" s="359"/>
      <c r="AY400" s="962"/>
      <c r="AZ400" s="962"/>
      <c r="BA400" s="1303"/>
      <c r="BB400" s="625"/>
    </row>
    <row r="401" spans="3:54">
      <c r="C401" s="359"/>
      <c r="D401" s="260" t="s">
        <v>2411</v>
      </c>
      <c r="F401" s="3141">
        <f>498.39*(Unit.kWh)</f>
        <v>4.9839E-7</v>
      </c>
      <c r="G401" s="359"/>
      <c r="H401" s="359"/>
      <c r="I401" s="359"/>
      <c r="J401" s="359"/>
      <c r="K401" s="359"/>
      <c r="L401" s="359"/>
      <c r="M401" s="359"/>
      <c r="N401" s="359"/>
      <c r="O401" s="359"/>
      <c r="P401" s="359"/>
      <c r="Q401" s="359"/>
      <c r="R401" s="359"/>
      <c r="S401" s="359"/>
      <c r="T401" s="359"/>
      <c r="U401" s="359"/>
      <c r="V401" s="359"/>
      <c r="W401" s="359"/>
      <c r="X401" s="359"/>
      <c r="Y401" s="359"/>
      <c r="Z401" s="359"/>
      <c r="AA401" s="359"/>
      <c r="AB401" s="359"/>
      <c r="AC401" s="359"/>
      <c r="AD401" s="359"/>
      <c r="AE401" s="359"/>
      <c r="AF401" s="359"/>
      <c r="AG401" s="359"/>
      <c r="AH401" s="359"/>
      <c r="AI401" s="359"/>
      <c r="AJ401" s="359"/>
      <c r="AK401" s="359"/>
      <c r="AL401" s="359"/>
      <c r="AM401" s="359"/>
      <c r="AN401" s="359"/>
      <c r="AO401" s="359"/>
      <c r="AP401" s="359"/>
      <c r="AQ401" s="359"/>
      <c r="AR401" s="359"/>
      <c r="AS401" s="359"/>
      <c r="AT401" s="359"/>
      <c r="AU401" s="359"/>
      <c r="AV401" s="359"/>
      <c r="AW401" s="359"/>
      <c r="AY401" s="962"/>
      <c r="AZ401" s="962"/>
      <c r="BA401" s="1303"/>
      <c r="BB401" s="625"/>
    </row>
    <row r="402" spans="3:54">
      <c r="C402" s="359"/>
      <c r="D402" s="260" t="s">
        <v>2412</v>
      </c>
      <c r="F402" s="1617">
        <f ca="1">BH293/'Global assumptions'!C14</f>
        <v>3.372638228706746E-6</v>
      </c>
      <c r="G402" s="359"/>
      <c r="H402" s="359"/>
      <c r="I402" s="359"/>
      <c r="J402" s="359"/>
      <c r="K402" s="359"/>
      <c r="L402" s="359"/>
      <c r="M402" s="359"/>
      <c r="N402" s="359"/>
      <c r="O402" s="359"/>
      <c r="P402" s="359"/>
      <c r="Q402" s="359"/>
      <c r="R402" s="359"/>
      <c r="S402" s="359"/>
      <c r="T402" s="359"/>
      <c r="U402" s="359"/>
      <c r="V402" s="359"/>
      <c r="W402" s="359"/>
      <c r="X402" s="359"/>
      <c r="Y402" s="359"/>
      <c r="Z402" s="359"/>
      <c r="AA402" s="359"/>
      <c r="AB402" s="359"/>
      <c r="AC402" s="359"/>
      <c r="AD402" s="359"/>
      <c r="AE402" s="359"/>
      <c r="AF402" s="359"/>
      <c r="AG402" s="359"/>
      <c r="AH402" s="359"/>
      <c r="AI402" s="359"/>
      <c r="AJ402" s="359"/>
      <c r="AK402" s="359"/>
      <c r="AL402" s="359"/>
      <c r="AM402" s="359"/>
      <c r="AN402" s="359"/>
      <c r="AO402" s="359"/>
      <c r="AP402" s="359"/>
      <c r="AQ402" s="359"/>
      <c r="AR402" s="359"/>
      <c r="AS402" s="359"/>
      <c r="AT402" s="359"/>
      <c r="AU402" s="359"/>
      <c r="AV402" s="359"/>
      <c r="AW402" s="359"/>
      <c r="AY402" s="962"/>
      <c r="AZ402" s="962"/>
      <c r="BA402" s="1303"/>
      <c r="BB402" s="625"/>
    </row>
    <row r="403" spans="3:54">
      <c r="C403" s="359"/>
      <c r="D403" s="260"/>
      <c r="F403" s="359"/>
      <c r="G403" s="359"/>
      <c r="H403" s="359"/>
      <c r="I403" s="359"/>
      <c r="J403" s="359"/>
      <c r="K403" s="359"/>
      <c r="L403" s="359"/>
      <c r="M403" s="359"/>
      <c r="N403" s="359"/>
      <c r="O403" s="359"/>
      <c r="P403" s="359"/>
      <c r="Q403" s="359"/>
      <c r="R403" s="359"/>
      <c r="S403" s="359"/>
      <c r="T403" s="359"/>
      <c r="U403" s="359"/>
      <c r="V403" s="359"/>
      <c r="W403" s="359"/>
      <c r="X403" s="359"/>
      <c r="Y403" s="359"/>
      <c r="Z403" s="359"/>
      <c r="AA403" s="359"/>
      <c r="AB403" s="359"/>
      <c r="AC403" s="359"/>
      <c r="AD403" s="359"/>
      <c r="AE403" s="359"/>
      <c r="AF403" s="359"/>
      <c r="AG403" s="359"/>
      <c r="AH403" s="359"/>
      <c r="AI403" s="359"/>
      <c r="AJ403" s="359"/>
      <c r="AK403" s="359"/>
      <c r="AL403" s="359"/>
      <c r="AM403" s="359"/>
      <c r="AN403" s="359"/>
      <c r="AO403" s="359"/>
      <c r="AP403" s="359"/>
      <c r="AQ403" s="359"/>
      <c r="AR403" s="359"/>
      <c r="AS403" s="359"/>
      <c r="AT403" s="359"/>
      <c r="AU403" s="359"/>
      <c r="AV403" s="359"/>
      <c r="AW403" s="359"/>
      <c r="AY403" s="962"/>
      <c r="AZ403" s="962"/>
      <c r="BA403" s="1303"/>
      <c r="BB403" s="625"/>
    </row>
    <row r="404" spans="3:54">
      <c r="C404" s="359"/>
      <c r="D404" s="3139" t="s">
        <v>2413</v>
      </c>
      <c r="F404" s="359"/>
      <c r="G404" s="359"/>
      <c r="H404" s="359"/>
      <c r="I404" s="359"/>
      <c r="J404" s="359"/>
      <c r="K404" s="359"/>
      <c r="L404" s="359"/>
      <c r="M404" s="359"/>
      <c r="N404" s="359"/>
      <c r="O404" s="359"/>
      <c r="P404" s="359"/>
      <c r="Q404" s="359"/>
      <c r="R404" s="359"/>
      <c r="S404" s="359"/>
      <c r="T404" s="359"/>
      <c r="U404" s="359"/>
      <c r="V404" s="359"/>
      <c r="W404" s="359"/>
      <c r="X404" s="359"/>
      <c r="Y404" s="359"/>
      <c r="Z404" s="359"/>
      <c r="AA404" s="359"/>
      <c r="AB404" s="359"/>
      <c r="AC404" s="359"/>
      <c r="AD404" s="359"/>
      <c r="AE404" s="359"/>
      <c r="AF404" s="359"/>
      <c r="AG404" s="359"/>
      <c r="AH404" s="359"/>
      <c r="AI404" s="359"/>
      <c r="AJ404" s="359"/>
      <c r="AK404" s="359"/>
      <c r="AL404" s="359"/>
      <c r="AM404" s="359"/>
      <c r="AN404" s="359"/>
      <c r="AO404" s="359"/>
      <c r="AP404" s="359"/>
      <c r="AQ404" s="359"/>
      <c r="AR404" s="359"/>
      <c r="AS404" s="359"/>
      <c r="AT404" s="359"/>
      <c r="AU404" s="359"/>
      <c r="AV404" s="359"/>
      <c r="AW404" s="359"/>
      <c r="AY404" s="962"/>
      <c r="AZ404" s="962"/>
      <c r="BA404" s="1303"/>
      <c r="BB404" s="625"/>
    </row>
    <row r="405" spans="3:54">
      <c r="C405" s="359"/>
      <c r="D405" s="3140" t="s">
        <v>2414</v>
      </c>
      <c r="F405" s="359"/>
      <c r="G405" s="359"/>
      <c r="H405" s="359"/>
      <c r="I405" s="359"/>
      <c r="J405" s="359"/>
      <c r="K405" s="359"/>
      <c r="L405" s="359"/>
      <c r="M405" s="359"/>
      <c r="N405" s="359"/>
      <c r="O405" s="359"/>
      <c r="P405" s="359"/>
      <c r="Q405" s="359"/>
      <c r="R405" s="359"/>
      <c r="S405" s="359"/>
      <c r="T405" s="359"/>
      <c r="U405" s="359"/>
      <c r="V405" s="359"/>
      <c r="W405" s="359"/>
      <c r="X405" s="359"/>
      <c r="Y405" s="359"/>
      <c r="Z405" s="359"/>
      <c r="AA405" s="359"/>
      <c r="AB405" s="359"/>
      <c r="AC405" s="359"/>
      <c r="AD405" s="359"/>
      <c r="AE405" s="359"/>
      <c r="AF405" s="359"/>
      <c r="AG405" s="359"/>
      <c r="AH405" s="359"/>
      <c r="AI405" s="359"/>
      <c r="AJ405" s="359"/>
      <c r="AK405" s="359"/>
      <c r="AL405" s="359"/>
      <c r="AM405" s="359"/>
      <c r="AN405" s="359"/>
      <c r="AO405" s="359"/>
      <c r="AP405" s="359"/>
      <c r="AQ405" s="359"/>
      <c r="AR405" s="359"/>
      <c r="AS405" s="359"/>
      <c r="AT405" s="359"/>
      <c r="AU405" s="359"/>
      <c r="AV405" s="359"/>
      <c r="AW405" s="359"/>
      <c r="AY405" s="962"/>
      <c r="AZ405" s="962"/>
      <c r="BA405" s="1303"/>
      <c r="BB405" s="625"/>
    </row>
    <row r="406" spans="3:54">
      <c r="C406" s="359"/>
      <c r="D406" s="260"/>
      <c r="F406" s="359"/>
      <c r="G406" s="359"/>
      <c r="H406" s="359"/>
      <c r="I406" s="359"/>
      <c r="J406" s="359"/>
      <c r="K406" s="359"/>
      <c r="L406" s="359"/>
      <c r="M406" s="359"/>
      <c r="N406" s="359"/>
      <c r="O406" s="359"/>
      <c r="P406" s="359"/>
      <c r="Q406" s="359"/>
      <c r="R406" s="359"/>
      <c r="S406" s="359"/>
      <c r="T406" s="359"/>
      <c r="U406" s="359"/>
      <c r="V406" s="359"/>
      <c r="W406" s="359"/>
      <c r="X406" s="359"/>
      <c r="Y406" s="359"/>
      <c r="Z406" s="359"/>
      <c r="AA406" s="359"/>
      <c r="AB406" s="359"/>
      <c r="AC406" s="359"/>
      <c r="AD406" s="359"/>
      <c r="AE406" s="359"/>
      <c r="AF406" s="359"/>
      <c r="AG406" s="359"/>
      <c r="AH406" s="359"/>
      <c r="AI406" s="359"/>
      <c r="AJ406" s="359"/>
      <c r="AK406" s="359"/>
      <c r="AL406" s="359"/>
      <c r="AM406" s="359"/>
      <c r="AN406" s="359"/>
      <c r="AO406" s="359"/>
      <c r="AP406" s="359"/>
      <c r="AQ406" s="359"/>
      <c r="AR406" s="359"/>
      <c r="AS406" s="359"/>
      <c r="AT406" s="359"/>
      <c r="AU406" s="359"/>
      <c r="AV406" s="359"/>
      <c r="AW406" s="359"/>
      <c r="AY406" s="962"/>
      <c r="AZ406" s="962"/>
      <c r="BA406" s="1303"/>
      <c r="BB406" s="625"/>
    </row>
    <row r="407" spans="3:54">
      <c r="C407" s="359"/>
      <c r="D407" s="260"/>
      <c r="F407" s="359"/>
      <c r="G407" s="359"/>
      <c r="H407" s="359"/>
      <c r="I407" s="359"/>
      <c r="J407" s="359"/>
      <c r="K407" s="359"/>
      <c r="L407" s="359"/>
      <c r="M407" s="359"/>
      <c r="N407" s="359"/>
      <c r="O407" s="359"/>
      <c r="P407" s="359"/>
      <c r="Q407" s="359"/>
      <c r="R407" s="359"/>
      <c r="S407" s="359"/>
      <c r="T407" s="359"/>
      <c r="U407" s="359"/>
      <c r="V407" s="359"/>
      <c r="W407" s="359"/>
      <c r="X407" s="359"/>
      <c r="Y407" s="359"/>
      <c r="Z407" s="359"/>
      <c r="AA407" s="359"/>
      <c r="AB407" s="359"/>
      <c r="AC407" s="359"/>
      <c r="AD407" s="359"/>
      <c r="AE407" s="359"/>
      <c r="AF407" s="359"/>
      <c r="AG407" s="359"/>
      <c r="AH407" s="359"/>
      <c r="AI407" s="359"/>
      <c r="AJ407" s="359"/>
      <c r="AK407" s="359"/>
      <c r="AL407" s="359"/>
      <c r="AM407" s="359"/>
      <c r="AN407" s="359"/>
      <c r="AO407" s="359"/>
      <c r="AP407" s="359"/>
      <c r="AQ407" s="359"/>
      <c r="AR407" s="359"/>
      <c r="AS407" s="359"/>
      <c r="AT407" s="359"/>
      <c r="AU407" s="359"/>
      <c r="AV407" s="359"/>
      <c r="AW407" s="359"/>
      <c r="AY407" s="962"/>
      <c r="AZ407" s="962"/>
      <c r="BA407" s="1303"/>
      <c r="BB407" s="625"/>
    </row>
    <row r="408" spans="3:54">
      <c r="C408" s="359"/>
      <c r="D408" s="593" t="s">
        <v>1874</v>
      </c>
      <c r="F408" s="359"/>
      <c r="G408" s="359"/>
      <c r="H408" s="359"/>
      <c r="I408" s="359"/>
      <c r="J408" s="359"/>
      <c r="K408" s="359"/>
      <c r="L408" s="359"/>
      <c r="M408" s="359"/>
      <c r="N408" s="359"/>
      <c r="O408" s="359"/>
      <c r="P408" s="359"/>
      <c r="Q408" s="359"/>
      <c r="R408" s="359"/>
      <c r="S408" s="359"/>
      <c r="T408" s="359"/>
      <c r="U408" s="359"/>
      <c r="V408" s="359"/>
      <c r="W408" s="359"/>
      <c r="X408" s="359"/>
      <c r="Y408" s="359"/>
      <c r="Z408" s="359"/>
      <c r="AA408" s="359"/>
      <c r="AB408" s="359"/>
      <c r="AC408" s="359"/>
      <c r="AD408" s="359"/>
      <c r="AE408" s="359"/>
      <c r="AF408" s="359"/>
      <c r="AG408" s="359"/>
      <c r="AH408" s="359"/>
      <c r="AI408" s="359"/>
      <c r="AJ408" s="359"/>
      <c r="AK408" s="359"/>
      <c r="AL408" s="359"/>
      <c r="AM408" s="359"/>
      <c r="AN408" s="359"/>
      <c r="AO408" s="359"/>
      <c r="AP408" s="359"/>
      <c r="AQ408" s="359"/>
      <c r="AR408" s="359"/>
      <c r="AS408" s="359"/>
      <c r="AT408" s="359"/>
      <c r="AU408" s="359"/>
      <c r="AV408" s="359"/>
      <c r="AW408" s="359"/>
      <c r="AY408" s="962"/>
      <c r="AZ408" s="962"/>
      <c r="BA408" s="1303"/>
      <c r="BB408" s="625"/>
    </row>
    <row r="409" spans="3:54">
      <c r="C409" s="359"/>
      <c r="D409" s="260"/>
      <c r="F409" s="359"/>
      <c r="G409" s="359"/>
      <c r="H409" s="359"/>
      <c r="I409" s="359"/>
      <c r="J409" s="359"/>
      <c r="K409" s="359"/>
      <c r="L409" s="359"/>
      <c r="M409" s="359"/>
      <c r="N409" s="359"/>
      <c r="O409" s="359"/>
      <c r="P409" s="359"/>
      <c r="Q409" s="359"/>
      <c r="R409" s="359"/>
      <c r="S409" s="359"/>
      <c r="T409" s="359"/>
      <c r="U409" s="359"/>
      <c r="V409" s="359"/>
      <c r="W409" s="359"/>
      <c r="X409" s="359"/>
      <c r="Y409" s="359"/>
      <c r="Z409" s="359"/>
      <c r="AA409" s="359"/>
      <c r="AB409" s="359"/>
      <c r="AC409" s="359"/>
      <c r="AD409" s="359"/>
      <c r="AE409" s="359"/>
      <c r="AF409" s="359"/>
      <c r="AG409" s="359"/>
      <c r="AH409" s="359"/>
      <c r="AI409" s="359"/>
      <c r="AJ409" s="359"/>
      <c r="AK409" s="359"/>
      <c r="AL409" s="359"/>
      <c r="AM409" s="359"/>
      <c r="AN409" s="359"/>
      <c r="AO409" s="359"/>
      <c r="AP409" s="359"/>
      <c r="AQ409" s="359"/>
      <c r="AR409" s="359"/>
      <c r="AS409" s="359"/>
      <c r="AT409" s="359"/>
      <c r="AU409" s="359"/>
      <c r="AV409" s="359"/>
      <c r="AW409" s="359"/>
      <c r="AY409" s="962"/>
      <c r="AZ409" s="962"/>
      <c r="BA409" s="1303"/>
      <c r="BB409" s="625"/>
    </row>
    <row r="410" spans="3:54">
      <c r="C410" s="359"/>
      <c r="D410" s="3142" t="s">
        <v>225</v>
      </c>
      <c r="E410" s="3297" t="s">
        <v>271</v>
      </c>
      <c r="F410" s="359"/>
      <c r="G410" s="359"/>
      <c r="H410" s="359"/>
      <c r="I410" s="359"/>
      <c r="J410" s="359"/>
      <c r="K410" s="359"/>
      <c r="L410" s="359"/>
      <c r="M410" s="359"/>
      <c r="N410" s="359"/>
      <c r="O410" s="359"/>
      <c r="P410" s="359"/>
      <c r="Q410" s="359"/>
      <c r="R410" s="359"/>
      <c r="S410" s="359"/>
      <c r="T410" s="359"/>
      <c r="U410" s="359"/>
      <c r="V410" s="359"/>
      <c r="W410" s="359"/>
      <c r="X410" s="359"/>
      <c r="Y410" s="359"/>
      <c r="Z410" s="359"/>
      <c r="AA410" s="359"/>
      <c r="AB410" s="359"/>
      <c r="AC410" s="359"/>
      <c r="AD410" s="359"/>
      <c r="AE410" s="359"/>
      <c r="AF410" s="359"/>
      <c r="AG410" s="359"/>
      <c r="AH410" s="359"/>
      <c r="AI410" s="359"/>
      <c r="AJ410" s="359"/>
      <c r="AK410" s="359"/>
      <c r="AL410" s="359"/>
      <c r="AM410" s="359"/>
      <c r="AN410" s="359"/>
      <c r="AO410" s="359"/>
      <c r="AP410" s="359"/>
      <c r="AQ410" s="359"/>
      <c r="AR410" s="359"/>
      <c r="AS410" s="359"/>
      <c r="AT410" s="359"/>
      <c r="AU410" s="359"/>
      <c r="AV410" s="359"/>
      <c r="AW410" s="359"/>
      <c r="AY410" s="962"/>
      <c r="AZ410" s="962"/>
      <c r="BA410" s="1303"/>
      <c r="BB410" s="625"/>
    </row>
    <row r="411" spans="3:54">
      <c r="C411" s="359"/>
      <c r="D411" s="3143">
        <v>2007</v>
      </c>
      <c r="E411" s="3297">
        <f>'Global assumptions'!C6</f>
        <v>1215947696.8037</v>
      </c>
      <c r="F411" s="359"/>
      <c r="G411" s="359"/>
      <c r="H411" s="359"/>
      <c r="I411" s="359"/>
      <c r="J411" s="359"/>
      <c r="K411" s="359"/>
      <c r="L411" s="359"/>
      <c r="M411" s="359"/>
      <c r="N411" s="359"/>
      <c r="O411" s="359"/>
      <c r="P411" s="359"/>
      <c r="Q411" s="359"/>
      <c r="R411" s="359"/>
      <c r="S411" s="359"/>
      <c r="T411" s="359"/>
      <c r="U411" s="359"/>
      <c r="V411" s="359"/>
      <c r="W411" s="359"/>
      <c r="X411" s="359"/>
      <c r="Y411" s="359"/>
      <c r="Z411" s="359"/>
      <c r="AA411" s="359"/>
      <c r="AB411" s="359"/>
      <c r="AC411" s="359"/>
      <c r="AD411" s="359"/>
      <c r="AE411" s="359"/>
      <c r="AF411" s="359"/>
      <c r="AG411" s="359"/>
      <c r="AH411" s="359"/>
      <c r="AI411" s="359"/>
      <c r="AJ411" s="359"/>
      <c r="AK411" s="359"/>
      <c r="AL411" s="359"/>
      <c r="AM411" s="359"/>
      <c r="AN411" s="359"/>
      <c r="AO411" s="359"/>
      <c r="AP411" s="359"/>
      <c r="AQ411" s="359"/>
      <c r="AR411" s="359"/>
      <c r="AS411" s="359"/>
      <c r="AT411" s="359"/>
      <c r="AU411" s="359"/>
      <c r="AV411" s="359"/>
      <c r="AW411" s="359"/>
      <c r="AY411" s="962"/>
      <c r="AZ411" s="962"/>
      <c r="BA411" s="1303"/>
      <c r="BB411" s="625"/>
    </row>
    <row r="412" spans="3:54">
      <c r="C412" s="359"/>
      <c r="D412" s="3143">
        <f>D411+5</f>
        <v>2012</v>
      </c>
      <c r="E412" s="3297">
        <f>'Global assumptions'!C7</f>
        <v>1215947696.8037</v>
      </c>
      <c r="F412" s="359"/>
      <c r="G412" s="359"/>
      <c r="H412" s="359"/>
      <c r="I412" s="359"/>
      <c r="J412" s="359"/>
      <c r="K412" s="359"/>
      <c r="L412" s="359"/>
      <c r="M412" s="359"/>
      <c r="N412" s="359"/>
      <c r="O412" s="359"/>
      <c r="P412" s="359"/>
      <c r="Q412" s="359"/>
      <c r="R412" s="359"/>
      <c r="S412" s="359"/>
      <c r="T412" s="359"/>
      <c r="U412" s="359"/>
      <c r="V412" s="359"/>
      <c r="W412" s="359"/>
      <c r="X412" s="359"/>
      <c r="Y412" s="359"/>
      <c r="Z412" s="359"/>
      <c r="AA412" s="359"/>
      <c r="AB412" s="359"/>
      <c r="AC412" s="359"/>
      <c r="AD412" s="359"/>
      <c r="AE412" s="359"/>
      <c r="AF412" s="359"/>
      <c r="AG412" s="359"/>
      <c r="AH412" s="359"/>
      <c r="AI412" s="359"/>
      <c r="AJ412" s="359"/>
      <c r="AK412" s="359"/>
      <c r="AL412" s="359"/>
      <c r="AM412" s="359"/>
      <c r="AN412" s="359"/>
      <c r="AO412" s="359"/>
      <c r="AP412" s="359"/>
      <c r="AQ412" s="359"/>
      <c r="AR412" s="359"/>
      <c r="AS412" s="359"/>
      <c r="AT412" s="359"/>
      <c r="AU412" s="359"/>
      <c r="AV412" s="359"/>
      <c r="AW412" s="359"/>
      <c r="AY412" s="962"/>
      <c r="AZ412" s="962"/>
      <c r="BA412" s="1303"/>
      <c r="BB412" s="625"/>
    </row>
    <row r="413" spans="3:54">
      <c r="C413" s="359"/>
      <c r="D413" s="3143">
        <f t="shared" ref="D413:D419" si="125">D412+5</f>
        <v>2017</v>
      </c>
      <c r="E413" s="3297">
        <f>'Global assumptions'!C8</f>
        <v>1293560155.5197299</v>
      </c>
      <c r="F413" s="359"/>
      <c r="G413" s="359"/>
      <c r="H413" s="359"/>
      <c r="I413" s="359"/>
      <c r="J413" s="359"/>
      <c r="K413" s="359"/>
      <c r="L413" s="359"/>
      <c r="M413" s="359"/>
      <c r="N413" s="359"/>
      <c r="O413" s="359"/>
      <c r="P413" s="359"/>
      <c r="Q413" s="359"/>
      <c r="R413" s="359"/>
      <c r="S413" s="359"/>
      <c r="T413" s="359"/>
      <c r="U413" s="359"/>
      <c r="V413" s="359"/>
      <c r="W413" s="359"/>
      <c r="X413" s="359"/>
      <c r="Y413" s="359"/>
      <c r="Z413" s="359"/>
      <c r="AA413" s="359"/>
      <c r="AB413" s="359"/>
      <c r="AC413" s="359"/>
      <c r="AD413" s="359"/>
      <c r="AE413" s="359"/>
      <c r="AF413" s="359"/>
      <c r="AG413" s="359"/>
      <c r="AH413" s="359"/>
      <c r="AI413" s="359"/>
      <c r="AJ413" s="359"/>
      <c r="AK413" s="359"/>
      <c r="AL413" s="359"/>
      <c r="AM413" s="359"/>
      <c r="AN413" s="359"/>
      <c r="AO413" s="359"/>
      <c r="AP413" s="359"/>
      <c r="AQ413" s="359"/>
      <c r="AR413" s="359"/>
      <c r="AS413" s="359"/>
      <c r="AT413" s="359"/>
      <c r="AU413" s="359"/>
      <c r="AV413" s="359"/>
      <c r="AW413" s="359"/>
      <c r="AY413" s="962"/>
      <c r="AZ413" s="962"/>
      <c r="BA413" s="1303"/>
      <c r="BB413" s="625"/>
    </row>
    <row r="414" spans="3:54">
      <c r="C414" s="359"/>
      <c r="D414" s="3143">
        <f t="shared" si="125"/>
        <v>2022</v>
      </c>
      <c r="E414" s="3297">
        <f>'Global assumptions'!C9</f>
        <v>1383591897.89131</v>
      </c>
      <c r="F414" s="359"/>
      <c r="G414" s="359"/>
      <c r="H414" s="359"/>
      <c r="I414" s="359"/>
      <c r="J414" s="359"/>
      <c r="K414" s="359"/>
      <c r="L414" s="359"/>
      <c r="M414" s="359"/>
      <c r="N414" s="359"/>
      <c r="O414" s="359"/>
      <c r="P414" s="359"/>
      <c r="Q414" s="359"/>
      <c r="R414" s="359"/>
      <c r="S414" s="359"/>
      <c r="T414" s="359"/>
      <c r="U414" s="359"/>
      <c r="V414" s="359"/>
      <c r="W414" s="359"/>
      <c r="X414" s="359"/>
      <c r="Y414" s="359"/>
      <c r="Z414" s="359"/>
      <c r="AA414" s="359"/>
      <c r="AB414" s="359"/>
      <c r="AC414" s="359"/>
      <c r="AD414" s="359"/>
      <c r="AE414" s="359"/>
      <c r="AF414" s="359"/>
      <c r="AG414" s="359"/>
      <c r="AH414" s="359"/>
      <c r="AI414" s="359"/>
      <c r="AJ414" s="359"/>
      <c r="AK414" s="359"/>
      <c r="AL414" s="359"/>
      <c r="AM414" s="359"/>
      <c r="AN414" s="359"/>
      <c r="AO414" s="359"/>
      <c r="AP414" s="359"/>
      <c r="AQ414" s="359"/>
      <c r="AR414" s="359"/>
      <c r="AS414" s="359"/>
      <c r="AT414" s="359"/>
      <c r="AU414" s="359"/>
      <c r="AV414" s="359"/>
      <c r="AW414" s="359"/>
      <c r="AY414" s="962"/>
      <c r="AZ414" s="962"/>
      <c r="BA414" s="1303"/>
      <c r="BB414" s="625"/>
    </row>
    <row r="415" spans="3:54">
      <c r="C415" s="359"/>
      <c r="D415" s="3143">
        <f t="shared" si="125"/>
        <v>2027</v>
      </c>
      <c r="E415" s="3297">
        <f>'Global assumptions'!C10</f>
        <v>1453466914.90909</v>
      </c>
      <c r="F415" s="359"/>
      <c r="G415" s="359"/>
      <c r="H415" s="359"/>
      <c r="I415" s="359"/>
      <c r="J415" s="359"/>
      <c r="K415" s="359"/>
      <c r="L415" s="359"/>
      <c r="M415" s="359"/>
      <c r="N415" s="359"/>
      <c r="O415" s="359"/>
      <c r="P415" s="359"/>
      <c r="Q415" s="359"/>
      <c r="R415" s="359"/>
      <c r="S415" s="359"/>
      <c r="T415" s="359"/>
      <c r="U415" s="359"/>
      <c r="V415" s="359"/>
      <c r="W415" s="359"/>
      <c r="X415" s="359"/>
      <c r="Y415" s="359"/>
      <c r="Z415" s="359"/>
      <c r="AA415" s="359"/>
      <c r="AB415" s="359"/>
      <c r="AC415" s="359"/>
      <c r="AD415" s="359"/>
      <c r="AE415" s="359"/>
      <c r="AF415" s="359"/>
      <c r="AG415" s="359"/>
      <c r="AH415" s="359"/>
      <c r="AI415" s="359"/>
      <c r="AJ415" s="359"/>
      <c r="AK415" s="359"/>
      <c r="AL415" s="359"/>
      <c r="AM415" s="359"/>
      <c r="AN415" s="359"/>
      <c r="AO415" s="359"/>
      <c r="AP415" s="359"/>
      <c r="AQ415" s="359"/>
      <c r="AR415" s="359"/>
      <c r="AS415" s="359"/>
      <c r="AT415" s="359"/>
      <c r="AU415" s="359"/>
      <c r="AV415" s="359"/>
      <c r="AW415" s="359"/>
      <c r="AY415" s="962"/>
      <c r="AZ415" s="962"/>
      <c r="BA415" s="1303"/>
      <c r="BB415" s="625"/>
    </row>
    <row r="416" spans="3:54">
      <c r="C416" s="359"/>
      <c r="D416" s="3143">
        <f t="shared" si="125"/>
        <v>2032</v>
      </c>
      <c r="E416" s="3297">
        <f>'Global assumptions'!C11</f>
        <v>1533937577.53791</v>
      </c>
      <c r="F416" s="359"/>
      <c r="G416" s="359"/>
      <c r="H416" s="359"/>
      <c r="I416" s="359"/>
      <c r="J416" s="359"/>
      <c r="K416" s="359"/>
      <c r="L416" s="359"/>
      <c r="M416" s="359"/>
      <c r="N416" s="359"/>
      <c r="O416" s="359"/>
      <c r="P416" s="359"/>
      <c r="Q416" s="359"/>
      <c r="R416" s="359"/>
      <c r="S416" s="359"/>
      <c r="T416" s="359"/>
      <c r="U416" s="359"/>
      <c r="V416" s="359"/>
      <c r="W416" s="359"/>
      <c r="X416" s="359"/>
      <c r="Y416" s="359"/>
      <c r="Z416" s="359"/>
      <c r="AA416" s="359"/>
      <c r="AB416" s="359"/>
      <c r="AC416" s="359"/>
      <c r="AD416" s="359"/>
      <c r="AE416" s="359"/>
      <c r="AF416" s="359"/>
      <c r="AG416" s="359"/>
      <c r="AH416" s="359"/>
      <c r="AI416" s="359"/>
      <c r="AJ416" s="359"/>
      <c r="AK416" s="359"/>
      <c r="AL416" s="359"/>
      <c r="AM416" s="359"/>
      <c r="AN416" s="359"/>
      <c r="AO416" s="359"/>
      <c r="AP416" s="359"/>
      <c r="AQ416" s="359"/>
      <c r="AR416" s="359"/>
      <c r="AS416" s="359"/>
      <c r="AT416" s="359"/>
      <c r="AU416" s="359"/>
      <c r="AV416" s="359"/>
      <c r="AW416" s="359"/>
      <c r="AY416" s="962"/>
      <c r="AZ416" s="962"/>
      <c r="BA416" s="1303"/>
      <c r="BB416" s="625"/>
    </row>
    <row r="417" spans="3:54">
      <c r="C417" s="359"/>
      <c r="D417" s="3143">
        <f t="shared" si="125"/>
        <v>2037</v>
      </c>
      <c r="E417" s="3297">
        <f>'Global assumptions'!C12</f>
        <v>1592149418.74388</v>
      </c>
      <c r="F417" s="359"/>
      <c r="G417" s="359"/>
      <c r="H417" s="359"/>
      <c r="I417" s="359"/>
      <c r="J417" s="359"/>
      <c r="K417" s="359"/>
      <c r="L417" s="359"/>
      <c r="M417" s="359"/>
      <c r="N417" s="359"/>
      <c r="O417" s="359"/>
      <c r="P417" s="359"/>
      <c r="Q417" s="359"/>
      <c r="R417" s="359"/>
      <c r="S417" s="359"/>
      <c r="T417" s="359"/>
      <c r="U417" s="359"/>
      <c r="V417" s="359"/>
      <c r="W417" s="359"/>
      <c r="X417" s="359"/>
      <c r="Y417" s="359"/>
      <c r="Z417" s="359"/>
      <c r="AA417" s="359"/>
      <c r="AB417" s="359"/>
      <c r="AC417" s="359"/>
      <c r="AD417" s="359"/>
      <c r="AE417" s="359"/>
      <c r="AF417" s="359"/>
      <c r="AG417" s="359"/>
      <c r="AH417" s="359"/>
      <c r="AI417" s="359"/>
      <c r="AJ417" s="359"/>
      <c r="AK417" s="359"/>
      <c r="AL417" s="359"/>
      <c r="AM417" s="359"/>
      <c r="AN417" s="359"/>
      <c r="AO417" s="359"/>
      <c r="AP417" s="359"/>
      <c r="AQ417" s="359"/>
      <c r="AR417" s="359"/>
      <c r="AS417" s="359"/>
      <c r="AT417" s="359"/>
      <c r="AU417" s="359"/>
      <c r="AV417" s="359"/>
      <c r="AW417" s="359"/>
      <c r="AY417" s="962"/>
      <c r="AZ417" s="962"/>
      <c r="BA417" s="1303"/>
      <c r="BB417" s="625"/>
    </row>
    <row r="418" spans="3:54">
      <c r="C418" s="359"/>
      <c r="D418" s="3143">
        <f t="shared" si="125"/>
        <v>2042</v>
      </c>
      <c r="E418" s="3297">
        <f>'Global assumptions'!C13</f>
        <v>1659579084.9869099</v>
      </c>
      <c r="F418" s="359"/>
      <c r="G418" s="359"/>
      <c r="H418" s="359"/>
      <c r="I418" s="359"/>
      <c r="J418" s="359"/>
      <c r="K418" s="359"/>
      <c r="L418" s="359"/>
      <c r="M418" s="359"/>
      <c r="N418" s="359"/>
      <c r="O418" s="359"/>
      <c r="P418" s="359"/>
      <c r="Q418" s="359"/>
      <c r="R418" s="359"/>
      <c r="S418" s="359"/>
      <c r="T418" s="359"/>
      <c r="U418" s="359"/>
      <c r="V418" s="359"/>
      <c r="W418" s="359"/>
      <c r="X418" s="359"/>
      <c r="Y418" s="359"/>
      <c r="Z418" s="359"/>
      <c r="AA418" s="359"/>
      <c r="AB418" s="359"/>
      <c r="AC418" s="359"/>
      <c r="AD418" s="359"/>
      <c r="AE418" s="359"/>
      <c r="AF418" s="359"/>
      <c r="AG418" s="359"/>
      <c r="AH418" s="359"/>
      <c r="AI418" s="359"/>
      <c r="AJ418" s="359"/>
      <c r="AK418" s="359"/>
      <c r="AL418" s="359"/>
      <c r="AM418" s="359"/>
      <c r="AN418" s="359"/>
      <c r="AO418" s="359"/>
      <c r="AP418" s="359"/>
      <c r="AQ418" s="359"/>
      <c r="AR418" s="359"/>
      <c r="AS418" s="359"/>
      <c r="AT418" s="359"/>
      <c r="AU418" s="359"/>
      <c r="AV418" s="359"/>
      <c r="AW418" s="359"/>
      <c r="AY418" s="962"/>
      <c r="AZ418" s="962"/>
      <c r="BA418" s="1303"/>
      <c r="BB418" s="625"/>
    </row>
    <row r="419" spans="3:54">
      <c r="C419" s="359"/>
      <c r="D419" s="3143">
        <f t="shared" si="125"/>
        <v>2047</v>
      </c>
      <c r="E419" s="3297">
        <f>'Global assumptions'!C14</f>
        <v>1704172882.39362</v>
      </c>
      <c r="F419" s="359"/>
      <c r="G419" s="359"/>
      <c r="H419" s="359"/>
      <c r="I419" s="359"/>
      <c r="J419" s="359"/>
      <c r="K419" s="359"/>
      <c r="L419" s="359"/>
      <c r="M419" s="359"/>
      <c r="N419" s="359"/>
      <c r="O419" s="359"/>
      <c r="P419" s="359"/>
      <c r="Q419" s="359"/>
      <c r="R419" s="359"/>
      <c r="S419" s="359"/>
      <c r="T419" s="359"/>
      <c r="U419" s="359"/>
      <c r="V419" s="359"/>
      <c r="W419" s="359"/>
      <c r="X419" s="359"/>
      <c r="Y419" s="359"/>
      <c r="Z419" s="359"/>
      <c r="AA419" s="359"/>
      <c r="AB419" s="359"/>
      <c r="AC419" s="359"/>
      <c r="AD419" s="359"/>
      <c r="AE419" s="359"/>
      <c r="AF419" s="359"/>
      <c r="AG419" s="359"/>
      <c r="AH419" s="359"/>
      <c r="AI419" s="359"/>
      <c r="AJ419" s="359"/>
      <c r="AK419" s="359"/>
      <c r="AL419" s="359"/>
      <c r="AM419" s="359"/>
      <c r="AN419" s="359"/>
      <c r="AO419" s="359"/>
      <c r="AP419" s="359"/>
      <c r="AQ419" s="359"/>
      <c r="AR419" s="359"/>
      <c r="AS419" s="359"/>
      <c r="AT419" s="359"/>
      <c r="AU419" s="359"/>
      <c r="AV419" s="359"/>
      <c r="AW419" s="359"/>
      <c r="AY419" s="962"/>
      <c r="AZ419" s="962"/>
      <c r="BA419" s="1303"/>
      <c r="BB419" s="625"/>
    </row>
    <row r="420" spans="3:54">
      <c r="C420" s="359"/>
      <c r="D420" s="260"/>
      <c r="F420" s="359"/>
      <c r="G420" s="359"/>
      <c r="H420" s="359"/>
      <c r="I420" s="359"/>
      <c r="J420" s="359"/>
      <c r="K420" s="359"/>
      <c r="L420" s="359"/>
      <c r="M420" s="359"/>
      <c r="N420" s="359"/>
      <c r="O420" s="359"/>
      <c r="P420" s="359"/>
      <c r="Q420" s="359"/>
      <c r="R420" s="359"/>
      <c r="S420" s="359"/>
      <c r="T420" s="359"/>
      <c r="U420" s="359"/>
      <c r="V420" s="359"/>
      <c r="W420" s="359"/>
      <c r="X420" s="359"/>
      <c r="Y420" s="359"/>
      <c r="Z420" s="359"/>
      <c r="AA420" s="359"/>
      <c r="AB420" s="359"/>
      <c r="AC420" s="359"/>
      <c r="AD420" s="359"/>
      <c r="AE420" s="359"/>
      <c r="AF420" s="359"/>
      <c r="AG420" s="359"/>
      <c r="AH420" s="359"/>
      <c r="AI420" s="359"/>
      <c r="AJ420" s="359"/>
      <c r="AK420" s="359"/>
      <c r="AL420" s="359"/>
      <c r="AM420" s="359"/>
      <c r="AN420" s="359"/>
      <c r="AO420" s="359"/>
      <c r="AP420" s="359"/>
      <c r="AQ420" s="359"/>
      <c r="AR420" s="359"/>
      <c r="AS420" s="359"/>
      <c r="AT420" s="359"/>
      <c r="AU420" s="359"/>
      <c r="AV420" s="359"/>
      <c r="AW420" s="359"/>
      <c r="AY420" s="962"/>
      <c r="AZ420" s="962"/>
      <c r="BA420" s="1303"/>
      <c r="BB420" s="625"/>
    </row>
    <row r="421" spans="3:54">
      <c r="C421" s="359"/>
      <c r="D421" s="260"/>
      <c r="F421" s="359"/>
      <c r="G421" s="359"/>
      <c r="H421" s="359"/>
      <c r="I421" s="359"/>
      <c r="J421" s="359"/>
      <c r="K421" s="359"/>
      <c r="L421" s="359"/>
      <c r="M421" s="359"/>
      <c r="N421" s="359"/>
      <c r="O421" s="359"/>
      <c r="P421" s="359"/>
      <c r="Q421" s="359"/>
      <c r="R421" s="359"/>
      <c r="S421" s="359"/>
      <c r="T421" s="359"/>
      <c r="U421" s="359"/>
      <c r="V421" s="359"/>
      <c r="W421" s="359"/>
      <c r="X421" s="359"/>
      <c r="Y421" s="359"/>
      <c r="Z421" s="359"/>
      <c r="AA421" s="359"/>
      <c r="AB421" s="359"/>
      <c r="AC421" s="359"/>
      <c r="AD421" s="359"/>
      <c r="AE421" s="359"/>
      <c r="AF421" s="359"/>
      <c r="AG421" s="359"/>
      <c r="AH421" s="359"/>
      <c r="AI421" s="359"/>
      <c r="AJ421" s="359"/>
      <c r="AK421" s="359"/>
      <c r="AL421" s="359"/>
      <c r="AM421" s="359"/>
      <c r="AN421" s="359"/>
      <c r="AO421" s="359"/>
      <c r="AP421" s="359"/>
      <c r="AQ421" s="359"/>
      <c r="AR421" s="359"/>
      <c r="AS421" s="359"/>
      <c r="AT421" s="359"/>
      <c r="AU421" s="359"/>
      <c r="AV421" s="359"/>
      <c r="AW421" s="359"/>
      <c r="AY421" s="962"/>
      <c r="AZ421" s="962"/>
      <c r="BA421" s="1303"/>
      <c r="BB421" s="625"/>
    </row>
    <row r="422" spans="3:54">
      <c r="C422" s="359"/>
      <c r="D422" s="260"/>
      <c r="F422" s="359"/>
      <c r="G422" s="359"/>
      <c r="H422" s="359"/>
      <c r="I422" s="359"/>
      <c r="J422" s="359"/>
      <c r="K422" s="359"/>
      <c r="L422" s="359"/>
      <c r="M422" s="359"/>
      <c r="N422" s="359"/>
      <c r="O422" s="359"/>
      <c r="P422" s="359"/>
      <c r="Q422" s="359"/>
      <c r="R422" s="359"/>
      <c r="S422" s="359"/>
      <c r="T422" s="359"/>
      <c r="U422" s="359"/>
      <c r="V422" s="359"/>
      <c r="W422" s="359"/>
      <c r="X422" s="359"/>
      <c r="Y422" s="359"/>
      <c r="Z422" s="359"/>
      <c r="AA422" s="359"/>
      <c r="AB422" s="359"/>
      <c r="AC422" s="359"/>
      <c r="AD422" s="359"/>
      <c r="AE422" s="359"/>
      <c r="AF422" s="359"/>
      <c r="AG422" s="359"/>
      <c r="AH422" s="359"/>
      <c r="AI422" s="359"/>
      <c r="AJ422" s="359"/>
      <c r="AK422" s="359"/>
      <c r="AL422" s="359"/>
      <c r="AM422" s="359"/>
      <c r="AN422" s="359"/>
      <c r="AO422" s="359"/>
      <c r="AP422" s="359"/>
      <c r="AQ422" s="359"/>
      <c r="AR422" s="359"/>
      <c r="AS422" s="359"/>
      <c r="AT422" s="359"/>
      <c r="AU422" s="359"/>
      <c r="AV422" s="359"/>
      <c r="AW422" s="359"/>
      <c r="AY422" s="962"/>
      <c r="AZ422" s="962"/>
      <c r="BA422" s="1303"/>
      <c r="BB422" s="625"/>
    </row>
    <row r="423" spans="3:54">
      <c r="C423" s="359"/>
      <c r="D423" s="260"/>
      <c r="F423" s="359"/>
      <c r="G423" s="359"/>
      <c r="H423" s="359"/>
      <c r="I423" s="359"/>
      <c r="J423" s="359"/>
      <c r="K423" s="359"/>
      <c r="L423" s="359"/>
      <c r="M423" s="359"/>
      <c r="N423" s="359"/>
      <c r="O423" s="359"/>
      <c r="P423" s="359"/>
      <c r="Q423" s="359"/>
      <c r="R423" s="359"/>
      <c r="S423" s="359"/>
      <c r="T423" s="359"/>
      <c r="U423" s="359"/>
      <c r="V423" s="359"/>
      <c r="W423" s="359"/>
      <c r="X423" s="359"/>
      <c r="Y423" s="359"/>
      <c r="Z423" s="359"/>
      <c r="AA423" s="359"/>
      <c r="AB423" s="359"/>
      <c r="AC423" s="359"/>
      <c r="AD423" s="359"/>
      <c r="AE423" s="359"/>
      <c r="AF423" s="359"/>
      <c r="AG423" s="359"/>
      <c r="AH423" s="359"/>
      <c r="AI423" s="359"/>
      <c r="AJ423" s="359"/>
      <c r="AK423" s="359"/>
      <c r="AL423" s="359"/>
      <c r="AM423" s="359"/>
      <c r="AN423" s="359"/>
      <c r="AO423" s="359"/>
      <c r="AP423" s="359"/>
      <c r="AQ423" s="359"/>
      <c r="AR423" s="359"/>
      <c r="AS423" s="359"/>
      <c r="AT423" s="359"/>
      <c r="AU423" s="359"/>
      <c r="AV423" s="359"/>
      <c r="AW423" s="359"/>
      <c r="AY423" s="962"/>
      <c r="AZ423" s="962"/>
      <c r="BA423" s="1303"/>
      <c r="BB423" s="625"/>
    </row>
    <row r="424" spans="3:54">
      <c r="C424" s="359"/>
      <c r="D424" s="260"/>
      <c r="F424" s="359"/>
      <c r="G424" s="359"/>
      <c r="H424" s="359"/>
      <c r="I424" s="359"/>
      <c r="J424" s="359"/>
      <c r="K424" s="359"/>
      <c r="L424" s="359"/>
      <c r="M424" s="359"/>
      <c r="N424" s="359"/>
      <c r="O424" s="359"/>
      <c r="P424" s="359"/>
      <c r="Q424" s="359"/>
      <c r="R424" s="359"/>
      <c r="S424" s="359"/>
      <c r="T424" s="359"/>
      <c r="U424" s="359"/>
      <c r="V424" s="359"/>
      <c r="W424" s="359"/>
      <c r="X424" s="359"/>
      <c r="Y424" s="359"/>
      <c r="Z424" s="359"/>
      <c r="AA424" s="359"/>
      <c r="AB424" s="359"/>
      <c r="AC424" s="359"/>
      <c r="AD424" s="359"/>
      <c r="AE424" s="359"/>
      <c r="AF424" s="359"/>
      <c r="AG424" s="359"/>
      <c r="AH424" s="359"/>
      <c r="AI424" s="359"/>
      <c r="AJ424" s="359"/>
      <c r="AK424" s="359"/>
      <c r="AL424" s="359"/>
      <c r="AM424" s="359"/>
      <c r="AN424" s="359"/>
      <c r="AO424" s="359"/>
      <c r="AP424" s="359"/>
      <c r="AQ424" s="359"/>
      <c r="AR424" s="359"/>
      <c r="AS424" s="359"/>
      <c r="AT424" s="359"/>
      <c r="AU424" s="359"/>
      <c r="AV424" s="359"/>
      <c r="AW424" s="359"/>
      <c r="AY424" s="962"/>
      <c r="AZ424" s="962"/>
      <c r="BA424" s="1303"/>
      <c r="BB424" s="625"/>
    </row>
    <row r="425" spans="3:54">
      <c r="C425" s="359"/>
      <c r="D425" s="260"/>
      <c r="F425" s="359"/>
      <c r="G425" s="359"/>
      <c r="H425" s="359"/>
      <c r="I425" s="359"/>
      <c r="J425" s="359"/>
      <c r="K425" s="359"/>
      <c r="L425" s="359"/>
      <c r="M425" s="359"/>
      <c r="N425" s="359"/>
      <c r="O425" s="359"/>
      <c r="P425" s="359"/>
      <c r="Q425" s="359"/>
      <c r="R425" s="359"/>
      <c r="S425" s="359"/>
      <c r="T425" s="359"/>
      <c r="U425" s="359"/>
      <c r="V425" s="359"/>
      <c r="W425" s="359"/>
      <c r="X425" s="359"/>
      <c r="Y425" s="359"/>
      <c r="Z425" s="359"/>
      <c r="AA425" s="359"/>
      <c r="AB425" s="359"/>
      <c r="AC425" s="359"/>
      <c r="AD425" s="359"/>
      <c r="AE425" s="359"/>
      <c r="AF425" s="359"/>
      <c r="AG425" s="359"/>
      <c r="AH425" s="359"/>
      <c r="AI425" s="359"/>
      <c r="AJ425" s="359"/>
      <c r="AK425" s="359"/>
      <c r="AL425" s="359"/>
      <c r="AM425" s="359"/>
      <c r="AN425" s="359"/>
      <c r="AO425" s="359"/>
      <c r="AP425" s="359"/>
      <c r="AQ425" s="359"/>
      <c r="AR425" s="359"/>
      <c r="AS425" s="359"/>
      <c r="AT425" s="359"/>
      <c r="AU425" s="359"/>
      <c r="AV425" s="359"/>
      <c r="AW425" s="359"/>
      <c r="AY425" s="962"/>
      <c r="AZ425" s="962"/>
      <c r="BA425" s="1303"/>
      <c r="BB425" s="625"/>
    </row>
    <row r="426" spans="3:54">
      <c r="C426" s="359"/>
      <c r="D426" s="260"/>
      <c r="F426" s="359"/>
      <c r="G426" s="359"/>
      <c r="H426" s="359"/>
      <c r="I426" s="359"/>
      <c r="J426" s="359"/>
      <c r="K426" s="359"/>
      <c r="L426" s="359"/>
      <c r="M426" s="359"/>
      <c r="N426" s="359"/>
      <c r="O426" s="359"/>
      <c r="P426" s="359"/>
      <c r="Q426" s="359"/>
      <c r="R426" s="359"/>
      <c r="S426" s="359"/>
      <c r="T426" s="359"/>
      <c r="U426" s="359"/>
      <c r="V426" s="359"/>
      <c r="W426" s="359"/>
      <c r="X426" s="359"/>
      <c r="Y426" s="359"/>
      <c r="Z426" s="359"/>
      <c r="AA426" s="359"/>
      <c r="AB426" s="359"/>
      <c r="AC426" s="359"/>
      <c r="AD426" s="359"/>
      <c r="AE426" s="359"/>
      <c r="AF426" s="359"/>
      <c r="AG426" s="359"/>
      <c r="AH426" s="359"/>
      <c r="AI426" s="359"/>
      <c r="AJ426" s="359"/>
      <c r="AK426" s="359"/>
      <c r="AL426" s="359"/>
      <c r="AM426" s="359"/>
      <c r="AN426" s="359"/>
      <c r="AO426" s="359"/>
      <c r="AP426" s="359"/>
      <c r="AQ426" s="359"/>
      <c r="AR426" s="359"/>
      <c r="AS426" s="359"/>
      <c r="AT426" s="359"/>
      <c r="AU426" s="359"/>
      <c r="AV426" s="359"/>
      <c r="AW426" s="359"/>
      <c r="AY426" s="962"/>
      <c r="AZ426" s="962"/>
      <c r="BA426" s="1303"/>
      <c r="BB426" s="625"/>
    </row>
    <row r="427" spans="3:54">
      <c r="C427" s="359"/>
      <c r="D427" s="260"/>
      <c r="F427" s="359"/>
      <c r="G427" s="359"/>
      <c r="H427" s="359"/>
      <c r="I427" s="359"/>
      <c r="J427" s="359"/>
      <c r="K427" s="359"/>
      <c r="L427" s="359"/>
      <c r="M427" s="359"/>
      <c r="N427" s="359"/>
      <c r="O427" s="359"/>
      <c r="P427" s="359"/>
      <c r="Q427" s="359"/>
      <c r="R427" s="359"/>
      <c r="S427" s="359"/>
      <c r="T427" s="359"/>
      <c r="U427" s="359"/>
      <c r="V427" s="359"/>
      <c r="W427" s="359"/>
      <c r="X427" s="359"/>
      <c r="Y427" s="359"/>
      <c r="Z427" s="359"/>
      <c r="AA427" s="359"/>
      <c r="AB427" s="359"/>
      <c r="AC427" s="359"/>
      <c r="AD427" s="359"/>
      <c r="AE427" s="359"/>
      <c r="AF427" s="359"/>
      <c r="AG427" s="359"/>
      <c r="AH427" s="359"/>
      <c r="AI427" s="359"/>
      <c r="AJ427" s="359"/>
      <c r="AK427" s="359"/>
      <c r="AL427" s="359"/>
      <c r="AM427" s="359"/>
      <c r="AN427" s="359"/>
      <c r="AO427" s="359"/>
      <c r="AP427" s="359"/>
      <c r="AQ427" s="359"/>
      <c r="AR427" s="359"/>
      <c r="AS427" s="359"/>
      <c r="AT427" s="359"/>
      <c r="AU427" s="359"/>
      <c r="AV427" s="359"/>
      <c r="AW427" s="359"/>
      <c r="AY427" s="962"/>
      <c r="AZ427" s="962"/>
      <c r="BA427" s="1303"/>
      <c r="BB427" s="625"/>
    </row>
    <row r="428" spans="3:54">
      <c r="C428" s="359"/>
      <c r="D428" s="260"/>
      <c r="F428" s="359"/>
      <c r="G428" s="359"/>
      <c r="H428" s="359"/>
      <c r="I428" s="359"/>
      <c r="J428" s="359"/>
      <c r="K428" s="359"/>
      <c r="L428" s="359"/>
      <c r="M428" s="359"/>
      <c r="N428" s="359"/>
      <c r="O428" s="359"/>
      <c r="P428" s="359"/>
      <c r="Q428" s="359"/>
      <c r="R428" s="359"/>
      <c r="S428" s="359"/>
      <c r="T428" s="359"/>
      <c r="U428" s="359"/>
      <c r="V428" s="359"/>
      <c r="W428" s="359"/>
      <c r="X428" s="359"/>
      <c r="Y428" s="359"/>
      <c r="Z428" s="359"/>
      <c r="AA428" s="359"/>
      <c r="AB428" s="359"/>
      <c r="AC428" s="359"/>
      <c r="AD428" s="359"/>
      <c r="AE428" s="359"/>
      <c r="AF428" s="359"/>
      <c r="AG428" s="359"/>
      <c r="AH428" s="359"/>
      <c r="AI428" s="359"/>
      <c r="AJ428" s="359"/>
      <c r="AK428" s="359"/>
      <c r="AL428" s="359"/>
      <c r="AM428" s="359"/>
      <c r="AN428" s="359"/>
      <c r="AO428" s="359"/>
      <c r="AP428" s="359"/>
      <c r="AQ428" s="359"/>
      <c r="AR428" s="359"/>
      <c r="AS428" s="359"/>
      <c r="AT428" s="359"/>
      <c r="AU428" s="359"/>
      <c r="AV428" s="359"/>
      <c r="AW428" s="359"/>
      <c r="AY428" s="962"/>
      <c r="AZ428" s="962"/>
      <c r="BA428" s="1303"/>
      <c r="BB428" s="625"/>
    </row>
    <row r="429" spans="3:54">
      <c r="AY429" s="962"/>
      <c r="AZ429" s="962"/>
      <c r="BA429" s="1303"/>
      <c r="BB429" s="625"/>
    </row>
    <row r="430" spans="3:54">
      <c r="AY430" s="962"/>
      <c r="AZ430" s="962"/>
    </row>
    <row r="431" spans="3:54">
      <c r="AY431" s="962"/>
      <c r="AZ431" s="962"/>
      <c r="BA431" s="1303"/>
      <c r="BB431" s="625"/>
    </row>
    <row r="432" spans="3:54">
      <c r="AY432" s="962"/>
      <c r="AZ432" s="962"/>
      <c r="BA432" s="1303"/>
      <c r="BB432" s="624"/>
    </row>
    <row r="433" spans="51:54">
      <c r="AY433" s="1306"/>
      <c r="AZ433" s="1306"/>
      <c r="BA433" s="1303"/>
      <c r="BB433" s="625"/>
    </row>
    <row r="434" spans="51:54">
      <c r="AY434" s="1306"/>
      <c r="AZ434" s="1306"/>
      <c r="BA434" s="1303"/>
      <c r="BB434" s="625"/>
    </row>
    <row r="435" spans="51:54">
      <c r="AY435" s="962"/>
      <c r="AZ435" s="962"/>
      <c r="BA435" s="1303"/>
      <c r="BB435" s="625"/>
    </row>
    <row r="436" spans="51:54">
      <c r="AY436" s="962"/>
      <c r="AZ436" s="962"/>
      <c r="BA436" s="1303"/>
    </row>
    <row r="437" spans="51:54">
      <c r="AY437" s="962"/>
      <c r="AZ437" s="962"/>
      <c r="BA437" s="1303"/>
      <c r="BB437" s="625"/>
    </row>
    <row r="438" spans="51:54">
      <c r="AY438" s="962"/>
      <c r="AZ438" s="962"/>
      <c r="BA438" s="1303"/>
    </row>
    <row r="439" spans="51:54">
      <c r="AY439" s="962"/>
      <c r="AZ439" s="962"/>
      <c r="BA439" s="1303"/>
      <c r="BB439" s="625"/>
    </row>
    <row r="440" spans="51:54">
      <c r="AY440" s="962"/>
      <c r="AZ440" s="962"/>
      <c r="BA440" s="1303"/>
      <c r="BB440" s="625"/>
    </row>
    <row r="441" spans="51:54">
      <c r="AY441" s="962"/>
      <c r="AZ441" s="962"/>
      <c r="BA441" s="1303"/>
      <c r="BB441" s="625"/>
    </row>
    <row r="442" spans="51:54">
      <c r="AY442" s="962"/>
      <c r="AZ442" s="962"/>
      <c r="BA442" s="1303"/>
      <c r="BB442" s="625"/>
    </row>
    <row r="443" spans="51:54">
      <c r="AY443" s="962"/>
      <c r="AZ443" s="962"/>
      <c r="BA443" s="1303"/>
      <c r="BB443" s="625"/>
    </row>
    <row r="444" spans="51:54">
      <c r="AY444" s="962"/>
      <c r="AZ444" s="962"/>
      <c r="BA444" s="1303"/>
      <c r="BB444" s="625"/>
    </row>
    <row r="445" spans="51:54">
      <c r="AY445" s="962"/>
      <c r="AZ445" s="962"/>
      <c r="BA445" s="1303"/>
      <c r="BB445" s="624"/>
    </row>
    <row r="446" spans="51:54">
      <c r="AY446" s="962"/>
      <c r="AZ446" s="962"/>
      <c r="BA446" s="1303"/>
      <c r="BB446" s="625"/>
    </row>
    <row r="447" spans="51:54">
      <c r="AY447" s="962"/>
      <c r="AZ447" s="962"/>
      <c r="BA447" s="1303"/>
      <c r="BB447" s="625"/>
    </row>
    <row r="448" spans="51:54">
      <c r="AY448" s="962"/>
      <c r="AZ448" s="962"/>
      <c r="BA448" s="1303"/>
      <c r="BB448" s="625"/>
    </row>
    <row r="449" spans="51:54">
      <c r="AY449" s="962"/>
      <c r="AZ449" s="962"/>
      <c r="BA449" s="1303"/>
      <c r="BB449" s="625"/>
    </row>
    <row r="450" spans="51:54">
      <c r="AY450" s="962"/>
      <c r="AZ450" s="962"/>
      <c r="BA450" s="1303"/>
      <c r="BB450" s="625"/>
    </row>
    <row r="451" spans="51:54">
      <c r="AY451" s="962"/>
      <c r="AZ451" s="962"/>
      <c r="BA451" s="1303"/>
      <c r="BB451" s="625"/>
    </row>
    <row r="452" spans="51:54">
      <c r="AY452" s="962"/>
      <c r="AZ452" s="962"/>
      <c r="BA452" s="1303"/>
    </row>
    <row r="453" spans="51:54">
      <c r="AY453" s="962"/>
      <c r="AZ453" s="962"/>
      <c r="BA453" s="1303"/>
      <c r="BB453" s="625"/>
    </row>
    <row r="454" spans="51:54">
      <c r="AY454" s="962"/>
      <c r="AZ454" s="962"/>
      <c r="BA454" s="1303"/>
      <c r="BB454" s="625"/>
    </row>
    <row r="455" spans="51:54">
      <c r="AY455" s="962"/>
      <c r="AZ455" s="962"/>
      <c r="BA455" s="1303"/>
      <c r="BB455" s="625"/>
    </row>
    <row r="456" spans="51:54">
      <c r="AY456" s="962"/>
      <c r="AZ456" s="962"/>
      <c r="BA456" s="1303"/>
      <c r="BB456" s="625"/>
    </row>
    <row r="457" spans="51:54">
      <c r="AY457" s="962"/>
      <c r="AZ457" s="962"/>
      <c r="BA457" s="1303"/>
      <c r="BB457" s="625"/>
    </row>
    <row r="458" spans="51:54">
      <c r="AY458" s="962"/>
      <c r="AZ458" s="962"/>
      <c r="BA458" s="1303"/>
      <c r="BB458" s="624"/>
    </row>
    <row r="459" spans="51:54">
      <c r="AY459" s="962"/>
      <c r="AZ459" s="962"/>
      <c r="BA459" s="1303"/>
      <c r="BB459" s="625"/>
    </row>
    <row r="460" spans="51:54">
      <c r="AY460" s="1304"/>
      <c r="AZ460" s="1304"/>
      <c r="BA460" s="1303"/>
      <c r="BB460" s="625"/>
    </row>
    <row r="461" spans="51:54">
      <c r="AY461" s="962"/>
      <c r="AZ461" s="962"/>
      <c r="BA461" s="1303"/>
      <c r="BB461" s="625"/>
    </row>
    <row r="462" spans="51:54">
      <c r="AY462" s="1304"/>
      <c r="AZ462" s="1304"/>
      <c r="BA462" s="1303"/>
      <c r="BB462" s="625"/>
    </row>
    <row r="463" spans="51:54">
      <c r="AY463" s="1304"/>
      <c r="AZ463" s="1304"/>
      <c r="BA463" s="1303"/>
      <c r="BB463" s="625"/>
    </row>
    <row r="464" spans="51:54">
      <c r="AY464" s="1304"/>
      <c r="AZ464" s="1304"/>
      <c r="BA464" s="1303"/>
      <c r="BB464" s="625"/>
    </row>
    <row r="465" spans="51:54">
      <c r="AY465" s="1304"/>
      <c r="AZ465" s="1304"/>
      <c r="BA465" s="1303"/>
      <c r="BB465" s="625"/>
    </row>
    <row r="466" spans="51:54">
      <c r="AY466" s="1304"/>
      <c r="AZ466" s="1304"/>
    </row>
    <row r="467" spans="51:54">
      <c r="AY467" s="1304"/>
      <c r="AZ467" s="1304"/>
    </row>
    <row r="468" spans="51:54">
      <c r="AY468" s="962"/>
      <c r="AZ468" s="962"/>
    </row>
    <row r="469" spans="51:54">
      <c r="AY469" s="962"/>
      <c r="AZ469" s="962"/>
    </row>
    <row r="470" spans="51:54">
      <c r="AY470" s="962"/>
      <c r="AZ470" s="962"/>
    </row>
    <row r="471" spans="51:54">
      <c r="AY471" s="962"/>
      <c r="AZ471" s="962"/>
    </row>
    <row r="472" spans="51:54">
      <c r="AY472" s="962"/>
      <c r="AZ472" s="962"/>
    </row>
    <row r="473" spans="51:54">
      <c r="AY473" s="962"/>
      <c r="AZ473" s="962"/>
    </row>
    <row r="474" spans="51:54">
      <c r="AY474" s="1304"/>
      <c r="AZ474" s="1304"/>
    </row>
    <row r="475" spans="51:54">
      <c r="AY475" s="1304"/>
      <c r="AZ475" s="1304"/>
    </row>
    <row r="476" spans="51:54">
      <c r="AY476" s="1304"/>
      <c r="AZ476" s="1304"/>
    </row>
    <row r="477" spans="51:54">
      <c r="AY477" s="1304"/>
      <c r="AZ477" s="1304"/>
    </row>
    <row r="478" spans="51:54">
      <c r="AY478" s="1304"/>
      <c r="AZ478" s="1304"/>
    </row>
    <row r="479" spans="51:54">
      <c r="AY479" s="1304"/>
      <c r="AZ479" s="1304"/>
    </row>
    <row r="480" spans="51:54">
      <c r="AY480" s="962"/>
      <c r="AZ480" s="962"/>
    </row>
    <row r="481" spans="51:52">
      <c r="AY481" s="962"/>
      <c r="AZ481" s="962"/>
    </row>
    <row r="482" spans="51:52">
      <c r="AY482" s="962"/>
      <c r="AZ482" s="962"/>
    </row>
    <row r="483" spans="51:52">
      <c r="AY483" s="962"/>
      <c r="AZ483" s="962"/>
    </row>
    <row r="484" spans="51:52">
      <c r="AY484" s="962"/>
      <c r="AZ484" s="962"/>
    </row>
    <row r="485" spans="51:52">
      <c r="AY485" s="962"/>
      <c r="AZ485" s="962"/>
    </row>
    <row r="486" spans="51:52">
      <c r="AY486" s="962"/>
      <c r="AZ486" s="962"/>
    </row>
    <row r="487" spans="51:52">
      <c r="AY487" s="962"/>
      <c r="AZ487" s="962"/>
    </row>
    <row r="488" spans="51:52">
      <c r="AY488" s="962"/>
      <c r="AZ488" s="962"/>
    </row>
    <row r="489" spans="51:52">
      <c r="AY489" s="962"/>
      <c r="AZ489" s="962"/>
    </row>
    <row r="490" spans="51:52">
      <c r="AY490" s="962"/>
      <c r="AZ490" s="962"/>
    </row>
    <row r="491" spans="51:52">
      <c r="AY491" s="962"/>
      <c r="AZ491" s="962"/>
    </row>
    <row r="492" spans="51:52">
      <c r="AY492" s="962"/>
      <c r="AZ492" s="962"/>
    </row>
    <row r="493" spans="51:52">
      <c r="AY493" s="962"/>
      <c r="AZ493" s="962"/>
    </row>
    <row r="494" spans="51:52">
      <c r="AY494" s="962"/>
      <c r="AZ494" s="962"/>
    </row>
    <row r="495" spans="51:52">
      <c r="AY495" s="962"/>
      <c r="AZ495" s="962"/>
    </row>
    <row r="496" spans="51:52">
      <c r="AY496" s="962"/>
      <c r="AZ496" s="962"/>
    </row>
    <row r="497" spans="51:52">
      <c r="AY497" s="962"/>
      <c r="AZ497" s="962"/>
    </row>
    <row r="498" spans="51:52">
      <c r="AY498" s="962"/>
      <c r="AZ498" s="962"/>
    </row>
    <row r="499" spans="51:52">
      <c r="AY499" s="962"/>
      <c r="AZ499" s="962"/>
    </row>
    <row r="500" spans="51:52">
      <c r="AY500" s="962"/>
      <c r="AZ500" s="962"/>
    </row>
    <row r="501" spans="51:52">
      <c r="AY501" s="962"/>
      <c r="AZ501" s="962"/>
    </row>
    <row r="502" spans="51:52">
      <c r="AY502" s="962"/>
      <c r="AZ502" s="962"/>
    </row>
    <row r="503" spans="51:52">
      <c r="AY503" s="962"/>
      <c r="AZ503" s="962"/>
    </row>
    <row r="504" spans="51:52">
      <c r="AY504" s="962"/>
      <c r="AZ504" s="962"/>
    </row>
    <row r="505" spans="51:52">
      <c r="AY505" s="962"/>
      <c r="AZ505" s="962"/>
    </row>
    <row r="506" spans="51:52">
      <c r="AY506" s="962"/>
      <c r="AZ506" s="962"/>
    </row>
    <row r="507" spans="51:52">
      <c r="AY507" s="962"/>
      <c r="AZ507" s="962"/>
    </row>
    <row r="508" spans="51:52">
      <c r="AY508" s="962"/>
      <c r="AZ508" s="962"/>
    </row>
    <row r="509" spans="51:52">
      <c r="AY509" s="962"/>
      <c r="AZ509" s="962"/>
    </row>
    <row r="510" spans="51:52">
      <c r="AY510" s="962"/>
      <c r="AZ510" s="962"/>
    </row>
    <row r="511" spans="51:52">
      <c r="AY511" s="962"/>
      <c r="AZ511" s="962"/>
    </row>
    <row r="512" spans="51:52">
      <c r="AY512" s="962"/>
      <c r="AZ512" s="962"/>
    </row>
    <row r="513" spans="51:52">
      <c r="AY513" s="962"/>
      <c r="AZ513" s="962"/>
    </row>
    <row r="514" spans="51:52">
      <c r="AY514" s="962"/>
      <c r="AZ514" s="962"/>
    </row>
    <row r="515" spans="51:52">
      <c r="AY515" s="962"/>
      <c r="AZ515" s="962"/>
    </row>
    <row r="516" spans="51:52">
      <c r="AY516" s="962"/>
      <c r="AZ516" s="962"/>
    </row>
    <row r="517" spans="51:52">
      <c r="AY517" s="962"/>
      <c r="AZ517" s="962"/>
    </row>
    <row r="518" spans="51:52">
      <c r="AY518" s="962"/>
      <c r="AZ518" s="962"/>
    </row>
    <row r="519" spans="51:52">
      <c r="AY519" s="962"/>
      <c r="AZ519" s="962"/>
    </row>
  </sheetData>
  <pageMargins left="0.70866141732283472" right="0.70866141732283472" top="0.74803149606299213" bottom="0.74803149606299213" header="0.31496062992125984" footer="0.31496062992125984"/>
  <pageSetup paperSize="9" orientation="landscape" r:id="rId1"/>
</worksheet>
</file>

<file path=xl/worksheets/sheet41.xml><?xml version="1.0" encoding="utf-8"?>
<worksheet xmlns="http://schemas.openxmlformats.org/spreadsheetml/2006/main" xmlns:r="http://schemas.openxmlformats.org/officeDocument/2006/relationships">
  <sheetPr>
    <tabColor theme="5" tint="-0.249977111117893"/>
    <pageSetUpPr autoPageBreaks="0"/>
  </sheetPr>
  <dimension ref="A1:BS71"/>
  <sheetViews>
    <sheetView topLeftCell="A29" zoomScale="60" zoomScaleNormal="60" zoomScalePageLayoutView="60" workbookViewId="0">
      <selection activeCell="E33" sqref="E33"/>
    </sheetView>
  </sheetViews>
  <sheetFormatPr defaultColWidth="8.85546875" defaultRowHeight="12.75"/>
  <cols>
    <col min="1" max="1" width="20.140625" style="249" customWidth="1"/>
    <col min="2" max="2" width="26.28515625" style="249" customWidth="1"/>
    <col min="3" max="3" width="5" style="605" customWidth="1"/>
    <col min="4" max="4" width="45.28515625" style="605" customWidth="1"/>
    <col min="5" max="5" width="5.140625" style="144" customWidth="1"/>
    <col min="6" max="6" width="4" style="2207" customWidth="1"/>
    <col min="7" max="7" width="1.140625" style="605" customWidth="1"/>
    <col min="8" max="11" width="43.85546875" style="605" customWidth="1"/>
    <col min="12" max="12" width="1.140625" style="605" customWidth="1"/>
    <col min="13" max="15" width="4.42578125" style="605" customWidth="1"/>
    <col min="16" max="16" width="6.42578125" style="605" customWidth="1"/>
    <col min="17" max="17" width="5.42578125" style="605" customWidth="1"/>
    <col min="18" max="19" width="4.85546875" style="605" customWidth="1"/>
    <col min="20" max="20" width="4.7109375" style="605" customWidth="1"/>
    <col min="21" max="21" width="4.42578125" style="605" customWidth="1"/>
    <col min="22" max="22" width="4.7109375" style="605" customWidth="1"/>
    <col min="23" max="24" width="5.140625" style="605" customWidth="1"/>
    <col min="25" max="25" width="4.7109375" style="605" customWidth="1"/>
    <col min="26" max="26" width="4.85546875" style="605" customWidth="1"/>
    <col min="27" max="28" width="4.42578125" style="605" customWidth="1"/>
    <col min="29" max="29" width="1" style="605" customWidth="1"/>
    <col min="30" max="30" width="1.85546875" style="605" customWidth="1"/>
    <col min="31" max="40" width="9.42578125" style="605" customWidth="1"/>
    <col min="41" max="41" width="0.85546875" style="605" customWidth="1"/>
    <col min="42" max="42" width="6.85546875" style="605" customWidth="1"/>
    <col min="43" max="52" width="9.42578125" style="605" customWidth="1"/>
    <col min="53" max="53" width="0.85546875" style="229" customWidth="1"/>
    <col min="54" max="54" width="2.140625" style="229" customWidth="1"/>
    <col min="55" max="55" width="7.85546875" style="605" customWidth="1"/>
    <col min="56" max="59" width="9.42578125" style="605" customWidth="1"/>
    <col min="60" max="60" width="9.7109375" style="605" bestFit="1" customWidth="1"/>
    <col min="61" max="63" width="9.7109375" style="605" customWidth="1"/>
    <col min="64" max="65" width="2.7109375" style="605" customWidth="1"/>
    <col min="66" max="66" width="21" style="605" customWidth="1"/>
    <col min="67" max="67" width="28.42578125" style="605" customWidth="1"/>
    <col min="68" max="68" width="13.7109375" style="605" customWidth="1"/>
    <col min="69" max="69" width="18.140625" style="605" customWidth="1"/>
    <col min="70" max="70" width="43" style="605" customWidth="1"/>
    <col min="71" max="16384" width="8.85546875" style="605"/>
  </cols>
  <sheetData>
    <row r="1" spans="1:70" ht="31.5" customHeight="1">
      <c r="A1" s="477" t="s">
        <v>693</v>
      </c>
      <c r="C1" s="340"/>
      <c r="E1" s="340"/>
      <c r="J1" s="477"/>
      <c r="M1" s="477" t="s">
        <v>2819</v>
      </c>
      <c r="AD1" s="63"/>
      <c r="AF1" s="341"/>
    </row>
    <row r="2" spans="1:70" ht="32.25" customHeight="1">
      <c r="A2" s="287" t="s">
        <v>415</v>
      </c>
      <c r="B2" s="287"/>
      <c r="C2" s="287"/>
      <c r="D2" s="286"/>
      <c r="E2" s="286"/>
      <c r="F2" s="286"/>
      <c r="G2" s="420"/>
      <c r="H2" s="288" t="s">
        <v>657</v>
      </c>
      <c r="I2" s="288"/>
      <c r="J2" s="288"/>
      <c r="K2" s="288"/>
      <c r="L2" s="420"/>
      <c r="M2" s="338" t="s">
        <v>494</v>
      </c>
      <c r="N2" s="338"/>
      <c r="O2" s="338"/>
      <c r="P2" s="339"/>
      <c r="Q2" s="339"/>
      <c r="R2" s="339"/>
      <c r="S2" s="339"/>
      <c r="T2" s="339"/>
      <c r="U2" s="339"/>
      <c r="V2" s="339"/>
      <c r="W2" s="339"/>
      <c r="X2" s="339"/>
      <c r="Y2" s="339"/>
      <c r="Z2" s="339"/>
      <c r="AA2" s="339"/>
      <c r="AB2" s="339"/>
      <c r="AC2" s="420"/>
      <c r="AD2" s="288" t="s">
        <v>437</v>
      </c>
      <c r="AE2" s="289"/>
      <c r="AF2" s="289"/>
      <c r="AG2" s="289"/>
      <c r="AH2" s="289"/>
      <c r="AI2" s="289"/>
      <c r="AJ2" s="289"/>
      <c r="AK2" s="289"/>
      <c r="AL2" s="289"/>
      <c r="AM2" s="289"/>
      <c r="AN2" s="289"/>
      <c r="AP2" s="289"/>
      <c r="AQ2" s="289"/>
      <c r="AR2" s="289"/>
      <c r="AS2" s="289"/>
      <c r="AT2" s="289"/>
      <c r="AU2" s="376" t="s">
        <v>281</v>
      </c>
      <c r="AV2" s="289"/>
      <c r="AW2" s="289"/>
      <c r="AX2" s="289"/>
      <c r="AY2" s="289"/>
      <c r="AZ2" s="289"/>
      <c r="BB2" s="3418" t="s">
        <v>540</v>
      </c>
      <c r="BC2" s="3418"/>
      <c r="BD2" s="3418"/>
      <c r="BE2" s="3418"/>
      <c r="BF2" s="3418"/>
      <c r="BG2" s="3418"/>
      <c r="BH2" s="3418"/>
      <c r="BI2" s="3418"/>
      <c r="BJ2" s="3418"/>
      <c r="BK2" s="3418"/>
      <c r="BL2" s="3418"/>
      <c r="BO2" s="288" t="s">
        <v>541</v>
      </c>
      <c r="BP2" s="288"/>
      <c r="BQ2" s="288"/>
      <c r="BR2" s="288"/>
    </row>
    <row r="3" spans="1:70" s="229" customFormat="1" ht="6" customHeight="1" thickBot="1">
      <c r="A3" s="478"/>
      <c r="B3" s="478"/>
    </row>
    <row r="4" spans="1:70" s="485" customFormat="1" ht="188.25" customHeight="1">
      <c r="A4" s="483" t="s">
        <v>58</v>
      </c>
      <c r="B4" s="483"/>
      <c r="C4" s="484"/>
      <c r="D4" s="484"/>
      <c r="E4" s="473" t="s">
        <v>656</v>
      </c>
      <c r="F4" s="472" t="s">
        <v>655</v>
      </c>
      <c r="H4" s="486" t="s">
        <v>496</v>
      </c>
      <c r="I4" s="486" t="s">
        <v>497</v>
      </c>
      <c r="J4" s="486" t="s">
        <v>498</v>
      </c>
      <c r="K4" s="486" t="s">
        <v>523</v>
      </c>
      <c r="M4" s="2971" t="s">
        <v>2788</v>
      </c>
      <c r="N4" s="2972" t="s">
        <v>2797</v>
      </c>
      <c r="O4" s="2972" t="s">
        <v>2798</v>
      </c>
      <c r="P4" s="2972" t="s">
        <v>2799</v>
      </c>
      <c r="Q4" s="2961" t="s">
        <v>2795</v>
      </c>
      <c r="R4" s="3364" t="s">
        <v>2497</v>
      </c>
      <c r="S4" s="2961" t="s">
        <v>2796</v>
      </c>
      <c r="T4" s="2961"/>
      <c r="U4" s="2961"/>
      <c r="V4" s="2961"/>
      <c r="W4" s="2961"/>
      <c r="X4" s="2961"/>
      <c r="Y4" s="2961"/>
      <c r="Z4" s="2962"/>
      <c r="AA4" s="2962"/>
      <c r="AB4" s="2962"/>
      <c r="AD4" s="488"/>
      <c r="AE4" s="488"/>
      <c r="AF4" s="488"/>
      <c r="AG4" s="488"/>
      <c r="AH4" s="488"/>
      <c r="AI4" s="488"/>
      <c r="AJ4" s="488"/>
      <c r="AK4" s="488"/>
      <c r="AL4" s="488"/>
      <c r="AM4" s="488"/>
      <c r="AN4" s="488"/>
      <c r="AP4" s="488"/>
      <c r="AQ4" s="488"/>
      <c r="AR4" s="488"/>
      <c r="AS4" s="488"/>
      <c r="AT4" s="488"/>
      <c r="AU4" s="488"/>
      <c r="AV4" s="488"/>
      <c r="AW4" s="488"/>
      <c r="AX4" s="488"/>
      <c r="AY4" s="488"/>
      <c r="AZ4" s="488"/>
      <c r="BA4" s="489"/>
      <c r="BB4" s="299"/>
      <c r="BC4" s="299"/>
      <c r="BD4" s="488"/>
      <c r="BE4" s="488"/>
      <c r="BF4" s="488"/>
      <c r="BG4" s="488"/>
      <c r="BH4" s="488"/>
      <c r="BI4" s="488"/>
      <c r="BJ4" s="488"/>
      <c r="BK4" s="488"/>
      <c r="BL4" s="488"/>
      <c r="BO4" s="487" t="s">
        <v>496</v>
      </c>
      <c r="BP4" s="486" t="s">
        <v>497</v>
      </c>
      <c r="BQ4" s="486" t="s">
        <v>498</v>
      </c>
      <c r="BR4" s="486" t="s">
        <v>523</v>
      </c>
    </row>
    <row r="5" spans="1:70" ht="191.25">
      <c r="A5" s="3415" t="s">
        <v>401</v>
      </c>
      <c r="B5" s="3417" t="s">
        <v>1917</v>
      </c>
      <c r="C5" s="143" t="s">
        <v>248</v>
      </c>
      <c r="D5" s="143" t="s">
        <v>1069</v>
      </c>
      <c r="E5" s="3365">
        <v>1</v>
      </c>
      <c r="F5" s="474">
        <v>4</v>
      </c>
      <c r="H5" s="3123" t="s">
        <v>2789</v>
      </c>
      <c r="I5" s="3123" t="s">
        <v>2641</v>
      </c>
      <c r="J5" s="3123" t="s">
        <v>2808</v>
      </c>
      <c r="K5" s="3123" t="s">
        <v>2816</v>
      </c>
      <c r="M5" s="2973">
        <v>1</v>
      </c>
      <c r="N5" s="2973">
        <v>4</v>
      </c>
      <c r="O5" s="2973">
        <v>3</v>
      </c>
      <c r="P5" s="2973">
        <v>2</v>
      </c>
      <c r="Q5" s="2963">
        <v>2</v>
      </c>
      <c r="R5" s="3365">
        <v>1</v>
      </c>
      <c r="S5" s="2963">
        <v>2</v>
      </c>
      <c r="T5" s="2963"/>
      <c r="U5" s="2964"/>
      <c r="V5" s="2963"/>
      <c r="W5" s="2963"/>
      <c r="X5" s="2963"/>
      <c r="Y5" s="2963"/>
      <c r="Z5" s="2963"/>
      <c r="AA5" s="2963"/>
      <c r="AB5" s="2963"/>
      <c r="AD5" s="271"/>
      <c r="AE5" s="271"/>
      <c r="AF5" s="271"/>
      <c r="AG5" s="271"/>
      <c r="AH5" s="271"/>
      <c r="AI5" s="271"/>
      <c r="AJ5" s="271"/>
      <c r="AK5" s="271"/>
      <c r="AL5" s="271"/>
      <c r="AM5" s="272"/>
      <c r="AN5" s="272"/>
      <c r="AP5" s="272"/>
      <c r="AQ5" s="272"/>
      <c r="AR5" s="272"/>
      <c r="AS5" s="272"/>
      <c r="AT5" s="272"/>
      <c r="AU5" s="272"/>
      <c r="AV5" s="272"/>
      <c r="AW5" s="272"/>
      <c r="AX5" s="272"/>
      <c r="AY5" s="272"/>
      <c r="AZ5" s="272"/>
      <c r="BB5" s="296"/>
      <c r="BC5" s="387"/>
      <c r="BD5" s="272"/>
      <c r="BE5" s="272"/>
      <c r="BF5" s="272"/>
      <c r="BG5" s="272"/>
      <c r="BH5" s="272"/>
      <c r="BI5" s="272"/>
      <c r="BJ5" s="272"/>
      <c r="BK5" s="272"/>
      <c r="BL5" s="272"/>
      <c r="BO5" s="3123" t="s">
        <v>2640</v>
      </c>
      <c r="BP5" s="3123" t="s">
        <v>2641</v>
      </c>
      <c r="BQ5" s="3123" t="s">
        <v>2642</v>
      </c>
      <c r="BR5" s="3123" t="s">
        <v>2643</v>
      </c>
    </row>
    <row r="6" spans="1:70" s="2331" customFormat="1" ht="18">
      <c r="A6" s="3415"/>
      <c r="B6" s="3417"/>
      <c r="C6" s="143" t="s">
        <v>278</v>
      </c>
      <c r="D6" s="3136" t="s">
        <v>1918</v>
      </c>
      <c r="E6" s="3365"/>
      <c r="F6" s="474"/>
      <c r="H6" s="3297"/>
      <c r="I6" s="3297"/>
      <c r="J6" s="3297"/>
      <c r="K6" s="3297"/>
      <c r="M6" s="2973"/>
      <c r="N6" s="2973"/>
      <c r="O6" s="2973"/>
      <c r="P6" s="2973"/>
      <c r="Q6" s="2963"/>
      <c r="R6" s="3365"/>
      <c r="S6" s="2963"/>
      <c r="T6" s="2963"/>
      <c r="U6" s="2964"/>
      <c r="V6" s="2963"/>
      <c r="W6" s="2963"/>
      <c r="X6" s="2963"/>
      <c r="Y6" s="2963"/>
      <c r="Z6" s="2963"/>
      <c r="AA6" s="2963"/>
      <c r="AB6" s="2963"/>
      <c r="AD6" s="271"/>
      <c r="AE6" s="271"/>
      <c r="AF6" s="271"/>
      <c r="AG6" s="271"/>
      <c r="AH6" s="271"/>
      <c r="AI6" s="271"/>
      <c r="AJ6" s="271"/>
      <c r="AK6" s="271"/>
      <c r="AL6" s="271"/>
      <c r="AM6" s="272"/>
      <c r="AN6" s="272"/>
      <c r="AP6" s="272"/>
      <c r="AQ6" s="272"/>
      <c r="AR6" s="272"/>
      <c r="AS6" s="272"/>
      <c r="AT6" s="272"/>
      <c r="AU6" s="272"/>
      <c r="AV6" s="272"/>
      <c r="AW6" s="272"/>
      <c r="AX6" s="272"/>
      <c r="AY6" s="272"/>
      <c r="AZ6" s="272"/>
      <c r="BA6" s="229"/>
      <c r="BB6" s="296"/>
      <c r="BC6" s="387"/>
      <c r="BD6" s="272"/>
      <c r="BE6" s="272"/>
      <c r="BF6" s="272"/>
      <c r="BG6" s="272"/>
      <c r="BH6" s="272"/>
      <c r="BI6" s="272"/>
      <c r="BJ6" s="272"/>
      <c r="BK6" s="272"/>
      <c r="BL6" s="272"/>
      <c r="BO6" s="3297"/>
      <c r="BP6" s="3297"/>
      <c r="BQ6" s="3297"/>
      <c r="BR6" s="3297"/>
    </row>
    <row r="7" spans="1:70" ht="127.5">
      <c r="A7" s="3415"/>
      <c r="B7" s="3417"/>
      <c r="C7" s="143"/>
      <c r="D7" s="143" t="s">
        <v>1918</v>
      </c>
      <c r="E7" s="3365">
        <v>1</v>
      </c>
      <c r="F7" s="19">
        <v>4</v>
      </c>
      <c r="H7" s="3123" t="s">
        <v>2644</v>
      </c>
      <c r="I7" s="3362" t="s">
        <v>2645</v>
      </c>
      <c r="J7" s="3123" t="s">
        <v>2646</v>
      </c>
      <c r="K7" s="3123" t="s">
        <v>2647</v>
      </c>
      <c r="M7" s="2973">
        <v>1</v>
      </c>
      <c r="N7" s="2973">
        <v>4</v>
      </c>
      <c r="O7" s="2973">
        <v>3</v>
      </c>
      <c r="P7" s="2973">
        <v>2</v>
      </c>
      <c r="Q7" s="2963">
        <v>2</v>
      </c>
      <c r="R7" s="3365">
        <v>1</v>
      </c>
      <c r="S7" s="2963">
        <v>2</v>
      </c>
      <c r="T7" s="2963"/>
      <c r="U7" s="2964"/>
      <c r="V7" s="2963"/>
      <c r="W7" s="2963"/>
      <c r="X7" s="2963"/>
      <c r="Y7" s="2963"/>
      <c r="Z7" s="2963"/>
      <c r="AA7" s="2963"/>
      <c r="AB7" s="2963"/>
      <c r="AD7" s="271"/>
      <c r="AE7" s="271"/>
      <c r="AF7" s="271"/>
      <c r="AG7" s="271"/>
      <c r="AH7" s="271"/>
      <c r="AI7" s="271"/>
      <c r="AJ7" s="271"/>
      <c r="AK7" s="271"/>
      <c r="AL7" s="271"/>
      <c r="AM7" s="272"/>
      <c r="AN7" s="272"/>
      <c r="AP7" s="272"/>
      <c r="AQ7" s="272"/>
      <c r="AR7" s="272"/>
      <c r="AS7" s="272"/>
      <c r="AT7" s="272"/>
      <c r="AU7" s="272"/>
      <c r="AV7" s="272"/>
      <c r="AW7" s="272"/>
      <c r="AX7" s="272"/>
      <c r="AY7" s="272"/>
      <c r="AZ7" s="272"/>
      <c r="BB7" s="296"/>
      <c r="BC7" s="275"/>
      <c r="BD7" s="272"/>
      <c r="BE7" s="272"/>
      <c r="BF7" s="272"/>
      <c r="BG7" s="272"/>
      <c r="BH7" s="272"/>
      <c r="BI7" s="272"/>
      <c r="BJ7" s="272"/>
      <c r="BK7" s="272"/>
      <c r="BL7" s="272"/>
      <c r="BO7" s="3123" t="s">
        <v>2644</v>
      </c>
      <c r="BP7" s="3362" t="s">
        <v>2645</v>
      </c>
      <c r="BQ7" s="3123" t="s">
        <v>2646</v>
      </c>
      <c r="BR7" s="3123" t="s">
        <v>2647</v>
      </c>
    </row>
    <row r="8" spans="1:70" ht="178.5">
      <c r="A8" s="3415"/>
      <c r="B8" s="3417"/>
      <c r="C8" s="303"/>
      <c r="D8" s="304" t="s">
        <v>1919</v>
      </c>
      <c r="E8" s="3365">
        <v>1</v>
      </c>
      <c r="F8" s="475">
        <v>4</v>
      </c>
      <c r="H8" s="3362" t="s">
        <v>2648</v>
      </c>
      <c r="I8" s="3362" t="s">
        <v>2649</v>
      </c>
      <c r="J8" s="3362" t="s">
        <v>2650</v>
      </c>
      <c r="K8" s="3362" t="s">
        <v>2651</v>
      </c>
      <c r="M8" s="2973">
        <v>1</v>
      </c>
      <c r="N8" s="2973">
        <v>4</v>
      </c>
      <c r="O8" s="2973">
        <v>3</v>
      </c>
      <c r="P8" s="2973">
        <v>2</v>
      </c>
      <c r="Q8" s="2963">
        <v>4</v>
      </c>
      <c r="R8" s="3365">
        <v>4</v>
      </c>
      <c r="S8" s="2963">
        <v>4</v>
      </c>
      <c r="T8" s="2963"/>
      <c r="U8" s="2964"/>
      <c r="V8" s="2963"/>
      <c r="W8" s="2963"/>
      <c r="X8" s="2963"/>
      <c r="Y8" s="2963"/>
      <c r="Z8" s="2963"/>
      <c r="AA8" s="2963"/>
      <c r="AB8" s="2963"/>
      <c r="AD8" s="271"/>
      <c r="AE8" s="271"/>
      <c r="AF8" s="271"/>
      <c r="AG8" s="271"/>
      <c r="AH8" s="271"/>
      <c r="AI8" s="271"/>
      <c r="AJ8" s="271"/>
      <c r="AK8" s="271"/>
      <c r="AL8" s="271"/>
      <c r="AM8" s="272"/>
      <c r="AN8" s="272"/>
      <c r="AP8" s="272"/>
      <c r="AQ8" s="272"/>
      <c r="AR8" s="272"/>
      <c r="AS8" s="272"/>
      <c r="AT8" s="272"/>
      <c r="AU8" s="272"/>
      <c r="AV8" s="272"/>
      <c r="AW8" s="272"/>
      <c r="AX8" s="272"/>
      <c r="AY8" s="272"/>
      <c r="AZ8" s="272"/>
      <c r="BB8" s="382"/>
      <c r="BC8" s="296"/>
      <c r="BD8" s="344"/>
      <c r="BE8" s="345"/>
      <c r="BF8" s="345"/>
      <c r="BG8" s="325"/>
      <c r="BH8" s="326"/>
      <c r="BI8" s="326"/>
      <c r="BJ8" s="326"/>
      <c r="BK8" s="326"/>
      <c r="BL8" s="272"/>
      <c r="BO8" s="3362" t="s">
        <v>2648</v>
      </c>
      <c r="BP8" s="3362" t="s">
        <v>2649</v>
      </c>
      <c r="BQ8" s="3362" t="s">
        <v>2650</v>
      </c>
      <c r="BR8" s="3362" t="s">
        <v>2651</v>
      </c>
    </row>
    <row r="9" spans="1:70" s="51" customFormat="1" ht="15.75">
      <c r="A9" s="3415"/>
      <c r="B9" s="3417"/>
      <c r="C9" s="304" t="s">
        <v>696</v>
      </c>
      <c r="D9" s="3136" t="s">
        <v>542</v>
      </c>
      <c r="E9" s="3365"/>
      <c r="F9" s="475"/>
      <c r="G9" s="605"/>
      <c r="H9" s="470"/>
      <c r="I9" s="470"/>
      <c r="J9" s="470"/>
      <c r="K9" s="470"/>
      <c r="L9" s="605"/>
      <c r="M9" s="2973"/>
      <c r="N9" s="2973"/>
      <c r="O9" s="2973"/>
      <c r="P9" s="2973"/>
      <c r="Q9" s="2963"/>
      <c r="R9" s="3365"/>
      <c r="S9" s="2963"/>
      <c r="T9" s="2963"/>
      <c r="U9" s="2964"/>
      <c r="V9" s="2963"/>
      <c r="W9" s="2963"/>
      <c r="X9" s="2963"/>
      <c r="Y9" s="2963"/>
      <c r="Z9" s="2963"/>
      <c r="AA9" s="2963"/>
      <c r="AB9" s="2963"/>
      <c r="AC9" s="605"/>
      <c r="AD9" s="271"/>
      <c r="AE9" s="271"/>
      <c r="AF9" s="271"/>
      <c r="AG9" s="271"/>
      <c r="AH9" s="271"/>
      <c r="AI9" s="271"/>
      <c r="AJ9" s="271"/>
      <c r="AK9" s="271"/>
      <c r="AL9" s="271"/>
      <c r="AM9" s="272"/>
      <c r="AN9" s="272"/>
      <c r="AO9" s="605"/>
      <c r="AP9" s="272"/>
      <c r="AQ9" s="272"/>
      <c r="AR9" s="272"/>
      <c r="AS9" s="272"/>
      <c r="AT9" s="272"/>
      <c r="AU9" s="272"/>
      <c r="AV9" s="272"/>
      <c r="AW9" s="272"/>
      <c r="AX9" s="272"/>
      <c r="AY9" s="272"/>
      <c r="AZ9" s="272"/>
      <c r="BA9" s="229"/>
      <c r="BB9" s="382"/>
      <c r="BC9" s="382"/>
      <c r="BD9" s="268"/>
      <c r="BE9" s="268"/>
      <c r="BF9" s="2499"/>
      <c r="BG9" s="382"/>
      <c r="BH9" s="2500"/>
      <c r="BI9" s="2501"/>
      <c r="BJ9" s="2501"/>
      <c r="BK9" s="2501"/>
      <c r="BL9" s="272"/>
      <c r="BO9" s="470"/>
      <c r="BP9" s="470"/>
      <c r="BQ9" s="470"/>
      <c r="BR9" s="470"/>
    </row>
    <row r="10" spans="1:70" s="51" customFormat="1" ht="140.25">
      <c r="A10" s="3415"/>
      <c r="B10" s="3417"/>
      <c r="C10" s="304"/>
      <c r="D10" s="304" t="s">
        <v>1920</v>
      </c>
      <c r="E10" s="3365">
        <v>1</v>
      </c>
      <c r="F10" s="475">
        <v>4</v>
      </c>
      <c r="G10" s="2331"/>
      <c r="H10" s="3123" t="s">
        <v>2790</v>
      </c>
      <c r="I10" s="3123" t="s">
        <v>2653</v>
      </c>
      <c r="J10" s="3123" t="s">
        <v>2654</v>
      </c>
      <c r="K10" s="3123" t="s">
        <v>2655</v>
      </c>
      <c r="L10" s="2331"/>
      <c r="M10" s="2973">
        <v>1</v>
      </c>
      <c r="N10" s="2973">
        <v>4</v>
      </c>
      <c r="O10" s="2973">
        <v>3</v>
      </c>
      <c r="P10" s="2973">
        <v>2</v>
      </c>
      <c r="Q10" s="2963">
        <v>1</v>
      </c>
      <c r="R10" s="3365">
        <v>2</v>
      </c>
      <c r="S10" s="2963">
        <v>1</v>
      </c>
      <c r="T10" s="2963"/>
      <c r="U10" s="2964"/>
      <c r="V10" s="2963"/>
      <c r="W10" s="2963"/>
      <c r="X10" s="2963"/>
      <c r="Y10" s="2963"/>
      <c r="Z10" s="2963"/>
      <c r="AA10" s="2963"/>
      <c r="AB10" s="2963"/>
      <c r="AC10" s="2331"/>
      <c r="AD10" s="271"/>
      <c r="AE10" s="271"/>
      <c r="AF10" s="271"/>
      <c r="AG10" s="271"/>
      <c r="AH10" s="271"/>
      <c r="AI10" s="271"/>
      <c r="AJ10" s="271"/>
      <c r="AK10" s="271"/>
      <c r="AL10" s="271"/>
      <c r="AM10" s="272"/>
      <c r="AN10" s="272"/>
      <c r="AO10" s="2331"/>
      <c r="AP10" s="272"/>
      <c r="AQ10" s="272"/>
      <c r="AR10" s="272"/>
      <c r="AS10" s="272"/>
      <c r="AT10" s="272"/>
      <c r="AU10" s="272"/>
      <c r="AV10" s="272"/>
      <c r="AW10" s="272"/>
      <c r="AX10" s="272"/>
      <c r="AY10" s="272"/>
      <c r="AZ10" s="272"/>
      <c r="BA10" s="229"/>
      <c r="BB10" s="382"/>
      <c r="BC10" s="382"/>
      <c r="BD10" s="268"/>
      <c r="BE10" s="268"/>
      <c r="BF10" s="2499"/>
      <c r="BG10" s="382"/>
      <c r="BH10" s="2500"/>
      <c r="BI10" s="2501"/>
      <c r="BJ10" s="2501"/>
      <c r="BK10" s="2501"/>
      <c r="BL10" s="272"/>
      <c r="BO10" s="3123" t="s">
        <v>2652</v>
      </c>
      <c r="BP10" s="3123" t="s">
        <v>2653</v>
      </c>
      <c r="BQ10" s="3123" t="s">
        <v>2654</v>
      </c>
      <c r="BR10" s="3123" t="s">
        <v>2655</v>
      </c>
    </row>
    <row r="11" spans="1:70" s="51" customFormat="1" ht="89.25">
      <c r="A11" s="3415"/>
      <c r="B11" s="3417"/>
      <c r="C11" s="304"/>
      <c r="D11" s="304" t="s">
        <v>1921</v>
      </c>
      <c r="E11" s="3365">
        <v>1</v>
      </c>
      <c r="F11" s="475">
        <v>4</v>
      </c>
      <c r="G11" s="2331"/>
      <c r="H11" s="3123" t="s">
        <v>2656</v>
      </c>
      <c r="I11" s="3362" t="s">
        <v>2657</v>
      </c>
      <c r="J11" s="3362" t="s">
        <v>2658</v>
      </c>
      <c r="K11" s="3362" t="s">
        <v>2659</v>
      </c>
      <c r="L11" s="2331"/>
      <c r="M11" s="2973">
        <v>1</v>
      </c>
      <c r="N11" s="2973">
        <v>4</v>
      </c>
      <c r="O11" s="2973">
        <v>3</v>
      </c>
      <c r="P11" s="2973">
        <v>2</v>
      </c>
      <c r="Q11" s="2963">
        <v>4</v>
      </c>
      <c r="R11" s="3365">
        <v>4</v>
      </c>
      <c r="S11" s="2963">
        <v>4</v>
      </c>
      <c r="T11" s="2963"/>
      <c r="U11" s="2964"/>
      <c r="V11" s="2963"/>
      <c r="W11" s="2963"/>
      <c r="X11" s="2963"/>
      <c r="Y11" s="2963"/>
      <c r="Z11" s="2963"/>
      <c r="AA11" s="2963"/>
      <c r="AB11" s="2963"/>
      <c r="AC11" s="2331"/>
      <c r="AD11" s="271"/>
      <c r="AE11" s="271"/>
      <c r="AF11" s="271"/>
      <c r="AG11" s="271"/>
      <c r="AH11" s="271"/>
      <c r="AI11" s="271"/>
      <c r="AJ11" s="271"/>
      <c r="AK11" s="271"/>
      <c r="AL11" s="271"/>
      <c r="AM11" s="272"/>
      <c r="AN11" s="272"/>
      <c r="AO11" s="2331"/>
      <c r="AP11" s="272"/>
      <c r="AQ11" s="272"/>
      <c r="AR11" s="272"/>
      <c r="AS11" s="272"/>
      <c r="AT11" s="272"/>
      <c r="AU11" s="272"/>
      <c r="AV11" s="272"/>
      <c r="AW11" s="272"/>
      <c r="AX11" s="272"/>
      <c r="AY11" s="272"/>
      <c r="AZ11" s="272"/>
      <c r="BA11" s="229"/>
      <c r="BB11" s="382"/>
      <c r="BC11" s="382"/>
      <c r="BD11" s="268"/>
      <c r="BE11" s="268"/>
      <c r="BF11" s="2499"/>
      <c r="BG11" s="382"/>
      <c r="BH11" s="2500"/>
      <c r="BI11" s="2501"/>
      <c r="BJ11" s="2501"/>
      <c r="BK11" s="2501"/>
      <c r="BL11" s="272"/>
      <c r="BO11" s="3123" t="s">
        <v>2656</v>
      </c>
      <c r="BP11" s="3362" t="s">
        <v>2657</v>
      </c>
      <c r="BQ11" s="3362" t="s">
        <v>2658</v>
      </c>
      <c r="BR11" s="3362" t="s">
        <v>2659</v>
      </c>
    </row>
    <row r="12" spans="1:70" s="51" customFormat="1" ht="89.25">
      <c r="A12" s="3415"/>
      <c r="B12" s="3417"/>
      <c r="C12" s="304" t="s">
        <v>61</v>
      </c>
      <c r="D12" s="304" t="s">
        <v>1922</v>
      </c>
      <c r="E12" s="3365">
        <v>1</v>
      </c>
      <c r="F12" s="475">
        <v>4</v>
      </c>
      <c r="G12" s="2331"/>
      <c r="H12" s="3362" t="s">
        <v>2660</v>
      </c>
      <c r="I12" s="3362" t="s">
        <v>2661</v>
      </c>
      <c r="J12" s="3362" t="s">
        <v>2662</v>
      </c>
      <c r="K12" s="3362" t="s">
        <v>2663</v>
      </c>
      <c r="L12" s="2331"/>
      <c r="M12" s="2973">
        <v>1</v>
      </c>
      <c r="N12" s="2973">
        <v>4</v>
      </c>
      <c r="O12" s="2973">
        <v>3</v>
      </c>
      <c r="P12" s="2973">
        <v>2</v>
      </c>
      <c r="Q12" s="2963">
        <v>2</v>
      </c>
      <c r="R12" s="3365">
        <v>3</v>
      </c>
      <c r="S12" s="2963">
        <v>2</v>
      </c>
      <c r="T12" s="2963"/>
      <c r="U12" s="2964"/>
      <c r="V12" s="2963"/>
      <c r="W12" s="2963"/>
      <c r="X12" s="2963"/>
      <c r="Y12" s="2963"/>
      <c r="Z12" s="2963"/>
      <c r="AA12" s="2963"/>
      <c r="AB12" s="2963"/>
      <c r="AC12" s="2331"/>
      <c r="AD12" s="271"/>
      <c r="AE12" s="271"/>
      <c r="AF12" s="271"/>
      <c r="AG12" s="271"/>
      <c r="AH12" s="271"/>
      <c r="AI12" s="271"/>
      <c r="AJ12" s="271"/>
      <c r="AK12" s="271"/>
      <c r="AL12" s="271"/>
      <c r="AM12" s="272"/>
      <c r="AN12" s="272"/>
      <c r="AO12" s="2331"/>
      <c r="AP12" s="272"/>
      <c r="AQ12" s="272"/>
      <c r="AR12" s="272"/>
      <c r="AS12" s="272"/>
      <c r="AT12" s="272"/>
      <c r="AU12" s="272"/>
      <c r="AV12" s="272"/>
      <c r="AW12" s="272"/>
      <c r="AX12" s="272"/>
      <c r="AY12" s="272"/>
      <c r="AZ12" s="272"/>
      <c r="BA12" s="229"/>
      <c r="BB12" s="382"/>
      <c r="BC12" s="382"/>
      <c r="BD12" s="268"/>
      <c r="BE12" s="268"/>
      <c r="BF12" s="2499"/>
      <c r="BG12" s="382"/>
      <c r="BH12" s="2500"/>
      <c r="BI12" s="2501"/>
      <c r="BJ12" s="2501"/>
      <c r="BK12" s="2501"/>
      <c r="BL12" s="272"/>
      <c r="BO12" s="3362" t="s">
        <v>2660</v>
      </c>
      <c r="BP12" s="3362" t="s">
        <v>2661</v>
      </c>
      <c r="BQ12" s="3362" t="s">
        <v>2662</v>
      </c>
      <c r="BR12" s="3362" t="s">
        <v>2663</v>
      </c>
    </row>
    <row r="13" spans="1:70" s="51" customFormat="1" ht="229.5">
      <c r="A13" s="3415"/>
      <c r="B13" s="3417"/>
      <c r="C13" s="304" t="s">
        <v>62</v>
      </c>
      <c r="D13" s="304" t="s">
        <v>1923</v>
      </c>
      <c r="E13" s="3365">
        <v>1</v>
      </c>
      <c r="F13" s="475">
        <v>4</v>
      </c>
      <c r="G13" s="2331"/>
      <c r="H13" s="3362" t="s">
        <v>2664</v>
      </c>
      <c r="I13" s="3123" t="s">
        <v>2665</v>
      </c>
      <c r="J13" s="3123" t="s">
        <v>2666</v>
      </c>
      <c r="K13" s="3123" t="s">
        <v>2667</v>
      </c>
      <c r="L13" s="2331"/>
      <c r="M13" s="2973">
        <v>1</v>
      </c>
      <c r="N13" s="2973">
        <v>4</v>
      </c>
      <c r="O13" s="2973">
        <v>3</v>
      </c>
      <c r="P13" s="2973">
        <v>2</v>
      </c>
      <c r="Q13" s="2963">
        <v>2</v>
      </c>
      <c r="R13" s="3365">
        <v>3</v>
      </c>
      <c r="S13" s="2963">
        <v>2</v>
      </c>
      <c r="T13" s="2963"/>
      <c r="U13" s="2964"/>
      <c r="V13" s="2963"/>
      <c r="W13" s="2963"/>
      <c r="X13" s="2963"/>
      <c r="Y13" s="2963"/>
      <c r="Z13" s="2963"/>
      <c r="AA13" s="2963"/>
      <c r="AB13" s="2963"/>
      <c r="AC13" s="2331"/>
      <c r="AD13" s="271"/>
      <c r="AE13" s="271"/>
      <c r="AF13" s="271"/>
      <c r="AG13" s="271"/>
      <c r="AH13" s="271"/>
      <c r="AI13" s="271"/>
      <c r="AJ13" s="271"/>
      <c r="AK13" s="271"/>
      <c r="AL13" s="271"/>
      <c r="AM13" s="272"/>
      <c r="AN13" s="272"/>
      <c r="AO13" s="2331"/>
      <c r="AP13" s="272"/>
      <c r="AQ13" s="272"/>
      <c r="AR13" s="272"/>
      <c r="AS13" s="272"/>
      <c r="AT13" s="272"/>
      <c r="AU13" s="272"/>
      <c r="AV13" s="272"/>
      <c r="AW13" s="272"/>
      <c r="AX13" s="272"/>
      <c r="AY13" s="272"/>
      <c r="AZ13" s="272"/>
      <c r="BA13" s="229"/>
      <c r="BB13" s="382"/>
      <c r="BC13" s="382"/>
      <c r="BD13" s="268"/>
      <c r="BE13" s="268"/>
      <c r="BF13" s="2499"/>
      <c r="BG13" s="382"/>
      <c r="BH13" s="2500"/>
      <c r="BI13" s="2501"/>
      <c r="BJ13" s="2501"/>
      <c r="BK13" s="2501"/>
      <c r="BL13" s="272"/>
      <c r="BO13" s="3362" t="s">
        <v>2664</v>
      </c>
      <c r="BP13" s="3123" t="s">
        <v>2665</v>
      </c>
      <c r="BQ13" s="3123" t="s">
        <v>2666</v>
      </c>
      <c r="BR13" s="3123" t="s">
        <v>2667</v>
      </c>
    </row>
    <row r="14" spans="1:70" s="51" customFormat="1" ht="204">
      <c r="A14" s="3415"/>
      <c r="B14" s="3417"/>
      <c r="C14" s="143" t="s">
        <v>311</v>
      </c>
      <c r="D14" s="143" t="s">
        <v>55</v>
      </c>
      <c r="E14" s="3365">
        <v>1</v>
      </c>
      <c r="F14" s="474">
        <v>4</v>
      </c>
      <c r="G14" s="605"/>
      <c r="H14" s="3123" t="s">
        <v>2668</v>
      </c>
      <c r="I14" s="3123" t="s">
        <v>2669</v>
      </c>
      <c r="J14" s="3123" t="s">
        <v>2670</v>
      </c>
      <c r="K14" s="3123" t="s">
        <v>2671</v>
      </c>
      <c r="L14" s="605"/>
      <c r="M14" s="2973">
        <v>1</v>
      </c>
      <c r="N14" s="2973">
        <v>4</v>
      </c>
      <c r="O14" s="2973">
        <v>3</v>
      </c>
      <c r="P14" s="2973">
        <v>2</v>
      </c>
      <c r="Q14" s="2963">
        <v>2</v>
      </c>
      <c r="R14" s="3365">
        <v>4</v>
      </c>
      <c r="S14" s="2963">
        <v>4</v>
      </c>
      <c r="T14" s="2963"/>
      <c r="U14" s="2964"/>
      <c r="V14" s="2963"/>
      <c r="W14" s="2963"/>
      <c r="X14" s="2963"/>
      <c r="Y14" s="2963"/>
      <c r="Z14" s="2963"/>
      <c r="AA14" s="2963"/>
      <c r="AB14" s="2963"/>
      <c r="AC14" s="605"/>
      <c r="AD14" s="271"/>
      <c r="AE14" s="271"/>
      <c r="AF14" s="271"/>
      <c r="AG14" s="271"/>
      <c r="AH14" s="271"/>
      <c r="AI14" s="271"/>
      <c r="AJ14" s="271"/>
      <c r="AK14" s="271"/>
      <c r="AL14" s="271"/>
      <c r="AM14" s="272"/>
      <c r="AN14" s="272"/>
      <c r="AO14" s="605"/>
      <c r="AP14" s="272"/>
      <c r="AQ14" s="272"/>
      <c r="AR14" s="272"/>
      <c r="AS14" s="272"/>
      <c r="AT14" s="272"/>
      <c r="AU14" s="272"/>
      <c r="AV14" s="272"/>
      <c r="AW14" s="272"/>
      <c r="AX14" s="272"/>
      <c r="AY14" s="272"/>
      <c r="AZ14" s="272"/>
      <c r="BA14" s="229"/>
      <c r="BB14" s="382"/>
      <c r="BC14" s="382"/>
      <c r="BD14" s="268"/>
      <c r="BE14" s="268"/>
      <c r="BF14" s="2502"/>
      <c r="BG14" s="382"/>
      <c r="BH14" s="2503"/>
      <c r="BI14" s="2504"/>
      <c r="BJ14" s="2504"/>
      <c r="BK14" s="2504"/>
      <c r="BL14" s="272"/>
      <c r="BO14" s="3123" t="s">
        <v>2668</v>
      </c>
      <c r="BP14" s="3123" t="s">
        <v>2669</v>
      </c>
      <c r="BQ14" s="3123" t="s">
        <v>2670</v>
      </c>
      <c r="BR14" s="3123" t="s">
        <v>2671</v>
      </c>
    </row>
    <row r="15" spans="1:70" s="51" customFormat="1" ht="140.25">
      <c r="A15" s="3415"/>
      <c r="B15" s="3417"/>
      <c r="C15" s="143" t="s">
        <v>407</v>
      </c>
      <c r="D15" s="143" t="s">
        <v>1924</v>
      </c>
      <c r="E15" s="3365">
        <v>1</v>
      </c>
      <c r="F15" s="474">
        <v>4</v>
      </c>
      <c r="G15" s="605"/>
      <c r="H15" s="3123" t="s">
        <v>2672</v>
      </c>
      <c r="I15" s="3123" t="s">
        <v>2800</v>
      </c>
      <c r="J15" s="3123" t="s">
        <v>2809</v>
      </c>
      <c r="K15" s="3123" t="s">
        <v>2675</v>
      </c>
      <c r="L15" s="605"/>
      <c r="M15" s="2973">
        <v>1</v>
      </c>
      <c r="N15" s="2973">
        <v>4</v>
      </c>
      <c r="O15" s="2973">
        <v>3</v>
      </c>
      <c r="P15" s="2973">
        <v>2</v>
      </c>
      <c r="Q15" s="2963">
        <v>2</v>
      </c>
      <c r="R15" s="3365">
        <v>3</v>
      </c>
      <c r="S15" s="2963">
        <v>3</v>
      </c>
      <c r="T15" s="2963"/>
      <c r="U15" s="2964"/>
      <c r="V15" s="2963"/>
      <c r="W15" s="2963"/>
      <c r="X15" s="2963"/>
      <c r="Y15" s="2963"/>
      <c r="Z15" s="2963"/>
      <c r="AA15" s="2963"/>
      <c r="AB15" s="2963"/>
      <c r="AC15" s="605"/>
      <c r="AD15" s="271"/>
      <c r="AE15" s="271"/>
      <c r="AF15" s="271"/>
      <c r="AG15" s="271"/>
      <c r="AH15" s="271"/>
      <c r="AI15" s="271"/>
      <c r="AJ15" s="271"/>
      <c r="AK15" s="271"/>
      <c r="AL15" s="271"/>
      <c r="AM15" s="272"/>
      <c r="AN15" s="272"/>
      <c r="AO15" s="605"/>
      <c r="AP15" s="272"/>
      <c r="AQ15" s="272"/>
      <c r="AR15" s="272"/>
      <c r="AS15" s="272"/>
      <c r="AT15" s="272"/>
      <c r="AU15" s="272"/>
      <c r="AV15" s="272"/>
      <c r="AW15" s="272"/>
      <c r="AX15" s="272"/>
      <c r="AY15" s="272"/>
      <c r="AZ15" s="272"/>
      <c r="BA15" s="229"/>
      <c r="BB15" s="265"/>
      <c r="BC15" s="382"/>
      <c r="BD15" s="268"/>
      <c r="BE15" s="268"/>
      <c r="BF15" s="2502"/>
      <c r="BG15" s="382"/>
      <c r="BH15" s="2503"/>
      <c r="BI15" s="2504"/>
      <c r="BJ15" s="2504"/>
      <c r="BK15" s="2504"/>
      <c r="BL15" s="272"/>
      <c r="BO15" s="3123" t="s">
        <v>2672</v>
      </c>
      <c r="BP15" s="3123" t="s">
        <v>2673</v>
      </c>
      <c r="BQ15" s="3123" t="s">
        <v>2674</v>
      </c>
      <c r="BR15" s="3123" t="s">
        <v>2675</v>
      </c>
    </row>
    <row r="16" spans="1:70" s="51" customFormat="1" ht="140.25">
      <c r="A16" s="3415"/>
      <c r="B16" s="3417"/>
      <c r="C16" s="468" t="s">
        <v>1071</v>
      </c>
      <c r="D16" s="143" t="s">
        <v>855</v>
      </c>
      <c r="E16" s="3365">
        <v>1</v>
      </c>
      <c r="F16" s="474">
        <v>4</v>
      </c>
      <c r="G16" s="605"/>
      <c r="H16" s="3123" t="s">
        <v>2676</v>
      </c>
      <c r="I16" s="3123" t="s">
        <v>2801</v>
      </c>
      <c r="J16" s="3123" t="s">
        <v>2810</v>
      </c>
      <c r="K16" s="3123" t="s">
        <v>2679</v>
      </c>
      <c r="L16" s="605"/>
      <c r="M16" s="2973">
        <v>1</v>
      </c>
      <c r="N16" s="2973">
        <v>4</v>
      </c>
      <c r="O16" s="2973">
        <v>3</v>
      </c>
      <c r="P16" s="2973">
        <v>2</v>
      </c>
      <c r="Q16" s="2963">
        <v>2</v>
      </c>
      <c r="R16" s="3365">
        <v>4</v>
      </c>
      <c r="S16" s="2963">
        <v>3</v>
      </c>
      <c r="T16" s="2963"/>
      <c r="U16" s="2964"/>
      <c r="V16" s="2963"/>
      <c r="W16" s="2963"/>
      <c r="X16" s="2963"/>
      <c r="Y16" s="2963"/>
      <c r="Z16" s="2963"/>
      <c r="AA16" s="2963"/>
      <c r="AB16" s="2963"/>
      <c r="AC16" s="605"/>
      <c r="AD16" s="271"/>
      <c r="AE16" s="271"/>
      <c r="AF16" s="271"/>
      <c r="AG16" s="271"/>
      <c r="AH16" s="271"/>
      <c r="AI16" s="271"/>
      <c r="AJ16" s="271"/>
      <c r="AK16" s="271"/>
      <c r="AL16" s="271"/>
      <c r="AM16" s="272"/>
      <c r="AN16" s="272"/>
      <c r="AO16" s="605"/>
      <c r="AP16" s="272"/>
      <c r="AQ16" s="272"/>
      <c r="AR16" s="272"/>
      <c r="AS16" s="272"/>
      <c r="AT16" s="272"/>
      <c r="AU16" s="272"/>
      <c r="AV16" s="272"/>
      <c r="AW16" s="272"/>
      <c r="AX16" s="272"/>
      <c r="AY16" s="272"/>
      <c r="AZ16" s="272"/>
      <c r="BA16" s="229"/>
      <c r="BB16" s="272"/>
      <c r="BC16" s="272"/>
      <c r="BD16" s="272"/>
      <c r="BE16" s="272"/>
      <c r="BF16" s="272"/>
      <c r="BG16" s="272"/>
      <c r="BH16" s="272"/>
      <c r="BI16" s="272"/>
      <c r="BJ16" s="272"/>
      <c r="BK16" s="272"/>
      <c r="BL16" s="272"/>
      <c r="BO16" s="3123" t="s">
        <v>2676</v>
      </c>
      <c r="BP16" s="3123" t="s">
        <v>2677</v>
      </c>
      <c r="BQ16" s="3123" t="s">
        <v>2678</v>
      </c>
      <c r="BR16" s="3123" t="s">
        <v>2679</v>
      </c>
    </row>
    <row r="17" spans="1:71" s="51" customFormat="1" ht="178.5">
      <c r="A17" s="3415"/>
      <c r="B17" s="3417"/>
      <c r="C17" s="468" t="s">
        <v>1285</v>
      </c>
      <c r="D17" s="143" t="s">
        <v>856</v>
      </c>
      <c r="E17" s="3365">
        <v>1</v>
      </c>
      <c r="F17" s="474">
        <v>4</v>
      </c>
      <c r="G17" s="605"/>
      <c r="H17" s="3123" t="s">
        <v>2680</v>
      </c>
      <c r="I17" s="3123" t="s">
        <v>2681</v>
      </c>
      <c r="J17" s="3123" t="s">
        <v>2682</v>
      </c>
      <c r="K17" s="3123" t="s">
        <v>2817</v>
      </c>
      <c r="L17" s="605"/>
      <c r="M17" s="2973">
        <v>1</v>
      </c>
      <c r="N17" s="2973">
        <v>4</v>
      </c>
      <c r="O17" s="2973">
        <v>3</v>
      </c>
      <c r="P17" s="2973">
        <v>2</v>
      </c>
      <c r="Q17" s="2963">
        <v>2</v>
      </c>
      <c r="R17" s="3365">
        <v>3</v>
      </c>
      <c r="S17" s="2963">
        <v>3</v>
      </c>
      <c r="T17" s="2963"/>
      <c r="U17" s="2964"/>
      <c r="V17" s="2963"/>
      <c r="W17" s="2963"/>
      <c r="X17" s="2963"/>
      <c r="Y17" s="2963"/>
      <c r="Z17" s="2963"/>
      <c r="AA17" s="2963"/>
      <c r="AB17" s="2963"/>
      <c r="AC17" s="605"/>
      <c r="AD17" s="271"/>
      <c r="AE17" s="271"/>
      <c r="AF17" s="271"/>
      <c r="AG17" s="271"/>
      <c r="AH17" s="271"/>
      <c r="AI17" s="271"/>
      <c r="AJ17" s="271"/>
      <c r="AK17" s="271"/>
      <c r="AL17" s="271"/>
      <c r="AM17" s="272"/>
      <c r="AN17" s="272"/>
      <c r="AO17" s="605"/>
      <c r="AP17" s="272"/>
      <c r="AQ17" s="272"/>
      <c r="AR17" s="272"/>
      <c r="AS17" s="272"/>
      <c r="AT17" s="272"/>
      <c r="AU17" s="272"/>
      <c r="AV17" s="272"/>
      <c r="AW17" s="272"/>
      <c r="AX17" s="272"/>
      <c r="AY17" s="272"/>
      <c r="AZ17" s="272"/>
      <c r="BA17" s="229"/>
      <c r="BB17" s="272"/>
      <c r="BC17" s="272"/>
      <c r="BD17" s="272"/>
      <c r="BE17" s="272"/>
      <c r="BF17" s="272"/>
      <c r="BG17" s="272"/>
      <c r="BH17" s="272"/>
      <c r="BI17" s="272"/>
      <c r="BJ17" s="272"/>
      <c r="BK17" s="272"/>
      <c r="BL17" s="272"/>
      <c r="BO17" s="3123" t="s">
        <v>2680</v>
      </c>
      <c r="BP17" s="3123" t="s">
        <v>2681</v>
      </c>
      <c r="BQ17" s="3123" t="s">
        <v>2682</v>
      </c>
      <c r="BR17" s="3123" t="s">
        <v>2683</v>
      </c>
    </row>
    <row r="18" spans="1:71" s="51" customFormat="1" ht="127.5">
      <c r="A18" s="3415"/>
      <c r="B18" s="3417"/>
      <c r="C18" s="469" t="s">
        <v>1073</v>
      </c>
      <c r="D18" s="143" t="s">
        <v>854</v>
      </c>
      <c r="E18" s="3365">
        <v>1</v>
      </c>
      <c r="F18" s="474">
        <v>4</v>
      </c>
      <c r="G18" s="605"/>
      <c r="H18" s="3123" t="s">
        <v>2684</v>
      </c>
      <c r="I18" s="3123" t="s">
        <v>2685</v>
      </c>
      <c r="J18" s="3123" t="s">
        <v>2811</v>
      </c>
      <c r="K18" s="3123" t="s">
        <v>2687</v>
      </c>
      <c r="L18" s="605"/>
      <c r="M18" s="2973">
        <v>1</v>
      </c>
      <c r="N18" s="2973">
        <v>4</v>
      </c>
      <c r="O18" s="2973">
        <v>3</v>
      </c>
      <c r="P18" s="2973">
        <v>2</v>
      </c>
      <c r="Q18" s="2963">
        <v>2</v>
      </c>
      <c r="R18" s="3365">
        <v>3</v>
      </c>
      <c r="S18" s="2963">
        <v>3</v>
      </c>
      <c r="T18" s="2963"/>
      <c r="U18" s="2964"/>
      <c r="V18" s="2963"/>
      <c r="W18" s="2963"/>
      <c r="X18" s="2963"/>
      <c r="Y18" s="2963"/>
      <c r="Z18" s="2963"/>
      <c r="AA18" s="2963"/>
      <c r="AB18" s="2963"/>
      <c r="AC18" s="605"/>
      <c r="AD18" s="271"/>
      <c r="AE18" s="271"/>
      <c r="AF18" s="271"/>
      <c r="AG18" s="271"/>
      <c r="AH18" s="271"/>
      <c r="AI18" s="271"/>
      <c r="AJ18" s="271"/>
      <c r="AK18" s="271"/>
      <c r="AL18" s="271"/>
      <c r="AM18" s="272"/>
      <c r="AN18" s="272"/>
      <c r="AO18" s="605"/>
      <c r="AP18" s="272"/>
      <c r="AQ18" s="272"/>
      <c r="AR18" s="272"/>
      <c r="AS18" s="272"/>
      <c r="AT18" s="272"/>
      <c r="AU18" s="272"/>
      <c r="AV18" s="272"/>
      <c r="AW18" s="272"/>
      <c r="AX18" s="272"/>
      <c r="AY18" s="272"/>
      <c r="AZ18" s="272"/>
      <c r="BA18" s="229"/>
      <c r="BB18" s="272"/>
      <c r="BC18" s="272"/>
      <c r="BD18" s="272"/>
      <c r="BE18" s="272"/>
      <c r="BF18" s="272"/>
      <c r="BG18" s="272"/>
      <c r="BH18" s="272"/>
      <c r="BI18" s="272"/>
      <c r="BJ18" s="272"/>
      <c r="BK18" s="272"/>
      <c r="BL18" s="272"/>
      <c r="BO18" s="3123" t="s">
        <v>2684</v>
      </c>
      <c r="BP18" s="3123" t="s">
        <v>2685</v>
      </c>
      <c r="BQ18" s="3123" t="s">
        <v>2686</v>
      </c>
      <c r="BR18" s="3123" t="s">
        <v>2687</v>
      </c>
    </row>
    <row r="19" spans="1:71" s="51" customFormat="1" ht="165.75">
      <c r="A19" s="3415"/>
      <c r="B19" s="2206" t="s">
        <v>538</v>
      </c>
      <c r="C19" s="143" t="s">
        <v>263</v>
      </c>
      <c r="D19" s="143" t="s">
        <v>43</v>
      </c>
      <c r="E19" s="3365">
        <v>1</v>
      </c>
      <c r="F19" s="474">
        <v>4</v>
      </c>
      <c r="G19" s="605"/>
      <c r="H19" s="3123" t="s">
        <v>2688</v>
      </c>
      <c r="I19" s="3123" t="s">
        <v>2802</v>
      </c>
      <c r="J19" s="3123" t="s">
        <v>2812</v>
      </c>
      <c r="K19" s="3123" t="s">
        <v>2815</v>
      </c>
      <c r="L19" s="605"/>
      <c r="M19" s="2973">
        <v>1</v>
      </c>
      <c r="N19" s="2973">
        <v>4</v>
      </c>
      <c r="O19" s="2973">
        <v>3</v>
      </c>
      <c r="P19" s="2973">
        <v>2</v>
      </c>
      <c r="Q19" s="2963">
        <v>1</v>
      </c>
      <c r="R19" s="3365">
        <v>1</v>
      </c>
      <c r="S19" s="2963">
        <v>1</v>
      </c>
      <c r="T19" s="2963"/>
      <c r="U19" s="2964"/>
      <c r="V19" s="2963"/>
      <c r="W19" s="2963"/>
      <c r="X19" s="2963"/>
      <c r="Y19" s="2963"/>
      <c r="Z19" s="2963"/>
      <c r="AA19" s="2963"/>
      <c r="AB19" s="2963"/>
      <c r="AC19" s="605"/>
      <c r="AD19" s="271"/>
      <c r="AE19" s="271"/>
      <c r="AF19" s="271"/>
      <c r="AG19" s="271"/>
      <c r="AH19" s="271"/>
      <c r="AI19" s="271"/>
      <c r="AJ19" s="271"/>
      <c r="AK19" s="271"/>
      <c r="AL19" s="271"/>
      <c r="AM19" s="272"/>
      <c r="AN19" s="272"/>
      <c r="AO19" s="605"/>
      <c r="AP19" s="272"/>
      <c r="AQ19" s="272"/>
      <c r="AR19" s="272"/>
      <c r="AS19" s="272"/>
      <c r="AT19" s="272"/>
      <c r="AU19" s="272"/>
      <c r="AV19" s="272"/>
      <c r="AW19" s="272"/>
      <c r="AX19" s="272"/>
      <c r="AY19" s="272"/>
      <c r="AZ19" s="272"/>
      <c r="BA19" s="229"/>
      <c r="BB19" s="265"/>
      <c r="BC19" s="272"/>
      <c r="BD19" s="272"/>
      <c r="BE19" s="272"/>
      <c r="BF19" s="272"/>
      <c r="BG19" s="272"/>
      <c r="BH19" s="272"/>
      <c r="BI19" s="272"/>
      <c r="BJ19" s="272"/>
      <c r="BK19" s="272"/>
      <c r="BL19" s="272"/>
      <c r="BO19" s="3123" t="s">
        <v>2688</v>
      </c>
      <c r="BP19" s="3123" t="s">
        <v>2689</v>
      </c>
      <c r="BQ19" s="3123" t="s">
        <v>2690</v>
      </c>
      <c r="BR19" s="3123" t="s">
        <v>2691</v>
      </c>
    </row>
    <row r="20" spans="1:71" s="51" customFormat="1" ht="15.75">
      <c r="A20" s="3415" t="s">
        <v>515</v>
      </c>
      <c r="B20" s="3414" t="s">
        <v>1925</v>
      </c>
      <c r="C20" s="143" t="s">
        <v>304</v>
      </c>
      <c r="D20" s="3136" t="s">
        <v>493</v>
      </c>
      <c r="E20" s="3365"/>
      <c r="F20" s="474"/>
      <c r="G20" s="605"/>
      <c r="H20" s="471"/>
      <c r="I20" s="471"/>
      <c r="J20" s="471"/>
      <c r="K20" s="471"/>
      <c r="L20" s="605"/>
      <c r="M20" s="2973"/>
      <c r="N20" s="2973"/>
      <c r="O20" s="2973"/>
      <c r="P20" s="2973"/>
      <c r="Q20" s="2963"/>
      <c r="R20" s="3365"/>
      <c r="S20" s="2963"/>
      <c r="T20" s="2963"/>
      <c r="U20" s="2964"/>
      <c r="V20" s="2963"/>
      <c r="W20" s="2963"/>
      <c r="X20" s="2963"/>
      <c r="Y20" s="2963"/>
      <c r="Z20" s="2963"/>
      <c r="AA20" s="2963"/>
      <c r="AB20" s="2963"/>
      <c r="AC20" s="605"/>
      <c r="AD20" s="271"/>
      <c r="AE20" s="271"/>
      <c r="AF20" s="271"/>
      <c r="AG20" s="271"/>
      <c r="AH20" s="271"/>
      <c r="AI20" s="271"/>
      <c r="AJ20" s="271"/>
      <c r="AK20" s="271"/>
      <c r="AL20" s="271"/>
      <c r="AM20" s="272"/>
      <c r="AN20" s="272"/>
      <c r="AO20" s="605"/>
      <c r="AP20" s="272"/>
      <c r="AQ20" s="272"/>
      <c r="AR20" s="272"/>
      <c r="AS20" s="272"/>
      <c r="AT20" s="272"/>
      <c r="AU20" s="272"/>
      <c r="AV20" s="272"/>
      <c r="AW20" s="272"/>
      <c r="AX20" s="272"/>
      <c r="AY20" s="272"/>
      <c r="AZ20" s="272"/>
      <c r="BA20" s="229"/>
      <c r="BB20" s="296"/>
      <c r="BC20" s="2413"/>
      <c r="BD20" s="2414"/>
      <c r="BE20" s="2415"/>
      <c r="BF20" s="2415"/>
      <c r="BG20" s="2416"/>
      <c r="BH20" s="2417"/>
      <c r="BI20" s="2417"/>
      <c r="BJ20" s="2417"/>
      <c r="BK20" s="2417"/>
      <c r="BL20" s="272"/>
      <c r="BO20" s="471"/>
      <c r="BP20" s="471"/>
      <c r="BQ20" s="471"/>
      <c r="BR20" s="471"/>
    </row>
    <row r="21" spans="1:71" s="51" customFormat="1" ht="140.25">
      <c r="A21" s="3415"/>
      <c r="B21" s="3414"/>
      <c r="C21" s="304"/>
      <c r="D21" s="304" t="s">
        <v>2369</v>
      </c>
      <c r="E21" s="3365">
        <v>1</v>
      </c>
      <c r="F21" s="475">
        <v>4</v>
      </c>
      <c r="G21" s="605"/>
      <c r="H21" s="3362" t="s">
        <v>2692</v>
      </c>
      <c r="I21" s="3362" t="s">
        <v>2693</v>
      </c>
      <c r="J21" s="3362" t="s">
        <v>2694</v>
      </c>
      <c r="K21" s="3362" t="s">
        <v>2695</v>
      </c>
      <c r="L21" s="605"/>
      <c r="M21" s="2973">
        <v>1</v>
      </c>
      <c r="N21" s="2973">
        <v>4</v>
      </c>
      <c r="O21" s="2973">
        <v>3</v>
      </c>
      <c r="P21" s="2973">
        <v>2</v>
      </c>
      <c r="Q21" s="2963">
        <v>4</v>
      </c>
      <c r="R21" s="3365">
        <v>4</v>
      </c>
      <c r="S21" s="2963">
        <v>4</v>
      </c>
      <c r="T21" s="2963"/>
      <c r="U21" s="2964"/>
      <c r="V21" s="2963"/>
      <c r="W21" s="2963"/>
      <c r="X21" s="2963"/>
      <c r="Y21" s="2963"/>
      <c r="Z21" s="2963"/>
      <c r="AA21" s="2963"/>
      <c r="AB21" s="2963"/>
      <c r="AC21" s="605"/>
      <c r="AD21" s="271"/>
      <c r="AE21" s="271"/>
      <c r="AF21" s="271"/>
      <c r="AG21" s="271"/>
      <c r="AH21" s="271"/>
      <c r="AI21" s="271"/>
      <c r="AJ21" s="271"/>
      <c r="AK21" s="271"/>
      <c r="AL21" s="271"/>
      <c r="AM21" s="272"/>
      <c r="AN21" s="272"/>
      <c r="AO21" s="605"/>
      <c r="AP21" s="272"/>
      <c r="AQ21" s="272"/>
      <c r="AR21" s="272"/>
      <c r="AS21" s="272"/>
      <c r="AT21" s="272"/>
      <c r="AU21" s="272"/>
      <c r="AV21" s="272"/>
      <c r="AW21" s="272"/>
      <c r="AX21" s="272"/>
      <c r="AY21" s="272"/>
      <c r="AZ21" s="272"/>
      <c r="BA21" s="229"/>
      <c r="BB21" s="295"/>
      <c r="BC21" s="276"/>
      <c r="BD21" s="275"/>
      <c r="BE21" s="272"/>
      <c r="BF21" s="274"/>
      <c r="BG21" s="275"/>
      <c r="BH21" s="274"/>
      <c r="BI21" s="274"/>
      <c r="BJ21" s="274"/>
      <c r="BK21" s="274"/>
      <c r="BL21" s="272"/>
      <c r="BO21" s="3362" t="s">
        <v>2692</v>
      </c>
      <c r="BP21" s="3362" t="s">
        <v>2693</v>
      </c>
      <c r="BQ21" s="3362" t="s">
        <v>2694</v>
      </c>
      <c r="BR21" s="3362" t="s">
        <v>2695</v>
      </c>
    </row>
    <row r="22" spans="1:71" s="51" customFormat="1" ht="140.25">
      <c r="A22" s="3415"/>
      <c r="B22" s="3414"/>
      <c r="C22" s="304"/>
      <c r="D22" s="304" t="s">
        <v>2370</v>
      </c>
      <c r="E22" s="3365">
        <v>1</v>
      </c>
      <c r="F22" s="475">
        <v>4</v>
      </c>
      <c r="G22" s="605"/>
      <c r="H22" s="3123" t="s">
        <v>2696</v>
      </c>
      <c r="I22" s="3123" t="s">
        <v>2697</v>
      </c>
      <c r="J22" s="3123" t="s">
        <v>2698</v>
      </c>
      <c r="K22" s="3123" t="s">
        <v>2699</v>
      </c>
      <c r="L22" s="605"/>
      <c r="M22" s="2973">
        <v>1</v>
      </c>
      <c r="N22" s="2973">
        <v>4</v>
      </c>
      <c r="O22" s="2973">
        <v>3</v>
      </c>
      <c r="P22" s="2973">
        <v>2</v>
      </c>
      <c r="Q22" s="2963">
        <v>4</v>
      </c>
      <c r="R22" s="3365">
        <v>4</v>
      </c>
      <c r="S22" s="2963">
        <v>4</v>
      </c>
      <c r="T22" s="2963"/>
      <c r="U22" s="2964"/>
      <c r="V22" s="2963"/>
      <c r="W22" s="2963"/>
      <c r="X22" s="2963"/>
      <c r="Y22" s="2963"/>
      <c r="Z22" s="2963"/>
      <c r="AA22" s="2963"/>
      <c r="AB22" s="2963"/>
      <c r="AC22" s="605"/>
      <c r="AD22" s="271"/>
      <c r="AE22" s="271"/>
      <c r="AF22" s="271"/>
      <c r="AG22" s="271"/>
      <c r="AH22" s="271"/>
      <c r="AI22" s="271"/>
      <c r="AJ22" s="271"/>
      <c r="AK22" s="271"/>
      <c r="AL22" s="271"/>
      <c r="AM22" s="272"/>
      <c r="AN22" s="272"/>
      <c r="AO22" s="605"/>
      <c r="AP22" s="272"/>
      <c r="AQ22" s="272"/>
      <c r="AR22" s="272"/>
      <c r="AS22" s="272"/>
      <c r="AT22" s="272"/>
      <c r="AU22" s="272"/>
      <c r="AV22" s="272"/>
      <c r="AW22" s="272"/>
      <c r="AX22" s="272"/>
      <c r="AY22" s="272"/>
      <c r="AZ22" s="272"/>
      <c r="BA22" s="229"/>
      <c r="BB22" s="295"/>
      <c r="BC22" s="276"/>
      <c r="BD22" s="275"/>
      <c r="BE22" s="272"/>
      <c r="BF22" s="274"/>
      <c r="BG22" s="275"/>
      <c r="BH22" s="274"/>
      <c r="BI22" s="274"/>
      <c r="BJ22" s="274"/>
      <c r="BK22" s="274"/>
      <c r="BL22" s="272"/>
      <c r="BO22" s="3123" t="s">
        <v>2696</v>
      </c>
      <c r="BP22" s="3123" t="s">
        <v>2697</v>
      </c>
      <c r="BQ22" s="3123" t="s">
        <v>2698</v>
      </c>
      <c r="BR22" s="3123" t="s">
        <v>2699</v>
      </c>
    </row>
    <row r="23" spans="1:71" s="51" customFormat="1" ht="45.75" customHeight="1">
      <c r="A23" s="3415"/>
      <c r="B23" s="3414"/>
      <c r="C23" s="143" t="s">
        <v>432</v>
      </c>
      <c r="D23" s="143" t="s">
        <v>2371</v>
      </c>
      <c r="E23" s="3365">
        <v>1</v>
      </c>
      <c r="F23" s="545">
        <v>4</v>
      </c>
      <c r="G23" s="605"/>
      <c r="H23" s="3135" t="s">
        <v>2700</v>
      </c>
      <c r="I23" s="3135" t="s">
        <v>2701</v>
      </c>
      <c r="J23" s="3135" t="s">
        <v>2702</v>
      </c>
      <c r="K23" s="3135" t="s">
        <v>2703</v>
      </c>
      <c r="L23" s="605"/>
      <c r="M23" s="2973">
        <v>1</v>
      </c>
      <c r="N23" s="2973">
        <v>4</v>
      </c>
      <c r="O23" s="2973">
        <v>3</v>
      </c>
      <c r="P23" s="2973">
        <v>2</v>
      </c>
      <c r="Q23" s="2963">
        <v>4</v>
      </c>
      <c r="R23" s="3365">
        <v>4</v>
      </c>
      <c r="S23" s="2963">
        <v>4</v>
      </c>
      <c r="T23" s="2963"/>
      <c r="U23" s="2964"/>
      <c r="V23" s="2963"/>
      <c r="W23" s="2963"/>
      <c r="X23" s="2963"/>
      <c r="Y23" s="2963"/>
      <c r="Z23" s="2963"/>
      <c r="AA23" s="2963"/>
      <c r="AB23" s="2963"/>
      <c r="AC23" s="605"/>
      <c r="AD23" s="271"/>
      <c r="AE23" s="271"/>
      <c r="AF23" s="271"/>
      <c r="AG23" s="271"/>
      <c r="AH23" s="271"/>
      <c r="AI23" s="271"/>
      <c r="AJ23" s="271"/>
      <c r="AK23" s="271"/>
      <c r="AL23" s="271"/>
      <c r="AM23" s="272"/>
      <c r="AN23" s="272"/>
      <c r="AO23" s="605"/>
      <c r="AP23" s="272"/>
      <c r="AQ23" s="272"/>
      <c r="AR23" s="272"/>
      <c r="AS23" s="272"/>
      <c r="AT23" s="272"/>
      <c r="AU23" s="272"/>
      <c r="AV23" s="272"/>
      <c r="AW23" s="272"/>
      <c r="AX23" s="272"/>
      <c r="AY23" s="272"/>
      <c r="AZ23" s="272"/>
      <c r="BA23" s="229"/>
      <c r="BB23" s="295"/>
      <c r="BC23" s="276"/>
      <c r="BD23" s="275"/>
      <c r="BE23" s="272"/>
      <c r="BF23" s="274"/>
      <c r="BG23" s="275"/>
      <c r="BH23" s="274"/>
      <c r="BI23" s="274"/>
      <c r="BJ23" s="274"/>
      <c r="BK23" s="274"/>
      <c r="BL23" s="272"/>
      <c r="BO23" s="3135" t="s">
        <v>2700</v>
      </c>
      <c r="BP23" s="3135" t="s">
        <v>2701</v>
      </c>
      <c r="BQ23" s="3135" t="s">
        <v>2702</v>
      </c>
      <c r="BR23" s="3135" t="s">
        <v>2703</v>
      </c>
    </row>
    <row r="24" spans="1:71" s="51" customFormat="1" ht="38.25" customHeight="1">
      <c r="A24" s="3415"/>
      <c r="B24" s="3414"/>
      <c r="C24" s="143" t="s">
        <v>1076</v>
      </c>
      <c r="D24" s="143" t="s">
        <v>2372</v>
      </c>
      <c r="E24" s="3365">
        <v>1</v>
      </c>
      <c r="F24" s="474">
        <v>4</v>
      </c>
      <c r="G24" s="605"/>
      <c r="H24" s="3135" t="s">
        <v>2704</v>
      </c>
      <c r="I24" s="3135" t="s">
        <v>2705</v>
      </c>
      <c r="J24" s="3135" t="s">
        <v>2706</v>
      </c>
      <c r="K24" s="3135" t="s">
        <v>2707</v>
      </c>
      <c r="L24" s="605"/>
      <c r="M24" s="2973">
        <v>1</v>
      </c>
      <c r="N24" s="2973">
        <v>4</v>
      </c>
      <c r="O24" s="2973">
        <v>3</v>
      </c>
      <c r="P24" s="2973">
        <v>2</v>
      </c>
      <c r="Q24" s="2963">
        <v>4</v>
      </c>
      <c r="R24" s="3365">
        <v>4</v>
      </c>
      <c r="S24" s="2963">
        <v>4</v>
      </c>
      <c r="T24" s="2963"/>
      <c r="U24" s="2964"/>
      <c r="V24" s="2963"/>
      <c r="W24" s="2963"/>
      <c r="X24" s="2963"/>
      <c r="Y24" s="2963"/>
      <c r="Z24" s="2963"/>
      <c r="AA24" s="2963"/>
      <c r="AB24" s="2963"/>
      <c r="AC24" s="605"/>
      <c r="AD24" s="271"/>
      <c r="AE24" s="271"/>
      <c r="AF24" s="271"/>
      <c r="AG24" s="271"/>
      <c r="AH24" s="271"/>
      <c r="AI24" s="271"/>
      <c r="AJ24" s="271"/>
      <c r="AK24" s="271"/>
      <c r="AL24" s="271"/>
      <c r="AM24" s="272"/>
      <c r="AN24" s="272"/>
      <c r="AO24" s="605"/>
      <c r="AP24" s="272"/>
      <c r="AQ24" s="272"/>
      <c r="AR24" s="272"/>
      <c r="AS24" s="272"/>
      <c r="AT24" s="272"/>
      <c r="AU24" s="272"/>
      <c r="AV24" s="272"/>
      <c r="AW24" s="272"/>
      <c r="AX24" s="272"/>
      <c r="AY24" s="272"/>
      <c r="AZ24" s="272"/>
      <c r="BA24" s="229"/>
      <c r="BB24" s="295"/>
      <c r="BC24" s="276"/>
      <c r="BD24" s="275"/>
      <c r="BE24" s="272"/>
      <c r="BF24" s="272"/>
      <c r="BG24" s="272"/>
      <c r="BH24" s="274"/>
      <c r="BI24" s="274"/>
      <c r="BJ24" s="274"/>
      <c r="BK24" s="274"/>
      <c r="BL24" s="272"/>
      <c r="BO24" s="3135" t="s">
        <v>2704</v>
      </c>
      <c r="BP24" s="3135" t="s">
        <v>2705</v>
      </c>
      <c r="BQ24" s="3135" t="s">
        <v>2706</v>
      </c>
      <c r="BR24" s="3135" t="s">
        <v>2707</v>
      </c>
    </row>
    <row r="25" spans="1:71" s="51" customFormat="1" ht="242.25">
      <c r="A25" s="3415"/>
      <c r="B25" s="3414" t="s">
        <v>41</v>
      </c>
      <c r="C25" s="143" t="s">
        <v>296</v>
      </c>
      <c r="D25" s="143" t="s">
        <v>1926</v>
      </c>
      <c r="E25" s="3365">
        <v>1</v>
      </c>
      <c r="F25" s="474">
        <v>4</v>
      </c>
      <c r="G25" s="605"/>
      <c r="H25" s="3123" t="s">
        <v>2791</v>
      </c>
      <c r="I25" s="3123" t="s">
        <v>2803</v>
      </c>
      <c r="J25" s="3123" t="s">
        <v>2813</v>
      </c>
      <c r="K25" s="3123" t="s">
        <v>2814</v>
      </c>
      <c r="L25" s="605"/>
      <c r="M25" s="2973">
        <v>1</v>
      </c>
      <c r="N25" s="2973">
        <v>4</v>
      </c>
      <c r="O25" s="2973">
        <v>3</v>
      </c>
      <c r="P25" s="2973">
        <v>2</v>
      </c>
      <c r="Q25" s="2963">
        <v>4</v>
      </c>
      <c r="R25" s="3365">
        <v>4</v>
      </c>
      <c r="S25" s="2963">
        <v>4</v>
      </c>
      <c r="T25" s="2963"/>
      <c r="U25" s="2964"/>
      <c r="V25" s="2963"/>
      <c r="W25" s="2963"/>
      <c r="X25" s="2963"/>
      <c r="Y25" s="2963"/>
      <c r="Z25" s="2963"/>
      <c r="AA25" s="2963"/>
      <c r="AB25" s="2963"/>
      <c r="AC25" s="605"/>
      <c r="AD25" s="271"/>
      <c r="AE25" s="271"/>
      <c r="AF25" s="271"/>
      <c r="AG25" s="271"/>
      <c r="AH25" s="271"/>
      <c r="AI25" s="271"/>
      <c r="AJ25" s="271"/>
      <c r="AK25" s="271"/>
      <c r="AL25" s="271"/>
      <c r="AM25" s="272"/>
      <c r="AN25" s="272"/>
      <c r="AO25" s="605"/>
      <c r="AP25" s="272"/>
      <c r="AQ25" s="272"/>
      <c r="AR25" s="272"/>
      <c r="AS25" s="272"/>
      <c r="AT25" s="272"/>
      <c r="AU25" s="272"/>
      <c r="AV25" s="272"/>
      <c r="AW25" s="272"/>
      <c r="AX25" s="272"/>
      <c r="AY25" s="272"/>
      <c r="AZ25" s="272"/>
      <c r="BA25" s="229"/>
      <c r="BB25" s="295"/>
      <c r="BC25" s="284"/>
      <c r="BD25" s="279"/>
      <c r="BE25" s="278"/>
      <c r="BF25" s="278"/>
      <c r="BG25" s="278"/>
      <c r="BH25" s="285"/>
      <c r="BI25" s="285"/>
      <c r="BJ25" s="285"/>
      <c r="BK25" s="285"/>
      <c r="BL25" s="272"/>
      <c r="BO25" s="3123" t="s">
        <v>2708</v>
      </c>
      <c r="BP25" s="3123" t="s">
        <v>2709</v>
      </c>
      <c r="BQ25" s="3123" t="s">
        <v>2710</v>
      </c>
      <c r="BR25" s="3123" t="s">
        <v>2711</v>
      </c>
    </row>
    <row r="26" spans="1:71" s="51" customFormat="1" ht="15.75">
      <c r="A26" s="3415"/>
      <c r="B26" s="3414"/>
      <c r="C26" s="143"/>
      <c r="D26" s="3136"/>
      <c r="E26" s="3365"/>
      <c r="F26" s="474"/>
      <c r="G26" s="605"/>
      <c r="H26" s="470"/>
      <c r="I26" s="470"/>
      <c r="J26" s="470"/>
      <c r="K26" s="470"/>
      <c r="L26" s="605"/>
      <c r="M26" s="2973"/>
      <c r="N26" s="2973"/>
      <c r="O26" s="2973"/>
      <c r="P26" s="2973"/>
      <c r="Q26" s="2963"/>
      <c r="R26" s="3365"/>
      <c r="S26" s="2963"/>
      <c r="T26" s="2963"/>
      <c r="U26" s="2964"/>
      <c r="V26" s="2963"/>
      <c r="W26" s="2963"/>
      <c r="X26" s="2963"/>
      <c r="Y26" s="2963"/>
      <c r="Z26" s="2963"/>
      <c r="AA26" s="2963"/>
      <c r="AB26" s="2963"/>
      <c r="AC26" s="605"/>
      <c r="AD26" s="271"/>
      <c r="AE26" s="271"/>
      <c r="AF26" s="271"/>
      <c r="AG26" s="271"/>
      <c r="AH26" s="271"/>
      <c r="AI26" s="271"/>
      <c r="AJ26" s="271"/>
      <c r="AK26" s="271"/>
      <c r="AL26" s="271"/>
      <c r="AM26" s="272"/>
      <c r="AN26" s="272"/>
      <c r="AO26" s="605"/>
      <c r="AP26" s="272"/>
      <c r="AQ26" s="272"/>
      <c r="AR26" s="272"/>
      <c r="AS26" s="272"/>
      <c r="AT26" s="272"/>
      <c r="AU26" s="272"/>
      <c r="AV26" s="272"/>
      <c r="AW26" s="272"/>
      <c r="AX26" s="272"/>
      <c r="AY26" s="272"/>
      <c r="AZ26" s="272"/>
      <c r="BA26" s="229"/>
      <c r="BB26" s="265"/>
      <c r="BC26" s="272"/>
      <c r="BD26" s="272"/>
      <c r="BE26" s="272"/>
      <c r="BF26" s="272"/>
      <c r="BG26" s="272"/>
      <c r="BH26" s="272"/>
      <c r="BI26" s="272"/>
      <c r="BJ26" s="272"/>
      <c r="BK26" s="272"/>
      <c r="BL26" s="272"/>
      <c r="BO26" s="470"/>
      <c r="BP26" s="470"/>
      <c r="BQ26" s="470"/>
      <c r="BR26" s="470"/>
    </row>
    <row r="27" spans="1:71" s="51" customFormat="1" ht="31.5" customHeight="1">
      <c r="A27" s="3416" t="s">
        <v>1944</v>
      </c>
      <c r="B27" s="3414" t="s">
        <v>1945</v>
      </c>
      <c r="C27" s="296" t="s">
        <v>310</v>
      </c>
      <c r="D27" s="296" t="s">
        <v>1085</v>
      </c>
      <c r="E27" s="3365">
        <v>1</v>
      </c>
      <c r="F27" s="474">
        <v>4</v>
      </c>
      <c r="G27" s="2331"/>
      <c r="H27" s="3123" t="s">
        <v>2712</v>
      </c>
      <c r="I27" s="3123" t="s">
        <v>2713</v>
      </c>
      <c r="J27" s="3123" t="s">
        <v>2714</v>
      </c>
      <c r="K27" s="3123" t="s">
        <v>2818</v>
      </c>
      <c r="L27" s="2331"/>
      <c r="M27" s="2973">
        <v>1</v>
      </c>
      <c r="N27" s="2973">
        <v>4</v>
      </c>
      <c r="O27" s="2973">
        <v>3</v>
      </c>
      <c r="P27" s="2973">
        <v>2</v>
      </c>
      <c r="Q27" s="2963">
        <v>4</v>
      </c>
      <c r="R27" s="3365">
        <v>4</v>
      </c>
      <c r="S27" s="2963">
        <v>4</v>
      </c>
      <c r="T27" s="2963"/>
      <c r="U27" s="2964"/>
      <c r="V27" s="2963"/>
      <c r="W27" s="2963"/>
      <c r="X27" s="2963"/>
      <c r="Y27" s="2963"/>
      <c r="Z27" s="2963"/>
      <c r="AA27" s="2963"/>
      <c r="AB27" s="2963"/>
      <c r="AC27" s="2331"/>
      <c r="AD27" s="271"/>
      <c r="AE27" s="271"/>
      <c r="AF27" s="271"/>
      <c r="AG27" s="271"/>
      <c r="AH27" s="271"/>
      <c r="AI27" s="271"/>
      <c r="AJ27" s="271"/>
      <c r="AK27" s="271"/>
      <c r="AL27" s="271"/>
      <c r="AM27" s="272"/>
      <c r="AN27" s="272"/>
      <c r="AO27" s="2331"/>
      <c r="AP27" s="272"/>
      <c r="AQ27" s="272"/>
      <c r="AR27" s="272"/>
      <c r="AS27" s="272"/>
      <c r="AT27" s="272"/>
      <c r="AU27" s="272"/>
      <c r="AV27" s="272"/>
      <c r="AW27" s="272"/>
      <c r="AX27" s="272"/>
      <c r="AY27" s="272"/>
      <c r="AZ27" s="272"/>
      <c r="BA27" s="229"/>
      <c r="BB27" s="265"/>
      <c r="BC27" s="272"/>
      <c r="BD27" s="272"/>
      <c r="BE27" s="272"/>
      <c r="BF27" s="272"/>
      <c r="BG27" s="272"/>
      <c r="BH27" s="272"/>
      <c r="BI27" s="272"/>
      <c r="BJ27" s="272"/>
      <c r="BK27" s="272"/>
      <c r="BL27" s="272"/>
      <c r="BO27" s="3123" t="s">
        <v>2712</v>
      </c>
      <c r="BP27" s="3123" t="s">
        <v>2713</v>
      </c>
      <c r="BQ27" s="3123" t="s">
        <v>2714</v>
      </c>
      <c r="BR27" s="3123" t="s">
        <v>2715</v>
      </c>
    </row>
    <row r="28" spans="1:71" s="51" customFormat="1" ht="216.75">
      <c r="A28" s="3416"/>
      <c r="B28" s="3414"/>
      <c r="C28" s="296" t="s">
        <v>314</v>
      </c>
      <c r="D28" s="296" t="s">
        <v>694</v>
      </c>
      <c r="E28" s="3365">
        <v>1</v>
      </c>
      <c r="F28" s="474">
        <v>4</v>
      </c>
      <c r="G28" s="2331"/>
      <c r="H28" s="3123" t="s">
        <v>2716</v>
      </c>
      <c r="I28" s="3123" t="s">
        <v>2717</v>
      </c>
      <c r="J28" s="3123" t="s">
        <v>2718</v>
      </c>
      <c r="K28" s="3123" t="s">
        <v>2719</v>
      </c>
      <c r="L28" s="2331"/>
      <c r="M28" s="2973">
        <v>1</v>
      </c>
      <c r="N28" s="2973">
        <v>4</v>
      </c>
      <c r="O28" s="2973">
        <v>3</v>
      </c>
      <c r="P28" s="2973">
        <v>2</v>
      </c>
      <c r="Q28" s="2963">
        <v>4</v>
      </c>
      <c r="R28" s="3365">
        <v>4</v>
      </c>
      <c r="S28" s="2963">
        <v>4</v>
      </c>
      <c r="T28" s="2963"/>
      <c r="U28" s="2964"/>
      <c r="V28" s="2963"/>
      <c r="W28" s="2963"/>
      <c r="X28" s="2963"/>
      <c r="Y28" s="2963"/>
      <c r="Z28" s="2963"/>
      <c r="AA28" s="2963"/>
      <c r="AB28" s="2963"/>
      <c r="AC28" s="2331"/>
      <c r="AD28" s="271"/>
      <c r="AE28" s="271"/>
      <c r="AF28" s="271"/>
      <c r="AG28" s="271"/>
      <c r="AH28" s="271"/>
      <c r="AI28" s="271"/>
      <c r="AJ28" s="271"/>
      <c r="AK28" s="271"/>
      <c r="AL28" s="271"/>
      <c r="AM28" s="272"/>
      <c r="AN28" s="272"/>
      <c r="AO28" s="2331"/>
      <c r="AP28" s="272"/>
      <c r="AQ28" s="272"/>
      <c r="AR28" s="272"/>
      <c r="AS28" s="272"/>
      <c r="AT28" s="272"/>
      <c r="AU28" s="272"/>
      <c r="AV28" s="272"/>
      <c r="AW28" s="272"/>
      <c r="AX28" s="272"/>
      <c r="AY28" s="272"/>
      <c r="AZ28" s="272"/>
      <c r="BA28" s="229"/>
      <c r="BB28" s="265"/>
      <c r="BC28" s="272"/>
      <c r="BD28" s="272"/>
      <c r="BE28" s="272"/>
      <c r="BF28" s="272"/>
      <c r="BG28" s="272"/>
      <c r="BH28" s="272"/>
      <c r="BI28" s="272"/>
      <c r="BJ28" s="272"/>
      <c r="BK28" s="272"/>
      <c r="BL28" s="272"/>
      <c r="BO28" s="3123" t="s">
        <v>2716</v>
      </c>
      <c r="BP28" s="3123" t="s">
        <v>2717</v>
      </c>
      <c r="BQ28" s="3123" t="s">
        <v>2718</v>
      </c>
      <c r="BR28" s="3123" t="s">
        <v>2719</v>
      </c>
    </row>
    <row r="29" spans="1:71" s="51" customFormat="1" ht="138.94999999999999" customHeight="1">
      <c r="A29" s="3416"/>
      <c r="B29" s="3414"/>
      <c r="C29" s="296" t="s">
        <v>818</v>
      </c>
      <c r="D29" s="296" t="s">
        <v>1086</v>
      </c>
      <c r="E29" s="3365">
        <v>1</v>
      </c>
      <c r="F29" s="474">
        <v>4</v>
      </c>
      <c r="G29" s="2331"/>
      <c r="H29" s="3123" t="s">
        <v>2720</v>
      </c>
      <c r="I29" s="3123" t="s">
        <v>2804</v>
      </c>
      <c r="J29" s="3123" t="s">
        <v>2806</v>
      </c>
      <c r="K29" s="3123" t="s">
        <v>2807</v>
      </c>
      <c r="L29" s="2331"/>
      <c r="M29" s="2973">
        <v>1</v>
      </c>
      <c r="N29" s="2973">
        <v>4</v>
      </c>
      <c r="O29" s="2973">
        <v>3</v>
      </c>
      <c r="P29" s="2973">
        <v>2</v>
      </c>
      <c r="Q29" s="2963">
        <v>4</v>
      </c>
      <c r="R29" s="3365">
        <v>4</v>
      </c>
      <c r="S29" s="2963">
        <v>4</v>
      </c>
      <c r="T29" s="2963"/>
      <c r="U29" s="2964"/>
      <c r="V29" s="2963"/>
      <c r="W29" s="2963"/>
      <c r="X29" s="2963"/>
      <c r="Y29" s="2963"/>
      <c r="Z29" s="2963"/>
      <c r="AA29" s="2963"/>
      <c r="AB29" s="2963"/>
      <c r="AC29" s="2331"/>
      <c r="AD29" s="271"/>
      <c r="AE29" s="271"/>
      <c r="AF29" s="271"/>
      <c r="AG29" s="271"/>
      <c r="AH29" s="271"/>
      <c r="AI29" s="271"/>
      <c r="AJ29" s="271"/>
      <c r="AK29" s="271"/>
      <c r="AL29" s="271"/>
      <c r="AM29" s="272"/>
      <c r="AN29" s="272"/>
      <c r="AO29" s="2331"/>
      <c r="AP29" s="272"/>
      <c r="AQ29" s="272"/>
      <c r="AR29" s="272"/>
      <c r="AS29" s="272"/>
      <c r="AT29" s="272"/>
      <c r="AU29" s="272"/>
      <c r="AV29" s="272"/>
      <c r="AW29" s="272"/>
      <c r="AX29" s="272"/>
      <c r="AY29" s="272"/>
      <c r="AZ29" s="272"/>
      <c r="BA29" s="229"/>
      <c r="BB29" s="265"/>
      <c r="BC29" s="272"/>
      <c r="BD29" s="272"/>
      <c r="BE29" s="272"/>
      <c r="BF29" s="272"/>
      <c r="BG29" s="272"/>
      <c r="BH29" s="272"/>
      <c r="BI29" s="272"/>
      <c r="BJ29" s="272"/>
      <c r="BK29" s="272"/>
      <c r="BL29" s="272"/>
      <c r="BO29" s="3123" t="s">
        <v>2720</v>
      </c>
      <c r="BP29" s="3123" t="s">
        <v>2397</v>
      </c>
      <c r="BQ29" s="3123" t="s">
        <v>2398</v>
      </c>
      <c r="BR29" s="3123" t="s">
        <v>2399</v>
      </c>
    </row>
    <row r="30" spans="1:71" s="51" customFormat="1" ht="23.25">
      <c r="A30" s="362" t="s">
        <v>59</v>
      </c>
      <c r="B30" s="362"/>
      <c r="C30" s="362"/>
      <c r="D30" s="362"/>
      <c r="E30" s="3365"/>
      <c r="F30" s="476"/>
      <c r="G30" s="362"/>
      <c r="H30" s="367"/>
      <c r="I30" s="367"/>
      <c r="J30" s="367"/>
      <c r="K30" s="367"/>
      <c r="L30" s="362"/>
      <c r="M30" s="2973"/>
      <c r="N30" s="2973"/>
      <c r="O30" s="2973"/>
      <c r="P30" s="2973"/>
      <c r="Q30" s="2965"/>
      <c r="R30" s="3365"/>
      <c r="S30" s="2965"/>
      <c r="T30" s="2966"/>
      <c r="U30" s="2967"/>
      <c r="V30" s="2966"/>
      <c r="W30" s="2966"/>
      <c r="X30" s="2966"/>
      <c r="Y30" s="2966"/>
      <c r="Z30" s="2966"/>
      <c r="AA30" s="2966"/>
      <c r="AB30" s="2966"/>
      <c r="AD30" s="271"/>
      <c r="AE30" s="271"/>
      <c r="AF30" s="271"/>
      <c r="AG30" s="271"/>
      <c r="AH30" s="271"/>
      <c r="AI30" s="271"/>
      <c r="AJ30" s="271"/>
      <c r="AK30" s="271"/>
      <c r="AL30" s="271"/>
      <c r="AM30" s="272"/>
      <c r="AN30" s="272"/>
      <c r="AO30" s="605"/>
      <c r="AP30" s="272"/>
      <c r="AQ30" s="272"/>
      <c r="AR30" s="272"/>
      <c r="AS30" s="272"/>
      <c r="AT30" s="272"/>
      <c r="AU30" s="272"/>
      <c r="AV30" s="272"/>
      <c r="AW30" s="272"/>
      <c r="AX30" s="272"/>
      <c r="AY30" s="272"/>
      <c r="AZ30" s="271"/>
      <c r="BA30" s="229"/>
      <c r="BB30" s="379"/>
      <c r="BC30" s="282"/>
      <c r="BD30" s="272"/>
      <c r="BE30" s="272"/>
      <c r="BF30" s="272"/>
      <c r="BG30" s="272"/>
      <c r="BH30" s="272"/>
      <c r="BI30" s="272"/>
      <c r="BJ30" s="272"/>
      <c r="BK30" s="272"/>
      <c r="BL30" s="272"/>
      <c r="BO30" s="367"/>
      <c r="BP30" s="367"/>
      <c r="BQ30" s="367"/>
      <c r="BR30" s="367"/>
      <c r="BS30" s="290"/>
    </row>
    <row r="31" spans="1:71" ht="23.25">
      <c r="A31" s="3415" t="s">
        <v>113</v>
      </c>
      <c r="B31" s="3413" t="s">
        <v>1927</v>
      </c>
      <c r="C31" s="143" t="s">
        <v>282</v>
      </c>
      <c r="D31" s="3136" t="s">
        <v>417</v>
      </c>
      <c r="E31" s="3365"/>
      <c r="F31" s="474"/>
      <c r="H31" s="471"/>
      <c r="I31" s="471"/>
      <c r="J31" s="471"/>
      <c r="K31" s="471"/>
      <c r="M31" s="2973"/>
      <c r="N31" s="2973"/>
      <c r="O31" s="2973"/>
      <c r="P31" s="2973"/>
      <c r="Q31" s="2963"/>
      <c r="R31" s="3365"/>
      <c r="S31" s="2963"/>
      <c r="T31" s="2963"/>
      <c r="U31" s="2964"/>
      <c r="V31" s="2963"/>
      <c r="W31" s="2963"/>
      <c r="X31" s="2963"/>
      <c r="Y31" s="2963"/>
      <c r="Z31" s="2963"/>
      <c r="AA31" s="2963"/>
      <c r="AB31" s="2963"/>
      <c r="AD31" s="271"/>
      <c r="AE31" s="271"/>
      <c r="AF31" s="271"/>
      <c r="AG31" s="271"/>
      <c r="AH31" s="271"/>
      <c r="AI31" s="271"/>
      <c r="AJ31" s="271"/>
      <c r="AK31" s="271"/>
      <c r="AL31" s="271"/>
      <c r="AM31" s="272"/>
      <c r="AN31" s="272"/>
      <c r="AP31" s="337"/>
      <c r="AQ31" s="337"/>
      <c r="AR31" s="272"/>
      <c r="AS31" s="272"/>
      <c r="AT31" s="272"/>
      <c r="AU31" s="272"/>
      <c r="AV31" s="272"/>
      <c r="AW31" s="272"/>
      <c r="AX31" s="272"/>
      <c r="AY31" s="272"/>
      <c r="AZ31" s="271"/>
      <c r="BB31" s="379"/>
      <c r="BC31" s="282"/>
      <c r="BD31" s="272"/>
      <c r="BE31" s="272"/>
      <c r="BF31" s="272"/>
      <c r="BG31" s="272"/>
      <c r="BH31" s="272"/>
      <c r="BI31" s="272"/>
      <c r="BJ31" s="272"/>
      <c r="BK31" s="272"/>
      <c r="BL31" s="272"/>
      <c r="BO31" s="471"/>
      <c r="BP31" s="471"/>
      <c r="BQ31" s="471"/>
      <c r="BR31" s="471"/>
      <c r="BS31" s="242"/>
    </row>
    <row r="32" spans="1:71" s="51" customFormat="1" ht="216.75">
      <c r="A32" s="3415"/>
      <c r="B32" s="3413"/>
      <c r="C32" s="304"/>
      <c r="D32" s="304" t="s">
        <v>525</v>
      </c>
      <c r="E32" s="3365">
        <v>1</v>
      </c>
      <c r="F32" s="475">
        <v>4</v>
      </c>
      <c r="G32" s="605"/>
      <c r="H32" s="3123" t="s">
        <v>2721</v>
      </c>
      <c r="I32" s="3123" t="s">
        <v>2722</v>
      </c>
      <c r="J32" s="3123" t="s">
        <v>2723</v>
      </c>
      <c r="K32" s="3123" t="s">
        <v>2724</v>
      </c>
      <c r="L32" s="605"/>
      <c r="M32" s="2973">
        <v>1</v>
      </c>
      <c r="N32" s="2973">
        <v>4</v>
      </c>
      <c r="O32" s="2973">
        <v>3</v>
      </c>
      <c r="P32" s="2973">
        <v>2</v>
      </c>
      <c r="Q32" s="2963">
        <v>4</v>
      </c>
      <c r="R32" s="3365">
        <v>4</v>
      </c>
      <c r="S32" s="2963">
        <v>2</v>
      </c>
      <c r="T32" s="2963"/>
      <c r="U32" s="2964"/>
      <c r="V32" s="2963"/>
      <c r="W32" s="2963"/>
      <c r="X32" s="2963"/>
      <c r="Y32" s="2963"/>
      <c r="Z32" s="2963"/>
      <c r="AA32" s="2963"/>
      <c r="AB32" s="2963"/>
      <c r="AC32" s="605"/>
      <c r="AD32" s="271"/>
      <c r="AE32" s="271"/>
      <c r="AF32" s="271"/>
      <c r="AG32" s="271"/>
      <c r="AH32" s="271"/>
      <c r="AI32" s="271"/>
      <c r="AJ32" s="271"/>
      <c r="AK32" s="271"/>
      <c r="AL32" s="271"/>
      <c r="AM32" s="273"/>
      <c r="AN32" s="273"/>
      <c r="AO32" s="605"/>
      <c r="AP32" s="272"/>
      <c r="AQ32" s="272"/>
      <c r="AR32" s="273"/>
      <c r="AS32" s="273"/>
      <c r="AT32" s="273"/>
      <c r="AU32" s="273"/>
      <c r="AV32" s="273"/>
      <c r="AW32" s="273"/>
      <c r="AX32" s="273"/>
      <c r="AY32" s="273"/>
      <c r="AZ32" s="271"/>
      <c r="BA32" s="229"/>
      <c r="BB32" s="296"/>
      <c r="BC32" s="2413"/>
      <c r="BD32" s="2414"/>
      <c r="BE32" s="2415"/>
      <c r="BF32" s="2415"/>
      <c r="BG32" s="2416"/>
      <c r="BH32" s="2417"/>
      <c r="BI32" s="2417"/>
      <c r="BJ32" s="2417"/>
      <c r="BK32" s="2417"/>
      <c r="BL32" s="272"/>
      <c r="BO32" s="3123" t="s">
        <v>2721</v>
      </c>
      <c r="BP32" s="3123" t="s">
        <v>2722</v>
      </c>
      <c r="BQ32" s="3123" t="s">
        <v>2723</v>
      </c>
      <c r="BR32" s="3123" t="s">
        <v>2724</v>
      </c>
    </row>
    <row r="33" spans="1:70" s="51" customFormat="1" ht="267.75">
      <c r="A33" s="3415"/>
      <c r="B33" s="3413"/>
      <c r="C33" s="304"/>
      <c r="D33" s="304" t="s">
        <v>1003</v>
      </c>
      <c r="E33" s="3365">
        <v>1</v>
      </c>
      <c r="F33" s="475">
        <v>4</v>
      </c>
      <c r="G33" s="605"/>
      <c r="H33" s="3123" t="s">
        <v>2792</v>
      </c>
      <c r="I33" s="3123" t="s">
        <v>2726</v>
      </c>
      <c r="J33" s="3123" t="s">
        <v>2727</v>
      </c>
      <c r="K33" s="3123" t="s">
        <v>2728</v>
      </c>
      <c r="L33" s="605"/>
      <c r="M33" s="2973">
        <v>1</v>
      </c>
      <c r="N33" s="2973">
        <v>4</v>
      </c>
      <c r="O33" s="2973">
        <v>3</v>
      </c>
      <c r="P33" s="2973">
        <v>2</v>
      </c>
      <c r="Q33" s="2963">
        <v>4</v>
      </c>
      <c r="R33" s="3365">
        <v>4</v>
      </c>
      <c r="S33" s="2963">
        <v>2</v>
      </c>
      <c r="T33" s="2963"/>
      <c r="U33" s="2964"/>
      <c r="V33" s="2963"/>
      <c r="W33" s="2963"/>
      <c r="X33" s="2963"/>
      <c r="Y33" s="2963"/>
      <c r="Z33" s="2963"/>
      <c r="AA33" s="2963"/>
      <c r="AB33" s="2963"/>
      <c r="AC33" s="605"/>
      <c r="AD33" s="271"/>
      <c r="AE33" s="271"/>
      <c r="AF33" s="271"/>
      <c r="AG33" s="271"/>
      <c r="AH33" s="271"/>
      <c r="AI33" s="271"/>
      <c r="AJ33" s="271"/>
      <c r="AK33" s="271"/>
      <c r="AL33" s="271"/>
      <c r="AM33" s="273"/>
      <c r="AN33" s="273"/>
      <c r="AO33" s="605"/>
      <c r="AP33" s="272"/>
      <c r="AQ33" s="299"/>
      <c r="AR33" s="272"/>
      <c r="AS33" s="272"/>
      <c r="AT33" s="272"/>
      <c r="AU33" s="272"/>
      <c r="AV33" s="272"/>
      <c r="AW33" s="272"/>
      <c r="AX33" s="272"/>
      <c r="AY33" s="272"/>
      <c r="AZ33" s="271"/>
      <c r="BA33" s="229"/>
      <c r="BB33" s="296"/>
      <c r="BC33" s="296"/>
      <c r="BD33" s="344"/>
      <c r="BE33" s="345"/>
      <c r="BF33" s="345"/>
      <c r="BG33" s="325"/>
      <c r="BH33" s="326"/>
      <c r="BI33" s="326"/>
      <c r="BJ33" s="326"/>
      <c r="BK33" s="326"/>
      <c r="BL33" s="272"/>
      <c r="BO33" s="3123" t="s">
        <v>2725</v>
      </c>
      <c r="BP33" s="3123" t="s">
        <v>2726</v>
      </c>
      <c r="BQ33" s="3123" t="s">
        <v>2727</v>
      </c>
      <c r="BR33" s="3123" t="s">
        <v>2728</v>
      </c>
    </row>
    <row r="34" spans="1:70" s="51" customFormat="1" ht="127.5">
      <c r="A34" s="3415"/>
      <c r="B34" s="3413"/>
      <c r="C34" s="304"/>
      <c r="D34" s="304" t="s">
        <v>1928</v>
      </c>
      <c r="E34" s="3365">
        <v>1</v>
      </c>
      <c r="F34" s="475">
        <v>4</v>
      </c>
      <c r="G34" s="605"/>
      <c r="H34" s="3123" t="s">
        <v>2729</v>
      </c>
      <c r="I34" s="3123" t="s">
        <v>2730</v>
      </c>
      <c r="J34" s="3123" t="s">
        <v>2731</v>
      </c>
      <c r="K34" s="3123" t="s">
        <v>2732</v>
      </c>
      <c r="L34" s="605"/>
      <c r="M34" s="2973">
        <v>1</v>
      </c>
      <c r="N34" s="2973">
        <v>4</v>
      </c>
      <c r="O34" s="2973">
        <v>3</v>
      </c>
      <c r="P34" s="2973">
        <v>2</v>
      </c>
      <c r="Q34" s="2963">
        <v>4</v>
      </c>
      <c r="R34" s="3365">
        <v>4</v>
      </c>
      <c r="S34" s="2963">
        <v>2</v>
      </c>
      <c r="T34" s="2963"/>
      <c r="U34" s="2964"/>
      <c r="V34" s="2963"/>
      <c r="W34" s="2963"/>
      <c r="X34" s="2963"/>
      <c r="Y34" s="2963"/>
      <c r="Z34" s="2963"/>
      <c r="AA34" s="2963"/>
      <c r="AB34" s="2963"/>
      <c r="AC34" s="605"/>
      <c r="AD34" s="271"/>
      <c r="AE34" s="271"/>
      <c r="AF34" s="271"/>
      <c r="AG34" s="271"/>
      <c r="AH34" s="271"/>
      <c r="AI34" s="271"/>
      <c r="AJ34" s="271"/>
      <c r="AK34" s="271"/>
      <c r="AL34" s="271"/>
      <c r="AM34" s="273"/>
      <c r="AN34" s="273"/>
      <c r="AO34" s="605"/>
      <c r="AP34" s="272"/>
      <c r="AQ34" s="377"/>
      <c r="AR34" s="377"/>
      <c r="AS34" s="377"/>
      <c r="AT34" s="377"/>
      <c r="AU34" s="377"/>
      <c r="AV34" s="377"/>
      <c r="AW34" s="377"/>
      <c r="AX34" s="377"/>
      <c r="AY34" s="377"/>
      <c r="AZ34" s="271"/>
      <c r="BA34" s="229"/>
      <c r="BB34" s="296"/>
      <c r="BC34" s="296"/>
      <c r="BD34" s="344"/>
      <c r="BE34" s="345"/>
      <c r="BF34" s="345"/>
      <c r="BG34" s="325"/>
      <c r="BH34" s="326"/>
      <c r="BI34" s="326"/>
      <c r="BJ34" s="326"/>
      <c r="BK34" s="326"/>
      <c r="BL34" s="272"/>
      <c r="BO34" s="3123" t="s">
        <v>2729</v>
      </c>
      <c r="BP34" s="3123" t="s">
        <v>2730</v>
      </c>
      <c r="BQ34" s="3123" t="s">
        <v>2731</v>
      </c>
      <c r="BR34" s="3123" t="s">
        <v>2732</v>
      </c>
    </row>
    <row r="35" spans="1:70" s="51" customFormat="1" ht="102">
      <c r="A35" s="3415"/>
      <c r="B35" s="3413"/>
      <c r="C35" s="304"/>
      <c r="D35" s="304" t="s">
        <v>1930</v>
      </c>
      <c r="E35" s="3365">
        <v>1</v>
      </c>
      <c r="F35" s="475">
        <v>4</v>
      </c>
      <c r="G35" s="2331"/>
      <c r="H35" s="3123" t="s">
        <v>2733</v>
      </c>
      <c r="I35" s="3123" t="s">
        <v>2734</v>
      </c>
      <c r="J35" s="3123" t="s">
        <v>2735</v>
      </c>
      <c r="K35" s="3123" t="s">
        <v>2736</v>
      </c>
      <c r="L35" s="2331"/>
      <c r="M35" s="2973">
        <v>1</v>
      </c>
      <c r="N35" s="2973">
        <v>4</v>
      </c>
      <c r="O35" s="2973">
        <v>3</v>
      </c>
      <c r="P35" s="2973">
        <v>2</v>
      </c>
      <c r="Q35" s="2963">
        <v>4</v>
      </c>
      <c r="R35" s="3365">
        <v>4</v>
      </c>
      <c r="S35" s="2963">
        <v>2</v>
      </c>
      <c r="T35" s="2963"/>
      <c r="U35" s="2964"/>
      <c r="V35" s="2963"/>
      <c r="W35" s="2963"/>
      <c r="X35" s="2963"/>
      <c r="Y35" s="2963"/>
      <c r="Z35" s="2963"/>
      <c r="AA35" s="2963"/>
      <c r="AB35" s="2963"/>
      <c r="AC35" s="2331"/>
      <c r="AD35" s="271"/>
      <c r="AE35" s="271"/>
      <c r="AF35" s="271"/>
      <c r="AG35" s="271"/>
      <c r="AH35" s="271"/>
      <c r="AI35" s="271"/>
      <c r="AJ35" s="271"/>
      <c r="AK35" s="271"/>
      <c r="AL35" s="271"/>
      <c r="AM35" s="273"/>
      <c r="AN35" s="273"/>
      <c r="AO35" s="2331"/>
      <c r="AP35" s="272"/>
      <c r="AQ35" s="2414"/>
      <c r="AR35" s="2414"/>
      <c r="AS35" s="2406"/>
      <c r="AT35" s="2406"/>
      <c r="AU35" s="2406"/>
      <c r="AV35" s="2418"/>
      <c r="AW35" s="2418"/>
      <c r="AX35" s="2419"/>
      <c r="AY35" s="2419"/>
      <c r="AZ35" s="271"/>
      <c r="BA35" s="229"/>
      <c r="BB35" s="296"/>
      <c r="BC35" s="296"/>
      <c r="BD35" s="344"/>
      <c r="BE35" s="345"/>
      <c r="BF35" s="345"/>
      <c r="BG35" s="325"/>
      <c r="BH35" s="326"/>
      <c r="BI35" s="326"/>
      <c r="BJ35" s="326"/>
      <c r="BK35" s="326"/>
      <c r="BL35" s="272"/>
      <c r="BO35" s="3123" t="s">
        <v>2733</v>
      </c>
      <c r="BP35" s="3123" t="s">
        <v>2734</v>
      </c>
      <c r="BQ35" s="3123" t="s">
        <v>2735</v>
      </c>
      <c r="BR35" s="3123" t="s">
        <v>2736</v>
      </c>
    </row>
    <row r="36" spans="1:70" s="51" customFormat="1" ht="15.75">
      <c r="A36" s="3415"/>
      <c r="B36" s="3413"/>
      <c r="C36" s="143" t="s">
        <v>294</v>
      </c>
      <c r="D36" s="3136" t="s">
        <v>418</v>
      </c>
      <c r="E36" s="3365"/>
      <c r="F36" s="474"/>
      <c r="G36" s="605"/>
      <c r="H36" s="3123"/>
      <c r="I36" s="3123"/>
      <c r="J36" s="3123"/>
      <c r="K36" s="3123"/>
      <c r="L36" s="605"/>
      <c r="M36" s="2973"/>
      <c r="N36" s="2973"/>
      <c r="O36" s="2973"/>
      <c r="P36" s="2973"/>
      <c r="Q36" s="2963"/>
      <c r="R36" s="3365"/>
      <c r="S36" s="2963"/>
      <c r="T36" s="2963"/>
      <c r="U36" s="2964"/>
      <c r="V36" s="2963"/>
      <c r="W36" s="2963"/>
      <c r="X36" s="2963"/>
      <c r="Y36" s="2963"/>
      <c r="Z36" s="2963"/>
      <c r="AA36" s="2963"/>
      <c r="AB36" s="2963"/>
      <c r="AC36" s="605"/>
      <c r="AD36" s="271"/>
      <c r="AE36" s="271"/>
      <c r="AF36" s="271"/>
      <c r="AG36" s="271"/>
      <c r="AH36" s="271"/>
      <c r="AI36" s="271"/>
      <c r="AJ36" s="271"/>
      <c r="AK36" s="271"/>
      <c r="AL36" s="271"/>
      <c r="AM36" s="273"/>
      <c r="AN36" s="273"/>
      <c r="AO36" s="605"/>
      <c r="AP36" s="273"/>
      <c r="AQ36" s="276"/>
      <c r="AR36" s="275"/>
      <c r="AS36" s="272"/>
      <c r="AT36" s="274"/>
      <c r="AU36" s="275"/>
      <c r="AV36" s="332"/>
      <c r="AW36" s="332"/>
      <c r="AX36" s="333"/>
      <c r="AY36" s="271"/>
      <c r="AZ36" s="271"/>
      <c r="BA36" s="229"/>
      <c r="BB36" s="380"/>
      <c r="BC36" s="283"/>
      <c r="BD36" s="275"/>
      <c r="BE36" s="275"/>
      <c r="BF36" s="274"/>
      <c r="BG36" s="275"/>
      <c r="BH36" s="291"/>
      <c r="BI36" s="291"/>
      <c r="BJ36" s="291"/>
      <c r="BK36" s="291"/>
      <c r="BL36" s="272"/>
      <c r="BO36" s="3123"/>
      <c r="BP36" s="3123"/>
      <c r="BQ36" s="3123"/>
      <c r="BR36" s="3123"/>
    </row>
    <row r="37" spans="1:70" s="51" customFormat="1" ht="204">
      <c r="A37" s="3415"/>
      <c r="B37" s="3413"/>
      <c r="C37" s="143"/>
      <c r="D37" s="143" t="s">
        <v>1929</v>
      </c>
      <c r="E37" s="3365">
        <v>1</v>
      </c>
      <c r="F37" s="474">
        <v>4</v>
      </c>
      <c r="G37" s="2331"/>
      <c r="H37" s="3123" t="s">
        <v>2793</v>
      </c>
      <c r="I37" s="3123" t="s">
        <v>2805</v>
      </c>
      <c r="J37" s="3123" t="s">
        <v>2739</v>
      </c>
      <c r="K37" s="3123" t="s">
        <v>2740</v>
      </c>
      <c r="L37" s="2331"/>
      <c r="M37" s="2973">
        <v>1</v>
      </c>
      <c r="N37" s="2973">
        <v>4</v>
      </c>
      <c r="O37" s="2973">
        <v>3</v>
      </c>
      <c r="P37" s="2973">
        <v>2</v>
      </c>
      <c r="Q37" s="2963">
        <v>4</v>
      </c>
      <c r="R37" s="3365">
        <v>4</v>
      </c>
      <c r="S37" s="2963">
        <v>2</v>
      </c>
      <c r="T37" s="2963"/>
      <c r="U37" s="2964"/>
      <c r="V37" s="2963"/>
      <c r="W37" s="2963"/>
      <c r="X37" s="2963"/>
      <c r="Y37" s="2963"/>
      <c r="Z37" s="2963"/>
      <c r="AA37" s="2963"/>
      <c r="AB37" s="2963"/>
      <c r="AC37" s="2331"/>
      <c r="AD37" s="271"/>
      <c r="AE37" s="271"/>
      <c r="AF37" s="271"/>
      <c r="AG37" s="271"/>
      <c r="AH37" s="271"/>
      <c r="AI37" s="271"/>
      <c r="AJ37" s="271"/>
      <c r="AK37" s="271"/>
      <c r="AL37" s="271"/>
      <c r="AM37" s="273"/>
      <c r="AN37" s="273"/>
      <c r="AO37" s="2331"/>
      <c r="AP37" s="273"/>
      <c r="AQ37" s="276"/>
      <c r="AR37" s="275"/>
      <c r="AS37" s="272"/>
      <c r="AT37" s="274"/>
      <c r="AU37" s="275"/>
      <c r="AV37" s="332"/>
      <c r="AW37" s="332"/>
      <c r="AX37" s="333"/>
      <c r="AY37" s="271"/>
      <c r="AZ37" s="271"/>
      <c r="BA37" s="229"/>
      <c r="BB37" s="380"/>
      <c r="BC37" s="283"/>
      <c r="BD37" s="275"/>
      <c r="BE37" s="275"/>
      <c r="BF37" s="274"/>
      <c r="BG37" s="275"/>
      <c r="BH37" s="291"/>
      <c r="BI37" s="291"/>
      <c r="BJ37" s="291"/>
      <c r="BK37" s="291"/>
      <c r="BL37" s="272"/>
      <c r="BO37" s="3123" t="s">
        <v>2737</v>
      </c>
      <c r="BP37" s="3123" t="s">
        <v>2738</v>
      </c>
      <c r="BQ37" s="3123" t="s">
        <v>2739</v>
      </c>
      <c r="BR37" s="3123" t="s">
        <v>2740</v>
      </c>
    </row>
    <row r="38" spans="1:70" s="51" customFormat="1" ht="293.25">
      <c r="A38" s="3415"/>
      <c r="B38" s="3413"/>
      <c r="C38" s="143"/>
      <c r="D38" s="143" t="s">
        <v>965</v>
      </c>
      <c r="E38" s="3365">
        <v>1</v>
      </c>
      <c r="F38" s="474">
        <v>4</v>
      </c>
      <c r="G38" s="2331"/>
      <c r="H38" s="3123" t="s">
        <v>2794</v>
      </c>
      <c r="I38" s="3123" t="s">
        <v>2742</v>
      </c>
      <c r="J38" s="3123" t="s">
        <v>2743</v>
      </c>
      <c r="K38" s="3123" t="s">
        <v>2744</v>
      </c>
      <c r="L38" s="2331"/>
      <c r="M38" s="2973">
        <v>1</v>
      </c>
      <c r="N38" s="2973">
        <v>4</v>
      </c>
      <c r="O38" s="2973">
        <v>3</v>
      </c>
      <c r="P38" s="2973">
        <v>2</v>
      </c>
      <c r="Q38" s="2963">
        <v>4</v>
      </c>
      <c r="R38" s="3365">
        <v>4</v>
      </c>
      <c r="S38" s="2963">
        <v>2</v>
      </c>
      <c r="T38" s="2963"/>
      <c r="U38" s="2964"/>
      <c r="V38" s="2963"/>
      <c r="W38" s="2963"/>
      <c r="X38" s="2963"/>
      <c r="Y38" s="2963"/>
      <c r="Z38" s="2963"/>
      <c r="AA38" s="2963"/>
      <c r="AB38" s="2963"/>
      <c r="AC38" s="2331"/>
      <c r="AD38" s="271"/>
      <c r="AE38" s="271"/>
      <c r="AF38" s="271"/>
      <c r="AG38" s="271"/>
      <c r="AH38" s="271"/>
      <c r="AI38" s="271"/>
      <c r="AJ38" s="271"/>
      <c r="AK38" s="271"/>
      <c r="AL38" s="271"/>
      <c r="AM38" s="273"/>
      <c r="AN38" s="273"/>
      <c r="AO38" s="2331"/>
      <c r="AP38" s="273"/>
      <c r="AQ38" s="276"/>
      <c r="AR38" s="275"/>
      <c r="AS38" s="272"/>
      <c r="AT38" s="274"/>
      <c r="AU38" s="275"/>
      <c r="AV38" s="332"/>
      <c r="AW38" s="332"/>
      <c r="AX38" s="333"/>
      <c r="AY38" s="271"/>
      <c r="AZ38" s="271"/>
      <c r="BA38" s="229"/>
      <c r="BB38" s="380"/>
      <c r="BC38" s="283"/>
      <c r="BD38" s="275"/>
      <c r="BE38" s="275"/>
      <c r="BF38" s="274"/>
      <c r="BG38" s="275"/>
      <c r="BH38" s="291"/>
      <c r="BI38" s="291"/>
      <c r="BJ38" s="291"/>
      <c r="BK38" s="291"/>
      <c r="BL38" s="272"/>
      <c r="BO38" s="3123" t="s">
        <v>2741</v>
      </c>
      <c r="BP38" s="3123" t="s">
        <v>2742</v>
      </c>
      <c r="BQ38" s="3123" t="s">
        <v>2743</v>
      </c>
      <c r="BR38" s="3123" t="s">
        <v>2744</v>
      </c>
    </row>
    <row r="39" spans="1:70" s="113" customFormat="1" ht="242.25">
      <c r="A39" s="3415"/>
      <c r="B39" s="3090"/>
      <c r="C39" s="304" t="s">
        <v>298</v>
      </c>
      <c r="D39" s="304" t="s">
        <v>2395</v>
      </c>
      <c r="E39" s="3365">
        <v>1</v>
      </c>
      <c r="F39" s="475">
        <v>4</v>
      </c>
      <c r="G39" s="37"/>
      <c r="H39" s="3123" t="s">
        <v>2745</v>
      </c>
      <c r="I39" s="3123" t="s">
        <v>2746</v>
      </c>
      <c r="J39" s="3363" t="s">
        <v>2747</v>
      </c>
      <c r="K39" s="3363" t="s">
        <v>2748</v>
      </c>
      <c r="L39" s="37"/>
      <c r="M39" s="2973">
        <v>1</v>
      </c>
      <c r="N39" s="2973">
        <v>4</v>
      </c>
      <c r="O39" s="2973">
        <v>3</v>
      </c>
      <c r="P39" s="2973">
        <v>2</v>
      </c>
      <c r="Q39" s="2963">
        <v>4</v>
      </c>
      <c r="R39" s="3365">
        <v>4</v>
      </c>
      <c r="S39" s="2963">
        <v>2</v>
      </c>
      <c r="T39" s="2963"/>
      <c r="U39" s="2964"/>
      <c r="V39" s="2963"/>
      <c r="W39" s="2963"/>
      <c r="X39" s="2963"/>
      <c r="Y39" s="2963"/>
      <c r="Z39" s="2963"/>
      <c r="AA39" s="2963"/>
      <c r="AB39" s="2963"/>
      <c r="AC39" s="605"/>
      <c r="AD39" s="271"/>
      <c r="AE39" s="271"/>
      <c r="AF39" s="271"/>
      <c r="AG39" s="271"/>
      <c r="AH39" s="271"/>
      <c r="AI39" s="271"/>
      <c r="AJ39" s="271"/>
      <c r="AK39" s="271"/>
      <c r="AL39" s="271"/>
      <c r="AM39" s="272"/>
      <c r="AN39" s="272"/>
      <c r="AO39" s="605"/>
      <c r="AP39" s="295"/>
      <c r="AQ39" s="276"/>
      <c r="AR39" s="275"/>
      <c r="AS39" s="272"/>
      <c r="AT39" s="274"/>
      <c r="AU39" s="275"/>
      <c r="AV39" s="332"/>
      <c r="AW39" s="332"/>
      <c r="AX39" s="333"/>
      <c r="AY39" s="271"/>
      <c r="AZ39" s="271"/>
      <c r="BA39" s="229"/>
      <c r="BB39" s="295"/>
      <c r="BC39" s="295"/>
      <c r="BD39" s="296"/>
      <c r="BE39" s="268"/>
      <c r="BF39" s="268"/>
      <c r="BG39" s="268"/>
      <c r="BH39" s="297"/>
      <c r="BI39" s="297"/>
      <c r="BJ39" s="297"/>
      <c r="BK39" s="297"/>
      <c r="BL39" s="272"/>
      <c r="BO39" s="3123" t="s">
        <v>2745</v>
      </c>
      <c r="BP39" s="3123" t="s">
        <v>2746</v>
      </c>
      <c r="BQ39" s="3363" t="s">
        <v>2747</v>
      </c>
      <c r="BR39" s="3363" t="s">
        <v>2748</v>
      </c>
    </row>
    <row r="40" spans="1:70" s="113" customFormat="1" ht="15.75">
      <c r="A40" s="3415"/>
      <c r="B40" s="3412" t="s">
        <v>535</v>
      </c>
      <c r="C40" s="143" t="s">
        <v>300</v>
      </c>
      <c r="D40" s="3136" t="s">
        <v>1933</v>
      </c>
      <c r="E40" s="3365"/>
      <c r="F40" s="474"/>
      <c r="G40" s="605"/>
      <c r="H40" s="471"/>
      <c r="I40" s="471"/>
      <c r="J40" s="471"/>
      <c r="K40" s="471"/>
      <c r="L40" s="605"/>
      <c r="M40" s="2973"/>
      <c r="N40" s="2973"/>
      <c r="O40" s="2973"/>
      <c r="P40" s="2973"/>
      <c r="Q40" s="2963"/>
      <c r="R40" s="3365"/>
      <c r="S40" s="2963"/>
      <c r="T40" s="2963"/>
      <c r="U40" s="2964"/>
      <c r="V40" s="2963"/>
      <c r="W40" s="2963"/>
      <c r="X40" s="2963"/>
      <c r="Y40" s="2963"/>
      <c r="Z40" s="2963"/>
      <c r="AA40" s="2963"/>
      <c r="AB40" s="2963"/>
      <c r="AC40" s="605"/>
      <c r="AD40" s="271"/>
      <c r="AE40" s="271"/>
      <c r="AF40" s="271"/>
      <c r="AG40" s="271"/>
      <c r="AH40" s="271"/>
      <c r="AI40" s="271"/>
      <c r="AJ40" s="271"/>
      <c r="AK40" s="271"/>
      <c r="AL40" s="271"/>
      <c r="AM40" s="272"/>
      <c r="AN40" s="272"/>
      <c r="AO40" s="605"/>
      <c r="AP40" s="295"/>
      <c r="AQ40" s="276"/>
      <c r="AR40" s="275"/>
      <c r="AS40" s="272"/>
      <c r="AT40" s="274"/>
      <c r="AU40" s="275"/>
      <c r="AV40" s="332"/>
      <c r="AW40" s="332"/>
      <c r="AX40" s="333"/>
      <c r="AY40" s="271"/>
      <c r="AZ40" s="271"/>
      <c r="BA40" s="229"/>
      <c r="BB40" s="380"/>
      <c r="BC40" s="283"/>
      <c r="BD40" s="275"/>
      <c r="BE40" s="275"/>
      <c r="BF40" s="274"/>
      <c r="BG40" s="275"/>
      <c r="BH40" s="291"/>
      <c r="BI40" s="291"/>
      <c r="BJ40" s="291"/>
      <c r="BK40" s="291"/>
      <c r="BL40" s="273"/>
      <c r="BO40" s="471"/>
      <c r="BP40" s="471"/>
      <c r="BQ40" s="471"/>
      <c r="BR40" s="471"/>
    </row>
    <row r="41" spans="1:70" s="51" customFormat="1" ht="165.75">
      <c r="A41" s="3415"/>
      <c r="B41" s="3412"/>
      <c r="C41" s="304"/>
      <c r="D41" s="304" t="s">
        <v>1934</v>
      </c>
      <c r="E41" s="3365">
        <v>1</v>
      </c>
      <c r="F41" s="475">
        <v>4</v>
      </c>
      <c r="G41" s="605"/>
      <c r="H41" s="3123" t="s">
        <v>2749</v>
      </c>
      <c r="I41" s="3123" t="s">
        <v>2750</v>
      </c>
      <c r="J41" s="3123" t="s">
        <v>2751</v>
      </c>
      <c r="K41" s="3123" t="s">
        <v>2752</v>
      </c>
      <c r="L41" s="605"/>
      <c r="M41" s="2973">
        <v>1</v>
      </c>
      <c r="N41" s="2973">
        <v>4</v>
      </c>
      <c r="O41" s="2973">
        <v>3</v>
      </c>
      <c r="P41" s="2973">
        <v>2</v>
      </c>
      <c r="Q41" s="2963">
        <v>4</v>
      </c>
      <c r="R41" s="3365">
        <v>4</v>
      </c>
      <c r="S41" s="2963">
        <v>2</v>
      </c>
      <c r="T41" s="2963"/>
      <c r="U41" s="2964"/>
      <c r="V41" s="2963"/>
      <c r="W41" s="2963"/>
      <c r="X41" s="2963"/>
      <c r="Y41" s="2963"/>
      <c r="Z41" s="2963"/>
      <c r="AA41" s="2963"/>
      <c r="AB41" s="2963"/>
      <c r="AC41" s="605"/>
      <c r="AD41" s="271"/>
      <c r="AE41" s="271"/>
      <c r="AF41" s="271"/>
      <c r="AG41" s="271"/>
      <c r="AH41" s="271"/>
      <c r="AI41" s="271"/>
      <c r="AJ41" s="271"/>
      <c r="AK41" s="271"/>
      <c r="AL41" s="271"/>
      <c r="AM41" s="272"/>
      <c r="AN41" s="272"/>
      <c r="AO41" s="605"/>
      <c r="AP41" s="295"/>
      <c r="AQ41" s="276"/>
      <c r="AR41" s="275"/>
      <c r="AS41" s="272"/>
      <c r="AT41" s="274"/>
      <c r="AU41" s="275"/>
      <c r="AV41" s="332"/>
      <c r="AW41" s="332"/>
      <c r="AX41" s="333"/>
      <c r="AY41" s="271"/>
      <c r="AZ41" s="271"/>
      <c r="BA41" s="229"/>
      <c r="BB41" s="381"/>
      <c r="BC41" s="381"/>
      <c r="BD41" s="384"/>
      <c r="BE41" s="270"/>
      <c r="BF41" s="386"/>
      <c r="BG41" s="384"/>
      <c r="BH41" s="385"/>
      <c r="BI41" s="385"/>
      <c r="BJ41" s="385"/>
      <c r="BK41" s="385"/>
      <c r="BL41" s="272"/>
      <c r="BO41" s="3123" t="s">
        <v>2749</v>
      </c>
      <c r="BP41" s="3123" t="s">
        <v>2750</v>
      </c>
      <c r="BQ41" s="3123" t="s">
        <v>2751</v>
      </c>
      <c r="BR41" s="3123" t="s">
        <v>2752</v>
      </c>
    </row>
    <row r="42" spans="1:70" s="51" customFormat="1" ht="216.75">
      <c r="A42" s="3415"/>
      <c r="B42" s="3412"/>
      <c r="C42" s="304" t="s">
        <v>195</v>
      </c>
      <c r="D42" s="304" t="s">
        <v>1935</v>
      </c>
      <c r="E42" s="3365">
        <v>1</v>
      </c>
      <c r="F42" s="475">
        <v>4</v>
      </c>
      <c r="G42" s="605"/>
      <c r="H42" s="3123" t="s">
        <v>2753</v>
      </c>
      <c r="I42" s="3123" t="s">
        <v>2754</v>
      </c>
      <c r="J42" s="3123" t="s">
        <v>2755</v>
      </c>
      <c r="K42" s="3123" t="s">
        <v>2756</v>
      </c>
      <c r="L42" s="605"/>
      <c r="M42" s="2973">
        <v>1</v>
      </c>
      <c r="N42" s="2973">
        <v>4</v>
      </c>
      <c r="O42" s="2973">
        <v>3</v>
      </c>
      <c r="P42" s="2973">
        <v>2</v>
      </c>
      <c r="Q42" s="2963">
        <v>4</v>
      </c>
      <c r="R42" s="3365">
        <v>4</v>
      </c>
      <c r="S42" s="2963">
        <v>2</v>
      </c>
      <c r="T42" s="2963"/>
      <c r="U42" s="2964"/>
      <c r="V42" s="2963"/>
      <c r="W42" s="2963"/>
      <c r="X42" s="2963"/>
      <c r="Y42" s="2963"/>
      <c r="Z42" s="2963"/>
      <c r="AA42" s="2963"/>
      <c r="AB42" s="2963"/>
      <c r="AC42" s="605"/>
      <c r="AD42" s="272"/>
      <c r="AE42" s="272"/>
      <c r="AF42" s="272"/>
      <c r="AG42" s="272"/>
      <c r="AH42" s="272"/>
      <c r="AI42" s="272"/>
      <c r="AJ42" s="274"/>
      <c r="AK42" s="275"/>
      <c r="AL42" s="275"/>
      <c r="AM42" s="272"/>
      <c r="AN42" s="272"/>
      <c r="AO42" s="605"/>
      <c r="AP42" s="295"/>
      <c r="AQ42" s="276"/>
      <c r="AR42" s="275"/>
      <c r="AS42" s="272"/>
      <c r="AT42" s="274"/>
      <c r="AU42" s="275"/>
      <c r="AV42" s="332"/>
      <c r="AW42" s="332"/>
      <c r="AX42" s="333"/>
      <c r="AY42" s="272"/>
      <c r="AZ42" s="271"/>
      <c r="BA42" s="229"/>
      <c r="BB42" s="295"/>
      <c r="BC42" s="295"/>
      <c r="BD42" s="296"/>
      <c r="BE42" s="265"/>
      <c r="BF42" s="324"/>
      <c r="BG42" s="296"/>
      <c r="BH42" s="297"/>
      <c r="BI42" s="297"/>
      <c r="BJ42" s="297"/>
      <c r="BK42" s="297"/>
      <c r="BL42" s="272"/>
      <c r="BO42" s="3123" t="s">
        <v>2753</v>
      </c>
      <c r="BP42" s="3123" t="s">
        <v>2754</v>
      </c>
      <c r="BQ42" s="3123" t="s">
        <v>2755</v>
      </c>
      <c r="BR42" s="3123" t="s">
        <v>2756</v>
      </c>
    </row>
    <row r="43" spans="1:70" s="51" customFormat="1" ht="178.5">
      <c r="A43" s="3415" t="s">
        <v>536</v>
      </c>
      <c r="B43" s="2274" t="s">
        <v>33</v>
      </c>
      <c r="C43" s="143" t="s">
        <v>197</v>
      </c>
      <c r="D43" s="143" t="s">
        <v>546</v>
      </c>
      <c r="E43" s="3365">
        <v>1</v>
      </c>
      <c r="F43" s="474">
        <v>4</v>
      </c>
      <c r="G43" s="605"/>
      <c r="H43" s="3123" t="s">
        <v>2757</v>
      </c>
      <c r="I43" s="3123" t="s">
        <v>2758</v>
      </c>
      <c r="J43" s="3123" t="s">
        <v>2759</v>
      </c>
      <c r="K43" s="3123" t="s">
        <v>2760</v>
      </c>
      <c r="L43" s="605"/>
      <c r="M43" s="2973">
        <v>1</v>
      </c>
      <c r="N43" s="2973">
        <v>4</v>
      </c>
      <c r="O43" s="2973">
        <v>3</v>
      </c>
      <c r="P43" s="2973">
        <v>2</v>
      </c>
      <c r="Q43" s="2963">
        <v>4</v>
      </c>
      <c r="R43" s="3365">
        <v>4</v>
      </c>
      <c r="S43" s="2963">
        <v>2</v>
      </c>
      <c r="T43" s="2963"/>
      <c r="U43" s="2964"/>
      <c r="V43" s="2963"/>
      <c r="W43" s="2963"/>
      <c r="X43" s="2963"/>
      <c r="Y43" s="2963"/>
      <c r="Z43" s="2963"/>
      <c r="AA43" s="2963"/>
      <c r="AB43" s="2963"/>
      <c r="AD43" s="272"/>
      <c r="AE43" s="272"/>
      <c r="AF43" s="272"/>
      <c r="AG43" s="272"/>
      <c r="AH43" s="272"/>
      <c r="AI43" s="272"/>
      <c r="AJ43" s="274"/>
      <c r="AK43" s="275"/>
      <c r="AL43" s="275"/>
      <c r="AM43" s="272"/>
      <c r="AN43" s="272"/>
      <c r="AO43" s="605"/>
      <c r="AP43" s="295"/>
      <c r="AQ43" s="276"/>
      <c r="AR43" s="275"/>
      <c r="AS43" s="272"/>
      <c r="AT43" s="274"/>
      <c r="AU43" s="275"/>
      <c r="AV43" s="332"/>
      <c r="AW43" s="332"/>
      <c r="AX43" s="333"/>
      <c r="AY43" s="272"/>
      <c r="AZ43" s="272"/>
      <c r="BA43" s="229"/>
      <c r="BB43" s="295"/>
      <c r="BC43" s="295"/>
      <c r="BD43" s="296"/>
      <c r="BE43" s="265"/>
      <c r="BF43" s="324"/>
      <c r="BG43" s="296"/>
      <c r="BH43" s="297"/>
      <c r="BI43" s="297"/>
      <c r="BJ43" s="297"/>
      <c r="BK43" s="297"/>
      <c r="BL43" s="273"/>
      <c r="BO43" s="3123" t="s">
        <v>2757</v>
      </c>
      <c r="BP43" s="3123" t="s">
        <v>2758</v>
      </c>
      <c r="BQ43" s="3123" t="s">
        <v>2759</v>
      </c>
      <c r="BR43" s="3123" t="s">
        <v>2760</v>
      </c>
    </row>
    <row r="44" spans="1:70" s="51" customFormat="1" ht="204">
      <c r="A44" s="3415"/>
      <c r="B44" s="3089"/>
      <c r="C44" s="3103" t="s">
        <v>1083</v>
      </c>
      <c r="D44" s="3136" t="s">
        <v>2396</v>
      </c>
      <c r="E44" s="3365">
        <v>1</v>
      </c>
      <c r="F44" s="475">
        <v>4</v>
      </c>
      <c r="G44" s="605"/>
      <c r="H44" s="3138" t="s">
        <v>2761</v>
      </c>
      <c r="I44" s="3138" t="s">
        <v>2762</v>
      </c>
      <c r="J44" s="3138" t="s">
        <v>2763</v>
      </c>
      <c r="K44" s="3138" t="s">
        <v>2764</v>
      </c>
      <c r="L44" s="605"/>
      <c r="M44" s="2973">
        <v>1</v>
      </c>
      <c r="N44" s="2973">
        <v>4</v>
      </c>
      <c r="O44" s="2973">
        <v>3</v>
      </c>
      <c r="P44" s="2973">
        <v>2</v>
      </c>
      <c r="Q44" s="2963">
        <v>4</v>
      </c>
      <c r="R44" s="3365">
        <v>4</v>
      </c>
      <c r="S44" s="2963">
        <v>2</v>
      </c>
      <c r="T44" s="2963"/>
      <c r="U44" s="2964"/>
      <c r="V44" s="2963"/>
      <c r="W44" s="2963"/>
      <c r="X44" s="2963"/>
      <c r="Y44" s="2963"/>
      <c r="Z44" s="2963"/>
      <c r="AA44" s="2963"/>
      <c r="AB44" s="2963"/>
      <c r="AD44" s="272"/>
      <c r="AE44" s="272"/>
      <c r="AF44" s="272"/>
      <c r="AG44" s="272"/>
      <c r="AH44" s="272"/>
      <c r="AI44" s="272"/>
      <c r="AJ44" s="274"/>
      <c r="AK44" s="275"/>
      <c r="AL44" s="275"/>
      <c r="AM44" s="272"/>
      <c r="AN44" s="272"/>
      <c r="AO44" s="605"/>
      <c r="AP44" s="378"/>
      <c r="AQ44" s="278"/>
      <c r="AR44" s="279"/>
      <c r="AS44" s="280"/>
      <c r="AT44" s="280"/>
      <c r="AU44" s="280"/>
      <c r="AV44" s="335"/>
      <c r="AW44" s="281"/>
      <c r="AX44" s="334"/>
      <c r="AY44" s="334"/>
      <c r="AZ44" s="272"/>
      <c r="BA44" s="229"/>
      <c r="BB44" s="295"/>
      <c r="BC44" s="295"/>
      <c r="BD44" s="296"/>
      <c r="BE44" s="265"/>
      <c r="BF44" s="265"/>
      <c r="BG44" s="265"/>
      <c r="BH44" s="297"/>
      <c r="BI44" s="297"/>
      <c r="BJ44" s="297"/>
      <c r="BK44" s="297"/>
      <c r="BL44" s="272"/>
      <c r="BO44" s="3138" t="s">
        <v>2761</v>
      </c>
      <c r="BP44" s="3138" t="s">
        <v>2762</v>
      </c>
      <c r="BQ44" s="3138" t="s">
        <v>2763</v>
      </c>
      <c r="BR44" s="3138" t="s">
        <v>2764</v>
      </c>
    </row>
    <row r="45" spans="1:70" s="51" customFormat="1" ht="15.75">
      <c r="A45" s="3415"/>
      <c r="B45" s="3417" t="s">
        <v>537</v>
      </c>
      <c r="C45" s="143" t="s">
        <v>301</v>
      </c>
      <c r="D45" s="3136" t="s">
        <v>1936</v>
      </c>
      <c r="E45" s="3365"/>
      <c r="F45" s="474"/>
      <c r="G45" s="605"/>
      <c r="H45" s="3123"/>
      <c r="I45" s="3123"/>
      <c r="J45" s="3123"/>
      <c r="K45" s="3123" t="s">
        <v>120</v>
      </c>
      <c r="L45" s="605"/>
      <c r="M45" s="2973"/>
      <c r="N45" s="2973"/>
      <c r="O45" s="2973"/>
      <c r="P45" s="2973"/>
      <c r="Q45" s="2963"/>
      <c r="R45" s="3365"/>
      <c r="S45" s="2963"/>
      <c r="T45" s="2963"/>
      <c r="U45" s="2964"/>
      <c r="V45" s="2963"/>
      <c r="W45" s="2963"/>
      <c r="X45" s="2963"/>
      <c r="Y45" s="2963"/>
      <c r="Z45" s="2963"/>
      <c r="AA45" s="2963"/>
      <c r="AB45" s="2963"/>
      <c r="AD45" s="272"/>
      <c r="AE45" s="272"/>
      <c r="AF45" s="272"/>
      <c r="AG45" s="272"/>
      <c r="AH45" s="272"/>
      <c r="AI45" s="272"/>
      <c r="AJ45" s="274"/>
      <c r="AK45" s="275"/>
      <c r="AL45" s="275"/>
      <c r="AM45" s="272"/>
      <c r="AN45" s="272"/>
      <c r="AO45" s="605"/>
      <c r="AP45" s="336"/>
      <c r="AQ45" s="336"/>
      <c r="AR45" s="272"/>
      <c r="AS45" s="272"/>
      <c r="AT45" s="272"/>
      <c r="AU45" s="272"/>
      <c r="AV45" s="272"/>
      <c r="AW45" s="272"/>
      <c r="AX45" s="272"/>
      <c r="AY45" s="272"/>
      <c r="AZ45" s="272"/>
      <c r="BA45" s="229"/>
      <c r="BB45" s="295"/>
      <c r="BC45" s="295"/>
      <c r="BD45" s="296"/>
      <c r="BE45" s="265"/>
      <c r="BF45" s="265"/>
      <c r="BG45" s="265"/>
      <c r="BH45" s="297"/>
      <c r="BI45" s="297"/>
      <c r="BJ45" s="297"/>
      <c r="BK45" s="297"/>
      <c r="BL45" s="272"/>
      <c r="BO45" s="3123"/>
      <c r="BP45" s="3123"/>
      <c r="BQ45" s="3123"/>
      <c r="BR45" s="3123" t="s">
        <v>120</v>
      </c>
    </row>
    <row r="46" spans="1:70" s="51" customFormat="1" ht="178.5">
      <c r="A46" s="3415"/>
      <c r="B46" s="3417"/>
      <c r="C46" s="304"/>
      <c r="D46" s="304" t="s">
        <v>1937</v>
      </c>
      <c r="E46" s="3365">
        <v>1</v>
      </c>
      <c r="F46" s="475">
        <v>4</v>
      </c>
      <c r="G46" s="605"/>
      <c r="H46" s="3123" t="s">
        <v>2765</v>
      </c>
      <c r="I46" s="3123" t="s">
        <v>2766</v>
      </c>
      <c r="J46" s="3123" t="s">
        <v>2767</v>
      </c>
      <c r="K46" s="3123" t="s">
        <v>2768</v>
      </c>
      <c r="L46" s="605"/>
      <c r="M46" s="2973">
        <v>1</v>
      </c>
      <c r="N46" s="2973">
        <v>4</v>
      </c>
      <c r="O46" s="2973">
        <v>3</v>
      </c>
      <c r="P46" s="2973">
        <v>2</v>
      </c>
      <c r="Q46" s="2963">
        <v>4</v>
      </c>
      <c r="R46" s="3365">
        <v>4</v>
      </c>
      <c r="S46" s="2963">
        <v>2</v>
      </c>
      <c r="T46" s="2963"/>
      <c r="U46" s="2964"/>
      <c r="V46" s="2963"/>
      <c r="W46" s="2963"/>
      <c r="X46" s="2963"/>
      <c r="Y46" s="2963"/>
      <c r="Z46" s="2963"/>
      <c r="AA46" s="2963"/>
      <c r="AB46" s="2963"/>
      <c r="AD46" s="272"/>
      <c r="AE46" s="272"/>
      <c r="AF46" s="272"/>
      <c r="AG46" s="272"/>
      <c r="AH46" s="272"/>
      <c r="AI46" s="272"/>
      <c r="AJ46" s="274"/>
      <c r="AK46" s="275"/>
      <c r="AL46" s="275"/>
      <c r="AM46" s="272"/>
      <c r="AN46" s="272"/>
      <c r="AO46" s="605"/>
      <c r="AP46" s="272"/>
      <c r="AQ46" s="336"/>
      <c r="AR46" s="272"/>
      <c r="AS46" s="272"/>
      <c r="AT46" s="272"/>
      <c r="AU46" s="272"/>
      <c r="AV46" s="272"/>
      <c r="AW46" s="272"/>
      <c r="AX46" s="272"/>
      <c r="AY46" s="272"/>
      <c r="AZ46" s="272"/>
      <c r="BA46" s="229"/>
      <c r="BB46" s="295"/>
      <c r="BC46" s="295"/>
      <c r="BD46" s="296"/>
      <c r="BE46" s="265"/>
      <c r="BF46" s="265"/>
      <c r="BG46" s="265"/>
      <c r="BH46" s="297"/>
      <c r="BI46" s="297"/>
      <c r="BJ46" s="297"/>
      <c r="BK46" s="297"/>
      <c r="BL46" s="272"/>
      <c r="BO46" s="3123" t="s">
        <v>2765</v>
      </c>
      <c r="BP46" s="3123" t="s">
        <v>2766</v>
      </c>
      <c r="BQ46" s="3123" t="s">
        <v>2767</v>
      </c>
      <c r="BR46" s="3123" t="s">
        <v>2768</v>
      </c>
    </row>
    <row r="47" spans="1:70" s="51" customFormat="1" ht="267.75">
      <c r="A47" s="3415"/>
      <c r="B47" s="3417"/>
      <c r="C47" s="304" t="s">
        <v>195</v>
      </c>
      <c r="D47" s="304" t="s">
        <v>1938</v>
      </c>
      <c r="E47" s="3365">
        <v>1</v>
      </c>
      <c r="F47" s="475">
        <v>4</v>
      </c>
      <c r="G47" s="605"/>
      <c r="H47" s="3123" t="s">
        <v>2769</v>
      </c>
      <c r="I47" s="3123" t="s">
        <v>2770</v>
      </c>
      <c r="J47" s="3123" t="s">
        <v>2755</v>
      </c>
      <c r="K47" s="3123" t="s">
        <v>2771</v>
      </c>
      <c r="L47" s="605"/>
      <c r="M47" s="2973">
        <v>1</v>
      </c>
      <c r="N47" s="2973">
        <v>4</v>
      </c>
      <c r="O47" s="2973">
        <v>3</v>
      </c>
      <c r="P47" s="2973">
        <v>2</v>
      </c>
      <c r="Q47" s="2963">
        <v>4</v>
      </c>
      <c r="R47" s="3365">
        <v>4</v>
      </c>
      <c r="S47" s="2963">
        <v>2</v>
      </c>
      <c r="T47" s="2963"/>
      <c r="U47" s="2964"/>
      <c r="V47" s="2963"/>
      <c r="W47" s="2963"/>
      <c r="X47" s="2963"/>
      <c r="Y47" s="2963"/>
      <c r="Z47" s="2963"/>
      <c r="AA47" s="2963"/>
      <c r="AB47" s="2963"/>
      <c r="AD47" s="272"/>
      <c r="AE47" s="272"/>
      <c r="AF47" s="272"/>
      <c r="AG47" s="272"/>
      <c r="AH47" s="272"/>
      <c r="AI47" s="272"/>
      <c r="AJ47" s="274"/>
      <c r="AK47" s="275"/>
      <c r="AL47" s="275"/>
      <c r="AM47" s="272"/>
      <c r="AN47" s="272"/>
      <c r="AO47" s="605"/>
      <c r="AP47" s="272"/>
      <c r="AQ47" s="336"/>
      <c r="AR47" s="272"/>
      <c r="AS47" s="272"/>
      <c r="AT47" s="272"/>
      <c r="AU47" s="272"/>
      <c r="AV47" s="272"/>
      <c r="AW47" s="272"/>
      <c r="AX47" s="272"/>
      <c r="AY47" s="272"/>
      <c r="AZ47" s="272"/>
      <c r="BA47" s="229"/>
      <c r="BB47" s="282"/>
      <c r="BC47" s="282"/>
      <c r="BD47" s="272"/>
      <c r="BE47" s="272"/>
      <c r="BF47" s="272"/>
      <c r="BG47" s="272"/>
      <c r="BH47" s="272"/>
      <c r="BI47" s="272"/>
      <c r="BJ47" s="272"/>
      <c r="BK47" s="272"/>
      <c r="BL47" s="272"/>
      <c r="BO47" s="3123" t="s">
        <v>2769</v>
      </c>
      <c r="BP47" s="3123" t="s">
        <v>2770</v>
      </c>
      <c r="BQ47" s="3123" t="s">
        <v>2755</v>
      </c>
      <c r="BR47" s="3123" t="s">
        <v>2771</v>
      </c>
    </row>
    <row r="48" spans="1:70" s="51" customFormat="1" ht="23.25">
      <c r="A48" s="3415" t="s">
        <v>106</v>
      </c>
      <c r="B48" s="3414" t="s">
        <v>1939</v>
      </c>
      <c r="C48" s="2479" t="s">
        <v>194</v>
      </c>
      <c r="D48" s="3137" t="s">
        <v>1940</v>
      </c>
      <c r="E48" s="3365"/>
      <c r="F48" s="475"/>
      <c r="G48" s="2331"/>
      <c r="H48" s="3123"/>
      <c r="I48" s="3123"/>
      <c r="J48" s="3123"/>
      <c r="K48" s="3123"/>
      <c r="L48" s="2331"/>
      <c r="M48" s="2973"/>
      <c r="N48" s="2973"/>
      <c r="O48" s="2973"/>
      <c r="P48" s="2973"/>
      <c r="Q48" s="2963"/>
      <c r="R48" s="3365"/>
      <c r="S48" s="2963"/>
      <c r="T48" s="2963"/>
      <c r="U48" s="2964"/>
      <c r="V48" s="2963"/>
      <c r="W48" s="2963"/>
      <c r="X48" s="2963"/>
      <c r="Y48" s="2963"/>
      <c r="Z48" s="2963"/>
      <c r="AA48" s="2963"/>
      <c r="AB48" s="2963"/>
      <c r="AD48" s="272"/>
      <c r="AE48" s="272"/>
      <c r="AF48" s="272"/>
      <c r="AG48" s="272"/>
      <c r="AH48" s="272"/>
      <c r="AI48" s="272"/>
      <c r="AJ48" s="274"/>
      <c r="AK48" s="275"/>
      <c r="AL48" s="275"/>
      <c r="AM48" s="272"/>
      <c r="AN48" s="272"/>
      <c r="AO48" s="2331"/>
      <c r="AP48" s="272"/>
      <c r="AQ48" s="272"/>
      <c r="AR48" s="272"/>
      <c r="AS48" s="272"/>
      <c r="AT48" s="272"/>
      <c r="AU48" s="272"/>
      <c r="AV48" s="272"/>
      <c r="AW48" s="274"/>
      <c r="AX48" s="272"/>
      <c r="AY48" s="272"/>
      <c r="AZ48" s="272"/>
      <c r="BA48" s="229"/>
      <c r="BB48" s="282"/>
      <c r="BC48" s="282"/>
      <c r="BD48" s="272"/>
      <c r="BE48" s="272"/>
      <c r="BF48" s="272"/>
      <c r="BG48" s="272"/>
      <c r="BH48" s="272"/>
      <c r="BI48" s="272"/>
      <c r="BJ48" s="272"/>
      <c r="BK48" s="272"/>
      <c r="BL48" s="272"/>
      <c r="BO48" s="3123"/>
      <c r="BP48" s="3123"/>
      <c r="BQ48" s="3123"/>
      <c r="BR48" s="3123"/>
    </row>
    <row r="49" spans="1:70" s="51" customFormat="1" ht="191.25">
      <c r="A49" s="3415"/>
      <c r="B49" s="3414"/>
      <c r="C49" s="2479"/>
      <c r="D49" s="2479" t="s">
        <v>1941</v>
      </c>
      <c r="E49" s="3365">
        <v>1</v>
      </c>
      <c r="F49" s="475">
        <v>4</v>
      </c>
      <c r="G49" s="2331"/>
      <c r="H49" s="3123" t="s">
        <v>2772</v>
      </c>
      <c r="I49" s="3123" t="s">
        <v>2773</v>
      </c>
      <c r="J49" s="3123" t="s">
        <v>2774</v>
      </c>
      <c r="K49" s="3123" t="s">
        <v>2775</v>
      </c>
      <c r="L49" s="2331"/>
      <c r="M49" s="2973">
        <v>1</v>
      </c>
      <c r="N49" s="2973">
        <v>4</v>
      </c>
      <c r="O49" s="2973">
        <v>3</v>
      </c>
      <c r="P49" s="2973">
        <v>2</v>
      </c>
      <c r="Q49" s="2963">
        <v>4</v>
      </c>
      <c r="R49" s="3365">
        <v>4</v>
      </c>
      <c r="S49" s="2963">
        <v>2</v>
      </c>
      <c r="T49" s="2963"/>
      <c r="U49" s="2964"/>
      <c r="V49" s="2963"/>
      <c r="W49" s="2963"/>
      <c r="X49" s="2963"/>
      <c r="Y49" s="2963"/>
      <c r="Z49" s="2963"/>
      <c r="AA49" s="2963"/>
      <c r="AB49" s="2963"/>
      <c r="AD49" s="272"/>
      <c r="AE49" s="272"/>
      <c r="AF49" s="272"/>
      <c r="AG49" s="272"/>
      <c r="AH49" s="272"/>
      <c r="AI49" s="272"/>
      <c r="AJ49" s="274"/>
      <c r="AK49" s="275"/>
      <c r="AL49" s="275"/>
      <c r="AM49" s="272"/>
      <c r="AN49" s="272"/>
      <c r="AO49" s="2331"/>
      <c r="AP49" s="272"/>
      <c r="AQ49" s="272"/>
      <c r="AR49" s="272"/>
      <c r="AS49" s="272"/>
      <c r="AT49" s="272"/>
      <c r="AU49" s="272"/>
      <c r="AV49" s="272"/>
      <c r="AW49" s="274"/>
      <c r="AX49" s="272"/>
      <c r="AY49" s="272"/>
      <c r="AZ49" s="272"/>
      <c r="BA49" s="229"/>
      <c r="BB49" s="282"/>
      <c r="BC49" s="282"/>
      <c r="BD49" s="272"/>
      <c r="BE49" s="272"/>
      <c r="BF49" s="272"/>
      <c r="BG49" s="272"/>
      <c r="BH49" s="272"/>
      <c r="BI49" s="272"/>
      <c r="BJ49" s="272"/>
      <c r="BK49" s="272"/>
      <c r="BL49" s="272"/>
      <c r="BO49" s="3123" t="s">
        <v>2772</v>
      </c>
      <c r="BP49" s="3123" t="s">
        <v>2773</v>
      </c>
      <c r="BQ49" s="3123" t="s">
        <v>2774</v>
      </c>
      <c r="BR49" s="3123" t="s">
        <v>2775</v>
      </c>
    </row>
    <row r="50" spans="1:70" s="51" customFormat="1" ht="204">
      <c r="A50" s="3415"/>
      <c r="B50" s="3414"/>
      <c r="C50" s="2479"/>
      <c r="D50" s="2479" t="s">
        <v>1942</v>
      </c>
      <c r="E50" s="3365">
        <v>1</v>
      </c>
      <c r="F50" s="475">
        <v>4</v>
      </c>
      <c r="G50" s="2331"/>
      <c r="H50" s="3124" t="s">
        <v>2776</v>
      </c>
      <c r="I50" s="3123" t="s">
        <v>2777</v>
      </c>
      <c r="J50" s="3123" t="s">
        <v>2778</v>
      </c>
      <c r="K50" s="3123" t="s">
        <v>2779</v>
      </c>
      <c r="L50" s="2331"/>
      <c r="M50" s="2973">
        <v>1</v>
      </c>
      <c r="N50" s="2973">
        <v>4</v>
      </c>
      <c r="O50" s="2973">
        <v>3</v>
      </c>
      <c r="P50" s="2973">
        <v>2</v>
      </c>
      <c r="Q50" s="2963">
        <v>4</v>
      </c>
      <c r="R50" s="3365">
        <v>4</v>
      </c>
      <c r="S50" s="2963">
        <v>2</v>
      </c>
      <c r="T50" s="2963"/>
      <c r="U50" s="2964"/>
      <c r="V50" s="2963"/>
      <c r="W50" s="2963"/>
      <c r="X50" s="2963"/>
      <c r="Y50" s="2963"/>
      <c r="Z50" s="2963"/>
      <c r="AA50" s="2963"/>
      <c r="AB50" s="2963"/>
      <c r="AD50" s="272"/>
      <c r="AE50" s="272"/>
      <c r="AF50" s="272"/>
      <c r="AG50" s="272"/>
      <c r="AH50" s="272"/>
      <c r="AI50" s="272"/>
      <c r="AJ50" s="274"/>
      <c r="AK50" s="275"/>
      <c r="AL50" s="275"/>
      <c r="AM50" s="272"/>
      <c r="AN50" s="272"/>
      <c r="AO50" s="2331"/>
      <c r="AP50" s="272"/>
      <c r="AQ50" s="272"/>
      <c r="AR50" s="272"/>
      <c r="AS50" s="272"/>
      <c r="AT50" s="272"/>
      <c r="AU50" s="272"/>
      <c r="AV50" s="272"/>
      <c r="AW50" s="274"/>
      <c r="AX50" s="272"/>
      <c r="AY50" s="272"/>
      <c r="AZ50" s="272"/>
      <c r="BA50" s="229"/>
      <c r="BB50" s="282"/>
      <c r="BC50" s="282"/>
      <c r="BD50" s="272"/>
      <c r="BE50" s="272"/>
      <c r="BF50" s="272"/>
      <c r="BG50" s="272"/>
      <c r="BH50" s="272"/>
      <c r="BI50" s="272"/>
      <c r="BJ50" s="272"/>
      <c r="BK50" s="272"/>
      <c r="BL50" s="272"/>
      <c r="BO50" s="3124" t="s">
        <v>2776</v>
      </c>
      <c r="BP50" s="3123" t="s">
        <v>2777</v>
      </c>
      <c r="BQ50" s="3123" t="s">
        <v>2778</v>
      </c>
      <c r="BR50" s="3123" t="s">
        <v>2779</v>
      </c>
    </row>
    <row r="51" spans="1:70" s="51" customFormat="1" ht="191.25">
      <c r="A51" s="2273" t="s">
        <v>1078</v>
      </c>
      <c r="B51" s="2477" t="s">
        <v>1943</v>
      </c>
      <c r="C51" s="2479" t="s">
        <v>330</v>
      </c>
      <c r="D51" s="2479" t="s">
        <v>1998</v>
      </c>
      <c r="E51" s="3365">
        <v>1</v>
      </c>
      <c r="F51" s="475">
        <v>4</v>
      </c>
      <c r="G51" s="2331"/>
      <c r="H51" s="3123" t="s">
        <v>2780</v>
      </c>
      <c r="I51" s="3123" t="s">
        <v>2781</v>
      </c>
      <c r="J51" s="3123" t="s">
        <v>2782</v>
      </c>
      <c r="K51" s="3123" t="s">
        <v>2783</v>
      </c>
      <c r="L51" s="2331"/>
      <c r="M51" s="2973">
        <v>1</v>
      </c>
      <c r="N51" s="2973">
        <v>4</v>
      </c>
      <c r="O51" s="2973">
        <v>3</v>
      </c>
      <c r="P51" s="2973">
        <v>2</v>
      </c>
      <c r="Q51" s="2963">
        <v>4</v>
      </c>
      <c r="R51" s="3365">
        <v>4</v>
      </c>
      <c r="S51" s="2963">
        <v>2</v>
      </c>
      <c r="T51" s="2963"/>
      <c r="U51" s="2964"/>
      <c r="V51" s="2963"/>
      <c r="W51" s="2963"/>
      <c r="X51" s="2963"/>
      <c r="Y51" s="2963"/>
      <c r="Z51" s="2963"/>
      <c r="AA51" s="2963"/>
      <c r="AB51" s="2963"/>
      <c r="AD51" s="272"/>
      <c r="AE51" s="272"/>
      <c r="AF51" s="272"/>
      <c r="AG51" s="272"/>
      <c r="AH51" s="272"/>
      <c r="AI51" s="272"/>
      <c r="AJ51" s="274"/>
      <c r="AK51" s="275"/>
      <c r="AL51" s="275"/>
      <c r="AM51" s="272"/>
      <c r="AN51" s="272"/>
      <c r="AO51" s="2331"/>
      <c r="AP51" s="272"/>
      <c r="AQ51" s="272"/>
      <c r="AR51" s="272"/>
      <c r="AS51" s="272"/>
      <c r="AT51" s="272"/>
      <c r="AU51" s="272"/>
      <c r="AV51" s="272"/>
      <c r="AW51" s="274"/>
      <c r="AX51" s="272"/>
      <c r="AY51" s="272"/>
      <c r="AZ51" s="272"/>
      <c r="BA51" s="229"/>
      <c r="BB51" s="282"/>
      <c r="BC51" s="282"/>
      <c r="BD51" s="272"/>
      <c r="BE51" s="272"/>
      <c r="BF51" s="272"/>
      <c r="BG51" s="272"/>
      <c r="BH51" s="272"/>
      <c r="BI51" s="272"/>
      <c r="BJ51" s="272"/>
      <c r="BK51" s="272"/>
      <c r="BL51" s="272"/>
      <c r="BO51" s="3123" t="s">
        <v>2780</v>
      </c>
      <c r="BP51" s="3123" t="s">
        <v>2781</v>
      </c>
      <c r="BQ51" s="3123" t="s">
        <v>2782</v>
      </c>
      <c r="BR51" s="3123" t="s">
        <v>2783</v>
      </c>
    </row>
    <row r="52" spans="1:70" s="51" customFormat="1" ht="23.25">
      <c r="A52" s="479" t="s">
        <v>539</v>
      </c>
      <c r="B52" s="480"/>
      <c r="C52" s="362"/>
      <c r="D52" s="362"/>
      <c r="E52" s="2965"/>
      <c r="F52" s="476"/>
      <c r="G52" s="362"/>
      <c r="H52" s="367"/>
      <c r="I52" s="367"/>
      <c r="J52" s="367"/>
      <c r="K52" s="367"/>
      <c r="L52" s="362"/>
      <c r="M52" s="2973"/>
      <c r="N52" s="2973"/>
      <c r="O52" s="2973"/>
      <c r="P52" s="2973"/>
      <c r="Q52" s="2965"/>
      <c r="R52" s="2965"/>
      <c r="S52" s="2965"/>
      <c r="T52" s="2966"/>
      <c r="U52" s="2967"/>
      <c r="V52" s="2966"/>
      <c r="W52" s="2966"/>
      <c r="X52" s="2966"/>
      <c r="Y52" s="2966"/>
      <c r="Z52" s="2966"/>
      <c r="AA52" s="2966"/>
      <c r="AB52" s="2966"/>
      <c r="AD52" s="272"/>
      <c r="AE52" s="272"/>
      <c r="AF52" s="272"/>
      <c r="AG52" s="272"/>
      <c r="AH52" s="272"/>
      <c r="AI52" s="272"/>
      <c r="AJ52" s="274"/>
      <c r="AK52" s="275"/>
      <c r="AL52" s="275"/>
      <c r="AM52" s="272"/>
      <c r="AN52" s="272"/>
      <c r="AO52" s="605"/>
      <c r="AP52" s="272"/>
      <c r="AQ52" s="272"/>
      <c r="AR52" s="272"/>
      <c r="AS52" s="272"/>
      <c r="AT52" s="272"/>
      <c r="AU52" s="272"/>
      <c r="AV52" s="272"/>
      <c r="AW52" s="274"/>
      <c r="AX52" s="272"/>
      <c r="AY52" s="272"/>
      <c r="AZ52" s="272"/>
      <c r="BA52" s="229"/>
      <c r="BB52" s="282"/>
      <c r="BC52" s="282"/>
      <c r="BD52" s="272"/>
      <c r="BE52" s="272"/>
      <c r="BF52" s="272"/>
      <c r="BG52" s="272"/>
      <c r="BH52" s="272"/>
      <c r="BI52" s="272"/>
      <c r="BJ52" s="272"/>
      <c r="BK52" s="272"/>
      <c r="BL52" s="272"/>
      <c r="BO52" s="367"/>
      <c r="BP52" s="367"/>
      <c r="BQ52" s="367"/>
      <c r="BR52" s="367"/>
    </row>
    <row r="53" spans="1:70" s="51" customFormat="1" ht="25.5" customHeight="1">
      <c r="A53" s="482" t="s">
        <v>1999</v>
      </c>
      <c r="B53" s="481"/>
      <c r="C53" s="143" t="s">
        <v>264</v>
      </c>
      <c r="D53" s="143" t="s">
        <v>2000</v>
      </c>
      <c r="E53" s="3365">
        <v>1</v>
      </c>
      <c r="F53" s="474">
        <v>4</v>
      </c>
      <c r="G53" s="605"/>
      <c r="H53" s="3123" t="s">
        <v>2784</v>
      </c>
      <c r="I53" s="3123" t="s">
        <v>2785</v>
      </c>
      <c r="J53" s="3123" t="s">
        <v>2786</v>
      </c>
      <c r="K53" s="3123" t="s">
        <v>2787</v>
      </c>
      <c r="L53" s="605"/>
      <c r="M53" s="2973">
        <v>1</v>
      </c>
      <c r="N53" s="2973">
        <v>4</v>
      </c>
      <c r="O53" s="2973">
        <v>3</v>
      </c>
      <c r="P53" s="2973">
        <v>2</v>
      </c>
      <c r="Q53" s="2963">
        <v>4</v>
      </c>
      <c r="R53" s="2963">
        <v>4</v>
      </c>
      <c r="S53" s="2963">
        <v>4</v>
      </c>
      <c r="T53" s="2963"/>
      <c r="U53" s="2964"/>
      <c r="V53" s="2963"/>
      <c r="W53" s="2963"/>
      <c r="X53" s="2963"/>
      <c r="Y53" s="2963"/>
      <c r="Z53" s="2963"/>
      <c r="AA53" s="2963"/>
      <c r="AB53" s="2963"/>
      <c r="AC53" s="605"/>
      <c r="AD53" s="272"/>
      <c r="AE53" s="272"/>
      <c r="AF53" s="272"/>
      <c r="AG53" s="272"/>
      <c r="AH53" s="272"/>
      <c r="AI53" s="272"/>
      <c r="AJ53" s="274"/>
      <c r="AK53" s="275"/>
      <c r="AL53" s="275"/>
      <c r="AM53" s="272"/>
      <c r="AN53" s="272"/>
      <c r="AO53" s="605"/>
      <c r="AP53" s="272"/>
      <c r="AQ53" s="272"/>
      <c r="AR53" s="272"/>
      <c r="AS53" s="272"/>
      <c r="AT53" s="272"/>
      <c r="AU53" s="272"/>
      <c r="AV53" s="272"/>
      <c r="AW53" s="274"/>
      <c r="AX53" s="272"/>
      <c r="AY53" s="272"/>
      <c r="AZ53" s="272"/>
      <c r="BA53" s="229"/>
      <c r="BB53" s="282"/>
      <c r="BC53" s="282"/>
      <c r="BD53" s="272"/>
      <c r="BE53" s="272"/>
      <c r="BF53" s="272"/>
      <c r="BG53" s="272"/>
      <c r="BH53" s="272"/>
      <c r="BI53" s="272"/>
      <c r="BJ53" s="272"/>
      <c r="BK53" s="272"/>
      <c r="BL53" s="272"/>
      <c r="BO53" s="3123" t="s">
        <v>2784</v>
      </c>
      <c r="BP53" s="3123" t="s">
        <v>2785</v>
      </c>
      <c r="BQ53" s="3123" t="s">
        <v>2786</v>
      </c>
      <c r="BR53" s="3123" t="s">
        <v>2787</v>
      </c>
    </row>
    <row r="54" spans="1:70" s="51" customFormat="1" ht="20.25" customHeight="1">
      <c r="A54" s="477" t="s">
        <v>547</v>
      </c>
      <c r="B54" s="249"/>
      <c r="C54" s="25"/>
      <c r="D54" s="25"/>
      <c r="E54" s="2420"/>
      <c r="F54" s="99"/>
      <c r="G54" s="605"/>
      <c r="L54" s="605"/>
      <c r="M54" s="232"/>
      <c r="N54" s="232"/>
      <c r="O54" s="2968"/>
      <c r="P54" s="2968"/>
      <c r="Q54" s="2968"/>
      <c r="R54" s="2968"/>
      <c r="S54" s="2968"/>
      <c r="T54" s="2968"/>
      <c r="U54" s="2968"/>
      <c r="V54" s="2968"/>
      <c r="W54" s="2968"/>
      <c r="X54" s="2968"/>
      <c r="Y54" s="2968"/>
      <c r="Z54" s="2968"/>
      <c r="AA54" s="2968"/>
      <c r="AB54" s="2968"/>
      <c r="AC54" s="605"/>
      <c r="AD54" s="605"/>
      <c r="AE54" s="605"/>
      <c r="AF54" s="53"/>
      <c r="AG54" s="53"/>
      <c r="AH54" s="269"/>
      <c r="AI54" s="53"/>
      <c r="AJ54" s="53"/>
      <c r="AK54" s="53"/>
      <c r="AL54" s="53"/>
      <c r="AM54" s="53"/>
      <c r="AN54" s="290"/>
      <c r="AO54" s="605"/>
      <c r="AP54" s="605"/>
      <c r="AQ54" s="290"/>
      <c r="AR54" s="290"/>
      <c r="AS54" s="290"/>
      <c r="AT54" s="290"/>
      <c r="AU54" s="290"/>
      <c r="AV54" s="290"/>
      <c r="AW54" s="290"/>
      <c r="AX54" s="290"/>
      <c r="AY54" s="290"/>
      <c r="AZ54" s="290"/>
      <c r="BA54" s="229"/>
      <c r="BB54" s="229"/>
      <c r="BL54" s="290"/>
      <c r="BM54" s="290"/>
      <c r="BN54" s="290"/>
    </row>
    <row r="55" spans="1:70" s="51" customFormat="1" ht="20.25" customHeight="1">
      <c r="A55" s="249"/>
      <c r="B55" s="2421"/>
      <c r="C55" s="32"/>
      <c r="D55" s="25"/>
      <c r="E55" s="2422"/>
      <c r="F55" s="42"/>
      <c r="G55" s="605"/>
      <c r="L55" s="242"/>
      <c r="M55" s="2969"/>
      <c r="N55" s="1552"/>
      <c r="O55" s="1552"/>
      <c r="P55" s="2969"/>
      <c r="Q55" s="2969"/>
      <c r="R55" s="2969"/>
      <c r="S55" s="2969"/>
      <c r="T55" s="2969"/>
      <c r="U55" s="2970"/>
      <c r="V55" s="2969"/>
      <c r="W55" s="2969"/>
      <c r="X55" s="2969"/>
      <c r="Y55" s="2969"/>
      <c r="Z55" s="1552"/>
      <c r="AA55" s="1552"/>
      <c r="AB55" s="1552"/>
      <c r="AC55" s="605"/>
      <c r="AD55" s="605"/>
      <c r="AE55" s="605"/>
      <c r="AF55" s="53"/>
      <c r="AG55" s="53"/>
      <c r="AH55" s="269"/>
      <c r="AI55" s="53"/>
      <c r="AJ55" s="53"/>
      <c r="AK55" s="53"/>
      <c r="AL55" s="53"/>
      <c r="AM55" s="53"/>
      <c r="AO55" s="605"/>
      <c r="AP55" s="605"/>
      <c r="BA55" s="229"/>
      <c r="BB55" s="229"/>
      <c r="BC55" s="290"/>
      <c r="BD55" s="290"/>
      <c r="BE55" s="290"/>
      <c r="BF55" s="290"/>
      <c r="BG55" s="290"/>
      <c r="BH55" s="290"/>
      <c r="BI55" s="290"/>
      <c r="BJ55" s="290"/>
      <c r="BK55" s="290"/>
      <c r="BL55" s="290"/>
      <c r="BM55" s="290"/>
      <c r="BN55" s="290"/>
    </row>
    <row r="56" spans="1:70" s="51" customFormat="1" ht="12" customHeight="1">
      <c r="A56" s="249"/>
      <c r="B56" s="2421"/>
      <c r="C56" s="32"/>
      <c r="D56" s="32"/>
      <c r="E56" s="2422"/>
      <c r="F56" s="99"/>
      <c r="G56" s="605"/>
      <c r="H56" s="605"/>
      <c r="I56" s="605"/>
      <c r="J56" s="605"/>
      <c r="K56" s="470"/>
      <c r="L56" s="242"/>
      <c r="M56" s="2969"/>
      <c r="N56" s="1552"/>
      <c r="O56" s="1552"/>
      <c r="P56" s="2969"/>
      <c r="Q56" s="2969"/>
      <c r="R56" s="2969"/>
      <c r="S56" s="2969"/>
      <c r="T56" s="2969"/>
      <c r="U56" s="2970"/>
      <c r="V56" s="2969"/>
      <c r="W56" s="2969"/>
      <c r="X56" s="2969"/>
      <c r="Y56" s="2969"/>
      <c r="Z56" s="1552"/>
      <c r="AA56" s="1552"/>
      <c r="AB56" s="1552"/>
      <c r="AC56" s="605"/>
      <c r="AD56" s="605"/>
      <c r="AE56" s="605"/>
      <c r="AF56" s="53"/>
      <c r="AG56" s="53"/>
      <c r="AH56" s="269"/>
      <c r="AI56" s="53"/>
      <c r="AJ56" s="53"/>
      <c r="AK56" s="53"/>
      <c r="AL56" s="53"/>
      <c r="AM56" s="53"/>
      <c r="AO56" s="605"/>
      <c r="AP56" s="605"/>
      <c r="AQ56" s="290"/>
      <c r="AR56" s="290"/>
      <c r="AS56" s="290"/>
      <c r="AT56" s="290"/>
      <c r="AU56" s="290"/>
      <c r="AV56" s="290"/>
      <c r="AW56" s="290"/>
      <c r="AX56" s="290"/>
      <c r="AY56" s="290"/>
      <c r="AZ56" s="290"/>
      <c r="BA56" s="229"/>
      <c r="BB56" s="229"/>
      <c r="BC56" s="290"/>
      <c r="BD56" s="290"/>
      <c r="BE56" s="290"/>
      <c r="BF56" s="290"/>
      <c r="BG56" s="290"/>
      <c r="BH56" s="290"/>
      <c r="BI56" s="290"/>
      <c r="BJ56" s="290"/>
      <c r="BK56" s="290"/>
      <c r="BL56" s="290"/>
      <c r="BO56" s="605"/>
      <c r="BP56" s="605"/>
      <c r="BQ56" s="605"/>
      <c r="BR56" s="605"/>
    </row>
    <row r="57" spans="1:70" s="51" customFormat="1" ht="21" customHeight="1">
      <c r="A57" s="249"/>
      <c r="B57" s="249"/>
      <c r="D57" s="32"/>
      <c r="E57" s="144"/>
      <c r="F57" s="99"/>
      <c r="G57" s="605"/>
      <c r="H57" s="605"/>
      <c r="I57" s="605"/>
      <c r="J57" s="605"/>
      <c r="K57" s="605"/>
      <c r="L57" s="605"/>
      <c r="M57" s="605"/>
      <c r="N57" s="605"/>
      <c r="O57" s="605"/>
      <c r="P57" s="605"/>
      <c r="Q57" s="605"/>
      <c r="R57" s="605"/>
      <c r="S57" s="605"/>
      <c r="T57" s="605"/>
      <c r="U57" s="605"/>
      <c r="V57" s="605"/>
      <c r="W57" s="605"/>
      <c r="X57" s="605"/>
      <c r="Y57" s="605"/>
      <c r="Z57" s="605"/>
      <c r="AA57" s="605"/>
      <c r="AB57" s="605"/>
      <c r="AC57" s="605"/>
      <c r="AO57" s="605"/>
      <c r="AP57" s="605"/>
      <c r="AQ57" s="290"/>
      <c r="AR57" s="290"/>
      <c r="AS57" s="290"/>
      <c r="AT57" s="290"/>
      <c r="AU57" s="290"/>
      <c r="AV57" s="290"/>
      <c r="AW57" s="290"/>
      <c r="AX57" s="290"/>
      <c r="AY57" s="290"/>
      <c r="AZ57" s="290"/>
      <c r="BA57" s="229"/>
      <c r="BB57" s="229"/>
      <c r="BC57" s="290"/>
      <c r="BD57" s="290"/>
      <c r="BE57" s="290"/>
      <c r="BF57" s="290"/>
      <c r="BG57" s="290"/>
      <c r="BH57" s="290"/>
      <c r="BI57" s="290"/>
      <c r="BJ57" s="290"/>
      <c r="BK57" s="290"/>
      <c r="BO57" s="605"/>
      <c r="BP57" s="605"/>
      <c r="BQ57" s="605"/>
      <c r="BR57" s="605"/>
    </row>
    <row r="58" spans="1:70" s="51" customFormat="1" ht="20.25" customHeight="1">
      <c r="A58" s="249"/>
      <c r="B58" s="249"/>
      <c r="E58" s="144"/>
      <c r="F58" s="99"/>
      <c r="G58" s="605"/>
      <c r="H58" s="605"/>
      <c r="I58" s="605"/>
      <c r="J58" s="605"/>
      <c r="K58" s="605"/>
      <c r="L58" s="605"/>
      <c r="M58" s="605"/>
      <c r="N58" s="605"/>
      <c r="O58" s="605"/>
      <c r="P58" s="605"/>
      <c r="Q58" s="605"/>
      <c r="R58" s="605"/>
      <c r="S58" s="605"/>
      <c r="T58" s="605"/>
      <c r="U58" s="605"/>
      <c r="V58" s="605"/>
      <c r="W58" s="605"/>
      <c r="X58" s="605"/>
      <c r="Y58" s="605"/>
      <c r="Z58" s="605"/>
      <c r="AA58" s="605"/>
      <c r="AB58" s="605"/>
      <c r="AC58" s="605"/>
      <c r="AO58" s="605"/>
      <c r="AP58" s="605"/>
      <c r="AR58" s="290"/>
      <c r="AS58" s="290"/>
      <c r="AT58" s="290"/>
      <c r="AU58" s="290"/>
      <c r="AV58" s="290"/>
      <c r="AW58" s="290"/>
      <c r="AX58" s="290"/>
      <c r="AY58" s="290"/>
      <c r="AZ58" s="290"/>
      <c r="BA58" s="229"/>
      <c r="BB58" s="229"/>
      <c r="BO58" s="605"/>
      <c r="BP58" s="605"/>
      <c r="BQ58" s="605"/>
      <c r="BR58" s="605"/>
    </row>
    <row r="59" spans="1:70" s="51" customFormat="1" ht="20.25" customHeight="1">
      <c r="A59" s="249"/>
      <c r="B59" s="249"/>
      <c r="E59" s="144"/>
      <c r="F59" s="99"/>
      <c r="G59" s="605"/>
      <c r="H59" s="605"/>
      <c r="I59" s="605"/>
      <c r="J59" s="605"/>
      <c r="K59" s="605"/>
      <c r="L59" s="605"/>
      <c r="M59" s="605"/>
      <c r="N59" s="605"/>
      <c r="O59" s="605"/>
      <c r="AC59" s="605"/>
      <c r="AO59" s="605"/>
      <c r="AP59" s="605"/>
      <c r="BA59" s="229"/>
      <c r="BB59" s="229"/>
      <c r="BC59" s="290"/>
      <c r="BD59" s="290"/>
      <c r="BM59" s="290"/>
      <c r="BN59" s="290"/>
      <c r="BO59" s="605"/>
      <c r="BP59" s="605"/>
      <c r="BQ59" s="605"/>
      <c r="BR59" s="605"/>
    </row>
    <row r="60" spans="1:70" s="51" customFormat="1" ht="20.25" customHeight="1">
      <c r="A60" s="249"/>
      <c r="B60" s="249"/>
      <c r="E60" s="144"/>
      <c r="F60" s="99"/>
      <c r="G60" s="605"/>
      <c r="H60" s="605"/>
      <c r="I60" s="605"/>
      <c r="J60" s="605"/>
      <c r="K60" s="605"/>
      <c r="L60" s="605"/>
      <c r="M60" s="605"/>
      <c r="N60" s="605"/>
      <c r="O60" s="605"/>
      <c r="AC60" s="605"/>
      <c r="AO60" s="605"/>
      <c r="AP60" s="605"/>
      <c r="AU60" s="51">
        <f>940*Unit.Mtoe</f>
        <v>10932.2</v>
      </c>
      <c r="AV60" s="51">
        <f>831*Unit.Mtoe</f>
        <v>9664.5300000000007</v>
      </c>
      <c r="BA60" s="229"/>
      <c r="BB60" s="229"/>
      <c r="BC60" s="290"/>
      <c r="BD60" s="290"/>
      <c r="BM60" s="290"/>
      <c r="BN60" s="290"/>
      <c r="BO60" s="605"/>
      <c r="BP60" s="605"/>
      <c r="BQ60" s="605"/>
      <c r="BR60" s="605"/>
    </row>
    <row r="61" spans="1:70" s="51" customFormat="1">
      <c r="A61" s="375"/>
      <c r="B61" s="249"/>
      <c r="F61" s="99"/>
      <c r="AO61" s="605"/>
      <c r="AP61" s="605"/>
      <c r="BA61" s="229"/>
      <c r="BB61" s="229"/>
      <c r="BD61" s="290"/>
      <c r="BM61" s="290"/>
      <c r="BN61" s="290"/>
    </row>
    <row r="62" spans="1:70" s="51" customFormat="1">
      <c r="A62" s="375"/>
      <c r="B62" s="375"/>
      <c r="F62" s="99"/>
      <c r="AO62" s="605"/>
      <c r="AP62" s="605"/>
      <c r="AV62" s="51">
        <f>555*Unit.Mtoe</f>
        <v>6454.6500000000005</v>
      </c>
      <c r="BA62" s="229"/>
      <c r="BB62" s="229"/>
    </row>
    <row r="63" spans="1:70" s="51" customFormat="1">
      <c r="A63" s="375"/>
      <c r="B63" s="249"/>
      <c r="F63" s="99"/>
      <c r="AO63" s="605"/>
      <c r="AP63" s="605"/>
      <c r="BA63" s="229"/>
      <c r="BB63" s="229"/>
    </row>
    <row r="64" spans="1:70" s="51" customFormat="1">
      <c r="A64" s="249"/>
      <c r="B64" s="249"/>
      <c r="F64" s="99"/>
      <c r="P64" s="605"/>
      <c r="Q64" s="605"/>
      <c r="R64" s="605"/>
      <c r="S64" s="605"/>
      <c r="T64" s="605"/>
      <c r="U64" s="605"/>
      <c r="V64" s="605"/>
      <c r="W64" s="605"/>
      <c r="X64" s="605"/>
      <c r="Y64" s="605"/>
      <c r="Z64" s="605"/>
      <c r="AA64" s="605"/>
      <c r="AB64" s="605"/>
      <c r="AO64" s="605"/>
      <c r="AP64" s="605"/>
      <c r="BA64" s="229"/>
      <c r="BB64" s="229"/>
    </row>
    <row r="65" spans="1:70" s="51" customFormat="1">
      <c r="A65" s="249"/>
      <c r="B65" s="375"/>
      <c r="F65" s="99"/>
      <c r="P65" s="605"/>
      <c r="Q65" s="605"/>
      <c r="R65" s="605"/>
      <c r="S65" s="605"/>
      <c r="T65" s="605"/>
      <c r="U65" s="605"/>
      <c r="V65" s="605"/>
      <c r="W65" s="605"/>
      <c r="X65" s="605"/>
      <c r="Y65" s="605"/>
      <c r="Z65" s="605"/>
      <c r="AA65" s="605"/>
      <c r="AB65" s="605"/>
      <c r="AO65" s="605"/>
      <c r="AP65" s="605"/>
      <c r="BA65" s="229"/>
      <c r="BB65" s="229"/>
    </row>
    <row r="66" spans="1:70" s="51" customFormat="1">
      <c r="A66" s="375"/>
      <c r="B66" s="375"/>
      <c r="C66" s="605"/>
      <c r="D66" s="605"/>
      <c r="E66" s="144"/>
      <c r="F66" s="2207"/>
      <c r="G66" s="605"/>
      <c r="H66" s="605"/>
      <c r="I66" s="605"/>
      <c r="J66" s="605"/>
      <c r="K66" s="605"/>
      <c r="L66" s="605"/>
      <c r="M66" s="605"/>
      <c r="N66" s="605"/>
      <c r="O66" s="605"/>
      <c r="P66" s="605"/>
      <c r="Q66" s="605"/>
      <c r="R66" s="605"/>
      <c r="S66" s="605"/>
      <c r="T66" s="605"/>
      <c r="U66" s="605"/>
      <c r="V66" s="605"/>
      <c r="W66" s="605"/>
      <c r="X66" s="605"/>
      <c r="Y66" s="605"/>
      <c r="Z66" s="605"/>
      <c r="AA66" s="605"/>
      <c r="AB66" s="605"/>
      <c r="AC66" s="605"/>
      <c r="AD66" s="605"/>
      <c r="AE66" s="605"/>
      <c r="AF66" s="605"/>
      <c r="AG66" s="605"/>
      <c r="AH66" s="605"/>
      <c r="AI66" s="605"/>
      <c r="AJ66" s="605"/>
      <c r="AK66" s="605"/>
      <c r="AL66" s="605"/>
      <c r="AM66" s="605"/>
      <c r="AN66" s="605"/>
      <c r="AO66" s="605"/>
      <c r="AP66" s="605"/>
      <c r="BA66" s="229"/>
      <c r="BB66" s="229"/>
      <c r="BO66" s="605"/>
      <c r="BP66" s="605"/>
      <c r="BQ66" s="605"/>
      <c r="BR66" s="605"/>
    </row>
    <row r="67" spans="1:70" s="51" customFormat="1">
      <c r="A67" s="375"/>
      <c r="B67" s="375"/>
      <c r="C67" s="605"/>
      <c r="D67" s="605"/>
      <c r="E67" s="144"/>
      <c r="F67" s="2207"/>
      <c r="G67" s="605"/>
      <c r="H67" s="605"/>
      <c r="I67" s="605"/>
      <c r="J67" s="605"/>
      <c r="K67" s="605"/>
      <c r="L67" s="605"/>
      <c r="M67" s="605"/>
      <c r="N67" s="605"/>
      <c r="O67" s="605"/>
      <c r="P67" s="605"/>
      <c r="Q67" s="605"/>
      <c r="R67" s="605"/>
      <c r="S67" s="605"/>
      <c r="T67" s="605"/>
      <c r="U67" s="605"/>
      <c r="V67" s="605"/>
      <c r="W67" s="605"/>
      <c r="X67" s="605"/>
      <c r="Y67" s="605"/>
      <c r="Z67" s="605"/>
      <c r="AA67" s="605"/>
      <c r="AB67" s="605"/>
      <c r="AC67" s="605"/>
      <c r="AD67" s="605"/>
      <c r="AE67" s="605"/>
      <c r="AF67" s="605"/>
      <c r="AG67" s="605"/>
      <c r="AH67" s="605"/>
      <c r="AI67" s="605"/>
      <c r="AJ67" s="605"/>
      <c r="AK67" s="605"/>
      <c r="AL67" s="605"/>
      <c r="AM67" s="605"/>
      <c r="AN67" s="605"/>
      <c r="AO67" s="605"/>
      <c r="AP67" s="605"/>
      <c r="BA67" s="229"/>
      <c r="BB67" s="229"/>
      <c r="BO67" s="605"/>
      <c r="BP67" s="605"/>
      <c r="BQ67" s="605"/>
      <c r="BR67" s="605"/>
    </row>
    <row r="68" spans="1:70" s="51" customFormat="1">
      <c r="A68" s="375"/>
      <c r="B68" s="249"/>
      <c r="C68" s="605"/>
      <c r="D68" s="605"/>
      <c r="E68" s="144"/>
      <c r="F68" s="2207"/>
      <c r="G68" s="605"/>
      <c r="H68" s="605"/>
      <c r="I68" s="605"/>
      <c r="J68" s="605"/>
      <c r="K68" s="605"/>
      <c r="L68" s="605"/>
      <c r="M68" s="605"/>
      <c r="N68" s="605"/>
      <c r="O68" s="605"/>
      <c r="P68" s="605"/>
      <c r="Q68" s="605"/>
      <c r="R68" s="605"/>
      <c r="S68" s="605"/>
      <c r="T68" s="605"/>
      <c r="U68" s="605"/>
      <c r="V68" s="605"/>
      <c r="W68" s="605"/>
      <c r="X68" s="605"/>
      <c r="Y68" s="605"/>
      <c r="Z68" s="605"/>
      <c r="AA68" s="605"/>
      <c r="AB68" s="605"/>
      <c r="AC68" s="605"/>
      <c r="AD68" s="605"/>
      <c r="AE68" s="605"/>
      <c r="AF68" s="605"/>
      <c r="AG68" s="605"/>
      <c r="AH68" s="605"/>
      <c r="AI68" s="605"/>
      <c r="AJ68" s="605"/>
      <c r="AK68" s="605"/>
      <c r="AL68" s="605"/>
      <c r="AM68" s="605"/>
      <c r="AN68" s="605"/>
      <c r="AO68" s="605"/>
      <c r="AP68" s="605"/>
      <c r="BA68" s="229"/>
      <c r="BB68" s="229"/>
      <c r="BO68" s="605"/>
      <c r="BP68" s="605"/>
      <c r="BQ68" s="605"/>
      <c r="BR68" s="605"/>
    </row>
    <row r="69" spans="1:70" s="51" customFormat="1">
      <c r="A69" s="249"/>
      <c r="B69" s="249"/>
      <c r="C69" s="605"/>
      <c r="D69" s="605"/>
      <c r="E69" s="144"/>
      <c r="F69" s="2207"/>
      <c r="G69" s="605"/>
      <c r="H69" s="605"/>
      <c r="I69" s="605"/>
      <c r="J69" s="605"/>
      <c r="K69" s="605"/>
      <c r="L69" s="605"/>
      <c r="M69" s="605"/>
      <c r="N69" s="605"/>
      <c r="O69" s="605"/>
      <c r="P69" s="605"/>
      <c r="Q69" s="605"/>
      <c r="R69" s="605"/>
      <c r="S69" s="605"/>
      <c r="T69" s="605"/>
      <c r="U69" s="605"/>
      <c r="V69" s="605"/>
      <c r="W69" s="605"/>
      <c r="X69" s="605"/>
      <c r="Y69" s="605"/>
      <c r="Z69" s="605"/>
      <c r="AA69" s="605"/>
      <c r="AB69" s="605"/>
      <c r="AC69" s="605"/>
      <c r="AD69" s="605"/>
      <c r="AE69" s="605"/>
      <c r="AF69" s="605"/>
      <c r="AG69" s="605"/>
      <c r="AH69" s="605"/>
      <c r="AI69" s="605"/>
      <c r="AJ69" s="605"/>
      <c r="AK69" s="605"/>
      <c r="AL69" s="605"/>
      <c r="AM69" s="605"/>
      <c r="AN69" s="605"/>
      <c r="AO69" s="605"/>
      <c r="AP69" s="605"/>
      <c r="AQ69" s="605"/>
      <c r="AR69" s="605"/>
      <c r="AS69" s="605"/>
      <c r="AT69" s="605"/>
      <c r="AU69" s="605"/>
      <c r="AV69" s="605"/>
      <c r="AW69" s="605"/>
      <c r="AX69" s="605"/>
      <c r="AY69" s="605"/>
      <c r="AZ69" s="605"/>
      <c r="BA69" s="229"/>
      <c r="BB69" s="229"/>
      <c r="BO69" s="605"/>
      <c r="BP69" s="605"/>
      <c r="BQ69" s="605"/>
      <c r="BR69" s="605"/>
    </row>
    <row r="70" spans="1:70" s="51" customFormat="1">
      <c r="A70" s="249"/>
      <c r="B70" s="249"/>
      <c r="C70" s="605"/>
      <c r="D70" s="605"/>
      <c r="E70" s="144"/>
      <c r="F70" s="2207"/>
      <c r="G70" s="605"/>
      <c r="H70" s="605"/>
      <c r="I70" s="605"/>
      <c r="J70" s="605"/>
      <c r="K70" s="605"/>
      <c r="L70" s="605"/>
      <c r="M70" s="605"/>
      <c r="N70" s="605"/>
      <c r="O70" s="605"/>
      <c r="P70" s="605"/>
      <c r="Q70" s="605"/>
      <c r="R70" s="605"/>
      <c r="S70" s="605"/>
      <c r="T70" s="605"/>
      <c r="U70" s="605"/>
      <c r="V70" s="605"/>
      <c r="W70" s="605"/>
      <c r="X70" s="605"/>
      <c r="Y70" s="605"/>
      <c r="Z70" s="605"/>
      <c r="AA70" s="605"/>
      <c r="AB70" s="605"/>
      <c r="AC70" s="605"/>
      <c r="AD70" s="605"/>
      <c r="AE70" s="605"/>
      <c r="AF70" s="605"/>
      <c r="AG70" s="605"/>
      <c r="AH70" s="605"/>
      <c r="AI70" s="605"/>
      <c r="AJ70" s="605"/>
      <c r="AK70" s="605"/>
      <c r="AL70" s="605"/>
      <c r="AM70" s="605"/>
      <c r="AN70" s="605"/>
      <c r="AO70" s="605"/>
      <c r="AP70" s="605"/>
      <c r="AQ70" s="605"/>
      <c r="AR70" s="605"/>
      <c r="AS70" s="605"/>
      <c r="AT70" s="605"/>
      <c r="AU70" s="605"/>
      <c r="AV70" s="605"/>
      <c r="AW70" s="605"/>
      <c r="AX70" s="605"/>
      <c r="AY70" s="605"/>
      <c r="AZ70" s="605"/>
      <c r="BA70" s="229"/>
      <c r="BB70" s="229"/>
      <c r="BO70" s="605"/>
      <c r="BP70" s="605"/>
      <c r="BQ70" s="605"/>
      <c r="BR70" s="605"/>
    </row>
    <row r="71" spans="1:70">
      <c r="BC71" s="51"/>
      <c r="BD71" s="51"/>
      <c r="BE71" s="51"/>
      <c r="BF71" s="51"/>
      <c r="BG71" s="51"/>
      <c r="BH71" s="51"/>
      <c r="BI71" s="51"/>
      <c r="BJ71" s="51"/>
      <c r="BK71" s="51"/>
    </row>
  </sheetData>
  <sheetProtection formatColumns="0" insertColumns="0" deleteColumns="0"/>
  <autoFilter ref="A4:BR54"/>
  <mergeCells count="16">
    <mergeCell ref="BB2:BL2"/>
    <mergeCell ref="A5:A19"/>
    <mergeCell ref="B5:B18"/>
    <mergeCell ref="A20:A26"/>
    <mergeCell ref="B25:B26"/>
    <mergeCell ref="B20:B24"/>
    <mergeCell ref="B40:B42"/>
    <mergeCell ref="B31:B38"/>
    <mergeCell ref="B48:B50"/>
    <mergeCell ref="A48:A50"/>
    <mergeCell ref="A27:A29"/>
    <mergeCell ref="B27:B29"/>
    <mergeCell ref="A43:A47"/>
    <mergeCell ref="B45:B47"/>
    <mergeCell ref="A31:A38"/>
    <mergeCell ref="A39:A42"/>
  </mergeCells>
  <conditionalFormatting sqref="K56">
    <cfRule type="expression" dxfId="171" priority="52" stopIfTrue="1">
      <formula>$E56&gt;=4</formula>
    </cfRule>
  </conditionalFormatting>
  <conditionalFormatting sqref="H23:H24">
    <cfRule type="expression" dxfId="170" priority="16" stopIfTrue="1">
      <formula>$E23&gt;=3</formula>
    </cfRule>
  </conditionalFormatting>
  <conditionalFormatting sqref="H23:H24">
    <cfRule type="expression" dxfId="169" priority="17" stopIfTrue="1">
      <formula>$E23&gt;=2</formula>
    </cfRule>
  </conditionalFormatting>
  <conditionalFormatting sqref="H23:H24">
    <cfRule type="expression" dxfId="168" priority="15" stopIfTrue="1">
      <formula>$E23&gt;=4</formula>
    </cfRule>
  </conditionalFormatting>
  <conditionalFormatting sqref="H9">
    <cfRule type="expression" dxfId="167" priority="25">
      <formula>$E9=1</formula>
    </cfRule>
  </conditionalFormatting>
  <conditionalFormatting sqref="I23 I9">
    <cfRule type="expression" dxfId="166" priority="26">
      <formula>$E9=2</formula>
    </cfRule>
  </conditionalFormatting>
  <conditionalFormatting sqref="J23 J9">
    <cfRule type="expression" dxfId="165" priority="27">
      <formula>$E9=3</formula>
    </cfRule>
  </conditionalFormatting>
  <conditionalFormatting sqref="K9 K23">
    <cfRule type="expression" dxfId="164" priority="28">
      <formula>$E9=4</formula>
    </cfRule>
  </conditionalFormatting>
  <conditionalFormatting sqref="H26">
    <cfRule type="expression" dxfId="163" priority="24" stopIfTrue="1">
      <formula>$E26&gt;=1</formula>
    </cfRule>
  </conditionalFormatting>
  <conditionalFormatting sqref="H26:J26">
    <cfRule type="expression" dxfId="162" priority="22" stopIfTrue="1">
      <formula>$E26&gt;=3</formula>
    </cfRule>
  </conditionalFormatting>
  <conditionalFormatting sqref="H26:I26">
    <cfRule type="expression" dxfId="161" priority="23" stopIfTrue="1">
      <formula>$E26&gt;=2</formula>
    </cfRule>
  </conditionalFormatting>
  <conditionalFormatting sqref="H26:K26">
    <cfRule type="expression" dxfId="160" priority="21" stopIfTrue="1">
      <formula>$E26&gt;=4</formula>
    </cfRule>
  </conditionalFormatting>
  <conditionalFormatting sqref="I24:J24">
    <cfRule type="expression" dxfId="159" priority="19" stopIfTrue="1">
      <formula>$E24&gt;=3</formula>
    </cfRule>
  </conditionalFormatting>
  <conditionalFormatting sqref="I24">
    <cfRule type="expression" dxfId="158" priority="20" stopIfTrue="1">
      <formula>$E24&gt;=2</formula>
    </cfRule>
  </conditionalFormatting>
  <conditionalFormatting sqref="I24:K24">
    <cfRule type="expression" dxfId="157" priority="18" stopIfTrue="1">
      <formula>$E24&gt;=4</formula>
    </cfRule>
  </conditionalFormatting>
  <conditionalFormatting sqref="BO23:BO24">
    <cfRule type="expression" dxfId="156" priority="2" stopIfTrue="1">
      <formula>$E23&gt;=3</formula>
    </cfRule>
  </conditionalFormatting>
  <conditionalFormatting sqref="BO23:BO24">
    <cfRule type="expression" dxfId="155" priority="3" stopIfTrue="1">
      <formula>$E23&gt;=2</formula>
    </cfRule>
  </conditionalFormatting>
  <conditionalFormatting sqref="BO23:BO24">
    <cfRule type="expression" dxfId="154" priority="1" stopIfTrue="1">
      <formula>$E23&gt;=4</formula>
    </cfRule>
  </conditionalFormatting>
  <conditionalFormatting sqref="BO9">
    <cfRule type="expression" dxfId="153" priority="11">
      <formula>$E9=1</formula>
    </cfRule>
  </conditionalFormatting>
  <conditionalFormatting sqref="BP23 BP9">
    <cfRule type="expression" dxfId="152" priority="12">
      <formula>$E9=2</formula>
    </cfRule>
  </conditionalFormatting>
  <conditionalFormatting sqref="BQ23 BQ9">
    <cfRule type="expression" dxfId="151" priority="13">
      <formula>$E9=3</formula>
    </cfRule>
  </conditionalFormatting>
  <conditionalFormatting sqref="BR9 BR23">
    <cfRule type="expression" dxfId="150" priority="14">
      <formula>$E9=4</formula>
    </cfRule>
  </conditionalFormatting>
  <conditionalFormatting sqref="BO26">
    <cfRule type="expression" dxfId="149" priority="10" stopIfTrue="1">
      <formula>$E26&gt;=1</formula>
    </cfRule>
  </conditionalFormatting>
  <conditionalFormatting sqref="BO26:BQ26">
    <cfRule type="expression" dxfId="148" priority="8" stopIfTrue="1">
      <formula>$E26&gt;=3</formula>
    </cfRule>
  </conditionalFormatting>
  <conditionalFormatting sqref="BO26:BP26">
    <cfRule type="expression" dxfId="147" priority="9" stopIfTrue="1">
      <formula>$E26&gt;=2</formula>
    </cfRule>
  </conditionalFormatting>
  <conditionalFormatting sqref="BO26:BR26">
    <cfRule type="expression" dxfId="146" priority="7" stopIfTrue="1">
      <formula>$E26&gt;=4</formula>
    </cfRule>
  </conditionalFormatting>
  <conditionalFormatting sqref="BP24:BQ24">
    <cfRule type="expression" dxfId="145" priority="5" stopIfTrue="1">
      <formula>$E24&gt;=3</formula>
    </cfRule>
  </conditionalFormatting>
  <conditionalFormatting sqref="BP24">
    <cfRule type="expression" dxfId="144" priority="6" stopIfTrue="1">
      <formula>$E24&gt;=2</formula>
    </cfRule>
  </conditionalFormatting>
  <conditionalFormatting sqref="BP24:BR24">
    <cfRule type="expression" dxfId="143" priority="4" stopIfTrue="1">
      <formula>$E24&gt;=4</formula>
    </cfRule>
  </conditionalFormatting>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dimension ref="A1:S20"/>
  <sheetViews>
    <sheetView topLeftCell="E1" workbookViewId="0">
      <selection activeCell="L19" sqref="L19"/>
    </sheetView>
  </sheetViews>
  <sheetFormatPr defaultRowHeight="12.75"/>
  <cols>
    <col min="2" max="2" width="10.85546875" customWidth="1"/>
    <col min="3" max="3" width="15.42578125" customWidth="1"/>
    <col min="7" max="7" width="15.85546875" customWidth="1"/>
    <col min="8" max="8" width="18.85546875" customWidth="1"/>
    <col min="12" max="12" width="21.28515625" customWidth="1"/>
    <col min="13" max="13" width="12.85546875" customWidth="1"/>
    <col min="17" max="17" width="12.5703125" customWidth="1"/>
    <col min="18" max="18" width="15.140625" customWidth="1"/>
    <col min="19" max="19" width="11.5703125" customWidth="1"/>
  </cols>
  <sheetData>
    <row r="1" spans="1:19">
      <c r="F1">
        <f>Unit.TWh</f>
        <v>1</v>
      </c>
    </row>
    <row r="2" spans="1:19" ht="13.5" thickBot="1">
      <c r="A2" s="423" t="s">
        <v>2485</v>
      </c>
    </row>
    <row r="3" spans="1:19" ht="13.5" thickBot="1">
      <c r="A3" s="3215" t="s">
        <v>2498</v>
      </c>
      <c r="B3" s="3216"/>
      <c r="C3" s="3216"/>
      <c r="D3" s="3217"/>
      <c r="F3" s="3229"/>
      <c r="G3" s="3230" t="s">
        <v>2500</v>
      </c>
      <c r="H3" s="3216"/>
      <c r="I3" s="3217"/>
      <c r="K3" s="3215" t="s">
        <v>2502</v>
      </c>
      <c r="L3" s="3216"/>
      <c r="M3" s="3216"/>
      <c r="N3" s="3217"/>
      <c r="P3" s="3282" t="s">
        <v>2045</v>
      </c>
      <c r="Q3" s="3281"/>
      <c r="R3" s="3281"/>
      <c r="S3" s="3281"/>
    </row>
    <row r="4" spans="1:19" ht="52.5" customHeight="1" thickBot="1">
      <c r="A4" s="3221" t="s">
        <v>109</v>
      </c>
      <c r="B4" s="3222" t="s">
        <v>2481</v>
      </c>
      <c r="C4" s="3222" t="s">
        <v>2482</v>
      </c>
      <c r="D4" s="3223" t="s">
        <v>2484</v>
      </c>
      <c r="F4" s="3221" t="s">
        <v>109</v>
      </c>
      <c r="G4" s="3233" t="s">
        <v>2494</v>
      </c>
      <c r="H4" s="3234" t="s">
        <v>2493</v>
      </c>
      <c r="I4" s="3245" t="s">
        <v>2495</v>
      </c>
      <c r="K4" s="3221" t="s">
        <v>109</v>
      </c>
      <c r="L4" s="3222" t="s">
        <v>2492</v>
      </c>
      <c r="M4" s="3222" t="s">
        <v>2497</v>
      </c>
      <c r="N4" s="3223" t="s">
        <v>2495</v>
      </c>
      <c r="P4" s="3283"/>
      <c r="Q4" s="3284" t="s">
        <v>2481</v>
      </c>
      <c r="R4" s="3285" t="s">
        <v>2520</v>
      </c>
      <c r="S4" s="3286" t="s">
        <v>2521</v>
      </c>
    </row>
    <row r="5" spans="1:19">
      <c r="A5" s="3219" t="s">
        <v>33</v>
      </c>
      <c r="B5" s="3239">
        <f>11326*(Unit.TWh)</f>
        <v>11326</v>
      </c>
      <c r="C5" s="3239">
        <f>7960*(Unit.TWh)</f>
        <v>7960</v>
      </c>
      <c r="D5" s="3240">
        <f>(B5-C5)/B5</f>
        <v>0.29719230090058274</v>
      </c>
      <c r="F5" s="3235" t="s">
        <v>102</v>
      </c>
      <c r="G5" s="3243">
        <f>22662*(Unit.TWh)</f>
        <v>22662</v>
      </c>
      <c r="H5" s="3243">
        <f>9085*(Unit.TWh)</f>
        <v>9085</v>
      </c>
      <c r="I5" s="3240">
        <f>-(G5-H5)/G5</f>
        <v>-0.59910864001412056</v>
      </c>
      <c r="K5" s="3219" t="s">
        <v>33</v>
      </c>
      <c r="L5" s="3246">
        <v>5533</v>
      </c>
      <c r="M5" s="3246">
        <v>3719</v>
      </c>
      <c r="N5" s="3240">
        <f>-(L5-M5)/L5</f>
        <v>-0.3278510753659859</v>
      </c>
      <c r="P5" s="3219" t="s">
        <v>102</v>
      </c>
      <c r="Q5" s="3287">
        <v>0.87299228101951265</v>
      </c>
      <c r="R5" s="3287">
        <v>0.19582040895628403</v>
      </c>
      <c r="S5" s="3225">
        <f>10.7/100</f>
        <v>0.107</v>
      </c>
    </row>
    <row r="6" spans="1:19">
      <c r="A6" s="3219" t="s">
        <v>113</v>
      </c>
      <c r="B6" s="3239">
        <f>6449.2*(Unit.TWh)</f>
        <v>6449.2</v>
      </c>
      <c r="C6" s="3239">
        <f>3086*(Unit.TWh)</f>
        <v>3086</v>
      </c>
      <c r="D6" s="3240">
        <f t="shared" ref="D6:D11" si="0">(B6-C6)/B6</f>
        <v>0.52149103764808036</v>
      </c>
      <c r="F6" s="3231" t="s">
        <v>110</v>
      </c>
      <c r="G6" s="3237">
        <f>10507*(Unit.TWh)</f>
        <v>10507</v>
      </c>
      <c r="H6" s="3237">
        <f>6343*(Unit.TWh)</f>
        <v>6343</v>
      </c>
      <c r="I6" s="3240">
        <f t="shared" ref="I6:I10" si="1">-(G6-H6)/G6</f>
        <v>-0.39630722375559152</v>
      </c>
      <c r="K6" s="3219" t="s">
        <v>113</v>
      </c>
      <c r="L6" s="3246">
        <v>1691</v>
      </c>
      <c r="M6" s="3246">
        <v>782</v>
      </c>
      <c r="N6" s="3240">
        <f t="shared" ref="N6:N12" si="2">-(L6-M6)/L6</f>
        <v>-0.53755174452986398</v>
      </c>
      <c r="P6" s="3219" t="s">
        <v>110</v>
      </c>
      <c r="Q6" s="3287">
        <v>0.96181853169675302</v>
      </c>
      <c r="R6" s="3287">
        <v>0.85693607463492161</v>
      </c>
      <c r="S6" s="3225">
        <f>74.1/100</f>
        <v>0.74099999999999999</v>
      </c>
    </row>
    <row r="7" spans="1:19">
      <c r="A7" s="3219" t="s">
        <v>2483</v>
      </c>
      <c r="B7" s="3239">
        <f>3174.6*(Unit.TWh)</f>
        <v>3174.6</v>
      </c>
      <c r="C7" s="3239">
        <f>1805*(Unit.TWh)</f>
        <v>1805</v>
      </c>
      <c r="D7" s="3240">
        <f t="shared" si="0"/>
        <v>0.43142443142443143</v>
      </c>
      <c r="F7" s="3232" t="s">
        <v>14</v>
      </c>
      <c r="G7" s="3237">
        <f>2253*(Unit.TWh)</f>
        <v>2253</v>
      </c>
      <c r="H7" s="3237">
        <f>2670*(Unit.TWh)</f>
        <v>2670</v>
      </c>
      <c r="I7" s="3240">
        <f t="shared" si="1"/>
        <v>0.18508655126498003</v>
      </c>
      <c r="K7" s="3219" t="s">
        <v>106</v>
      </c>
      <c r="L7" s="3246">
        <v>104</v>
      </c>
      <c r="M7" s="3246">
        <v>41</v>
      </c>
      <c r="N7" s="3240">
        <f t="shared" si="2"/>
        <v>-0.60576923076923073</v>
      </c>
      <c r="P7" s="3219" t="s">
        <v>14</v>
      </c>
      <c r="Q7" s="3287">
        <v>0.6586225096859476</v>
      </c>
      <c r="R7" s="3287">
        <v>0.20786739689219932</v>
      </c>
      <c r="S7" s="3225">
        <f>22.4/100</f>
        <v>0.22399999999999998</v>
      </c>
    </row>
    <row r="8" spans="1:19" ht="13.5" thickBot="1">
      <c r="A8" s="3219" t="s">
        <v>106</v>
      </c>
      <c r="B8" s="3239">
        <f>1047.8*(Unit.TWh)</f>
        <v>1047.8</v>
      </c>
      <c r="C8" s="3239">
        <f>533*(Unit.TWh)</f>
        <v>533</v>
      </c>
      <c r="D8" s="3240">
        <f t="shared" si="0"/>
        <v>0.49131513647642677</v>
      </c>
      <c r="F8" s="3231" t="s">
        <v>2037</v>
      </c>
      <c r="G8" s="3237">
        <f>993*(Unit.TWh)</f>
        <v>993</v>
      </c>
      <c r="H8" s="3237">
        <f>3040*(Unit.TWh)</f>
        <v>3040</v>
      </c>
      <c r="I8" s="3240">
        <f t="shared" si="1"/>
        <v>2.0614300100704934</v>
      </c>
      <c r="K8" s="3219" t="s">
        <v>1078</v>
      </c>
      <c r="L8" s="3246">
        <v>33</v>
      </c>
      <c r="M8" s="3246">
        <v>0</v>
      </c>
      <c r="N8" s="3240">
        <f t="shared" si="2"/>
        <v>-1</v>
      </c>
      <c r="P8" s="3226" t="s">
        <v>2057</v>
      </c>
      <c r="Q8" s="3288">
        <v>0.84538167074490123</v>
      </c>
      <c r="R8" s="3288">
        <v>0.31770837329700069</v>
      </c>
      <c r="S8" s="3228">
        <f>21.2/100</f>
        <v>0.21199999999999999</v>
      </c>
    </row>
    <row r="9" spans="1:19" ht="13.5" thickBot="1">
      <c r="A9" s="3219" t="s">
        <v>1078</v>
      </c>
      <c r="B9" s="3239">
        <f>209.2*(Unit.TWh)</f>
        <v>209.2</v>
      </c>
      <c r="C9" s="3239">
        <f>102.4*(Unit.TWh)</f>
        <v>102.4</v>
      </c>
      <c r="D9" s="3240">
        <f t="shared" si="0"/>
        <v>0.51051625239005727</v>
      </c>
      <c r="F9" s="3231" t="s">
        <v>2448</v>
      </c>
      <c r="G9" s="3237">
        <f>642*(Unit.TWh)</f>
        <v>642</v>
      </c>
      <c r="H9" s="3237">
        <f>3257*(Unit.TWh)</f>
        <v>3257</v>
      </c>
      <c r="I9" s="3240">
        <f t="shared" si="1"/>
        <v>4.0732087227414331</v>
      </c>
      <c r="K9" s="3219" t="s">
        <v>1051</v>
      </c>
      <c r="L9" s="3246">
        <v>184</v>
      </c>
      <c r="M9" s="3246">
        <v>149</v>
      </c>
      <c r="N9" s="3240">
        <f t="shared" si="2"/>
        <v>-0.19021739130434784</v>
      </c>
    </row>
    <row r="10" spans="1:19" ht="13.5" thickBot="1">
      <c r="A10" s="3219" t="s">
        <v>1051</v>
      </c>
      <c r="B10" s="3239">
        <f>1808*(Unit.TWh)</f>
        <v>1808</v>
      </c>
      <c r="C10" s="3239">
        <f>1296*(Unit.TWh)</f>
        <v>1296</v>
      </c>
      <c r="D10" s="3240">
        <f t="shared" si="0"/>
        <v>0.2831858407079646</v>
      </c>
      <c r="F10" s="3236" t="s">
        <v>103</v>
      </c>
      <c r="G10" s="3241">
        <f>37712*(Unit.TWh)</f>
        <v>37712</v>
      </c>
      <c r="H10" s="3241">
        <f>24454*(Unit.TWh)</f>
        <v>24454</v>
      </c>
      <c r="I10" s="3244">
        <f t="shared" si="1"/>
        <v>-0.35155918540517606</v>
      </c>
      <c r="K10" s="3219" t="s">
        <v>799</v>
      </c>
      <c r="L10" s="3246">
        <v>5854</v>
      </c>
      <c r="M10" s="3246">
        <v>634</v>
      </c>
      <c r="N10" s="3240">
        <f t="shared" si="2"/>
        <v>-0.89169798428425007</v>
      </c>
    </row>
    <row r="11" spans="1:19" ht="13.5" thickBot="1">
      <c r="A11" s="3221" t="s">
        <v>103</v>
      </c>
      <c r="B11" s="3241">
        <f>24016*(Unit.TWh)</f>
        <v>24016</v>
      </c>
      <c r="C11" s="3241">
        <f>14785*(Unit.TWh)</f>
        <v>14785</v>
      </c>
      <c r="D11" s="3242">
        <f t="shared" si="0"/>
        <v>0.38436875416389071</v>
      </c>
      <c r="K11" s="3219" t="s">
        <v>2037</v>
      </c>
      <c r="L11" s="3246">
        <v>-312</v>
      </c>
      <c r="M11" s="3246">
        <v>-759</v>
      </c>
      <c r="N11" s="3240">
        <f t="shared" si="2"/>
        <v>1.4326923076923077</v>
      </c>
    </row>
    <row r="12" spans="1:19" ht="13.5" thickBot="1">
      <c r="K12" s="3220" t="s">
        <v>103</v>
      </c>
      <c r="L12" s="3247">
        <v>13087</v>
      </c>
      <c r="M12" s="3247">
        <v>4566</v>
      </c>
      <c r="N12" s="3248">
        <f t="shared" si="2"/>
        <v>-0.65110414915565062</v>
      </c>
    </row>
    <row r="13" spans="1:19" ht="13.5" thickBot="1">
      <c r="F13" s="3229"/>
      <c r="G13" s="3230" t="s">
        <v>2501</v>
      </c>
      <c r="H13" s="3216"/>
      <c r="I13" s="3217"/>
    </row>
    <row r="14" spans="1:19" ht="51.75" thickBot="1">
      <c r="A14" s="3215" t="s">
        <v>2486</v>
      </c>
      <c r="B14" s="3216"/>
      <c r="C14" s="3216"/>
      <c r="D14" s="3217"/>
      <c r="F14" s="3221" t="s">
        <v>109</v>
      </c>
      <c r="G14" s="3233" t="s">
        <v>2494</v>
      </c>
      <c r="H14" s="3234" t="s">
        <v>2496</v>
      </c>
      <c r="I14" s="3223" t="s">
        <v>2495</v>
      </c>
    </row>
    <row r="15" spans="1:19">
      <c r="A15" s="3219"/>
      <c r="B15" s="539"/>
      <c r="C15" s="956" t="s">
        <v>2499</v>
      </c>
      <c r="D15" s="3218" t="s">
        <v>2484</v>
      </c>
      <c r="F15" s="3231" t="s">
        <v>102</v>
      </c>
      <c r="G15" s="3239">
        <f>22662*(Unit.TWh)</f>
        <v>22662</v>
      </c>
      <c r="H15" s="3239">
        <f>8186*(Unit.TWh)</f>
        <v>8186</v>
      </c>
      <c r="I15" s="3240">
        <f>-(G15-H15)/G15</f>
        <v>-0.63877857205895328</v>
      </c>
    </row>
    <row r="16" spans="1:19">
      <c r="A16" s="3219" t="s">
        <v>2487</v>
      </c>
      <c r="B16" s="539"/>
      <c r="C16" s="3237">
        <f>6449.2*(Unit.TWh)</f>
        <v>6449.2</v>
      </c>
      <c r="D16" s="3224"/>
      <c r="F16" s="3231" t="s">
        <v>110</v>
      </c>
      <c r="G16" s="3239">
        <f>10507*(Unit.TWh)</f>
        <v>10507</v>
      </c>
      <c r="H16" s="3239">
        <f>3505*(Unit.TWh)</f>
        <v>3505</v>
      </c>
      <c r="I16" s="3240">
        <f t="shared" ref="I16:I20" si="3">-(G16-H16)/G16</f>
        <v>-0.66641286761206819</v>
      </c>
    </row>
    <row r="17" spans="1:9">
      <c r="A17" s="3219" t="s">
        <v>2488</v>
      </c>
      <c r="B17" s="539"/>
      <c r="C17" s="3237">
        <f>6113*(Unit.TWh)</f>
        <v>6113</v>
      </c>
      <c r="D17" s="3225">
        <f>(C$16-C17)/C16</f>
        <v>5.2130496805805344E-2</v>
      </c>
      <c r="F17" s="3232" t="s">
        <v>14</v>
      </c>
      <c r="G17" s="3239">
        <f>2253*(Unit.TWh)</f>
        <v>2253</v>
      </c>
      <c r="H17" s="3239">
        <f>2727*(Unit.TWh)</f>
        <v>2727</v>
      </c>
      <c r="I17" s="3240">
        <f t="shared" si="3"/>
        <v>0.2103861517976032</v>
      </c>
    </row>
    <row r="18" spans="1:9">
      <c r="A18" s="3219" t="s">
        <v>2489</v>
      </c>
      <c r="B18" s="539"/>
      <c r="C18" s="3237">
        <f>5043*(Unit.TWh)</f>
        <v>5043</v>
      </c>
      <c r="D18" s="3225">
        <f t="shared" ref="D18:D20" si="4">(C$16-C18)/C17</f>
        <v>0.230034353018158</v>
      </c>
      <c r="F18" s="3231" t="s">
        <v>2037</v>
      </c>
      <c r="G18" s="3239">
        <f>993*(Unit.TWh)</f>
        <v>993</v>
      </c>
      <c r="H18" s="3239">
        <f>3044*(Unit.TWh)</f>
        <v>3044</v>
      </c>
      <c r="I18" s="3240">
        <f t="shared" si="3"/>
        <v>2.0654582074521652</v>
      </c>
    </row>
    <row r="19" spans="1:9" ht="13.5" thickBot="1">
      <c r="A19" s="3219" t="s">
        <v>2490</v>
      </c>
      <c r="B19" s="539"/>
      <c r="C19" s="3237">
        <f>5617.7*(Unit.TWh)</f>
        <v>5617.7</v>
      </c>
      <c r="D19" s="3225">
        <f t="shared" si="4"/>
        <v>0.16488201467380528</v>
      </c>
      <c r="F19" s="3231" t="s">
        <v>2448</v>
      </c>
      <c r="G19" s="3239">
        <f>642*(Unit.TWh)</f>
        <v>642</v>
      </c>
      <c r="H19" s="3239">
        <f>1970*(Unit.TWh)</f>
        <v>1970</v>
      </c>
      <c r="I19" s="3240">
        <f t="shared" si="3"/>
        <v>2.0685358255451711</v>
      </c>
    </row>
    <row r="20" spans="1:9" ht="13.5" thickBot="1">
      <c r="A20" s="3226" t="s">
        <v>2491</v>
      </c>
      <c r="B20" s="3227"/>
      <c r="C20" s="3238">
        <f>5904.7*(Unit.TWh)</f>
        <v>5904.7</v>
      </c>
      <c r="D20" s="3228">
        <f t="shared" si="4"/>
        <v>9.6925788133933821E-2</v>
      </c>
      <c r="F20" s="3236" t="s">
        <v>103</v>
      </c>
      <c r="G20" s="3241">
        <f>37712*(Unit.TWh)</f>
        <v>37712</v>
      </c>
      <c r="H20" s="3241">
        <f>19313*(Unit.TWh)</f>
        <v>19313</v>
      </c>
      <c r="I20" s="3244">
        <f t="shared" si="3"/>
        <v>-0.48788184132371659</v>
      </c>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sheetPr>
    <tabColor theme="5" tint="0.39997558519241921"/>
    <pageSetUpPr autoPageBreaks="0"/>
  </sheetPr>
  <dimension ref="A1:CU579"/>
  <sheetViews>
    <sheetView showGridLines="0" topLeftCell="A66" workbookViewId="0">
      <selection activeCell="BA80" sqref="BA80:BI80"/>
    </sheetView>
  </sheetViews>
  <sheetFormatPr defaultColWidth="9.140625" defaultRowHeight="12.75" outlineLevelCol="1"/>
  <cols>
    <col min="1" max="1" width="2.140625" style="3153" customWidth="1"/>
    <col min="2" max="2" width="4.42578125" style="3153" customWidth="1"/>
    <col min="3" max="3" width="5.42578125" style="3153" bestFit="1" customWidth="1"/>
    <col min="4" max="4" width="28.140625" style="3153" customWidth="1"/>
    <col min="5" max="5" width="21.7109375" style="3153" bestFit="1" customWidth="1"/>
    <col min="6" max="6" width="12.7109375" style="3153" customWidth="1"/>
    <col min="7" max="7" width="10.28515625" style="3153" hidden="1" customWidth="1" outlineLevel="1"/>
    <col min="8" max="48" width="10.85546875" style="3153" hidden="1" customWidth="1" outlineLevel="1"/>
    <col min="49" max="49" width="17.42578125" style="3153" hidden="1" customWidth="1" outlineLevel="1"/>
    <col min="50" max="50" width="9.28515625" style="3153" customWidth="1" collapsed="1"/>
    <col min="51" max="51" width="11.140625" style="3153" customWidth="1"/>
    <col min="52" max="52" width="10.28515625" style="3153" customWidth="1"/>
    <col min="53" max="53" width="10.42578125" style="3153" customWidth="1"/>
    <col min="54" max="54" width="11.7109375" style="3153" customWidth="1"/>
    <col min="55" max="55" width="11.85546875" style="3153" customWidth="1"/>
    <col min="56" max="56" width="12.5703125" style="3153" customWidth="1"/>
    <col min="57" max="57" width="12" style="3153" customWidth="1"/>
    <col min="58" max="58" width="10.7109375" style="3153" customWidth="1"/>
    <col min="59" max="61" width="16.42578125" style="3153" bestFit="1" customWidth="1"/>
    <col min="62" max="62" width="9.140625" style="3153"/>
    <col min="63" max="63" width="16.7109375" style="3153" bestFit="1" customWidth="1"/>
    <col min="64" max="64" width="20.7109375" style="3153" bestFit="1" customWidth="1"/>
    <col min="65" max="65" width="8.42578125" style="3153" customWidth="1"/>
    <col min="66" max="66" width="17.85546875" style="3153" bestFit="1" customWidth="1"/>
    <col min="67" max="75" width="5.42578125" style="3153" bestFit="1" customWidth="1"/>
    <col min="76" max="16384" width="9.140625" style="3153"/>
  </cols>
  <sheetData>
    <row r="1" spans="1:76" ht="6.75" customHeight="1"/>
    <row r="2" spans="1:76" ht="22.5">
      <c r="A2" s="420"/>
      <c r="B2" s="206" t="s">
        <v>1125</v>
      </c>
      <c r="C2" s="175"/>
      <c r="D2" s="175"/>
      <c r="E2" s="175"/>
      <c r="F2" s="175"/>
      <c r="G2" s="175"/>
      <c r="H2" s="175"/>
      <c r="I2" s="175"/>
      <c r="J2" s="175"/>
      <c r="K2" s="175"/>
      <c r="L2" s="175"/>
      <c r="M2" s="175"/>
      <c r="N2" s="175"/>
      <c r="O2" s="175"/>
      <c r="P2" s="175"/>
      <c r="Q2" s="175"/>
      <c r="R2" s="175"/>
      <c r="S2" s="175"/>
      <c r="T2" s="175"/>
      <c r="U2" s="175"/>
      <c r="V2" s="175"/>
      <c r="W2" s="175"/>
      <c r="X2" s="175"/>
      <c r="Y2" s="175"/>
      <c r="Z2" s="175"/>
      <c r="AA2" s="175"/>
      <c r="AB2" s="175"/>
      <c r="AC2" s="175"/>
      <c r="AD2" s="175"/>
      <c r="AE2" s="175"/>
      <c r="AF2" s="175"/>
      <c r="AG2" s="175"/>
      <c r="AH2" s="175"/>
      <c r="AI2" s="175"/>
      <c r="AJ2" s="175"/>
      <c r="AK2" s="175"/>
      <c r="AL2" s="175"/>
      <c r="AM2" s="175"/>
      <c r="AN2" s="175"/>
      <c r="AO2" s="175"/>
      <c r="AP2" s="175"/>
      <c r="AQ2" s="175"/>
      <c r="AR2" s="175"/>
      <c r="AS2" s="175"/>
      <c r="AT2" s="175"/>
      <c r="AU2" s="175"/>
      <c r="AV2" s="175"/>
      <c r="AW2" s="175"/>
      <c r="AX2" s="175">
        <f>(1.09)</f>
        <v>1.0900000000000001</v>
      </c>
      <c r="AY2" s="175"/>
      <c r="AZ2" s="175"/>
      <c r="BA2" s="175">
        <f>1.5*2.8</f>
        <v>4.1999999999999993</v>
      </c>
      <c r="BB2" s="175"/>
      <c r="BC2" s="175"/>
      <c r="BD2" s="175"/>
      <c r="BE2" s="175"/>
      <c r="BF2" s="175"/>
      <c r="BG2" s="175"/>
      <c r="BH2" s="175"/>
      <c r="BI2" s="175"/>
      <c r="BJ2" s="177"/>
    </row>
    <row r="3" spans="1:76" s="51" customFormat="1" ht="20.25" customHeight="1">
      <c r="B3" s="164"/>
      <c r="C3" s="166"/>
      <c r="D3" s="166"/>
      <c r="E3" s="166"/>
      <c r="F3" s="166"/>
      <c r="G3" s="166"/>
      <c r="H3" s="1156" t="s">
        <v>1126</v>
      </c>
      <c r="I3" s="1156"/>
      <c r="J3" s="1156"/>
      <c r="K3" s="1156"/>
      <c r="L3" s="1156"/>
      <c r="M3" s="1156"/>
      <c r="N3" s="1156"/>
      <c r="O3" s="1156"/>
      <c r="P3" s="1156"/>
      <c r="Q3" s="1156"/>
      <c r="R3" s="1156"/>
      <c r="S3" s="1156"/>
      <c r="T3" s="1156"/>
      <c r="U3" s="1156"/>
      <c r="V3" s="1156"/>
      <c r="W3" s="1156"/>
      <c r="X3" s="1156"/>
      <c r="Y3" s="1156"/>
      <c r="Z3" s="1156"/>
      <c r="AA3" s="1156"/>
      <c r="AB3" s="1156"/>
      <c r="AC3" s="1156"/>
      <c r="AD3" s="1156"/>
      <c r="AE3" s="1156"/>
      <c r="AF3" s="1156"/>
      <c r="AG3" s="1156"/>
      <c r="AH3" s="1156"/>
      <c r="AI3" s="1156"/>
      <c r="AJ3" s="1156"/>
      <c r="AK3" s="1156"/>
      <c r="AL3" s="1156"/>
      <c r="AM3" s="1156"/>
      <c r="AN3" s="1156"/>
      <c r="AO3" s="1156"/>
      <c r="AP3" s="1156"/>
      <c r="AQ3" s="1156"/>
      <c r="AR3" s="1156"/>
      <c r="AS3" s="1156"/>
      <c r="AT3" s="1156"/>
      <c r="AU3" s="1156"/>
      <c r="AV3" s="1156"/>
      <c r="AW3" s="1156"/>
      <c r="AX3" s="166"/>
      <c r="AY3" s="166" t="s">
        <v>1198</v>
      </c>
      <c r="AZ3" s="166"/>
      <c r="BA3" s="166"/>
      <c r="BB3" s="166"/>
      <c r="BC3" s="166"/>
      <c r="BD3" s="166"/>
      <c r="BE3" s="166"/>
      <c r="BF3" s="166"/>
      <c r="BG3" s="166"/>
      <c r="BH3" s="1157"/>
      <c r="BI3" s="1158"/>
      <c r="BJ3" s="181"/>
      <c r="BL3" s="3153"/>
      <c r="BM3" s="3153"/>
      <c r="BN3" s="3153"/>
      <c r="BO3" s="3153"/>
      <c r="BP3" s="3153"/>
      <c r="BQ3" s="3153"/>
      <c r="BR3" s="3153"/>
      <c r="BS3" s="3153"/>
      <c r="BT3" s="3153"/>
      <c r="BU3" s="3153"/>
      <c r="BV3" s="3153"/>
      <c r="BW3" s="3153"/>
      <c r="BX3" s="3153"/>
    </row>
    <row r="4" spans="1:76" ht="20.25" customHeight="1">
      <c r="B4" s="164"/>
      <c r="C4" s="166"/>
      <c r="D4" s="2403" t="str">
        <f>preferences.energyunits &amp; " / year"</f>
        <v>TWh / year</v>
      </c>
      <c r="E4" s="166"/>
      <c r="F4" s="2404" t="s">
        <v>1127</v>
      </c>
      <c r="G4" s="1159"/>
      <c r="H4" s="1160">
        <v>1970</v>
      </c>
      <c r="I4" s="1160">
        <v>1971</v>
      </c>
      <c r="J4" s="1160">
        <v>1972</v>
      </c>
      <c r="K4" s="1160">
        <v>1973</v>
      </c>
      <c r="L4" s="1160">
        <v>1974</v>
      </c>
      <c r="M4" s="1160">
        <v>1975</v>
      </c>
      <c r="N4" s="1160">
        <v>1976</v>
      </c>
      <c r="O4" s="1160">
        <v>1977</v>
      </c>
      <c r="P4" s="1160">
        <v>1978</v>
      </c>
      <c r="Q4" s="1160">
        <v>1979</v>
      </c>
      <c r="R4" s="1160">
        <v>1980</v>
      </c>
      <c r="S4" s="1160">
        <v>1981</v>
      </c>
      <c r="T4" s="1160">
        <v>1982</v>
      </c>
      <c r="U4" s="1160">
        <v>1983</v>
      </c>
      <c r="V4" s="1160">
        <v>1984</v>
      </c>
      <c r="W4" s="1160">
        <v>1985</v>
      </c>
      <c r="X4" s="1160">
        <v>1986</v>
      </c>
      <c r="Y4" s="1160">
        <v>1987</v>
      </c>
      <c r="Z4" s="1160">
        <v>1988</v>
      </c>
      <c r="AA4" s="1160">
        <v>1989</v>
      </c>
      <c r="AB4" s="1160">
        <v>1990</v>
      </c>
      <c r="AC4" s="1160">
        <v>1991</v>
      </c>
      <c r="AD4" s="1160">
        <v>1992</v>
      </c>
      <c r="AE4" s="1160">
        <v>1993</v>
      </c>
      <c r="AF4" s="1160">
        <v>1994</v>
      </c>
      <c r="AG4" s="1160">
        <v>1995</v>
      </c>
      <c r="AH4" s="1160">
        <v>1996</v>
      </c>
      <c r="AI4" s="1160">
        <v>1997</v>
      </c>
      <c r="AJ4" s="1160">
        <v>1998</v>
      </c>
      <c r="AK4" s="1160">
        <v>1999</v>
      </c>
      <c r="AL4" s="1160">
        <v>2000</v>
      </c>
      <c r="AM4" s="1160">
        <v>2001</v>
      </c>
      <c r="AN4" s="1160">
        <v>2002</v>
      </c>
      <c r="AO4" s="1160">
        <v>2003</v>
      </c>
      <c r="AP4" s="1160">
        <v>2004</v>
      </c>
      <c r="AQ4" s="1160">
        <v>2005</v>
      </c>
      <c r="AR4" s="1160">
        <v>2006</v>
      </c>
      <c r="AS4" s="1160">
        <v>2007</v>
      </c>
      <c r="AT4" s="1160">
        <v>2008</v>
      </c>
      <c r="AU4" s="1160">
        <v>2009</v>
      </c>
      <c r="AV4" s="1160">
        <v>2010</v>
      </c>
      <c r="AW4" s="1161" t="s">
        <v>177</v>
      </c>
      <c r="AX4" s="166"/>
      <c r="AY4" s="2405">
        <v>2007</v>
      </c>
      <c r="AZ4" s="2405"/>
      <c r="BA4" s="2405">
        <f>AY4+5</f>
        <v>2012</v>
      </c>
      <c r="BB4" s="2405">
        <f t="shared" ref="BB4:BI4" si="0">BA4+5</f>
        <v>2017</v>
      </c>
      <c r="BC4" s="2405">
        <f t="shared" si="0"/>
        <v>2022</v>
      </c>
      <c r="BD4" s="2405">
        <f t="shared" si="0"/>
        <v>2027</v>
      </c>
      <c r="BE4" s="2405">
        <f t="shared" si="0"/>
        <v>2032</v>
      </c>
      <c r="BF4" s="2405">
        <f t="shared" si="0"/>
        <v>2037</v>
      </c>
      <c r="BG4" s="2405">
        <f t="shared" si="0"/>
        <v>2042</v>
      </c>
      <c r="BH4" s="2405">
        <f t="shared" si="0"/>
        <v>2047</v>
      </c>
      <c r="BI4" s="2405">
        <f t="shared" si="0"/>
        <v>2052</v>
      </c>
      <c r="BJ4" s="168"/>
    </row>
    <row r="5" spans="1:76">
      <c r="B5" s="164"/>
      <c r="C5" s="166"/>
      <c r="D5" s="166"/>
      <c r="E5" s="166"/>
      <c r="F5" s="166"/>
      <c r="G5" s="166"/>
      <c r="H5" s="1156"/>
      <c r="I5" s="1156"/>
      <c r="J5" s="1156"/>
      <c r="K5" s="1156"/>
      <c r="L5" s="1156"/>
      <c r="M5" s="1156"/>
      <c r="N5" s="1156"/>
      <c r="O5" s="1156"/>
      <c r="P5" s="1156"/>
      <c r="Q5" s="1156"/>
      <c r="R5" s="1156"/>
      <c r="S5" s="1156"/>
      <c r="T5" s="1156"/>
      <c r="U5" s="1156"/>
      <c r="V5" s="1156"/>
      <c r="W5" s="1156"/>
      <c r="X5" s="1156"/>
      <c r="Y5" s="1156"/>
      <c r="Z5" s="1156"/>
      <c r="AA5" s="1156"/>
      <c r="AB5" s="1156"/>
      <c r="AC5" s="1156"/>
      <c r="AD5" s="1156"/>
      <c r="AE5" s="1156"/>
      <c r="AF5" s="1156"/>
      <c r="AG5" s="1156"/>
      <c r="AH5" s="1156"/>
      <c r="AI5" s="1156"/>
      <c r="AJ5" s="1156"/>
      <c r="AK5" s="1156"/>
      <c r="AL5" s="1156"/>
      <c r="AM5" s="1156"/>
      <c r="AN5" s="1156"/>
      <c r="AO5" s="1156"/>
      <c r="AP5" s="1156"/>
      <c r="AQ5" s="1156"/>
      <c r="AR5" s="1156"/>
      <c r="AS5" s="1156"/>
      <c r="AT5" s="1156"/>
      <c r="AU5" s="1156"/>
      <c r="AV5" s="1156"/>
      <c r="AW5" s="1156"/>
      <c r="AX5" s="166"/>
      <c r="AY5" s="166"/>
      <c r="AZ5" s="166"/>
      <c r="BA5" s="166"/>
      <c r="BB5" s="166"/>
      <c r="BC5" s="166"/>
      <c r="BD5" s="166"/>
      <c r="BE5" s="166"/>
      <c r="BF5" s="166"/>
      <c r="BG5" s="166"/>
      <c r="BH5" s="166"/>
      <c r="BI5" s="166"/>
      <c r="BJ5" s="168"/>
    </row>
    <row r="6" spans="1:76" s="410" customFormat="1">
      <c r="B6" s="1162"/>
      <c r="C6" s="1163" t="s">
        <v>1128</v>
      </c>
      <c r="D6" s="1164"/>
      <c r="E6" s="166"/>
      <c r="F6" s="1184"/>
      <c r="G6" s="1184"/>
      <c r="H6" s="1188"/>
      <c r="I6" s="1188"/>
      <c r="J6" s="1188"/>
      <c r="K6" s="1188"/>
      <c r="L6" s="1188"/>
      <c r="M6" s="1188"/>
      <c r="N6" s="1188"/>
      <c r="O6" s="1188"/>
      <c r="P6" s="1188"/>
      <c r="Q6" s="1188"/>
      <c r="R6" s="1188"/>
      <c r="S6" s="1188"/>
      <c r="T6" s="1188"/>
      <c r="U6" s="1188"/>
      <c r="V6" s="1188"/>
      <c r="W6" s="1188"/>
      <c r="X6" s="1188"/>
      <c r="Y6" s="1188"/>
      <c r="Z6" s="1188"/>
      <c r="AA6" s="1188"/>
      <c r="AB6" s="1188"/>
      <c r="AC6" s="1188"/>
      <c r="AD6" s="1188"/>
      <c r="AE6" s="1188"/>
      <c r="AF6" s="1188"/>
      <c r="AG6" s="1188"/>
      <c r="AH6" s="1188"/>
      <c r="AI6" s="1188"/>
      <c r="AJ6" s="1188"/>
      <c r="AK6" s="1188"/>
      <c r="AL6" s="1188"/>
      <c r="AM6" s="1188"/>
      <c r="AN6" s="1188"/>
      <c r="AO6" s="1188"/>
      <c r="AP6" s="1188"/>
      <c r="AQ6" s="1188"/>
      <c r="AR6" s="1188"/>
      <c r="AS6" s="1188"/>
      <c r="AT6" s="1188"/>
      <c r="AU6" s="1188"/>
      <c r="AV6" s="1188"/>
      <c r="AW6" s="1188"/>
      <c r="AX6" s="166"/>
      <c r="AY6" s="267"/>
      <c r="AZ6" s="267"/>
      <c r="BA6" s="267"/>
      <c r="BB6" s="267"/>
      <c r="BC6" s="267"/>
      <c r="BD6" s="267"/>
      <c r="BE6" s="267"/>
      <c r="BF6" s="267"/>
      <c r="BG6" s="267"/>
      <c r="BH6" s="267"/>
      <c r="BI6" s="267"/>
      <c r="BJ6" s="1166"/>
      <c r="BK6" s="1167"/>
    </row>
    <row r="7" spans="1:76" s="410" customFormat="1">
      <c r="B7" s="1162"/>
      <c r="C7" s="1164" t="s">
        <v>44</v>
      </c>
      <c r="D7" s="1164" t="str">
        <f>INDEX(Vectors[Description], MATCH($C7, Vectors[Code], 0))</f>
        <v>Domestic Lighting &amp; appliances</v>
      </c>
      <c r="E7" s="166"/>
      <c r="F7" s="1184"/>
      <c r="G7" s="1184"/>
      <c r="H7" s="1188"/>
      <c r="I7" s="1188"/>
      <c r="J7" s="1188"/>
      <c r="K7" s="1188"/>
      <c r="L7" s="1188"/>
      <c r="M7" s="1188"/>
      <c r="N7" s="1188"/>
      <c r="O7" s="1188"/>
      <c r="P7" s="1188"/>
      <c r="Q7" s="1188"/>
      <c r="R7" s="1188"/>
      <c r="S7" s="1188"/>
      <c r="T7" s="1188"/>
      <c r="U7" s="1188"/>
      <c r="V7" s="1188"/>
      <c r="W7" s="1188"/>
      <c r="X7" s="1188"/>
      <c r="Y7" s="1188"/>
      <c r="Z7" s="1188"/>
      <c r="AA7" s="1188"/>
      <c r="AB7" s="1188"/>
      <c r="AC7" s="1188"/>
      <c r="AD7" s="1188"/>
      <c r="AE7" s="1188"/>
      <c r="AF7" s="1188"/>
      <c r="AG7" s="1188"/>
      <c r="AH7" s="1188"/>
      <c r="AI7" s="1188"/>
      <c r="AJ7" s="1188"/>
      <c r="AK7" s="1188"/>
      <c r="AL7" s="1188"/>
      <c r="AM7" s="1188"/>
      <c r="AN7" s="1188"/>
      <c r="AO7" s="1188"/>
      <c r="AP7" s="1188"/>
      <c r="AQ7" s="1188"/>
      <c r="AR7" s="1188"/>
      <c r="AS7" s="1188"/>
      <c r="AT7" s="1188"/>
      <c r="AU7" s="1188"/>
      <c r="AV7" s="1188"/>
      <c r="AW7" s="1188"/>
      <c r="AX7" s="166"/>
      <c r="AY7" s="267">
        <f ca="1">INDEX(INDIRECT("'"&amp;AY$4&amp;"'!Year.NetBalance"), MATCH($C7, INDIRECT("'"&amp;AY$4&amp;"'!Year.Vectors"), 0))</f>
        <v>125.22829189364668</v>
      </c>
      <c r="AZ7" s="267"/>
      <c r="BA7" s="267">
        <f t="shared" ref="BA7:BI7" ca="1" si="1">INDEX(INDIRECT("'"&amp;BA$4&amp;"'!Year.NetBalance"), MATCH($C7, INDIRECT("'"&amp;BA$4&amp;"'!Year.Vectors"), 0))</f>
        <v>169.69505456493178</v>
      </c>
      <c r="BB7" s="267">
        <f t="shared" ca="1" si="1"/>
        <v>300.04431466291476</v>
      </c>
      <c r="BC7" s="267">
        <f t="shared" ca="1" si="1"/>
        <v>496.30573002834524</v>
      </c>
      <c r="BD7" s="267">
        <f t="shared" ca="1" si="1"/>
        <v>774.27220243376769</v>
      </c>
      <c r="BE7" s="267">
        <f t="shared" ca="1" si="1"/>
        <v>1159.8318853695678</v>
      </c>
      <c r="BF7" s="267">
        <f t="shared" ca="1" si="1"/>
        <v>1453.7842020047071</v>
      </c>
      <c r="BG7" s="267">
        <f t="shared" ca="1" si="1"/>
        <v>1804.4491932933804</v>
      </c>
      <c r="BH7" s="267">
        <f t="shared" ca="1" si="1"/>
        <v>2204.4681998125216</v>
      </c>
      <c r="BI7" s="267">
        <f t="shared" ca="1" si="1"/>
        <v>2671.8455088986261</v>
      </c>
      <c r="BJ7" s="1166"/>
      <c r="BK7" s="1167"/>
    </row>
    <row r="8" spans="1:76" s="410" customFormat="1">
      <c r="B8" s="1162"/>
      <c r="C8" s="1164" t="s">
        <v>1094</v>
      </c>
      <c r="D8" s="1164" t="str">
        <f>INDEX(Vectors[Description], MATCH($C8, Vectors[Code], 0))</f>
        <v>Commercial Lighting &amp; Appliances</v>
      </c>
      <c r="E8" s="166"/>
      <c r="F8" s="1184"/>
      <c r="G8" s="1184"/>
      <c r="H8" s="1188"/>
      <c r="I8" s="1188"/>
      <c r="J8" s="1188"/>
      <c r="K8" s="1188"/>
      <c r="L8" s="1188"/>
      <c r="M8" s="1188"/>
      <c r="N8" s="1188"/>
      <c r="O8" s="1188"/>
      <c r="P8" s="1188"/>
      <c r="Q8" s="1188"/>
      <c r="R8" s="1188"/>
      <c r="S8" s="1188"/>
      <c r="T8" s="1188"/>
      <c r="U8" s="1188"/>
      <c r="V8" s="1188"/>
      <c r="W8" s="1188"/>
      <c r="X8" s="1188"/>
      <c r="Y8" s="1188"/>
      <c r="Z8" s="1188"/>
      <c r="AA8" s="1188"/>
      <c r="AB8" s="1188"/>
      <c r="AC8" s="1188"/>
      <c r="AD8" s="1188"/>
      <c r="AE8" s="1188"/>
      <c r="AF8" s="1188"/>
      <c r="AG8" s="1188"/>
      <c r="AH8" s="1188"/>
      <c r="AI8" s="1188"/>
      <c r="AJ8" s="1188"/>
      <c r="AK8" s="1188"/>
      <c r="AL8" s="1188"/>
      <c r="AM8" s="1188"/>
      <c r="AN8" s="1188"/>
      <c r="AO8" s="1188"/>
      <c r="AP8" s="1188"/>
      <c r="AQ8" s="1188"/>
      <c r="AR8" s="1188"/>
      <c r="AS8" s="1188"/>
      <c r="AT8" s="1188"/>
      <c r="AU8" s="1188"/>
      <c r="AV8" s="1188"/>
      <c r="AW8" s="1188"/>
      <c r="AX8" s="166"/>
      <c r="AY8" s="267">
        <f t="shared" ref="AY8:BI19" ca="1" si="2">INDEX(INDIRECT("'"&amp;AY$4&amp;"'!Year.NetBalance"), MATCH($C8, INDIRECT("'"&amp;AY$4&amp;"'!Year.Vectors"), 0))</f>
        <v>69.837354022093393</v>
      </c>
      <c r="AZ8" s="267"/>
      <c r="BA8" s="267">
        <f t="shared" ca="1" si="2"/>
        <v>69.837354022093393</v>
      </c>
      <c r="BB8" s="267">
        <f t="shared" ca="1" si="2"/>
        <v>115.42859864757057</v>
      </c>
      <c r="BC8" s="267">
        <f t="shared" ca="1" si="2"/>
        <v>190.80114950572121</v>
      </c>
      <c r="BD8" s="267">
        <f t="shared" ca="1" si="2"/>
        <v>315.42107081978503</v>
      </c>
      <c r="BE8" s="267">
        <f t="shared" ca="1" si="2"/>
        <v>521.48617151177393</v>
      </c>
      <c r="BF8" s="267">
        <f t="shared" ca="1" si="2"/>
        <v>689.67530682847894</v>
      </c>
      <c r="BG8" s="267">
        <f t="shared" ca="1" si="2"/>
        <v>912.10861348452363</v>
      </c>
      <c r="BH8" s="267">
        <f t="shared" ca="1" si="2"/>
        <v>970.55849777696983</v>
      </c>
      <c r="BI8" s="267">
        <f t="shared" ca="1" si="2"/>
        <v>1032.7539765340366</v>
      </c>
      <c r="BJ8" s="1166"/>
      <c r="BK8" s="1167"/>
    </row>
    <row r="9" spans="1:76" s="2850" customFormat="1">
      <c r="B9" s="2851"/>
      <c r="C9" s="2852" t="s">
        <v>2139</v>
      </c>
      <c r="D9" s="2852" t="s">
        <v>2140</v>
      </c>
      <c r="E9" s="178"/>
      <c r="F9" s="1184"/>
      <c r="G9" s="1184"/>
      <c r="H9" s="1188"/>
      <c r="I9" s="1188"/>
      <c r="J9" s="1188"/>
      <c r="K9" s="1188"/>
      <c r="L9" s="1188"/>
      <c r="M9" s="1188"/>
      <c r="N9" s="1188"/>
      <c r="O9" s="1188"/>
      <c r="P9" s="1188"/>
      <c r="Q9" s="1188"/>
      <c r="R9" s="1188"/>
      <c r="S9" s="1188"/>
      <c r="T9" s="1188"/>
      <c r="U9" s="1188"/>
      <c r="V9" s="1188"/>
      <c r="W9" s="1188"/>
      <c r="X9" s="1188"/>
      <c r="Y9" s="1188"/>
      <c r="Z9" s="1188"/>
      <c r="AA9" s="1188"/>
      <c r="AB9" s="1188"/>
      <c r="AC9" s="1188"/>
      <c r="AD9" s="1188"/>
      <c r="AE9" s="1188"/>
      <c r="AF9" s="1188"/>
      <c r="AG9" s="1188"/>
      <c r="AH9" s="1188"/>
      <c r="AI9" s="1188"/>
      <c r="AJ9" s="1188"/>
      <c r="AK9" s="1188"/>
      <c r="AL9" s="1188"/>
      <c r="AM9" s="1188"/>
      <c r="AN9" s="1188"/>
      <c r="AO9" s="1188"/>
      <c r="AP9" s="1188"/>
      <c r="AQ9" s="1188"/>
      <c r="AR9" s="1188"/>
      <c r="AS9" s="1188"/>
      <c r="AT9" s="1188"/>
      <c r="AU9" s="1188"/>
      <c r="AV9" s="1188"/>
      <c r="AW9" s="1188"/>
      <c r="AX9" s="166"/>
      <c r="AY9" s="2853">
        <f ca="1">SUM(AY7,AY8,AY15)</f>
        <v>195.04686356435622</v>
      </c>
      <c r="AZ9" s="2853"/>
      <c r="BA9" s="2853">
        <f t="shared" ref="BA9:BI9" ca="1" si="3">SUM(BA7,BA8,BA15)</f>
        <v>239.51357277241706</v>
      </c>
      <c r="BB9" s="2853">
        <f t="shared" ca="1" si="3"/>
        <v>415.43937846394886</v>
      </c>
      <c r="BC9" s="2853">
        <f t="shared" ca="1" si="3"/>
        <v>687.04608464062051</v>
      </c>
      <c r="BD9" s="2853">
        <f t="shared" ca="1" si="3"/>
        <v>1089.5830300801267</v>
      </c>
      <c r="BE9" s="2853">
        <f t="shared" ca="1" si="3"/>
        <v>1681.1144958506338</v>
      </c>
      <c r="BF9" s="2853">
        <f t="shared" ca="1" si="3"/>
        <v>2143.1893083636123</v>
      </c>
      <c r="BG9" s="2853">
        <f t="shared" ca="1" si="3"/>
        <v>2716.1990958498081</v>
      </c>
      <c r="BH9" s="2853">
        <f t="shared" ca="1" si="3"/>
        <v>3174.6434844524338</v>
      </c>
      <c r="BI9" s="2853">
        <f t="shared" ca="1" si="3"/>
        <v>3704.1900397353238</v>
      </c>
      <c r="BJ9" s="2854"/>
      <c r="BK9" s="2855"/>
    </row>
    <row r="10" spans="1:76" s="2850" customFormat="1">
      <c r="B10" s="2851"/>
      <c r="C10" s="2852" t="s">
        <v>13</v>
      </c>
      <c r="D10" s="2852" t="str">
        <f>INDEX(Vectors[Description], MATCH($C10, Vectors[Code], 0))</f>
        <v>Industry</v>
      </c>
      <c r="E10" s="178"/>
      <c r="F10" s="1184"/>
      <c r="G10" s="1184"/>
      <c r="H10" s="1188"/>
      <c r="I10" s="1188"/>
      <c r="J10" s="1188"/>
      <c r="K10" s="1188"/>
      <c r="L10" s="1188"/>
      <c r="M10" s="1188"/>
      <c r="N10" s="1188"/>
      <c r="O10" s="1188"/>
      <c r="P10" s="1188"/>
      <c r="Q10" s="1188"/>
      <c r="R10" s="1188"/>
      <c r="S10" s="1188"/>
      <c r="T10" s="1188"/>
      <c r="U10" s="1188"/>
      <c r="V10" s="1188"/>
      <c r="W10" s="1188"/>
      <c r="X10" s="1188"/>
      <c r="Y10" s="1188"/>
      <c r="Z10" s="1188"/>
      <c r="AA10" s="1188"/>
      <c r="AB10" s="1188"/>
      <c r="AC10" s="1188"/>
      <c r="AD10" s="1188"/>
      <c r="AE10" s="1188"/>
      <c r="AF10" s="1188"/>
      <c r="AG10" s="1188"/>
      <c r="AH10" s="1188"/>
      <c r="AI10" s="1188"/>
      <c r="AJ10" s="1188"/>
      <c r="AK10" s="1188"/>
      <c r="AL10" s="1188"/>
      <c r="AM10" s="1188"/>
      <c r="AN10" s="1188"/>
      <c r="AO10" s="1188"/>
      <c r="AP10" s="1188"/>
      <c r="AQ10" s="1188"/>
      <c r="AR10" s="1188"/>
      <c r="AS10" s="1188"/>
      <c r="AT10" s="1188"/>
      <c r="AU10" s="1188"/>
      <c r="AV10" s="1188"/>
      <c r="AW10" s="1188"/>
      <c r="AX10" s="166"/>
      <c r="AY10" s="2853">
        <f t="shared" ca="1" si="2"/>
        <v>1615.7381002510185</v>
      </c>
      <c r="AZ10" s="2853"/>
      <c r="BA10" s="2853">
        <f t="shared" ca="1" si="2"/>
        <v>2278.7991580746871</v>
      </c>
      <c r="BB10" s="2853">
        <f t="shared" ca="1" si="2"/>
        <v>3188.0989682873605</v>
      </c>
      <c r="BC10" s="2853">
        <f t="shared" ca="1" si="2"/>
        <v>4295.4614477243704</v>
      </c>
      <c r="BD10" s="2853">
        <f t="shared" ca="1" si="2"/>
        <v>5520.8820237437531</v>
      </c>
      <c r="BE10" s="2853">
        <f t="shared" ca="1" si="2"/>
        <v>6883.4692319432552</v>
      </c>
      <c r="BF10" s="2853">
        <f t="shared" ca="1" si="2"/>
        <v>8404.5908555044025</v>
      </c>
      <c r="BG10" s="2853">
        <f t="shared" ca="1" si="2"/>
        <v>9897.3852759882448</v>
      </c>
      <c r="BH10" s="2853">
        <f t="shared" ca="1" si="2"/>
        <v>11326.434333202775</v>
      </c>
      <c r="BI10" s="2853">
        <f t="shared" ca="1" si="2"/>
        <v>12793.271831310853</v>
      </c>
      <c r="BJ10" s="2854"/>
      <c r="BK10" s="2855"/>
    </row>
    <row r="11" spans="1:76" s="410" customFormat="1">
      <c r="B11" s="1162"/>
      <c r="C11" s="1164" t="s">
        <v>27</v>
      </c>
      <c r="D11" s="1164" t="str">
        <f>INDEX(Vectors[Description], MATCH($C11, Vectors[Code], 0))</f>
        <v>Road transport</v>
      </c>
      <c r="E11" s="166"/>
      <c r="F11" s="1184"/>
      <c r="G11" s="1184"/>
      <c r="H11" s="1188"/>
      <c r="I11" s="1188"/>
      <c r="J11" s="1188"/>
      <c r="K11" s="1188"/>
      <c r="L11" s="1188"/>
      <c r="M11" s="1188"/>
      <c r="N11" s="1188"/>
      <c r="O11" s="1188"/>
      <c r="P11" s="1188"/>
      <c r="Q11" s="1188"/>
      <c r="R11" s="1188"/>
      <c r="S11" s="1188"/>
      <c r="T11" s="1188"/>
      <c r="U11" s="1188"/>
      <c r="V11" s="1188"/>
      <c r="W11" s="1188"/>
      <c r="X11" s="1188"/>
      <c r="Y11" s="1188"/>
      <c r="Z11" s="1188"/>
      <c r="AA11" s="1188"/>
      <c r="AB11" s="1188"/>
      <c r="AC11" s="1188"/>
      <c r="AD11" s="1188"/>
      <c r="AE11" s="1188"/>
      <c r="AF11" s="1188"/>
      <c r="AG11" s="1188"/>
      <c r="AH11" s="1188"/>
      <c r="AI11" s="1188"/>
      <c r="AJ11" s="1188"/>
      <c r="AK11" s="1188"/>
      <c r="AL11" s="1188"/>
      <c r="AM11" s="1188"/>
      <c r="AN11" s="1188"/>
      <c r="AO11" s="1188"/>
      <c r="AP11" s="1188"/>
      <c r="AQ11" s="1188"/>
      <c r="AR11" s="1188"/>
      <c r="AS11" s="1188"/>
      <c r="AT11" s="1188"/>
      <c r="AU11" s="1188"/>
      <c r="AV11" s="1188"/>
      <c r="AW11" s="1188"/>
      <c r="AX11" s="166"/>
      <c r="AY11" s="267">
        <f t="shared" ca="1" si="2"/>
        <v>787.06155646625621</v>
      </c>
      <c r="AZ11" s="267"/>
      <c r="BA11" s="267">
        <f t="shared" ca="1" si="2"/>
        <v>787.06155646625621</v>
      </c>
      <c r="BB11" s="267">
        <f t="shared" ca="1" si="2"/>
        <v>1183.5003505918451</v>
      </c>
      <c r="BC11" s="267">
        <f t="shared" ca="1" si="2"/>
        <v>1701.3122530102653</v>
      </c>
      <c r="BD11" s="267">
        <f t="shared" ca="1" si="2"/>
        <v>2314.0471127888795</v>
      </c>
      <c r="BE11" s="267">
        <f t="shared" ca="1" si="2"/>
        <v>3069.4990489133552</v>
      </c>
      <c r="BF11" s="267">
        <f t="shared" ca="1" si="2"/>
        <v>3939.7762899745112</v>
      </c>
      <c r="BG11" s="267">
        <f t="shared" ca="1" si="2"/>
        <v>4775.3737630712158</v>
      </c>
      <c r="BH11" s="267">
        <f t="shared" ca="1" si="2"/>
        <v>5691.5734456276959</v>
      </c>
      <c r="BI11" s="267">
        <f t="shared" ca="1" si="2"/>
        <v>6608.0229282688942</v>
      </c>
      <c r="BJ11" s="1166"/>
      <c r="BK11" s="1167"/>
    </row>
    <row r="12" spans="1:76" s="410" customFormat="1">
      <c r="B12" s="1162"/>
      <c r="C12" s="1164" t="s">
        <v>28</v>
      </c>
      <c r="D12" s="1164" t="str">
        <f>INDEX(Vectors[Description], MATCH($C12, Vectors[Code], 0))</f>
        <v>Rail transport</v>
      </c>
      <c r="E12" s="166"/>
      <c r="F12" s="1184"/>
      <c r="G12" s="1184"/>
      <c r="H12" s="1188"/>
      <c r="I12" s="1188"/>
      <c r="J12" s="1188"/>
      <c r="K12" s="1188"/>
      <c r="L12" s="1188"/>
      <c r="M12" s="1188"/>
      <c r="N12" s="1188"/>
      <c r="O12" s="1188"/>
      <c r="P12" s="1188"/>
      <c r="Q12" s="1188"/>
      <c r="R12" s="1188"/>
      <c r="S12" s="1188"/>
      <c r="T12" s="1188"/>
      <c r="U12" s="1188"/>
      <c r="V12" s="1188"/>
      <c r="W12" s="1188"/>
      <c r="X12" s="1188"/>
      <c r="Y12" s="1188"/>
      <c r="Z12" s="1188"/>
      <c r="AA12" s="1188"/>
      <c r="AB12" s="1188"/>
      <c r="AC12" s="1188"/>
      <c r="AD12" s="1188"/>
      <c r="AE12" s="1188"/>
      <c r="AF12" s="1188"/>
      <c r="AG12" s="1188"/>
      <c r="AH12" s="1188"/>
      <c r="AI12" s="1188"/>
      <c r="AJ12" s="1188"/>
      <c r="AK12" s="1188"/>
      <c r="AL12" s="1188"/>
      <c r="AM12" s="1188"/>
      <c r="AN12" s="1188"/>
      <c r="AO12" s="1188"/>
      <c r="AP12" s="1188"/>
      <c r="AQ12" s="1188"/>
      <c r="AR12" s="1188"/>
      <c r="AS12" s="1188"/>
      <c r="AT12" s="1188"/>
      <c r="AU12" s="1188"/>
      <c r="AV12" s="1188"/>
      <c r="AW12" s="1188"/>
      <c r="AX12" s="166"/>
      <c r="AY12" s="267">
        <f t="shared" ca="1" si="2"/>
        <v>40.532439000000011</v>
      </c>
      <c r="AZ12" s="267"/>
      <c r="BA12" s="267">
        <f t="shared" ca="1" si="2"/>
        <v>40.532439000000011</v>
      </c>
      <c r="BB12" s="267">
        <f t="shared" ca="1" si="2"/>
        <v>51.889640514935813</v>
      </c>
      <c r="BC12" s="267">
        <f t="shared" ca="1" si="2"/>
        <v>64.646055064107586</v>
      </c>
      <c r="BD12" s="267">
        <f t="shared" ca="1" si="2"/>
        <v>78.303037740055146</v>
      </c>
      <c r="BE12" s="267">
        <f t="shared" ca="1" si="2"/>
        <v>93.684977873310913</v>
      </c>
      <c r="BF12" s="267">
        <f t="shared" ca="1" si="2"/>
        <v>110.98195843630529</v>
      </c>
      <c r="BG12" s="267">
        <f t="shared" ca="1" si="2"/>
        <v>119.53006725946128</v>
      </c>
      <c r="BH12" s="267">
        <f t="shared" ca="1" si="2"/>
        <v>128.80789870764113</v>
      </c>
      <c r="BI12" s="267">
        <f t="shared" ca="1" si="2"/>
        <v>137.98743134823923</v>
      </c>
      <c r="BJ12" s="1166"/>
      <c r="BK12" s="1167"/>
    </row>
    <row r="13" spans="1:76" s="410" customFormat="1">
      <c r="B13" s="1162"/>
      <c r="C13" s="1164" t="s">
        <v>29</v>
      </c>
      <c r="D13" s="1164" t="str">
        <f>INDEX(Vectors[Description], MATCH($C13, Vectors[Code], 0))</f>
        <v>Domestic aviation</v>
      </c>
      <c r="E13" s="166"/>
      <c r="F13" s="1184"/>
      <c r="G13" s="1184"/>
      <c r="H13" s="1188"/>
      <c r="I13" s="1188"/>
      <c r="J13" s="1188"/>
      <c r="K13" s="1188"/>
      <c r="L13" s="1188"/>
      <c r="M13" s="1188"/>
      <c r="N13" s="1188"/>
      <c r="O13" s="1188"/>
      <c r="P13" s="1188"/>
      <c r="Q13" s="1188"/>
      <c r="R13" s="1188"/>
      <c r="S13" s="1188"/>
      <c r="T13" s="1188"/>
      <c r="U13" s="1188"/>
      <c r="V13" s="1188"/>
      <c r="W13" s="1188"/>
      <c r="X13" s="1188"/>
      <c r="Y13" s="1188"/>
      <c r="Z13" s="1188"/>
      <c r="AA13" s="1188"/>
      <c r="AB13" s="1188"/>
      <c r="AC13" s="1188"/>
      <c r="AD13" s="1188"/>
      <c r="AE13" s="1188"/>
      <c r="AF13" s="1188"/>
      <c r="AG13" s="1188"/>
      <c r="AH13" s="1188"/>
      <c r="AI13" s="1188"/>
      <c r="AJ13" s="1188"/>
      <c r="AK13" s="1188"/>
      <c r="AL13" s="1188"/>
      <c r="AM13" s="1188"/>
      <c r="AN13" s="1188"/>
      <c r="AO13" s="1188"/>
      <c r="AP13" s="1188"/>
      <c r="AQ13" s="1188"/>
      <c r="AR13" s="1188"/>
      <c r="AS13" s="1188"/>
      <c r="AT13" s="1188"/>
      <c r="AU13" s="1188"/>
      <c r="AV13" s="1188"/>
      <c r="AW13" s="1188"/>
      <c r="AX13" s="166"/>
      <c r="AY13" s="267">
        <f t="shared" ca="1" si="2"/>
        <v>20.278462364171851</v>
      </c>
      <c r="AZ13" s="267"/>
      <c r="BA13" s="267">
        <f t="shared" ca="1" si="2"/>
        <v>20.278462364171851</v>
      </c>
      <c r="BB13" s="267">
        <f t="shared" ca="1" si="2"/>
        <v>36.12439727059617</v>
      </c>
      <c r="BC13" s="267">
        <f t="shared" ca="1" si="2"/>
        <v>59.137226964286882</v>
      </c>
      <c r="BD13" s="267">
        <f t="shared" ca="1" si="2"/>
        <v>88.317186557985124</v>
      </c>
      <c r="BE13" s="267">
        <f t="shared" ca="1" si="2"/>
        <v>124.7495741974252</v>
      </c>
      <c r="BF13" s="267">
        <f t="shared" ca="1" si="2"/>
        <v>167.86358992348687</v>
      </c>
      <c r="BG13" s="267">
        <f t="shared" ca="1" si="2"/>
        <v>213.51120810629951</v>
      </c>
      <c r="BH13" s="267">
        <f t="shared" ca="1" si="2"/>
        <v>264.94707888033457</v>
      </c>
      <c r="BI13" s="267">
        <f t="shared" ca="1" si="2"/>
        <v>324.82761580889445</v>
      </c>
      <c r="BJ13" s="1166"/>
      <c r="BK13" s="2706"/>
    </row>
    <row r="14" spans="1:76" s="2850" customFormat="1">
      <c r="B14" s="2851"/>
      <c r="C14" s="2852" t="s">
        <v>2141</v>
      </c>
      <c r="D14" s="2852" t="s">
        <v>113</v>
      </c>
      <c r="E14" s="178"/>
      <c r="F14" s="1184"/>
      <c r="G14" s="1184"/>
      <c r="H14" s="1188"/>
      <c r="I14" s="1188"/>
      <c r="J14" s="1188"/>
      <c r="K14" s="1188"/>
      <c r="L14" s="1188"/>
      <c r="M14" s="1188"/>
      <c r="N14" s="1188"/>
      <c r="O14" s="1188"/>
      <c r="P14" s="1188"/>
      <c r="Q14" s="1188"/>
      <c r="R14" s="1188"/>
      <c r="S14" s="1188"/>
      <c r="T14" s="1188"/>
      <c r="U14" s="1188"/>
      <c r="V14" s="1188"/>
      <c r="W14" s="1188"/>
      <c r="X14" s="1188"/>
      <c r="Y14" s="1188"/>
      <c r="Z14" s="1188"/>
      <c r="AA14" s="1188"/>
      <c r="AB14" s="1188"/>
      <c r="AC14" s="1188"/>
      <c r="AD14" s="1188"/>
      <c r="AE14" s="1188"/>
      <c r="AF14" s="1188"/>
      <c r="AG14" s="1188"/>
      <c r="AH14" s="1188"/>
      <c r="AI14" s="1188"/>
      <c r="AJ14" s="1188"/>
      <c r="AK14" s="1188"/>
      <c r="AL14" s="1188"/>
      <c r="AM14" s="1188"/>
      <c r="AN14" s="1188"/>
      <c r="AO14" s="1188"/>
      <c r="AP14" s="1188"/>
      <c r="AQ14" s="1188"/>
      <c r="AR14" s="1188"/>
      <c r="AS14" s="1188"/>
      <c r="AT14" s="1188"/>
      <c r="AU14" s="1188"/>
      <c r="AV14" s="1188"/>
      <c r="AW14" s="1188"/>
      <c r="AX14" s="166"/>
      <c r="AY14" s="2853">
        <f ca="1">SUM(AY11:AY13)</f>
        <v>847.87245783042817</v>
      </c>
      <c r="AZ14" s="2853"/>
      <c r="BA14" s="2853">
        <f t="shared" ref="BA14:BI14" ca="1" si="4">SUM(BA11:BA13)</f>
        <v>847.87245783042817</v>
      </c>
      <c r="BB14" s="2853">
        <f t="shared" ca="1" si="4"/>
        <v>1271.5143883773769</v>
      </c>
      <c r="BC14" s="2853">
        <f t="shared" ca="1" si="4"/>
        <v>1825.0955350386596</v>
      </c>
      <c r="BD14" s="2853">
        <f t="shared" ca="1" si="4"/>
        <v>2480.6673370869198</v>
      </c>
      <c r="BE14" s="2853">
        <f t="shared" ca="1" si="4"/>
        <v>3287.9336009840913</v>
      </c>
      <c r="BF14" s="2853">
        <f t="shared" ca="1" si="4"/>
        <v>4218.6218383343039</v>
      </c>
      <c r="BG14" s="2853">
        <f t="shared" ca="1" si="4"/>
        <v>5108.4150384369768</v>
      </c>
      <c r="BH14" s="2853">
        <f t="shared" ca="1" si="4"/>
        <v>6085.328423215672</v>
      </c>
      <c r="BI14" s="2853">
        <f t="shared" ca="1" si="4"/>
        <v>7070.8379754260286</v>
      </c>
      <c r="BJ14" s="2854"/>
      <c r="BK14" s="2856"/>
    </row>
    <row r="15" spans="1:76">
      <c r="B15" s="164"/>
      <c r="C15" s="166" t="s">
        <v>1528</v>
      </c>
      <c r="D15" s="1164" t="str">
        <f>INDEX(Vectors[Description], MATCH($C15, Vectors[Code], 0))</f>
        <v>Green Building Design &amp; Envelope Savings</v>
      </c>
      <c r="E15" s="166"/>
      <c r="F15" s="1184"/>
      <c r="G15" s="1184"/>
      <c r="H15" s="1188"/>
      <c r="I15" s="1188"/>
      <c r="J15" s="1188"/>
      <c r="K15" s="1188"/>
      <c r="L15" s="1188"/>
      <c r="M15" s="1188"/>
      <c r="N15" s="1188"/>
      <c r="O15" s="1188"/>
      <c r="P15" s="1188"/>
      <c r="Q15" s="1188"/>
      <c r="R15" s="1188"/>
      <c r="S15" s="1188"/>
      <c r="T15" s="1188"/>
      <c r="U15" s="1188"/>
      <c r="V15" s="1188"/>
      <c r="W15" s="1188"/>
      <c r="X15" s="1188"/>
      <c r="Y15" s="1188"/>
      <c r="Z15" s="1188"/>
      <c r="AA15" s="1188"/>
      <c r="AB15" s="1188"/>
      <c r="AC15" s="1188"/>
      <c r="AD15" s="1188"/>
      <c r="AE15" s="1188"/>
      <c r="AF15" s="1188"/>
      <c r="AG15" s="1188"/>
      <c r="AH15" s="1188"/>
      <c r="AI15" s="1188"/>
      <c r="AJ15" s="1188"/>
      <c r="AK15" s="1188"/>
      <c r="AL15" s="1188"/>
      <c r="AM15" s="1188"/>
      <c r="AN15" s="1188"/>
      <c r="AO15" s="1188"/>
      <c r="AP15" s="1188"/>
      <c r="AQ15" s="1188"/>
      <c r="AR15" s="1188"/>
      <c r="AS15" s="1188"/>
      <c r="AT15" s="1188"/>
      <c r="AU15" s="1188"/>
      <c r="AV15" s="1188"/>
      <c r="AW15" s="1188"/>
      <c r="AX15" s="166"/>
      <c r="AY15" s="267">
        <f t="shared" ca="1" si="2"/>
        <v>-1.8782351383851339E-2</v>
      </c>
      <c r="AZ15" s="267"/>
      <c r="BA15" s="267">
        <f t="shared" ca="1" si="2"/>
        <v>-1.8835814608099886E-2</v>
      </c>
      <c r="BB15" s="267">
        <f t="shared" ca="1" si="2"/>
        <v>-3.3534846536453375E-2</v>
      </c>
      <c r="BC15" s="267">
        <f t="shared" ca="1" si="2"/>
        <v>-6.0794893445987486E-2</v>
      </c>
      <c r="BD15" s="267">
        <f t="shared" ca="1" si="2"/>
        <v>-0.11024317342604743</v>
      </c>
      <c r="BE15" s="267">
        <f t="shared" ca="1" si="2"/>
        <v>-0.20356103070805628</v>
      </c>
      <c r="BF15" s="267">
        <f t="shared" ca="1" si="2"/>
        <v>-0.2702004695738901</v>
      </c>
      <c r="BG15" s="267">
        <f t="shared" ca="1" si="2"/>
        <v>-0.35871092809590743</v>
      </c>
      <c r="BH15" s="267">
        <f t="shared" ca="1" si="2"/>
        <v>-0.38321313705787546</v>
      </c>
      <c r="BI15" s="267">
        <f t="shared" ca="1" si="2"/>
        <v>-0.40944569733879987</v>
      </c>
      <c r="BJ15" s="1169"/>
      <c r="BK15" s="22"/>
      <c r="BM15" s="22"/>
      <c r="BN15" s="22"/>
    </row>
    <row r="16" spans="1:76" s="423" customFormat="1">
      <c r="B16" s="1179"/>
      <c r="C16" s="1180" t="s">
        <v>1218</v>
      </c>
      <c r="D16" s="2852" t="s">
        <v>106</v>
      </c>
      <c r="E16" s="178"/>
      <c r="F16" s="1184"/>
      <c r="G16" s="1184"/>
      <c r="H16" s="1188"/>
      <c r="I16" s="1188"/>
      <c r="J16" s="1188"/>
      <c r="K16" s="1188"/>
      <c r="L16" s="1188"/>
      <c r="M16" s="1188"/>
      <c r="N16" s="1188"/>
      <c r="O16" s="1188"/>
      <c r="P16" s="1188"/>
      <c r="Q16" s="1188"/>
      <c r="R16" s="1188"/>
      <c r="S16" s="1188"/>
      <c r="T16" s="1188"/>
      <c r="U16" s="1188"/>
      <c r="V16" s="1188"/>
      <c r="W16" s="1188"/>
      <c r="X16" s="1188"/>
      <c r="Y16" s="1188"/>
      <c r="Z16" s="1188"/>
      <c r="AA16" s="1188"/>
      <c r="AB16" s="1188"/>
      <c r="AC16" s="1188"/>
      <c r="AD16" s="1188"/>
      <c r="AE16" s="1188"/>
      <c r="AF16" s="1188"/>
      <c r="AG16" s="1188"/>
      <c r="AH16" s="1188"/>
      <c r="AI16" s="1188"/>
      <c r="AJ16" s="1188"/>
      <c r="AK16" s="1188"/>
      <c r="AL16" s="1188"/>
      <c r="AM16" s="1188"/>
      <c r="AN16" s="1188"/>
      <c r="AO16" s="1188"/>
      <c r="AP16" s="1188"/>
      <c r="AQ16" s="1188"/>
      <c r="AR16" s="1188"/>
      <c r="AS16" s="1188"/>
      <c r="AT16" s="1188"/>
      <c r="AU16" s="1188"/>
      <c r="AV16" s="1188"/>
      <c r="AW16" s="1188"/>
      <c r="AX16" s="166"/>
      <c r="AY16" s="2853">
        <f t="shared" ca="1" si="2"/>
        <v>177.82856075231598</v>
      </c>
      <c r="AZ16" s="2853"/>
      <c r="BA16" s="2853">
        <f t="shared" ca="1" si="2"/>
        <v>237.20689383625</v>
      </c>
      <c r="BB16" s="2853">
        <f t="shared" ca="1" si="2"/>
        <v>328.28524058963927</v>
      </c>
      <c r="BC16" s="2853">
        <f t="shared" ca="1" si="2"/>
        <v>453.51772092097099</v>
      </c>
      <c r="BD16" s="2853">
        <f t="shared" ca="1" si="2"/>
        <v>591.38499180914857</v>
      </c>
      <c r="BE16" s="2853">
        <f t="shared" ca="1" si="2"/>
        <v>750.10240185765565</v>
      </c>
      <c r="BF16" s="2853">
        <f t="shared" ca="1" si="2"/>
        <v>850.28842752484661</v>
      </c>
      <c r="BG16" s="2853">
        <f t="shared" ca="1" si="2"/>
        <v>969.30878318682096</v>
      </c>
      <c r="BH16" s="2853">
        <f t="shared" ca="1" si="2"/>
        <v>1047.8059052018175</v>
      </c>
      <c r="BI16" s="2853">
        <f t="shared" ca="1" si="2"/>
        <v>1134.4954568667354</v>
      </c>
      <c r="BJ16" s="1181"/>
      <c r="BK16" s="73"/>
    </row>
    <row r="17" spans="1:63" s="423" customFormat="1">
      <c r="B17" s="1179"/>
      <c r="C17" s="1180" t="s">
        <v>851</v>
      </c>
      <c r="D17" s="2852" t="s">
        <v>1078</v>
      </c>
      <c r="E17" s="178"/>
      <c r="F17" s="1184"/>
      <c r="G17" s="1184"/>
      <c r="H17" s="1188"/>
      <c r="I17" s="1188"/>
      <c r="J17" s="1188"/>
      <c r="K17" s="1188"/>
      <c r="L17" s="1188"/>
      <c r="M17" s="1188"/>
      <c r="N17" s="1188"/>
      <c r="O17" s="1188"/>
      <c r="P17" s="1188"/>
      <c r="Q17" s="1188"/>
      <c r="R17" s="1188"/>
      <c r="S17" s="1188"/>
      <c r="T17" s="1188"/>
      <c r="U17" s="1188"/>
      <c r="V17" s="1188"/>
      <c r="W17" s="1188"/>
      <c r="X17" s="1188"/>
      <c r="Y17" s="1188"/>
      <c r="Z17" s="1188"/>
      <c r="AA17" s="1188"/>
      <c r="AB17" s="1188"/>
      <c r="AC17" s="1188"/>
      <c r="AD17" s="1188"/>
      <c r="AE17" s="1188"/>
      <c r="AF17" s="1188"/>
      <c r="AG17" s="1188"/>
      <c r="AH17" s="1188"/>
      <c r="AI17" s="1188"/>
      <c r="AJ17" s="1188"/>
      <c r="AK17" s="1188"/>
      <c r="AL17" s="1188"/>
      <c r="AM17" s="1188"/>
      <c r="AN17" s="1188"/>
      <c r="AO17" s="1188"/>
      <c r="AP17" s="1188"/>
      <c r="AQ17" s="1188"/>
      <c r="AR17" s="1188"/>
      <c r="AS17" s="1188"/>
      <c r="AT17" s="1188"/>
      <c r="AU17" s="1188"/>
      <c r="AV17" s="1188"/>
      <c r="AW17" s="1188"/>
      <c r="AX17" s="166"/>
      <c r="AY17" s="2853">
        <f t="shared" ca="1" si="2"/>
        <v>13.886920800000002</v>
      </c>
      <c r="AZ17" s="2853"/>
      <c r="BA17" s="2853">
        <f t="shared" ca="1" si="2"/>
        <v>82.680180507719996</v>
      </c>
      <c r="BB17" s="2853">
        <f t="shared" ca="1" si="2"/>
        <v>99.664904892716379</v>
      </c>
      <c r="BC17" s="2853">
        <f t="shared" ca="1" si="2"/>
        <v>122.4937137883776</v>
      </c>
      <c r="BD17" s="2853">
        <f t="shared" ca="1" si="2"/>
        <v>159.42605002636802</v>
      </c>
      <c r="BE17" s="2853">
        <f t="shared" ca="1" si="2"/>
        <v>182.09914419246934</v>
      </c>
      <c r="BF17" s="2853">
        <f t="shared" ca="1" si="2"/>
        <v>192.06311941056913</v>
      </c>
      <c r="BG17" s="2853">
        <f t="shared" ca="1" si="2"/>
        <v>201.26218130858288</v>
      </c>
      <c r="BH17" s="2853">
        <f t="shared" ca="1" si="2"/>
        <v>236.97670613572353</v>
      </c>
      <c r="BI17" s="2853">
        <f t="shared" ca="1" si="2"/>
        <v>299.8511332140688</v>
      </c>
      <c r="BJ17" s="1181"/>
      <c r="BK17" s="73"/>
    </row>
    <row r="18" spans="1:63">
      <c r="B18" s="164"/>
      <c r="C18" s="1170" t="s">
        <v>1052</v>
      </c>
      <c r="D18" s="1164" t="s">
        <v>1946</v>
      </c>
      <c r="E18" s="166"/>
      <c r="F18" s="1184"/>
      <c r="G18" s="1184"/>
      <c r="H18" s="1188"/>
      <c r="I18" s="1188"/>
      <c r="J18" s="1188"/>
      <c r="K18" s="1188"/>
      <c r="L18" s="1188"/>
      <c r="M18" s="1188"/>
      <c r="N18" s="1188"/>
      <c r="O18" s="1188"/>
      <c r="P18" s="1188"/>
      <c r="Q18" s="1188"/>
      <c r="R18" s="1188"/>
      <c r="S18" s="1188"/>
      <c r="T18" s="1188"/>
      <c r="U18" s="1188"/>
      <c r="V18" s="1188"/>
      <c r="W18" s="1188"/>
      <c r="X18" s="1188"/>
      <c r="Y18" s="1188"/>
      <c r="Z18" s="1188"/>
      <c r="AA18" s="1188"/>
      <c r="AB18" s="1188"/>
      <c r="AC18" s="1188"/>
      <c r="AD18" s="1188"/>
      <c r="AE18" s="1188"/>
      <c r="AF18" s="1188"/>
      <c r="AG18" s="1188"/>
      <c r="AH18" s="1188"/>
      <c r="AI18" s="1188"/>
      <c r="AJ18" s="1188"/>
      <c r="AK18" s="1188"/>
      <c r="AL18" s="1188"/>
      <c r="AM18" s="1188"/>
      <c r="AN18" s="1188"/>
      <c r="AO18" s="1188"/>
      <c r="AP18" s="1188"/>
      <c r="AQ18" s="1188"/>
      <c r="AR18" s="1188"/>
      <c r="AS18" s="1188"/>
      <c r="AT18" s="1188"/>
      <c r="AU18" s="1188"/>
      <c r="AV18" s="1188"/>
      <c r="AW18" s="1188"/>
      <c r="AX18" s="166"/>
      <c r="AY18" s="267">
        <f t="shared" ca="1" si="2"/>
        <v>1045.8611113960574</v>
      </c>
      <c r="AZ18" s="267"/>
      <c r="BA18" s="267">
        <f t="shared" ca="1" si="2"/>
        <v>1153.7282449630281</v>
      </c>
      <c r="BB18" s="267">
        <f t="shared" ca="1" si="2"/>
        <v>1148.4989388784084</v>
      </c>
      <c r="BC18" s="267">
        <f t="shared" ca="1" si="2"/>
        <v>1155.9568110410034</v>
      </c>
      <c r="BD18" s="267">
        <f t="shared" ca="1" si="2"/>
        <v>1156.4277437769356</v>
      </c>
      <c r="BE18" s="267">
        <f t="shared" ca="1" si="2"/>
        <v>1145.5431763602155</v>
      </c>
      <c r="BF18" s="267">
        <f t="shared" ca="1" si="2"/>
        <v>1128.6766748639811</v>
      </c>
      <c r="BG18" s="267">
        <f t="shared" ca="1" si="2"/>
        <v>1099.7850738372154</v>
      </c>
      <c r="BH18" s="267">
        <f t="shared" ca="1" si="2"/>
        <v>1069.2095057928398</v>
      </c>
      <c r="BI18" s="267">
        <f t="shared" ca="1" si="2"/>
        <v>1079.9753438946816</v>
      </c>
      <c r="BJ18" s="1169"/>
      <c r="BK18" s="22"/>
    </row>
    <row r="19" spans="1:63">
      <c r="B19" s="164"/>
      <c r="C19" s="1170" t="s">
        <v>1090</v>
      </c>
      <c r="D19" s="1164" t="s">
        <v>878</v>
      </c>
      <c r="E19" s="166"/>
      <c r="F19" s="1184"/>
      <c r="G19" s="1184"/>
      <c r="H19" s="1188"/>
      <c r="I19" s="1188"/>
      <c r="J19" s="1188"/>
      <c r="K19" s="1188"/>
      <c r="L19" s="1188"/>
      <c r="M19" s="1188"/>
      <c r="N19" s="1188"/>
      <c r="O19" s="1188"/>
      <c r="P19" s="1188"/>
      <c r="Q19" s="1188"/>
      <c r="R19" s="1188"/>
      <c r="S19" s="1188"/>
      <c r="T19" s="1188"/>
      <c r="U19" s="1188"/>
      <c r="V19" s="1188"/>
      <c r="W19" s="1188"/>
      <c r="X19" s="1188"/>
      <c r="Y19" s="1188"/>
      <c r="Z19" s="1188"/>
      <c r="AA19" s="1188"/>
      <c r="AB19" s="1188"/>
      <c r="AC19" s="1188"/>
      <c r="AD19" s="1188"/>
      <c r="AE19" s="1188"/>
      <c r="AF19" s="1188"/>
      <c r="AG19" s="1188"/>
      <c r="AH19" s="1188"/>
      <c r="AI19" s="1188"/>
      <c r="AJ19" s="1188"/>
      <c r="AK19" s="1188"/>
      <c r="AL19" s="1188"/>
      <c r="AM19" s="1188"/>
      <c r="AN19" s="1188"/>
      <c r="AO19" s="1188"/>
      <c r="AP19" s="1188"/>
      <c r="AQ19" s="1188"/>
      <c r="AR19" s="1188"/>
      <c r="AS19" s="1188"/>
      <c r="AT19" s="1188"/>
      <c r="AU19" s="1188"/>
      <c r="AV19" s="1188"/>
      <c r="AW19" s="1188"/>
      <c r="AX19" s="166"/>
      <c r="AY19" s="267">
        <f t="shared" ca="1" si="2"/>
        <v>42.636687837081858</v>
      </c>
      <c r="AZ19" s="267"/>
      <c r="BA19" s="267">
        <f t="shared" ca="1" si="2"/>
        <v>64.767224585824962</v>
      </c>
      <c r="BB19" s="267">
        <f t="shared" ca="1" si="2"/>
        <v>96.64390987736526</v>
      </c>
      <c r="BC19" s="267">
        <f t="shared" ca="1" si="2"/>
        <v>143.41278923679616</v>
      </c>
      <c r="BD19" s="267">
        <f t="shared" ca="1" si="2"/>
        <v>210.74579320156334</v>
      </c>
      <c r="BE19" s="267">
        <f t="shared" ca="1" si="2"/>
        <v>308.34342741085425</v>
      </c>
      <c r="BF19" s="267">
        <f t="shared" ca="1" si="2"/>
        <v>412.63306124605418</v>
      </c>
      <c r="BG19" s="267">
        <f t="shared" ca="1" si="2"/>
        <v>552.19611672285725</v>
      </c>
      <c r="BH19" s="267">
        <f t="shared" ca="1" si="2"/>
        <v>738.96296724992294</v>
      </c>
      <c r="BI19" s="267">
        <f t="shared" ca="1" si="2"/>
        <v>988.89914367303845</v>
      </c>
      <c r="BJ19" s="1169"/>
      <c r="BK19" s="22"/>
    </row>
    <row r="20" spans="1:63" s="423" customFormat="1">
      <c r="B20" s="1179"/>
      <c r="C20" s="1180" t="s">
        <v>2142</v>
      </c>
      <c r="D20" s="2852" t="s">
        <v>1051</v>
      </c>
      <c r="E20" s="178"/>
      <c r="F20" s="1184"/>
      <c r="G20" s="1184"/>
      <c r="H20" s="1188"/>
      <c r="I20" s="1188"/>
      <c r="J20" s="1188"/>
      <c r="K20" s="1188"/>
      <c r="L20" s="1188"/>
      <c r="M20" s="1188"/>
      <c r="N20" s="1188"/>
      <c r="O20" s="1188"/>
      <c r="P20" s="1188"/>
      <c r="Q20" s="1188"/>
      <c r="R20" s="1188"/>
      <c r="S20" s="1188"/>
      <c r="T20" s="1188"/>
      <c r="U20" s="1188"/>
      <c r="V20" s="1188"/>
      <c r="W20" s="1188"/>
      <c r="X20" s="1188"/>
      <c r="Y20" s="1188"/>
      <c r="Z20" s="1188"/>
      <c r="AA20" s="1188"/>
      <c r="AB20" s="1188"/>
      <c r="AC20" s="1188"/>
      <c r="AD20" s="1188"/>
      <c r="AE20" s="1188"/>
      <c r="AF20" s="1188"/>
      <c r="AG20" s="1188"/>
      <c r="AH20" s="1188"/>
      <c r="AI20" s="1188"/>
      <c r="AJ20" s="1188"/>
      <c r="AK20" s="1188"/>
      <c r="AL20" s="1188"/>
      <c r="AM20" s="1188"/>
      <c r="AN20" s="1188"/>
      <c r="AO20" s="1188"/>
      <c r="AP20" s="1188"/>
      <c r="AQ20" s="1188"/>
      <c r="AR20" s="1188"/>
      <c r="AS20" s="1188"/>
      <c r="AT20" s="1188"/>
      <c r="AU20" s="1188"/>
      <c r="AV20" s="1188"/>
      <c r="AW20" s="1188"/>
      <c r="AX20" s="166"/>
      <c r="AY20" s="2853">
        <f ca="1">SUM(AY18:AY19)</f>
        <v>1088.4977992331392</v>
      </c>
      <c r="AZ20" s="2853"/>
      <c r="BA20" s="2853">
        <f t="shared" ref="BA20:BI20" ca="1" si="5">SUM(BA18:BA19)</f>
        <v>1218.4954695488532</v>
      </c>
      <c r="BB20" s="2853">
        <f t="shared" ca="1" si="5"/>
        <v>1245.1428487557737</v>
      </c>
      <c r="BC20" s="2853">
        <f t="shared" ca="1" si="5"/>
        <v>1299.3696002777997</v>
      </c>
      <c r="BD20" s="2853">
        <f t="shared" ca="1" si="5"/>
        <v>1367.173536978499</v>
      </c>
      <c r="BE20" s="2853">
        <f t="shared" ca="1" si="5"/>
        <v>1453.8866037710698</v>
      </c>
      <c r="BF20" s="2853">
        <f t="shared" ca="1" si="5"/>
        <v>1541.3097361100354</v>
      </c>
      <c r="BG20" s="2853">
        <f t="shared" ca="1" si="5"/>
        <v>1651.9811905600727</v>
      </c>
      <c r="BH20" s="2853">
        <f t="shared" ca="1" si="5"/>
        <v>1808.1724730427627</v>
      </c>
      <c r="BI20" s="2853">
        <f t="shared" ca="1" si="5"/>
        <v>2068.8744875677203</v>
      </c>
      <c r="BJ20" s="1181"/>
      <c r="BK20" s="73"/>
    </row>
    <row r="21" spans="1:63" s="859" customFormat="1" ht="18">
      <c r="A21" s="3061"/>
      <c r="B21" s="1172"/>
      <c r="C21" s="1173"/>
      <c r="D21" s="1174" t="s">
        <v>2144</v>
      </c>
      <c r="E21" s="166"/>
      <c r="F21" s="1184"/>
      <c r="G21" s="1184"/>
      <c r="H21" s="1188"/>
      <c r="I21" s="1188"/>
      <c r="J21" s="1188"/>
      <c r="K21" s="1188"/>
      <c r="L21" s="1188"/>
      <c r="M21" s="1188"/>
      <c r="N21" s="1188"/>
      <c r="O21" s="1188"/>
      <c r="P21" s="1188"/>
      <c r="Q21" s="1188"/>
      <c r="R21" s="1188"/>
      <c r="S21" s="1188"/>
      <c r="T21" s="1188"/>
      <c r="U21" s="1188"/>
      <c r="V21" s="1188"/>
      <c r="W21" s="1188"/>
      <c r="X21" s="1188"/>
      <c r="Y21" s="1188"/>
      <c r="Z21" s="1188"/>
      <c r="AA21" s="1188"/>
      <c r="AB21" s="1188"/>
      <c r="AC21" s="1188"/>
      <c r="AD21" s="1188"/>
      <c r="AE21" s="1188"/>
      <c r="AF21" s="1188"/>
      <c r="AG21" s="1188"/>
      <c r="AH21" s="1188"/>
      <c r="AI21" s="1188"/>
      <c r="AJ21" s="1188"/>
      <c r="AK21" s="1188"/>
      <c r="AL21" s="1188"/>
      <c r="AM21" s="1188"/>
      <c r="AN21" s="1188"/>
      <c r="AO21" s="1188"/>
      <c r="AP21" s="1188"/>
      <c r="AQ21" s="1188"/>
      <c r="AR21" s="1188"/>
      <c r="AS21" s="1188"/>
      <c r="AT21" s="1188"/>
      <c r="AU21" s="1188"/>
      <c r="AV21" s="1188"/>
      <c r="AW21" s="1188"/>
      <c r="AX21" s="166"/>
      <c r="AY21" s="2858">
        <f ca="1">SUM(AY9,AY10,AY14,AY16,AY17,AY20)</f>
        <v>3938.870702431258</v>
      </c>
      <c r="AZ21" s="2858"/>
      <c r="BA21" s="2858">
        <f t="shared" ref="BA21:BI21" ca="1" si="6">SUM(BA9,BA10,BA14,BA16,BA17,BA20)</f>
        <v>4904.5677325703546</v>
      </c>
      <c r="BB21" s="2858">
        <f t="shared" ca="1" si="6"/>
        <v>6548.1457293668154</v>
      </c>
      <c r="BC21" s="2858">
        <f t="shared" ca="1" si="6"/>
        <v>8682.9841023907975</v>
      </c>
      <c r="BD21" s="2858">
        <f t="shared" ca="1" si="6"/>
        <v>11209.116969724815</v>
      </c>
      <c r="BE21" s="2858">
        <f t="shared" ca="1" si="6"/>
        <v>14238.605478599175</v>
      </c>
      <c r="BF21" s="2858">
        <f t="shared" ca="1" si="6"/>
        <v>17350.063285247772</v>
      </c>
      <c r="BG21" s="2858">
        <f t="shared" ca="1" si="6"/>
        <v>20544.551565330505</v>
      </c>
      <c r="BH21" s="2858">
        <f t="shared" ca="1" si="6"/>
        <v>23679.361325251186</v>
      </c>
      <c r="BI21" s="2858">
        <f t="shared" ca="1" si="6"/>
        <v>27071.520924120727</v>
      </c>
      <c r="BJ21" s="1177"/>
      <c r="BK21" s="2707"/>
    </row>
    <row r="22" spans="1:63" s="3062" customFormat="1">
      <c r="B22" s="3068" t="s">
        <v>2366</v>
      </c>
      <c r="C22" s="3063"/>
      <c r="D22" s="3064" t="s">
        <v>2143</v>
      </c>
      <c r="E22" s="3065"/>
      <c r="F22" s="1184"/>
      <c r="G22" s="1184"/>
      <c r="H22" s="1188"/>
      <c r="I22" s="1188"/>
      <c r="J22" s="1188"/>
      <c r="K22" s="1188"/>
      <c r="L22" s="1188"/>
      <c r="M22" s="1188"/>
      <c r="N22" s="1188"/>
      <c r="O22" s="1188"/>
      <c r="P22" s="1188"/>
      <c r="Q22" s="1188"/>
      <c r="R22" s="1188"/>
      <c r="S22" s="1188"/>
      <c r="T22" s="1188"/>
      <c r="U22" s="1188"/>
      <c r="V22" s="1188"/>
      <c r="W22" s="1188"/>
      <c r="X22" s="1188"/>
      <c r="Y22" s="1188"/>
      <c r="Z22" s="1188"/>
      <c r="AA22" s="1188"/>
      <c r="AB22" s="1188"/>
      <c r="AC22" s="1188"/>
      <c r="AD22" s="1188"/>
      <c r="AE22" s="1188"/>
      <c r="AF22" s="1188"/>
      <c r="AG22" s="1188"/>
      <c r="AH22" s="1188"/>
      <c r="AI22" s="1188"/>
      <c r="AJ22" s="1188"/>
      <c r="AK22" s="1188"/>
      <c r="AL22" s="1188"/>
      <c r="AM22" s="1188"/>
      <c r="AN22" s="1188"/>
      <c r="AO22" s="1188"/>
      <c r="AP22" s="1188"/>
      <c r="AQ22" s="1188"/>
      <c r="AR22" s="1188"/>
      <c r="AS22" s="1188"/>
      <c r="AT22" s="1188"/>
      <c r="AU22" s="1188"/>
      <c r="AV22" s="1188"/>
      <c r="AW22" s="1188"/>
      <c r="AX22" s="166"/>
      <c r="AY22" s="3151">
        <v>3938.870702431258</v>
      </c>
      <c r="AZ22" s="3151"/>
      <c r="BA22" s="3151">
        <v>4868.1772880626359</v>
      </c>
      <c r="BB22" s="3151">
        <v>6504.8091099427747</v>
      </c>
      <c r="BC22" s="3151">
        <v>8643.3680839445606</v>
      </c>
      <c r="BD22" s="3151">
        <v>11195.232592127055</v>
      </c>
      <c r="BE22" s="3151">
        <v>14288.325622795021</v>
      </c>
      <c r="BF22" s="3151">
        <v>17496.300880645067</v>
      </c>
      <c r="BG22" s="3151">
        <v>20783.703320373068</v>
      </c>
      <c r="BH22" s="3151">
        <v>24015.916656305515</v>
      </c>
      <c r="BI22" s="3151"/>
      <c r="BJ22" s="3066"/>
      <c r="BK22" s="3067"/>
    </row>
    <row r="23" spans="1:63" s="37" customFormat="1">
      <c r="B23" s="1182"/>
      <c r="C23" s="1183"/>
      <c r="D23" s="3189" t="s">
        <v>2461</v>
      </c>
      <c r="E23" s="166"/>
      <c r="F23" s="1184"/>
      <c r="G23" s="1184"/>
      <c r="H23" s="1188"/>
      <c r="I23" s="1188"/>
      <c r="J23" s="1188"/>
      <c r="K23" s="1188"/>
      <c r="L23" s="1188"/>
      <c r="M23" s="1188"/>
      <c r="N23" s="1188"/>
      <c r="O23" s="1188"/>
      <c r="P23" s="1188"/>
      <c r="Q23" s="1188"/>
      <c r="R23" s="1188"/>
      <c r="S23" s="1188"/>
      <c r="T23" s="1188"/>
      <c r="U23" s="1188"/>
      <c r="V23" s="1188"/>
      <c r="W23" s="1188"/>
      <c r="X23" s="1188"/>
      <c r="Y23" s="1188"/>
      <c r="Z23" s="1188"/>
      <c r="AA23" s="1188"/>
      <c r="AB23" s="1188"/>
      <c r="AC23" s="1188"/>
      <c r="AD23" s="1188"/>
      <c r="AE23" s="1188"/>
      <c r="AF23" s="1188"/>
      <c r="AG23" s="1188"/>
      <c r="AH23" s="1188"/>
      <c r="AI23" s="1188"/>
      <c r="AJ23" s="1188"/>
      <c r="AK23" s="1188"/>
      <c r="AL23" s="1188"/>
      <c r="AM23" s="1188"/>
      <c r="AN23" s="1188"/>
      <c r="AO23" s="1188"/>
      <c r="AP23" s="1188"/>
      <c r="AQ23" s="1188"/>
      <c r="AR23" s="1188"/>
      <c r="AS23" s="1188"/>
      <c r="AT23" s="1188"/>
      <c r="AU23" s="1188"/>
      <c r="AV23" s="1188"/>
      <c r="AW23" s="1188"/>
      <c r="AX23" s="166">
        <f>Unit.Mtoe</f>
        <v>11.63</v>
      </c>
      <c r="AY23" s="1185"/>
      <c r="AZ23" s="1185"/>
      <c r="BA23" s="1185">
        <f ca="1">BA21*10^9/BA82</f>
        <v>4033.5351145964114</v>
      </c>
      <c r="BB23" s="1185">
        <f t="shared" ref="BB23:BH23" ca="1" si="7">BB21*10^9/BB82</f>
        <v>5062.1114923997366</v>
      </c>
      <c r="BC23" s="1185">
        <f t="shared" ca="1" si="7"/>
        <v>6275.6829637585097</v>
      </c>
      <c r="BD23" s="1185">
        <f t="shared" ca="1" si="7"/>
        <v>7711.9863236968904</v>
      </c>
      <c r="BE23" s="1185">
        <f t="shared" ca="1" si="7"/>
        <v>9282.3891187627414</v>
      </c>
      <c r="BF23" s="1185">
        <f t="shared" ca="1" si="7"/>
        <v>10897.258185061572</v>
      </c>
      <c r="BG23" s="1185">
        <f t="shared" ca="1" si="7"/>
        <v>12379.374837380859</v>
      </c>
      <c r="BH23" s="1185">
        <f t="shared" ca="1" si="7"/>
        <v>13894.929070806482</v>
      </c>
      <c r="BI23" s="1185"/>
      <c r="BJ23" s="1186"/>
      <c r="BK23" s="141"/>
    </row>
    <row r="24" spans="1:63" s="37" customFormat="1">
      <c r="B24" s="1182"/>
      <c r="C24" s="1183"/>
      <c r="D24" s="1288" t="s">
        <v>2430</v>
      </c>
      <c r="E24" s="166"/>
      <c r="F24" s="1184"/>
      <c r="G24" s="1184"/>
      <c r="H24" s="1188"/>
      <c r="I24" s="1188"/>
      <c r="J24" s="1188"/>
      <c r="K24" s="1188"/>
      <c r="L24" s="1188"/>
      <c r="M24" s="1188"/>
      <c r="N24" s="1188"/>
      <c r="O24" s="1188"/>
      <c r="P24" s="1188"/>
      <c r="Q24" s="1188"/>
      <c r="R24" s="1188"/>
      <c r="S24" s="1188"/>
      <c r="T24" s="1188"/>
      <c r="U24" s="1188"/>
      <c r="V24" s="1188"/>
      <c r="W24" s="1188"/>
      <c r="X24" s="1188"/>
      <c r="Y24" s="1188"/>
      <c r="Z24" s="1188"/>
      <c r="AA24" s="1188"/>
      <c r="AB24" s="1188"/>
      <c r="AC24" s="1188"/>
      <c r="AD24" s="1188"/>
      <c r="AE24" s="1188"/>
      <c r="AF24" s="1188"/>
      <c r="AG24" s="1188"/>
      <c r="AH24" s="1188"/>
      <c r="AI24" s="1188"/>
      <c r="AJ24" s="1188"/>
      <c r="AK24" s="1188"/>
      <c r="AL24" s="1188"/>
      <c r="AM24" s="1188"/>
      <c r="AN24" s="1188"/>
      <c r="AO24" s="1188"/>
      <c r="AP24" s="1188"/>
      <c r="AQ24" s="1188"/>
      <c r="AR24" s="1188"/>
      <c r="AS24" s="1188"/>
      <c r="AT24" s="1188"/>
      <c r="AU24" s="1188"/>
      <c r="AV24" s="1188"/>
      <c r="AW24" s="1188"/>
      <c r="AX24" s="166"/>
      <c r="AY24" s="1185"/>
      <c r="AZ24" s="1185"/>
      <c r="BA24" s="3158" t="s">
        <v>2427</v>
      </c>
      <c r="BB24" s="3158" t="s">
        <v>2428</v>
      </c>
      <c r="BC24" s="1313"/>
      <c r="BD24" s="3158" t="s">
        <v>2429</v>
      </c>
      <c r="BE24" s="1185"/>
      <c r="BF24" s="1185"/>
      <c r="BG24" s="1185"/>
      <c r="BH24" s="1185"/>
      <c r="BI24" s="1185"/>
      <c r="BJ24" s="1186"/>
      <c r="BK24" s="141"/>
    </row>
    <row r="25" spans="1:63" s="37" customFormat="1">
      <c r="B25" s="1182"/>
      <c r="C25" s="1183"/>
      <c r="D25" s="1184" t="s">
        <v>2449</v>
      </c>
      <c r="E25" s="3156">
        <f ca="1">(BH21/BA21)^(1/35)-1</f>
        <v>4.6011030273909403E-2</v>
      </c>
      <c r="F25" s="1184"/>
      <c r="G25" s="1184"/>
      <c r="H25" s="1188"/>
      <c r="I25" s="1188"/>
      <c r="J25" s="1188"/>
      <c r="K25" s="1188"/>
      <c r="L25" s="1188"/>
      <c r="M25" s="1188"/>
      <c r="N25" s="1188"/>
      <c r="O25" s="1188"/>
      <c r="P25" s="1188"/>
      <c r="Q25" s="1188"/>
      <c r="R25" s="1188"/>
      <c r="S25" s="1188"/>
      <c r="T25" s="1188"/>
      <c r="U25" s="1188"/>
      <c r="V25" s="1188"/>
      <c r="W25" s="1188"/>
      <c r="X25" s="1188"/>
      <c r="Y25" s="1188"/>
      <c r="Z25" s="1188"/>
      <c r="AA25" s="1188"/>
      <c r="AB25" s="1188"/>
      <c r="AC25" s="1188"/>
      <c r="AD25" s="1188"/>
      <c r="AE25" s="1188"/>
      <c r="AF25" s="1188"/>
      <c r="AG25" s="1188"/>
      <c r="AH25" s="1188"/>
      <c r="AI25" s="1188"/>
      <c r="AJ25" s="1188"/>
      <c r="AK25" s="1188"/>
      <c r="AL25" s="1188"/>
      <c r="AM25" s="1188"/>
      <c r="AN25" s="1188"/>
      <c r="AO25" s="1188"/>
      <c r="AP25" s="1188"/>
      <c r="AQ25" s="1188"/>
      <c r="AR25" s="1188"/>
      <c r="AS25" s="1188"/>
      <c r="AT25" s="1188"/>
      <c r="AU25" s="1188"/>
      <c r="AV25" s="1188"/>
      <c r="AW25" s="1188"/>
      <c r="AX25" s="166"/>
      <c r="AY25" s="1185"/>
      <c r="AZ25" s="1185"/>
      <c r="BB25" s="3156">
        <v>1.4999999999999999E-2</v>
      </c>
      <c r="BC25" s="1185"/>
      <c r="BD25" s="1185"/>
      <c r="BE25" s="1185"/>
      <c r="BF25" s="1185"/>
      <c r="BG25" s="1185"/>
      <c r="BH25" s="1185"/>
      <c r="BI25" s="1185"/>
      <c r="BJ25" s="1186"/>
      <c r="BK25" s="141"/>
    </row>
    <row r="26" spans="1:63" s="37" customFormat="1">
      <c r="B26" s="1182"/>
      <c r="C26" s="1183"/>
      <c r="D26" s="1184" t="s">
        <v>113</v>
      </c>
      <c r="E26" s="3156">
        <f ca="1">(BH14/BA14)^(1/35)-1</f>
        <v>5.7927275135660317E-2</v>
      </c>
      <c r="F26" s="1184"/>
      <c r="G26" s="1184"/>
      <c r="H26" s="1188"/>
      <c r="I26" s="1188"/>
      <c r="J26" s="1188"/>
      <c r="K26" s="1188"/>
      <c r="L26" s="1188"/>
      <c r="M26" s="1188"/>
      <c r="N26" s="1188"/>
      <c r="O26" s="1188"/>
      <c r="P26" s="1188"/>
      <c r="Q26" s="1188"/>
      <c r="R26" s="1188"/>
      <c r="S26" s="1188"/>
      <c r="T26" s="1188"/>
      <c r="U26" s="1188"/>
      <c r="V26" s="1188"/>
      <c r="W26" s="1188"/>
      <c r="X26" s="1188"/>
      <c r="Y26" s="1188"/>
      <c r="Z26" s="1188"/>
      <c r="AA26" s="1188"/>
      <c r="AB26" s="1188"/>
      <c r="AC26" s="1188"/>
      <c r="AD26" s="1188"/>
      <c r="AE26" s="1188"/>
      <c r="AF26" s="1188"/>
      <c r="AG26" s="1188"/>
      <c r="AH26" s="1188"/>
      <c r="AI26" s="1188"/>
      <c r="AJ26" s="1188"/>
      <c r="AK26" s="1188"/>
      <c r="AL26" s="1188"/>
      <c r="AM26" s="1188"/>
      <c r="AN26" s="1188"/>
      <c r="AO26" s="1188"/>
      <c r="AP26" s="1188"/>
      <c r="AQ26" s="1188"/>
      <c r="AR26" s="1188"/>
      <c r="AS26" s="1188"/>
      <c r="AT26" s="1188"/>
      <c r="AU26" s="1188"/>
      <c r="AV26" s="1188"/>
      <c r="AW26" s="1188"/>
      <c r="AX26" s="166"/>
      <c r="AY26" s="1185"/>
      <c r="AZ26" s="1185"/>
      <c r="BB26" s="1185"/>
      <c r="BC26" s="1185"/>
      <c r="BD26" s="1185"/>
      <c r="BE26" s="1185"/>
      <c r="BF26" s="1185"/>
      <c r="BG26" s="1185"/>
      <c r="BH26" s="1185"/>
      <c r="BI26" s="1185"/>
      <c r="BJ26" s="1186"/>
      <c r="BK26" s="141"/>
    </row>
    <row r="27" spans="1:63" s="37" customFormat="1">
      <c r="B27" s="1182"/>
      <c r="C27" s="1183"/>
      <c r="D27" s="1184" t="s">
        <v>33</v>
      </c>
      <c r="E27" s="3156">
        <f ca="1">(BH10/BA10)^(1/35)-1</f>
        <v>4.6879694049321463E-2</v>
      </c>
      <c r="F27" s="1184"/>
      <c r="G27" s="1184"/>
      <c r="H27" s="1188"/>
      <c r="I27" s="1188"/>
      <c r="J27" s="1188"/>
      <c r="K27" s="1188"/>
      <c r="L27" s="1188"/>
      <c r="M27" s="1188"/>
      <c r="N27" s="1188"/>
      <c r="O27" s="1188"/>
      <c r="P27" s="1188"/>
      <c r="Q27" s="1188"/>
      <c r="R27" s="1188"/>
      <c r="S27" s="1188"/>
      <c r="T27" s="1188"/>
      <c r="U27" s="1188"/>
      <c r="V27" s="1188"/>
      <c r="W27" s="1188"/>
      <c r="X27" s="1188"/>
      <c r="Y27" s="1188"/>
      <c r="Z27" s="1188"/>
      <c r="AA27" s="1188"/>
      <c r="AB27" s="1188"/>
      <c r="AC27" s="1188"/>
      <c r="AD27" s="1188"/>
      <c r="AE27" s="1188"/>
      <c r="AF27" s="1188"/>
      <c r="AG27" s="1188"/>
      <c r="AH27" s="1188"/>
      <c r="AI27" s="1188"/>
      <c r="AJ27" s="1188"/>
      <c r="AK27" s="1188"/>
      <c r="AL27" s="1188"/>
      <c r="AM27" s="1188"/>
      <c r="AN27" s="1188"/>
      <c r="AO27" s="1188"/>
      <c r="AP27" s="1188"/>
      <c r="AQ27" s="1188"/>
      <c r="AR27" s="1188"/>
      <c r="AS27" s="1188"/>
      <c r="AT27" s="1188"/>
      <c r="AU27" s="1188"/>
      <c r="AV27" s="1188"/>
      <c r="AW27" s="1188"/>
      <c r="AX27" s="166"/>
      <c r="AY27" s="1185"/>
      <c r="AZ27" s="1185"/>
      <c r="BB27" s="1185"/>
      <c r="BC27" s="1185"/>
      <c r="BD27" s="1185"/>
      <c r="BE27" s="1185"/>
      <c r="BF27" s="1185"/>
      <c r="BG27" s="1185"/>
      <c r="BH27" s="1185"/>
      <c r="BI27" s="1185"/>
      <c r="BJ27" s="1186"/>
      <c r="BK27" s="141"/>
    </row>
    <row r="28" spans="1:63" s="37" customFormat="1">
      <c r="B28" s="1182"/>
      <c r="C28" s="1183"/>
      <c r="D28" s="1184" t="s">
        <v>2140</v>
      </c>
      <c r="E28" s="3156">
        <f ca="1">(BH9/BA9)^(1/35)-1</f>
        <v>7.6632700839467827E-2</v>
      </c>
      <c r="F28" s="1184"/>
      <c r="G28" s="1184"/>
      <c r="H28" s="1188"/>
      <c r="I28" s="1188"/>
      <c r="J28" s="1188"/>
      <c r="K28" s="1188"/>
      <c r="L28" s="1188"/>
      <c r="M28" s="1188"/>
      <c r="N28" s="1188"/>
      <c r="O28" s="1188"/>
      <c r="P28" s="1188"/>
      <c r="Q28" s="1188"/>
      <c r="R28" s="1188"/>
      <c r="S28" s="1188"/>
      <c r="T28" s="1188"/>
      <c r="U28" s="1188"/>
      <c r="V28" s="1188"/>
      <c r="W28" s="1188"/>
      <c r="X28" s="1188"/>
      <c r="Y28" s="1188"/>
      <c r="Z28" s="1188"/>
      <c r="AA28" s="1188"/>
      <c r="AB28" s="1188"/>
      <c r="AC28" s="1188"/>
      <c r="AD28" s="1188"/>
      <c r="AE28" s="1188"/>
      <c r="AF28" s="1188"/>
      <c r="AG28" s="1188"/>
      <c r="AH28" s="1188"/>
      <c r="AI28" s="1188"/>
      <c r="AJ28" s="1188"/>
      <c r="AK28" s="1188"/>
      <c r="AL28" s="1188"/>
      <c r="AM28" s="1188"/>
      <c r="AN28" s="1188"/>
      <c r="AO28" s="1188"/>
      <c r="AP28" s="1188"/>
      <c r="AQ28" s="1188"/>
      <c r="AR28" s="1188"/>
      <c r="AS28" s="1188"/>
      <c r="AT28" s="1188"/>
      <c r="AU28" s="1188"/>
      <c r="AV28" s="1188"/>
      <c r="AW28" s="1188"/>
      <c r="AX28" s="166"/>
      <c r="AY28" s="1185"/>
      <c r="AZ28" s="1185"/>
      <c r="BB28" s="1185"/>
      <c r="BC28" s="1185"/>
      <c r="BD28" s="1185"/>
      <c r="BE28" s="1185"/>
      <c r="BF28" s="1185"/>
      <c r="BG28" s="1185"/>
      <c r="BH28" s="1185"/>
      <c r="BI28" s="1185"/>
      <c r="BJ28" s="1186"/>
      <c r="BK28" s="141"/>
    </row>
    <row r="29" spans="1:63" s="37" customFormat="1">
      <c r="B29" s="1182"/>
      <c r="C29" s="1183"/>
      <c r="D29" s="1184" t="s">
        <v>1051</v>
      </c>
      <c r="E29" s="3156">
        <f ca="1">(BH20/BA20)^(1/35)-1</f>
        <v>1.1340963055647357E-2</v>
      </c>
      <c r="F29" s="1184"/>
      <c r="G29" s="1184"/>
      <c r="H29" s="1188"/>
      <c r="I29" s="1188"/>
      <c r="J29" s="1188"/>
      <c r="K29" s="1188"/>
      <c r="L29" s="1188"/>
      <c r="M29" s="1188"/>
      <c r="N29" s="1188"/>
      <c r="O29" s="1188"/>
      <c r="P29" s="1188"/>
      <c r="Q29" s="1188"/>
      <c r="R29" s="1188"/>
      <c r="S29" s="1188"/>
      <c r="T29" s="1188"/>
      <c r="U29" s="1188"/>
      <c r="V29" s="1188"/>
      <c r="W29" s="1188"/>
      <c r="X29" s="1188"/>
      <c r="Y29" s="1188"/>
      <c r="Z29" s="1188"/>
      <c r="AA29" s="1188"/>
      <c r="AB29" s="1188"/>
      <c r="AC29" s="1188"/>
      <c r="AD29" s="1188"/>
      <c r="AE29" s="1188"/>
      <c r="AF29" s="1188"/>
      <c r="AG29" s="1188"/>
      <c r="AH29" s="1188"/>
      <c r="AI29" s="1188"/>
      <c r="AJ29" s="1188"/>
      <c r="AK29" s="1188"/>
      <c r="AL29" s="1188"/>
      <c r="AM29" s="1188"/>
      <c r="AN29" s="1188"/>
      <c r="AO29" s="1188"/>
      <c r="AP29" s="1188"/>
      <c r="AQ29" s="1188"/>
      <c r="AR29" s="1188"/>
      <c r="AS29" s="1188"/>
      <c r="AT29" s="1188"/>
      <c r="AU29" s="1188"/>
      <c r="AV29" s="1188"/>
      <c r="AW29" s="1188"/>
      <c r="AX29" s="166"/>
      <c r="AY29" s="1185"/>
      <c r="AZ29" s="1185"/>
      <c r="BB29" s="1185"/>
      <c r="BC29" s="1185"/>
      <c r="BD29" s="1185"/>
      <c r="BE29" s="1185"/>
      <c r="BF29" s="1185"/>
      <c r="BG29" s="1185"/>
      <c r="BH29" s="1185"/>
      <c r="BI29" s="1185"/>
      <c r="BJ29" s="1186"/>
      <c r="BK29" s="141"/>
    </row>
    <row r="30" spans="1:63" s="37" customFormat="1">
      <c r="B30" s="1182"/>
      <c r="C30" s="1183"/>
      <c r="D30" s="1184" t="s">
        <v>106</v>
      </c>
      <c r="E30" s="3156">
        <f ca="1">(BI16/BA16)^(1/35)-1</f>
        <v>4.5729353294961417E-2</v>
      </c>
      <c r="F30" s="1184"/>
      <c r="G30" s="1184"/>
      <c r="H30" s="1188"/>
      <c r="I30" s="1188"/>
      <c r="J30" s="1188"/>
      <c r="K30" s="1188"/>
      <c r="L30" s="1188"/>
      <c r="M30" s="1188"/>
      <c r="N30" s="1188"/>
      <c r="O30" s="1188"/>
      <c r="P30" s="1188"/>
      <c r="Q30" s="1188"/>
      <c r="R30" s="1188"/>
      <c r="S30" s="1188"/>
      <c r="T30" s="1188"/>
      <c r="U30" s="1188"/>
      <c r="V30" s="1188"/>
      <c r="W30" s="1188"/>
      <c r="X30" s="1188"/>
      <c r="Y30" s="1188"/>
      <c r="Z30" s="1188"/>
      <c r="AA30" s="1188"/>
      <c r="AB30" s="1188"/>
      <c r="AC30" s="1188"/>
      <c r="AD30" s="1188"/>
      <c r="AE30" s="1188"/>
      <c r="AF30" s="1188"/>
      <c r="AG30" s="1188"/>
      <c r="AH30" s="1188"/>
      <c r="AI30" s="1188"/>
      <c r="AJ30" s="1188"/>
      <c r="AK30" s="1188"/>
      <c r="AL30" s="1188"/>
      <c r="AM30" s="1188"/>
      <c r="AN30" s="1188"/>
      <c r="AO30" s="1188"/>
      <c r="AP30" s="1188"/>
      <c r="AQ30" s="1188"/>
      <c r="AR30" s="1188"/>
      <c r="AS30" s="1188"/>
      <c r="AT30" s="1188"/>
      <c r="AU30" s="1188"/>
      <c r="AV30" s="1188"/>
      <c r="AW30" s="1188"/>
      <c r="AX30" s="166"/>
      <c r="AY30" s="1185"/>
      <c r="AZ30" s="1185"/>
      <c r="BB30" s="1185"/>
      <c r="BC30" s="1185"/>
      <c r="BD30" s="1185"/>
      <c r="BE30" s="1185"/>
      <c r="BF30" s="1185"/>
      <c r="BG30" s="1185"/>
      <c r="BH30" s="1185"/>
      <c r="BI30" s="1185"/>
      <c r="BJ30" s="1186"/>
      <c r="BK30" s="141"/>
    </row>
    <row r="31" spans="1:63" s="37" customFormat="1">
      <c r="B31" s="1182"/>
      <c r="C31" s="1183"/>
      <c r="D31" s="1184" t="s">
        <v>1078</v>
      </c>
      <c r="E31" s="3156">
        <f ca="1">(BH17/BA17)^(1/35)-1</f>
        <v>3.0542330415930685E-2</v>
      </c>
      <c r="F31" s="1184"/>
      <c r="G31" s="1184"/>
      <c r="H31" s="1188"/>
      <c r="I31" s="1188"/>
      <c r="J31" s="1188"/>
      <c r="K31" s="1188"/>
      <c r="L31" s="1188"/>
      <c r="M31" s="1188"/>
      <c r="N31" s="1188"/>
      <c r="O31" s="1188"/>
      <c r="P31" s="1188"/>
      <c r="Q31" s="1188"/>
      <c r="R31" s="1188"/>
      <c r="S31" s="1188"/>
      <c r="T31" s="1188"/>
      <c r="U31" s="1188"/>
      <c r="V31" s="1188"/>
      <c r="W31" s="1188"/>
      <c r="X31" s="1188"/>
      <c r="Y31" s="1188"/>
      <c r="Z31" s="1188"/>
      <c r="AA31" s="1188"/>
      <c r="AB31" s="1188"/>
      <c r="AC31" s="1188"/>
      <c r="AD31" s="1188"/>
      <c r="AE31" s="1188"/>
      <c r="AF31" s="1188"/>
      <c r="AG31" s="1188"/>
      <c r="AH31" s="1188"/>
      <c r="AI31" s="1188"/>
      <c r="AJ31" s="1188"/>
      <c r="AK31" s="1188"/>
      <c r="AL31" s="1188"/>
      <c r="AM31" s="1188"/>
      <c r="AN31" s="1188"/>
      <c r="AO31" s="1188"/>
      <c r="AP31" s="1188"/>
      <c r="AQ31" s="1188"/>
      <c r="AR31" s="1188"/>
      <c r="AS31" s="1188"/>
      <c r="AT31" s="1188"/>
      <c r="AU31" s="1188"/>
      <c r="AV31" s="1188"/>
      <c r="AW31" s="1188"/>
      <c r="AX31" s="166"/>
      <c r="AY31" s="1185"/>
      <c r="AZ31" s="1185"/>
      <c r="BB31" s="1185"/>
      <c r="BC31" s="1185"/>
      <c r="BD31" s="1185"/>
      <c r="BE31" s="1185"/>
      <c r="BF31" s="1185"/>
      <c r="BG31" s="1185"/>
      <c r="BH31" s="1185"/>
      <c r="BI31" s="1185"/>
      <c r="BJ31" s="1186"/>
      <c r="BK31" s="141"/>
    </row>
    <row r="32" spans="1:63" s="37" customFormat="1">
      <c r="B32" s="1182"/>
      <c r="C32" s="1183"/>
      <c r="D32" s="1184"/>
      <c r="E32" s="166"/>
      <c r="F32" s="1184"/>
      <c r="G32" s="1184"/>
      <c r="H32" s="1188"/>
      <c r="I32" s="1188"/>
      <c r="J32" s="1188"/>
      <c r="K32" s="1188"/>
      <c r="L32" s="1188"/>
      <c r="M32" s="1188"/>
      <c r="N32" s="1188"/>
      <c r="O32" s="1188"/>
      <c r="P32" s="1188"/>
      <c r="Q32" s="1188"/>
      <c r="R32" s="1188"/>
      <c r="S32" s="1188"/>
      <c r="T32" s="1188"/>
      <c r="U32" s="1188"/>
      <c r="V32" s="1188"/>
      <c r="W32" s="1188"/>
      <c r="X32" s="1188"/>
      <c r="Y32" s="1188"/>
      <c r="Z32" s="1188"/>
      <c r="AA32" s="1188"/>
      <c r="AB32" s="1188"/>
      <c r="AC32" s="1188"/>
      <c r="AD32" s="1188"/>
      <c r="AE32" s="1188"/>
      <c r="AF32" s="1188"/>
      <c r="AG32" s="1188"/>
      <c r="AH32" s="1188"/>
      <c r="AI32" s="1188"/>
      <c r="AJ32" s="1188"/>
      <c r="AK32" s="1188"/>
      <c r="AL32" s="1188"/>
      <c r="AM32" s="1188"/>
      <c r="AN32" s="1188"/>
      <c r="AO32" s="1188"/>
      <c r="AP32" s="1188"/>
      <c r="AQ32" s="1188"/>
      <c r="AR32" s="1188"/>
      <c r="AS32" s="1188"/>
      <c r="AT32" s="1188"/>
      <c r="AU32" s="1188"/>
      <c r="AV32" s="1188"/>
      <c r="AW32" s="1188"/>
      <c r="AX32" s="166"/>
      <c r="AY32" s="1185"/>
      <c r="AZ32" s="1185"/>
      <c r="BA32" s="1185"/>
      <c r="BB32" s="1185"/>
      <c r="BC32" s="1185"/>
      <c r="BD32" s="1185"/>
      <c r="BE32" s="1185"/>
      <c r="BF32" s="1185"/>
      <c r="BG32" s="1185"/>
      <c r="BH32" s="1185"/>
      <c r="BI32" s="1185"/>
      <c r="BJ32" s="1186"/>
      <c r="BK32" s="141"/>
    </row>
    <row r="33" spans="2:63" s="37" customFormat="1">
      <c r="B33" s="1182"/>
      <c r="C33" s="1183"/>
      <c r="D33" s="1288" t="s">
        <v>1639</v>
      </c>
      <c r="E33" s="1184" t="s">
        <v>2481</v>
      </c>
      <c r="F33" s="1184" t="s">
        <v>2482</v>
      </c>
      <c r="G33" s="1184"/>
      <c r="H33" s="1188"/>
      <c r="I33" s="1188"/>
      <c r="J33" s="1188"/>
      <c r="K33" s="1188"/>
      <c r="L33" s="1188"/>
      <c r="M33" s="1188"/>
      <c r="N33" s="1188"/>
      <c r="O33" s="1188"/>
      <c r="P33" s="1188"/>
      <c r="Q33" s="1188"/>
      <c r="R33" s="1188"/>
      <c r="S33" s="1188"/>
      <c r="T33" s="1188"/>
      <c r="U33" s="1188"/>
      <c r="V33" s="1188"/>
      <c r="W33" s="1188"/>
      <c r="X33" s="1188"/>
      <c r="Y33" s="1188"/>
      <c r="Z33" s="1188"/>
      <c r="AA33" s="1188"/>
      <c r="AB33" s="1188"/>
      <c r="AC33" s="1188"/>
      <c r="AD33" s="1188"/>
      <c r="AE33" s="1188"/>
      <c r="AF33" s="1188"/>
      <c r="AG33" s="1188"/>
      <c r="AH33" s="1188"/>
      <c r="AI33" s="1188"/>
      <c r="AJ33" s="1188"/>
      <c r="AK33" s="1188"/>
      <c r="AL33" s="1188"/>
      <c r="AM33" s="1188"/>
      <c r="AN33" s="1188"/>
      <c r="AO33" s="1188"/>
      <c r="AP33" s="1188"/>
      <c r="AQ33" s="1188"/>
      <c r="AR33" s="1188"/>
      <c r="AS33" s="1188"/>
      <c r="AT33" s="1188"/>
      <c r="AU33" s="1188"/>
      <c r="AV33" s="1188"/>
      <c r="AW33" s="1188"/>
      <c r="AX33" s="166"/>
      <c r="AY33" s="1185"/>
      <c r="AZ33" s="1185"/>
      <c r="BA33" s="3158" t="s">
        <v>2431</v>
      </c>
      <c r="BB33" s="3158" t="s">
        <v>2432</v>
      </c>
      <c r="BC33" s="3158" t="s">
        <v>1574</v>
      </c>
      <c r="BD33" s="3158" t="s">
        <v>2433</v>
      </c>
      <c r="BE33" s="1185"/>
      <c r="BF33" s="1185"/>
      <c r="BG33" s="1185"/>
      <c r="BH33" s="1185"/>
      <c r="BI33" s="1185"/>
      <c r="BJ33" s="1186"/>
      <c r="BK33" s="141"/>
    </row>
    <row r="34" spans="2:63" s="37" customFormat="1">
      <c r="B34" s="1182"/>
      <c r="C34" s="1183"/>
      <c r="D34" s="1184" t="s">
        <v>113</v>
      </c>
      <c r="E34" s="165"/>
      <c r="F34" s="1184"/>
      <c r="G34" s="1184"/>
      <c r="H34" s="1188"/>
      <c r="I34" s="1188"/>
      <c r="J34" s="1188"/>
      <c r="K34" s="1188"/>
      <c r="L34" s="1188"/>
      <c r="M34" s="1188"/>
      <c r="N34" s="1188"/>
      <c r="O34" s="1188"/>
      <c r="P34" s="1188"/>
      <c r="Q34" s="1188"/>
      <c r="R34" s="1188"/>
      <c r="S34" s="1188"/>
      <c r="T34" s="1188"/>
      <c r="U34" s="1188"/>
      <c r="V34" s="1188"/>
      <c r="W34" s="1188"/>
      <c r="X34" s="1188"/>
      <c r="Y34" s="1188"/>
      <c r="Z34" s="1188"/>
      <c r="AA34" s="1188"/>
      <c r="AB34" s="1188"/>
      <c r="AC34" s="1188"/>
      <c r="AD34" s="1188"/>
      <c r="AE34" s="1188"/>
      <c r="AF34" s="1188"/>
      <c r="AG34" s="1188"/>
      <c r="AH34" s="1188"/>
      <c r="AI34" s="1188"/>
      <c r="AJ34" s="1188"/>
      <c r="AK34" s="1188"/>
      <c r="AL34" s="1188"/>
      <c r="AM34" s="1188"/>
      <c r="AN34" s="1188"/>
      <c r="AO34" s="1188"/>
      <c r="AP34" s="1188"/>
      <c r="AQ34" s="1188"/>
      <c r="AR34" s="1188"/>
      <c r="AS34" s="1188"/>
      <c r="AT34" s="1188"/>
      <c r="AU34" s="1188"/>
      <c r="AV34" s="1188"/>
      <c r="AW34" s="1188"/>
      <c r="AX34" s="166"/>
      <c r="AY34" s="1185"/>
      <c r="AZ34" s="1185"/>
      <c r="BA34" s="1185">
        <f ca="1">BC14-BA14</f>
        <v>977.22307720823142</v>
      </c>
      <c r="BB34" s="1185">
        <f ca="1">BE14-BC14</f>
        <v>1462.8380659454317</v>
      </c>
      <c r="BC34" s="1185">
        <f ca="1">BG14-BE14</f>
        <v>1820.4814374528855</v>
      </c>
      <c r="BD34" s="1185">
        <f ca="1">BH14-BG14</f>
        <v>976.91338477869522</v>
      </c>
      <c r="BE34" s="1185"/>
      <c r="BF34" s="1185"/>
      <c r="BG34" s="1185"/>
      <c r="BH34" s="1185"/>
      <c r="BI34" s="1185"/>
      <c r="BJ34" s="1186"/>
      <c r="BK34" s="141"/>
    </row>
    <row r="35" spans="2:63" s="37" customFormat="1">
      <c r="B35" s="1182"/>
      <c r="C35" s="1183"/>
      <c r="D35" s="1184" t="s">
        <v>33</v>
      </c>
      <c r="E35" s="166"/>
      <c r="F35" s="1184"/>
      <c r="G35" s="1184"/>
      <c r="H35" s="1188"/>
      <c r="I35" s="1188"/>
      <c r="J35" s="1188"/>
      <c r="K35" s="1188"/>
      <c r="L35" s="1188"/>
      <c r="M35" s="1188"/>
      <c r="N35" s="1188"/>
      <c r="O35" s="1188"/>
      <c r="P35" s="1188"/>
      <c r="Q35" s="1188"/>
      <c r="R35" s="1188"/>
      <c r="S35" s="1188"/>
      <c r="T35" s="1188"/>
      <c r="U35" s="1188"/>
      <c r="V35" s="1188"/>
      <c r="W35" s="1188"/>
      <c r="X35" s="1188"/>
      <c r="Y35" s="1188"/>
      <c r="Z35" s="1188"/>
      <c r="AA35" s="1188"/>
      <c r="AB35" s="1188"/>
      <c r="AC35" s="1188"/>
      <c r="AD35" s="1188"/>
      <c r="AE35" s="1188"/>
      <c r="AF35" s="1188"/>
      <c r="AG35" s="1188"/>
      <c r="AH35" s="1188"/>
      <c r="AI35" s="1188"/>
      <c r="AJ35" s="1188"/>
      <c r="AK35" s="1188"/>
      <c r="AL35" s="1188"/>
      <c r="AM35" s="1188"/>
      <c r="AN35" s="1188"/>
      <c r="AO35" s="1188"/>
      <c r="AP35" s="1188"/>
      <c r="AQ35" s="1188"/>
      <c r="AR35" s="1188"/>
      <c r="AS35" s="1188"/>
      <c r="AT35" s="1188"/>
      <c r="AU35" s="1188"/>
      <c r="AV35" s="1188"/>
      <c r="AW35" s="1188"/>
      <c r="AX35" s="166"/>
      <c r="AY35" s="1185"/>
      <c r="AZ35" s="1185"/>
      <c r="BA35" s="1185">
        <f ca="1">BC10-BA10</f>
        <v>2016.6622896496833</v>
      </c>
      <c r="BB35" s="1185">
        <f ca="1">BE10-BC10</f>
        <v>2588.0077842188848</v>
      </c>
      <c r="BC35" s="1185">
        <f ca="1">BG10-BE10</f>
        <v>3013.9160440449896</v>
      </c>
      <c r="BD35" s="1185">
        <f ca="1">BH10-BG10</f>
        <v>1429.04905721453</v>
      </c>
      <c r="BE35" s="1185"/>
      <c r="BF35" s="1185"/>
      <c r="BG35" s="1185"/>
      <c r="BH35" s="1185"/>
      <c r="BI35" s="1185"/>
      <c r="BJ35" s="1186"/>
      <c r="BK35" s="141"/>
    </row>
    <row r="36" spans="2:63" s="37" customFormat="1">
      <c r="B36" s="1182"/>
      <c r="C36" s="1183"/>
      <c r="D36" s="1184" t="s">
        <v>2140</v>
      </c>
      <c r="E36" s="166"/>
      <c r="F36" s="1184"/>
      <c r="G36" s="1184"/>
      <c r="H36" s="1188"/>
      <c r="I36" s="1188"/>
      <c r="J36" s="1188"/>
      <c r="K36" s="1188"/>
      <c r="L36" s="1188"/>
      <c r="M36" s="1188"/>
      <c r="N36" s="1188"/>
      <c r="O36" s="1188"/>
      <c r="P36" s="1188"/>
      <c r="Q36" s="1188"/>
      <c r="R36" s="1188"/>
      <c r="S36" s="1188"/>
      <c r="T36" s="1188"/>
      <c r="U36" s="1188"/>
      <c r="V36" s="1188"/>
      <c r="W36" s="1188"/>
      <c r="X36" s="1188"/>
      <c r="Y36" s="1188"/>
      <c r="Z36" s="1188"/>
      <c r="AA36" s="1188"/>
      <c r="AB36" s="1188"/>
      <c r="AC36" s="1188"/>
      <c r="AD36" s="1188"/>
      <c r="AE36" s="1188"/>
      <c r="AF36" s="1188"/>
      <c r="AG36" s="1188"/>
      <c r="AH36" s="1188"/>
      <c r="AI36" s="1188"/>
      <c r="AJ36" s="1188"/>
      <c r="AK36" s="1188"/>
      <c r="AL36" s="1188"/>
      <c r="AM36" s="1188"/>
      <c r="AN36" s="1188"/>
      <c r="AO36" s="1188"/>
      <c r="AP36" s="1188"/>
      <c r="AQ36" s="1188"/>
      <c r="AR36" s="1188"/>
      <c r="AS36" s="1188"/>
      <c r="AT36" s="1188"/>
      <c r="AU36" s="1188"/>
      <c r="AV36" s="1188"/>
      <c r="AW36" s="1188"/>
      <c r="AX36" s="166"/>
      <c r="AY36" s="1185"/>
      <c r="AZ36" s="1185"/>
      <c r="BA36" s="1185">
        <f ca="1">BC9-BA9</f>
        <v>447.53251186820341</v>
      </c>
      <c r="BB36" s="1185">
        <f ca="1">BE9-BC9</f>
        <v>994.06841121001332</v>
      </c>
      <c r="BC36" s="1185">
        <f ca="1">BG9-BE9</f>
        <v>1035.0845999991743</v>
      </c>
      <c r="BD36" s="1185">
        <f ca="1">BH9-BG9</f>
        <v>458.44438860262562</v>
      </c>
      <c r="BE36" s="1185"/>
      <c r="BF36" s="1185"/>
      <c r="BG36" s="1185"/>
      <c r="BH36" s="1185"/>
      <c r="BI36" s="1185"/>
      <c r="BJ36" s="1186"/>
      <c r="BK36" s="141"/>
    </row>
    <row r="37" spans="2:63" s="37" customFormat="1">
      <c r="B37" s="1182"/>
      <c r="C37" s="1183"/>
      <c r="D37" s="1184" t="s">
        <v>1051</v>
      </c>
      <c r="E37" s="166"/>
      <c r="F37" s="1184"/>
      <c r="G37" s="1184"/>
      <c r="H37" s="1188"/>
      <c r="I37" s="1188"/>
      <c r="J37" s="1188"/>
      <c r="K37" s="1188"/>
      <c r="L37" s="1188"/>
      <c r="M37" s="1188"/>
      <c r="N37" s="1188"/>
      <c r="O37" s="1188"/>
      <c r="P37" s="1188"/>
      <c r="Q37" s="1188"/>
      <c r="R37" s="1188"/>
      <c r="S37" s="1188"/>
      <c r="T37" s="1188"/>
      <c r="U37" s="1188"/>
      <c r="V37" s="1188"/>
      <c r="W37" s="1188"/>
      <c r="X37" s="1188"/>
      <c r="Y37" s="1188"/>
      <c r="Z37" s="1188"/>
      <c r="AA37" s="1188"/>
      <c r="AB37" s="1188"/>
      <c r="AC37" s="1188"/>
      <c r="AD37" s="1188"/>
      <c r="AE37" s="1188"/>
      <c r="AF37" s="1188"/>
      <c r="AG37" s="1188"/>
      <c r="AH37" s="1188"/>
      <c r="AI37" s="1188"/>
      <c r="AJ37" s="1188"/>
      <c r="AK37" s="1188"/>
      <c r="AL37" s="1188"/>
      <c r="AM37" s="1188"/>
      <c r="AN37" s="1188"/>
      <c r="AO37" s="1188"/>
      <c r="AP37" s="1188"/>
      <c r="AQ37" s="1188"/>
      <c r="AR37" s="1188"/>
      <c r="AS37" s="1188"/>
      <c r="AT37" s="1188"/>
      <c r="AU37" s="1188"/>
      <c r="AV37" s="1188"/>
      <c r="AW37" s="1188"/>
      <c r="AX37" s="166"/>
      <c r="AY37" s="1185"/>
      <c r="AZ37" s="1185"/>
      <c r="BA37" s="1185">
        <f ca="1">BC20-BA20</f>
        <v>80.874130728946511</v>
      </c>
      <c r="BB37" s="1185">
        <f ca="1">BE20-BC20</f>
        <v>154.51700349327007</v>
      </c>
      <c r="BC37" s="1185">
        <f ca="1">BG20-BE20</f>
        <v>198.09458678900296</v>
      </c>
      <c r="BD37" s="1185">
        <f ca="1">BH20-BG20</f>
        <v>156.19128248268999</v>
      </c>
      <c r="BE37" s="1185"/>
      <c r="BF37" s="1185"/>
      <c r="BG37" s="1185"/>
      <c r="BH37" s="1185"/>
      <c r="BI37" s="1185"/>
      <c r="BJ37" s="1186"/>
      <c r="BK37" s="141"/>
    </row>
    <row r="38" spans="2:63" s="37" customFormat="1">
      <c r="B38" s="1182"/>
      <c r="C38" s="1183"/>
      <c r="D38" s="1184" t="s">
        <v>106</v>
      </c>
      <c r="E38" s="166"/>
      <c r="F38" s="1184"/>
      <c r="G38" s="1184"/>
      <c r="H38" s="1188"/>
      <c r="I38" s="1188"/>
      <c r="J38" s="1188"/>
      <c r="K38" s="1188"/>
      <c r="L38" s="1188"/>
      <c r="M38" s="1188"/>
      <c r="N38" s="1188"/>
      <c r="O38" s="1188"/>
      <c r="P38" s="1188"/>
      <c r="Q38" s="1188"/>
      <c r="R38" s="1188"/>
      <c r="S38" s="1188"/>
      <c r="T38" s="1188"/>
      <c r="U38" s="1188"/>
      <c r="V38" s="1188"/>
      <c r="W38" s="1188"/>
      <c r="X38" s="1188"/>
      <c r="Y38" s="1188"/>
      <c r="Z38" s="1188"/>
      <c r="AA38" s="1188"/>
      <c r="AB38" s="1188"/>
      <c r="AC38" s="1188"/>
      <c r="AD38" s="1188"/>
      <c r="AE38" s="1188"/>
      <c r="AF38" s="1188"/>
      <c r="AG38" s="1188"/>
      <c r="AH38" s="1188"/>
      <c r="AI38" s="1188"/>
      <c r="AJ38" s="1188"/>
      <c r="AK38" s="1188"/>
      <c r="AL38" s="1188"/>
      <c r="AM38" s="1188"/>
      <c r="AN38" s="1188"/>
      <c r="AO38" s="1188"/>
      <c r="AP38" s="1188"/>
      <c r="AQ38" s="1188"/>
      <c r="AR38" s="1188"/>
      <c r="AS38" s="1188"/>
      <c r="AT38" s="1188"/>
      <c r="AU38" s="1188"/>
      <c r="AV38" s="1188"/>
      <c r="AW38" s="1188"/>
      <c r="AX38" s="166"/>
      <c r="AY38" s="1185"/>
      <c r="AZ38" s="1185"/>
      <c r="BA38" s="1185">
        <f ca="1">BC16-BA16</f>
        <v>216.31082708472098</v>
      </c>
      <c r="BB38" s="1185">
        <f ca="1">BE16-BC16</f>
        <v>296.58468093668466</v>
      </c>
      <c r="BC38" s="1185">
        <f ca="1">BG16-BE16</f>
        <v>219.20638132916531</v>
      </c>
      <c r="BD38" s="1185">
        <f ca="1">BH16-BG16</f>
        <v>78.497122014996535</v>
      </c>
      <c r="BE38" s="1185"/>
      <c r="BF38" s="1185"/>
      <c r="BG38" s="1185"/>
      <c r="BH38" s="1185"/>
      <c r="BI38" s="1185"/>
      <c r="BJ38" s="1186"/>
      <c r="BK38" s="141"/>
    </row>
    <row r="39" spans="2:63" s="37" customFormat="1">
      <c r="B39" s="1182"/>
      <c r="C39" s="1183"/>
      <c r="D39" s="1184" t="s">
        <v>1078</v>
      </c>
      <c r="E39" s="166"/>
      <c r="F39" s="1184"/>
      <c r="G39" s="1184"/>
      <c r="H39" s="1188"/>
      <c r="I39" s="1188"/>
      <c r="J39" s="1188"/>
      <c r="K39" s="1188"/>
      <c r="L39" s="1188"/>
      <c r="M39" s="1188"/>
      <c r="N39" s="1188"/>
      <c r="O39" s="1188"/>
      <c r="P39" s="1188"/>
      <c r="Q39" s="1188"/>
      <c r="R39" s="1188"/>
      <c r="S39" s="1188"/>
      <c r="T39" s="1188"/>
      <c r="U39" s="1188"/>
      <c r="V39" s="1188"/>
      <c r="W39" s="1188"/>
      <c r="X39" s="1188"/>
      <c r="Y39" s="1188"/>
      <c r="Z39" s="1188"/>
      <c r="AA39" s="1188"/>
      <c r="AB39" s="1188"/>
      <c r="AC39" s="1188"/>
      <c r="AD39" s="1188"/>
      <c r="AE39" s="1188"/>
      <c r="AF39" s="1188"/>
      <c r="AG39" s="1188"/>
      <c r="AH39" s="1188"/>
      <c r="AI39" s="1188"/>
      <c r="AJ39" s="1188"/>
      <c r="AK39" s="1188"/>
      <c r="AL39" s="1188"/>
      <c r="AM39" s="1188"/>
      <c r="AN39" s="1188"/>
      <c r="AO39" s="1188"/>
      <c r="AP39" s="1188"/>
      <c r="AQ39" s="1188"/>
      <c r="AR39" s="1188"/>
      <c r="AS39" s="1188"/>
      <c r="AT39" s="1188"/>
      <c r="AU39" s="1188"/>
      <c r="AV39" s="1188"/>
      <c r="AW39" s="1188"/>
      <c r="AX39" s="166"/>
      <c r="AY39" s="1185"/>
      <c r="AZ39" s="1185"/>
      <c r="BA39" s="1185">
        <f ca="1">BC17-BA17</f>
        <v>39.813533280657609</v>
      </c>
      <c r="BB39" s="1185">
        <f ca="1">BE17-BC17</f>
        <v>59.605430404091734</v>
      </c>
      <c r="BC39" s="1185">
        <f ca="1">BG17-BE17</f>
        <v>19.163037116113543</v>
      </c>
      <c r="BD39" s="1185">
        <f ca="1">BH17-BG17</f>
        <v>35.71452482714065</v>
      </c>
      <c r="BE39" s="1185"/>
      <c r="BF39" s="1185"/>
      <c r="BG39" s="1185"/>
      <c r="BH39" s="1185"/>
      <c r="BI39" s="1185"/>
      <c r="BJ39" s="1186"/>
      <c r="BK39" s="141"/>
    </row>
    <row r="40" spans="2:63" s="37" customFormat="1">
      <c r="B40" s="1182"/>
      <c r="C40" s="1183"/>
      <c r="D40" s="2857" t="s">
        <v>103</v>
      </c>
      <c r="E40" s="178"/>
      <c r="F40" s="2857"/>
      <c r="G40" s="2857"/>
      <c r="H40" s="3159"/>
      <c r="I40" s="3159"/>
      <c r="J40" s="3159"/>
      <c r="K40" s="3159"/>
      <c r="L40" s="3159"/>
      <c r="M40" s="3159"/>
      <c r="N40" s="3159"/>
      <c r="O40" s="3159"/>
      <c r="P40" s="3159"/>
      <c r="Q40" s="3159"/>
      <c r="R40" s="3159"/>
      <c r="S40" s="3159"/>
      <c r="T40" s="3159"/>
      <c r="U40" s="3159"/>
      <c r="V40" s="3159"/>
      <c r="W40" s="3159"/>
      <c r="X40" s="3159"/>
      <c r="Y40" s="3159"/>
      <c r="Z40" s="3159"/>
      <c r="AA40" s="3159"/>
      <c r="AB40" s="3159"/>
      <c r="AC40" s="3159"/>
      <c r="AD40" s="3159"/>
      <c r="AE40" s="3159"/>
      <c r="AF40" s="3159"/>
      <c r="AG40" s="3159"/>
      <c r="AH40" s="3159"/>
      <c r="AI40" s="3159"/>
      <c r="AJ40" s="3159"/>
      <c r="AK40" s="3159"/>
      <c r="AL40" s="3159"/>
      <c r="AM40" s="3159"/>
      <c r="AN40" s="3159"/>
      <c r="AO40" s="3159"/>
      <c r="AP40" s="3159"/>
      <c r="AQ40" s="3159"/>
      <c r="AR40" s="3159"/>
      <c r="AS40" s="3159"/>
      <c r="AT40" s="3159"/>
      <c r="AU40" s="3159"/>
      <c r="AV40" s="3159"/>
      <c r="AW40" s="3159"/>
      <c r="AX40" s="178"/>
      <c r="AY40" s="3157"/>
      <c r="AZ40" s="3157"/>
      <c r="BA40" s="3157">
        <f ca="1">BC21-BA21</f>
        <v>3778.4163698204429</v>
      </c>
      <c r="BB40" s="3157">
        <f ca="1">BE21-BC21</f>
        <v>5555.6213762083771</v>
      </c>
      <c r="BC40" s="3157">
        <f ca="1">BG21-BE21</f>
        <v>6305.9460867313301</v>
      </c>
      <c r="BD40" s="3157">
        <f ca="1">BH21-BG21</f>
        <v>3134.8097599206812</v>
      </c>
      <c r="BE40" s="1185"/>
      <c r="BF40" s="1185"/>
      <c r="BG40" s="1185"/>
      <c r="BH40" s="1185"/>
      <c r="BI40" s="1185"/>
      <c r="BJ40" s="1186"/>
      <c r="BK40" s="141"/>
    </row>
    <row r="41" spans="2:63" s="37" customFormat="1">
      <c r="B41" s="1182"/>
      <c r="C41" s="1183"/>
      <c r="D41" s="1184"/>
      <c r="E41" s="166"/>
      <c r="F41" s="1184"/>
      <c r="G41" s="1184"/>
      <c r="H41" s="1188"/>
      <c r="I41" s="1188"/>
      <c r="J41" s="1188"/>
      <c r="K41" s="1188"/>
      <c r="L41" s="1188"/>
      <c r="M41" s="1188"/>
      <c r="N41" s="1188"/>
      <c r="O41" s="1188"/>
      <c r="P41" s="1188"/>
      <c r="Q41" s="1188"/>
      <c r="R41" s="1188"/>
      <c r="S41" s="1188"/>
      <c r="T41" s="1188"/>
      <c r="U41" s="1188"/>
      <c r="V41" s="1188"/>
      <c r="W41" s="1188"/>
      <c r="X41" s="1188"/>
      <c r="Y41" s="1188"/>
      <c r="Z41" s="1188"/>
      <c r="AA41" s="1188"/>
      <c r="AB41" s="1188"/>
      <c r="AC41" s="1188"/>
      <c r="AD41" s="1188"/>
      <c r="AE41" s="1188"/>
      <c r="AF41" s="1188"/>
      <c r="AG41" s="1188"/>
      <c r="AH41" s="1188"/>
      <c r="AI41" s="1188"/>
      <c r="AJ41" s="1188"/>
      <c r="AK41" s="1188"/>
      <c r="AL41" s="1188"/>
      <c r="AM41" s="1188"/>
      <c r="AN41" s="1188"/>
      <c r="AO41" s="1188"/>
      <c r="AP41" s="1188"/>
      <c r="AQ41" s="1188"/>
      <c r="AR41" s="1188"/>
      <c r="AS41" s="1188"/>
      <c r="AT41" s="1188"/>
      <c r="AU41" s="1188"/>
      <c r="AV41" s="1188"/>
      <c r="AW41" s="1188"/>
      <c r="AX41" s="166"/>
      <c r="AY41" s="1185"/>
      <c r="AZ41" s="1185"/>
      <c r="BA41" s="1185"/>
      <c r="BB41" s="1185"/>
      <c r="BC41" s="1185"/>
      <c r="BD41" s="1185"/>
      <c r="BE41" s="1185"/>
      <c r="BF41" s="1185"/>
      <c r="BG41" s="1185"/>
      <c r="BH41" s="1185"/>
      <c r="BI41" s="1185"/>
      <c r="BJ41" s="1186"/>
      <c r="BK41" s="141"/>
    </row>
    <row r="42" spans="2:63" s="37" customFormat="1">
      <c r="B42" s="1182"/>
      <c r="C42" s="1183"/>
      <c r="D42" s="1288" t="s">
        <v>2434</v>
      </c>
      <c r="E42" s="166"/>
      <c r="F42" s="1184"/>
      <c r="G42" s="1184"/>
      <c r="H42" s="1188"/>
      <c r="I42" s="1188"/>
      <c r="J42" s="1188"/>
      <c r="K42" s="1188"/>
      <c r="L42" s="1188"/>
      <c r="M42" s="1188"/>
      <c r="N42" s="1188"/>
      <c r="O42" s="1188"/>
      <c r="P42" s="1188"/>
      <c r="Q42" s="1188"/>
      <c r="R42" s="1188"/>
      <c r="S42" s="1188"/>
      <c r="T42" s="1188"/>
      <c r="U42" s="1188"/>
      <c r="V42" s="1188"/>
      <c r="W42" s="1188"/>
      <c r="X42" s="1188"/>
      <c r="Y42" s="1188"/>
      <c r="Z42" s="1188"/>
      <c r="AA42" s="1188"/>
      <c r="AB42" s="1188"/>
      <c r="AC42" s="1188"/>
      <c r="AD42" s="1188"/>
      <c r="AE42" s="1188"/>
      <c r="AF42" s="1188"/>
      <c r="AG42" s="1188"/>
      <c r="AH42" s="1188"/>
      <c r="AI42" s="1188"/>
      <c r="AJ42" s="1188"/>
      <c r="AK42" s="1188"/>
      <c r="AL42" s="1188"/>
      <c r="AM42" s="1188"/>
      <c r="AN42" s="1188"/>
      <c r="AO42" s="1188"/>
      <c r="AP42" s="1188"/>
      <c r="AQ42" s="1188"/>
      <c r="AR42" s="1188"/>
      <c r="AS42" s="1188"/>
      <c r="AT42" s="1188"/>
      <c r="AU42" s="1188"/>
      <c r="AV42" s="1188"/>
      <c r="AW42" s="1188"/>
      <c r="AX42" s="166"/>
      <c r="AY42" s="1185"/>
      <c r="AZ42" s="1185"/>
      <c r="BA42" s="3158" t="s">
        <v>2431</v>
      </c>
      <c r="BB42" s="3158" t="s">
        <v>2432</v>
      </c>
      <c r="BC42" s="3158" t="s">
        <v>1574</v>
      </c>
      <c r="BD42" s="3158" t="s">
        <v>2433</v>
      </c>
      <c r="BE42" s="1185"/>
      <c r="BF42" s="1185"/>
      <c r="BG42" s="1185"/>
      <c r="BH42" s="1185"/>
      <c r="BI42" s="1185"/>
      <c r="BJ42" s="1186"/>
      <c r="BK42" s="141"/>
    </row>
    <row r="43" spans="2:63" s="37" customFormat="1">
      <c r="B43" s="1182"/>
      <c r="C43" s="1183"/>
      <c r="D43" s="1184" t="s">
        <v>113</v>
      </c>
      <c r="E43" s="166"/>
      <c r="F43" s="1184"/>
      <c r="G43" s="1184"/>
      <c r="H43" s="1188"/>
      <c r="I43" s="1188"/>
      <c r="J43" s="1188"/>
      <c r="K43" s="1188"/>
      <c r="L43" s="1188"/>
      <c r="M43" s="1188"/>
      <c r="N43" s="1188"/>
      <c r="O43" s="1188"/>
      <c r="P43" s="1188"/>
      <c r="Q43" s="1188"/>
      <c r="R43" s="1188"/>
      <c r="S43" s="1188"/>
      <c r="T43" s="1188"/>
      <c r="U43" s="1188"/>
      <c r="V43" s="1188"/>
      <c r="W43" s="1188"/>
      <c r="X43" s="1188"/>
      <c r="Y43" s="1188"/>
      <c r="Z43" s="1188"/>
      <c r="AA43" s="1188"/>
      <c r="AB43" s="1188"/>
      <c r="AC43" s="1188"/>
      <c r="AD43" s="1188"/>
      <c r="AE43" s="1188"/>
      <c r="AF43" s="1188"/>
      <c r="AG43" s="1188"/>
      <c r="AH43" s="1188"/>
      <c r="AI43" s="1188"/>
      <c r="AJ43" s="1188"/>
      <c r="AK43" s="1188"/>
      <c r="AL43" s="1188"/>
      <c r="AM43" s="1188"/>
      <c r="AN43" s="1188"/>
      <c r="AO43" s="1188"/>
      <c r="AP43" s="1188"/>
      <c r="AQ43" s="1188"/>
      <c r="AR43" s="1188"/>
      <c r="AS43" s="1188"/>
      <c r="AT43" s="1188"/>
      <c r="AU43" s="1188"/>
      <c r="AV43" s="1188"/>
      <c r="AW43" s="1188"/>
      <c r="AX43" s="166"/>
      <c r="AY43" s="1185"/>
      <c r="AZ43" s="1185"/>
      <c r="BA43" s="3156">
        <f ca="1">BA34/BA$40</f>
        <v>0.25863297782998723</v>
      </c>
      <c r="BB43" s="3156">
        <f t="shared" ref="BB43:BD43" ca="1" si="8">BB34/BB$40</f>
        <v>0.26330773227454807</v>
      </c>
      <c r="BC43" s="3156">
        <f t="shared" ca="1" si="8"/>
        <v>0.28869283251302374</v>
      </c>
      <c r="BD43" s="3156">
        <f t="shared" ca="1" si="8"/>
        <v>0.31163402553761782</v>
      </c>
      <c r="BE43" s="1185"/>
      <c r="BF43" s="1185"/>
      <c r="BG43" s="1185"/>
      <c r="BH43" s="1185"/>
      <c r="BI43" s="1185"/>
      <c r="BJ43" s="1186"/>
      <c r="BK43" s="141"/>
    </row>
    <row r="44" spans="2:63" s="37" customFormat="1">
      <c r="B44" s="1182"/>
      <c r="C44" s="1183"/>
      <c r="D44" s="1184" t="s">
        <v>33</v>
      </c>
      <c r="E44" s="166"/>
      <c r="F44" s="1184"/>
      <c r="G44" s="1184"/>
      <c r="H44" s="1188"/>
      <c r="I44" s="1188"/>
      <c r="J44" s="1188"/>
      <c r="K44" s="1188"/>
      <c r="L44" s="1188"/>
      <c r="M44" s="1188"/>
      <c r="N44" s="1188"/>
      <c r="O44" s="1188"/>
      <c r="P44" s="1188"/>
      <c r="Q44" s="1188"/>
      <c r="R44" s="1188"/>
      <c r="S44" s="1188"/>
      <c r="T44" s="1188"/>
      <c r="U44" s="1188"/>
      <c r="V44" s="1188"/>
      <c r="W44" s="1188"/>
      <c r="X44" s="1188"/>
      <c r="Y44" s="1188"/>
      <c r="Z44" s="1188"/>
      <c r="AA44" s="1188"/>
      <c r="AB44" s="1188"/>
      <c r="AC44" s="1188"/>
      <c r="AD44" s="1188"/>
      <c r="AE44" s="1188"/>
      <c r="AF44" s="1188"/>
      <c r="AG44" s="1188"/>
      <c r="AH44" s="1188"/>
      <c r="AI44" s="1188"/>
      <c r="AJ44" s="1188"/>
      <c r="AK44" s="1188"/>
      <c r="AL44" s="1188"/>
      <c r="AM44" s="1188"/>
      <c r="AN44" s="1188"/>
      <c r="AO44" s="1188"/>
      <c r="AP44" s="1188"/>
      <c r="AQ44" s="1188"/>
      <c r="AR44" s="1188"/>
      <c r="AS44" s="1188"/>
      <c r="AT44" s="1188"/>
      <c r="AU44" s="1188"/>
      <c r="AV44" s="1188"/>
      <c r="AW44" s="1188"/>
      <c r="AX44" s="166"/>
      <c r="AY44" s="1185"/>
      <c r="AZ44" s="1185"/>
      <c r="BA44" s="3156">
        <f t="shared" ref="BA44:BD44" ca="1" si="9">BA35/BA$40</f>
        <v>0.53373214920342904</v>
      </c>
      <c r="BB44" s="3156">
        <f t="shared" ca="1" si="9"/>
        <v>0.46583588206746351</v>
      </c>
      <c r="BC44" s="3156">
        <f t="shared" ca="1" si="9"/>
        <v>0.47794827335849371</v>
      </c>
      <c r="BD44" s="3156">
        <f t="shared" ca="1" si="9"/>
        <v>0.4558646829180118</v>
      </c>
      <c r="BE44" s="1185"/>
      <c r="BF44" s="1185"/>
      <c r="BG44" s="1185"/>
      <c r="BH44" s="1185"/>
      <c r="BI44" s="1185"/>
      <c r="BJ44" s="1186"/>
      <c r="BK44" s="141"/>
    </row>
    <row r="45" spans="2:63" s="37" customFormat="1">
      <c r="B45" s="1182"/>
      <c r="C45" s="1183"/>
      <c r="D45" s="1184" t="s">
        <v>2140</v>
      </c>
      <c r="E45" s="166"/>
      <c r="F45" s="1184"/>
      <c r="G45" s="1184"/>
      <c r="H45" s="1188"/>
      <c r="I45" s="1188"/>
      <c r="J45" s="1188"/>
      <c r="K45" s="1188"/>
      <c r="L45" s="1188"/>
      <c r="M45" s="1188"/>
      <c r="N45" s="1188"/>
      <c r="O45" s="1188"/>
      <c r="P45" s="1188"/>
      <c r="Q45" s="1188"/>
      <c r="R45" s="1188"/>
      <c r="S45" s="1188"/>
      <c r="T45" s="1188"/>
      <c r="U45" s="1188"/>
      <c r="V45" s="1188"/>
      <c r="W45" s="1188"/>
      <c r="X45" s="1188"/>
      <c r="Y45" s="1188"/>
      <c r="Z45" s="1188"/>
      <c r="AA45" s="1188"/>
      <c r="AB45" s="1188"/>
      <c r="AC45" s="1188"/>
      <c r="AD45" s="1188"/>
      <c r="AE45" s="1188"/>
      <c r="AF45" s="1188"/>
      <c r="AG45" s="1188"/>
      <c r="AH45" s="1188"/>
      <c r="AI45" s="1188"/>
      <c r="AJ45" s="1188"/>
      <c r="AK45" s="1188"/>
      <c r="AL45" s="1188"/>
      <c r="AM45" s="1188"/>
      <c r="AN45" s="1188"/>
      <c r="AO45" s="1188"/>
      <c r="AP45" s="1188"/>
      <c r="AQ45" s="1188"/>
      <c r="AR45" s="1188"/>
      <c r="AS45" s="1188"/>
      <c r="AT45" s="1188"/>
      <c r="AU45" s="1188"/>
      <c r="AV45" s="1188"/>
      <c r="AW45" s="1188"/>
      <c r="AX45" s="166"/>
      <c r="AY45" s="1185"/>
      <c r="AZ45" s="1185"/>
      <c r="BA45" s="3156">
        <f t="shared" ref="BA45:BD45" ca="1" si="10">BA36/BA$40</f>
        <v>0.11844446669319056</v>
      </c>
      <c r="BB45" s="3156">
        <f t="shared" ca="1" si="10"/>
        <v>0.17893019410340902</v>
      </c>
      <c r="BC45" s="3156">
        <f t="shared" ca="1" si="10"/>
        <v>0.16414421971940893</v>
      </c>
      <c r="BD45" s="3156">
        <f t="shared" ca="1" si="10"/>
        <v>0.14624312915697488</v>
      </c>
      <c r="BE45" s="1185"/>
      <c r="BF45" s="1185"/>
      <c r="BG45" s="1185"/>
      <c r="BH45" s="1185"/>
      <c r="BI45" s="1185"/>
      <c r="BJ45" s="1186"/>
      <c r="BK45" s="141"/>
    </row>
    <row r="46" spans="2:63" s="37" customFormat="1">
      <c r="B46" s="1182"/>
      <c r="C46" s="1183"/>
      <c r="D46" s="1184" t="s">
        <v>1051</v>
      </c>
      <c r="E46" s="166"/>
      <c r="F46" s="1184"/>
      <c r="G46" s="1184"/>
      <c r="H46" s="1188"/>
      <c r="I46" s="1188"/>
      <c r="J46" s="1188"/>
      <c r="K46" s="1188"/>
      <c r="L46" s="1188"/>
      <c r="M46" s="1188"/>
      <c r="N46" s="1188"/>
      <c r="O46" s="1188"/>
      <c r="P46" s="1188"/>
      <c r="Q46" s="1188"/>
      <c r="R46" s="1188"/>
      <c r="S46" s="1188"/>
      <c r="T46" s="1188"/>
      <c r="U46" s="1188"/>
      <c r="V46" s="1188"/>
      <c r="W46" s="1188"/>
      <c r="X46" s="1188"/>
      <c r="Y46" s="1188"/>
      <c r="Z46" s="1188"/>
      <c r="AA46" s="1188"/>
      <c r="AB46" s="1188"/>
      <c r="AC46" s="1188"/>
      <c r="AD46" s="1188"/>
      <c r="AE46" s="1188"/>
      <c r="AF46" s="1188"/>
      <c r="AG46" s="1188"/>
      <c r="AH46" s="1188"/>
      <c r="AI46" s="1188"/>
      <c r="AJ46" s="1188"/>
      <c r="AK46" s="1188"/>
      <c r="AL46" s="1188"/>
      <c r="AM46" s="1188"/>
      <c r="AN46" s="1188"/>
      <c r="AO46" s="1188"/>
      <c r="AP46" s="1188"/>
      <c r="AQ46" s="1188"/>
      <c r="AR46" s="1188"/>
      <c r="AS46" s="1188"/>
      <c r="AT46" s="1188"/>
      <c r="AU46" s="1188"/>
      <c r="AV46" s="1188"/>
      <c r="AW46" s="1188"/>
      <c r="AX46" s="166"/>
      <c r="AY46" s="1185"/>
      <c r="AZ46" s="1185"/>
      <c r="BA46" s="3156">
        <f t="shared" ref="BA46:BD46" ca="1" si="11">BA37/BA$40</f>
        <v>2.1404239981309893E-2</v>
      </c>
      <c r="BB46" s="3156">
        <f t="shared" ca="1" si="11"/>
        <v>2.7812731111407283E-2</v>
      </c>
      <c r="BC46" s="3156">
        <f t="shared" ca="1" si="11"/>
        <v>3.141393600015454E-2</v>
      </c>
      <c r="BD46" s="3156">
        <f t="shared" ca="1" si="11"/>
        <v>4.9824804196935392E-2</v>
      </c>
      <c r="BE46" s="1185"/>
      <c r="BF46" s="1185"/>
      <c r="BG46" s="1185"/>
      <c r="BH46" s="1185"/>
      <c r="BI46" s="1185"/>
      <c r="BJ46" s="1186"/>
      <c r="BK46" s="141"/>
    </row>
    <row r="47" spans="2:63" s="37" customFormat="1">
      <c r="B47" s="1182"/>
      <c r="C47" s="1183"/>
      <c r="D47" s="1184" t="s">
        <v>106</v>
      </c>
      <c r="E47" s="166"/>
      <c r="F47" s="1184"/>
      <c r="G47" s="1184"/>
      <c r="H47" s="1188"/>
      <c r="I47" s="1188"/>
      <c r="J47" s="1188"/>
      <c r="K47" s="1188"/>
      <c r="L47" s="1188"/>
      <c r="M47" s="1188"/>
      <c r="N47" s="1188"/>
      <c r="O47" s="1188"/>
      <c r="P47" s="1188"/>
      <c r="Q47" s="1188"/>
      <c r="R47" s="1188"/>
      <c r="S47" s="1188"/>
      <c r="T47" s="1188"/>
      <c r="U47" s="1188"/>
      <c r="V47" s="1188"/>
      <c r="W47" s="1188"/>
      <c r="X47" s="1188"/>
      <c r="Y47" s="1188"/>
      <c r="Z47" s="1188"/>
      <c r="AA47" s="1188"/>
      <c r="AB47" s="1188"/>
      <c r="AC47" s="1188"/>
      <c r="AD47" s="1188"/>
      <c r="AE47" s="1188"/>
      <c r="AF47" s="1188"/>
      <c r="AG47" s="1188"/>
      <c r="AH47" s="1188"/>
      <c r="AI47" s="1188"/>
      <c r="AJ47" s="1188"/>
      <c r="AK47" s="1188"/>
      <c r="AL47" s="1188"/>
      <c r="AM47" s="1188"/>
      <c r="AN47" s="1188"/>
      <c r="AO47" s="1188"/>
      <c r="AP47" s="1188"/>
      <c r="AQ47" s="1188"/>
      <c r="AR47" s="1188"/>
      <c r="AS47" s="1188"/>
      <c r="AT47" s="1188"/>
      <c r="AU47" s="1188"/>
      <c r="AV47" s="1188"/>
      <c r="AW47" s="1188"/>
      <c r="AX47" s="166"/>
      <c r="AY47" s="1185"/>
      <c r="AZ47" s="1185"/>
      <c r="BA47" s="3156">
        <f t="shared" ref="BA47:BD47" ca="1" si="12">BA38/BA$40</f>
        <v>5.7249071016225894E-2</v>
      </c>
      <c r="BB47" s="3156">
        <f t="shared" ca="1" si="12"/>
        <v>5.3384610082823712E-2</v>
      </c>
      <c r="BC47" s="3156">
        <f t="shared" ca="1" si="12"/>
        <v>3.4761854654991244E-2</v>
      </c>
      <c r="BD47" s="3156">
        <f t="shared" ca="1" si="12"/>
        <v>2.504047391283569E-2</v>
      </c>
      <c r="BE47" s="1185"/>
      <c r="BF47" s="1185"/>
      <c r="BG47" s="1185"/>
      <c r="BH47" s="1185"/>
      <c r="BI47" s="1185"/>
      <c r="BJ47" s="1186"/>
      <c r="BK47" s="141"/>
    </row>
    <row r="48" spans="2:63" s="37" customFormat="1">
      <c r="B48" s="1182"/>
      <c r="C48" s="1183"/>
      <c r="D48" s="1184" t="s">
        <v>1078</v>
      </c>
      <c r="E48" s="166"/>
      <c r="F48" s="1184"/>
      <c r="G48" s="1184"/>
      <c r="H48" s="1188"/>
      <c r="I48" s="1188"/>
      <c r="J48" s="1188"/>
      <c r="K48" s="1188"/>
      <c r="L48" s="1188"/>
      <c r="M48" s="1188"/>
      <c r="N48" s="1188"/>
      <c r="O48" s="1188"/>
      <c r="P48" s="1188"/>
      <c r="Q48" s="1188"/>
      <c r="R48" s="1188"/>
      <c r="S48" s="1188"/>
      <c r="T48" s="1188"/>
      <c r="U48" s="1188"/>
      <c r="V48" s="1188"/>
      <c r="W48" s="1188"/>
      <c r="X48" s="1188"/>
      <c r="Y48" s="1188"/>
      <c r="Z48" s="1188"/>
      <c r="AA48" s="1188"/>
      <c r="AB48" s="1188"/>
      <c r="AC48" s="1188"/>
      <c r="AD48" s="1188"/>
      <c r="AE48" s="1188"/>
      <c r="AF48" s="1188"/>
      <c r="AG48" s="1188"/>
      <c r="AH48" s="1188"/>
      <c r="AI48" s="1188"/>
      <c r="AJ48" s="1188"/>
      <c r="AK48" s="1188"/>
      <c r="AL48" s="1188"/>
      <c r="AM48" s="1188"/>
      <c r="AN48" s="1188"/>
      <c r="AO48" s="1188"/>
      <c r="AP48" s="1188"/>
      <c r="AQ48" s="1188"/>
      <c r="AR48" s="1188"/>
      <c r="AS48" s="1188"/>
      <c r="AT48" s="1188"/>
      <c r="AU48" s="1188"/>
      <c r="AV48" s="1188"/>
      <c r="AW48" s="1188"/>
      <c r="AX48" s="166"/>
      <c r="AY48" s="1185"/>
      <c r="AZ48" s="1185"/>
      <c r="BA48" s="3156">
        <f t="shared" ref="BA48:BD48" ca="1" si="13">BA39/BA$40</f>
        <v>1.0537095275857493E-2</v>
      </c>
      <c r="BB48" s="3156">
        <f t="shared" ca="1" si="13"/>
        <v>1.0728850360348258E-2</v>
      </c>
      <c r="BC48" s="3156">
        <f t="shared" ca="1" si="13"/>
        <v>3.0388837539279774E-3</v>
      </c>
      <c r="BD48" s="3156">
        <f t="shared" ca="1" si="13"/>
        <v>1.139288427762338E-2</v>
      </c>
      <c r="BE48" s="1185"/>
      <c r="BF48" s="1185"/>
      <c r="BG48" s="1185"/>
      <c r="BH48" s="1185"/>
      <c r="BI48" s="1185"/>
      <c r="BJ48" s="1186"/>
      <c r="BK48" s="141"/>
    </row>
    <row r="49" spans="2:63" s="37" customFormat="1">
      <c r="B49" s="1182"/>
      <c r="C49" s="1183"/>
      <c r="D49" s="1184"/>
      <c r="E49" s="166"/>
      <c r="F49" s="1184"/>
      <c r="G49" s="1184"/>
      <c r="H49" s="1188"/>
      <c r="I49" s="1188"/>
      <c r="J49" s="1188"/>
      <c r="K49" s="1188"/>
      <c r="L49" s="1188"/>
      <c r="M49" s="1188"/>
      <c r="N49" s="1188"/>
      <c r="O49" s="1188"/>
      <c r="P49" s="1188"/>
      <c r="Q49" s="1188"/>
      <c r="R49" s="1188"/>
      <c r="S49" s="1188"/>
      <c r="T49" s="1188"/>
      <c r="U49" s="1188"/>
      <c r="V49" s="1188"/>
      <c r="W49" s="1188"/>
      <c r="X49" s="1188"/>
      <c r="Y49" s="1188"/>
      <c r="Z49" s="1188"/>
      <c r="AA49" s="1188"/>
      <c r="AB49" s="1188"/>
      <c r="AC49" s="1188"/>
      <c r="AD49" s="1188"/>
      <c r="AE49" s="1188"/>
      <c r="AF49" s="1188"/>
      <c r="AG49" s="1188"/>
      <c r="AH49" s="1188"/>
      <c r="AI49" s="1188"/>
      <c r="AJ49" s="1188"/>
      <c r="AK49" s="1188"/>
      <c r="AL49" s="1188"/>
      <c r="AM49" s="1188"/>
      <c r="AN49" s="1188"/>
      <c r="AO49" s="1188"/>
      <c r="AP49" s="1188"/>
      <c r="AQ49" s="1188"/>
      <c r="AR49" s="1188"/>
      <c r="AS49" s="1188"/>
      <c r="AT49" s="1188"/>
      <c r="AU49" s="1188"/>
      <c r="AV49" s="1188"/>
      <c r="AW49" s="1188"/>
      <c r="AX49" s="166"/>
      <c r="AY49" s="1185"/>
      <c r="AZ49" s="1185"/>
      <c r="BA49" s="1185"/>
      <c r="BB49" s="1185"/>
      <c r="BC49" s="1185"/>
      <c r="BD49" s="1185"/>
      <c r="BE49" s="1185"/>
      <c r="BF49" s="1185"/>
      <c r="BG49" s="1185"/>
      <c r="BH49" s="1185"/>
      <c r="BI49" s="1185"/>
      <c r="BJ49" s="1186"/>
      <c r="BK49" s="141"/>
    </row>
    <row r="50" spans="2:63" s="37" customFormat="1">
      <c r="B50" s="1182"/>
      <c r="C50" s="1183"/>
      <c r="D50" s="1184"/>
      <c r="E50" s="166"/>
      <c r="F50" s="1184"/>
      <c r="G50" s="1184"/>
      <c r="H50" s="1188"/>
      <c r="I50" s="1188"/>
      <c r="J50" s="1188"/>
      <c r="K50" s="1188"/>
      <c r="L50" s="1188"/>
      <c r="M50" s="1188"/>
      <c r="N50" s="1188"/>
      <c r="O50" s="1188"/>
      <c r="P50" s="1188"/>
      <c r="Q50" s="1188"/>
      <c r="R50" s="1188"/>
      <c r="S50" s="1188"/>
      <c r="T50" s="1188"/>
      <c r="U50" s="1188"/>
      <c r="V50" s="1188"/>
      <c r="W50" s="1188"/>
      <c r="X50" s="1188"/>
      <c r="Y50" s="1188"/>
      <c r="Z50" s="1188"/>
      <c r="AA50" s="1188"/>
      <c r="AB50" s="1188"/>
      <c r="AC50" s="1188"/>
      <c r="AD50" s="1188"/>
      <c r="AE50" s="1188"/>
      <c r="AF50" s="1188"/>
      <c r="AG50" s="1188"/>
      <c r="AH50" s="1188"/>
      <c r="AI50" s="1188"/>
      <c r="AJ50" s="1188"/>
      <c r="AK50" s="1188"/>
      <c r="AL50" s="1188"/>
      <c r="AM50" s="1188"/>
      <c r="AN50" s="1188"/>
      <c r="AO50" s="1188"/>
      <c r="AP50" s="1188"/>
      <c r="AQ50" s="1188"/>
      <c r="AR50" s="1188"/>
      <c r="AS50" s="1188"/>
      <c r="AT50" s="1188"/>
      <c r="AU50" s="1188"/>
      <c r="AV50" s="1188"/>
      <c r="AW50" s="1188"/>
      <c r="AX50" s="166"/>
      <c r="AY50" s="1185"/>
      <c r="AZ50" s="1185"/>
      <c r="BA50" s="1185"/>
      <c r="BB50" s="1185"/>
      <c r="BC50" s="1185"/>
      <c r="BD50" s="1185"/>
      <c r="BE50" s="1185"/>
      <c r="BF50" s="1185"/>
      <c r="BG50" s="1185"/>
      <c r="BH50" s="1185"/>
      <c r="BI50" s="1185"/>
      <c r="BJ50" s="1186"/>
      <c r="BK50" s="141"/>
    </row>
    <row r="51" spans="2:63" s="37" customFormat="1">
      <c r="B51" s="1182"/>
      <c r="C51" s="1183"/>
      <c r="D51" s="1184"/>
      <c r="E51" s="166"/>
      <c r="F51" s="1184"/>
      <c r="G51" s="1184"/>
      <c r="H51" s="1188"/>
      <c r="I51" s="1188"/>
      <c r="J51" s="1188"/>
      <c r="K51" s="1188"/>
      <c r="L51" s="1188"/>
      <c r="M51" s="1188"/>
      <c r="N51" s="1188"/>
      <c r="O51" s="1188"/>
      <c r="P51" s="1188"/>
      <c r="Q51" s="1188"/>
      <c r="R51" s="1188"/>
      <c r="S51" s="1188"/>
      <c r="T51" s="1188"/>
      <c r="U51" s="1188"/>
      <c r="V51" s="1188"/>
      <c r="W51" s="1188"/>
      <c r="X51" s="1188"/>
      <c r="Y51" s="1188"/>
      <c r="Z51" s="1188"/>
      <c r="AA51" s="1188"/>
      <c r="AB51" s="1188"/>
      <c r="AC51" s="1188"/>
      <c r="AD51" s="1188"/>
      <c r="AE51" s="1188"/>
      <c r="AF51" s="1188"/>
      <c r="AG51" s="1188"/>
      <c r="AH51" s="1188"/>
      <c r="AI51" s="1188"/>
      <c r="AJ51" s="1188"/>
      <c r="AK51" s="1188"/>
      <c r="AL51" s="1188"/>
      <c r="AM51" s="1188"/>
      <c r="AN51" s="1188"/>
      <c r="AO51" s="1188"/>
      <c r="AP51" s="1188"/>
      <c r="AQ51" s="1188"/>
      <c r="AR51" s="1188"/>
      <c r="AS51" s="1188"/>
      <c r="AT51" s="1188"/>
      <c r="AU51" s="1188"/>
      <c r="AV51" s="1188"/>
      <c r="AW51" s="1188"/>
      <c r="AX51" s="166"/>
      <c r="AY51" s="1185"/>
      <c r="AZ51" s="1185"/>
      <c r="BA51" s="1185"/>
      <c r="BB51" s="1185"/>
      <c r="BC51" s="1185"/>
      <c r="BD51" s="1185"/>
      <c r="BE51" s="1185"/>
      <c r="BF51" s="1185"/>
      <c r="BG51" s="1185"/>
      <c r="BH51" s="1185"/>
      <c r="BI51" s="1185"/>
      <c r="BJ51" s="1186"/>
      <c r="BK51" s="141"/>
    </row>
    <row r="52" spans="2:63">
      <c r="B52" s="164"/>
      <c r="C52" s="1170"/>
      <c r="D52" s="166"/>
      <c r="E52" s="166"/>
      <c r="F52" s="1184"/>
      <c r="G52" s="1184"/>
      <c r="H52" s="1188"/>
      <c r="I52" s="1188"/>
      <c r="J52" s="1188"/>
      <c r="K52" s="1188"/>
      <c r="L52" s="1188"/>
      <c r="M52" s="1188"/>
      <c r="N52" s="1188"/>
      <c r="O52" s="1188"/>
      <c r="P52" s="1188"/>
      <c r="Q52" s="1188"/>
      <c r="R52" s="1188"/>
      <c r="S52" s="1188"/>
      <c r="T52" s="1188"/>
      <c r="U52" s="1188"/>
      <c r="V52" s="1188"/>
      <c r="W52" s="1188"/>
      <c r="X52" s="1188"/>
      <c r="Y52" s="1188"/>
      <c r="Z52" s="1188"/>
      <c r="AA52" s="1188"/>
      <c r="AB52" s="1188"/>
      <c r="AC52" s="1188"/>
      <c r="AD52" s="1188"/>
      <c r="AE52" s="1188"/>
      <c r="AF52" s="1188"/>
      <c r="AG52" s="1188"/>
      <c r="AH52" s="1188"/>
      <c r="AI52" s="1188"/>
      <c r="AJ52" s="1188"/>
      <c r="AK52" s="1188"/>
      <c r="AL52" s="1188"/>
      <c r="AM52" s="1188"/>
      <c r="AN52" s="1188"/>
      <c r="AO52" s="1188"/>
      <c r="AP52" s="1188"/>
      <c r="AQ52" s="1188"/>
      <c r="AR52" s="1188"/>
      <c r="AS52" s="1188"/>
      <c r="AT52" s="1188"/>
      <c r="AU52" s="1188"/>
      <c r="AV52" s="1188"/>
      <c r="AW52" s="1188"/>
      <c r="AX52" s="166"/>
      <c r="AY52" s="1168"/>
      <c r="AZ52" s="1168"/>
      <c r="BA52" s="3087"/>
      <c r="BB52" s="1168"/>
      <c r="BC52" s="1168"/>
      <c r="BD52" s="1168"/>
      <c r="BE52" s="1168"/>
      <c r="BF52" s="1168"/>
      <c r="BG52" s="1168"/>
      <c r="BH52" s="1168"/>
      <c r="BI52" s="1168"/>
      <c r="BJ52" s="1169"/>
      <c r="BK52" s="22"/>
    </row>
    <row r="53" spans="2:63" s="410" customFormat="1">
      <c r="B53" s="1162"/>
      <c r="C53" s="1163" t="s">
        <v>1129</v>
      </c>
      <c r="D53" s="1164"/>
      <c r="E53" s="166"/>
      <c r="F53" s="1184"/>
      <c r="G53" s="1184"/>
      <c r="H53" s="1188"/>
      <c r="I53" s="1188"/>
      <c r="J53" s="1188"/>
      <c r="K53" s="1188"/>
      <c r="L53" s="1188"/>
      <c r="M53" s="1188"/>
      <c r="N53" s="1188"/>
      <c r="O53" s="1188"/>
      <c r="P53" s="1188"/>
      <c r="Q53" s="1188"/>
      <c r="R53" s="1188"/>
      <c r="S53" s="1188"/>
      <c r="T53" s="1188"/>
      <c r="U53" s="1188"/>
      <c r="V53" s="1188"/>
      <c r="W53" s="1188"/>
      <c r="X53" s="1188"/>
      <c r="Y53" s="1188"/>
      <c r="Z53" s="1188"/>
      <c r="AA53" s="1188"/>
      <c r="AB53" s="1188"/>
      <c r="AC53" s="1188"/>
      <c r="AD53" s="1188"/>
      <c r="AE53" s="1188"/>
      <c r="AF53" s="1188"/>
      <c r="AG53" s="1188"/>
      <c r="AH53" s="1188"/>
      <c r="AI53" s="1188"/>
      <c r="AJ53" s="1188"/>
      <c r="AK53" s="1188"/>
      <c r="AL53" s="1188"/>
      <c r="AM53" s="1188"/>
      <c r="AN53" s="1188"/>
      <c r="AO53" s="1188"/>
      <c r="AP53" s="1188"/>
      <c r="AQ53" s="1188"/>
      <c r="AR53" s="1188"/>
      <c r="AS53" s="1188"/>
      <c r="AT53" s="1188"/>
      <c r="AU53" s="1188"/>
      <c r="AV53" s="1188"/>
      <c r="AW53" s="1188"/>
      <c r="AX53" s="166"/>
      <c r="AY53" s="267"/>
      <c r="AZ53" s="267"/>
      <c r="BA53" s="267"/>
      <c r="BB53" s="267"/>
      <c r="BC53" s="267"/>
      <c r="BD53" s="267"/>
      <c r="BE53" s="267"/>
      <c r="BF53" s="267"/>
      <c r="BG53" s="267"/>
      <c r="BH53" s="267"/>
      <c r="BI53" s="267"/>
      <c r="BJ53" s="1166"/>
      <c r="BK53" s="1167"/>
    </row>
    <row r="54" spans="2:63" s="410" customFormat="1">
      <c r="B54" s="1162"/>
      <c r="C54" s="1187" t="s">
        <v>7</v>
      </c>
      <c r="D54" s="1164" t="str">
        <f>INDEX(Vectors[Description], MATCH($C54, Vectors[Code], 0))</f>
        <v>Nuclear fission</v>
      </c>
      <c r="E54" s="166"/>
      <c r="F54" s="1184"/>
      <c r="G54" s="1184"/>
      <c r="H54" s="1188"/>
      <c r="I54" s="1188"/>
      <c r="J54" s="1188"/>
      <c r="K54" s="1188"/>
      <c r="L54" s="1188"/>
      <c r="M54" s="1188"/>
      <c r="N54" s="1188"/>
      <c r="O54" s="1188"/>
      <c r="P54" s="1188"/>
      <c r="Q54" s="1188"/>
      <c r="R54" s="1188"/>
      <c r="S54" s="1188"/>
      <c r="T54" s="1188"/>
      <c r="U54" s="1188"/>
      <c r="V54" s="1188"/>
      <c r="W54" s="1188"/>
      <c r="X54" s="1188"/>
      <c r="Y54" s="1188"/>
      <c r="Z54" s="1188"/>
      <c r="AA54" s="1188"/>
      <c r="AB54" s="1188"/>
      <c r="AC54" s="1188"/>
      <c r="AD54" s="1188"/>
      <c r="AE54" s="1188"/>
      <c r="AF54" s="1188"/>
      <c r="AG54" s="1188"/>
      <c r="AH54" s="1188"/>
      <c r="AI54" s="1188"/>
      <c r="AJ54" s="1188"/>
      <c r="AK54" s="1188"/>
      <c r="AL54" s="1188"/>
      <c r="AM54" s="1188"/>
      <c r="AN54" s="1188"/>
      <c r="AO54" s="1188"/>
      <c r="AP54" s="1188"/>
      <c r="AQ54" s="1188"/>
      <c r="AR54" s="1188"/>
      <c r="AS54" s="1188"/>
      <c r="AT54" s="1188"/>
      <c r="AU54" s="1188"/>
      <c r="AV54" s="1188"/>
      <c r="AW54" s="1188"/>
      <c r="AX54" s="166"/>
      <c r="AY54" s="2861">
        <f ca="1">-INDEX(INDIRECT("'"&amp;AY$4&amp;"'!Year.NetBalance"), MATCH(Pathways!$C54, INDIRECT("'"&amp;AY$4&amp;"'!Year.Vectors"), 0))</f>
        <v>80.94774857142859</v>
      </c>
      <c r="AZ54" s="2861"/>
      <c r="BA54" s="2861">
        <f ca="1">-INDEX(INDIRECT("'"&amp;BA$4&amp;"'!Year.NetBalance"), MATCH(Pathways!$C54, INDIRECT("'"&amp;BA$4&amp;"'!Year.Vectors"), 0))</f>
        <v>93.771154285714289</v>
      </c>
      <c r="BB54" s="2861">
        <f ca="1">-INDEX(INDIRECT("'"&amp;BB$4&amp;"'!Year.NetBalance"), MATCH(Pathways!$C54, INDIRECT("'"&amp;BB$4&amp;"'!Year.Vectors"), 0))</f>
        <v>199.9649828571429</v>
      </c>
      <c r="BC54" s="2861">
        <f ca="1">-INDEX(INDIRECT("'"&amp;BC$4&amp;"'!Year.NetBalance"), MATCH(Pathways!$C54, INDIRECT("'"&amp;BC$4&amp;"'!Year.Vectors"), 0))</f>
        <v>193.55328000000003</v>
      </c>
      <c r="BD54" s="2861">
        <f ca="1">-INDEX(INDIRECT("'"&amp;BD$4&amp;"'!Year.NetBalance"), MATCH(Pathways!$C54, INDIRECT("'"&amp;BD$4&amp;"'!Year.Vectors"), 0))</f>
        <v>193.55328000000003</v>
      </c>
      <c r="BE54" s="2861">
        <f ca="1">-INDEX(INDIRECT("'"&amp;BE$4&amp;"'!Year.NetBalance"), MATCH(Pathways!$C54, INDIRECT("'"&amp;BE$4&amp;"'!Year.Vectors"), 0))</f>
        <v>189.54596571428576</v>
      </c>
      <c r="BF54" s="2861">
        <f ca="1">-INDEX(INDIRECT("'"&amp;BF$4&amp;"'!Year.NetBalance"), MATCH(Pathways!$C54, INDIRECT("'"&amp;BF$4&amp;"'!Year.Vectors"), 0))</f>
        <v>180.72987428571432</v>
      </c>
      <c r="BG54" s="2861">
        <f ca="1">-INDEX(INDIRECT("'"&amp;BG$4&amp;"'!Year.NetBalance"), MATCH(Pathways!$C54, INDIRECT("'"&amp;BG$4&amp;"'!Year.Vectors"), 0))</f>
        <v>176.3218285714286</v>
      </c>
      <c r="BH54" s="2861">
        <f ca="1">-INDEX(INDIRECT("'"&amp;BH$4&amp;"'!Year.NetBalance"), MATCH(Pathways!$C54, INDIRECT("'"&amp;BH$4&amp;"'!Year.Vectors"), 0))</f>
        <v>167.50573714285716</v>
      </c>
      <c r="BI54" s="2861">
        <f ca="1">-INDEX(INDIRECT("'"&amp;BI$4&amp;"'!Year.NetBalance"), MATCH(Pathways!$C54, INDIRECT("'"&amp;BI$4&amp;"'!Year.Vectors"), 0))</f>
        <v>167.50573714285716</v>
      </c>
      <c r="BJ54" s="1166"/>
      <c r="BK54" s="1021"/>
    </row>
    <row r="55" spans="2:63" s="410" customFormat="1">
      <c r="B55" s="1162"/>
      <c r="C55" s="1187" t="s">
        <v>24</v>
      </c>
      <c r="D55" s="1164" t="str">
        <f>INDEX(Vectors[Description], MATCH($C55, Vectors[Code], 0))</f>
        <v>Solar</v>
      </c>
      <c r="E55" s="166"/>
      <c r="F55" s="1184"/>
      <c r="G55" s="1184"/>
      <c r="H55" s="1188"/>
      <c r="I55" s="1188"/>
      <c r="J55" s="1188"/>
      <c r="K55" s="1188"/>
      <c r="L55" s="1188"/>
      <c r="M55" s="1188"/>
      <c r="N55" s="1188"/>
      <c r="O55" s="1188"/>
      <c r="P55" s="1188"/>
      <c r="Q55" s="1188"/>
      <c r="R55" s="1188"/>
      <c r="S55" s="1188"/>
      <c r="T55" s="1188"/>
      <c r="U55" s="1188"/>
      <c r="V55" s="1188"/>
      <c r="W55" s="1188"/>
      <c r="X55" s="1188"/>
      <c r="Y55" s="1188"/>
      <c r="Z55" s="1188"/>
      <c r="AA55" s="1188"/>
      <c r="AB55" s="1188"/>
      <c r="AC55" s="1188"/>
      <c r="AD55" s="1188"/>
      <c r="AE55" s="1188"/>
      <c r="AF55" s="1188"/>
      <c r="AG55" s="1188"/>
      <c r="AH55" s="1188"/>
      <c r="AI55" s="1188"/>
      <c r="AJ55" s="1188"/>
      <c r="AK55" s="1188"/>
      <c r="AL55" s="1188"/>
      <c r="AM55" s="1188"/>
      <c r="AN55" s="1188"/>
      <c r="AO55" s="1188"/>
      <c r="AP55" s="1188"/>
      <c r="AQ55" s="1188"/>
      <c r="AR55" s="1188"/>
      <c r="AS55" s="1188"/>
      <c r="AT55" s="1188"/>
      <c r="AU55" s="1188"/>
      <c r="AV55" s="1188"/>
      <c r="AW55" s="1188"/>
      <c r="AX55" s="166"/>
      <c r="AY55" s="2861">
        <f ca="1">-INDEX(INDIRECT("'"&amp;AY$4&amp;"'!Year.NetBalance"), MATCH(Pathways!$C55, INDIRECT("'"&amp;AY$4&amp;"'!Year.Vectors"), 0))</f>
        <v>0</v>
      </c>
      <c r="AZ55" s="2861"/>
      <c r="BA55" s="2861">
        <f ca="1">-INDEX(INDIRECT("'"&amp;BA$4&amp;"'!Year.NetBalance"), MATCH(Pathways!$C55, INDIRECT("'"&amp;BA$4&amp;"'!Year.Vectors"), 0))</f>
        <v>1.56727314</v>
      </c>
      <c r="BB55" s="2861">
        <f ca="1">-INDEX(INDIRECT("'"&amp;BB$4&amp;"'!Year.NetBalance"), MATCH(Pathways!$C55, INDIRECT("'"&amp;BB$4&amp;"'!Year.Vectors"), 0))</f>
        <v>10.99938034075161</v>
      </c>
      <c r="BC55" s="2861">
        <f ca="1">-INDEX(INDIRECT("'"&amp;BC$4&amp;"'!Year.NetBalance"), MATCH(Pathways!$C55, INDIRECT("'"&amp;BC$4&amp;"'!Year.Vectors"), 0))</f>
        <v>27.366299513783936</v>
      </c>
      <c r="BD55" s="2861">
        <f ca="1">-INDEX(INDIRECT("'"&amp;BD$4&amp;"'!Year.NetBalance"), MATCH(Pathways!$C55, INDIRECT("'"&amp;BD$4&amp;"'!Year.Vectors"), 0))</f>
        <v>49.233277769900653</v>
      </c>
      <c r="BE55" s="2861">
        <f ca="1">-INDEX(INDIRECT("'"&amp;BE$4&amp;"'!Year.NetBalance"), MATCH(Pathways!$C55, INDIRECT("'"&amp;BE$4&amp;"'!Year.Vectors"), 0))</f>
        <v>74.393168287263421</v>
      </c>
      <c r="BF55" s="2861">
        <f ca="1">-INDEX(INDIRECT("'"&amp;BF$4&amp;"'!Year.NetBalance"), MATCH(Pathways!$C55, INDIRECT("'"&amp;BF$4&amp;"'!Year.Vectors"), 0))</f>
        <v>96.634101460999375</v>
      </c>
      <c r="BG55" s="2861">
        <f ca="1">-INDEX(INDIRECT("'"&amp;BG$4&amp;"'!Year.NetBalance"), MATCH(Pathways!$C55, INDIRECT("'"&amp;BG$4&amp;"'!Year.Vectors"), 0))</f>
        <v>108.73461587841729</v>
      </c>
      <c r="BH55" s="2861">
        <f ca="1">-INDEX(INDIRECT("'"&amp;BH$4&amp;"'!Year.NetBalance"), MATCH(Pathways!$C55, INDIRECT("'"&amp;BH$4&amp;"'!Year.Vectors"), 0))</f>
        <v>106.76952554064533</v>
      </c>
      <c r="BI55" s="2861">
        <f ca="1">-INDEX(INDIRECT("'"&amp;BI$4&amp;"'!Year.NetBalance"), MATCH(Pathways!$C55, INDIRECT("'"&amp;BI$4&amp;"'!Year.Vectors"), 0))</f>
        <v>93.110973518033461</v>
      </c>
      <c r="BJ55" s="1166"/>
      <c r="BK55" s="1021"/>
    </row>
    <row r="56" spans="2:63" s="410" customFormat="1">
      <c r="B56" s="1162"/>
      <c r="C56" s="1187" t="s">
        <v>8</v>
      </c>
      <c r="D56" s="1164" t="str">
        <f>INDEX(Vectors[Description], MATCH($C56, Vectors[Code], 0))</f>
        <v>Wind</v>
      </c>
      <c r="E56" s="166"/>
      <c r="F56" s="1184"/>
      <c r="G56" s="1184"/>
      <c r="H56" s="1188"/>
      <c r="I56" s="1188"/>
      <c r="J56" s="1188"/>
      <c r="K56" s="1188"/>
      <c r="L56" s="1188"/>
      <c r="M56" s="1188"/>
      <c r="N56" s="1188"/>
      <c r="O56" s="1188"/>
      <c r="P56" s="1188"/>
      <c r="Q56" s="1188"/>
      <c r="R56" s="1188"/>
      <c r="S56" s="1188"/>
      <c r="T56" s="1188"/>
      <c r="U56" s="1188"/>
      <c r="V56" s="1188"/>
      <c r="W56" s="1188"/>
      <c r="X56" s="1188"/>
      <c r="Y56" s="1188"/>
      <c r="Z56" s="1188"/>
      <c r="AA56" s="1188"/>
      <c r="AB56" s="1188"/>
      <c r="AC56" s="1188"/>
      <c r="AD56" s="1188"/>
      <c r="AE56" s="1188"/>
      <c r="AF56" s="1188"/>
      <c r="AG56" s="1188"/>
      <c r="AH56" s="1188"/>
      <c r="AI56" s="1188"/>
      <c r="AJ56" s="1188"/>
      <c r="AK56" s="1188"/>
      <c r="AL56" s="1188"/>
      <c r="AM56" s="1188"/>
      <c r="AN56" s="1188"/>
      <c r="AO56" s="1188"/>
      <c r="AP56" s="1188"/>
      <c r="AQ56" s="1188"/>
      <c r="AR56" s="1188"/>
      <c r="AS56" s="1188"/>
      <c r="AT56" s="1188"/>
      <c r="AU56" s="1188"/>
      <c r="AV56" s="1188"/>
      <c r="AW56" s="1188"/>
      <c r="AX56" s="166"/>
      <c r="AY56" s="2861">
        <f ca="1">-INDEX(INDIRECT("'"&amp;AY$4&amp;"'!Year.NetBalance"), MATCH(Pathways!$C56, INDIRECT("'"&amp;AY$4&amp;"'!Year.Vectors"), 0))</f>
        <v>12.437183268</v>
      </c>
      <c r="AZ56" s="2861"/>
      <c r="BA56" s="2861">
        <f ca="1">-INDEX(INDIRECT("'"&amp;BA$4&amp;"'!Year.NetBalance"), MATCH(Pathways!$C56, INDIRECT("'"&amp;BA$4&amp;"'!Year.Vectors"), 0))</f>
        <v>18.722249233199999</v>
      </c>
      <c r="BB56" s="2861">
        <f ca="1">-INDEX(INDIRECT("'"&amp;BB$4&amp;"'!Year.NetBalance"), MATCH(Pathways!$C56, INDIRECT("'"&amp;BB$4&amp;"'!Year.Vectors"), 0))</f>
        <v>36.604889233199998</v>
      </c>
      <c r="BC56" s="2861">
        <f ca="1">-INDEX(INDIRECT("'"&amp;BC$4&amp;"'!Year.NetBalance"), MATCH(Pathways!$C56, INDIRECT("'"&amp;BC$4&amp;"'!Year.Vectors"), 0))</f>
        <v>59.966279233199998</v>
      </c>
      <c r="BD56" s="2861">
        <f ca="1">-INDEX(INDIRECT("'"&amp;BD$4&amp;"'!Year.NetBalance"), MATCH(Pathways!$C56, INDIRECT("'"&amp;BD$4&amp;"'!Year.Vectors"), 0))</f>
        <v>84.335759233199994</v>
      </c>
      <c r="BE56" s="2861">
        <f ca="1">-INDEX(INDIRECT("'"&amp;BE$4&amp;"'!Year.NetBalance"), MATCH(Pathways!$C56, INDIRECT("'"&amp;BE$4&amp;"'!Year.Vectors"), 0))</f>
        <v>115.49888923319999</v>
      </c>
      <c r="BF56" s="2861">
        <f ca="1">-INDEX(INDIRECT("'"&amp;BF$4&amp;"'!Year.NetBalance"), MATCH(Pathways!$C56, INDIRECT("'"&amp;BF$4&amp;"'!Year.Vectors"), 0))</f>
        <v>136.98612596519999</v>
      </c>
      <c r="BG56" s="2861">
        <f ca="1">-INDEX(INDIRECT("'"&amp;BG$4&amp;"'!Year.NetBalance"), MATCH(Pathways!$C56, INDIRECT("'"&amp;BG$4&amp;"'!Year.Vectors"), 0))</f>
        <v>151.03817999999998</v>
      </c>
      <c r="BH56" s="2861">
        <f ca="1">-INDEX(INDIRECT("'"&amp;BH$4&amp;"'!Year.NetBalance"), MATCH(Pathways!$C56, INDIRECT("'"&amp;BH$4&amp;"'!Year.Vectors"), 0))</f>
        <v>161.16290999999998</v>
      </c>
      <c r="BI56" s="2861">
        <f ca="1">-INDEX(INDIRECT("'"&amp;BI$4&amp;"'!Year.NetBalance"), MATCH(Pathways!$C56, INDIRECT("'"&amp;BI$4&amp;"'!Year.Vectors"), 0))</f>
        <v>161.95184999999998</v>
      </c>
      <c r="BJ56" s="1166"/>
      <c r="BK56" s="1021"/>
    </row>
    <row r="57" spans="2:63" s="410" customFormat="1">
      <c r="B57" s="1162"/>
      <c r="C57" s="1187" t="s">
        <v>9</v>
      </c>
      <c r="D57" s="1164" t="str">
        <f>INDEX(Vectors[Description], MATCH($C57, Vectors[Code], 0))</f>
        <v>Tidal</v>
      </c>
      <c r="E57" s="166"/>
      <c r="F57" s="1184"/>
      <c r="G57" s="1184"/>
      <c r="H57" s="1188"/>
      <c r="I57" s="1188"/>
      <c r="J57" s="1188"/>
      <c r="K57" s="1188"/>
      <c r="L57" s="1188"/>
      <c r="M57" s="1188"/>
      <c r="N57" s="1188"/>
      <c r="O57" s="1188"/>
      <c r="P57" s="1188"/>
      <c r="Q57" s="1188"/>
      <c r="R57" s="1188"/>
      <c r="S57" s="1188"/>
      <c r="T57" s="1188"/>
      <c r="U57" s="1188"/>
      <c r="V57" s="1188"/>
      <c r="W57" s="1188"/>
      <c r="X57" s="1188"/>
      <c r="Y57" s="1188"/>
      <c r="Z57" s="1188"/>
      <c r="AA57" s="1188"/>
      <c r="AB57" s="1188"/>
      <c r="AC57" s="1188"/>
      <c r="AD57" s="1188"/>
      <c r="AE57" s="1188"/>
      <c r="AF57" s="1188"/>
      <c r="AG57" s="1188"/>
      <c r="AH57" s="1188"/>
      <c r="AI57" s="1188"/>
      <c r="AJ57" s="1188"/>
      <c r="AK57" s="1188"/>
      <c r="AL57" s="1188"/>
      <c r="AM57" s="1188"/>
      <c r="AN57" s="1188"/>
      <c r="AO57" s="1188"/>
      <c r="AP57" s="1188"/>
      <c r="AQ57" s="1188"/>
      <c r="AR57" s="1188"/>
      <c r="AS57" s="1188"/>
      <c r="AT57" s="1188"/>
      <c r="AU57" s="1188"/>
      <c r="AV57" s="1188"/>
      <c r="AW57" s="1188"/>
      <c r="AX57" s="166"/>
      <c r="AY57" s="2861">
        <f ca="1">-INDEX(INDIRECT("'"&amp;AY$4&amp;"'!Year.NetBalance"), MATCH(Pathways!$C57, INDIRECT("'"&amp;AY$4&amp;"'!Year.Vectors"), 0))</f>
        <v>0</v>
      </c>
      <c r="AZ57" s="2861"/>
      <c r="BA57" s="2861">
        <f ca="1">-INDEX(INDIRECT("'"&amp;BA$4&amp;"'!Year.NetBalance"), MATCH(Pathways!$C57, INDIRECT("'"&amp;BA$4&amp;"'!Year.Vectors"), 0))</f>
        <v>0</v>
      </c>
      <c r="BB57" s="2861">
        <f ca="1">-INDEX(INDIRECT("'"&amp;BB$4&amp;"'!Year.NetBalance"), MATCH(Pathways!$C57, INDIRECT("'"&amp;BB$4&amp;"'!Year.Vectors"), 0))</f>
        <v>0</v>
      </c>
      <c r="BC57" s="2861">
        <f ca="1">-INDEX(INDIRECT("'"&amp;BC$4&amp;"'!Year.NetBalance"), MATCH(Pathways!$C57, INDIRECT("'"&amp;BC$4&amp;"'!Year.Vectors"), 0))</f>
        <v>0</v>
      </c>
      <c r="BD57" s="2861">
        <f ca="1">-INDEX(INDIRECT("'"&amp;BD$4&amp;"'!Year.NetBalance"), MATCH(Pathways!$C57, INDIRECT("'"&amp;BD$4&amp;"'!Year.Vectors"), 0))</f>
        <v>0</v>
      </c>
      <c r="BE57" s="2861">
        <f ca="1">-INDEX(INDIRECT("'"&amp;BE$4&amp;"'!Year.NetBalance"), MATCH(Pathways!$C57, INDIRECT("'"&amp;BE$4&amp;"'!Year.Vectors"), 0))</f>
        <v>0</v>
      </c>
      <c r="BF57" s="2861">
        <f ca="1">-INDEX(INDIRECT("'"&amp;BF$4&amp;"'!Year.NetBalance"), MATCH(Pathways!$C57, INDIRECT("'"&amp;BF$4&amp;"'!Year.Vectors"), 0))</f>
        <v>0</v>
      </c>
      <c r="BG57" s="2861">
        <f ca="1">-INDEX(INDIRECT("'"&amp;BG$4&amp;"'!Year.NetBalance"), MATCH(Pathways!$C57, INDIRECT("'"&amp;BG$4&amp;"'!Year.Vectors"), 0))</f>
        <v>0</v>
      </c>
      <c r="BH57" s="2861">
        <f ca="1">-INDEX(INDIRECT("'"&amp;BH$4&amp;"'!Year.NetBalance"), MATCH(Pathways!$C57, INDIRECT("'"&amp;BH$4&amp;"'!Year.Vectors"), 0))</f>
        <v>0</v>
      </c>
      <c r="BI57" s="2861">
        <f ca="1">-INDEX(INDIRECT("'"&amp;BI$4&amp;"'!Year.NetBalance"), MATCH(Pathways!$C57, INDIRECT("'"&amp;BI$4&amp;"'!Year.Vectors"), 0))</f>
        <v>0</v>
      </c>
      <c r="BJ57" s="1166"/>
      <c r="BK57" s="1021"/>
    </row>
    <row r="58" spans="2:63" s="410" customFormat="1">
      <c r="B58" s="1162"/>
      <c r="C58" s="1187" t="s">
        <v>10</v>
      </c>
      <c r="D58" s="1164" t="str">
        <f>INDEX(Vectors[Description], MATCH($C58, Vectors[Code], 0))</f>
        <v>Wave</v>
      </c>
      <c r="E58" s="166"/>
      <c r="F58" s="1184"/>
      <c r="G58" s="1184"/>
      <c r="H58" s="1188"/>
      <c r="I58" s="1188"/>
      <c r="J58" s="1188"/>
      <c r="K58" s="1188"/>
      <c r="L58" s="1188"/>
      <c r="M58" s="1188"/>
      <c r="N58" s="1188"/>
      <c r="O58" s="1188"/>
      <c r="P58" s="1188"/>
      <c r="Q58" s="1188"/>
      <c r="R58" s="1188"/>
      <c r="S58" s="1188"/>
      <c r="T58" s="1188"/>
      <c r="U58" s="1188"/>
      <c r="V58" s="1188"/>
      <c r="W58" s="1188"/>
      <c r="X58" s="1188"/>
      <c r="Y58" s="1188"/>
      <c r="Z58" s="1188"/>
      <c r="AA58" s="1188"/>
      <c r="AB58" s="1188"/>
      <c r="AC58" s="1188"/>
      <c r="AD58" s="1188"/>
      <c r="AE58" s="1188"/>
      <c r="AF58" s="1188"/>
      <c r="AG58" s="1188"/>
      <c r="AH58" s="1188"/>
      <c r="AI58" s="1188"/>
      <c r="AJ58" s="1188"/>
      <c r="AK58" s="1188"/>
      <c r="AL58" s="1188"/>
      <c r="AM58" s="1188"/>
      <c r="AN58" s="1188"/>
      <c r="AO58" s="1188"/>
      <c r="AP58" s="1188"/>
      <c r="AQ58" s="1188"/>
      <c r="AR58" s="1188"/>
      <c r="AS58" s="1188"/>
      <c r="AT58" s="1188"/>
      <c r="AU58" s="1188"/>
      <c r="AV58" s="1188"/>
      <c r="AW58" s="1188"/>
      <c r="AX58" s="166"/>
      <c r="AY58" s="2861">
        <f ca="1">-INDEX(INDIRECT("'"&amp;AY$4&amp;"'!Year.NetBalance"), MATCH(Pathways!$C58, INDIRECT("'"&amp;AY$4&amp;"'!Year.Vectors"), 0))</f>
        <v>0</v>
      </c>
      <c r="AZ58" s="2861"/>
      <c r="BA58" s="2861">
        <f ca="1">-INDEX(INDIRECT("'"&amp;BA$4&amp;"'!Year.NetBalance"), MATCH(Pathways!$C58, INDIRECT("'"&amp;BA$4&amp;"'!Year.Vectors"), 0))</f>
        <v>0</v>
      </c>
      <c r="BB58" s="2861">
        <f ca="1">-INDEX(INDIRECT("'"&amp;BB$4&amp;"'!Year.NetBalance"), MATCH(Pathways!$C58, INDIRECT("'"&amp;BB$4&amp;"'!Year.Vectors"), 0))</f>
        <v>0</v>
      </c>
      <c r="BC58" s="2861">
        <f ca="1">-INDEX(INDIRECT("'"&amp;BC$4&amp;"'!Year.NetBalance"), MATCH(Pathways!$C58, INDIRECT("'"&amp;BC$4&amp;"'!Year.Vectors"), 0))</f>
        <v>0</v>
      </c>
      <c r="BD58" s="2861">
        <f ca="1">-INDEX(INDIRECT("'"&amp;BD$4&amp;"'!Year.NetBalance"), MATCH(Pathways!$C58, INDIRECT("'"&amp;BD$4&amp;"'!Year.Vectors"), 0))</f>
        <v>0</v>
      </c>
      <c r="BE58" s="2861">
        <f ca="1">-INDEX(INDIRECT("'"&amp;BE$4&amp;"'!Year.NetBalance"), MATCH(Pathways!$C58, INDIRECT("'"&amp;BE$4&amp;"'!Year.Vectors"), 0))</f>
        <v>0</v>
      </c>
      <c r="BF58" s="2861">
        <f ca="1">-INDEX(INDIRECT("'"&amp;BF$4&amp;"'!Year.NetBalance"), MATCH(Pathways!$C58, INDIRECT("'"&amp;BF$4&amp;"'!Year.Vectors"), 0))</f>
        <v>0</v>
      </c>
      <c r="BG58" s="2861">
        <f ca="1">-INDEX(INDIRECT("'"&amp;BG$4&amp;"'!Year.NetBalance"), MATCH(Pathways!$C58, INDIRECT("'"&amp;BG$4&amp;"'!Year.Vectors"), 0))</f>
        <v>0</v>
      </c>
      <c r="BH58" s="2861">
        <f ca="1">-INDEX(INDIRECT("'"&amp;BH$4&amp;"'!Year.NetBalance"), MATCH(Pathways!$C58, INDIRECT("'"&amp;BH$4&amp;"'!Year.Vectors"), 0))</f>
        <v>0</v>
      </c>
      <c r="BI58" s="2861">
        <f ca="1">-INDEX(INDIRECT("'"&amp;BI$4&amp;"'!Year.NetBalance"), MATCH(Pathways!$C58, INDIRECT("'"&amp;BI$4&amp;"'!Year.Vectors"), 0))</f>
        <v>0</v>
      </c>
      <c r="BJ58" s="1166"/>
      <c r="BK58" s="1021"/>
    </row>
    <row r="59" spans="2:63" s="410" customFormat="1">
      <c r="B59" s="1162"/>
      <c r="C59" s="1187" t="s">
        <v>11</v>
      </c>
      <c r="D59" s="1164" t="str">
        <f>INDEX(Vectors[Description], MATCH($C59, Vectors[Code], 0))</f>
        <v>Geothermal</v>
      </c>
      <c r="E59" s="166"/>
      <c r="F59" s="1184"/>
      <c r="G59" s="1184"/>
      <c r="H59" s="1188"/>
      <c r="I59" s="1188"/>
      <c r="J59" s="1188"/>
      <c r="K59" s="1188"/>
      <c r="L59" s="1188"/>
      <c r="M59" s="1188"/>
      <c r="N59" s="1188"/>
      <c r="O59" s="1188"/>
      <c r="P59" s="1188"/>
      <c r="Q59" s="1188"/>
      <c r="R59" s="1188"/>
      <c r="S59" s="1188"/>
      <c r="T59" s="1188"/>
      <c r="U59" s="1188"/>
      <c r="V59" s="1188"/>
      <c r="W59" s="1188"/>
      <c r="X59" s="1188"/>
      <c r="Y59" s="1188"/>
      <c r="Z59" s="1188"/>
      <c r="AA59" s="1188"/>
      <c r="AB59" s="1188"/>
      <c r="AC59" s="1188"/>
      <c r="AD59" s="1188"/>
      <c r="AE59" s="1188"/>
      <c r="AF59" s="1188"/>
      <c r="AG59" s="1188"/>
      <c r="AH59" s="1188"/>
      <c r="AI59" s="1188"/>
      <c r="AJ59" s="1188"/>
      <c r="AK59" s="1188"/>
      <c r="AL59" s="1188"/>
      <c r="AM59" s="1188"/>
      <c r="AN59" s="1188"/>
      <c r="AO59" s="1188"/>
      <c r="AP59" s="1188"/>
      <c r="AQ59" s="1188"/>
      <c r="AR59" s="1188"/>
      <c r="AS59" s="1188"/>
      <c r="AT59" s="1188"/>
      <c r="AU59" s="1188"/>
      <c r="AV59" s="1188"/>
      <c r="AW59" s="1188"/>
      <c r="AX59" s="166"/>
      <c r="AY59" s="2861">
        <f ca="1">-INDEX(INDIRECT("'"&amp;AY$4&amp;"'!Year.NetBalance"), MATCH(Pathways!$C59, INDIRECT("'"&amp;AY$4&amp;"'!Year.Vectors"), 0))</f>
        <v>0</v>
      </c>
      <c r="AZ59" s="2861"/>
      <c r="BA59" s="2861">
        <f ca="1">-INDEX(INDIRECT("'"&amp;BA$4&amp;"'!Year.NetBalance"), MATCH(Pathways!$C59, INDIRECT("'"&amp;BA$4&amp;"'!Year.Vectors"), 0))</f>
        <v>0</v>
      </c>
      <c r="BB59" s="2861">
        <f ca="1">-INDEX(INDIRECT("'"&amp;BB$4&amp;"'!Year.NetBalance"), MATCH(Pathways!$C59, INDIRECT("'"&amp;BB$4&amp;"'!Year.Vectors"), 0))</f>
        <v>0</v>
      </c>
      <c r="BC59" s="2861">
        <f ca="1">-INDEX(INDIRECT("'"&amp;BC$4&amp;"'!Year.NetBalance"), MATCH(Pathways!$C59, INDIRECT("'"&amp;BC$4&amp;"'!Year.Vectors"), 0))</f>
        <v>0</v>
      </c>
      <c r="BD59" s="2861">
        <f ca="1">-INDEX(INDIRECT("'"&amp;BD$4&amp;"'!Year.NetBalance"), MATCH(Pathways!$C59, INDIRECT("'"&amp;BD$4&amp;"'!Year.Vectors"), 0))</f>
        <v>0</v>
      </c>
      <c r="BE59" s="2861">
        <f ca="1">-INDEX(INDIRECT("'"&amp;BE$4&amp;"'!Year.NetBalance"), MATCH(Pathways!$C59, INDIRECT("'"&amp;BE$4&amp;"'!Year.Vectors"), 0))</f>
        <v>0</v>
      </c>
      <c r="BF59" s="2861">
        <f ca="1">-INDEX(INDIRECT("'"&amp;BF$4&amp;"'!Year.NetBalance"), MATCH(Pathways!$C59, INDIRECT("'"&amp;BF$4&amp;"'!Year.Vectors"), 0))</f>
        <v>0</v>
      </c>
      <c r="BG59" s="2861">
        <f ca="1">-INDEX(INDIRECT("'"&amp;BG$4&amp;"'!Year.NetBalance"), MATCH(Pathways!$C59, INDIRECT("'"&amp;BG$4&amp;"'!Year.Vectors"), 0))</f>
        <v>0</v>
      </c>
      <c r="BH59" s="2861">
        <f ca="1">-INDEX(INDIRECT("'"&amp;BH$4&amp;"'!Year.NetBalance"), MATCH(Pathways!$C59, INDIRECT("'"&amp;BH$4&amp;"'!Year.Vectors"), 0))</f>
        <v>0</v>
      </c>
      <c r="BI59" s="2861">
        <f ca="1">-INDEX(INDIRECT("'"&amp;BI$4&amp;"'!Year.NetBalance"), MATCH(Pathways!$C59, INDIRECT("'"&amp;BI$4&amp;"'!Year.Vectors"), 0))</f>
        <v>0</v>
      </c>
      <c r="BJ59" s="1166"/>
      <c r="BK59" s="1021"/>
    </row>
    <row r="60" spans="2:63" s="410" customFormat="1">
      <c r="B60" s="1162"/>
      <c r="C60" s="1187" t="s">
        <v>12</v>
      </c>
      <c r="D60" s="1164" t="str">
        <f>INDEX(Vectors[Description], MATCH($C60, Vectors[Code], 0))</f>
        <v>Hydro</v>
      </c>
      <c r="E60" s="166"/>
      <c r="F60" s="1184"/>
      <c r="G60" s="1184"/>
      <c r="H60" s="1188"/>
      <c r="I60" s="1188"/>
      <c r="J60" s="1188"/>
      <c r="K60" s="1188"/>
      <c r="L60" s="1188"/>
      <c r="M60" s="1188"/>
      <c r="N60" s="1188"/>
      <c r="O60" s="1188"/>
      <c r="P60" s="1188"/>
      <c r="Q60" s="1188"/>
      <c r="R60" s="1188"/>
      <c r="S60" s="1188"/>
      <c r="T60" s="1188"/>
      <c r="U60" s="1188"/>
      <c r="V60" s="1188"/>
      <c r="W60" s="1188"/>
      <c r="X60" s="1188"/>
      <c r="Y60" s="1188"/>
      <c r="Z60" s="1188"/>
      <c r="AA60" s="1188"/>
      <c r="AB60" s="1188"/>
      <c r="AC60" s="1188"/>
      <c r="AD60" s="1188"/>
      <c r="AE60" s="1188"/>
      <c r="AF60" s="1188"/>
      <c r="AG60" s="1188"/>
      <c r="AH60" s="1188"/>
      <c r="AI60" s="1188"/>
      <c r="AJ60" s="1188"/>
      <c r="AK60" s="1188"/>
      <c r="AL60" s="1188"/>
      <c r="AM60" s="1188"/>
      <c r="AN60" s="1188"/>
      <c r="AO60" s="1188"/>
      <c r="AP60" s="1188"/>
      <c r="AQ60" s="1188"/>
      <c r="AR60" s="1188"/>
      <c r="AS60" s="1188"/>
      <c r="AT60" s="1188"/>
      <c r="AU60" s="1188"/>
      <c r="AV60" s="1188"/>
      <c r="AW60" s="1188"/>
      <c r="AX60" s="166"/>
      <c r="AY60" s="2861">
        <f ca="1">-INDEX(INDIRECT("'"&amp;AY$4&amp;"'!Year.NetBalance"), MATCH(Pathways!$C60, INDIRECT("'"&amp;AY$4&amp;"'!Year.Vectors"), 0))</f>
        <v>128.51059438799999</v>
      </c>
      <c r="AZ60" s="2861"/>
      <c r="BA60" s="2861">
        <f ca="1">-INDEX(INDIRECT("'"&amp;BA$4&amp;"'!Year.NetBalance"), MATCH(Pathways!$C60, INDIRECT("'"&amp;BA$4&amp;"'!Year.Vectors"), 0))</f>
        <v>155.84385898800002</v>
      </c>
      <c r="BB60" s="2861">
        <f ca="1">-INDEX(INDIRECT("'"&amp;BB$4&amp;"'!Year.NetBalance"), MATCH(Pathways!$C60, INDIRECT("'"&amp;BB$4&amp;"'!Year.Vectors"), 0))</f>
        <v>189.41763898800005</v>
      </c>
      <c r="BC60" s="2861">
        <f ca="1">-INDEX(INDIRECT("'"&amp;BC$4&amp;"'!Year.NetBalance"), MATCH(Pathways!$C60, INDIRECT("'"&amp;BC$4&amp;"'!Year.Vectors"), 0))</f>
        <v>195.75107398800003</v>
      </c>
      <c r="BD60" s="2861">
        <f ca="1">-INDEX(INDIRECT("'"&amp;BD$4&amp;"'!Year.NetBalance"), MATCH(Pathways!$C60, INDIRECT("'"&amp;BD$4&amp;"'!Year.Vectors"), 0))</f>
        <v>199.56428398800003</v>
      </c>
      <c r="BE60" s="2861">
        <f ca="1">-INDEX(INDIRECT("'"&amp;BE$4&amp;"'!Year.NetBalance"), MATCH(Pathways!$C60, INDIRECT("'"&amp;BE$4&amp;"'!Year.Vectors"), 0))</f>
        <v>203.46515398800005</v>
      </c>
      <c r="BF60" s="2861">
        <f ca="1">-INDEX(INDIRECT("'"&amp;BF$4&amp;"'!Year.NetBalance"), MATCH(Pathways!$C60, INDIRECT("'"&amp;BF$4&amp;"'!Year.Vectors"), 0))</f>
        <v>205.43750398800003</v>
      </c>
      <c r="BG60" s="2861">
        <f ca="1">-INDEX(INDIRECT("'"&amp;BG$4&amp;"'!Year.NetBalance"), MATCH(Pathways!$C60, INDIRECT("'"&amp;BG$4&amp;"'!Year.Vectors"), 0))</f>
        <v>205.71585955200004</v>
      </c>
      <c r="BH60" s="2861">
        <f ca="1">-INDEX(INDIRECT("'"&amp;BH$4&amp;"'!Year.NetBalance"), MATCH(Pathways!$C60, INDIRECT("'"&amp;BH$4&amp;"'!Year.Vectors"), 0))</f>
        <v>206.60431118400004</v>
      </c>
      <c r="BI60" s="2861">
        <f ca="1">-INDEX(INDIRECT("'"&amp;BI$4&amp;"'!Year.NetBalance"), MATCH(Pathways!$C60, INDIRECT("'"&amp;BI$4&amp;"'!Year.Vectors"), 0))</f>
        <v>207.19601618400003</v>
      </c>
      <c r="BJ60" s="1166"/>
      <c r="BK60" s="1021"/>
    </row>
    <row r="61" spans="2:63" s="410" customFormat="1">
      <c r="B61" s="1162"/>
      <c r="C61" s="1187" t="s">
        <v>47</v>
      </c>
      <c r="D61" s="1164" t="str">
        <f>INDEX(Vectors[Description], MATCH($C61, Vectors[Code], 0))</f>
        <v>Electricity oversupply (imports)</v>
      </c>
      <c r="E61" s="166"/>
      <c r="F61" s="1184"/>
      <c r="G61" s="1184"/>
      <c r="H61" s="1188"/>
      <c r="I61" s="1188"/>
      <c r="J61" s="1188"/>
      <c r="K61" s="1188"/>
      <c r="L61" s="1188"/>
      <c r="M61" s="1188"/>
      <c r="N61" s="1188"/>
      <c r="O61" s="1188"/>
      <c r="P61" s="1188"/>
      <c r="Q61" s="1188"/>
      <c r="R61" s="1188"/>
      <c r="S61" s="1188"/>
      <c r="T61" s="1188"/>
      <c r="U61" s="1188"/>
      <c r="V61" s="1188"/>
      <c r="W61" s="1188"/>
      <c r="X61" s="1188"/>
      <c r="Y61" s="1188"/>
      <c r="Z61" s="1188"/>
      <c r="AA61" s="1188"/>
      <c r="AB61" s="1188"/>
      <c r="AC61" s="1188"/>
      <c r="AD61" s="1188"/>
      <c r="AE61" s="1188"/>
      <c r="AF61" s="1188"/>
      <c r="AG61" s="1188"/>
      <c r="AH61" s="1188"/>
      <c r="AI61" s="1188"/>
      <c r="AJ61" s="1188"/>
      <c r="AK61" s="1188"/>
      <c r="AL61" s="1188"/>
      <c r="AM61" s="1188"/>
      <c r="AN61" s="1188"/>
      <c r="AO61" s="1188"/>
      <c r="AP61" s="1188"/>
      <c r="AQ61" s="1188"/>
      <c r="AR61" s="1188"/>
      <c r="AS61" s="1188"/>
      <c r="AT61" s="1188"/>
      <c r="AU61" s="1188"/>
      <c r="AV61" s="1188"/>
      <c r="AW61" s="1188"/>
      <c r="AX61" s="166"/>
      <c r="AY61" s="2861">
        <f ca="1">-INDEX(INDIRECT("'"&amp;AY$4&amp;"'!Year.NetBalance"), MATCH(Pathways!$C61, INDIRECT("'"&amp;AY$4&amp;"'!Year.Vectors"), 0))</f>
        <v>1</v>
      </c>
      <c r="AZ61" s="2861"/>
      <c r="BA61" s="3191">
        <f ca="1">-INDEX(INDIRECT("'"&amp;BA$4&amp;"'!Year.NetBalance"), MATCH(Pathways!$C61, INDIRECT("'"&amp;BA$4&amp;"'!Year.Vectors"), 0))</f>
        <v>4.0000000000002274</v>
      </c>
      <c r="BB61" s="2861">
        <f ca="1">-INDEX(INDIRECT("'"&amp;BB$4&amp;"'!Year.NetBalance"), MATCH(Pathways!$C61, INDIRECT("'"&amp;BB$4&amp;"'!Year.Vectors"), 0))</f>
        <v>14.000000000000455</v>
      </c>
      <c r="BC61" s="2861">
        <f ca="1">-INDEX(INDIRECT("'"&amp;BC$4&amp;"'!Year.NetBalance"), MATCH(Pathways!$C61, INDIRECT("'"&amp;BC$4&amp;"'!Year.Vectors"), 0))</f>
        <v>21.000000000000227</v>
      </c>
      <c r="BD61" s="2861">
        <f ca="1">-INDEX(INDIRECT("'"&amp;BD$4&amp;"'!Year.NetBalance"), MATCH(Pathways!$C61, INDIRECT("'"&amp;BD$4&amp;"'!Year.Vectors"), 0))</f>
        <v>30.999999999999545</v>
      </c>
      <c r="BE61" s="2861">
        <f ca="1">-INDEX(INDIRECT("'"&amp;BE$4&amp;"'!Year.NetBalance"), MATCH(Pathways!$C61, INDIRECT("'"&amp;BE$4&amp;"'!Year.Vectors"), 0))</f>
        <v>39.999999999999545</v>
      </c>
      <c r="BF61" s="2861">
        <f ca="1">-INDEX(INDIRECT("'"&amp;BF$4&amp;"'!Year.NetBalance"), MATCH(Pathways!$C61, INDIRECT("'"&amp;BF$4&amp;"'!Year.Vectors"), 0))</f>
        <v>49</v>
      </c>
      <c r="BG61" s="2861">
        <f ca="1">-INDEX(INDIRECT("'"&amp;BG$4&amp;"'!Year.NetBalance"), MATCH(Pathways!$C61, INDIRECT("'"&amp;BG$4&amp;"'!Year.Vectors"), 0))</f>
        <v>55.000000000000909</v>
      </c>
      <c r="BH61" s="2861">
        <f ca="1">-INDEX(INDIRECT("'"&amp;BH$4&amp;"'!Year.NetBalance"), MATCH(Pathways!$C61, INDIRECT("'"&amp;BH$4&amp;"'!Year.Vectors"), 0))</f>
        <v>55.000000000000909</v>
      </c>
      <c r="BI61" s="2861">
        <f ca="1">-INDEX(INDIRECT("'"&amp;BI$4&amp;"'!Year.NetBalance"), MATCH(Pathways!$C61, INDIRECT("'"&amp;BI$4&amp;"'!Year.Vectors"), 0))</f>
        <v>55.000000000000909</v>
      </c>
      <c r="BJ61" s="1166"/>
      <c r="BK61" s="1021"/>
    </row>
    <row r="62" spans="2:63" s="410" customFormat="1">
      <c r="B62" s="1162"/>
      <c r="C62" s="1187"/>
      <c r="D62" s="1164" t="s">
        <v>2185</v>
      </c>
      <c r="E62" s="166"/>
      <c r="F62" s="1184"/>
      <c r="G62" s="1184"/>
      <c r="H62" s="1188"/>
      <c r="I62" s="1188"/>
      <c r="J62" s="1188"/>
      <c r="K62" s="1188"/>
      <c r="L62" s="1188"/>
      <c r="M62" s="1188"/>
      <c r="N62" s="1188"/>
      <c r="O62" s="1188"/>
      <c r="P62" s="1188"/>
      <c r="Q62" s="1188"/>
      <c r="R62" s="1188"/>
      <c r="S62" s="1188"/>
      <c r="T62" s="1188"/>
      <c r="U62" s="1188"/>
      <c r="V62" s="1188"/>
      <c r="W62" s="1188"/>
      <c r="X62" s="1188"/>
      <c r="Y62" s="1188"/>
      <c r="Z62" s="1188"/>
      <c r="AA62" s="1188"/>
      <c r="AB62" s="1188"/>
      <c r="AC62" s="1188"/>
      <c r="AD62" s="1188"/>
      <c r="AE62" s="1188"/>
      <c r="AF62" s="1188"/>
      <c r="AG62" s="1188"/>
      <c r="AH62" s="1188"/>
      <c r="AI62" s="1188"/>
      <c r="AJ62" s="1188"/>
      <c r="AK62" s="1188"/>
      <c r="AL62" s="1188"/>
      <c r="AM62" s="1188"/>
      <c r="AN62" s="1188"/>
      <c r="AO62" s="1188"/>
      <c r="AP62" s="1188"/>
      <c r="AQ62" s="1188"/>
      <c r="AR62" s="1188"/>
      <c r="AS62" s="1188"/>
      <c r="AT62" s="1188"/>
      <c r="AU62" s="1188"/>
      <c r="AV62" s="1188"/>
      <c r="AW62" s="1188"/>
      <c r="AX62" s="166"/>
      <c r="AY62" s="2861">
        <f ca="1">AY54+AY55+AY56+AY60</f>
        <v>221.89552622742858</v>
      </c>
      <c r="AZ62" s="2861"/>
      <c r="BA62" s="2861">
        <f t="shared" ref="BA62:BI62" ca="1" si="14">BA54+BA55+BA56+BA60</f>
        <v>269.90453564691433</v>
      </c>
      <c r="BB62" s="2861">
        <f t="shared" ca="1" si="14"/>
        <v>436.98689141909455</v>
      </c>
      <c r="BC62" s="2861">
        <f t="shared" ca="1" si="14"/>
        <v>476.63693273498399</v>
      </c>
      <c r="BD62" s="2861">
        <f t="shared" ca="1" si="14"/>
        <v>526.6866009911007</v>
      </c>
      <c r="BE62" s="2861">
        <f t="shared" ca="1" si="14"/>
        <v>582.90317722274926</v>
      </c>
      <c r="BF62" s="2861">
        <f t="shared" ca="1" si="14"/>
        <v>619.78760569991368</v>
      </c>
      <c r="BG62" s="2861">
        <f t="shared" ca="1" si="14"/>
        <v>641.81048400184591</v>
      </c>
      <c r="BH62" s="2861">
        <f t="shared" ca="1" si="14"/>
        <v>642.04248386750248</v>
      </c>
      <c r="BI62" s="2861">
        <f t="shared" ca="1" si="14"/>
        <v>629.7645768448906</v>
      </c>
      <c r="BJ62" s="1166"/>
      <c r="BK62" s="1021"/>
    </row>
    <row r="63" spans="2:63">
      <c r="B63" s="1162"/>
      <c r="C63" s="1170"/>
      <c r="D63" s="166" t="s">
        <v>1130</v>
      </c>
      <c r="E63" s="166"/>
      <c r="F63" s="1184"/>
      <c r="G63" s="1184"/>
      <c r="H63" s="1188"/>
      <c r="I63" s="1188"/>
      <c r="J63" s="1188"/>
      <c r="K63" s="1188"/>
      <c r="L63" s="1188"/>
      <c r="M63" s="1188"/>
      <c r="N63" s="1188"/>
      <c r="O63" s="1188"/>
      <c r="P63" s="1188"/>
      <c r="Q63" s="1188"/>
      <c r="R63" s="1188"/>
      <c r="S63" s="1188"/>
      <c r="T63" s="1188"/>
      <c r="U63" s="1188"/>
      <c r="V63" s="1188"/>
      <c r="W63" s="1188"/>
      <c r="X63" s="1188"/>
      <c r="Y63" s="1188"/>
      <c r="Z63" s="1188"/>
      <c r="AA63" s="1188"/>
      <c r="AB63" s="1188"/>
      <c r="AC63" s="1188"/>
      <c r="AD63" s="1188"/>
      <c r="AE63" s="1188"/>
      <c r="AF63" s="1188"/>
      <c r="AG63" s="1188"/>
      <c r="AH63" s="1188"/>
      <c r="AI63" s="1188"/>
      <c r="AJ63" s="1188"/>
      <c r="AK63" s="1188"/>
      <c r="AL63" s="1188"/>
      <c r="AM63" s="1188"/>
      <c r="AN63" s="1188"/>
      <c r="AO63" s="1188"/>
      <c r="AP63" s="1188"/>
      <c r="AQ63" s="1188"/>
      <c r="AR63" s="1188"/>
      <c r="AS63" s="1188"/>
      <c r="AT63" s="1188"/>
      <c r="AU63" s="1188"/>
      <c r="AV63" s="1188"/>
      <c r="AW63" s="1188"/>
      <c r="AX63" s="166"/>
      <c r="AY63" s="2862">
        <f t="shared" ref="AY63:BI63" ca="1" si="15">SUM(AY54:AY61)</f>
        <v>222.89552622742858</v>
      </c>
      <c r="AZ63" s="2862"/>
      <c r="BA63" s="2862">
        <f t="shared" ca="1" si="15"/>
        <v>273.90453564691455</v>
      </c>
      <c r="BB63" s="2862">
        <f t="shared" ca="1" si="15"/>
        <v>450.986891419095</v>
      </c>
      <c r="BC63" s="2862">
        <f t="shared" ca="1" si="15"/>
        <v>497.63693273498421</v>
      </c>
      <c r="BD63" s="2862">
        <f t="shared" ca="1" si="15"/>
        <v>557.68660099110025</v>
      </c>
      <c r="BE63" s="2862">
        <f t="shared" ca="1" si="15"/>
        <v>622.90317722274881</v>
      </c>
      <c r="BF63" s="2862">
        <f t="shared" ca="1" si="15"/>
        <v>668.78760569991368</v>
      </c>
      <c r="BG63" s="2862">
        <f t="shared" ca="1" si="15"/>
        <v>696.81048400184682</v>
      </c>
      <c r="BH63" s="2862">
        <f t="shared" ca="1" si="15"/>
        <v>697.04248386750339</v>
      </c>
      <c r="BI63" s="2862">
        <f t="shared" ca="1" si="15"/>
        <v>684.76457684489151</v>
      </c>
      <c r="BJ63" s="1169"/>
      <c r="BK63" s="1021"/>
    </row>
    <row r="64" spans="2:63">
      <c r="B64" s="1162"/>
      <c r="C64" s="1170" t="s">
        <v>90</v>
      </c>
      <c r="D64" s="1164" t="str">
        <f>INDEX(Vectors[Description], MATCH($C64, Vectors[Code], 0))</f>
        <v>Environmental heat</v>
      </c>
      <c r="E64" s="166"/>
      <c r="F64" s="1184"/>
      <c r="G64" s="1184"/>
      <c r="H64" s="1188"/>
      <c r="I64" s="1188"/>
      <c r="J64" s="1188"/>
      <c r="K64" s="1188"/>
      <c r="L64" s="1188"/>
      <c r="M64" s="1188"/>
      <c r="N64" s="1188"/>
      <c r="O64" s="1188"/>
      <c r="P64" s="1188"/>
      <c r="Q64" s="1188"/>
      <c r="R64" s="1188"/>
      <c r="S64" s="1188"/>
      <c r="T64" s="1188"/>
      <c r="U64" s="1188"/>
      <c r="V64" s="1188"/>
      <c r="W64" s="1188"/>
      <c r="X64" s="1188"/>
      <c r="Y64" s="1188"/>
      <c r="Z64" s="1188"/>
      <c r="AA64" s="1188"/>
      <c r="AB64" s="1188"/>
      <c r="AC64" s="1188"/>
      <c r="AD64" s="1188"/>
      <c r="AE64" s="1188"/>
      <c r="AF64" s="1188"/>
      <c r="AG64" s="1188"/>
      <c r="AH64" s="1188"/>
      <c r="AI64" s="1188"/>
      <c r="AJ64" s="1188"/>
      <c r="AK64" s="1188"/>
      <c r="AL64" s="1188"/>
      <c r="AM64" s="1188"/>
      <c r="AN64" s="1188"/>
      <c r="AO64" s="1188"/>
      <c r="AP64" s="1188"/>
      <c r="AQ64" s="1188"/>
      <c r="AR64" s="1188"/>
      <c r="AS64" s="1188"/>
      <c r="AT64" s="1188"/>
      <c r="AU64" s="1188"/>
      <c r="AV64" s="1188"/>
      <c r="AW64" s="1188"/>
      <c r="AX64" s="166"/>
      <c r="AY64" s="2862">
        <f ca="1">-INDEX(INDIRECT("'"&amp;AY$4&amp;"'!Year.NetBalance"), MATCH(Pathways!$C64, INDIRECT("'"&amp;AY$4&amp;"'!Year.Vectors"), 0))</f>
        <v>0</v>
      </c>
      <c r="AZ64" s="2862"/>
      <c r="BA64" s="2862">
        <f ca="1">-INDEX(INDIRECT("'"&amp;BA$4&amp;"'!Year.NetBalance"), MATCH(Pathways!$C64, INDIRECT("'"&amp;BA$4&amp;"'!Year.Vectors"), 0))</f>
        <v>0</v>
      </c>
      <c r="BB64" s="2862">
        <f ca="1">-INDEX(INDIRECT("'"&amp;BB$4&amp;"'!Year.NetBalance"), MATCH(Pathways!$C64, INDIRECT("'"&amp;BB$4&amp;"'!Year.Vectors"), 0))</f>
        <v>0</v>
      </c>
      <c r="BC64" s="2862">
        <f ca="1">-INDEX(INDIRECT("'"&amp;BC$4&amp;"'!Year.NetBalance"), MATCH(Pathways!$C64, INDIRECT("'"&amp;BC$4&amp;"'!Year.Vectors"), 0))</f>
        <v>0</v>
      </c>
      <c r="BD64" s="2862">
        <f ca="1">-INDEX(INDIRECT("'"&amp;BD$4&amp;"'!Year.NetBalance"), MATCH(Pathways!$C64, INDIRECT("'"&amp;BD$4&amp;"'!Year.Vectors"), 0))</f>
        <v>0</v>
      </c>
      <c r="BE64" s="2862">
        <f ca="1">-INDEX(INDIRECT("'"&amp;BE$4&amp;"'!Year.NetBalance"), MATCH(Pathways!$C64, INDIRECT("'"&amp;BE$4&amp;"'!Year.Vectors"), 0))</f>
        <v>0</v>
      </c>
      <c r="BF64" s="2862">
        <f ca="1">-INDEX(INDIRECT("'"&amp;BF$4&amp;"'!Year.NetBalance"), MATCH(Pathways!$C64, INDIRECT("'"&amp;BF$4&amp;"'!Year.Vectors"), 0))</f>
        <v>0</v>
      </c>
      <c r="BG64" s="2862">
        <f ca="1">-INDEX(INDIRECT("'"&amp;BG$4&amp;"'!Year.NetBalance"), MATCH(Pathways!$C64, INDIRECT("'"&amp;BG$4&amp;"'!Year.Vectors"), 0))</f>
        <v>0</v>
      </c>
      <c r="BH64" s="2862">
        <f ca="1">-INDEX(INDIRECT("'"&amp;BH$4&amp;"'!Year.NetBalance"), MATCH(Pathways!$C64, INDIRECT("'"&amp;BH$4&amp;"'!Year.Vectors"), 0))</f>
        <v>0</v>
      </c>
      <c r="BI64" s="2862">
        <f ca="1">-INDEX(INDIRECT("'"&amp;BI$4&amp;"'!Year.NetBalance"), MATCH(Pathways!$C64, INDIRECT("'"&amp;BI$4&amp;"'!Year.Vectors"), 0))</f>
        <v>0</v>
      </c>
      <c r="BJ64" s="1169"/>
      <c r="BK64" s="1021"/>
    </row>
    <row r="65" spans="2:75" s="410" customFormat="1">
      <c r="B65" s="164"/>
      <c r="C65" s="1164" t="s">
        <v>42</v>
      </c>
      <c r="D65" s="1164" t="str">
        <f>INDEX(Vectors[Description], MATCH($C65, Vectors[Code], 0))</f>
        <v>Waste</v>
      </c>
      <c r="E65" s="166"/>
      <c r="F65" s="1184"/>
      <c r="G65" s="1184"/>
      <c r="H65" s="1188"/>
      <c r="I65" s="1188"/>
      <c r="J65" s="1188"/>
      <c r="K65" s="1188"/>
      <c r="L65" s="1188"/>
      <c r="M65" s="1188"/>
      <c r="N65" s="1188"/>
      <c r="O65" s="1188"/>
      <c r="P65" s="1188"/>
      <c r="Q65" s="1188"/>
      <c r="R65" s="1188"/>
      <c r="S65" s="1188"/>
      <c r="T65" s="1188"/>
      <c r="U65" s="1188"/>
      <c r="V65" s="1188"/>
      <c r="W65" s="1188"/>
      <c r="X65" s="1188"/>
      <c r="Y65" s="1188"/>
      <c r="Z65" s="1188"/>
      <c r="AA65" s="1188"/>
      <c r="AB65" s="1188"/>
      <c r="AC65" s="1188"/>
      <c r="AD65" s="1188"/>
      <c r="AE65" s="1188"/>
      <c r="AF65" s="1188"/>
      <c r="AG65" s="1188"/>
      <c r="AH65" s="1188"/>
      <c r="AI65" s="1188"/>
      <c r="AJ65" s="1188"/>
      <c r="AK65" s="1188"/>
      <c r="AL65" s="1188"/>
      <c r="AM65" s="1188"/>
      <c r="AN65" s="1188"/>
      <c r="AO65" s="1188"/>
      <c r="AP65" s="1188"/>
      <c r="AQ65" s="1188"/>
      <c r="AR65" s="1188"/>
      <c r="AS65" s="1188"/>
      <c r="AT65" s="1188"/>
      <c r="AU65" s="1188"/>
      <c r="AV65" s="1188"/>
      <c r="AW65" s="1188"/>
      <c r="AX65" s="166"/>
      <c r="AY65" s="2862">
        <f ca="1">-INDEX(INDIRECT("'"&amp;AY$4&amp;"'!Year.NetBalance"), MATCH(Pathways!$C65, INDIRECT("'"&amp;AY$4&amp;"'!Year.Vectors"), 0))</f>
        <v>946.41133333333335</v>
      </c>
      <c r="AZ65" s="2862"/>
      <c r="BA65" s="2862">
        <f ca="1">-INDEX(INDIRECT("'"&amp;BA$4&amp;"'!Year.NetBalance"), MATCH(Pathways!$C65, INDIRECT("'"&amp;BA$4&amp;"'!Year.Vectors"), 0))</f>
        <v>958.71557777777775</v>
      </c>
      <c r="BB65" s="2862">
        <f ca="1">-INDEX(INDIRECT("'"&amp;BB$4&amp;"'!Year.NetBalance"), MATCH(Pathways!$C65, INDIRECT("'"&amp;BB$4&amp;"'!Year.Vectors"), 0))</f>
        <v>961.65269558323416</v>
      </c>
      <c r="BC65" s="2862">
        <f ca="1">-INDEX(INDIRECT("'"&amp;BC$4&amp;"'!Year.NetBalance"), MATCH(Pathways!$C65, INDIRECT("'"&amp;BC$4&amp;"'!Year.Vectors"), 0))</f>
        <v>965.3605542966875</v>
      </c>
      <c r="BD65" s="2862">
        <f ca="1">-INDEX(INDIRECT("'"&amp;BD$4&amp;"'!Year.NetBalance"), MATCH(Pathways!$C65, INDIRECT("'"&amp;BD$4&amp;"'!Year.Vectors"), 0))</f>
        <v>969.99783378851419</v>
      </c>
      <c r="BE65" s="2862">
        <f ca="1">-INDEX(INDIRECT("'"&amp;BE$4&amp;"'!Year.NetBalance"), MATCH(Pathways!$C65, INDIRECT("'"&amp;BE$4&amp;"'!Year.Vectors"), 0))</f>
        <v>975.83974092558583</v>
      </c>
      <c r="BF65" s="2862">
        <f ca="1">-INDEX(INDIRECT("'"&amp;BF$4&amp;"'!Year.NetBalance"), MATCH(Pathways!$C65, INDIRECT("'"&amp;BF$4&amp;"'!Year.Vectors"), 0))</f>
        <v>982.30162109759806</v>
      </c>
      <c r="BG65" s="2862">
        <f ca="1">-INDEX(INDIRECT("'"&amp;BG$4&amp;"'!Year.NetBalance"), MATCH(Pathways!$C65, INDIRECT("'"&amp;BG$4&amp;"'!Year.Vectors"), 0))</f>
        <v>986.67052821417678</v>
      </c>
      <c r="BH65" s="2862">
        <f ca="1">-INDEX(INDIRECT("'"&amp;BH$4&amp;"'!Year.NetBalance"), MATCH(Pathways!$C65, INDIRECT("'"&amp;BH$4&amp;"'!Year.Vectors"), 0))</f>
        <v>992.22893791457784</v>
      </c>
      <c r="BI65" s="2862">
        <f ca="1">-INDEX(INDIRECT("'"&amp;BI$4&amp;"'!Year.NetBalance"), MATCH(Pathways!$C65, INDIRECT("'"&amp;BI$4&amp;"'!Year.Vectors"), 0))</f>
        <v>999.85024920758985</v>
      </c>
      <c r="BJ65" s="1166"/>
      <c r="BK65" s="1021"/>
    </row>
    <row r="66" spans="2:75" s="410" customFormat="1">
      <c r="B66" s="164"/>
      <c r="C66" s="1164" t="s">
        <v>334</v>
      </c>
      <c r="D66" s="1164" t="str">
        <f>INDEX(Vectors[Description], MATCH($C66, Vectors[Code], 0))</f>
        <v>Agriculture</v>
      </c>
      <c r="E66" s="166"/>
      <c r="F66" s="1184"/>
      <c r="G66" s="1184"/>
      <c r="H66" s="1188"/>
      <c r="I66" s="1188"/>
      <c r="J66" s="1188"/>
      <c r="K66" s="1188"/>
      <c r="L66" s="1188"/>
      <c r="M66" s="1188"/>
      <c r="N66" s="1188"/>
      <c r="O66" s="1188"/>
      <c r="P66" s="1188"/>
      <c r="Q66" s="1188"/>
      <c r="R66" s="1188"/>
      <c r="S66" s="1188"/>
      <c r="T66" s="1188"/>
      <c r="U66" s="1188"/>
      <c r="V66" s="1188"/>
      <c r="W66" s="1188"/>
      <c r="X66" s="1188"/>
      <c r="Y66" s="1188"/>
      <c r="Z66" s="1188"/>
      <c r="AA66" s="1188"/>
      <c r="AB66" s="1188"/>
      <c r="AC66" s="1188"/>
      <c r="AD66" s="1188"/>
      <c r="AE66" s="1188"/>
      <c r="AF66" s="1188"/>
      <c r="AG66" s="1188"/>
      <c r="AH66" s="1188"/>
      <c r="AI66" s="1188"/>
      <c r="AJ66" s="1188"/>
      <c r="AK66" s="1188"/>
      <c r="AL66" s="1188"/>
      <c r="AM66" s="1188"/>
      <c r="AN66" s="1188"/>
      <c r="AO66" s="1188"/>
      <c r="AP66" s="1188"/>
      <c r="AQ66" s="1188"/>
      <c r="AR66" s="1188"/>
      <c r="AS66" s="1188"/>
      <c r="AT66" s="1188"/>
      <c r="AU66" s="1188"/>
      <c r="AV66" s="1188"/>
      <c r="AW66" s="1188"/>
      <c r="AX66" s="166"/>
      <c r="AY66" s="2862">
        <f ca="1">-INDEX(INDIRECT("'"&amp;AY$4&amp;"'!Year.NetBalance"), MATCH(Pathways!$C66, INDIRECT("'"&amp;AY$4&amp;"'!Year.Vectors"), 0))</f>
        <v>0</v>
      </c>
      <c r="AZ66" s="2862"/>
      <c r="BA66" s="2862">
        <f ca="1">-INDEX(INDIRECT("'"&amp;BA$4&amp;"'!Year.NetBalance"), MATCH(Pathways!$C66, INDIRECT("'"&amp;BA$4&amp;"'!Year.Vectors"), 0))</f>
        <v>0.13142242804166665</v>
      </c>
      <c r="BB66" s="2862">
        <f ca="1">-INDEX(INDIRECT("'"&amp;BB$4&amp;"'!Year.NetBalance"), MATCH(Pathways!$C66, INDIRECT("'"&amp;BB$4&amp;"'!Year.Vectors"), 0))</f>
        <v>0.21232334500000016</v>
      </c>
      <c r="BC66" s="2862">
        <f ca="1">-INDEX(INDIRECT("'"&amp;BC$4&amp;"'!Year.NetBalance"), MATCH(Pathways!$C66, INDIRECT("'"&amp;BC$4&amp;"'!Year.Vectors"), 0))</f>
        <v>0.30591778749999998</v>
      </c>
      <c r="BD66" s="2862">
        <f ca="1">-INDEX(INDIRECT("'"&amp;BD$4&amp;"'!Year.NetBalance"), MATCH(Pathways!$C66, INDIRECT("'"&amp;BD$4&amp;"'!Year.Vectors"), 0))</f>
        <v>0.41826750874999996</v>
      </c>
      <c r="BE66" s="2862">
        <f ca="1">-INDEX(INDIRECT("'"&amp;BE$4&amp;"'!Year.NetBalance"), MATCH(Pathways!$C66, INDIRECT("'"&amp;BE$4&amp;"'!Year.Vectors"), 0))</f>
        <v>0.51589118749999996</v>
      </c>
      <c r="BF66" s="2862">
        <f ca="1">-INDEX(INDIRECT("'"&amp;BF$4&amp;"'!Year.NetBalance"), MATCH(Pathways!$C66, INDIRECT("'"&amp;BF$4&amp;"'!Year.Vectors"), 0))</f>
        <v>0.63055692916666661</v>
      </c>
      <c r="BG66" s="2862">
        <f ca="1">-INDEX(INDIRECT("'"&amp;BG$4&amp;"'!Year.NetBalance"), MATCH(Pathways!$C66, INDIRECT("'"&amp;BG$4&amp;"'!Year.Vectors"), 0))</f>
        <v>0.79227782291666671</v>
      </c>
      <c r="BH66" s="2862">
        <f ca="1">-INDEX(INDIRECT("'"&amp;BH$4&amp;"'!Year.NetBalance"), MATCH(Pathways!$C66, INDIRECT("'"&amp;BH$4&amp;"'!Year.Vectors"), 0))</f>
        <v>0.90559611458333333</v>
      </c>
      <c r="BI66" s="2862">
        <f ca="1">-INDEX(INDIRECT("'"&amp;BI$4&amp;"'!Year.NetBalance"), MATCH(Pathways!$C66, INDIRECT("'"&amp;BI$4&amp;"'!Year.Vectors"), 0))</f>
        <v>1.01891440625</v>
      </c>
      <c r="BJ66" s="1166"/>
      <c r="BK66" s="1021"/>
    </row>
    <row r="67" spans="2:75" s="410" customFormat="1">
      <c r="B67" s="1162"/>
      <c r="C67" s="1164" t="s">
        <v>46</v>
      </c>
      <c r="D67" s="1164" t="str">
        <f>INDEX(Vectors[Description], MATCH($C67, Vectors[Code], 0))</f>
        <v>Biomass oversupply (imports)</v>
      </c>
      <c r="E67" s="166"/>
      <c r="F67" s="1184"/>
      <c r="G67" s="1184"/>
      <c r="H67" s="1188"/>
      <c r="I67" s="1188"/>
      <c r="J67" s="1188"/>
      <c r="K67" s="1188"/>
      <c r="L67" s="1188"/>
      <c r="M67" s="1188"/>
      <c r="N67" s="1188"/>
      <c r="O67" s="1188"/>
      <c r="P67" s="1188"/>
      <c r="Q67" s="1188"/>
      <c r="R67" s="1188"/>
      <c r="S67" s="1188"/>
      <c r="T67" s="1188"/>
      <c r="U67" s="1188"/>
      <c r="V67" s="1188"/>
      <c r="W67" s="1188"/>
      <c r="X67" s="1188"/>
      <c r="Y67" s="1188"/>
      <c r="Z67" s="1188"/>
      <c r="AA67" s="1188"/>
      <c r="AB67" s="1188"/>
      <c r="AC67" s="1188"/>
      <c r="AD67" s="1188"/>
      <c r="AE67" s="1188"/>
      <c r="AF67" s="1188"/>
      <c r="AG67" s="1188"/>
      <c r="AH67" s="1188"/>
      <c r="AI67" s="1188"/>
      <c r="AJ67" s="1188"/>
      <c r="AK67" s="1188"/>
      <c r="AL67" s="1188"/>
      <c r="AM67" s="1188"/>
      <c r="AN67" s="1188"/>
      <c r="AO67" s="1188"/>
      <c r="AP67" s="1188"/>
      <c r="AQ67" s="1188"/>
      <c r="AR67" s="1188"/>
      <c r="AS67" s="1188"/>
      <c r="AT67" s="1188"/>
      <c r="AU67" s="1188"/>
      <c r="AV67" s="1188"/>
      <c r="AW67" s="1188"/>
      <c r="AX67" s="166"/>
      <c r="AY67" s="2862">
        <f ca="1">-INDEX(INDIRECT("'"&amp;AY$4&amp;"'!Year.NetBalance"), MATCH(Pathways!$C67, INDIRECT("'"&amp;AY$4&amp;"'!Year.Vectors"), 0))</f>
        <v>0</v>
      </c>
      <c r="AZ67" s="2862"/>
      <c r="BA67" s="2862">
        <f ca="1">-INDEX(INDIRECT("'"&amp;BA$4&amp;"'!Year.NetBalance"), MATCH(Pathways!$C67, INDIRECT("'"&amp;BA$4&amp;"'!Year.Vectors"), 0))</f>
        <v>0</v>
      </c>
      <c r="BB67" s="2862">
        <f ca="1">-INDEX(INDIRECT("'"&amp;BB$4&amp;"'!Year.NetBalance"), MATCH(Pathways!$C67, INDIRECT("'"&amp;BB$4&amp;"'!Year.Vectors"), 0))</f>
        <v>0</v>
      </c>
      <c r="BC67" s="2862">
        <f ca="1">-INDEX(INDIRECT("'"&amp;BC$4&amp;"'!Year.NetBalance"), MATCH(Pathways!$C67, INDIRECT("'"&amp;BC$4&amp;"'!Year.Vectors"), 0))</f>
        <v>0</v>
      </c>
      <c r="BD67" s="2862">
        <f ca="1">-INDEX(INDIRECT("'"&amp;BD$4&amp;"'!Year.NetBalance"), MATCH(Pathways!$C67, INDIRECT("'"&amp;BD$4&amp;"'!Year.Vectors"), 0))</f>
        <v>0</v>
      </c>
      <c r="BE67" s="2862">
        <f ca="1">-INDEX(INDIRECT("'"&amp;BE$4&amp;"'!Year.NetBalance"), MATCH(Pathways!$C67, INDIRECT("'"&amp;BE$4&amp;"'!Year.Vectors"), 0))</f>
        <v>0</v>
      </c>
      <c r="BF67" s="2862">
        <f ca="1">-INDEX(INDIRECT("'"&amp;BF$4&amp;"'!Year.NetBalance"), MATCH(Pathways!$C67, INDIRECT("'"&amp;BF$4&amp;"'!Year.Vectors"), 0))</f>
        <v>0</v>
      </c>
      <c r="BG67" s="2862">
        <f ca="1">-INDEX(INDIRECT("'"&amp;BG$4&amp;"'!Year.NetBalance"), MATCH(Pathways!$C67, INDIRECT("'"&amp;BG$4&amp;"'!Year.Vectors"), 0))</f>
        <v>0</v>
      </c>
      <c r="BH67" s="2862">
        <f ca="1">-INDEX(INDIRECT("'"&amp;BH$4&amp;"'!Year.NetBalance"), MATCH(Pathways!$C67, INDIRECT("'"&amp;BH$4&amp;"'!Year.Vectors"), 0))</f>
        <v>0</v>
      </c>
      <c r="BI67" s="2862">
        <f ca="1">-INDEX(INDIRECT("'"&amp;BI$4&amp;"'!Year.NetBalance"), MATCH(Pathways!$C67, INDIRECT("'"&amp;BI$4&amp;"'!Year.Vectors"), 0))</f>
        <v>0</v>
      </c>
      <c r="BJ67" s="1166"/>
      <c r="BK67" s="1021"/>
    </row>
    <row r="68" spans="2:75">
      <c r="B68" s="1162"/>
      <c r="C68" s="166"/>
      <c r="D68" s="166" t="s">
        <v>2037</v>
      </c>
      <c r="E68" s="166"/>
      <c r="F68" s="1184"/>
      <c r="G68" s="1184"/>
      <c r="H68" s="1188"/>
      <c r="I68" s="1188"/>
      <c r="J68" s="1188"/>
      <c r="K68" s="1188"/>
      <c r="L68" s="1188"/>
      <c r="M68" s="1188"/>
      <c r="N68" s="1188"/>
      <c r="O68" s="1188"/>
      <c r="P68" s="1188"/>
      <c r="Q68" s="1188"/>
      <c r="R68" s="1188"/>
      <c r="S68" s="1188"/>
      <c r="T68" s="1188"/>
      <c r="U68" s="1188"/>
      <c r="V68" s="1188"/>
      <c r="W68" s="1188"/>
      <c r="X68" s="1188"/>
      <c r="Y68" s="1188"/>
      <c r="Z68" s="1188"/>
      <c r="AA68" s="1188"/>
      <c r="AB68" s="1188"/>
      <c r="AC68" s="1188"/>
      <c r="AD68" s="1188"/>
      <c r="AE68" s="1188"/>
      <c r="AF68" s="1188"/>
      <c r="AG68" s="1188"/>
      <c r="AH68" s="1188"/>
      <c r="AI68" s="1188"/>
      <c r="AJ68" s="1188"/>
      <c r="AK68" s="1188"/>
      <c r="AL68" s="1188"/>
      <c r="AM68" s="1188"/>
      <c r="AN68" s="1188"/>
      <c r="AO68" s="1188"/>
      <c r="AP68" s="1188"/>
      <c r="AQ68" s="1188"/>
      <c r="AR68" s="1188"/>
      <c r="AS68" s="1188"/>
      <c r="AT68" s="1188"/>
      <c r="AU68" s="1188"/>
      <c r="AV68" s="1188"/>
      <c r="AW68" s="1188"/>
      <c r="AX68" s="166"/>
      <c r="AY68" s="2862">
        <f ca="1">SUM(AY65:AY67)</f>
        <v>946.41133333333335</v>
      </c>
      <c r="AZ68" s="2862"/>
      <c r="BA68" s="2862">
        <f t="shared" ref="BA68:BI68" ca="1" si="16">SUM(BA65:BA67)</f>
        <v>958.84700020581943</v>
      </c>
      <c r="BB68" s="2862">
        <f t="shared" ca="1" si="16"/>
        <v>961.86501892823412</v>
      </c>
      <c r="BC68" s="2862">
        <f t="shared" ca="1" si="16"/>
        <v>965.66647208418749</v>
      </c>
      <c r="BD68" s="2862">
        <f t="shared" ca="1" si="16"/>
        <v>970.41610129726416</v>
      </c>
      <c r="BE68" s="2862">
        <f t="shared" ca="1" si="16"/>
        <v>976.35563211308579</v>
      </c>
      <c r="BF68" s="2862">
        <f t="shared" ca="1" si="16"/>
        <v>982.93217802676475</v>
      </c>
      <c r="BG68" s="2862">
        <f t="shared" ca="1" si="16"/>
        <v>987.4628060370934</v>
      </c>
      <c r="BH68" s="2862">
        <f t="shared" ca="1" si="16"/>
        <v>993.13453402916116</v>
      </c>
      <c r="BI68" s="2862">
        <f t="shared" ca="1" si="16"/>
        <v>1000.8691636138399</v>
      </c>
      <c r="BJ68" s="1169"/>
      <c r="BK68" s="1021"/>
    </row>
    <row r="69" spans="2:75" s="410" customFormat="1">
      <c r="B69" s="1162"/>
      <c r="C69" s="1164" t="s">
        <v>315</v>
      </c>
      <c r="D69" s="1164" t="str">
        <f>INDEX(Vectors[Description], MATCH($C69, Vectors[Code], 0))</f>
        <v>Coal oversupply (imports)</v>
      </c>
      <c r="E69" s="166"/>
      <c r="F69" s="1184"/>
      <c r="G69" s="1184"/>
      <c r="H69" s="1188"/>
      <c r="I69" s="1188"/>
      <c r="J69" s="1188"/>
      <c r="K69" s="1188"/>
      <c r="L69" s="1188"/>
      <c r="M69" s="1188"/>
      <c r="N69" s="1188"/>
      <c r="O69" s="1188"/>
      <c r="P69" s="1188"/>
      <c r="Q69" s="1188"/>
      <c r="R69" s="1188"/>
      <c r="S69" s="1188"/>
      <c r="T69" s="1188"/>
      <c r="U69" s="1188"/>
      <c r="V69" s="1188"/>
      <c r="W69" s="1188"/>
      <c r="X69" s="1188"/>
      <c r="Y69" s="1188"/>
      <c r="Z69" s="1188"/>
      <c r="AA69" s="1188"/>
      <c r="AB69" s="1188"/>
      <c r="AC69" s="1188"/>
      <c r="AD69" s="1188"/>
      <c r="AE69" s="1188"/>
      <c r="AF69" s="1188"/>
      <c r="AG69" s="1188"/>
      <c r="AH69" s="1188"/>
      <c r="AI69" s="1188"/>
      <c r="AJ69" s="1188"/>
      <c r="AK69" s="1188"/>
      <c r="AL69" s="1188"/>
      <c r="AM69" s="1188"/>
      <c r="AN69" s="1188"/>
      <c r="AO69" s="1188"/>
      <c r="AP69" s="1188"/>
      <c r="AQ69" s="1188"/>
      <c r="AR69" s="1188"/>
      <c r="AS69" s="1188"/>
      <c r="AT69" s="1188"/>
      <c r="AU69" s="1188"/>
      <c r="AV69" s="1188"/>
      <c r="AW69" s="1188"/>
      <c r="AX69" s="166"/>
      <c r="AY69" s="2861">
        <f ca="1">-INDEX(INDIRECT("'"&amp;AY$4&amp;"'!Year.NetBalance"), MATCH(Pathways!$C69, INDIRECT("'"&amp;AY$4&amp;"'!Year.Vectors"), 0))</f>
        <v>312.87744559290513</v>
      </c>
      <c r="AZ69" s="2861"/>
      <c r="BA69" s="2861">
        <f ca="1">-INDEX(INDIRECT("'"&amp;BA$4&amp;"'!Year.NetBalance"), MATCH(Pathways!$C69, INDIRECT("'"&amp;BA$4&amp;"'!Year.Vectors"), 0))</f>
        <v>533.85548221406225</v>
      </c>
      <c r="BB69" s="2861">
        <f ca="1">-INDEX(INDIRECT("'"&amp;BB$4&amp;"'!Year.NetBalance"), MATCH(Pathways!$C69, INDIRECT("'"&amp;BB$4&amp;"'!Year.Vectors"), 0))</f>
        <v>1349.5453480108031</v>
      </c>
      <c r="BC69" s="2861">
        <f ca="1">-INDEX(INDIRECT("'"&amp;BC$4&amp;"'!Year.NetBalance"), MATCH(Pathways!$C69, INDIRECT("'"&amp;BC$4&amp;"'!Year.Vectors"), 0))</f>
        <v>3068.214410803027</v>
      </c>
      <c r="BD69" s="2861">
        <f ca="1">-INDEX(INDIRECT("'"&amp;BD$4&amp;"'!Year.NetBalance"), MATCH(Pathways!$C69, INDIRECT("'"&amp;BD$4&amp;"'!Year.Vectors"), 0))</f>
        <v>5462.9307882709118</v>
      </c>
      <c r="BE69" s="2861">
        <f ca="1">-INDEX(INDIRECT("'"&amp;BE$4&amp;"'!Year.NetBalance"), MATCH(Pathways!$C69, INDIRECT("'"&amp;BE$4&amp;"'!Year.Vectors"), 0))</f>
        <v>8849.3886004507167</v>
      </c>
      <c r="BF69" s="2861">
        <f ca="1">-INDEX(INDIRECT("'"&amp;BF$4&amp;"'!Year.NetBalance"), MATCH(Pathways!$C69, INDIRECT("'"&amp;BF$4&amp;"'!Year.Vectors"), 0))</f>
        <v>11988.489821833136</v>
      </c>
      <c r="BG69" s="2861">
        <f ca="1">-INDEX(INDIRECT("'"&amp;BG$4&amp;"'!Year.NetBalance"), MATCH(Pathways!$C69, INDIRECT("'"&amp;BG$4&amp;"'!Year.Vectors"), 0))</f>
        <v>16113.370591179753</v>
      </c>
      <c r="BH69" s="2861">
        <f ca="1">-INDEX(INDIRECT("'"&amp;BH$4&amp;"'!Year.NetBalance"), MATCH(Pathways!$C69, INDIRECT("'"&amp;BH$4&amp;"'!Year.Vectors"), 0))</f>
        <v>19769.818192917424</v>
      </c>
      <c r="BI69" s="2861">
        <f ca="1">-INDEX(INDIRECT("'"&amp;BI$4&amp;"'!Year.NetBalance"), MATCH(Pathways!$C69, INDIRECT("'"&amp;BI$4&amp;"'!Year.Vectors"), 0))</f>
        <v>23701.654511114481</v>
      </c>
      <c r="BJ69" s="1166"/>
      <c r="BK69" s="1021"/>
    </row>
    <row r="70" spans="2:75" s="410" customFormat="1">
      <c r="B70" s="164"/>
      <c r="C70" s="1164" t="s">
        <v>320</v>
      </c>
      <c r="D70" s="1164" t="str">
        <f>INDEX(Vectors[Description], MATCH($C70, Vectors[Code], 0))</f>
        <v>Coal reserves</v>
      </c>
      <c r="E70" s="166"/>
      <c r="F70" s="1184"/>
      <c r="G70" s="1184"/>
      <c r="H70" s="1188"/>
      <c r="I70" s="1188"/>
      <c r="J70" s="1188"/>
      <c r="K70" s="1188"/>
      <c r="L70" s="1188"/>
      <c r="M70" s="1188"/>
      <c r="N70" s="1188"/>
      <c r="O70" s="1188"/>
      <c r="P70" s="1188"/>
      <c r="Q70" s="1188"/>
      <c r="R70" s="1188"/>
      <c r="S70" s="1188"/>
      <c r="T70" s="1188"/>
      <c r="U70" s="1188"/>
      <c r="V70" s="1188"/>
      <c r="W70" s="1188"/>
      <c r="X70" s="1188"/>
      <c r="Y70" s="1188"/>
      <c r="Z70" s="1188"/>
      <c r="AA70" s="1188"/>
      <c r="AB70" s="1188"/>
      <c r="AC70" s="1188"/>
      <c r="AD70" s="1188"/>
      <c r="AE70" s="1188"/>
      <c r="AF70" s="1188"/>
      <c r="AG70" s="1188"/>
      <c r="AH70" s="1188"/>
      <c r="AI70" s="1188"/>
      <c r="AJ70" s="1188"/>
      <c r="AK70" s="1188"/>
      <c r="AL70" s="1188"/>
      <c r="AM70" s="1188"/>
      <c r="AN70" s="1188"/>
      <c r="AO70" s="1188"/>
      <c r="AP70" s="1188"/>
      <c r="AQ70" s="1188"/>
      <c r="AR70" s="1188"/>
      <c r="AS70" s="1188"/>
      <c r="AT70" s="1188"/>
      <c r="AU70" s="1188"/>
      <c r="AV70" s="1188"/>
      <c r="AW70" s="1188"/>
      <c r="AX70" s="166"/>
      <c r="AY70" s="2861">
        <f ca="1">-INDEX(INDIRECT("'"&amp;AY$4&amp;"'!Year.NetBalance"), MATCH(Pathways!$C70, INDIRECT("'"&amp;AY$4&amp;"'!Year.Vectors"), 0))</f>
        <v>2003.3688000000002</v>
      </c>
      <c r="AZ70" s="2861"/>
      <c r="BA70" s="2861">
        <f ca="1">-INDEX(INDIRECT("'"&amp;BA$4&amp;"'!Year.NetBalance"), MATCH(Pathways!$C70, INDIRECT("'"&amp;BA$4&amp;"'!Year.Vectors"), 0))</f>
        <v>2704.3935000000001</v>
      </c>
      <c r="BB70" s="2861">
        <f ca="1">-INDEX(INDIRECT("'"&amp;BB$4&amp;"'!Year.NetBalance"), MATCH(Pathways!$C70, INDIRECT("'"&amp;BB$4&amp;"'!Year.Vectors"), 0))</f>
        <v>3143.1914134327285</v>
      </c>
      <c r="BC70" s="2861">
        <f ca="1">-INDEX(INDIRECT("'"&amp;BC$4&amp;"'!Year.NetBalance"), MATCH(Pathways!$C70, INDIRECT("'"&amp;BC$4&amp;"'!Year.Vectors"), 0))</f>
        <v>3584.1507638983121</v>
      </c>
      <c r="BD70" s="2861">
        <f ca="1">-INDEX(INDIRECT("'"&amp;BD$4&amp;"'!Year.NetBalance"), MATCH(Pathways!$C70, INDIRECT("'"&amp;BD$4&amp;"'!Year.Vectors"), 0))</f>
        <v>3874.5049279836685</v>
      </c>
      <c r="BE70" s="2861">
        <f ca="1">-INDEX(INDIRECT("'"&amp;BE$4&amp;"'!Year.NetBalance"), MATCH(Pathways!$C70, INDIRECT("'"&amp;BE$4&amp;"'!Year.Vectors"), 0))</f>
        <v>3958.482454759453</v>
      </c>
      <c r="BF70" s="2861">
        <f ca="1">-INDEX(INDIRECT("'"&amp;BF$4&amp;"'!Year.NetBalance"), MATCH(Pathways!$C70, INDIRECT("'"&amp;BF$4&amp;"'!Year.Vectors"), 0))</f>
        <v>4025.5714811854732</v>
      </c>
      <c r="BG70" s="2861">
        <f ca="1">-INDEX(INDIRECT("'"&amp;BG$4&amp;"'!Year.NetBalance"), MATCH(Pathways!$C70, INDIRECT("'"&amp;BG$4&amp;"'!Year.Vectors"), 0))</f>
        <v>3406.6022071917232</v>
      </c>
      <c r="BH70" s="2861">
        <f ca="1">-INDEX(INDIRECT("'"&amp;BH$4&amp;"'!Year.NetBalance"), MATCH(Pathways!$C70, INDIRECT("'"&amp;BH$4&amp;"'!Year.Vectors"), 0))</f>
        <v>2878.2636796999973</v>
      </c>
      <c r="BI70" s="2861">
        <f ca="1">-INDEX(INDIRECT("'"&amp;BI$4&amp;"'!Year.NetBalance"), MATCH(Pathways!$C70, INDIRECT("'"&amp;BI$4&amp;"'!Year.Vectors"), 0))</f>
        <v>2435.1118288080042</v>
      </c>
      <c r="BJ70" s="1166"/>
      <c r="BK70" s="1021"/>
    </row>
    <row r="71" spans="2:75">
      <c r="B71" s="1162"/>
      <c r="C71" s="166"/>
      <c r="D71" s="166" t="s">
        <v>102</v>
      </c>
      <c r="E71" s="166"/>
      <c r="F71" s="1184"/>
      <c r="G71" s="1184"/>
      <c r="H71" s="1188"/>
      <c r="I71" s="1188"/>
      <c r="J71" s="1188"/>
      <c r="K71" s="1188"/>
      <c r="L71" s="1188"/>
      <c r="M71" s="1188"/>
      <c r="N71" s="1188"/>
      <c r="O71" s="1188"/>
      <c r="P71" s="1188"/>
      <c r="Q71" s="1188"/>
      <c r="R71" s="1188"/>
      <c r="S71" s="1188"/>
      <c r="T71" s="1188"/>
      <c r="U71" s="1188"/>
      <c r="V71" s="1188"/>
      <c r="W71" s="1188"/>
      <c r="X71" s="1188"/>
      <c r="Y71" s="1188"/>
      <c r="Z71" s="1188"/>
      <c r="AA71" s="1188"/>
      <c r="AB71" s="1188"/>
      <c r="AC71" s="1188"/>
      <c r="AD71" s="1188"/>
      <c r="AE71" s="1188"/>
      <c r="AF71" s="1188"/>
      <c r="AG71" s="1188"/>
      <c r="AH71" s="1188"/>
      <c r="AI71" s="1188"/>
      <c r="AJ71" s="1188"/>
      <c r="AK71" s="1188"/>
      <c r="AL71" s="1188"/>
      <c r="AM71" s="1188"/>
      <c r="AN71" s="1188"/>
      <c r="AO71" s="1188"/>
      <c r="AP71" s="1188"/>
      <c r="AQ71" s="1188"/>
      <c r="AR71" s="1188"/>
      <c r="AS71" s="1188"/>
      <c r="AT71" s="1188"/>
      <c r="AU71" s="1188"/>
      <c r="AV71" s="1188"/>
      <c r="AW71" s="1188"/>
      <c r="AX71" s="166"/>
      <c r="AY71" s="2862">
        <f ca="1">IF(AY69&lt;0,AY70,SUM(AY69:AY70))</f>
        <v>2316.2462455929053</v>
      </c>
      <c r="AZ71" s="2862"/>
      <c r="BA71" s="2862">
        <f t="shared" ref="BA71:BI71" ca="1" si="17">IF(BA69&lt;0,BA70,SUM(BA69:BA70))</f>
        <v>3238.2489822140624</v>
      </c>
      <c r="BB71" s="2862">
        <f t="shared" ca="1" si="17"/>
        <v>4492.7367614435316</v>
      </c>
      <c r="BC71" s="2862">
        <f t="shared" ca="1" si="17"/>
        <v>6652.3651747013391</v>
      </c>
      <c r="BD71" s="2862">
        <f t="shared" ca="1" si="17"/>
        <v>9337.4357162545803</v>
      </c>
      <c r="BE71" s="2862">
        <f t="shared" ca="1" si="17"/>
        <v>12807.871055210169</v>
      </c>
      <c r="BF71" s="2862">
        <f t="shared" ca="1" si="17"/>
        <v>16014.06130301861</v>
      </c>
      <c r="BG71" s="2862">
        <f t="shared" ca="1" si="17"/>
        <v>19519.972798371477</v>
      </c>
      <c r="BH71" s="2862">
        <f t="shared" ca="1" si="17"/>
        <v>22648.081872617422</v>
      </c>
      <c r="BI71" s="2862">
        <f t="shared" ca="1" si="17"/>
        <v>26136.766339922484</v>
      </c>
      <c r="BJ71" s="1169"/>
      <c r="BK71" s="1021"/>
      <c r="BM71" s="22"/>
      <c r="BN71" s="22"/>
    </row>
    <row r="72" spans="2:75" s="410" customFormat="1">
      <c r="B72" s="1162"/>
      <c r="C72" s="1164" t="s">
        <v>321</v>
      </c>
      <c r="D72" s="1164" t="str">
        <f>INDEX(Vectors[Description], MATCH($C72, Vectors[Code], 0))</f>
        <v>Oil reserves</v>
      </c>
      <c r="E72" s="166"/>
      <c r="F72" s="1184"/>
      <c r="G72" s="1184"/>
      <c r="H72" s="1188"/>
      <c r="I72" s="1188"/>
      <c r="J72" s="1188"/>
      <c r="K72" s="1188"/>
      <c r="L72" s="1188"/>
      <c r="M72" s="1188"/>
      <c r="N72" s="1188"/>
      <c r="O72" s="1188"/>
      <c r="P72" s="1188"/>
      <c r="Q72" s="1188"/>
      <c r="R72" s="1188"/>
      <c r="S72" s="1188"/>
      <c r="T72" s="1188"/>
      <c r="U72" s="1188"/>
      <c r="V72" s="1188"/>
      <c r="W72" s="1188"/>
      <c r="X72" s="1188"/>
      <c r="Y72" s="1188"/>
      <c r="Z72" s="1188"/>
      <c r="AA72" s="1188"/>
      <c r="AB72" s="1188"/>
      <c r="AC72" s="1188"/>
      <c r="AD72" s="1188"/>
      <c r="AE72" s="1188"/>
      <c r="AF72" s="1188"/>
      <c r="AG72" s="1188"/>
      <c r="AH72" s="1188"/>
      <c r="AI72" s="1188"/>
      <c r="AJ72" s="1188"/>
      <c r="AK72" s="1188"/>
      <c r="AL72" s="1188"/>
      <c r="AM72" s="1188"/>
      <c r="AN72" s="1188"/>
      <c r="AO72" s="1188"/>
      <c r="AP72" s="1188"/>
      <c r="AQ72" s="1188"/>
      <c r="AR72" s="1188"/>
      <c r="AS72" s="1188"/>
      <c r="AT72" s="1188"/>
      <c r="AU72" s="1188"/>
      <c r="AV72" s="1188"/>
      <c r="AW72" s="1188"/>
      <c r="AX72" s="166"/>
      <c r="AY72" s="2861">
        <f ca="1">-INDEX(INDIRECT("'"&amp;AY$4&amp;"'!Year.NetBalance"), MATCH(Pathways!$C72, INDIRECT("'"&amp;AY$4&amp;"'!Year.Vectors"), 0))</f>
        <v>395.28044</v>
      </c>
      <c r="AZ72" s="2861"/>
      <c r="BA72" s="2861">
        <f ca="1">-INDEX(INDIRECT("'"&amp;BA$4&amp;"'!Year.NetBalance"), MATCH(Pathways!$C72, INDIRECT("'"&amp;BA$4&amp;"'!Year.Vectors"), 0))</f>
        <v>442.98669999999993</v>
      </c>
      <c r="BB72" s="2861">
        <f ca="1">-INDEX(INDIRECT("'"&amp;BB$4&amp;"'!Year.NetBalance"), MATCH(Pathways!$C72, INDIRECT("'"&amp;BB$4&amp;"'!Year.Vectors"), 0))</f>
        <v>480.4207945988</v>
      </c>
      <c r="BC72" s="2861">
        <f ca="1">-INDEX(INDIRECT("'"&amp;BC$4&amp;"'!Year.NetBalance"), MATCH(Pathways!$C72, INDIRECT("'"&amp;BC$4&amp;"'!Year.Vectors"), 0))</f>
        <v>406.8218875356273</v>
      </c>
      <c r="BD72" s="2861">
        <f ca="1">-INDEX(INDIRECT("'"&amp;BD$4&amp;"'!Year.NetBalance"), MATCH(Pathways!$C72, INDIRECT("'"&amp;BD$4&amp;"'!Year.Vectors"), 0))</f>
        <v>404.69271243177428</v>
      </c>
      <c r="BE72" s="2861">
        <f ca="1">-INDEX(INDIRECT("'"&amp;BE$4&amp;"'!Year.NetBalance"), MATCH(Pathways!$C72, INDIRECT("'"&amp;BE$4&amp;"'!Year.Vectors"), 0))</f>
        <v>402.83638767071136</v>
      </c>
      <c r="BF72" s="2861">
        <f ca="1">-INDEX(INDIRECT("'"&amp;BF$4&amp;"'!Year.NetBalance"), MATCH(Pathways!$C72, INDIRECT("'"&amp;BF$4&amp;"'!Year.Vectors"), 0))</f>
        <v>401.68501767071086</v>
      </c>
      <c r="BG72" s="2861">
        <f ca="1">-INDEX(INDIRECT("'"&amp;BG$4&amp;"'!Year.NetBalance"), MATCH(Pathways!$C72, INDIRECT("'"&amp;BG$4&amp;"'!Year.Vectors"), 0))</f>
        <v>401.13024685060918</v>
      </c>
      <c r="BH72" s="2861">
        <f ca="1">-INDEX(INDIRECT("'"&amp;BH$4&amp;"'!Year.NetBalance"), MATCH(Pathways!$C72, INDIRECT("'"&amp;BH$4&amp;"'!Year.Vectors"), 0))</f>
        <v>401.18988105870324</v>
      </c>
      <c r="BI72" s="2861">
        <f ca="1">-INDEX(INDIRECT("'"&amp;BI$4&amp;"'!Year.NetBalance"), MATCH(Pathways!$C72, INDIRECT("'"&amp;BI$4&amp;"'!Year.Vectors"), 0))</f>
        <v>401.88812295573837</v>
      </c>
      <c r="BJ72" s="1166"/>
      <c r="BK72" s="1021"/>
      <c r="BM72" s="1167"/>
    </row>
    <row r="73" spans="2:75" s="410" customFormat="1">
      <c r="B73" s="164"/>
      <c r="C73" s="1164" t="s">
        <v>316</v>
      </c>
      <c r="D73" s="1164" t="str">
        <f>INDEX(Vectors[Description], MATCH($C73, Vectors[Code], 0))</f>
        <v>Oil and petroleum products oversupply (imports)</v>
      </c>
      <c r="E73" s="166"/>
      <c r="F73" s="1184"/>
      <c r="G73" s="1184"/>
      <c r="H73" s="1188"/>
      <c r="I73" s="1188"/>
      <c r="J73" s="1188"/>
      <c r="K73" s="1188"/>
      <c r="L73" s="1188"/>
      <c r="M73" s="1188"/>
      <c r="N73" s="1188"/>
      <c r="O73" s="1188"/>
      <c r="P73" s="1188"/>
      <c r="Q73" s="1188"/>
      <c r="R73" s="1188"/>
      <c r="S73" s="1188"/>
      <c r="T73" s="1188"/>
      <c r="U73" s="1188"/>
      <c r="V73" s="1188"/>
      <c r="W73" s="1188"/>
      <c r="X73" s="1188"/>
      <c r="Y73" s="1188"/>
      <c r="Z73" s="1188"/>
      <c r="AA73" s="1188"/>
      <c r="AB73" s="1188"/>
      <c r="AC73" s="1188"/>
      <c r="AD73" s="1188"/>
      <c r="AE73" s="1188"/>
      <c r="AF73" s="1188"/>
      <c r="AG73" s="1188"/>
      <c r="AH73" s="1188"/>
      <c r="AI73" s="1188"/>
      <c r="AJ73" s="1188"/>
      <c r="AK73" s="1188"/>
      <c r="AL73" s="1188"/>
      <c r="AM73" s="1188"/>
      <c r="AN73" s="1188"/>
      <c r="AO73" s="1188"/>
      <c r="AP73" s="1188"/>
      <c r="AQ73" s="1188"/>
      <c r="AR73" s="1188"/>
      <c r="AS73" s="1188"/>
      <c r="AT73" s="1188"/>
      <c r="AU73" s="1188"/>
      <c r="AV73" s="1188"/>
      <c r="AW73" s="1188"/>
      <c r="AX73" s="166"/>
      <c r="AY73" s="2861">
        <f ca="1">-INDEX(INDIRECT("'"&amp;AY$4&amp;"'!Year.NetBalance"), MATCH(Pathways!$C73, INDIRECT("'"&amp;AY$4&amp;"'!Year.Vectors"), 0))</f>
        <v>1217.3455995924837</v>
      </c>
      <c r="AZ73" s="2861"/>
      <c r="BA73" s="2861">
        <f ca="1">-INDEX(INDIRECT("'"&amp;BA$4&amp;"'!Year.NetBalance"), MATCH(Pathways!$C73, INDIRECT("'"&amp;BA$4&amp;"'!Year.Vectors"), 0))</f>
        <v>1466.5905800259968</v>
      </c>
      <c r="BB73" s="2861">
        <f ca="1">-INDEX(INDIRECT("'"&amp;BB$4&amp;"'!Year.NetBalance"), MATCH(Pathways!$C73, INDIRECT("'"&amp;BB$4&amp;"'!Year.Vectors"), 0))</f>
        <v>2100.3206137516681</v>
      </c>
      <c r="BC73" s="2861">
        <f ca="1">-INDEX(INDIRECT("'"&amp;BC$4&amp;"'!Year.NetBalance"), MATCH(Pathways!$C73, INDIRECT("'"&amp;BC$4&amp;"'!Year.Vectors"), 0))</f>
        <v>3054.2541317150194</v>
      </c>
      <c r="BD73" s="2861">
        <f ca="1">-INDEX(INDIRECT("'"&amp;BD$4&amp;"'!Year.NetBalance"), MATCH(Pathways!$C73, INDIRECT("'"&amp;BD$4&amp;"'!Year.Vectors"), 0))</f>
        <v>4102.7795788608364</v>
      </c>
      <c r="BE73" s="2861">
        <f ca="1">-INDEX(INDIRECT("'"&amp;BE$4&amp;"'!Year.NetBalance"), MATCH(Pathways!$C73, INDIRECT("'"&amp;BE$4&amp;"'!Year.Vectors"), 0))</f>
        <v>5330.667265334645</v>
      </c>
      <c r="BF73" s="2861">
        <f ca="1">-INDEX(INDIRECT("'"&amp;BF$4&amp;"'!Year.NetBalance"), MATCH(Pathways!$C73, INDIRECT("'"&amp;BF$4&amp;"'!Year.Vectors"), 0))</f>
        <v>6703.2930240172882</v>
      </c>
      <c r="BG73" s="2861">
        <f ca="1">-INDEX(INDIRECT("'"&amp;BG$4&amp;"'!Year.NetBalance"), MATCH(Pathways!$C73, INDIRECT("'"&amp;BG$4&amp;"'!Year.Vectors"), 0))</f>
        <v>8096.4219235944875</v>
      </c>
      <c r="BH73" s="2861">
        <f ca="1">-INDEX(INDIRECT("'"&amp;BH$4&amp;"'!Year.NetBalance"), MATCH(Pathways!$C73, INDIRECT("'"&amp;BH$4&amp;"'!Year.Vectors"), 0))</f>
        <v>9663.2311319982509</v>
      </c>
      <c r="BI73" s="2861">
        <f ca="1">-INDEX(INDIRECT("'"&amp;BI$4&amp;"'!Year.NetBalance"), MATCH(Pathways!$C73, INDIRECT("'"&amp;BI$4&amp;"'!Year.Vectors"), 0))</f>
        <v>11338.566432233665</v>
      </c>
      <c r="BJ73" s="1166"/>
      <c r="BK73" s="1021"/>
      <c r="BM73" s="1167"/>
    </row>
    <row r="74" spans="2:75">
      <c r="B74" s="1162"/>
      <c r="C74" s="166"/>
      <c r="D74" s="166" t="s">
        <v>422</v>
      </c>
      <c r="E74" s="166"/>
      <c r="F74" s="1184"/>
      <c r="G74" s="1184"/>
      <c r="H74" s="1188"/>
      <c r="I74" s="1188"/>
      <c r="J74" s="1188"/>
      <c r="K74" s="1188"/>
      <c r="L74" s="1188"/>
      <c r="M74" s="1188"/>
      <c r="N74" s="1188"/>
      <c r="O74" s="1188"/>
      <c r="P74" s="1188"/>
      <c r="Q74" s="1188"/>
      <c r="R74" s="1188"/>
      <c r="S74" s="1188"/>
      <c r="T74" s="1188"/>
      <c r="U74" s="1188"/>
      <c r="V74" s="1188"/>
      <c r="W74" s="1188"/>
      <c r="X74" s="1188"/>
      <c r="Y74" s="1188"/>
      <c r="Z74" s="1188"/>
      <c r="AA74" s="1188"/>
      <c r="AB74" s="1188"/>
      <c r="AC74" s="1188"/>
      <c r="AD74" s="1188"/>
      <c r="AE74" s="1188"/>
      <c r="AF74" s="1188"/>
      <c r="AG74" s="1188"/>
      <c r="AH74" s="1188"/>
      <c r="AI74" s="1188"/>
      <c r="AJ74" s="1188"/>
      <c r="AK74" s="1188"/>
      <c r="AL74" s="1188"/>
      <c r="AM74" s="1188"/>
      <c r="AN74" s="1188"/>
      <c r="AO74" s="1188"/>
      <c r="AP74" s="1188"/>
      <c r="AQ74" s="1188"/>
      <c r="AR74" s="1188"/>
      <c r="AS74" s="1188"/>
      <c r="AT74" s="1188"/>
      <c r="AU74" s="1188"/>
      <c r="AV74" s="1188"/>
      <c r="AW74" s="1188"/>
      <c r="AX74" s="166"/>
      <c r="AY74" s="2862">
        <f ca="1">SUM(AY72:AY73)</f>
        <v>1612.6260395924837</v>
      </c>
      <c r="AZ74" s="2862"/>
      <c r="BA74" s="2862">
        <f t="shared" ref="BA74:BI74" ca="1" si="18">SUM(BA72:BA73)</f>
        <v>1909.5772800259967</v>
      </c>
      <c r="BB74" s="2862">
        <f t="shared" ca="1" si="18"/>
        <v>2580.7414083504682</v>
      </c>
      <c r="BC74" s="2862">
        <f t="shared" ca="1" si="18"/>
        <v>3461.0760192506468</v>
      </c>
      <c r="BD74" s="2862">
        <f t="shared" ca="1" si="18"/>
        <v>4507.4722912926109</v>
      </c>
      <c r="BE74" s="2862">
        <f t="shared" ca="1" si="18"/>
        <v>5733.5036530053567</v>
      </c>
      <c r="BF74" s="2862">
        <f t="shared" ca="1" si="18"/>
        <v>7104.9780416879994</v>
      </c>
      <c r="BG74" s="2862">
        <f t="shared" ca="1" si="18"/>
        <v>8497.5521704450966</v>
      </c>
      <c r="BH74" s="2862">
        <f t="shared" ca="1" si="18"/>
        <v>10064.421013056954</v>
      </c>
      <c r="BI74" s="2862">
        <f t="shared" ca="1" si="18"/>
        <v>11740.454555189404</v>
      </c>
      <c r="BJ74" s="1169"/>
      <c r="BK74" s="250"/>
      <c r="BM74" s="22"/>
      <c r="BN74" s="22"/>
    </row>
    <row r="75" spans="2:75" s="410" customFormat="1">
      <c r="B75" s="1162"/>
      <c r="C75" s="1164" t="s">
        <v>317</v>
      </c>
      <c r="D75" s="1164" t="str">
        <f>INDEX(Vectors[Description], MATCH($C75, Vectors[Code], 0))</f>
        <v>Gas oversupply (imports)</v>
      </c>
      <c r="E75" s="166"/>
      <c r="F75" s="1184"/>
      <c r="G75" s="1184"/>
      <c r="H75" s="1188"/>
      <c r="I75" s="1188"/>
      <c r="J75" s="1188"/>
      <c r="K75" s="1188"/>
      <c r="L75" s="1188"/>
      <c r="M75" s="1188"/>
      <c r="N75" s="1188"/>
      <c r="O75" s="1188"/>
      <c r="P75" s="1188"/>
      <c r="Q75" s="1188"/>
      <c r="R75" s="1188"/>
      <c r="S75" s="1188"/>
      <c r="T75" s="1188"/>
      <c r="U75" s="1188"/>
      <c r="V75" s="1188"/>
      <c r="W75" s="1188"/>
      <c r="X75" s="1188"/>
      <c r="Y75" s="1188"/>
      <c r="Z75" s="1188"/>
      <c r="AA75" s="1188"/>
      <c r="AB75" s="1188"/>
      <c r="AC75" s="1188"/>
      <c r="AD75" s="1188"/>
      <c r="AE75" s="1188"/>
      <c r="AF75" s="1188"/>
      <c r="AG75" s="1188"/>
      <c r="AH75" s="1188"/>
      <c r="AI75" s="1188"/>
      <c r="AJ75" s="1188"/>
      <c r="AK75" s="1188"/>
      <c r="AL75" s="1188"/>
      <c r="AM75" s="1188"/>
      <c r="AN75" s="1188"/>
      <c r="AO75" s="1188"/>
      <c r="AP75" s="1188"/>
      <c r="AQ75" s="1188"/>
      <c r="AR75" s="1188"/>
      <c r="AS75" s="1188"/>
      <c r="AT75" s="1188"/>
      <c r="AU75" s="1188"/>
      <c r="AV75" s="1188"/>
      <c r="AW75" s="1188"/>
      <c r="AX75" s="166"/>
      <c r="AY75" s="2861">
        <f ca="1">-INDEX(INDIRECT("'"&amp;AY$4&amp;"'!Year.NetBalance"), MATCH(Pathways!$C75, INDIRECT("'"&amp;AY$4&amp;"'!Year.Vectors"), 0))</f>
        <v>153.83385468740386</v>
      </c>
      <c r="AZ75" s="2861"/>
      <c r="BA75" s="2861">
        <f ca="1">-INDEX(INDIRECT("'"&amp;BA$4&amp;"'!Year.NetBalance"), MATCH(Pathways!$C75, INDIRECT("'"&amp;BA$4&amp;"'!Year.Vectors"), 0))</f>
        <v>158.80496962180251</v>
      </c>
      <c r="BB75" s="2861">
        <f ca="1">-INDEX(INDIRECT("'"&amp;BB$4&amp;"'!Year.NetBalance"), MATCH(Pathways!$C75, INDIRECT("'"&amp;BB$4&amp;"'!Year.Vectors"), 0))</f>
        <v>447.28146847936694</v>
      </c>
      <c r="BC75" s="2861">
        <f ca="1">-INDEX(INDIRECT("'"&amp;BC$4&amp;"'!Year.NetBalance"), MATCH(Pathways!$C75, INDIRECT("'"&amp;BC$4&amp;"'!Year.Vectors"), 0))</f>
        <v>580.82834753994018</v>
      </c>
      <c r="BD75" s="2861">
        <f ca="1">-INDEX(INDIRECT("'"&amp;BD$4&amp;"'!Year.NetBalance"), MATCH(Pathways!$C75, INDIRECT("'"&amp;BD$4&amp;"'!Year.Vectors"), 0))</f>
        <v>719.79234346908368</v>
      </c>
      <c r="BE75" s="2861">
        <f ca="1">-INDEX(INDIRECT("'"&amp;BE$4&amp;"'!Year.NetBalance"), MATCH(Pathways!$C75, INDIRECT("'"&amp;BE$4&amp;"'!Year.Vectors"), 0))</f>
        <v>883.00958491906431</v>
      </c>
      <c r="BF75" s="2861">
        <f ca="1">-INDEX(INDIRECT("'"&amp;BF$4&amp;"'!Year.NetBalance"), MATCH(Pathways!$C75, INDIRECT("'"&amp;BF$4&amp;"'!Year.Vectors"), 0))</f>
        <v>1091.1358234381285</v>
      </c>
      <c r="BG75" s="2861">
        <f ca="1">-INDEX(INDIRECT("'"&amp;BG$4&amp;"'!Year.NetBalance"), MATCH(Pathways!$C75, INDIRECT("'"&amp;BG$4&amp;"'!Year.Vectors"), 0))</f>
        <v>1323.7322738925393</v>
      </c>
      <c r="BH75" s="2861">
        <f ca="1">-INDEX(INDIRECT("'"&amp;BH$4&amp;"'!Year.NetBalance"), MATCH(Pathways!$C75, INDIRECT("'"&amp;BH$4&amp;"'!Year.Vectors"), 0))</f>
        <v>1577.3126958590992</v>
      </c>
      <c r="BI75" s="2861">
        <f ca="1">-INDEX(INDIRECT("'"&amp;BI$4&amp;"'!Year.NetBalance"), MATCH(Pathways!$C75, INDIRECT("'"&amp;BI$4&amp;"'!Year.Vectors"), 0))</f>
        <v>1879.4436261638216</v>
      </c>
      <c r="BJ75" s="1166"/>
      <c r="BK75" s="1167"/>
      <c r="BM75" s="1167"/>
    </row>
    <row r="76" spans="2:75" s="410" customFormat="1">
      <c r="B76" s="164"/>
      <c r="C76" s="1164" t="s">
        <v>322</v>
      </c>
      <c r="D76" s="1164" t="str">
        <f>INDEX(Vectors[Description], MATCH($C76, Vectors[Code], 0))</f>
        <v>Gas reserves</v>
      </c>
      <c r="E76" s="166"/>
      <c r="F76" s="1184"/>
      <c r="G76" s="1184"/>
      <c r="H76" s="1188"/>
      <c r="I76" s="1188"/>
      <c r="J76" s="1188"/>
      <c r="K76" s="1188"/>
      <c r="L76" s="1188"/>
      <c r="M76" s="1188"/>
      <c r="N76" s="1188"/>
      <c r="O76" s="1188"/>
      <c r="P76" s="1188"/>
      <c r="Q76" s="1188"/>
      <c r="R76" s="1188"/>
      <c r="S76" s="1188"/>
      <c r="T76" s="1188"/>
      <c r="U76" s="1188"/>
      <c r="V76" s="1188"/>
      <c r="W76" s="1188"/>
      <c r="X76" s="1188"/>
      <c r="Y76" s="1188"/>
      <c r="Z76" s="1188"/>
      <c r="AA76" s="1188"/>
      <c r="AB76" s="1188"/>
      <c r="AC76" s="1188"/>
      <c r="AD76" s="1188"/>
      <c r="AE76" s="1188"/>
      <c r="AF76" s="1188"/>
      <c r="AG76" s="1188"/>
      <c r="AH76" s="1188"/>
      <c r="AI76" s="1188"/>
      <c r="AJ76" s="1188"/>
      <c r="AK76" s="1188"/>
      <c r="AL76" s="1188"/>
      <c r="AM76" s="1188"/>
      <c r="AN76" s="1188"/>
      <c r="AO76" s="1188"/>
      <c r="AP76" s="1188"/>
      <c r="AQ76" s="1188"/>
      <c r="AR76" s="1188"/>
      <c r="AS76" s="1188"/>
      <c r="AT76" s="1188"/>
      <c r="AU76" s="1188"/>
      <c r="AV76" s="1188"/>
      <c r="AW76" s="1188"/>
      <c r="AX76" s="166"/>
      <c r="AY76" s="2861">
        <f ca="1">-INDEX(INDIRECT("'"&amp;AY$4&amp;"'!Year.NetBalance"), MATCH(Pathways!$C76, INDIRECT("'"&amp;AY$4&amp;"'!Year.Vectors"), 0))</f>
        <v>296.5420125</v>
      </c>
      <c r="AZ76" s="2861"/>
      <c r="BA76" s="2861">
        <f ca="1">-INDEX(INDIRECT("'"&amp;BA$4&amp;"'!Year.NetBalance"), MATCH(Pathways!$C76, INDIRECT("'"&amp;BA$4&amp;"'!Year.Vectors"), 0))</f>
        <v>449.1920925</v>
      </c>
      <c r="BB76" s="2861">
        <f ca="1">-INDEX(INDIRECT("'"&amp;BB$4&amp;"'!Year.NetBalance"), MATCH(Pathways!$C76, INDIRECT("'"&amp;BB$4&amp;"'!Year.Vectors"), 0))</f>
        <v>507.09261100499998</v>
      </c>
      <c r="BC76" s="2861">
        <f ca="1">-INDEX(INDIRECT("'"&amp;BC$4&amp;"'!Year.NetBalance"), MATCH(Pathways!$C76, INDIRECT("'"&amp;BC$4&amp;"'!Year.Vectors"), 0))</f>
        <v>548.56099701000005</v>
      </c>
      <c r="BD76" s="2861">
        <f ca="1">-INDEX(INDIRECT("'"&amp;BD$4&amp;"'!Year.NetBalance"), MATCH(Pathways!$C76, INDIRECT("'"&amp;BD$4&amp;"'!Year.Vectors"), 0))</f>
        <v>586.57321805615095</v>
      </c>
      <c r="BE76" s="2861">
        <f ca="1">-INDEX(INDIRECT("'"&amp;BE$4&amp;"'!Year.NetBalance"), MATCH(Pathways!$C76, INDIRECT("'"&amp;BE$4&amp;"'!Year.Vectors"), 0))</f>
        <v>641.54155989156084</v>
      </c>
      <c r="BF76" s="2861">
        <f ca="1">-INDEX(INDIRECT("'"&amp;BF$4&amp;"'!Year.NetBalance"), MATCH(Pathways!$C76, INDIRECT("'"&amp;BF$4&amp;"'!Year.Vectors"), 0))</f>
        <v>680.54187544379761</v>
      </c>
      <c r="BG76" s="2861">
        <f ca="1">-INDEX(INDIRECT("'"&amp;BG$4&amp;"'!Year.NetBalance"), MATCH(Pathways!$C76, INDIRECT("'"&amp;BG$4&amp;"'!Year.Vectors"), 0))</f>
        <v>722.92972840858988</v>
      </c>
      <c r="BH76" s="2861">
        <f ca="1">-INDEX(INDIRECT("'"&amp;BH$4&amp;"'!Year.NetBalance"), MATCH(Pathways!$C76, INDIRECT("'"&amp;BH$4&amp;"'!Year.Vectors"), 0))</f>
        <v>769.07133311204609</v>
      </c>
      <c r="BI76" s="2861">
        <f ca="1">-INDEX(INDIRECT("'"&amp;BI$4&amp;"'!Year.NetBalance"), MATCH(Pathways!$C76, INDIRECT("'"&amp;BI$4&amp;"'!Year.Vectors"), 0))</f>
        <v>803.22299999999996</v>
      </c>
      <c r="BJ76" s="1166"/>
      <c r="BK76" s="1167"/>
      <c r="BM76" s="1167"/>
    </row>
    <row r="77" spans="2:75">
      <c r="B77" s="1162"/>
      <c r="C77" s="166"/>
      <c r="D77" s="166" t="s">
        <v>117</v>
      </c>
      <c r="E77" s="166"/>
      <c r="F77" s="1184"/>
      <c r="G77" s="1184"/>
      <c r="H77" s="1188"/>
      <c r="I77" s="1188"/>
      <c r="J77" s="1188"/>
      <c r="K77" s="1188"/>
      <c r="L77" s="1188"/>
      <c r="M77" s="1188"/>
      <c r="N77" s="1188"/>
      <c r="O77" s="1188"/>
      <c r="P77" s="1188"/>
      <c r="Q77" s="1188"/>
      <c r="R77" s="1188"/>
      <c r="S77" s="1188"/>
      <c r="T77" s="1188"/>
      <c r="U77" s="1188"/>
      <c r="V77" s="1188"/>
      <c r="W77" s="1188"/>
      <c r="X77" s="1188"/>
      <c r="Y77" s="1188"/>
      <c r="Z77" s="1188"/>
      <c r="AA77" s="1188"/>
      <c r="AB77" s="1188"/>
      <c r="AC77" s="1188"/>
      <c r="AD77" s="1188"/>
      <c r="AE77" s="1188"/>
      <c r="AF77" s="1188"/>
      <c r="AG77" s="1188"/>
      <c r="AH77" s="1188"/>
      <c r="AI77" s="1188"/>
      <c r="AJ77" s="1188"/>
      <c r="AK77" s="1188"/>
      <c r="AL77" s="1188"/>
      <c r="AM77" s="1188"/>
      <c r="AN77" s="1188"/>
      <c r="AO77" s="1188"/>
      <c r="AP77" s="1188"/>
      <c r="AQ77" s="1188"/>
      <c r="AR77" s="1188"/>
      <c r="AS77" s="1188"/>
      <c r="AT77" s="1188"/>
      <c r="AU77" s="1188"/>
      <c r="AV77" s="1188"/>
      <c r="AW77" s="1188"/>
      <c r="AX77" s="166"/>
      <c r="AY77" s="2862">
        <f ca="1">SUM(AY75:AY76)</f>
        <v>450.37586718740386</v>
      </c>
      <c r="AZ77" s="2862"/>
      <c r="BA77" s="2862">
        <f t="shared" ref="BA77:BI77" ca="1" si="19">SUM(BA75:BA76)</f>
        <v>607.99706212180251</v>
      </c>
      <c r="BB77" s="2862">
        <f t="shared" ca="1" si="19"/>
        <v>954.37407948436692</v>
      </c>
      <c r="BC77" s="2862">
        <f t="shared" ca="1" si="19"/>
        <v>1129.3893445499402</v>
      </c>
      <c r="BD77" s="2862">
        <f t="shared" ca="1" si="19"/>
        <v>1306.3655615252346</v>
      </c>
      <c r="BE77" s="2862">
        <f t="shared" ca="1" si="19"/>
        <v>1524.5511448106251</v>
      </c>
      <c r="BF77" s="2862">
        <f t="shared" ca="1" si="19"/>
        <v>1771.6776988819261</v>
      </c>
      <c r="BG77" s="2862">
        <f t="shared" ca="1" si="19"/>
        <v>2046.6620023011292</v>
      </c>
      <c r="BH77" s="2862">
        <f t="shared" ca="1" si="19"/>
        <v>2346.3840289711452</v>
      </c>
      <c r="BI77" s="2862">
        <f t="shared" ca="1" si="19"/>
        <v>2682.6666261638215</v>
      </c>
      <c r="BJ77" s="1169"/>
      <c r="BK77" s="250"/>
      <c r="BM77" s="22"/>
      <c r="BN77" s="22"/>
    </row>
    <row r="78" spans="2:75" s="859" customFormat="1">
      <c r="B78" s="1162"/>
      <c r="C78" s="266"/>
      <c r="D78" s="1174" t="s">
        <v>1138</v>
      </c>
      <c r="E78" s="166"/>
      <c r="F78" s="1184"/>
      <c r="G78" s="1184"/>
      <c r="H78" s="1188"/>
      <c r="I78" s="1188"/>
      <c r="J78" s="1188"/>
      <c r="K78" s="1188"/>
      <c r="L78" s="1188"/>
      <c r="M78" s="1188"/>
      <c r="N78" s="1188"/>
      <c r="O78" s="1188"/>
      <c r="P78" s="1188"/>
      <c r="Q78" s="1188"/>
      <c r="R78" s="1188"/>
      <c r="S78" s="1188"/>
      <c r="T78" s="1188"/>
      <c r="U78" s="1188"/>
      <c r="V78" s="1188"/>
      <c r="W78" s="1188"/>
      <c r="X78" s="1188"/>
      <c r="Y78" s="1188"/>
      <c r="Z78" s="1188"/>
      <c r="AA78" s="1188"/>
      <c r="AB78" s="1188"/>
      <c r="AC78" s="1188"/>
      <c r="AD78" s="1188"/>
      <c r="AE78" s="1188"/>
      <c r="AF78" s="1188"/>
      <c r="AG78" s="1188"/>
      <c r="AH78" s="1188"/>
      <c r="AI78" s="1188"/>
      <c r="AJ78" s="1188"/>
      <c r="AK78" s="1188"/>
      <c r="AL78" s="1188"/>
      <c r="AM78" s="1188"/>
      <c r="AN78" s="1188"/>
      <c r="AO78" s="1188"/>
      <c r="AP78" s="1188"/>
      <c r="AQ78" s="1188"/>
      <c r="AR78" s="1188"/>
      <c r="AS78" s="1188"/>
      <c r="AT78" s="1188"/>
      <c r="AU78" s="1188"/>
      <c r="AV78" s="1188"/>
      <c r="AW78" s="1188"/>
      <c r="AX78" s="166"/>
      <c r="AY78" s="2858">
        <f ca="1">AY63+AY68+AY71+AY74+AY77</f>
        <v>5548.5550119335549</v>
      </c>
      <c r="AZ78" s="2858"/>
      <c r="BA78" s="2858">
        <f t="shared" ref="BA78:BI78" ca="1" si="20">BA63+BA68+BA71+BA74+BA77</f>
        <v>6988.574860214595</v>
      </c>
      <c r="BB78" s="2858">
        <f t="shared" ca="1" si="20"/>
        <v>9440.704159625695</v>
      </c>
      <c r="BC78" s="2858">
        <f t="shared" ca="1" si="20"/>
        <v>12706.133943321098</v>
      </c>
      <c r="BD78" s="2858">
        <f t="shared" ca="1" si="20"/>
        <v>16679.37627136079</v>
      </c>
      <c r="BE78" s="2858">
        <f t="shared" ca="1" si="20"/>
        <v>21665.184662361986</v>
      </c>
      <c r="BF78" s="2858">
        <f t="shared" ca="1" si="20"/>
        <v>26542.436827315214</v>
      </c>
      <c r="BG78" s="2858">
        <f t="shared" ca="1" si="20"/>
        <v>31748.460261156637</v>
      </c>
      <c r="BH78" s="2858">
        <f t="shared" ca="1" si="20"/>
        <v>36749.063932542187</v>
      </c>
      <c r="BI78" s="2858">
        <f t="shared" ca="1" si="20"/>
        <v>42245.521261734444</v>
      </c>
      <c r="BJ78" s="1177"/>
      <c r="BK78" s="1178"/>
      <c r="BL78" s="1085"/>
      <c r="BM78" s="1178"/>
    </row>
    <row r="79" spans="2:75" s="37" customFormat="1">
      <c r="B79" s="164"/>
      <c r="C79" s="1184"/>
      <c r="D79" s="1184" t="s">
        <v>2436</v>
      </c>
      <c r="E79" s="166"/>
      <c r="F79" s="1184">
        <f>unit.bcm</f>
        <v>9.4275000000000002</v>
      </c>
      <c r="G79" s="1184"/>
      <c r="H79" s="1188"/>
      <c r="I79" s="1188"/>
      <c r="J79" s="1188"/>
      <c r="K79" s="1188"/>
      <c r="L79" s="1188"/>
      <c r="M79" s="1188"/>
      <c r="N79" s="1188"/>
      <c r="O79" s="1188"/>
      <c r="P79" s="1188"/>
      <c r="Q79" s="1188"/>
      <c r="R79" s="1188"/>
      <c r="S79" s="1188"/>
      <c r="T79" s="1188"/>
      <c r="U79" s="1188"/>
      <c r="V79" s="1188"/>
      <c r="W79" s="1188"/>
      <c r="X79" s="1188"/>
      <c r="Y79" s="1188"/>
      <c r="Z79" s="1188"/>
      <c r="AA79" s="1188"/>
      <c r="AB79" s="1188"/>
      <c r="AC79" s="1188"/>
      <c r="AD79" s="1188"/>
      <c r="AE79" s="1188"/>
      <c r="AF79" s="1188"/>
      <c r="AG79" s="1188"/>
      <c r="AH79" s="1188"/>
      <c r="AI79" s="1188"/>
      <c r="AJ79" s="1188"/>
      <c r="AK79" s="1188"/>
      <c r="AL79" s="1188"/>
      <c r="AM79" s="1188"/>
      <c r="AN79" s="1188"/>
      <c r="AO79" s="1188"/>
      <c r="AP79" s="1188"/>
      <c r="AQ79" s="1188"/>
      <c r="AR79" s="1188"/>
      <c r="AS79" s="1188"/>
      <c r="AT79" s="1188"/>
      <c r="AU79" s="1188"/>
      <c r="AV79" s="1188"/>
      <c r="AW79" s="1188"/>
      <c r="AX79" s="166"/>
      <c r="AY79" s="1185">
        <f>V.d.feedstock[[#This Row],[2007]]</f>
        <v>899.08</v>
      </c>
      <c r="AZ79" s="1185"/>
      <c r="BA79" s="1185">
        <f>V.d.feedstock[[#This Row],[2012]]</f>
        <v>909.428</v>
      </c>
      <c r="BB79" s="1185">
        <f>V.d.feedstock[[#This Row],[2017]]</f>
        <v>903.02833964762863</v>
      </c>
      <c r="BC79" s="1185">
        <f>V.d.feedstock[[#This Row],[2022]]</f>
        <v>896.66851672306439</v>
      </c>
      <c r="BD79" s="1185">
        <f>V.d.feedstock[[#This Row],[2027]]</f>
        <v>890.34893119727224</v>
      </c>
      <c r="BE79" s="1185">
        <f>V.d.feedstock[[#This Row],[2032]]</f>
        <v>884.06998705695821</v>
      </c>
      <c r="BF79" s="1185">
        <f>V.d.feedstock[[#This Row],[2037]]</f>
        <v>877.8320923448872</v>
      </c>
      <c r="BG79" s="1185">
        <f>V.d.feedstock[[#This Row],[2042]]</f>
        <v>868.02300000000037</v>
      </c>
      <c r="BH79" s="1185">
        <f>V.d.feedstock[[#This Row],[2047]]</f>
        <v>857.65550000000019</v>
      </c>
      <c r="BI79" s="1185">
        <f>V.d.feedstock[[#This Row],[2052]]</f>
        <v>847.28800000000001</v>
      </c>
      <c r="BJ79" s="1186"/>
      <c r="BK79" s="90">
        <v>2</v>
      </c>
      <c r="BL79" s="423"/>
      <c r="BM79" s="90"/>
      <c r="BN79" s="145"/>
      <c r="BO79" s="145"/>
      <c r="BP79" s="145"/>
      <c r="BQ79" s="145"/>
      <c r="BR79" s="145"/>
      <c r="BS79" s="145"/>
      <c r="BT79" s="145"/>
      <c r="BU79" s="145"/>
      <c r="BV79" s="145"/>
      <c r="BW79" s="145"/>
    </row>
    <row r="80" spans="2:75" s="37" customFormat="1" ht="18">
      <c r="B80" s="1172"/>
      <c r="C80" s="1184"/>
      <c r="D80" s="3064" t="s">
        <v>2143</v>
      </c>
      <c r="E80" s="166"/>
      <c r="F80" s="1184"/>
      <c r="G80" s="1184"/>
      <c r="H80" s="1188"/>
      <c r="I80" s="1188"/>
      <c r="J80" s="1188"/>
      <c r="K80" s="1188"/>
      <c r="L80" s="1188"/>
      <c r="M80" s="1188"/>
      <c r="N80" s="1188"/>
      <c r="O80" s="1188"/>
      <c r="P80" s="1188"/>
      <c r="Q80" s="1188"/>
      <c r="R80" s="1188"/>
      <c r="S80" s="1188"/>
      <c r="T80" s="1188"/>
      <c r="U80" s="1188"/>
      <c r="V80" s="1188"/>
      <c r="W80" s="1188"/>
      <c r="X80" s="1188"/>
      <c r="Y80" s="1188"/>
      <c r="Z80" s="1188"/>
      <c r="AA80" s="1188"/>
      <c r="AB80" s="1188"/>
      <c r="AC80" s="1188"/>
      <c r="AD80" s="1188"/>
      <c r="AE80" s="1188"/>
      <c r="AF80" s="1188"/>
      <c r="AG80" s="1188"/>
      <c r="AH80" s="1188"/>
      <c r="AI80" s="1188"/>
      <c r="AJ80" s="1188"/>
      <c r="AK80" s="1188"/>
      <c r="AL80" s="1188"/>
      <c r="AM80" s="1188"/>
      <c r="AN80" s="1188"/>
      <c r="AO80" s="1188"/>
      <c r="AP80" s="1188"/>
      <c r="AQ80" s="1188"/>
      <c r="AR80" s="1188"/>
      <c r="AS80" s="1188"/>
      <c r="AT80" s="1188"/>
      <c r="AU80" s="1188"/>
      <c r="AV80" s="1188"/>
      <c r="AW80" s="1188"/>
      <c r="AX80" s="166"/>
      <c r="AY80" s="3155">
        <f>581.397180301736*(unit.bcm)</f>
        <v>5481.1219172946157</v>
      </c>
      <c r="AZ80" s="3155"/>
      <c r="BA80" s="3155">
        <v>6941.9888895050326</v>
      </c>
      <c r="BB80" s="3155">
        <v>9371.1432070643368</v>
      </c>
      <c r="BC80" s="3155">
        <v>12624.197665700363</v>
      </c>
      <c r="BD80" s="3155">
        <v>16604.348040651905</v>
      </c>
      <c r="BE80" s="3155">
        <v>21682.904316936692</v>
      </c>
      <c r="BF80" s="3155">
        <v>26663.52525264936</v>
      </c>
      <c r="BG80" s="3155">
        <v>31993.451088593945</v>
      </c>
      <c r="BH80" s="3155">
        <v>37112.099641157227</v>
      </c>
      <c r="BI80" s="3155">
        <v>42880.127248438141</v>
      </c>
      <c r="BJ80" s="1186"/>
      <c r="BK80" s="141"/>
      <c r="BL80" s="145"/>
      <c r="BM80" s="145"/>
      <c r="BN80" s="145"/>
      <c r="BO80" s="145"/>
      <c r="BP80" s="145"/>
      <c r="BQ80" s="145"/>
      <c r="BR80" s="145"/>
      <c r="BS80" s="145"/>
      <c r="BT80" s="145"/>
      <c r="BU80" s="145"/>
      <c r="BV80" s="145"/>
      <c r="BW80" s="145"/>
    </row>
    <row r="81" spans="2:75" s="37" customFormat="1" ht="18">
      <c r="B81" s="1172"/>
      <c r="C81" s="1184"/>
      <c r="D81" s="3064" t="s">
        <v>2437</v>
      </c>
      <c r="E81" s="166"/>
      <c r="F81" s="1184"/>
      <c r="G81" s="1184"/>
      <c r="H81" s="1188"/>
      <c r="I81" s="1188"/>
      <c r="J81" s="1188"/>
      <c r="K81" s="1188"/>
      <c r="L81" s="1188"/>
      <c r="M81" s="1188"/>
      <c r="N81" s="1188"/>
      <c r="O81" s="1188"/>
      <c r="P81" s="1188"/>
      <c r="Q81" s="1188"/>
      <c r="R81" s="1188"/>
      <c r="S81" s="1188"/>
      <c r="T81" s="1188"/>
      <c r="U81" s="1188"/>
      <c r="V81" s="1188"/>
      <c r="W81" s="1188"/>
      <c r="X81" s="1188"/>
      <c r="Y81" s="1188"/>
      <c r="Z81" s="1188"/>
      <c r="AA81" s="1188"/>
      <c r="AB81" s="1188"/>
      <c r="AC81" s="1188"/>
      <c r="AD81" s="1188"/>
      <c r="AE81" s="1188"/>
      <c r="AF81" s="1188"/>
      <c r="AG81" s="1188"/>
      <c r="AH81" s="1188"/>
      <c r="AI81" s="1188"/>
      <c r="AJ81" s="1188"/>
      <c r="AK81" s="1188"/>
      <c r="AL81" s="1188"/>
      <c r="AM81" s="1188"/>
      <c r="AN81" s="1188"/>
      <c r="AO81" s="1188"/>
      <c r="AP81" s="1188"/>
      <c r="AQ81" s="1188"/>
      <c r="AR81" s="1188"/>
      <c r="AS81" s="1188"/>
      <c r="AT81" s="1188"/>
      <c r="AU81" s="1188"/>
      <c r="AV81" s="1188"/>
      <c r="AW81" s="1188"/>
      <c r="AX81" s="166"/>
      <c r="AY81" s="3155"/>
      <c r="AZ81" s="3155"/>
      <c r="BA81" s="3161">
        <f>BA79/BA80</f>
        <v>0.13100395498686007</v>
      </c>
      <c r="BB81" s="3161">
        <f t="shared" ref="BB81:BI81" si="21">BB79/BB80</f>
        <v>9.6362665652883234E-2</v>
      </c>
      <c r="BC81" s="3161">
        <f t="shared" si="21"/>
        <v>7.1027762751156132E-2</v>
      </c>
      <c r="BD81" s="3161">
        <f t="shared" si="21"/>
        <v>5.3621432712531614E-2</v>
      </c>
      <c r="BE81" s="3161">
        <f t="shared" si="21"/>
        <v>4.0772673906345841E-2</v>
      </c>
      <c r="BF81" s="3161">
        <f t="shared" si="21"/>
        <v>3.2922581842686517E-2</v>
      </c>
      <c r="BG81" s="3161">
        <f t="shared" si="21"/>
        <v>2.7131271259119061E-2</v>
      </c>
      <c r="BH81" s="3161">
        <f t="shared" si="21"/>
        <v>2.3109861966657968E-2</v>
      </c>
      <c r="BI81" s="3161">
        <f t="shared" si="21"/>
        <v>1.9759456288247407E-2</v>
      </c>
      <c r="BJ81" s="1186"/>
      <c r="BK81" s="141"/>
      <c r="BL81" s="145"/>
      <c r="BM81" s="145"/>
      <c r="BN81" s="145"/>
      <c r="BO81" s="145"/>
      <c r="BP81" s="145"/>
      <c r="BQ81" s="145"/>
      <c r="BR81" s="145"/>
      <c r="BS81" s="145"/>
      <c r="BT81" s="145"/>
      <c r="BU81" s="145"/>
      <c r="BV81" s="145"/>
      <c r="BW81" s="145"/>
    </row>
    <row r="82" spans="2:75" s="37" customFormat="1" ht="18">
      <c r="B82" s="1172"/>
      <c r="C82" s="1184"/>
      <c r="D82" s="3064" t="s">
        <v>2441</v>
      </c>
      <c r="E82" s="166"/>
      <c r="F82" s="1184"/>
      <c r="G82" s="1184"/>
      <c r="H82" s="1188"/>
      <c r="I82" s="1188"/>
      <c r="J82" s="1188"/>
      <c r="K82" s="1188"/>
      <c r="L82" s="1188"/>
      <c r="M82" s="1188"/>
      <c r="N82" s="1188"/>
      <c r="O82" s="1188"/>
      <c r="P82" s="1188"/>
      <c r="Q82" s="1188"/>
      <c r="R82" s="1188"/>
      <c r="S82" s="1188"/>
      <c r="T82" s="1188"/>
      <c r="U82" s="1188"/>
      <c r="V82" s="1188"/>
      <c r="W82" s="1188"/>
      <c r="X82" s="1188"/>
      <c r="Y82" s="1188"/>
      <c r="Z82" s="1188"/>
      <c r="AA82" s="1188"/>
      <c r="AB82" s="1188"/>
      <c r="AC82" s="1188"/>
      <c r="AD82" s="1188"/>
      <c r="AE82" s="1188"/>
      <c r="AF82" s="1188"/>
      <c r="AG82" s="1188"/>
      <c r="AH82" s="1188"/>
      <c r="AI82" s="1188"/>
      <c r="AJ82" s="1188"/>
      <c r="AK82" s="1188"/>
      <c r="AL82" s="1188"/>
      <c r="AM82" s="1188"/>
      <c r="AN82" s="1188"/>
      <c r="AO82" s="1188"/>
      <c r="AP82" s="1188"/>
      <c r="AQ82" s="1188"/>
      <c r="AR82" s="1188"/>
      <c r="AS82" s="1188"/>
      <c r="AT82" s="1188"/>
      <c r="AU82" s="1188"/>
      <c r="AV82" s="1188"/>
      <c r="AW82" s="1188"/>
      <c r="AX82" s="166"/>
      <c r="AY82" s="3155"/>
      <c r="AZ82" s="3155"/>
      <c r="BA82" s="3187">
        <f>INDEX(Global.Assumptions[Population],MATCH(BA4,Global.Assumptions[Year]),0)</f>
        <v>1215947696.8037</v>
      </c>
      <c r="BB82" s="3187">
        <f>INDEX(Global.Assumptions[Population],MATCH(BB4,Global.Assumptions[Year]),0)</f>
        <v>1293560155.5197299</v>
      </c>
      <c r="BC82" s="3187">
        <f>INDEX(Global.Assumptions[Population],MATCH(BC4,Global.Assumptions[Year]),0)</f>
        <v>1383591897.89131</v>
      </c>
      <c r="BD82" s="3187">
        <f>INDEX(Global.Assumptions[Population],MATCH(BD4,Global.Assumptions[Year]),0)</f>
        <v>1453466914.90909</v>
      </c>
      <c r="BE82" s="3187">
        <f>INDEX(Global.Assumptions[Population],MATCH(BE4,Global.Assumptions[Year]),0)</f>
        <v>1533937577.53791</v>
      </c>
      <c r="BF82" s="3187">
        <f>INDEX(Global.Assumptions[Population],MATCH(BF4,Global.Assumptions[Year]),0)</f>
        <v>1592149418.74388</v>
      </c>
      <c r="BG82" s="3187">
        <f>INDEX(Global.Assumptions[Population],MATCH(BG4,Global.Assumptions[Year]),0)</f>
        <v>1659579084.9869099</v>
      </c>
      <c r="BH82" s="3187">
        <f>INDEX(Global.Assumptions[Population],MATCH(BH4,Global.Assumptions[Year]),0)</f>
        <v>1704172882.39362</v>
      </c>
      <c r="BI82" s="3187">
        <f>INDEX(Global.Assumptions[Population],MATCH(BI4,Global.Assumptions[Year]),0)</f>
        <v>1758022799.41429</v>
      </c>
      <c r="BJ82" s="1186"/>
      <c r="BK82" s="141"/>
      <c r="BL82" s="145"/>
      <c r="BM82" s="145"/>
      <c r="BN82" s="145"/>
      <c r="BO82" s="145"/>
      <c r="BP82" s="145"/>
      <c r="BQ82" s="145"/>
      <c r="BR82" s="145"/>
      <c r="BS82" s="145"/>
      <c r="BT82" s="145"/>
      <c r="BU82" s="145"/>
      <c r="BV82" s="145"/>
      <c r="BW82" s="145"/>
    </row>
    <row r="83" spans="2:75" s="37" customFormat="1" ht="18">
      <c r="B83" s="1172"/>
      <c r="C83" s="1184"/>
      <c r="D83" s="3064" t="str">
        <f>"percapita energy consumption in " &amp;preferences.energyunits</f>
        <v>percapita energy consumption in TWh</v>
      </c>
      <c r="E83" s="166"/>
      <c r="F83" s="1184"/>
      <c r="G83" s="1184"/>
      <c r="H83" s="1188"/>
      <c r="I83" s="1188"/>
      <c r="J83" s="1188"/>
      <c r="K83" s="1188"/>
      <c r="L83" s="1188"/>
      <c r="M83" s="1188"/>
      <c r="N83" s="1188"/>
      <c r="O83" s="1188"/>
      <c r="P83" s="1188"/>
      <c r="Q83" s="1188"/>
      <c r="R83" s="1188"/>
      <c r="S83" s="1188"/>
      <c r="T83" s="1188"/>
      <c r="U83" s="1188"/>
      <c r="V83" s="1188"/>
      <c r="W83" s="1188"/>
      <c r="X83" s="1188"/>
      <c r="Y83" s="1188"/>
      <c r="Z83" s="1188"/>
      <c r="AA83" s="1188"/>
      <c r="AB83" s="1188"/>
      <c r="AC83" s="1188"/>
      <c r="AD83" s="1188"/>
      <c r="AE83" s="1188"/>
      <c r="AF83" s="1188"/>
      <c r="AG83" s="1188"/>
      <c r="AH83" s="1188"/>
      <c r="AI83" s="1188"/>
      <c r="AJ83" s="1188"/>
      <c r="AK83" s="1188"/>
      <c r="AL83" s="1188"/>
      <c r="AM83" s="1188"/>
      <c r="AN83" s="1188"/>
      <c r="AO83" s="1188"/>
      <c r="AP83" s="1188"/>
      <c r="AQ83" s="1188"/>
      <c r="AR83" s="1188"/>
      <c r="AS83" s="1188"/>
      <c r="AT83" s="1188"/>
      <c r="AU83" s="1188"/>
      <c r="AV83" s="1188"/>
      <c r="AW83" s="1188"/>
      <c r="AX83" s="166"/>
      <c r="AY83" s="3155"/>
      <c r="AZ83" s="3155"/>
      <c r="BA83" s="3153">
        <f ca="1">BA78/BA82</f>
        <v>5.7474304845390199E-6</v>
      </c>
      <c r="BB83" s="3209">
        <f t="shared" ref="BB83:BH83" ca="1" si="22">BB78/BB82</f>
        <v>7.2982335760276917E-6</v>
      </c>
      <c r="BC83" s="3209">
        <f t="shared" ca="1" si="22"/>
        <v>9.1834405525835529E-6</v>
      </c>
      <c r="BD83" s="3209">
        <f t="shared" ca="1" si="22"/>
        <v>1.1475580283438399E-5</v>
      </c>
      <c r="BE83" s="3209">
        <f t="shared" ca="1" si="22"/>
        <v>1.4123902419247271E-5</v>
      </c>
      <c r="BF83" s="3209">
        <f t="shared" ca="1" si="22"/>
        <v>1.6670820285357239E-5</v>
      </c>
      <c r="BG83" s="3209">
        <f t="shared" ca="1" si="22"/>
        <v>1.9130429244597919E-5</v>
      </c>
      <c r="BH83" s="3209">
        <f t="shared" ca="1" si="22"/>
        <v>2.1564164241908233E-5</v>
      </c>
      <c r="BI83" s="3161"/>
      <c r="BJ83" s="1186"/>
      <c r="BK83" s="141"/>
      <c r="BL83" s="145"/>
      <c r="BM83" s="145"/>
      <c r="BN83" s="145"/>
      <c r="BO83" s="145"/>
      <c r="BP83" s="145"/>
      <c r="BQ83" s="145"/>
      <c r="BR83" s="145"/>
      <c r="BS83" s="145"/>
      <c r="BT83" s="145"/>
      <c r="BU83" s="145"/>
      <c r="BV83" s="145"/>
      <c r="BW83" s="145"/>
    </row>
    <row r="84" spans="2:75" s="37" customFormat="1" ht="18">
      <c r="B84" s="1172"/>
      <c r="C84" s="1184"/>
      <c r="D84" s="3064"/>
      <c r="E84" s="166"/>
      <c r="F84" s="1184"/>
      <c r="G84" s="1184"/>
      <c r="H84" s="1188"/>
      <c r="I84" s="1188"/>
      <c r="J84" s="1188"/>
      <c r="K84" s="1188"/>
      <c r="L84" s="1188"/>
      <c r="M84" s="1188"/>
      <c r="N84" s="1188"/>
      <c r="O84" s="1188"/>
      <c r="P84" s="1188"/>
      <c r="Q84" s="1188"/>
      <c r="R84" s="1188"/>
      <c r="S84" s="1188"/>
      <c r="T84" s="1188"/>
      <c r="U84" s="1188"/>
      <c r="V84" s="1188"/>
      <c r="W84" s="1188"/>
      <c r="X84" s="1188"/>
      <c r="Y84" s="1188"/>
      <c r="Z84" s="1188"/>
      <c r="AA84" s="1188"/>
      <c r="AB84" s="1188"/>
      <c r="AC84" s="1188"/>
      <c r="AD84" s="1188"/>
      <c r="AE84" s="1188"/>
      <c r="AF84" s="1188"/>
      <c r="AG84" s="1188"/>
      <c r="AH84" s="1188"/>
      <c r="AI84" s="1188"/>
      <c r="AJ84" s="1188"/>
      <c r="AK84" s="1188"/>
      <c r="AL84" s="1188"/>
      <c r="AM84" s="1188"/>
      <c r="AN84" s="1188"/>
      <c r="AO84" s="1188"/>
      <c r="AP84" s="1188"/>
      <c r="AQ84" s="1188"/>
      <c r="AR84" s="1188"/>
      <c r="AS84" s="1188"/>
      <c r="AT84" s="1188"/>
      <c r="AU84" s="1188"/>
      <c r="AV84" s="1188"/>
      <c r="AW84" s="1188"/>
      <c r="AX84" s="166"/>
      <c r="AY84" s="3155"/>
      <c r="AZ84" s="3155"/>
      <c r="BA84" s="3153"/>
      <c r="BB84" s="3153"/>
      <c r="BC84" s="3153"/>
      <c r="BD84" s="3153"/>
      <c r="BE84" s="3153"/>
      <c r="BF84" s="3153"/>
      <c r="BG84" s="3153"/>
      <c r="BH84" s="3153"/>
      <c r="BI84" s="3161"/>
      <c r="BJ84" s="1186"/>
      <c r="BK84" s="141"/>
      <c r="BL84" s="145"/>
      <c r="BM84" s="145"/>
      <c r="BN84" s="145"/>
      <c r="BO84" s="145"/>
      <c r="BP84" s="145"/>
      <c r="BQ84" s="145"/>
      <c r="BR84" s="145"/>
      <c r="BS84" s="145"/>
      <c r="BT84" s="145"/>
      <c r="BU84" s="145"/>
      <c r="BV84" s="145"/>
      <c r="BW84" s="145"/>
    </row>
    <row r="85" spans="2:75" s="37" customFormat="1" ht="18">
      <c r="B85" s="1172"/>
      <c r="C85" s="1184"/>
      <c r="D85" s="1288" t="s">
        <v>2435</v>
      </c>
      <c r="E85" s="166"/>
      <c r="F85" s="1184"/>
      <c r="G85" s="1184"/>
      <c r="H85" s="1188"/>
      <c r="I85" s="1188"/>
      <c r="J85" s="1188"/>
      <c r="K85" s="1188"/>
      <c r="L85" s="1188"/>
      <c r="M85" s="1188"/>
      <c r="N85" s="1188"/>
      <c r="O85" s="1188"/>
      <c r="P85" s="1188"/>
      <c r="Q85" s="1188"/>
      <c r="R85" s="1188"/>
      <c r="S85" s="1188"/>
      <c r="T85" s="1188"/>
      <c r="U85" s="1188"/>
      <c r="V85" s="1188"/>
      <c r="W85" s="1188"/>
      <c r="X85" s="1188"/>
      <c r="Y85" s="1188"/>
      <c r="Z85" s="1188"/>
      <c r="AA85" s="1188"/>
      <c r="AB85" s="1188"/>
      <c r="AC85" s="1188"/>
      <c r="AD85" s="1188"/>
      <c r="AE85" s="1188"/>
      <c r="AF85" s="1188"/>
      <c r="AG85" s="1188"/>
      <c r="AH85" s="1188"/>
      <c r="AI85" s="1188"/>
      <c r="AJ85" s="1188"/>
      <c r="AK85" s="1188"/>
      <c r="AL85" s="1188"/>
      <c r="AM85" s="1188"/>
      <c r="AN85" s="1188"/>
      <c r="AO85" s="1188"/>
      <c r="AP85" s="1188"/>
      <c r="AQ85" s="1188"/>
      <c r="AR85" s="1188"/>
      <c r="AS85" s="1188"/>
      <c r="AT85" s="1188"/>
      <c r="AU85" s="1188"/>
      <c r="AV85" s="1188"/>
      <c r="AW85" s="1188"/>
      <c r="AX85" s="166"/>
      <c r="AY85" s="1185"/>
      <c r="AZ85" s="1185"/>
      <c r="BA85" s="3158" t="s">
        <v>2427</v>
      </c>
      <c r="BB85" s="3158"/>
      <c r="BC85" s="3158"/>
      <c r="BE85" s="3155"/>
      <c r="BF85" s="3155"/>
      <c r="BG85" s="3155"/>
      <c r="BH85" s="3155"/>
      <c r="BI85" s="3155"/>
      <c r="BJ85" s="1186"/>
      <c r="BK85" s="141"/>
      <c r="BL85" s="145"/>
      <c r="BM85" s="145"/>
      <c r="BN85" s="145"/>
      <c r="BO85" s="145"/>
      <c r="BP85" s="145"/>
      <c r="BQ85" s="145"/>
      <c r="BR85" s="145"/>
      <c r="BS85" s="145"/>
      <c r="BT85" s="145"/>
      <c r="BU85" s="145"/>
      <c r="BV85" s="145"/>
      <c r="BW85" s="145"/>
    </row>
    <row r="86" spans="2:75" s="37" customFormat="1" ht="18">
      <c r="B86" s="1172"/>
      <c r="C86" s="1184"/>
      <c r="D86" s="3160" t="s">
        <v>103</v>
      </c>
      <c r="E86" s="3163">
        <f ca="1">(BG78/BA78)^(1/35)-1</f>
        <v>4.4193469469813618E-2</v>
      </c>
      <c r="F86" s="1184"/>
      <c r="G86" s="1184"/>
      <c r="H86" s="1188"/>
      <c r="I86" s="1188"/>
      <c r="J86" s="1188"/>
      <c r="K86" s="1188"/>
      <c r="L86" s="1188"/>
      <c r="M86" s="1188"/>
      <c r="N86" s="1188"/>
      <c r="O86" s="1188"/>
      <c r="P86" s="1188"/>
      <c r="Q86" s="1188"/>
      <c r="R86" s="1188"/>
      <c r="S86" s="1188"/>
      <c r="T86" s="1188"/>
      <c r="U86" s="1188"/>
      <c r="V86" s="1188"/>
      <c r="W86" s="1188"/>
      <c r="X86" s="1188"/>
      <c r="Y86" s="1188"/>
      <c r="Z86" s="1188"/>
      <c r="AA86" s="1188"/>
      <c r="AB86" s="1188"/>
      <c r="AC86" s="1188"/>
      <c r="AD86" s="1188"/>
      <c r="AE86" s="1188"/>
      <c r="AF86" s="1188"/>
      <c r="AG86" s="1188"/>
      <c r="AH86" s="1188"/>
      <c r="AI86" s="1188"/>
      <c r="AJ86" s="1188"/>
      <c r="AK86" s="1188"/>
      <c r="AL86" s="1188"/>
      <c r="AM86" s="1188"/>
      <c r="AN86" s="1188"/>
      <c r="AO86" s="1188"/>
      <c r="AP86" s="1188"/>
      <c r="AQ86" s="1188"/>
      <c r="AR86" s="1188"/>
      <c r="AS86" s="1188"/>
      <c r="AT86" s="1188"/>
      <c r="AU86" s="1188"/>
      <c r="AV86" s="1188"/>
      <c r="AW86" s="1188"/>
      <c r="AX86" s="166"/>
      <c r="AY86" s="3155"/>
      <c r="AZ86" s="3155"/>
      <c r="BB86" s="3163"/>
      <c r="BC86" s="3163"/>
      <c r="BE86" s="3155"/>
      <c r="BF86" s="3155"/>
      <c r="BG86" s="3155"/>
      <c r="BH86" s="3155"/>
      <c r="BI86" s="3155"/>
      <c r="BJ86" s="1186"/>
      <c r="BK86" s="141"/>
      <c r="BL86" s="145"/>
      <c r="BM86" s="145"/>
      <c r="BN86" s="145"/>
      <c r="BO86" s="145"/>
      <c r="BP86" s="145"/>
      <c r="BQ86" s="145"/>
      <c r="BR86" s="145"/>
      <c r="BS86" s="145"/>
      <c r="BT86" s="145"/>
      <c r="BU86" s="145"/>
      <c r="BV86" s="145"/>
      <c r="BW86" s="145"/>
    </row>
    <row r="87" spans="2:75" s="37" customFormat="1" ht="18">
      <c r="B87" s="1172"/>
      <c r="C87" s="1184"/>
      <c r="D87" s="3064" t="s">
        <v>102</v>
      </c>
      <c r="E87" s="3163">
        <f ca="1">(BH71/BA71)^(1/35)-1</f>
        <v>5.7145805858557663E-2</v>
      </c>
      <c r="F87" s="1184"/>
      <c r="G87" s="1184"/>
      <c r="H87" s="1188"/>
      <c r="I87" s="1188"/>
      <c r="J87" s="1188"/>
      <c r="K87" s="1188"/>
      <c r="L87" s="1188"/>
      <c r="M87" s="1188"/>
      <c r="N87" s="1188"/>
      <c r="O87" s="1188"/>
      <c r="P87" s="1188"/>
      <c r="Q87" s="1188"/>
      <c r="R87" s="1188"/>
      <c r="S87" s="1188"/>
      <c r="T87" s="1188"/>
      <c r="U87" s="1188"/>
      <c r="V87" s="1188"/>
      <c r="W87" s="1188"/>
      <c r="X87" s="1188"/>
      <c r="Y87" s="1188"/>
      <c r="Z87" s="1188"/>
      <c r="AA87" s="1188"/>
      <c r="AB87" s="1188"/>
      <c r="AC87" s="1188"/>
      <c r="AD87" s="1188"/>
      <c r="AE87" s="1188"/>
      <c r="AF87" s="1188"/>
      <c r="AG87" s="1188"/>
      <c r="AH87" s="1188"/>
      <c r="AI87" s="1188"/>
      <c r="AJ87" s="1188"/>
      <c r="AK87" s="1188"/>
      <c r="AL87" s="1188"/>
      <c r="AM87" s="1188"/>
      <c r="AN87" s="1188"/>
      <c r="AO87" s="1188"/>
      <c r="AP87" s="1188"/>
      <c r="AQ87" s="1188"/>
      <c r="AR87" s="1188"/>
      <c r="AS87" s="1188"/>
      <c r="AT87" s="1188"/>
      <c r="AU87" s="1188"/>
      <c r="AV87" s="1188"/>
      <c r="AW87" s="1188"/>
      <c r="AX87" s="166"/>
      <c r="AY87" s="3155"/>
      <c r="AZ87" s="3155"/>
      <c r="BB87" s="3155"/>
      <c r="BC87" s="3155"/>
      <c r="BD87" s="3155"/>
      <c r="BE87" s="3155"/>
      <c r="BF87" s="3155"/>
      <c r="BG87" s="3155"/>
      <c r="BH87" s="3155"/>
      <c r="BI87" s="3155"/>
      <c r="BJ87" s="1186"/>
      <c r="BK87" s="141"/>
      <c r="BL87" s="145"/>
      <c r="BM87" s="145"/>
      <c r="BN87" s="145"/>
      <c r="BO87" s="145"/>
      <c r="BP87" s="145"/>
      <c r="BQ87" s="145"/>
      <c r="BR87" s="145"/>
      <c r="BS87" s="145"/>
      <c r="BT87" s="145"/>
      <c r="BU87" s="145"/>
      <c r="BV87" s="145"/>
      <c r="BW87" s="145"/>
    </row>
    <row r="88" spans="2:75" s="37" customFormat="1" ht="18">
      <c r="B88" s="1172"/>
      <c r="C88" s="1184"/>
      <c r="D88" s="3064" t="s">
        <v>110</v>
      </c>
      <c r="E88" s="3163">
        <f ca="1">(BH74/BA74)^(1/35)-1</f>
        <v>4.8634954734167568E-2</v>
      </c>
      <c r="F88" s="1184"/>
      <c r="G88" s="1184"/>
      <c r="H88" s="1188"/>
      <c r="I88" s="1188"/>
      <c r="J88" s="1188"/>
      <c r="K88" s="1188"/>
      <c r="L88" s="1188"/>
      <c r="M88" s="1188"/>
      <c r="N88" s="1188"/>
      <c r="O88" s="1188"/>
      <c r="P88" s="1188"/>
      <c r="Q88" s="1188"/>
      <c r="R88" s="1188"/>
      <c r="S88" s="1188"/>
      <c r="T88" s="1188"/>
      <c r="U88" s="1188"/>
      <c r="V88" s="1188"/>
      <c r="W88" s="1188"/>
      <c r="X88" s="1188"/>
      <c r="Y88" s="1188"/>
      <c r="Z88" s="1188"/>
      <c r="AA88" s="1188"/>
      <c r="AB88" s="1188"/>
      <c r="AC88" s="1188"/>
      <c r="AD88" s="1188"/>
      <c r="AE88" s="1188"/>
      <c r="AF88" s="1188"/>
      <c r="AG88" s="1188"/>
      <c r="AH88" s="1188"/>
      <c r="AI88" s="1188"/>
      <c r="AJ88" s="1188"/>
      <c r="AK88" s="1188"/>
      <c r="AL88" s="1188"/>
      <c r="AM88" s="1188"/>
      <c r="AN88" s="1188"/>
      <c r="AO88" s="1188"/>
      <c r="AP88" s="1188"/>
      <c r="AQ88" s="1188"/>
      <c r="AR88" s="1188"/>
      <c r="AS88" s="1188"/>
      <c r="AT88" s="1188"/>
      <c r="AU88" s="1188"/>
      <c r="AV88" s="1188"/>
      <c r="AW88" s="1188"/>
      <c r="AX88" s="166"/>
      <c r="AY88" s="3155"/>
      <c r="AZ88" s="3155"/>
      <c r="BB88" s="3155"/>
      <c r="BC88" s="3155"/>
      <c r="BD88" s="3155"/>
      <c r="BE88" s="3155"/>
      <c r="BF88" s="3155"/>
      <c r="BG88" s="3155"/>
      <c r="BH88" s="3155"/>
      <c r="BI88" s="3155"/>
      <c r="BJ88" s="1186"/>
      <c r="BK88" s="141"/>
      <c r="BL88" s="145"/>
      <c r="BM88" s="145"/>
      <c r="BN88" s="145"/>
      <c r="BO88" s="145"/>
      <c r="BP88" s="145"/>
      <c r="BQ88" s="145"/>
      <c r="BR88" s="145"/>
      <c r="BS88" s="145"/>
      <c r="BT88" s="145"/>
      <c r="BU88" s="145"/>
      <c r="BV88" s="145"/>
      <c r="BW88" s="145"/>
    </row>
    <row r="89" spans="2:75" s="37" customFormat="1" ht="18">
      <c r="B89" s="1172"/>
      <c r="C89" s="1184"/>
      <c r="D89" s="3064" t="s">
        <v>14</v>
      </c>
      <c r="E89" s="3163">
        <f ca="1">(BH77/BA77)^(1/35)-1</f>
        <v>3.9338642625352138E-2</v>
      </c>
      <c r="F89" s="1184"/>
      <c r="G89" s="1184"/>
      <c r="H89" s="1188"/>
      <c r="I89" s="1188"/>
      <c r="J89" s="1188"/>
      <c r="K89" s="1188"/>
      <c r="L89" s="1188"/>
      <c r="M89" s="1188"/>
      <c r="N89" s="1188"/>
      <c r="O89" s="1188"/>
      <c r="P89" s="1188"/>
      <c r="Q89" s="1188"/>
      <c r="R89" s="1188"/>
      <c r="S89" s="1188"/>
      <c r="T89" s="1188"/>
      <c r="U89" s="1188"/>
      <c r="V89" s="1188"/>
      <c r="W89" s="1188"/>
      <c r="X89" s="1188"/>
      <c r="Y89" s="1188"/>
      <c r="Z89" s="1188"/>
      <c r="AA89" s="1188"/>
      <c r="AB89" s="1188"/>
      <c r="AC89" s="1188"/>
      <c r="AD89" s="1188"/>
      <c r="AE89" s="1188"/>
      <c r="AF89" s="1188"/>
      <c r="AG89" s="1188"/>
      <c r="AH89" s="1188"/>
      <c r="AI89" s="1188"/>
      <c r="AJ89" s="1188"/>
      <c r="AK89" s="1188"/>
      <c r="AL89" s="1188"/>
      <c r="AM89" s="1188"/>
      <c r="AN89" s="1188"/>
      <c r="AO89" s="1188"/>
      <c r="AP89" s="1188"/>
      <c r="AQ89" s="1188"/>
      <c r="AR89" s="1188"/>
      <c r="AS89" s="1188"/>
      <c r="AT89" s="1188"/>
      <c r="AU89" s="1188"/>
      <c r="AV89" s="1188"/>
      <c r="AW89" s="1188"/>
      <c r="AX89" s="166"/>
      <c r="AY89" s="3155"/>
      <c r="AZ89" s="3155"/>
      <c r="BB89" s="3155"/>
      <c r="BC89" s="3155"/>
      <c r="BD89" s="3155"/>
      <c r="BE89" s="3155"/>
      <c r="BF89" s="3155"/>
      <c r="BG89" s="3155"/>
      <c r="BH89" s="3155"/>
      <c r="BI89" s="3155"/>
      <c r="BJ89" s="1186"/>
      <c r="BK89" s="141"/>
      <c r="BL89" s="145"/>
      <c r="BM89" s="145"/>
      <c r="BN89" s="145"/>
      <c r="BO89" s="145"/>
      <c r="BP89" s="145"/>
      <c r="BQ89" s="145"/>
      <c r="BR89" s="145"/>
      <c r="BS89" s="145"/>
      <c r="BT89" s="145"/>
      <c r="BU89" s="145"/>
      <c r="BV89" s="145"/>
      <c r="BW89" s="145"/>
    </row>
    <row r="90" spans="2:75" s="37" customFormat="1" ht="18">
      <c r="B90" s="1172"/>
      <c r="C90" s="1184"/>
      <c r="D90" s="3064" t="s">
        <v>2448</v>
      </c>
      <c r="E90" s="3163">
        <f ca="1">((BH185+BH177)/(BA185+BA177))^(1/35)-1</f>
        <v>2.6654568940596812E-2</v>
      </c>
      <c r="F90" s="1184"/>
      <c r="G90" s="1184"/>
      <c r="H90" s="1188"/>
      <c r="I90" s="1188"/>
      <c r="J90" s="1188"/>
      <c r="K90" s="1188"/>
      <c r="L90" s="1188"/>
      <c r="M90" s="1188"/>
      <c r="N90" s="1188"/>
      <c r="O90" s="1188"/>
      <c r="P90" s="1188"/>
      <c r="Q90" s="1188"/>
      <c r="R90" s="1188"/>
      <c r="S90" s="1188"/>
      <c r="T90" s="1188"/>
      <c r="U90" s="1188"/>
      <c r="V90" s="1188"/>
      <c r="W90" s="1188"/>
      <c r="X90" s="1188"/>
      <c r="Y90" s="1188"/>
      <c r="Z90" s="1188"/>
      <c r="AA90" s="1188"/>
      <c r="AB90" s="1188"/>
      <c r="AC90" s="1188"/>
      <c r="AD90" s="1188"/>
      <c r="AE90" s="1188"/>
      <c r="AF90" s="1188"/>
      <c r="AG90" s="1188"/>
      <c r="AH90" s="1188"/>
      <c r="AI90" s="1188"/>
      <c r="AJ90" s="1188"/>
      <c r="AK90" s="1188"/>
      <c r="AL90" s="1188"/>
      <c r="AM90" s="1188"/>
      <c r="AN90" s="1188"/>
      <c r="AO90" s="1188"/>
      <c r="AP90" s="1188"/>
      <c r="AQ90" s="1188"/>
      <c r="AR90" s="1188"/>
      <c r="AS90" s="1188"/>
      <c r="AT90" s="1188"/>
      <c r="AU90" s="1188"/>
      <c r="AV90" s="1188"/>
      <c r="AW90" s="1188"/>
      <c r="AX90" s="166"/>
      <c r="AY90" s="3155"/>
      <c r="AZ90" s="3155"/>
      <c r="BB90" s="3155"/>
      <c r="BC90" s="3155"/>
      <c r="BD90" s="3155"/>
      <c r="BE90" s="3155"/>
      <c r="BF90" s="3155"/>
      <c r="BG90" s="3155"/>
      <c r="BH90" s="3155"/>
      <c r="BI90" s="3155"/>
      <c r="BJ90" s="1186"/>
      <c r="BK90" s="141"/>
      <c r="BL90" s="145"/>
      <c r="BM90" s="145"/>
      <c r="BN90" s="145"/>
      <c r="BO90" s="145"/>
      <c r="BP90" s="145"/>
      <c r="BQ90" s="145"/>
      <c r="BR90" s="145"/>
      <c r="BS90" s="145"/>
      <c r="BT90" s="145"/>
      <c r="BU90" s="145"/>
      <c r="BV90" s="145"/>
      <c r="BW90" s="145"/>
    </row>
    <row r="91" spans="2:75" s="37" customFormat="1" ht="18">
      <c r="B91" s="1172"/>
      <c r="C91" s="1184"/>
      <c r="D91" s="3064" t="s">
        <v>2444</v>
      </c>
      <c r="E91" s="3163">
        <f ca="1">(BH68/BA68)^(1/35)-1</f>
        <v>1.0043501962946344E-3</v>
      </c>
      <c r="F91" s="1184"/>
      <c r="G91" s="1184"/>
      <c r="H91" s="1188"/>
      <c r="I91" s="1188"/>
      <c r="J91" s="1188"/>
      <c r="K91" s="1188"/>
      <c r="L91" s="1188"/>
      <c r="M91" s="1188"/>
      <c r="N91" s="1188"/>
      <c r="O91" s="1188"/>
      <c r="P91" s="1188"/>
      <c r="Q91" s="1188"/>
      <c r="R91" s="1188"/>
      <c r="S91" s="1188"/>
      <c r="T91" s="1188"/>
      <c r="U91" s="1188"/>
      <c r="V91" s="1188"/>
      <c r="W91" s="1188"/>
      <c r="X91" s="1188"/>
      <c r="Y91" s="1188"/>
      <c r="Z91" s="1188"/>
      <c r="AA91" s="1188"/>
      <c r="AB91" s="1188"/>
      <c r="AC91" s="1188"/>
      <c r="AD91" s="1188"/>
      <c r="AE91" s="1188"/>
      <c r="AF91" s="1188"/>
      <c r="AG91" s="1188"/>
      <c r="AH91" s="1188"/>
      <c r="AI91" s="1188"/>
      <c r="AJ91" s="1188"/>
      <c r="AK91" s="1188"/>
      <c r="AL91" s="1188"/>
      <c r="AM91" s="1188"/>
      <c r="AN91" s="1188"/>
      <c r="AO91" s="1188"/>
      <c r="AP91" s="1188"/>
      <c r="AQ91" s="1188"/>
      <c r="AR91" s="1188"/>
      <c r="AS91" s="1188"/>
      <c r="AT91" s="1188"/>
      <c r="AU91" s="1188"/>
      <c r="AV91" s="1188"/>
      <c r="AW91" s="1188"/>
      <c r="AX91" s="166"/>
      <c r="AY91" s="3155"/>
      <c r="AZ91" s="3155"/>
      <c r="BB91" s="3155"/>
      <c r="BC91" s="3155"/>
      <c r="BD91" s="3155"/>
      <c r="BE91" s="3155"/>
      <c r="BF91" s="3155"/>
      <c r="BG91" s="3155"/>
      <c r="BH91" s="3155"/>
      <c r="BI91" s="3155"/>
      <c r="BJ91" s="1186"/>
      <c r="BK91" s="141"/>
      <c r="BL91" s="145"/>
      <c r="BM91" s="145"/>
      <c r="BN91" s="145"/>
      <c r="BO91" s="145"/>
      <c r="BP91" s="145"/>
      <c r="BQ91" s="145"/>
      <c r="BR91" s="145"/>
      <c r="BS91" s="145"/>
      <c r="BT91" s="145"/>
      <c r="BU91" s="145"/>
      <c r="BV91" s="145"/>
      <c r="BW91" s="145"/>
    </row>
    <row r="92" spans="2:75" s="37" customFormat="1" ht="18">
      <c r="B92" s="1172"/>
      <c r="C92" s="1184"/>
      <c r="D92" s="3064" t="s">
        <v>2445</v>
      </c>
      <c r="E92" s="3163">
        <f>(BI79/BA79)^(1/35)-1</f>
        <v>-2.0201045504111281E-3</v>
      </c>
      <c r="F92" s="1184"/>
      <c r="G92" s="1184"/>
      <c r="H92" s="1188"/>
      <c r="I92" s="1188"/>
      <c r="J92" s="1188"/>
      <c r="K92" s="1188"/>
      <c r="L92" s="1188"/>
      <c r="M92" s="1188"/>
      <c r="N92" s="1188"/>
      <c r="O92" s="1188"/>
      <c r="P92" s="1188"/>
      <c r="Q92" s="1188"/>
      <c r="R92" s="1188"/>
      <c r="S92" s="1188"/>
      <c r="T92" s="1188"/>
      <c r="U92" s="1188"/>
      <c r="V92" s="1188"/>
      <c r="W92" s="1188"/>
      <c r="X92" s="1188"/>
      <c r="Y92" s="1188"/>
      <c r="Z92" s="1188"/>
      <c r="AA92" s="1188"/>
      <c r="AB92" s="1188"/>
      <c r="AC92" s="1188"/>
      <c r="AD92" s="1188"/>
      <c r="AE92" s="1188"/>
      <c r="AF92" s="1188"/>
      <c r="AG92" s="1188"/>
      <c r="AH92" s="1188"/>
      <c r="AI92" s="1188"/>
      <c r="AJ92" s="1188"/>
      <c r="AK92" s="1188"/>
      <c r="AL92" s="1188"/>
      <c r="AM92" s="1188"/>
      <c r="AN92" s="1188"/>
      <c r="AO92" s="1188"/>
      <c r="AP92" s="1188"/>
      <c r="AQ92" s="1188"/>
      <c r="AR92" s="1188"/>
      <c r="AS92" s="1188"/>
      <c r="AT92" s="1188"/>
      <c r="AU92" s="1188"/>
      <c r="AV92" s="1188"/>
      <c r="AW92" s="1188"/>
      <c r="AX92" s="166"/>
      <c r="AY92" s="3155"/>
      <c r="AZ92" s="3155"/>
      <c r="BB92" s="3155"/>
      <c r="BC92" s="3155"/>
      <c r="BD92" s="3155"/>
      <c r="BE92" s="3155"/>
      <c r="BF92" s="3155"/>
      <c r="BG92" s="3155"/>
      <c r="BH92" s="3155"/>
      <c r="BI92" s="3155"/>
      <c r="BJ92" s="1186"/>
      <c r="BK92" s="141"/>
      <c r="BL92" s="145"/>
      <c r="BM92" s="145"/>
      <c r="BN92" s="145"/>
      <c r="BO92" s="145"/>
      <c r="BP92" s="145"/>
      <c r="BQ92" s="145"/>
      <c r="BR92" s="145"/>
      <c r="BS92" s="145"/>
      <c r="BT92" s="145"/>
      <c r="BU92" s="145"/>
      <c r="BV92" s="145"/>
      <c r="BW92" s="145"/>
    </row>
    <row r="93" spans="2:75" s="37" customFormat="1" ht="18">
      <c r="B93" s="1172"/>
      <c r="C93" s="1184"/>
      <c r="D93" s="3064" t="s">
        <v>2447</v>
      </c>
      <c r="E93" s="3163">
        <f>1.5%</f>
        <v>1.4999999999999999E-2</v>
      </c>
      <c r="F93" s="1184"/>
      <c r="G93" s="1184"/>
      <c r="H93" s="1188"/>
      <c r="I93" s="1188"/>
      <c r="J93" s="1188"/>
      <c r="K93" s="1188"/>
      <c r="L93" s="1188"/>
      <c r="M93" s="1188"/>
      <c r="N93" s="1188"/>
      <c r="O93" s="1188"/>
      <c r="P93" s="1188"/>
      <c r="Q93" s="1188"/>
      <c r="R93" s="1188"/>
      <c r="S93" s="1188"/>
      <c r="T93" s="1188"/>
      <c r="U93" s="1188"/>
      <c r="V93" s="1188"/>
      <c r="W93" s="1188"/>
      <c r="X93" s="1188"/>
      <c r="Y93" s="1188"/>
      <c r="Z93" s="1188"/>
      <c r="AA93" s="1188"/>
      <c r="AB93" s="1188"/>
      <c r="AC93" s="1188"/>
      <c r="AD93" s="1188"/>
      <c r="AE93" s="1188"/>
      <c r="AF93" s="1188"/>
      <c r="AG93" s="1188"/>
      <c r="AH93" s="1188"/>
      <c r="AI93" s="1188"/>
      <c r="AJ93" s="1188"/>
      <c r="AK93" s="1188"/>
      <c r="AL93" s="1188"/>
      <c r="AM93" s="1188"/>
      <c r="AN93" s="1188"/>
      <c r="AO93" s="1188"/>
      <c r="AP93" s="1188"/>
      <c r="AQ93" s="1188"/>
      <c r="AR93" s="1188"/>
      <c r="AS93" s="1188"/>
      <c r="AT93" s="1188"/>
      <c r="AU93" s="1188"/>
      <c r="AV93" s="1188"/>
      <c r="AW93" s="1188"/>
      <c r="AX93" s="166"/>
      <c r="AY93" s="3155"/>
      <c r="AZ93" s="3155"/>
      <c r="BB93" s="3155"/>
      <c r="BC93" s="3155"/>
      <c r="BD93" s="3155"/>
      <c r="BE93" s="3155"/>
      <c r="BF93" s="3155"/>
      <c r="BG93" s="3155"/>
      <c r="BH93" s="3155"/>
      <c r="BI93" s="3155"/>
      <c r="BJ93" s="1186"/>
      <c r="BK93" s="141"/>
      <c r="BL93" s="145"/>
      <c r="BM93" s="145"/>
      <c r="BN93" s="145"/>
      <c r="BO93" s="145"/>
      <c r="BP93" s="145"/>
      <c r="BQ93" s="145"/>
      <c r="BR93" s="145"/>
      <c r="BS93" s="145"/>
      <c r="BT93" s="145"/>
      <c r="BU93" s="145"/>
      <c r="BV93" s="145"/>
      <c r="BW93" s="145"/>
    </row>
    <row r="94" spans="2:75" s="37" customFormat="1" ht="18">
      <c r="B94" s="1172"/>
      <c r="C94" s="1184"/>
      <c r="D94" s="3064" t="s">
        <v>2446</v>
      </c>
      <c r="E94" s="3163">
        <v>5.2999999999999999E-2</v>
      </c>
      <c r="F94" s="1184"/>
      <c r="G94" s="1184"/>
      <c r="H94" s="1188"/>
      <c r="I94" s="1188"/>
      <c r="J94" s="1188"/>
      <c r="K94" s="1188"/>
      <c r="L94" s="1188"/>
      <c r="M94" s="1188"/>
      <c r="N94" s="1188"/>
      <c r="O94" s="1188"/>
      <c r="P94" s="1188"/>
      <c r="Q94" s="1188"/>
      <c r="R94" s="1188"/>
      <c r="S94" s="1188"/>
      <c r="T94" s="1188"/>
      <c r="U94" s="1188"/>
      <c r="V94" s="1188"/>
      <c r="W94" s="1188"/>
      <c r="X94" s="1188"/>
      <c r="Y94" s="1188"/>
      <c r="Z94" s="1188"/>
      <c r="AA94" s="1188"/>
      <c r="AB94" s="1188"/>
      <c r="AC94" s="1188"/>
      <c r="AD94" s="1188"/>
      <c r="AE94" s="1188"/>
      <c r="AF94" s="1188"/>
      <c r="AG94" s="1188"/>
      <c r="AH94" s="1188"/>
      <c r="AI94" s="1188"/>
      <c r="AJ94" s="1188"/>
      <c r="AK94" s="1188"/>
      <c r="AL94" s="1188"/>
      <c r="AM94" s="1188"/>
      <c r="AN94" s="1188"/>
      <c r="AO94" s="1188"/>
      <c r="AP94" s="1188"/>
      <c r="AQ94" s="1188"/>
      <c r="AR94" s="1188"/>
      <c r="AS94" s="1188"/>
      <c r="AT94" s="1188"/>
      <c r="AU94" s="1188"/>
      <c r="AV94" s="1188"/>
      <c r="AW94" s="1188"/>
      <c r="AX94" s="166"/>
      <c r="AY94" s="3155"/>
      <c r="AZ94" s="3155"/>
      <c r="BB94" s="3155"/>
      <c r="BC94" s="3155"/>
      <c r="BD94" s="3155"/>
      <c r="BE94" s="3155"/>
      <c r="BF94" s="3155"/>
      <c r="BG94" s="3155"/>
      <c r="BH94" s="3155"/>
      <c r="BI94" s="3155"/>
      <c r="BJ94" s="1186"/>
      <c r="BK94" s="141"/>
      <c r="BL94" s="145"/>
      <c r="BM94" s="145"/>
      <c r="BN94" s="145"/>
      <c r="BO94" s="145"/>
      <c r="BP94" s="145"/>
      <c r="BQ94" s="145"/>
      <c r="BR94" s="145"/>
      <c r="BS94" s="145"/>
      <c r="BT94" s="145"/>
      <c r="BU94" s="145"/>
      <c r="BV94" s="145"/>
      <c r="BW94" s="145"/>
    </row>
    <row r="95" spans="2:75" s="37" customFormat="1" ht="18">
      <c r="B95" s="1172"/>
      <c r="C95" s="1184"/>
      <c r="D95" s="3170" t="s">
        <v>5</v>
      </c>
      <c r="E95" s="3171">
        <f ca="1">(BH188/BB188)^(1/35)-1</f>
        <v>4.5186595549793873E-2</v>
      </c>
      <c r="F95" s="1184"/>
      <c r="G95" s="1184"/>
      <c r="H95" s="1188"/>
      <c r="I95" s="1188"/>
      <c r="J95" s="1188"/>
      <c r="K95" s="1188"/>
      <c r="L95" s="1188"/>
      <c r="M95" s="1188"/>
      <c r="N95" s="1188"/>
      <c r="O95" s="1188"/>
      <c r="P95" s="1188"/>
      <c r="Q95" s="1188"/>
      <c r="R95" s="1188"/>
      <c r="S95" s="1188"/>
      <c r="T95" s="1188"/>
      <c r="U95" s="1188"/>
      <c r="V95" s="1188"/>
      <c r="W95" s="1188"/>
      <c r="X95" s="1188"/>
      <c r="Y95" s="1188"/>
      <c r="Z95" s="1188"/>
      <c r="AA95" s="1188"/>
      <c r="AB95" s="1188"/>
      <c r="AC95" s="1188"/>
      <c r="AD95" s="1188"/>
      <c r="AE95" s="1188"/>
      <c r="AF95" s="1188"/>
      <c r="AG95" s="1188"/>
      <c r="AH95" s="1188"/>
      <c r="AI95" s="1188"/>
      <c r="AJ95" s="1188"/>
      <c r="AK95" s="1188"/>
      <c r="AL95" s="1188"/>
      <c r="AM95" s="1188"/>
      <c r="AN95" s="1188"/>
      <c r="AO95" s="1188"/>
      <c r="AP95" s="1188"/>
      <c r="AQ95" s="1188"/>
      <c r="AR95" s="1188"/>
      <c r="AS95" s="1188"/>
      <c r="AT95" s="1188"/>
      <c r="AU95" s="1188"/>
      <c r="AV95" s="1188"/>
      <c r="AW95" s="1188"/>
      <c r="AX95" s="166"/>
      <c r="AY95" s="3155"/>
      <c r="AZ95" s="3155"/>
      <c r="BB95" s="3155"/>
      <c r="BC95" s="3155"/>
      <c r="BD95" s="3155"/>
      <c r="BE95" s="3155"/>
      <c r="BF95" s="3155"/>
      <c r="BG95" s="3155"/>
      <c r="BH95" s="3155"/>
      <c r="BI95" s="3155"/>
      <c r="BJ95" s="1186"/>
      <c r="BK95" s="141"/>
      <c r="BL95" s="145"/>
      <c r="BM95" s="145"/>
      <c r="BN95" s="145"/>
      <c r="BO95" s="145"/>
      <c r="BP95" s="145"/>
      <c r="BQ95" s="145"/>
      <c r="BR95" s="145"/>
      <c r="BS95" s="145"/>
      <c r="BT95" s="145"/>
      <c r="BU95" s="145"/>
      <c r="BV95" s="145"/>
      <c r="BW95" s="145"/>
    </row>
    <row r="96" spans="2:75" s="37" customFormat="1" ht="18">
      <c r="B96" s="1172"/>
      <c r="C96" s="1184"/>
      <c r="D96" s="178" t="s">
        <v>2438</v>
      </c>
      <c r="E96" s="166"/>
      <c r="F96" s="1184"/>
      <c r="G96" s="1184"/>
      <c r="H96" s="1188"/>
      <c r="I96" s="1188"/>
      <c r="J96" s="1188"/>
      <c r="K96" s="1188"/>
      <c r="L96" s="1188"/>
      <c r="M96" s="1188"/>
      <c r="N96" s="1188"/>
      <c r="O96" s="1188"/>
      <c r="P96" s="1188"/>
      <c r="Q96" s="1188"/>
      <c r="R96" s="1188"/>
      <c r="S96" s="1188"/>
      <c r="T96" s="1188"/>
      <c r="U96" s="1188"/>
      <c r="V96" s="1188"/>
      <c r="W96" s="1188"/>
      <c r="X96" s="1188"/>
      <c r="Y96" s="1188"/>
      <c r="Z96" s="1188"/>
      <c r="AA96" s="1188"/>
      <c r="AB96" s="1188"/>
      <c r="AC96" s="1188"/>
      <c r="AD96" s="1188"/>
      <c r="AE96" s="1188"/>
      <c r="AF96" s="1188"/>
      <c r="AG96" s="1188"/>
      <c r="AH96" s="1188"/>
      <c r="AI96" s="1188"/>
      <c r="AJ96" s="1188"/>
      <c r="AK96" s="1188"/>
      <c r="AL96" s="1188"/>
      <c r="AM96" s="1188"/>
      <c r="AN96" s="1188"/>
      <c r="AO96" s="1188"/>
      <c r="AP96" s="1188"/>
      <c r="AQ96" s="1188"/>
      <c r="AR96" s="1188"/>
      <c r="AS96" s="1188"/>
      <c r="AT96" s="1188"/>
      <c r="AU96" s="1188"/>
      <c r="AV96" s="1188"/>
      <c r="AW96" s="1188"/>
      <c r="AX96" s="166"/>
      <c r="AY96" s="3155"/>
      <c r="AZ96" s="3155"/>
      <c r="BA96" s="3162">
        <v>2012</v>
      </c>
      <c r="BB96" s="3162">
        <v>2017</v>
      </c>
      <c r="BC96" s="3162">
        <v>2022</v>
      </c>
      <c r="BD96" s="3162">
        <v>2027</v>
      </c>
      <c r="BE96" s="3162">
        <v>2032</v>
      </c>
      <c r="BF96" s="3162">
        <v>2037</v>
      </c>
      <c r="BG96" s="3162">
        <v>2042</v>
      </c>
      <c r="BH96" s="3162">
        <v>2047</v>
      </c>
      <c r="BI96" s="3162"/>
      <c r="BJ96" s="1186"/>
      <c r="BK96" s="141"/>
      <c r="BL96" s="145"/>
      <c r="BM96" s="145"/>
      <c r="BN96" s="145"/>
      <c r="BO96" s="145"/>
      <c r="BP96" s="145"/>
      <c r="BQ96" s="145"/>
      <c r="BR96" s="145"/>
      <c r="BS96" s="145"/>
      <c r="BT96" s="145"/>
      <c r="BU96" s="145"/>
      <c r="BV96" s="145"/>
      <c r="BW96" s="145"/>
    </row>
    <row r="97" spans="2:75" s="37" customFormat="1" ht="18">
      <c r="B97" s="1172"/>
      <c r="C97" s="1184"/>
      <c r="D97" s="3064" t="s">
        <v>102</v>
      </c>
      <c r="E97" s="166"/>
      <c r="F97" s="1184"/>
      <c r="G97" s="1184"/>
      <c r="H97" s="1188"/>
      <c r="I97" s="1188"/>
      <c r="J97" s="1188"/>
      <c r="K97" s="1188"/>
      <c r="L97" s="1188"/>
      <c r="M97" s="1188"/>
      <c r="N97" s="1188"/>
      <c r="O97" s="1188"/>
      <c r="P97" s="1188"/>
      <c r="Q97" s="1188"/>
      <c r="R97" s="1188"/>
      <c r="S97" s="1188"/>
      <c r="T97" s="1188"/>
      <c r="U97" s="1188"/>
      <c r="V97" s="1188"/>
      <c r="W97" s="1188"/>
      <c r="X97" s="1188"/>
      <c r="Y97" s="1188"/>
      <c r="Z97" s="1188"/>
      <c r="AA97" s="1188"/>
      <c r="AB97" s="1188"/>
      <c r="AC97" s="1188"/>
      <c r="AD97" s="1188"/>
      <c r="AE97" s="1188"/>
      <c r="AF97" s="1188"/>
      <c r="AG97" s="1188"/>
      <c r="AH97" s="1188"/>
      <c r="AI97" s="1188"/>
      <c r="AJ97" s="1188"/>
      <c r="AK97" s="1188"/>
      <c r="AL97" s="1188"/>
      <c r="AM97" s="1188"/>
      <c r="AN97" s="1188"/>
      <c r="AO97" s="1188"/>
      <c r="AP97" s="1188"/>
      <c r="AQ97" s="1188"/>
      <c r="AR97" s="1188"/>
      <c r="AS97" s="1188"/>
      <c r="AT97" s="1188"/>
      <c r="AU97" s="1188"/>
      <c r="AV97" s="1188"/>
      <c r="AW97" s="1188"/>
      <c r="AX97" s="166"/>
      <c r="AY97" s="3155"/>
      <c r="AZ97" s="3155"/>
      <c r="BA97" s="3161">
        <f t="shared" ref="BA97:BH97" ca="1" si="23">BA71/BA78</f>
        <v>0.46336328178283648</v>
      </c>
      <c r="BB97" s="3161">
        <f t="shared" ca="1" si="23"/>
        <v>0.47589000624098143</v>
      </c>
      <c r="BC97" s="3161">
        <f t="shared" ca="1" si="23"/>
        <v>0.52355541066825562</v>
      </c>
      <c r="BD97" s="3161">
        <f t="shared" ca="1" si="23"/>
        <v>0.55981923810228806</v>
      </c>
      <c r="BE97" s="3161">
        <f t="shared" ca="1" si="23"/>
        <v>0.59117294658746877</v>
      </c>
      <c r="BF97" s="3161">
        <f t="shared" ca="1" si="23"/>
        <v>0.60333802081571886</v>
      </c>
      <c r="BG97" s="3161">
        <f t="shared" ca="1" si="23"/>
        <v>0.61483210958276369</v>
      </c>
      <c r="BH97" s="3161">
        <f t="shared" ca="1" si="23"/>
        <v>0.61629003433096963</v>
      </c>
      <c r="BI97" s="3161"/>
      <c r="BJ97" s="1186"/>
      <c r="BK97" s="141"/>
      <c r="BL97" s="145"/>
      <c r="BM97" s="145"/>
      <c r="BN97" s="145"/>
      <c r="BO97" s="145"/>
      <c r="BP97" s="145"/>
      <c r="BQ97" s="145"/>
      <c r="BR97" s="145"/>
      <c r="BS97" s="145"/>
      <c r="BT97" s="145"/>
      <c r="BU97" s="145"/>
      <c r="BV97" s="145"/>
      <c r="BW97" s="145"/>
    </row>
    <row r="98" spans="2:75" s="37" customFormat="1" ht="18">
      <c r="B98" s="1172"/>
      <c r="C98" s="1184"/>
      <c r="D98" s="3064" t="s">
        <v>110</v>
      </c>
      <c r="E98" s="166"/>
      <c r="F98" s="1184"/>
      <c r="G98" s="1184"/>
      <c r="H98" s="1188"/>
      <c r="I98" s="1188"/>
      <c r="J98" s="1188"/>
      <c r="K98" s="1188"/>
      <c r="L98" s="1188"/>
      <c r="M98" s="1188"/>
      <c r="N98" s="1188"/>
      <c r="O98" s="1188"/>
      <c r="P98" s="1188"/>
      <c r="Q98" s="1188"/>
      <c r="R98" s="1188"/>
      <c r="S98" s="1188"/>
      <c r="T98" s="1188"/>
      <c r="U98" s="1188"/>
      <c r="V98" s="1188"/>
      <c r="W98" s="1188"/>
      <c r="X98" s="1188"/>
      <c r="Y98" s="1188"/>
      <c r="Z98" s="1188"/>
      <c r="AA98" s="1188"/>
      <c r="AB98" s="1188"/>
      <c r="AC98" s="1188"/>
      <c r="AD98" s="1188"/>
      <c r="AE98" s="1188"/>
      <c r="AF98" s="1188"/>
      <c r="AG98" s="1188"/>
      <c r="AH98" s="1188"/>
      <c r="AI98" s="1188"/>
      <c r="AJ98" s="1188"/>
      <c r="AK98" s="1188"/>
      <c r="AL98" s="1188"/>
      <c r="AM98" s="1188"/>
      <c r="AN98" s="1188"/>
      <c r="AO98" s="1188"/>
      <c r="AP98" s="1188"/>
      <c r="AQ98" s="1188"/>
      <c r="AR98" s="1188"/>
      <c r="AS98" s="1188"/>
      <c r="AT98" s="1188"/>
      <c r="AU98" s="1188"/>
      <c r="AV98" s="1188"/>
      <c r="AW98" s="1188"/>
      <c r="AX98" s="166"/>
      <c r="AY98" s="3155"/>
      <c r="AZ98" s="3155"/>
      <c r="BA98" s="3161">
        <f t="shared" ref="BA98:BH98" ca="1" si="24">BA74/BA78</f>
        <v>0.27324273091743917</v>
      </c>
      <c r="BB98" s="3161">
        <f t="shared" ca="1" si="24"/>
        <v>0.27336323273292673</v>
      </c>
      <c r="BC98" s="3161">
        <f t="shared" ca="1" si="24"/>
        <v>0.27239410781356832</v>
      </c>
      <c r="BD98" s="3161">
        <f t="shared" ca="1" si="24"/>
        <v>0.27024225714196132</v>
      </c>
      <c r="BE98" s="3161">
        <f t="shared" ca="1" si="24"/>
        <v>0.26464134704404024</v>
      </c>
      <c r="BF98" s="3161">
        <f t="shared" ca="1" si="24"/>
        <v>0.26768371298810673</v>
      </c>
      <c r="BG98" s="3161">
        <f t="shared" ca="1" si="24"/>
        <v>0.26765241843370957</v>
      </c>
      <c r="BH98" s="3161">
        <f t="shared" ca="1" si="24"/>
        <v>0.27386877204631777</v>
      </c>
      <c r="BI98" s="3161"/>
      <c r="BJ98" s="1186"/>
      <c r="BK98" s="141"/>
      <c r="BL98" s="145"/>
      <c r="BM98" s="145"/>
      <c r="BN98" s="145"/>
      <c r="BO98" s="145"/>
      <c r="BP98" s="145"/>
      <c r="BQ98" s="145"/>
      <c r="BR98" s="145"/>
      <c r="BS98" s="145"/>
      <c r="BT98" s="145"/>
      <c r="BU98" s="145"/>
      <c r="BV98" s="145"/>
      <c r="BW98" s="145"/>
    </row>
    <row r="99" spans="2:75" s="37" customFormat="1" ht="18">
      <c r="B99" s="1172"/>
      <c r="C99" s="1184"/>
      <c r="D99" s="3064" t="s">
        <v>2439</v>
      </c>
      <c r="E99" s="166"/>
      <c r="F99" s="1184"/>
      <c r="G99" s="1184"/>
      <c r="H99" s="1188"/>
      <c r="I99" s="1188"/>
      <c r="J99" s="1188"/>
      <c r="K99" s="1188"/>
      <c r="L99" s="1188"/>
      <c r="M99" s="1188"/>
      <c r="N99" s="1188"/>
      <c r="O99" s="1188"/>
      <c r="P99" s="1188"/>
      <c r="Q99" s="1188"/>
      <c r="R99" s="1188"/>
      <c r="S99" s="1188"/>
      <c r="T99" s="1188"/>
      <c r="U99" s="1188"/>
      <c r="V99" s="1188"/>
      <c r="W99" s="1188"/>
      <c r="X99" s="1188"/>
      <c r="Y99" s="1188"/>
      <c r="Z99" s="1188"/>
      <c r="AA99" s="1188"/>
      <c r="AB99" s="1188"/>
      <c r="AC99" s="1188"/>
      <c r="AD99" s="1188"/>
      <c r="AE99" s="1188"/>
      <c r="AF99" s="1188"/>
      <c r="AG99" s="1188"/>
      <c r="AH99" s="1188"/>
      <c r="AI99" s="1188"/>
      <c r="AJ99" s="1188"/>
      <c r="AK99" s="1188"/>
      <c r="AL99" s="1188"/>
      <c r="AM99" s="1188"/>
      <c r="AN99" s="1188"/>
      <c r="AO99" s="1188"/>
      <c r="AP99" s="1188"/>
      <c r="AQ99" s="1188"/>
      <c r="AR99" s="1188"/>
      <c r="AS99" s="1188"/>
      <c r="AT99" s="1188"/>
      <c r="AU99" s="1188"/>
      <c r="AV99" s="1188"/>
      <c r="AW99" s="1188"/>
      <c r="AX99" s="166"/>
      <c r="AY99" s="3155"/>
      <c r="AZ99" s="3155"/>
      <c r="BA99" s="3161">
        <f t="shared" ref="BA99:BH99" ca="1" si="25">BA77/BA78</f>
        <v>8.6998719235746022E-2</v>
      </c>
      <c r="BB99" s="3161">
        <f t="shared" ca="1" si="25"/>
        <v>0.1010914083682298</v>
      </c>
      <c r="BC99" s="3161">
        <f t="shared" ca="1" si="25"/>
        <v>8.888536431206101E-2</v>
      </c>
      <c r="BD99" s="3161">
        <f t="shared" ca="1" si="25"/>
        <v>7.8322207034103586E-2</v>
      </c>
      <c r="BE99" s="3161">
        <f t="shared" ca="1" si="25"/>
        <v>7.0368712225156504E-2</v>
      </c>
      <c r="BF99" s="3161">
        <f t="shared" ca="1" si="25"/>
        <v>6.6748871266358867E-2</v>
      </c>
      <c r="BG99" s="3161">
        <f t="shared" ca="1" si="25"/>
        <v>6.4464921620314405E-2</v>
      </c>
      <c r="BH99" s="3161">
        <f t="shared" ca="1" si="25"/>
        <v>6.384881076911908E-2</v>
      </c>
      <c r="BI99" s="3161"/>
      <c r="BJ99" s="1186"/>
      <c r="BK99" s="141"/>
      <c r="BL99" s="145"/>
      <c r="BM99" s="145"/>
      <c r="BN99" s="145"/>
      <c r="BO99" s="145"/>
      <c r="BP99" s="145"/>
      <c r="BQ99" s="145"/>
      <c r="BR99" s="145"/>
      <c r="BS99" s="145"/>
      <c r="BT99" s="145"/>
      <c r="BU99" s="145"/>
      <c r="BV99" s="145"/>
      <c r="BW99" s="145"/>
    </row>
    <row r="100" spans="2:75" s="37" customFormat="1" ht="18">
      <c r="B100" s="1172"/>
      <c r="C100" s="1184"/>
      <c r="D100" s="3064" t="s">
        <v>2443</v>
      </c>
      <c r="E100" s="166"/>
      <c r="F100" s="1184"/>
      <c r="G100" s="1184"/>
      <c r="H100" s="1188"/>
      <c r="I100" s="1188"/>
      <c r="J100" s="1188"/>
      <c r="K100" s="1188"/>
      <c r="L100" s="1188"/>
      <c r="M100" s="1188"/>
      <c r="N100" s="1188"/>
      <c r="O100" s="1188"/>
      <c r="P100" s="1188"/>
      <c r="Q100" s="1188"/>
      <c r="R100" s="1188"/>
      <c r="S100" s="1188"/>
      <c r="T100" s="1188"/>
      <c r="U100" s="1188"/>
      <c r="V100" s="1188"/>
      <c r="W100" s="1188"/>
      <c r="X100" s="1188"/>
      <c r="Y100" s="1188"/>
      <c r="Z100" s="1188"/>
      <c r="AA100" s="1188"/>
      <c r="AB100" s="1188"/>
      <c r="AC100" s="1188"/>
      <c r="AD100" s="1188"/>
      <c r="AE100" s="1188"/>
      <c r="AF100" s="1188"/>
      <c r="AG100" s="1188"/>
      <c r="AH100" s="1188"/>
      <c r="AI100" s="1188"/>
      <c r="AJ100" s="1188"/>
      <c r="AK100" s="1188"/>
      <c r="AL100" s="1188"/>
      <c r="AM100" s="1188"/>
      <c r="AN100" s="1188"/>
      <c r="AO100" s="1188"/>
      <c r="AP100" s="1188"/>
      <c r="AQ100" s="1188"/>
      <c r="AR100" s="1188"/>
      <c r="AS100" s="1188"/>
      <c r="AT100" s="1188"/>
      <c r="AU100" s="1188"/>
      <c r="AV100" s="1188"/>
      <c r="AW100" s="1188"/>
      <c r="AX100" s="166"/>
      <c r="AY100" s="3155"/>
      <c r="AZ100" s="3155"/>
      <c r="BA100" s="3161">
        <f t="shared" ref="BA100:BH100" ca="1" si="26">BA62/BA78</f>
        <v>3.8620826283690478E-2</v>
      </c>
      <c r="BB100" s="3161">
        <f t="shared" ca="1" si="26"/>
        <v>4.6287531526294563E-2</v>
      </c>
      <c r="BC100" s="3161">
        <f t="shared" ca="1" si="26"/>
        <v>3.7512349142637937E-2</v>
      </c>
      <c r="BD100" s="3161">
        <f t="shared" ca="1" si="26"/>
        <v>3.1577116099685595E-2</v>
      </c>
      <c r="BE100" s="3161">
        <f t="shared" ca="1" si="26"/>
        <v>2.6905063875841431E-2</v>
      </c>
      <c r="BF100" s="3161">
        <f t="shared" ca="1" si="26"/>
        <v>2.3350817776538177E-2</v>
      </c>
      <c r="BG100" s="3161">
        <f t="shared" ca="1" si="26"/>
        <v>2.0215483797401138E-2</v>
      </c>
      <c r="BH100" s="3161">
        <f t="shared" ca="1" si="26"/>
        <v>1.7470988786164925E-2</v>
      </c>
      <c r="BI100" s="3161"/>
      <c r="BJ100" s="1186"/>
      <c r="BK100" s="141"/>
      <c r="BL100" s="145"/>
      <c r="BM100" s="145"/>
      <c r="BN100" s="145"/>
      <c r="BO100" s="145"/>
      <c r="BP100" s="145"/>
      <c r="BQ100" s="145"/>
      <c r="BR100" s="145"/>
      <c r="BS100" s="145"/>
      <c r="BT100" s="145"/>
      <c r="BU100" s="145"/>
      <c r="BV100" s="145"/>
      <c r="BW100" s="145"/>
    </row>
    <row r="101" spans="2:75" s="37" customFormat="1" ht="18">
      <c r="B101" s="1172"/>
      <c r="C101" s="1184"/>
      <c r="D101" s="3064" t="s">
        <v>2037</v>
      </c>
      <c r="E101" s="166"/>
      <c r="F101" s="1184"/>
      <c r="G101" s="1184"/>
      <c r="H101" s="1188"/>
      <c r="I101" s="1188"/>
      <c r="J101" s="1188"/>
      <c r="K101" s="1188"/>
      <c r="L101" s="1188"/>
      <c r="M101" s="1188"/>
      <c r="N101" s="1188"/>
      <c r="O101" s="1188"/>
      <c r="P101" s="1188"/>
      <c r="Q101" s="1188"/>
      <c r="R101" s="1188"/>
      <c r="S101" s="1188"/>
      <c r="T101" s="1188"/>
      <c r="U101" s="1188"/>
      <c r="V101" s="1188"/>
      <c r="W101" s="1188"/>
      <c r="X101" s="1188"/>
      <c r="Y101" s="1188"/>
      <c r="Z101" s="1188"/>
      <c r="AA101" s="1188"/>
      <c r="AB101" s="1188"/>
      <c r="AC101" s="1188"/>
      <c r="AD101" s="1188"/>
      <c r="AE101" s="1188"/>
      <c r="AF101" s="1188"/>
      <c r="AG101" s="1188"/>
      <c r="AH101" s="1188"/>
      <c r="AI101" s="1188"/>
      <c r="AJ101" s="1188"/>
      <c r="AK101" s="1188"/>
      <c r="AL101" s="1188"/>
      <c r="AM101" s="1188"/>
      <c r="AN101" s="1188"/>
      <c r="AO101" s="1188"/>
      <c r="AP101" s="1188"/>
      <c r="AQ101" s="1188"/>
      <c r="AR101" s="1188"/>
      <c r="AS101" s="1188"/>
      <c r="AT101" s="1188"/>
      <c r="AU101" s="1188"/>
      <c r="AV101" s="1188"/>
      <c r="AW101" s="1188"/>
      <c r="AX101" s="166"/>
      <c r="AY101" s="3155"/>
      <c r="AZ101" s="3155"/>
      <c r="BA101" s="3161">
        <f t="shared" ref="BA101:BH101" ca="1" si="27">BA68/BA78</f>
        <v>0.13720207901963813</v>
      </c>
      <c r="BB101" s="3161">
        <f t="shared" ca="1" si="27"/>
        <v>0.10188488090133842</v>
      </c>
      <c r="BC101" s="3161">
        <f t="shared" ca="1" si="27"/>
        <v>7.6000023011860679E-2</v>
      </c>
      <c r="BD101" s="3161">
        <f t="shared" ca="1" si="27"/>
        <v>5.8180598933037474E-2</v>
      </c>
      <c r="BE101" s="3161">
        <f t="shared" ca="1" si="27"/>
        <v>4.5065650135411368E-2</v>
      </c>
      <c r="BF101" s="3161">
        <f t="shared" ca="1" si="27"/>
        <v>3.7032476875492257E-2</v>
      </c>
      <c r="BG101" s="3161">
        <f t="shared" ca="1" si="27"/>
        <v>3.1102699088850834E-2</v>
      </c>
      <c r="BH101" s="3161">
        <f t="shared" ca="1" si="27"/>
        <v>2.7024757306803576E-2</v>
      </c>
      <c r="BI101" s="3161"/>
      <c r="BJ101" s="1186"/>
      <c r="BK101" s="141"/>
      <c r="BL101" s="145"/>
      <c r="BM101" s="145"/>
      <c r="BN101" s="145"/>
      <c r="BO101" s="145"/>
      <c r="BP101" s="145"/>
      <c r="BQ101" s="145"/>
      <c r="BR101" s="145"/>
      <c r="BS101" s="145"/>
      <c r="BT101" s="145"/>
      <c r="BU101" s="145"/>
      <c r="BV101" s="145"/>
      <c r="BW101" s="145"/>
    </row>
    <row r="102" spans="2:75" s="37" customFormat="1" ht="18">
      <c r="B102" s="1172"/>
      <c r="C102" s="1184"/>
      <c r="D102" s="3064"/>
      <c r="E102" s="166"/>
      <c r="F102" s="1184"/>
      <c r="G102" s="1184"/>
      <c r="H102" s="1188"/>
      <c r="I102" s="1188"/>
      <c r="J102" s="1188"/>
      <c r="K102" s="1188"/>
      <c r="L102" s="1188"/>
      <c r="M102" s="1188"/>
      <c r="N102" s="1188"/>
      <c r="O102" s="1188"/>
      <c r="P102" s="1188"/>
      <c r="Q102" s="1188"/>
      <c r="R102" s="1188"/>
      <c r="S102" s="1188"/>
      <c r="T102" s="1188"/>
      <c r="U102" s="1188"/>
      <c r="V102" s="1188"/>
      <c r="W102" s="1188"/>
      <c r="X102" s="1188"/>
      <c r="Y102" s="1188"/>
      <c r="Z102" s="1188"/>
      <c r="AA102" s="1188"/>
      <c r="AB102" s="1188"/>
      <c r="AC102" s="1188"/>
      <c r="AD102" s="1188"/>
      <c r="AE102" s="1188"/>
      <c r="AF102" s="1188"/>
      <c r="AG102" s="1188"/>
      <c r="AH102" s="1188"/>
      <c r="AI102" s="1188"/>
      <c r="AJ102" s="1188"/>
      <c r="AK102" s="1188"/>
      <c r="AL102" s="1188"/>
      <c r="AM102" s="1188"/>
      <c r="AN102" s="1188"/>
      <c r="AO102" s="1188"/>
      <c r="AP102" s="1188"/>
      <c r="AQ102" s="1188"/>
      <c r="AR102" s="1188"/>
      <c r="AS102" s="1188"/>
      <c r="AT102" s="1188"/>
      <c r="AU102" s="1188"/>
      <c r="AV102" s="1188"/>
      <c r="AW102" s="1188"/>
      <c r="AX102" s="166"/>
      <c r="AY102" s="3155"/>
      <c r="AZ102" s="3155"/>
      <c r="BA102" s="3155"/>
      <c r="BB102" s="3155"/>
      <c r="BC102" s="3155"/>
      <c r="BD102" s="3155"/>
      <c r="BE102" s="3155"/>
      <c r="BF102" s="3155"/>
      <c r="BG102" s="3155"/>
      <c r="BH102" s="3155"/>
      <c r="BI102" s="3155"/>
      <c r="BJ102" s="1186"/>
      <c r="BK102" s="141"/>
      <c r="BL102" s="145"/>
      <c r="BM102" s="145"/>
      <c r="BN102" s="145"/>
      <c r="BO102" s="145"/>
      <c r="BP102" s="145"/>
      <c r="BQ102" s="145"/>
      <c r="BR102" s="145"/>
      <c r="BS102" s="145"/>
      <c r="BT102" s="145"/>
      <c r="BU102" s="145"/>
      <c r="BV102" s="145"/>
      <c r="BW102" s="145"/>
    </row>
    <row r="103" spans="2:75" s="37" customFormat="1" ht="18">
      <c r="B103" s="1172"/>
      <c r="C103" s="1184"/>
      <c r="D103" s="178">
        <f>39*10*1000000*unit.lpe</f>
        <v>3.5912500000000001</v>
      </c>
      <c r="E103" s="166">
        <v>2012</v>
      </c>
      <c r="F103" s="1184">
        <v>2047</v>
      </c>
      <c r="G103" s="1184"/>
      <c r="H103" s="1188"/>
      <c r="I103" s="1188"/>
      <c r="J103" s="1188"/>
      <c r="K103" s="1188"/>
      <c r="L103" s="1188"/>
      <c r="M103" s="1188"/>
      <c r="N103" s="1188"/>
      <c r="O103" s="1188"/>
      <c r="P103" s="1188"/>
      <c r="Q103" s="1188"/>
      <c r="R103" s="1188"/>
      <c r="S103" s="1188"/>
      <c r="T103" s="1188"/>
      <c r="U103" s="1188"/>
      <c r="V103" s="1188"/>
      <c r="W103" s="1188"/>
      <c r="X103" s="1188"/>
      <c r="Y103" s="1188"/>
      <c r="Z103" s="1188"/>
      <c r="AA103" s="1188"/>
      <c r="AB103" s="1188"/>
      <c r="AC103" s="1188"/>
      <c r="AD103" s="1188"/>
      <c r="AE103" s="1188"/>
      <c r="AF103" s="1188"/>
      <c r="AG103" s="1188"/>
      <c r="AH103" s="1188"/>
      <c r="AI103" s="1188"/>
      <c r="AJ103" s="1188"/>
      <c r="AK103" s="1188"/>
      <c r="AL103" s="1188"/>
      <c r="AM103" s="1188"/>
      <c r="AN103" s="1188"/>
      <c r="AO103" s="1188"/>
      <c r="AP103" s="1188"/>
      <c r="AQ103" s="1188"/>
      <c r="AR103" s="1188"/>
      <c r="AS103" s="1188"/>
      <c r="AT103" s="1188"/>
      <c r="AU103" s="1188"/>
      <c r="AV103" s="1188"/>
      <c r="AW103" s="1188"/>
      <c r="AX103" s="166"/>
      <c r="AY103" s="3155"/>
      <c r="AZ103" s="3155"/>
      <c r="BA103" s="3162">
        <v>2012</v>
      </c>
      <c r="BB103" s="3162">
        <v>2017</v>
      </c>
      <c r="BC103" s="3162">
        <v>2022</v>
      </c>
      <c r="BD103" s="3162">
        <v>2027</v>
      </c>
      <c r="BE103" s="3162">
        <v>2032</v>
      </c>
      <c r="BF103" s="3162">
        <v>2037</v>
      </c>
      <c r="BG103" s="3162">
        <v>2042</v>
      </c>
      <c r="BH103" s="3162">
        <v>2047</v>
      </c>
      <c r="BI103" s="3155"/>
      <c r="BJ103" s="1186"/>
      <c r="BK103" s="141"/>
      <c r="BL103" s="145"/>
      <c r="BM103" s="145"/>
      <c r="BN103" s="145"/>
      <c r="BO103" s="145"/>
      <c r="BP103" s="145"/>
      <c r="BQ103" s="145"/>
      <c r="BR103" s="145"/>
      <c r="BS103" s="145"/>
      <c r="BT103" s="145"/>
      <c r="BU103" s="145"/>
      <c r="BV103" s="145"/>
      <c r="BW103" s="145"/>
    </row>
    <row r="104" spans="2:75" s="37" customFormat="1" ht="18">
      <c r="B104" s="1172"/>
      <c r="C104" s="1184"/>
      <c r="D104" s="3064" t="s">
        <v>2450</v>
      </c>
      <c r="E104" s="3167">
        <f ca="1">BA104</f>
        <v>4.0782189528434883E-2</v>
      </c>
      <c r="F104" s="3168">
        <f ca="1">BH104</f>
        <v>4.6611470686127421E-2</v>
      </c>
      <c r="G104" s="1184"/>
      <c r="H104" s="1188"/>
      <c r="I104" s="1188"/>
      <c r="J104" s="1188"/>
      <c r="K104" s="1188"/>
      <c r="L104" s="1188"/>
      <c r="M104" s="1188"/>
      <c r="N104" s="1188"/>
      <c r="O104" s="1188"/>
      <c r="P104" s="1188"/>
      <c r="Q104" s="1188"/>
      <c r="R104" s="1188"/>
      <c r="S104" s="1188"/>
      <c r="T104" s="1188"/>
      <c r="U104" s="1188"/>
      <c r="V104" s="1188"/>
      <c r="W104" s="1188"/>
      <c r="X104" s="1188"/>
      <c r="Y104" s="1188"/>
      <c r="Z104" s="1188"/>
      <c r="AA104" s="1188"/>
      <c r="AB104" s="1188"/>
      <c r="AC104" s="1188"/>
      <c r="AD104" s="1188"/>
      <c r="AE104" s="1188"/>
      <c r="AF104" s="1188"/>
      <c r="AG104" s="1188"/>
      <c r="AH104" s="1188"/>
      <c r="AI104" s="1188"/>
      <c r="AJ104" s="1188"/>
      <c r="AK104" s="1188"/>
      <c r="AL104" s="1188"/>
      <c r="AM104" s="1188"/>
      <c r="AN104" s="1188"/>
      <c r="AO104" s="1188"/>
      <c r="AP104" s="1188"/>
      <c r="AQ104" s="1188"/>
      <c r="AR104" s="1188"/>
      <c r="AS104" s="1188"/>
      <c r="AT104" s="1188"/>
      <c r="AU104" s="1188"/>
      <c r="AV104" s="1188"/>
      <c r="AW104" s="1188"/>
      <c r="AX104" s="166"/>
      <c r="AY104" s="3155"/>
      <c r="AZ104" s="3155"/>
      <c r="BA104" s="3161">
        <f ca="1">BA189</f>
        <v>4.0782189528434883E-2</v>
      </c>
      <c r="BB104" s="3161">
        <f t="shared" ref="BB104:BH104" ca="1" si="28">BB189</f>
        <v>5.2287652140098145E-2</v>
      </c>
      <c r="BC104" s="3161">
        <f t="shared" ca="1" si="28"/>
        <v>5.9849951146633891E-2</v>
      </c>
      <c r="BD104" s="3161">
        <f t="shared" ca="1" si="28"/>
        <v>6.1222226414193774E-2</v>
      </c>
      <c r="BE104" s="3161">
        <f t="shared" ca="1" si="28"/>
        <v>6.0493850192840877E-2</v>
      </c>
      <c r="BF104" s="3161">
        <f t="shared" ca="1" si="28"/>
        <v>5.8309200440989022E-2</v>
      </c>
      <c r="BG104" s="3161">
        <f t="shared" ca="1" si="28"/>
        <v>5.2580381789944106E-2</v>
      </c>
      <c r="BH104" s="3161">
        <f t="shared" ca="1" si="28"/>
        <v>4.6611470686127421E-2</v>
      </c>
      <c r="BI104" s="3161"/>
      <c r="BJ104" s="1186"/>
      <c r="BK104" s="141"/>
      <c r="BL104" s="145"/>
      <c r="BM104" s="145"/>
      <c r="BN104" s="145"/>
      <c r="BO104" s="145"/>
      <c r="BP104" s="145"/>
      <c r="BQ104" s="145"/>
      <c r="BR104" s="145"/>
      <c r="BS104" s="145"/>
      <c r="BT104" s="145"/>
      <c r="BU104" s="145"/>
      <c r="BV104" s="145"/>
      <c r="BW104" s="145"/>
    </row>
    <row r="105" spans="2:75" s="37" customFormat="1" ht="18">
      <c r="B105" s="1172"/>
      <c r="C105" s="1184"/>
      <c r="D105" s="3064" t="s">
        <v>2442</v>
      </c>
      <c r="E105" s="3167">
        <f t="shared" ref="E105:E111" ca="1" si="29">BA105</f>
        <v>1.5950398074686509E-4</v>
      </c>
      <c r="F105" s="3168">
        <f t="shared" ref="F105:F111" ca="1" si="30">BH105</f>
        <v>7.2624835133099129E-3</v>
      </c>
      <c r="G105" s="1184"/>
      <c r="H105" s="1188"/>
      <c r="I105" s="1188"/>
      <c r="J105" s="1188"/>
      <c r="K105" s="1188"/>
      <c r="L105" s="1188"/>
      <c r="M105" s="1188"/>
      <c r="N105" s="1188"/>
      <c r="O105" s="1188"/>
      <c r="P105" s="1188"/>
      <c r="Q105" s="1188"/>
      <c r="R105" s="1188"/>
      <c r="S105" s="1188"/>
      <c r="T105" s="1188"/>
      <c r="U105" s="1188"/>
      <c r="V105" s="1188"/>
      <c r="W105" s="1188"/>
      <c r="X105" s="1188"/>
      <c r="Y105" s="1188"/>
      <c r="Z105" s="1188"/>
      <c r="AA105" s="1188"/>
      <c r="AB105" s="1188"/>
      <c r="AC105" s="1188"/>
      <c r="AD105" s="1188"/>
      <c r="AE105" s="1188"/>
      <c r="AF105" s="1188"/>
      <c r="AG105" s="1188"/>
      <c r="AH105" s="1188"/>
      <c r="AI105" s="1188"/>
      <c r="AJ105" s="1188"/>
      <c r="AK105" s="1188"/>
      <c r="AL105" s="1188"/>
      <c r="AM105" s="1188"/>
      <c r="AN105" s="1188"/>
      <c r="AO105" s="1188"/>
      <c r="AP105" s="1188"/>
      <c r="AQ105" s="1188"/>
      <c r="AR105" s="1188"/>
      <c r="AS105" s="1188"/>
      <c r="AT105" s="1188"/>
      <c r="AU105" s="1188"/>
      <c r="AV105" s="1188"/>
      <c r="AW105" s="1188"/>
      <c r="AX105" s="166"/>
      <c r="AY105" s="3155"/>
      <c r="AZ105" s="3155"/>
      <c r="BA105" s="3164">
        <f ca="1">-V.b!G369/(XII.a!G467+XII.b!G193)</f>
        <v>1.5950398074686509E-4</v>
      </c>
      <c r="BB105" s="3164">
        <f ca="1">-V.b!H369/(XII.a!H467+XII.b!H193)</f>
        <v>2.4431236973180676E-3</v>
      </c>
      <c r="BC105" s="3164">
        <f ca="1">-V.b!I369/(XII.a!I467+XII.b!I193)</f>
        <v>3.7574968487107826E-3</v>
      </c>
      <c r="BD105" s="3164">
        <f ca="1">-V.b!J369/(XII.a!J467+XII.b!J193)</f>
        <v>4.6607960729168306E-3</v>
      </c>
      <c r="BE105" s="3164">
        <f ca="1">-V.b!K369/(XII.a!K467+XII.b!K193)</f>
        <v>5.3149050743383228E-3</v>
      </c>
      <c r="BF105" s="3164">
        <f ca="1">-V.b!L369/(XII.a!L467+XII.b!L193)</f>
        <v>5.8593586550035699E-3</v>
      </c>
      <c r="BG105" s="3164">
        <f ca="1">-V.b!M369/(XII.a!M467+XII.b!M193)</f>
        <v>6.5703345517178274E-3</v>
      </c>
      <c r="BH105" s="3164">
        <f ca="1">-V.b!N369/(XII.a!N467+XII.b!N193)</f>
        <v>7.2624835133099129E-3</v>
      </c>
      <c r="BI105" s="3164"/>
      <c r="BJ105" s="1186"/>
      <c r="BK105" s="141"/>
      <c r="BL105" s="145"/>
      <c r="BM105" s="145"/>
      <c r="BN105" s="145"/>
      <c r="BO105" s="145"/>
      <c r="BP105" s="145"/>
      <c r="BQ105" s="145"/>
      <c r="BR105" s="145"/>
      <c r="BS105" s="145"/>
      <c r="BT105" s="145"/>
      <c r="BU105" s="145"/>
      <c r="BV105" s="145"/>
      <c r="BW105" s="145"/>
    </row>
    <row r="106" spans="2:75" s="37" customFormat="1" ht="18">
      <c r="B106" s="1172"/>
      <c r="C106" s="1184"/>
      <c r="D106" s="3064" t="s">
        <v>2096</v>
      </c>
      <c r="E106" s="3167">
        <f t="shared" si="29"/>
        <v>1.5438954656340889E-2</v>
      </c>
      <c r="F106" s="3168">
        <f t="shared" si="30"/>
        <v>7.9428615243838981E-3</v>
      </c>
      <c r="G106" s="1184"/>
      <c r="H106" s="1188"/>
      <c r="I106" s="1188"/>
      <c r="J106" s="1188"/>
      <c r="K106" s="1188"/>
      <c r="L106" s="1188"/>
      <c r="M106" s="1188"/>
      <c r="N106" s="1188"/>
      <c r="O106" s="1188"/>
      <c r="P106" s="1188"/>
      <c r="Q106" s="1188"/>
      <c r="R106" s="1188"/>
      <c r="S106" s="1188"/>
      <c r="T106" s="1188"/>
      <c r="U106" s="1188"/>
      <c r="V106" s="1188"/>
      <c r="W106" s="1188"/>
      <c r="X106" s="1188"/>
      <c r="Y106" s="1188"/>
      <c r="Z106" s="1188"/>
      <c r="AA106" s="1188"/>
      <c r="AB106" s="1188"/>
      <c r="AC106" s="1188"/>
      <c r="AD106" s="1188"/>
      <c r="AE106" s="1188"/>
      <c r="AF106" s="1188"/>
      <c r="AG106" s="1188"/>
      <c r="AH106" s="1188"/>
      <c r="AI106" s="1188"/>
      <c r="AJ106" s="1188"/>
      <c r="AK106" s="1188"/>
      <c r="AL106" s="1188"/>
      <c r="AM106" s="1188"/>
      <c r="AN106" s="1188"/>
      <c r="AO106" s="1188"/>
      <c r="AP106" s="1188"/>
      <c r="AQ106" s="1188"/>
      <c r="AR106" s="1188"/>
      <c r="AS106" s="1188"/>
      <c r="AT106" s="1188"/>
      <c r="AU106" s="1188"/>
      <c r="AV106" s="1188"/>
      <c r="AW106" s="1188"/>
      <c r="AX106" s="166"/>
      <c r="AY106" s="3155"/>
      <c r="AZ106" s="3155"/>
      <c r="BA106" s="3161">
        <f>XII.a!G466/SUM(XII.a!G466:G468)</f>
        <v>1.5438954656340889E-2</v>
      </c>
      <c r="BB106" s="3161">
        <f>XII.a!H466/SUM(XII.a!H466:H468)</f>
        <v>1.3190626955884003E-2</v>
      </c>
      <c r="BC106" s="3161">
        <f>XII.a!I466/SUM(XII.a!I466:I468)</f>
        <v>1.1738660329219419E-2</v>
      </c>
      <c r="BD106" s="3161">
        <f>XII.a!J466/SUM(XII.a!J466:J468)</f>
        <v>1.0599654242676282E-2</v>
      </c>
      <c r="BE106" s="3161">
        <f>XII.a!K466/SUM(XII.a!K466:K468)</f>
        <v>9.7149237722205725E-3</v>
      </c>
      <c r="BF106" s="3161">
        <f>XII.a!L466/SUM(XII.a!L466:L468)</f>
        <v>9.1053634577765354E-3</v>
      </c>
      <c r="BG106" s="3161">
        <f>XII.a!M466/SUM(XII.a!M466:M468)</f>
        <v>8.558349360528527E-3</v>
      </c>
      <c r="BH106" s="3161">
        <f>XII.a!N466/SUM(XII.a!N466:N468)</f>
        <v>7.9428615243838981E-3</v>
      </c>
      <c r="BI106" s="3161"/>
      <c r="BJ106" s="1186"/>
      <c r="BK106" s="141"/>
      <c r="BL106" s="145"/>
      <c r="BM106" s="145"/>
      <c r="BN106" s="145"/>
      <c r="BO106" s="145"/>
      <c r="BP106" s="145"/>
      <c r="BQ106" s="145"/>
      <c r="BR106" s="145"/>
      <c r="BS106" s="145"/>
      <c r="BT106" s="145"/>
      <c r="BU106" s="145"/>
      <c r="BV106" s="145"/>
      <c r="BW106" s="145"/>
    </row>
    <row r="107" spans="2:75" s="37" customFormat="1" ht="18">
      <c r="B107" s="1172"/>
      <c r="C107" s="1184"/>
      <c r="D107" s="3064" t="s">
        <v>2097</v>
      </c>
      <c r="E107" s="3167">
        <f t="shared" si="29"/>
        <v>1.8609096080286377E-2</v>
      </c>
      <c r="F107" s="3168">
        <f t="shared" si="30"/>
        <v>1.2164014459985254E-2</v>
      </c>
      <c r="G107" s="1184"/>
      <c r="H107" s="1188"/>
      <c r="I107" s="1188"/>
      <c r="J107" s="1188"/>
      <c r="K107" s="1188"/>
      <c r="L107" s="1188"/>
      <c r="M107" s="1188"/>
      <c r="N107" s="1188"/>
      <c r="O107" s="1188"/>
      <c r="P107" s="1188"/>
      <c r="Q107" s="1188"/>
      <c r="R107" s="1188"/>
      <c r="S107" s="1188"/>
      <c r="T107" s="1188"/>
      <c r="U107" s="1188"/>
      <c r="V107" s="1188"/>
      <c r="W107" s="1188"/>
      <c r="X107" s="1188"/>
      <c r="Y107" s="1188"/>
      <c r="Z107" s="1188"/>
      <c r="AA107" s="1188"/>
      <c r="AB107" s="1188"/>
      <c r="AC107" s="1188"/>
      <c r="AD107" s="1188"/>
      <c r="AE107" s="1188"/>
      <c r="AF107" s="1188"/>
      <c r="AG107" s="1188"/>
      <c r="AH107" s="1188"/>
      <c r="AI107" s="1188"/>
      <c r="AJ107" s="1188"/>
      <c r="AK107" s="1188"/>
      <c r="AL107" s="1188"/>
      <c r="AM107" s="1188"/>
      <c r="AN107" s="1188"/>
      <c r="AO107" s="1188"/>
      <c r="AP107" s="1188"/>
      <c r="AQ107" s="1188"/>
      <c r="AR107" s="1188"/>
      <c r="AS107" s="1188"/>
      <c r="AT107" s="1188"/>
      <c r="AU107" s="1188"/>
      <c r="AV107" s="1188"/>
      <c r="AW107" s="1188"/>
      <c r="AX107" s="166"/>
      <c r="AY107" s="3155"/>
      <c r="AZ107" s="3155"/>
      <c r="BA107" s="3163">
        <f>XII.b!G192/SUM(XII.b!G192:G193)</f>
        <v>1.8609096080286377E-2</v>
      </c>
      <c r="BB107" s="3163">
        <f>XII.b!H192/SUM(XII.b!H192:H193)</f>
        <v>1.8271990169732286E-2</v>
      </c>
      <c r="BC107" s="3163">
        <f>XII.b!I192/SUM(XII.b!I192:I193)</f>
        <v>1.7636375588767187E-2</v>
      </c>
      <c r="BD107" s="3163">
        <f>XII.b!J192/SUM(XII.b!J192:J193)</f>
        <v>1.6799519162267799E-2</v>
      </c>
      <c r="BE107" s="3163">
        <f>XII.b!K192/SUM(XII.b!K192:K193)</f>
        <v>1.5926656634191579E-2</v>
      </c>
      <c r="BF107" s="3163">
        <f>XII.b!L192/SUM(XII.b!L192:L193)</f>
        <v>1.4850817121168232E-2</v>
      </c>
      <c r="BG107" s="3163">
        <f>XII.b!M192/SUM(XII.b!M192:M193)</f>
        <v>1.3344940762194866E-2</v>
      </c>
      <c r="BH107" s="3163">
        <f>XII.b!N192/SUM(XII.b!N192:N193)</f>
        <v>1.2164014459985254E-2</v>
      </c>
      <c r="BI107" s="3163"/>
      <c r="BJ107" s="1186"/>
      <c r="BK107" s="141"/>
      <c r="BL107" s="145"/>
      <c r="BM107" s="145"/>
      <c r="BN107" s="145"/>
      <c r="BO107" s="145"/>
      <c r="BP107" s="145"/>
      <c r="BQ107" s="145"/>
      <c r="BR107" s="145"/>
      <c r="BS107" s="145"/>
      <c r="BT107" s="145"/>
      <c r="BU107" s="145"/>
      <c r="BV107" s="145"/>
      <c r="BW107" s="145"/>
    </row>
    <row r="108" spans="2:75" s="37" customFormat="1" ht="18">
      <c r="B108" s="1172"/>
      <c r="C108" s="1184"/>
      <c r="D108" s="3064" t="s">
        <v>33</v>
      </c>
      <c r="E108" s="3167">
        <f t="shared" si="29"/>
        <v>0.17607299817461564</v>
      </c>
      <c r="F108" s="3168">
        <f t="shared" si="30"/>
        <v>0.15469790384000662</v>
      </c>
      <c r="G108" s="1184"/>
      <c r="H108" s="1188"/>
      <c r="I108" s="1188"/>
      <c r="J108" s="1188"/>
      <c r="K108" s="1188"/>
      <c r="L108" s="1188"/>
      <c r="M108" s="1188"/>
      <c r="N108" s="1188"/>
      <c r="O108" s="1188"/>
      <c r="P108" s="1188"/>
      <c r="Q108" s="1188"/>
      <c r="R108" s="1188"/>
      <c r="S108" s="1188"/>
      <c r="T108" s="1188"/>
      <c r="U108" s="1188"/>
      <c r="V108" s="1188"/>
      <c r="W108" s="1188"/>
      <c r="X108" s="1188"/>
      <c r="Y108" s="1188"/>
      <c r="Z108" s="1188"/>
      <c r="AA108" s="1188"/>
      <c r="AB108" s="1188"/>
      <c r="AC108" s="1188"/>
      <c r="AD108" s="1188"/>
      <c r="AE108" s="1188"/>
      <c r="AF108" s="1188"/>
      <c r="AG108" s="1188"/>
      <c r="AH108" s="1188"/>
      <c r="AI108" s="1188"/>
      <c r="AJ108" s="1188"/>
      <c r="AK108" s="1188"/>
      <c r="AL108" s="1188"/>
      <c r="AM108" s="1188"/>
      <c r="AN108" s="1188"/>
      <c r="AO108" s="1188"/>
      <c r="AP108" s="1188"/>
      <c r="AQ108" s="1188"/>
      <c r="AR108" s="1188"/>
      <c r="AS108" s="1188"/>
      <c r="AT108" s="1188"/>
      <c r="AU108" s="1188"/>
      <c r="AV108" s="1188"/>
      <c r="AW108" s="1188"/>
      <c r="AX108" s="166"/>
      <c r="AY108" s="3155"/>
      <c r="AZ108" s="3155"/>
      <c r="BA108" s="3161">
        <f>-XI!F659/XI!F658</f>
        <v>0.17607299817461564</v>
      </c>
      <c r="BB108" s="3161">
        <f>-XI!G659/XI!G658</f>
        <v>0.15781119443083452</v>
      </c>
      <c r="BC108" s="3161">
        <f>-XI!H659/XI!H658</f>
        <v>0.14857687110681736</v>
      </c>
      <c r="BD108" s="3161">
        <f>-XI!I659/XI!I658</f>
        <v>0.14354262296616255</v>
      </c>
      <c r="BE108" s="3161">
        <f>-XI!J659/XI!J658</f>
        <v>0.14036214242567052</v>
      </c>
      <c r="BF108" s="3161">
        <f>-XI!K659/XI!K658</f>
        <v>0.14285321614315241</v>
      </c>
      <c r="BG108" s="3161">
        <f>-XI!L659/XI!L658</f>
        <v>0.14774400043792624</v>
      </c>
      <c r="BH108" s="3161">
        <f>-XI!M659/XI!M658</f>
        <v>0.15469790384000662</v>
      </c>
      <c r="BI108" s="3161"/>
      <c r="BJ108" s="1186"/>
      <c r="BK108" s="141"/>
      <c r="BL108" s="145"/>
      <c r="BM108" s="145"/>
      <c r="BN108" s="145"/>
      <c r="BO108" s="145"/>
      <c r="BP108" s="145"/>
      <c r="BQ108" s="145"/>
      <c r="BR108" s="145"/>
      <c r="BS108" s="145"/>
      <c r="BT108" s="145"/>
      <c r="BU108" s="145"/>
      <c r="BV108" s="145"/>
      <c r="BW108" s="145"/>
    </row>
    <row r="109" spans="2:75" s="37" customFormat="1" ht="18">
      <c r="B109" s="1172"/>
      <c r="C109" s="1184"/>
      <c r="D109" s="3064" t="s">
        <v>1051</v>
      </c>
      <c r="E109" s="3167">
        <f t="shared" si="29"/>
        <v>3.5162634659177965E-4</v>
      </c>
      <c r="F109" s="3168">
        <f t="shared" si="30"/>
        <v>2.3735693349032909E-2</v>
      </c>
      <c r="G109" s="1184"/>
      <c r="H109" s="1188"/>
      <c r="I109" s="1188"/>
      <c r="J109" s="1188"/>
      <c r="K109" s="1188"/>
      <c r="L109" s="1188"/>
      <c r="M109" s="1188"/>
      <c r="N109" s="1188"/>
      <c r="O109" s="1188"/>
      <c r="P109" s="1188"/>
      <c r="Q109" s="1188"/>
      <c r="R109" s="1188"/>
      <c r="S109" s="1188"/>
      <c r="T109" s="1188"/>
      <c r="U109" s="1188"/>
      <c r="V109" s="1188"/>
      <c r="W109" s="1188"/>
      <c r="X109" s="1188"/>
      <c r="Y109" s="1188"/>
      <c r="Z109" s="1188"/>
      <c r="AA109" s="1188"/>
      <c r="AB109" s="1188"/>
      <c r="AC109" s="1188"/>
      <c r="AD109" s="1188"/>
      <c r="AE109" s="1188"/>
      <c r="AF109" s="1188"/>
      <c r="AG109" s="1188"/>
      <c r="AH109" s="1188"/>
      <c r="AI109" s="1188"/>
      <c r="AJ109" s="1188"/>
      <c r="AK109" s="1188"/>
      <c r="AL109" s="1188"/>
      <c r="AM109" s="1188"/>
      <c r="AN109" s="1188"/>
      <c r="AO109" s="1188"/>
      <c r="AP109" s="1188"/>
      <c r="AQ109" s="1188"/>
      <c r="AR109" s="1188"/>
      <c r="AS109" s="1188"/>
      <c r="AT109" s="1188"/>
      <c r="AU109" s="1188"/>
      <c r="AV109" s="1188"/>
      <c r="AW109" s="1188"/>
      <c r="AX109" s="166"/>
      <c r="AY109" s="3155"/>
      <c r="AZ109" s="3155"/>
      <c r="BA109" s="3161">
        <f>-XIII.a!G530/XIII.a!G529</f>
        <v>3.5162634659177965E-4</v>
      </c>
      <c r="BB109" s="3161">
        <f>-XIII.a!H530/XIII.a!H529</f>
        <v>1.6647039593338867E-3</v>
      </c>
      <c r="BC109" s="3161">
        <f>-XIII.a!I530/XIII.a!I529</f>
        <v>2.6590444033352061E-3</v>
      </c>
      <c r="BD109" s="3161">
        <f>-XIII.a!J530/XIII.a!J529</f>
        <v>5.1778810542028406E-3</v>
      </c>
      <c r="BE109" s="3161">
        <f>-XIII.a!K530/XIII.a!K529</f>
        <v>9.5363833126565021E-3</v>
      </c>
      <c r="BF109" s="3161">
        <f>-XIII.a!L530/XIII.a!L529</f>
        <v>1.2940091511911545E-2</v>
      </c>
      <c r="BG109" s="3161">
        <f>-XIII.a!M530/XIII.a!M529</f>
        <v>1.747743370815048E-2</v>
      </c>
      <c r="BH109" s="3161">
        <f>-XIII.a!N530/XIII.a!N529</f>
        <v>2.3735693349032909E-2</v>
      </c>
      <c r="BI109" s="3161"/>
      <c r="BJ109" s="1186"/>
      <c r="BK109" s="141"/>
      <c r="BL109" s="145"/>
      <c r="BM109" s="145"/>
      <c r="BN109" s="145"/>
      <c r="BO109" s="145"/>
      <c r="BP109" s="145"/>
      <c r="BQ109" s="145"/>
      <c r="BR109" s="145"/>
      <c r="BS109" s="145"/>
      <c r="BT109" s="145"/>
      <c r="BU109" s="145"/>
      <c r="BV109" s="145"/>
      <c r="BW109" s="145"/>
    </row>
    <row r="110" spans="2:75" s="37" customFormat="1" ht="18">
      <c r="B110" s="1172"/>
      <c r="C110" s="1184"/>
      <c r="D110" s="3064" t="s">
        <v>106</v>
      </c>
      <c r="E110" s="3167">
        <f t="shared" si="29"/>
        <v>0.57267985682480338</v>
      </c>
      <c r="F110" s="3168">
        <f t="shared" si="30"/>
        <v>0.62852050401468529</v>
      </c>
      <c r="G110" s="1184"/>
      <c r="H110" s="1188"/>
      <c r="I110" s="1188"/>
      <c r="J110" s="1188"/>
      <c r="K110" s="1188"/>
      <c r="L110" s="1188"/>
      <c r="M110" s="1188"/>
      <c r="N110" s="1188"/>
      <c r="O110" s="1188"/>
      <c r="P110" s="1188"/>
      <c r="Q110" s="1188"/>
      <c r="R110" s="1188"/>
      <c r="S110" s="1188"/>
      <c r="T110" s="1188"/>
      <c r="U110" s="1188"/>
      <c r="V110" s="1188"/>
      <c r="W110" s="1188"/>
      <c r="X110" s="1188"/>
      <c r="Y110" s="1188"/>
      <c r="Z110" s="1188"/>
      <c r="AA110" s="1188"/>
      <c r="AB110" s="1188"/>
      <c r="AC110" s="1188"/>
      <c r="AD110" s="1188"/>
      <c r="AE110" s="1188"/>
      <c r="AF110" s="1188"/>
      <c r="AG110" s="1188"/>
      <c r="AH110" s="1188"/>
      <c r="AI110" s="1188"/>
      <c r="AJ110" s="1188"/>
      <c r="AK110" s="1188"/>
      <c r="AL110" s="1188"/>
      <c r="AM110" s="1188"/>
      <c r="AN110" s="1188"/>
      <c r="AO110" s="1188"/>
      <c r="AP110" s="1188"/>
      <c r="AQ110" s="1188"/>
      <c r="AR110" s="1188"/>
      <c r="AS110" s="1188"/>
      <c r="AT110" s="1188"/>
      <c r="AU110" s="1188"/>
      <c r="AV110" s="1188"/>
      <c r="AW110" s="1188"/>
      <c r="AX110" s="166"/>
      <c r="AY110" s="3155"/>
      <c r="AZ110" s="3155"/>
      <c r="BA110" s="3161">
        <f>(-XIV!G215-XIV!G217)/XIV!G214</f>
        <v>0.57267985682480338</v>
      </c>
      <c r="BB110" s="3161">
        <f>(-XIV!H215-XIV!H217)/XIV!H214</f>
        <v>0.57503350686809906</v>
      </c>
      <c r="BC110" s="3161">
        <f>(-XIV!I215-XIV!I217)/XIV!I214</f>
        <v>0.57842438912129746</v>
      </c>
      <c r="BD110" s="3161">
        <f>(-XIV!J215-XIV!J217)/XIV!J214</f>
        <v>0.56771932059433849</v>
      </c>
      <c r="BE110" s="3161">
        <f>(-XIV!K215-XIV!K217)/XIV!K214</f>
        <v>0.57162603637609544</v>
      </c>
      <c r="BF110" s="3161">
        <f>(-XIV!L215-XIV!L217)/XIV!L214</f>
        <v>0.59616316594996011</v>
      </c>
      <c r="BG110" s="3161">
        <f>(-XIV!M215-XIV!M217)/XIV!M214</f>
        <v>0.61824246223761525</v>
      </c>
      <c r="BH110" s="3161">
        <f>(-XIV!N215-XIV!N217)/XIV!N214</f>
        <v>0.62852050401468529</v>
      </c>
      <c r="BI110" s="3161"/>
      <c r="BJ110" s="1186"/>
      <c r="BK110" s="141"/>
      <c r="BL110" s="145"/>
      <c r="BM110" s="145"/>
      <c r="BN110" s="145"/>
      <c r="BO110" s="145"/>
      <c r="BP110" s="145"/>
      <c r="BQ110" s="145"/>
      <c r="BR110" s="145"/>
      <c r="BS110" s="145"/>
      <c r="BT110" s="145"/>
      <c r="BU110" s="145"/>
      <c r="BV110" s="145"/>
      <c r="BW110" s="145"/>
    </row>
    <row r="111" spans="2:75" s="37" customFormat="1" ht="18">
      <c r="B111" s="1172"/>
      <c r="C111" s="1184"/>
      <c r="D111" s="3064" t="s">
        <v>1078</v>
      </c>
      <c r="E111" s="3167">
        <f t="shared" si="29"/>
        <v>0.17043519107561989</v>
      </c>
      <c r="F111" s="3168">
        <f t="shared" si="30"/>
        <v>0.32666991071479351</v>
      </c>
      <c r="G111" s="1184"/>
      <c r="H111" s="1188"/>
      <c r="I111" s="1188"/>
      <c r="J111" s="1188"/>
      <c r="K111" s="1188"/>
      <c r="L111" s="1188"/>
      <c r="M111" s="1188"/>
      <c r="N111" s="1188"/>
      <c r="O111" s="1188"/>
      <c r="P111" s="1188"/>
      <c r="Q111" s="1188"/>
      <c r="R111" s="1188"/>
      <c r="S111" s="1188"/>
      <c r="T111" s="1188"/>
      <c r="U111" s="1188"/>
      <c r="V111" s="1188"/>
      <c r="W111" s="1188"/>
      <c r="X111" s="1188"/>
      <c r="Y111" s="1188"/>
      <c r="Z111" s="1188"/>
      <c r="AA111" s="1188"/>
      <c r="AB111" s="1188"/>
      <c r="AC111" s="1188"/>
      <c r="AD111" s="1188"/>
      <c r="AE111" s="1188"/>
      <c r="AF111" s="1188"/>
      <c r="AG111" s="1188"/>
      <c r="AH111" s="1188"/>
      <c r="AI111" s="1188"/>
      <c r="AJ111" s="1188"/>
      <c r="AK111" s="1188"/>
      <c r="AL111" s="1188"/>
      <c r="AM111" s="1188"/>
      <c r="AN111" s="1188"/>
      <c r="AO111" s="1188"/>
      <c r="AP111" s="1188"/>
      <c r="AQ111" s="1188"/>
      <c r="AR111" s="1188"/>
      <c r="AS111" s="1188"/>
      <c r="AT111" s="1188"/>
      <c r="AU111" s="1188"/>
      <c r="AV111" s="1188"/>
      <c r="AW111" s="1188"/>
      <c r="AX111" s="166"/>
      <c r="AY111" s="3155"/>
      <c r="AZ111" s="3155"/>
      <c r="BA111" s="3161">
        <f>-XVI!G184/XVI!G183</f>
        <v>0.17043519107561989</v>
      </c>
      <c r="BB111" s="3161">
        <f>-XVI!H184/XVI!H183</f>
        <v>0.20131725659878424</v>
      </c>
      <c r="BC111" s="3161">
        <f>-XVI!I184/XVI!I183</f>
        <v>0.23061657366451713</v>
      </c>
      <c r="BD111" s="3161">
        <f>-XVI!J184/XVI!J183</f>
        <v>0.23489478218377666</v>
      </c>
      <c r="BE111" s="3161">
        <f>-XVI!K184/XVI!K183</f>
        <v>0.24460410959560874</v>
      </c>
      <c r="BF111" s="3161">
        <f>-XVI!L184/XVI!L183</f>
        <v>0.29794443782116098</v>
      </c>
      <c r="BG111" s="3161">
        <f>-XVI!M184/XVI!M183</f>
        <v>0.31614471107129555</v>
      </c>
      <c r="BH111" s="3161">
        <f>-XVI!N184/XVI!N183</f>
        <v>0.32666991071479351</v>
      </c>
      <c r="BI111" s="3161"/>
      <c r="BJ111" s="1186"/>
      <c r="BK111" s="141"/>
      <c r="BL111" s="145"/>
      <c r="BM111" s="145"/>
      <c r="BN111" s="145"/>
      <c r="BO111" s="145"/>
      <c r="BP111" s="145"/>
      <c r="BQ111" s="145"/>
      <c r="BR111" s="145"/>
      <c r="BS111" s="145"/>
      <c r="BT111" s="145"/>
      <c r="BU111" s="145"/>
      <c r="BV111" s="145"/>
      <c r="BW111" s="145"/>
    </row>
    <row r="112" spans="2:75">
      <c r="B112" s="1182"/>
      <c r="C112" s="166"/>
      <c r="D112" s="166"/>
      <c r="E112" s="166"/>
      <c r="F112" s="166"/>
      <c r="G112" s="166"/>
      <c r="H112" s="1156"/>
      <c r="I112" s="1156"/>
      <c r="J112" s="1156"/>
      <c r="K112" s="1156"/>
      <c r="L112" s="1156"/>
      <c r="M112" s="1156"/>
      <c r="N112" s="1156"/>
      <c r="O112" s="1156"/>
      <c r="P112" s="1156"/>
      <c r="Q112" s="1156"/>
      <c r="R112" s="1156"/>
      <c r="S112" s="1156"/>
      <c r="T112" s="1156"/>
      <c r="U112" s="1156"/>
      <c r="V112" s="1156"/>
      <c r="W112" s="1156"/>
      <c r="X112" s="1156"/>
      <c r="Y112" s="1156"/>
      <c r="Z112" s="1156"/>
      <c r="AA112" s="1156"/>
      <c r="AB112" s="1156"/>
      <c r="AC112" s="1156"/>
      <c r="AD112" s="1156"/>
      <c r="AE112" s="1156"/>
      <c r="AF112" s="1156"/>
      <c r="AG112" s="1156"/>
      <c r="AH112" s="1156"/>
      <c r="AI112" s="1156"/>
      <c r="AJ112" s="1156"/>
      <c r="AK112" s="1156"/>
      <c r="AL112" s="1156"/>
      <c r="AM112" s="1156"/>
      <c r="AN112" s="1156"/>
      <c r="AO112" s="1156"/>
      <c r="AP112" s="1156"/>
      <c r="AQ112" s="1156"/>
      <c r="AR112" s="1156"/>
      <c r="AS112" s="1156"/>
      <c r="AT112" s="1156"/>
      <c r="AU112" s="1156"/>
      <c r="AV112" s="1156"/>
      <c r="AW112" s="1156"/>
      <c r="AX112" s="166"/>
      <c r="AY112" s="1168"/>
      <c r="AZ112" s="1168"/>
      <c r="BA112" s="2908">
        <f t="shared" ref="BA112:BH112" ca="1" si="31">BA75/BA77</f>
        <v>0.26119364634362074</v>
      </c>
      <c r="BB112" s="2908">
        <f t="shared" ca="1" si="31"/>
        <v>0.46866472811271864</v>
      </c>
      <c r="BC112" s="2908">
        <f t="shared" ca="1" si="31"/>
        <v>0.51428530855442001</v>
      </c>
      <c r="BD112" s="2908">
        <f t="shared" ca="1" si="31"/>
        <v>0.55098845581071276</v>
      </c>
      <c r="BE112" s="2908">
        <f t="shared" ca="1" si="31"/>
        <v>0.57919315329283294</v>
      </c>
      <c r="BF112" s="2908">
        <f t="shared" ca="1" si="31"/>
        <v>0.61587715650918029</v>
      </c>
      <c r="BG112" s="2908">
        <f t="shared" ca="1" si="31"/>
        <v>0.64677620066441044</v>
      </c>
      <c r="BH112" s="2908">
        <f t="shared" ca="1" si="31"/>
        <v>0.67223126154277801</v>
      </c>
      <c r="BI112" s="1168"/>
      <c r="BJ112" s="1169"/>
      <c r="BK112" s="22"/>
    </row>
    <row r="113" spans="1:63">
      <c r="B113" s="1182"/>
      <c r="C113" s="1179" t="s">
        <v>1139</v>
      </c>
      <c r="D113" s="166"/>
      <c r="E113" s="166"/>
      <c r="F113" s="166"/>
      <c r="G113" s="166"/>
      <c r="H113" s="1156"/>
      <c r="I113" s="1156"/>
      <c r="J113" s="1156"/>
      <c r="K113" s="1156"/>
      <c r="L113" s="1156"/>
      <c r="M113" s="1156"/>
      <c r="N113" s="1156"/>
      <c r="O113" s="1156"/>
      <c r="P113" s="1156"/>
      <c r="Q113" s="1156"/>
      <c r="R113" s="1156"/>
      <c r="S113" s="1156"/>
      <c r="T113" s="1156"/>
      <c r="U113" s="1156"/>
      <c r="V113" s="1156"/>
      <c r="W113" s="1156"/>
      <c r="X113" s="1156"/>
      <c r="Y113" s="1156"/>
      <c r="Z113" s="1156"/>
      <c r="AA113" s="1156"/>
      <c r="AB113" s="1156"/>
      <c r="AC113" s="1156"/>
      <c r="AD113" s="1156"/>
      <c r="AE113" s="1156"/>
      <c r="AF113" s="1156"/>
      <c r="AG113" s="1156"/>
      <c r="AH113" s="1156"/>
      <c r="AI113" s="1156"/>
      <c r="AJ113" s="1156"/>
      <c r="AK113" s="1156"/>
      <c r="AL113" s="1156"/>
      <c r="AM113" s="1156"/>
      <c r="AN113" s="1156"/>
      <c r="AO113" s="1156"/>
      <c r="AP113" s="1156"/>
      <c r="AQ113" s="1156"/>
      <c r="AR113" s="1156"/>
      <c r="AS113" s="1156"/>
      <c r="AT113" s="1156"/>
      <c r="AU113" s="1156"/>
      <c r="AV113" s="1156"/>
      <c r="AW113" s="1156"/>
      <c r="AX113" s="166"/>
      <c r="AY113" s="1168"/>
      <c r="AZ113" s="1168"/>
      <c r="BA113" s="1168"/>
      <c r="BB113" s="1168"/>
      <c r="BC113" s="1168"/>
      <c r="BD113" s="1168"/>
      <c r="BE113" s="1168"/>
      <c r="BF113" s="1168"/>
      <c r="BG113" s="1168"/>
      <c r="BH113" s="1168"/>
      <c r="BI113" s="1168"/>
      <c r="BJ113" s="1169"/>
      <c r="BK113" s="22"/>
    </row>
    <row r="114" spans="1:63">
      <c r="B114" s="164"/>
      <c r="C114" s="1170" t="s">
        <v>25</v>
      </c>
      <c r="D114" s="1164" t="str">
        <f>INDEX(Vectors[Description], MATCH($C114, Vectors[Code], 0))</f>
        <v>Conversion losses</v>
      </c>
      <c r="E114" s="166"/>
      <c r="F114" s="267"/>
      <c r="G114" s="267"/>
      <c r="H114" s="1165"/>
      <c r="I114" s="1165"/>
      <c r="J114" s="1165"/>
      <c r="K114" s="1165"/>
      <c r="L114" s="1165"/>
      <c r="M114" s="1165"/>
      <c r="N114" s="1165"/>
      <c r="O114" s="1165"/>
      <c r="P114" s="1165"/>
      <c r="Q114" s="1165"/>
      <c r="R114" s="1165"/>
      <c r="S114" s="1165"/>
      <c r="T114" s="1165"/>
      <c r="U114" s="1165"/>
      <c r="V114" s="1165"/>
      <c r="W114" s="1165"/>
      <c r="X114" s="1165"/>
      <c r="Y114" s="1165"/>
      <c r="Z114" s="1165"/>
      <c r="AA114" s="1165"/>
      <c r="AB114" s="1165"/>
      <c r="AC114" s="1165"/>
      <c r="AD114" s="1165"/>
      <c r="AE114" s="1165"/>
      <c r="AF114" s="1165"/>
      <c r="AG114" s="1165"/>
      <c r="AH114" s="1165"/>
      <c r="AI114" s="1165"/>
      <c r="AJ114" s="1165"/>
      <c r="AK114" s="1165"/>
      <c r="AL114" s="1165"/>
      <c r="AM114" s="1165"/>
      <c r="AN114" s="1165"/>
      <c r="AO114" s="1165"/>
      <c r="AP114" s="1165"/>
      <c r="AQ114" s="1165"/>
      <c r="AR114" s="1165"/>
      <c r="AS114" s="1165"/>
      <c r="AT114" s="1165"/>
      <c r="AU114" s="1165"/>
      <c r="AV114" s="1165"/>
      <c r="AW114" s="1165"/>
      <c r="AX114" s="166"/>
      <c r="AY114" s="1168">
        <f ca="1">INDEX(INDIRECT("'"&amp;AY$4&amp;"'!Year.NetBalance"), MATCH(Pathways!$C114, INDIRECT("'"&amp;AY$4&amp;"'!Year.Vectors"), 0))</f>
        <v>1204.9134654632253</v>
      </c>
      <c r="AZ114" s="1168"/>
      <c r="BA114" s="1168">
        <f ca="1">INDEX(INDIRECT("'"&amp;BA$4&amp;"'!Year.NetBalance"), MATCH(Pathways!$C114, INDIRECT("'"&amp;BA$4&amp;"'!Year.Vectors"), 0))</f>
        <v>1583.5121319367117</v>
      </c>
      <c r="BB114" s="1168">
        <f ca="1">INDEX(INDIRECT("'"&amp;BB$4&amp;"'!Year.NetBalance"), MATCH(Pathways!$C114, INDIRECT("'"&amp;BB$4&amp;"'!Year.Vectors"), 0))</f>
        <v>2198.9967999595065</v>
      </c>
      <c r="BC114" s="1168">
        <f ca="1">INDEX(INDIRECT("'"&amp;BC$4&amp;"'!Year.NetBalance"), MATCH(Pathways!$C114, INDIRECT("'"&amp;BC$4&amp;"'!Year.Vectors"), 0))</f>
        <v>3112.3803529601846</v>
      </c>
      <c r="BD114" s="1168">
        <f ca="1">INDEX(INDIRECT("'"&amp;BD$4&amp;"'!Year.NetBalance"), MATCH(Pathways!$C114, INDIRECT("'"&amp;BD$4&amp;"'!Year.Vectors"), 0))</f>
        <v>4300.9018175874617</v>
      </c>
      <c r="BE114" s="1168">
        <f ca="1">INDEX(INDIRECT("'"&amp;BE$4&amp;"'!Year.NetBalance"), MATCH(Pathways!$C114, INDIRECT("'"&amp;BE$4&amp;"'!Year.Vectors"), 0))</f>
        <v>5927.1542532879812</v>
      </c>
      <c r="BF114" s="1168">
        <f ca="1">INDEX(INDIRECT("'"&amp;BF$4&amp;"'!Year.NetBalance"), MATCH(Pathways!$C114, INDIRECT("'"&amp;BF$4&amp;"'!Year.Vectors"), 0))</f>
        <v>7390.4313450575319</v>
      </c>
      <c r="BG114" s="1168">
        <f ca="1">INDEX(INDIRECT("'"&amp;BG$4&amp;"'!Year.NetBalance"), MATCH(Pathways!$C114, INDIRECT("'"&amp;BG$4&amp;"'!Year.Vectors"), 0))</f>
        <v>9103.9909450769155</v>
      </c>
      <c r="BH114" s="1168">
        <f ca="1">INDEX(INDIRECT("'"&amp;BH$4&amp;"'!Year.NetBalance"), MATCH(Pathways!$C114, INDIRECT("'"&amp;BH$4&amp;"'!Year.Vectors"), 0))</f>
        <v>10665.554627399255</v>
      </c>
      <c r="BI114" s="1168">
        <f ca="1">INDEX(INDIRECT("'"&amp;BI$4&amp;"'!Year.NetBalance"), MATCH(Pathways!$C114, INDIRECT("'"&amp;BI$4&amp;"'!Year.Vectors"), 0))</f>
        <v>12423.428404122662</v>
      </c>
      <c r="BJ114" s="1169"/>
      <c r="BK114" s="22"/>
    </row>
    <row r="115" spans="1:63">
      <c r="B115" s="164"/>
      <c r="C115" s="1170" t="s">
        <v>26</v>
      </c>
      <c r="D115" s="1164" t="str">
        <f>INDEX(Vectors[Description], MATCH($C115, Vectors[Code], 0))</f>
        <v>Distribution losses and own use</v>
      </c>
      <c r="E115" s="166"/>
      <c r="F115" s="267"/>
      <c r="G115" s="267"/>
      <c r="H115" s="1165"/>
      <c r="I115" s="1165"/>
      <c r="J115" s="1165"/>
      <c r="K115" s="1165"/>
      <c r="L115" s="1165"/>
      <c r="M115" s="1165"/>
      <c r="N115" s="1165"/>
      <c r="O115" s="1165"/>
      <c r="P115" s="1165"/>
      <c r="Q115" s="1165"/>
      <c r="R115" s="1165"/>
      <c r="S115" s="1165"/>
      <c r="T115" s="1165"/>
      <c r="U115" s="1165"/>
      <c r="V115" s="1165"/>
      <c r="W115" s="1165"/>
      <c r="X115" s="1165"/>
      <c r="Y115" s="1165"/>
      <c r="Z115" s="1165"/>
      <c r="AA115" s="1165"/>
      <c r="AB115" s="1165"/>
      <c r="AC115" s="1165"/>
      <c r="AD115" s="1165"/>
      <c r="AE115" s="1165"/>
      <c r="AF115" s="1165"/>
      <c r="AG115" s="1165"/>
      <c r="AH115" s="1165"/>
      <c r="AI115" s="1165"/>
      <c r="AJ115" s="1165"/>
      <c r="AK115" s="1165"/>
      <c r="AL115" s="1165"/>
      <c r="AM115" s="1165"/>
      <c r="AN115" s="1165"/>
      <c r="AO115" s="1165"/>
      <c r="AP115" s="1165"/>
      <c r="AQ115" s="1165"/>
      <c r="AR115" s="1165"/>
      <c r="AS115" s="1165"/>
      <c r="AT115" s="1165"/>
      <c r="AU115" s="1165"/>
      <c r="AV115" s="1165"/>
      <c r="AW115" s="1165"/>
      <c r="AX115" s="166"/>
      <c r="AY115" s="1168">
        <f ca="1">INDEX(INDIRECT("'"&amp;AY$4&amp;"'!Year.NetBalance"), MATCH(Pathways!$C115, INDIRECT("'"&amp;AY$4&amp;"'!Year.Vectors"), 0))</f>
        <v>404.77084403907202</v>
      </c>
      <c r="AZ115" s="1168"/>
      <c r="BA115" s="1168">
        <f ca="1">INDEX(INDIRECT("'"&amp;BA$4&amp;"'!Year.NetBalance"), MATCH(Pathways!$C115, INDIRECT("'"&amp;BA$4&amp;"'!Year.Vectors"), 0))</f>
        <v>500.4949957075288</v>
      </c>
      <c r="BB115" s="1168">
        <f ca="1">INDEX(INDIRECT("'"&amp;BB$4&amp;"'!Year.NetBalance"), MATCH(Pathways!$C115, INDIRECT("'"&amp;BB$4&amp;"'!Year.Vectors"), 0))</f>
        <v>693.56163029937284</v>
      </c>
      <c r="BC115" s="1168">
        <f ca="1">INDEX(INDIRECT("'"&amp;BC$4&amp;"'!Year.NetBalance"), MATCH(Pathways!$C115, INDIRECT("'"&amp;BC$4&amp;"'!Year.Vectors"), 0))</f>
        <v>910.76948797011448</v>
      </c>
      <c r="BD115" s="1168">
        <f ca="1">INDEX(INDIRECT("'"&amp;BD$4&amp;"'!Year.NetBalance"), MATCH(Pathways!$C115, INDIRECT("'"&amp;BD$4&amp;"'!Year.Vectors"), 0))</f>
        <v>1169.3574840485151</v>
      </c>
      <c r="BE115" s="1168">
        <f ca="1">INDEX(INDIRECT("'"&amp;BE$4&amp;"'!Year.NetBalance"), MATCH(Pathways!$C115, INDIRECT("'"&amp;BE$4&amp;"'!Year.Vectors"), 0))</f>
        <v>1499.4249304748269</v>
      </c>
      <c r="BF115" s="1168">
        <f ca="1">INDEX(INDIRECT("'"&amp;BF$4&amp;"'!Year.NetBalance"), MATCH(Pathways!$C115, INDIRECT("'"&amp;BF$4&amp;"'!Year.Vectors"), 0))</f>
        <v>1801.9421970099083</v>
      </c>
      <c r="BG115" s="1168">
        <f ca="1">INDEX(INDIRECT("'"&amp;BG$4&amp;"'!Year.NetBalance"), MATCH(Pathways!$C115, INDIRECT("'"&amp;BG$4&amp;"'!Year.Vectors"), 0))</f>
        <v>2099.9177507492182</v>
      </c>
      <c r="BH115" s="1168">
        <f ca="1">INDEX(INDIRECT("'"&amp;BH$4&amp;"'!Year.NetBalance"), MATCH(Pathways!$C115, INDIRECT("'"&amp;BH$4&amp;"'!Year.Vectors"), 0))</f>
        <v>2404.1479798917499</v>
      </c>
      <c r="BI115" s="1168">
        <f ca="1">INDEX(INDIRECT("'"&amp;BI$4&amp;"'!Year.NetBalance"), MATCH(Pathways!$C115, INDIRECT("'"&amp;BI$4&amp;"'!Year.Vectors"), 0))</f>
        <v>2750.5719334910536</v>
      </c>
      <c r="BJ115" s="1169"/>
      <c r="BK115" s="22"/>
    </row>
    <row r="116" spans="1:63" s="51" customFormat="1">
      <c r="A116" s="3060"/>
      <c r="B116" s="164"/>
      <c r="C116" s="60"/>
      <c r="D116" s="1174" t="s">
        <v>1140</v>
      </c>
      <c r="E116" s="166"/>
      <c r="F116" s="1175"/>
      <c r="G116" s="1176"/>
      <c r="H116" s="1171"/>
      <c r="I116" s="1171"/>
      <c r="J116" s="1171"/>
      <c r="K116" s="1171"/>
      <c r="L116" s="1171"/>
      <c r="M116" s="1171"/>
      <c r="N116" s="1171"/>
      <c r="O116" s="1171"/>
      <c r="P116" s="1171"/>
      <c r="Q116" s="1171"/>
      <c r="R116" s="1171"/>
      <c r="S116" s="1171"/>
      <c r="T116" s="1171"/>
      <c r="U116" s="1171"/>
      <c r="V116" s="1171"/>
      <c r="W116" s="1171"/>
      <c r="X116" s="1171"/>
      <c r="Y116" s="1171"/>
      <c r="Z116" s="1171"/>
      <c r="AA116" s="1171"/>
      <c r="AB116" s="1171"/>
      <c r="AC116" s="1171"/>
      <c r="AD116" s="1171"/>
      <c r="AE116" s="1171"/>
      <c r="AF116" s="1171"/>
      <c r="AG116" s="1171"/>
      <c r="AH116" s="1171"/>
      <c r="AI116" s="1171"/>
      <c r="AJ116" s="1171"/>
      <c r="AK116" s="1171"/>
      <c r="AL116" s="1171"/>
      <c r="AM116" s="1171"/>
      <c r="AN116" s="1171"/>
      <c r="AO116" s="1171"/>
      <c r="AP116" s="1171"/>
      <c r="AQ116" s="1171"/>
      <c r="AR116" s="1171"/>
      <c r="AS116" s="1171"/>
      <c r="AT116" s="1171"/>
      <c r="AU116" s="1171"/>
      <c r="AV116" s="1171"/>
      <c r="AW116" s="1171"/>
      <c r="AX116" s="166"/>
      <c r="AY116" s="1175">
        <f ca="1">AY78-SUM(AY114:AY115)</f>
        <v>3938.8707024312575</v>
      </c>
      <c r="AZ116" s="1175"/>
      <c r="BA116" s="1175">
        <f t="shared" ref="BA116:BI116" ca="1" si="32">BA78-SUM(BA114:BA115)</f>
        <v>4904.5677325703546</v>
      </c>
      <c r="BB116" s="1175">
        <f t="shared" ca="1" si="32"/>
        <v>6548.1457293668154</v>
      </c>
      <c r="BC116" s="1175">
        <f t="shared" ca="1" si="32"/>
        <v>8682.9841023907993</v>
      </c>
      <c r="BD116" s="1175">
        <f t="shared" ca="1" si="32"/>
        <v>11209.116969724813</v>
      </c>
      <c r="BE116" s="1175">
        <f t="shared" ca="1" si="32"/>
        <v>14238.605478599178</v>
      </c>
      <c r="BF116" s="1175">
        <f t="shared" ca="1" si="32"/>
        <v>17350.063285247772</v>
      </c>
      <c r="BG116" s="1175">
        <f t="shared" ca="1" si="32"/>
        <v>20544.551565330505</v>
      </c>
      <c r="BH116" s="1175">
        <f t="shared" ca="1" si="32"/>
        <v>23679.361325251182</v>
      </c>
      <c r="BI116" s="1175">
        <f t="shared" ca="1" si="32"/>
        <v>27071.520924120727</v>
      </c>
      <c r="BJ116" s="1190"/>
      <c r="BK116" s="97"/>
    </row>
    <row r="117" spans="1:63" s="51" customFormat="1">
      <c r="B117" s="164"/>
      <c r="C117" s="60"/>
      <c r="D117" s="266"/>
      <c r="E117" s="166"/>
      <c r="F117" s="1176"/>
      <c r="G117" s="1176"/>
      <c r="H117" s="1171"/>
      <c r="I117" s="1171"/>
      <c r="J117" s="1171"/>
      <c r="K117" s="1171"/>
      <c r="L117" s="1171"/>
      <c r="M117" s="1171"/>
      <c r="N117" s="1171"/>
      <c r="O117" s="1171"/>
      <c r="P117" s="1171"/>
      <c r="Q117" s="1171"/>
      <c r="R117" s="1171"/>
      <c r="S117" s="1171"/>
      <c r="T117" s="1171"/>
      <c r="U117" s="1171"/>
      <c r="V117" s="1171"/>
      <c r="W117" s="1171"/>
      <c r="X117" s="1171"/>
      <c r="Y117" s="1171"/>
      <c r="Z117" s="1171"/>
      <c r="AA117" s="1171"/>
      <c r="AB117" s="1171"/>
      <c r="AC117" s="1171"/>
      <c r="AD117" s="1171"/>
      <c r="AE117" s="1171"/>
      <c r="AF117" s="1171"/>
      <c r="AG117" s="1171"/>
      <c r="AH117" s="1171"/>
      <c r="AI117" s="1171"/>
      <c r="AJ117" s="1171"/>
      <c r="AK117" s="1171"/>
      <c r="AL117" s="1171"/>
      <c r="AM117" s="1171"/>
      <c r="AN117" s="1171"/>
      <c r="AO117" s="1171"/>
      <c r="AP117" s="1171"/>
      <c r="AQ117" s="1171"/>
      <c r="AR117" s="1171"/>
      <c r="AS117" s="1171"/>
      <c r="AT117" s="1171"/>
      <c r="AU117" s="1171"/>
      <c r="AV117" s="1171"/>
      <c r="AW117" s="1171"/>
      <c r="AX117" s="166"/>
      <c r="AY117" s="1176"/>
      <c r="AZ117" s="1176"/>
      <c r="BA117" s="1176"/>
      <c r="BB117" s="1176"/>
      <c r="BC117" s="1176"/>
      <c r="BD117" s="1176"/>
      <c r="BE117" s="1176"/>
      <c r="BF117" s="1176"/>
      <c r="BG117" s="1176"/>
      <c r="BH117" s="1176"/>
      <c r="BI117" s="1176"/>
      <c r="BJ117" s="1190"/>
      <c r="BK117" s="97"/>
    </row>
    <row r="118" spans="1:63" s="51" customFormat="1">
      <c r="B118" s="164"/>
      <c r="C118" s="266" t="s">
        <v>2079</v>
      </c>
      <c r="D118" s="266"/>
      <c r="E118" s="166"/>
      <c r="F118" s="166"/>
      <c r="G118" s="1176"/>
      <c r="H118" s="1171"/>
      <c r="I118" s="1171"/>
      <c r="J118" s="1171"/>
      <c r="K118" s="1171"/>
      <c r="L118" s="1171"/>
      <c r="M118" s="1171"/>
      <c r="N118" s="1171"/>
      <c r="O118" s="1171"/>
      <c r="P118" s="1171"/>
      <c r="Q118" s="1171"/>
      <c r="R118" s="1171"/>
      <c r="S118" s="1171"/>
      <c r="T118" s="1171"/>
      <c r="U118" s="1171"/>
      <c r="V118" s="1171"/>
      <c r="W118" s="1171"/>
      <c r="X118" s="1171"/>
      <c r="Y118" s="1171"/>
      <c r="Z118" s="1171"/>
      <c r="AA118" s="1171"/>
      <c r="AB118" s="1171"/>
      <c r="AC118" s="1171"/>
      <c r="AD118" s="1171"/>
      <c r="AE118" s="1171"/>
      <c r="AF118" s="1171"/>
      <c r="AG118" s="1171"/>
      <c r="AH118" s="1171"/>
      <c r="AI118" s="1171"/>
      <c r="AJ118" s="1171"/>
      <c r="AK118" s="1171"/>
      <c r="AL118" s="1171"/>
      <c r="AM118" s="1171"/>
      <c r="AN118" s="1171"/>
      <c r="AO118" s="1171"/>
      <c r="AP118" s="1171"/>
      <c r="AQ118" s="1171"/>
      <c r="AR118" s="1171"/>
      <c r="AS118" s="1171"/>
      <c r="AT118" s="1171"/>
      <c r="AU118" s="1171"/>
      <c r="AV118" s="1171"/>
      <c r="AW118" s="1171"/>
      <c r="AX118" s="166"/>
      <c r="AY118" s="1176"/>
      <c r="AZ118" s="1176"/>
      <c r="BA118" s="1176"/>
      <c r="BB118" s="1176"/>
      <c r="BC118" s="1176"/>
      <c r="BD118" s="1176"/>
      <c r="BE118" s="1176"/>
      <c r="BF118" s="1176"/>
      <c r="BG118" s="1176"/>
      <c r="BH118" s="1176"/>
      <c r="BI118" s="1176"/>
      <c r="BJ118" s="1190"/>
      <c r="BK118" s="97"/>
    </row>
    <row r="119" spans="1:63" s="51" customFormat="1">
      <c r="B119" s="164"/>
      <c r="C119" s="60" t="s">
        <v>36</v>
      </c>
      <c r="D119" s="166" t="str">
        <f>INDEX(Vectors[Description],MATCH($C119,Vectors[Code],0))</f>
        <v>Solid hydrocarbons</v>
      </c>
      <c r="E119" s="166"/>
      <c r="F119" s="267"/>
      <c r="G119" s="1176"/>
      <c r="H119" s="1171"/>
      <c r="I119" s="1171"/>
      <c r="J119" s="1171"/>
      <c r="K119" s="1171"/>
      <c r="L119" s="1171"/>
      <c r="M119" s="1171"/>
      <c r="N119" s="1171"/>
      <c r="O119" s="1171"/>
      <c r="P119" s="1171"/>
      <c r="Q119" s="1171"/>
      <c r="R119" s="1171"/>
      <c r="S119" s="1171"/>
      <c r="T119" s="1171"/>
      <c r="U119" s="1171"/>
      <c r="V119" s="1171"/>
      <c r="W119" s="1171"/>
      <c r="X119" s="1171"/>
      <c r="Y119" s="1171"/>
      <c r="Z119" s="1171"/>
      <c r="AA119" s="1171"/>
      <c r="AB119" s="1171"/>
      <c r="AC119" s="1171"/>
      <c r="AD119" s="1171"/>
      <c r="AE119" s="1171"/>
      <c r="AF119" s="1171"/>
      <c r="AG119" s="1171"/>
      <c r="AH119" s="1171"/>
      <c r="AI119" s="1171"/>
      <c r="AJ119" s="1171"/>
      <c r="AK119" s="1171"/>
      <c r="AL119" s="1171"/>
      <c r="AM119" s="1171"/>
      <c r="AN119" s="1171"/>
      <c r="AO119" s="1171"/>
      <c r="AP119" s="1171"/>
      <c r="AQ119" s="1171"/>
      <c r="AR119" s="1171"/>
      <c r="AS119" s="1171"/>
      <c r="AT119" s="1171"/>
      <c r="AU119" s="1171"/>
      <c r="AV119" s="1171"/>
      <c r="AW119" s="1171"/>
      <c r="AX119" s="166"/>
      <c r="AY119" s="1275">
        <f ca="1">-(INDEX(INDIRECT(AY$123&amp;"!Year.Matrix"),MATCH("Subtotal.Supply",INDIRECT(AY$123&amp;"!Year.Modules"),0),MATCH("V.03",INDIRECT(AY$123&amp;"!Year.Vectors"),0))+INDEX(INDIRECT(AY$123&amp;"!Year.Matrix"),MATCH("Subtotal.Consumption",INDIRECT(AY$123&amp;"!Year.Modules"),0),MATCH("V.03",INDIRECT(AY$123&amp;"!Year.Vectors"),0)))+AY299</f>
        <v>3253.4798011484609</v>
      </c>
      <c r="AZ119" s="1275"/>
      <c r="BA119" s="1275">
        <f t="shared" ref="BA119:BI119" ca="1" si="33">-(INDEX(INDIRECT(BA$123&amp;"!Year.Matrix"),MATCH("Subtotal.Supply",INDIRECT(BA$123&amp;"!Year.Modules"),0),MATCH("V.03",INDIRECT(BA$123&amp;"!Year.Vectors"),0))+INDEX(INDIRECT(BA$123&amp;"!Year.Matrix"),MATCH("Subtotal.Consumption",INDIRECT(BA$123&amp;"!Year.Modules"),0),MATCH("V.03",INDIRECT(BA$123&amp;"!Year.Vectors"),0)))+BA299</f>
        <v>4186.6587822140627</v>
      </c>
      <c r="BB119" s="1275">
        <f t="shared" ca="1" si="33"/>
        <v>5440.2416760911601</v>
      </c>
      <c r="BC119" s="1275">
        <f t="shared" ca="1" si="33"/>
        <v>7599.0050414244033</v>
      </c>
      <c r="BD119" s="1275">
        <f t="shared" ca="1" si="33"/>
        <v>10283.250772451853</v>
      </c>
      <c r="BE119" s="1275">
        <f t="shared" ca="1" si="33"/>
        <v>13752.901942267128</v>
      </c>
      <c r="BF119" s="1275">
        <f t="shared" ca="1" si="33"/>
        <v>16958.349070363496</v>
      </c>
      <c r="BG119" s="1275">
        <f t="shared" ca="1" si="33"/>
        <v>20459.946248371478</v>
      </c>
      <c r="BH119" s="1275">
        <f t="shared" ca="1" si="33"/>
        <v>23583.182597617422</v>
      </c>
      <c r="BI119" s="1275">
        <f t="shared" ca="1" si="33"/>
        <v>27066.994339922483</v>
      </c>
      <c r="BJ119" s="1190"/>
      <c r="BK119" s="97"/>
    </row>
    <row r="120" spans="1:63" s="51" customFormat="1">
      <c r="B120" s="164"/>
      <c r="C120" s="60" t="s">
        <v>38</v>
      </c>
      <c r="D120" s="166" t="str">
        <f>INDEX(Vectors[Description],MATCH($C120,Vectors[Code],0))</f>
        <v>Liquid hydrocarbons</v>
      </c>
      <c r="E120" s="166"/>
      <c r="F120" s="267"/>
      <c r="G120" s="1176"/>
      <c r="H120" s="1171"/>
      <c r="I120" s="1171"/>
      <c r="J120" s="1171"/>
      <c r="K120" s="1171"/>
      <c r="L120" s="1171"/>
      <c r="M120" s="1171"/>
      <c r="N120" s="1171"/>
      <c r="O120" s="1171"/>
      <c r="P120" s="1171"/>
      <c r="Q120" s="1171"/>
      <c r="R120" s="1171"/>
      <c r="S120" s="1171"/>
      <c r="T120" s="1171"/>
      <c r="U120" s="1171"/>
      <c r="V120" s="1171"/>
      <c r="W120" s="1171"/>
      <c r="X120" s="1171"/>
      <c r="Y120" s="1171"/>
      <c r="Z120" s="1171"/>
      <c r="AA120" s="1171"/>
      <c r="AB120" s="1171"/>
      <c r="AC120" s="1171"/>
      <c r="AD120" s="1171"/>
      <c r="AE120" s="1171"/>
      <c r="AF120" s="1171"/>
      <c r="AG120" s="1171"/>
      <c r="AH120" s="1171"/>
      <c r="AI120" s="1171"/>
      <c r="AJ120" s="1171"/>
      <c r="AK120" s="1171"/>
      <c r="AL120" s="1171"/>
      <c r="AM120" s="1171"/>
      <c r="AN120" s="1171"/>
      <c r="AO120" s="1171"/>
      <c r="AP120" s="1171"/>
      <c r="AQ120" s="1171"/>
      <c r="AR120" s="1171"/>
      <c r="AS120" s="1171"/>
      <c r="AT120" s="1171"/>
      <c r="AU120" s="1171"/>
      <c r="AV120" s="1171"/>
      <c r="AW120" s="1171"/>
      <c r="AX120" s="166"/>
      <c r="AY120" s="1275">
        <f ca="1">-(INDEX(INDIRECT(AY$123&amp;"!Year.Matrix"),MATCH("Subtotal.Supply",INDIRECT(AY$123&amp;"!Year.Modules"),0),MATCH("V.04",INDIRECT(AY$123&amp;"!Year.Vectors"),0))+INDEX(INDIRECT(AY$123&amp;"!Year.Matrix"),MATCH("Subtotal.Consumption",INDIRECT(AY$123&amp;"!Year.Modules"),0),MATCH("V.04",INDIRECT(AY$123&amp;"!Year.Vectors"),0)))+AY300</f>
        <v>1507.1271398060596</v>
      </c>
      <c r="AZ120" s="1275"/>
      <c r="BA120" s="1275">
        <f t="shared" ref="BA120:BI120" ca="1" si="34">-(INDEX(INDIRECT(BA$123&amp;"!Year.Matrix"),MATCH("Subtotal.Supply",INDIRECT(BA$123&amp;"!Year.Modules"),0),MATCH("V.04",INDIRECT(BA$123&amp;"!Year.Vectors"),0))+INDEX(INDIRECT(BA$123&amp;"!Year.Matrix"),MATCH("Subtotal.Consumption",INDIRECT(BA$123&amp;"!Year.Modules"),0),MATCH("V.04",INDIRECT(BA$123&amp;"!Year.Vectors"),0)))+BA300</f>
        <v>1784.7830860037395</v>
      </c>
      <c r="BB120" s="1275">
        <f t="shared" ca="1" si="34"/>
        <v>2414.9219458854045</v>
      </c>
      <c r="BC120" s="1275">
        <f t="shared" ca="1" si="34"/>
        <v>3241.2908350865459</v>
      </c>
      <c r="BD120" s="1275">
        <f t="shared" ca="1" si="34"/>
        <v>4223.7654770972395</v>
      </c>
      <c r="BE120" s="1275">
        <f t="shared" ca="1" si="34"/>
        <v>5375.2726406997626</v>
      </c>
      <c r="BF120" s="1275">
        <f t="shared" ca="1" si="34"/>
        <v>6663.9787683041413</v>
      </c>
      <c r="BG120" s="1275">
        <f t="shared" ca="1" si="34"/>
        <v>7973.920334522948</v>
      </c>
      <c r="BH120" s="1275">
        <f t="shared" ca="1" si="34"/>
        <v>9448.4442070287369</v>
      </c>
      <c r="BI120" s="1275">
        <f t="shared" ca="1" si="34"/>
        <v>11027.044368693952</v>
      </c>
      <c r="BJ120" s="1190"/>
      <c r="BK120" s="97"/>
    </row>
    <row r="121" spans="1:63" s="51" customFormat="1">
      <c r="B121" s="164"/>
      <c r="C121" s="60" t="s">
        <v>39</v>
      </c>
      <c r="D121" s="166" t="str">
        <f>INDEX(Vectors[Description],MATCH($C121,Vectors[Code],0))</f>
        <v>Gaseous hydrocarbons</v>
      </c>
      <c r="E121" s="166"/>
      <c r="F121" s="1175"/>
      <c r="G121" s="1176"/>
      <c r="H121" s="1171"/>
      <c r="I121" s="1171"/>
      <c r="J121" s="1171"/>
      <c r="K121" s="1171"/>
      <c r="L121" s="1171"/>
      <c r="M121" s="1171"/>
      <c r="N121" s="1171"/>
      <c r="O121" s="1171"/>
      <c r="P121" s="1171"/>
      <c r="Q121" s="1171"/>
      <c r="R121" s="1171"/>
      <c r="S121" s="1171"/>
      <c r="T121" s="1171"/>
      <c r="U121" s="1171"/>
      <c r="V121" s="1171"/>
      <c r="W121" s="1171"/>
      <c r="X121" s="1171"/>
      <c r="Y121" s="1171"/>
      <c r="Z121" s="1171"/>
      <c r="AA121" s="1171"/>
      <c r="AB121" s="1171"/>
      <c r="AC121" s="1171"/>
      <c r="AD121" s="1171"/>
      <c r="AE121" s="1171"/>
      <c r="AF121" s="1171"/>
      <c r="AG121" s="1171"/>
      <c r="AH121" s="1171"/>
      <c r="AI121" s="1171"/>
      <c r="AJ121" s="1171"/>
      <c r="AK121" s="1171"/>
      <c r="AL121" s="1171"/>
      <c r="AM121" s="1171"/>
      <c r="AN121" s="1171"/>
      <c r="AO121" s="1171"/>
      <c r="AP121" s="1171"/>
      <c r="AQ121" s="1171"/>
      <c r="AR121" s="1171"/>
      <c r="AS121" s="1171"/>
      <c r="AT121" s="1171"/>
      <c r="AU121" s="1171"/>
      <c r="AV121" s="1171"/>
      <c r="AW121" s="1171"/>
      <c r="AX121" s="166"/>
      <c r="AY121" s="1275">
        <f ca="1">-(INDEX(INDIRECT(AY$123&amp;"!Year.Matrix"),MATCH("Subtotal.Supply",INDIRECT(AY$123&amp;"!Year.Modules"),0),MATCH("V.05",INDIRECT(AY$123&amp;"!Year.Vectors"),0))+INDEX(INDIRECT(AY$123&amp;"!Year.Matrix"),MATCH("Subtotal.Consumption",INDIRECT(AY$123&amp;"!Year.Modules"),0),MATCH("V.05",INDIRECT(AY$123&amp;"!Year.Vectors"),0)))+AY301</f>
        <v>400.80896663638987</v>
      </c>
      <c r="AZ121" s="1275"/>
      <c r="BA121" s="1275">
        <f t="shared" ref="BA121:BI121" ca="1" si="35">-(INDEX(INDIRECT(BA$123&amp;"!Year.Matrix"),MATCH("Subtotal.Supply",INDIRECT(BA$123&amp;"!Year.Modules"),0),MATCH("V.05",INDIRECT(BA$123&amp;"!Year.Vectors"),0))+INDEX(INDIRECT(BA$123&amp;"!Year.Matrix"),MATCH("Subtotal.Consumption",INDIRECT(BA$123&amp;"!Year.Modules"),0),MATCH("V.05",INDIRECT(BA$123&amp;"!Year.Vectors"),0)))+BA301</f>
        <v>538.99887527499732</v>
      </c>
      <c r="BB121" s="1275">
        <f t="shared" ca="1" si="35"/>
        <v>841.23652056611616</v>
      </c>
      <c r="BC121" s="1275">
        <f t="shared" ca="1" si="35"/>
        <v>994.46394646854696</v>
      </c>
      <c r="BD121" s="1275">
        <f t="shared" ca="1" si="35"/>
        <v>1149.3965479446485</v>
      </c>
      <c r="BE121" s="1275">
        <f t="shared" ca="1" si="35"/>
        <v>1340.1633809947466</v>
      </c>
      <c r="BF121" s="1275">
        <f t="shared" ca="1" si="35"/>
        <v>1555.4213398542583</v>
      </c>
      <c r="BG121" s="1275">
        <f t="shared" ca="1" si="35"/>
        <v>1794.9126529437026</v>
      </c>
      <c r="BH121" s="1275">
        <f t="shared" ca="1" si="35"/>
        <v>2055.9244870184016</v>
      </c>
      <c r="BI121" s="1275">
        <f t="shared" ca="1" si="35"/>
        <v>2348.7378176448806</v>
      </c>
      <c r="BJ121" s="1190"/>
      <c r="BK121" s="97"/>
    </row>
    <row r="122" spans="1:63" s="51" customFormat="1">
      <c r="B122" s="164"/>
      <c r="C122" s="60"/>
      <c r="D122" s="266"/>
      <c r="E122" s="166"/>
      <c r="F122" s="1176"/>
      <c r="G122" s="1176"/>
      <c r="H122" s="1171"/>
      <c r="I122" s="1171"/>
      <c r="J122" s="1171"/>
      <c r="K122" s="1171"/>
      <c r="L122" s="1171"/>
      <c r="M122" s="1171"/>
      <c r="N122" s="1171"/>
      <c r="O122" s="1171"/>
      <c r="P122" s="1171"/>
      <c r="Q122" s="1171"/>
      <c r="R122" s="1171"/>
      <c r="S122" s="1171"/>
      <c r="T122" s="1171"/>
      <c r="U122" s="1171"/>
      <c r="V122" s="1171"/>
      <c r="W122" s="1171"/>
      <c r="X122" s="1171"/>
      <c r="Y122" s="1171"/>
      <c r="Z122" s="1171"/>
      <c r="AA122" s="1171"/>
      <c r="AB122" s="1171"/>
      <c r="AC122" s="1171"/>
      <c r="AD122" s="1171"/>
      <c r="AE122" s="1171"/>
      <c r="AF122" s="1171"/>
      <c r="AG122" s="1171"/>
      <c r="AH122" s="1171"/>
      <c r="AI122" s="1171"/>
      <c r="AJ122" s="1171"/>
      <c r="AK122" s="1171"/>
      <c r="AL122" s="1171"/>
      <c r="AM122" s="1171"/>
      <c r="AN122" s="1171"/>
      <c r="AO122" s="1171"/>
      <c r="AP122" s="1171"/>
      <c r="AQ122" s="1171"/>
      <c r="AR122" s="1171"/>
      <c r="AS122" s="1171"/>
      <c r="AT122" s="1171"/>
      <c r="AU122" s="1171"/>
      <c r="AV122" s="1171"/>
      <c r="AW122" s="1171"/>
      <c r="AX122" s="166"/>
      <c r="AY122" s="1176"/>
      <c r="AZ122" s="1176"/>
      <c r="BA122" s="1176"/>
      <c r="BB122" s="1176"/>
      <c r="BC122" s="1176"/>
      <c r="BD122" s="1176"/>
      <c r="BE122" s="1176"/>
      <c r="BF122" s="1176"/>
      <c r="BG122" s="1176"/>
      <c r="BH122" s="1176"/>
      <c r="BI122" s="1176"/>
      <c r="BJ122" s="1190"/>
      <c r="BK122" s="97"/>
    </row>
    <row r="123" spans="1:63" s="51" customFormat="1" ht="18">
      <c r="B123" s="1189"/>
      <c r="C123" s="266" t="s">
        <v>2002</v>
      </c>
      <c r="D123" s="266"/>
      <c r="E123" s="166"/>
      <c r="F123" s="1176"/>
      <c r="G123" s="1176"/>
      <c r="H123" s="1171"/>
      <c r="I123" s="1171"/>
      <c r="J123" s="1171"/>
      <c r="K123" s="1171"/>
      <c r="L123" s="1171"/>
      <c r="M123" s="1171"/>
      <c r="N123" s="1171"/>
      <c r="O123" s="1171"/>
      <c r="P123" s="1171"/>
      <c r="Q123" s="1171"/>
      <c r="R123" s="1171"/>
      <c r="S123" s="1171"/>
      <c r="T123" s="1171"/>
      <c r="U123" s="1171"/>
      <c r="V123" s="1171"/>
      <c r="W123" s="1171"/>
      <c r="X123" s="1171"/>
      <c r="Y123" s="1171"/>
      <c r="Z123" s="1171"/>
      <c r="AA123" s="1171"/>
      <c r="AB123" s="1171"/>
      <c r="AC123" s="1171"/>
      <c r="AD123" s="1171"/>
      <c r="AE123" s="1171"/>
      <c r="AF123" s="1171"/>
      <c r="AG123" s="1171"/>
      <c r="AH123" s="1171"/>
      <c r="AI123" s="1171"/>
      <c r="AJ123" s="1171"/>
      <c r="AK123" s="1171"/>
      <c r="AL123" s="1171"/>
      <c r="AM123" s="1171"/>
      <c r="AN123" s="1171"/>
      <c r="AO123" s="1171"/>
      <c r="AP123" s="1171"/>
      <c r="AQ123" s="1171"/>
      <c r="AR123" s="1171"/>
      <c r="AS123" s="1171"/>
      <c r="AT123" s="1171"/>
      <c r="AU123" s="1171"/>
      <c r="AV123" s="1171"/>
      <c r="AW123" s="1171"/>
      <c r="AX123" s="166"/>
      <c r="AY123" s="2405">
        <v>2007</v>
      </c>
      <c r="AZ123" s="2405"/>
      <c r="BA123" s="2405">
        <f>AY123+5</f>
        <v>2012</v>
      </c>
      <c r="BB123" s="2405">
        <f t="shared" ref="BB123:BI123" si="36">BA123+5</f>
        <v>2017</v>
      </c>
      <c r="BC123" s="2405">
        <f t="shared" si="36"/>
        <v>2022</v>
      </c>
      <c r="BD123" s="2405">
        <f t="shared" si="36"/>
        <v>2027</v>
      </c>
      <c r="BE123" s="2405">
        <f t="shared" si="36"/>
        <v>2032</v>
      </c>
      <c r="BF123" s="2405">
        <f t="shared" si="36"/>
        <v>2037</v>
      </c>
      <c r="BG123" s="2405">
        <f t="shared" si="36"/>
        <v>2042</v>
      </c>
      <c r="BH123" s="2405">
        <f t="shared" si="36"/>
        <v>2047</v>
      </c>
      <c r="BI123" s="2405">
        <f t="shared" si="36"/>
        <v>2052</v>
      </c>
      <c r="BJ123" s="1190"/>
      <c r="BK123" s="97"/>
    </row>
    <row r="124" spans="1:63" s="51" customFormat="1" ht="18">
      <c r="B124" s="1189"/>
      <c r="C124" s="60"/>
      <c r="D124" s="266" t="s">
        <v>768</v>
      </c>
      <c r="E124" s="166"/>
      <c r="F124" s="1176"/>
      <c r="G124" s="1176"/>
      <c r="H124" s="1171"/>
      <c r="I124" s="1171"/>
      <c r="J124" s="1171"/>
      <c r="K124" s="1171"/>
      <c r="L124" s="1171"/>
      <c r="M124" s="1171"/>
      <c r="N124" s="1171"/>
      <c r="O124" s="1171"/>
      <c r="P124" s="1171"/>
      <c r="Q124" s="1171"/>
      <c r="R124" s="1171"/>
      <c r="S124" s="1171"/>
      <c r="T124" s="1171"/>
      <c r="U124" s="1171"/>
      <c r="V124" s="1171"/>
      <c r="W124" s="1171"/>
      <c r="X124" s="1171"/>
      <c r="Y124" s="1171"/>
      <c r="Z124" s="1171"/>
      <c r="AA124" s="1171"/>
      <c r="AB124" s="1171"/>
      <c r="AC124" s="1171"/>
      <c r="AD124" s="1171"/>
      <c r="AE124" s="1171"/>
      <c r="AF124" s="1171"/>
      <c r="AG124" s="1171"/>
      <c r="AH124" s="1171"/>
      <c r="AI124" s="1171"/>
      <c r="AJ124" s="1171"/>
      <c r="AK124" s="1171"/>
      <c r="AL124" s="1171"/>
      <c r="AM124" s="1171"/>
      <c r="AN124" s="1171"/>
      <c r="AO124" s="1171"/>
      <c r="AP124" s="1171"/>
      <c r="AQ124" s="1171"/>
      <c r="AR124" s="1171"/>
      <c r="AS124" s="1171"/>
      <c r="AT124" s="1171"/>
      <c r="AU124" s="1171"/>
      <c r="AV124" s="1171"/>
      <c r="AW124" s="1171"/>
      <c r="AX124" s="166"/>
      <c r="AY124" s="2498">
        <f ca="1">IF(AY69&gt;0,AY69/AY71,0)</f>
        <v>0.13507952627584974</v>
      </c>
      <c r="AZ124" s="2498"/>
      <c r="BA124" s="2498">
        <f t="shared" ref="BA124:BI124" ca="1" si="37">IF(BA69&gt;0,BA69/BA71,0)</f>
        <v>0.16485930672602372</v>
      </c>
      <c r="BB124" s="2498">
        <f t="shared" ca="1" si="37"/>
        <v>0.30038380160452349</v>
      </c>
      <c r="BC124" s="2498">
        <f t="shared" ca="1" si="37"/>
        <v>0.46122158513957046</v>
      </c>
      <c r="BD124" s="2498">
        <f t="shared" ca="1" si="37"/>
        <v>0.58505685653728867</v>
      </c>
      <c r="BE124" s="2498">
        <f t="shared" ca="1" si="37"/>
        <v>0.69093361123828889</v>
      </c>
      <c r="BF124" s="2498">
        <f t="shared" ca="1" si="37"/>
        <v>0.74862270069949943</v>
      </c>
      <c r="BG124" s="2498">
        <f t="shared" ca="1" si="37"/>
        <v>0.82548120110721002</v>
      </c>
      <c r="BH124" s="2498">
        <f t="shared" ca="1" si="37"/>
        <v>0.87291357847041562</v>
      </c>
      <c r="BI124" s="2498">
        <f t="shared" ca="1" si="37"/>
        <v>0.90683193945501583</v>
      </c>
      <c r="BJ124" s="1190"/>
      <c r="BK124" s="97"/>
    </row>
    <row r="125" spans="1:63" s="51" customFormat="1" ht="18">
      <c r="B125" s="1189"/>
      <c r="C125" s="60"/>
      <c r="D125" s="266" t="s">
        <v>877</v>
      </c>
      <c r="E125" s="166"/>
      <c r="F125" s="1176"/>
      <c r="G125" s="1176"/>
      <c r="H125" s="1171"/>
      <c r="I125" s="1171"/>
      <c r="J125" s="1171"/>
      <c r="K125" s="1171"/>
      <c r="L125" s="1171"/>
      <c r="M125" s="1171"/>
      <c r="N125" s="1171"/>
      <c r="O125" s="1171"/>
      <c r="P125" s="1171"/>
      <c r="Q125" s="1171"/>
      <c r="R125" s="1171"/>
      <c r="S125" s="1171"/>
      <c r="T125" s="1171"/>
      <c r="U125" s="1171"/>
      <c r="V125" s="1171"/>
      <c r="W125" s="1171"/>
      <c r="X125" s="1171"/>
      <c r="Y125" s="1171"/>
      <c r="Z125" s="1171"/>
      <c r="AA125" s="1171"/>
      <c r="AB125" s="1171"/>
      <c r="AC125" s="1171"/>
      <c r="AD125" s="1171"/>
      <c r="AE125" s="1171"/>
      <c r="AF125" s="1171"/>
      <c r="AG125" s="1171"/>
      <c r="AH125" s="1171"/>
      <c r="AI125" s="1171"/>
      <c r="AJ125" s="1171"/>
      <c r="AK125" s="1171"/>
      <c r="AL125" s="1171"/>
      <c r="AM125" s="1171"/>
      <c r="AN125" s="1171"/>
      <c r="AO125" s="1171"/>
      <c r="AP125" s="1171"/>
      <c r="AQ125" s="1171"/>
      <c r="AR125" s="1171"/>
      <c r="AS125" s="1171"/>
      <c r="AT125" s="1171"/>
      <c r="AU125" s="1171"/>
      <c r="AV125" s="1171"/>
      <c r="AW125" s="1171"/>
      <c r="AX125" s="166"/>
      <c r="AY125" s="2498">
        <f ca="1">IF(AY73&gt;0,AY73/AY74,0)</f>
        <v>0.7548840026793262</v>
      </c>
      <c r="AZ125" s="2498"/>
      <c r="BA125" s="2498">
        <f t="shared" ref="BA125:BI125" ca="1" si="38">IF(BA73&gt;0,BA73/BA74,0)</f>
        <v>0.76801844856785839</v>
      </c>
      <c r="BB125" s="2498">
        <f t="shared" ca="1" si="38"/>
        <v>0.81384388492225168</v>
      </c>
      <c r="BC125" s="2498">
        <f t="shared" ca="1" si="38"/>
        <v>0.88245797397316117</v>
      </c>
      <c r="BD125" s="2498">
        <f t="shared" ca="1" si="38"/>
        <v>0.9102173710055752</v>
      </c>
      <c r="BE125" s="2498">
        <f t="shared" ca="1" si="38"/>
        <v>0.92973992657010773</v>
      </c>
      <c r="BF125" s="2498">
        <f t="shared" ca="1" si="38"/>
        <v>0.9434642844335549</v>
      </c>
      <c r="BG125" s="2498">
        <f t="shared" ca="1" si="38"/>
        <v>0.95279461204771887</v>
      </c>
      <c r="BH125" s="2498">
        <f t="shared" ca="1" si="38"/>
        <v>0.96013780817215177</v>
      </c>
      <c r="BI125" s="2498">
        <f t="shared" ca="1" si="38"/>
        <v>0.96576894692905224</v>
      </c>
      <c r="BJ125" s="1190"/>
      <c r="BK125" s="2556">
        <f>34/124</f>
        <v>0.27419354838709675</v>
      </c>
    </row>
    <row r="126" spans="1:63" s="51" customFormat="1" ht="18">
      <c r="B126" s="1189"/>
      <c r="C126" s="60"/>
      <c r="D126" s="266" t="s">
        <v>876</v>
      </c>
      <c r="E126" s="166"/>
      <c r="F126" s="1176"/>
      <c r="G126" s="1176"/>
      <c r="H126" s="1171"/>
      <c r="I126" s="1171"/>
      <c r="J126" s="1171"/>
      <c r="K126" s="1171"/>
      <c r="L126" s="1171"/>
      <c r="M126" s="1171"/>
      <c r="N126" s="1171"/>
      <c r="O126" s="1171"/>
      <c r="P126" s="1171"/>
      <c r="Q126" s="1171"/>
      <c r="R126" s="1171"/>
      <c r="S126" s="1171"/>
      <c r="T126" s="1171"/>
      <c r="U126" s="1171"/>
      <c r="V126" s="1171"/>
      <c r="W126" s="1171"/>
      <c r="X126" s="1171"/>
      <c r="Y126" s="1171"/>
      <c r="Z126" s="1171"/>
      <c r="AA126" s="1171"/>
      <c r="AB126" s="1171"/>
      <c r="AC126" s="1171"/>
      <c r="AD126" s="1171"/>
      <c r="AE126" s="1171"/>
      <c r="AF126" s="1171"/>
      <c r="AG126" s="1171"/>
      <c r="AH126" s="1171"/>
      <c r="AI126" s="1171"/>
      <c r="AJ126" s="1171"/>
      <c r="AK126" s="1171"/>
      <c r="AL126" s="1171"/>
      <c r="AM126" s="1171"/>
      <c r="AN126" s="1171"/>
      <c r="AO126" s="1171"/>
      <c r="AP126" s="1171"/>
      <c r="AQ126" s="1171"/>
      <c r="AR126" s="1171"/>
      <c r="AS126" s="1171"/>
      <c r="AT126" s="1171"/>
      <c r="AU126" s="1171"/>
      <c r="AV126" s="1171"/>
      <c r="AW126" s="1171"/>
      <c r="AX126" s="166"/>
      <c r="AY126" s="2498">
        <f ca="1">IF(AY75&gt;0,AY75/AY121,0)</f>
        <v>0.38380841620981121</v>
      </c>
      <c r="AZ126" s="2498"/>
      <c r="BA126" s="2498">
        <f t="shared" ref="BA126:BI126" ca="1" si="39">IF(BA75&gt;0,BA75/BA77,0)</f>
        <v>0.26119364634362074</v>
      </c>
      <c r="BB126" s="2498">
        <f t="shared" ca="1" si="39"/>
        <v>0.46866472811271864</v>
      </c>
      <c r="BC126" s="2498">
        <f t="shared" ca="1" si="39"/>
        <v>0.51428530855442001</v>
      </c>
      <c r="BD126" s="2498">
        <f t="shared" ca="1" si="39"/>
        <v>0.55098845581071276</v>
      </c>
      <c r="BE126" s="2498">
        <f t="shared" ca="1" si="39"/>
        <v>0.57919315329283294</v>
      </c>
      <c r="BF126" s="2498">
        <f t="shared" ca="1" si="39"/>
        <v>0.61587715650918029</v>
      </c>
      <c r="BG126" s="2498">
        <f t="shared" ca="1" si="39"/>
        <v>0.64677620066441044</v>
      </c>
      <c r="BH126" s="2498">
        <f t="shared" ca="1" si="39"/>
        <v>0.67223126154277801</v>
      </c>
      <c r="BI126" s="2498">
        <f t="shared" ca="1" si="39"/>
        <v>0.70058784339200642</v>
      </c>
      <c r="BJ126" s="1190"/>
      <c r="BK126" s="97"/>
    </row>
    <row r="127" spans="1:63" s="51" customFormat="1" ht="18">
      <c r="B127" s="1189"/>
      <c r="C127" s="60"/>
      <c r="D127" s="266" t="s">
        <v>2057</v>
      </c>
      <c r="E127" s="166"/>
      <c r="F127" s="1176"/>
      <c r="G127" s="1176"/>
      <c r="H127" s="1171"/>
      <c r="I127" s="1171"/>
      <c r="J127" s="1171"/>
      <c r="K127" s="1171"/>
      <c r="L127" s="1171"/>
      <c r="M127" s="1171"/>
      <c r="N127" s="1171"/>
      <c r="O127" s="1171"/>
      <c r="P127" s="1171"/>
      <c r="Q127" s="1171"/>
      <c r="R127" s="1171"/>
      <c r="S127" s="1171"/>
      <c r="T127" s="1171"/>
      <c r="U127" s="1171"/>
      <c r="V127" s="1171"/>
      <c r="W127" s="1171"/>
      <c r="X127" s="1171"/>
      <c r="Y127" s="1171"/>
      <c r="Z127" s="1171"/>
      <c r="AA127" s="1171"/>
      <c r="AB127" s="1171"/>
      <c r="AC127" s="1171"/>
      <c r="AD127" s="1171"/>
      <c r="AE127" s="1171"/>
      <c r="AF127" s="1171"/>
      <c r="AG127" s="1171"/>
      <c r="AH127" s="1171"/>
      <c r="AI127" s="1171"/>
      <c r="AJ127" s="1171"/>
      <c r="AK127" s="1171"/>
      <c r="AL127" s="1171"/>
      <c r="AM127" s="1171"/>
      <c r="AN127" s="1171"/>
      <c r="AO127" s="1171"/>
      <c r="AP127" s="1171"/>
      <c r="AQ127" s="1171"/>
      <c r="AR127" s="1171"/>
      <c r="AS127" s="1171"/>
      <c r="AT127" s="1171"/>
      <c r="AU127" s="1171"/>
      <c r="AV127" s="1171"/>
      <c r="AW127" s="1171"/>
      <c r="AX127" s="166"/>
      <c r="AY127" s="2498">
        <f ca="1">(AY124*AY71+AY74*AY125+AY126*AY77)/AY78</f>
        <v>0.30694137298932872</v>
      </c>
      <c r="AZ127" s="2498"/>
      <c r="BA127" s="2498">
        <f t="shared" ref="BA127:BI127" ca="1" si="40">(BA124*BA71+BA74*BA125+BA126*BA77)/BA78</f>
        <v>0.30896872038307943</v>
      </c>
      <c r="BB127" s="2498">
        <f t="shared" ca="1" si="40"/>
        <v>0.41280262195996537</v>
      </c>
      <c r="BC127" s="2498">
        <f t="shared" ca="1" si="40"/>
        <v>0.52756384593140027</v>
      </c>
      <c r="BD127" s="2498">
        <f t="shared" ca="1" si="40"/>
        <v>0.61665991241300089</v>
      </c>
      <c r="BE127" s="2498">
        <f t="shared" ca="1" si="40"/>
        <v>0.69526596174704458</v>
      </c>
      <c r="BF127" s="2498">
        <f t="shared" ca="1" si="40"/>
        <v>0.74533166634231784</v>
      </c>
      <c r="BG127" s="2498">
        <f t="shared" ca="1" si="40"/>
        <v>0.80424450756455557</v>
      </c>
      <c r="BH127" s="2498">
        <f t="shared" ca="1" si="40"/>
        <v>0.84384086837418315</v>
      </c>
      <c r="BI127" s="2498">
        <f t="shared" ca="1" si="40"/>
        <v>0.87393085626223332</v>
      </c>
      <c r="BJ127" s="1190"/>
      <c r="BK127" s="97"/>
    </row>
    <row r="128" spans="1:63" s="51" customFormat="1" ht="18">
      <c r="B128" s="1189"/>
      <c r="C128" s="60"/>
      <c r="D128" s="266"/>
      <c r="E128" s="166"/>
      <c r="F128" s="1176"/>
      <c r="G128" s="1176"/>
      <c r="H128" s="1171"/>
      <c r="I128" s="1171"/>
      <c r="J128" s="1171"/>
      <c r="K128" s="1171"/>
      <c r="L128" s="1171"/>
      <c r="M128" s="1171"/>
      <c r="N128" s="1171"/>
      <c r="O128" s="1171"/>
      <c r="P128" s="1171"/>
      <c r="Q128" s="1171"/>
      <c r="R128" s="1171"/>
      <c r="S128" s="1171"/>
      <c r="T128" s="1171"/>
      <c r="U128" s="1171"/>
      <c r="V128" s="1171"/>
      <c r="W128" s="1171"/>
      <c r="X128" s="1171"/>
      <c r="Y128" s="1171"/>
      <c r="Z128" s="1171"/>
      <c r="AA128" s="1171"/>
      <c r="AB128" s="1171"/>
      <c r="AC128" s="1171"/>
      <c r="AD128" s="1171"/>
      <c r="AE128" s="1171"/>
      <c r="AF128" s="1171"/>
      <c r="AG128" s="1171"/>
      <c r="AH128" s="1171"/>
      <c r="AI128" s="1171"/>
      <c r="AJ128" s="1171"/>
      <c r="AK128" s="1171"/>
      <c r="AL128" s="1171"/>
      <c r="AM128" s="1171"/>
      <c r="AN128" s="1171"/>
      <c r="AO128" s="1171"/>
      <c r="AP128" s="1171"/>
      <c r="AQ128" s="1171"/>
      <c r="AR128" s="1171"/>
      <c r="AS128" s="1171"/>
      <c r="AT128" s="1171"/>
      <c r="AU128" s="1171"/>
      <c r="AV128" s="1171"/>
      <c r="AW128" s="1171"/>
      <c r="AX128" s="166"/>
      <c r="AY128" s="1176"/>
      <c r="AZ128" s="1176"/>
      <c r="BA128" s="1176"/>
      <c r="BB128" s="1176"/>
      <c r="BC128" s="1176"/>
      <c r="BD128" s="1176"/>
      <c r="BE128" s="1176"/>
      <c r="BF128" s="1176"/>
      <c r="BG128" s="1176"/>
      <c r="BH128" s="1176"/>
      <c r="BI128" s="1176"/>
      <c r="BJ128" s="1190"/>
      <c r="BK128" s="97"/>
    </row>
    <row r="129" spans="2:63" s="51" customFormat="1" ht="18">
      <c r="B129" s="1189"/>
      <c r="C129" s="60"/>
      <c r="D129" s="266"/>
      <c r="E129" s="166"/>
      <c r="F129" s="1176"/>
      <c r="G129" s="1176"/>
      <c r="H129" s="1171"/>
      <c r="I129" s="1171"/>
      <c r="J129" s="1171"/>
      <c r="K129" s="1171"/>
      <c r="L129" s="1171"/>
      <c r="M129" s="1171"/>
      <c r="N129" s="1171"/>
      <c r="O129" s="1171"/>
      <c r="P129" s="1171"/>
      <c r="Q129" s="1171"/>
      <c r="R129" s="1171"/>
      <c r="S129" s="1171"/>
      <c r="T129" s="1171"/>
      <c r="U129" s="1171"/>
      <c r="V129" s="1171"/>
      <c r="W129" s="1171"/>
      <c r="X129" s="1171"/>
      <c r="Y129" s="1171"/>
      <c r="Z129" s="1171"/>
      <c r="AA129" s="1171"/>
      <c r="AB129" s="1171"/>
      <c r="AC129" s="1171"/>
      <c r="AD129" s="1171"/>
      <c r="AE129" s="1171"/>
      <c r="AF129" s="1171"/>
      <c r="AG129" s="1171"/>
      <c r="AH129" s="1171"/>
      <c r="AI129" s="1171"/>
      <c r="AJ129" s="1171"/>
      <c r="AK129" s="1171"/>
      <c r="AL129" s="1171"/>
      <c r="AM129" s="1171"/>
      <c r="AN129" s="1171"/>
      <c r="AO129" s="1171"/>
      <c r="AP129" s="1171"/>
      <c r="AQ129" s="1171"/>
      <c r="AR129" s="1171"/>
      <c r="AS129" s="1171"/>
      <c r="AT129" s="1171"/>
      <c r="AU129" s="1171"/>
      <c r="AV129" s="1171"/>
      <c r="AW129" s="1171"/>
      <c r="AX129" s="166"/>
      <c r="AY129" s="1176"/>
      <c r="AZ129" s="1176"/>
      <c r="BA129" s="2498"/>
      <c r="BB129" s="1176"/>
      <c r="BC129" s="1176"/>
      <c r="BD129" s="1176"/>
      <c r="BE129" s="1176"/>
      <c r="BF129" s="1176"/>
      <c r="BG129" s="1176"/>
      <c r="BH129" s="1176"/>
      <c r="BI129" s="1176"/>
      <c r="BJ129" s="1190"/>
      <c r="BK129" s="97"/>
    </row>
    <row r="130" spans="2:63" s="51" customFormat="1" ht="18">
      <c r="B130" s="1189"/>
      <c r="C130" s="60"/>
      <c r="D130" s="266"/>
      <c r="E130" s="166"/>
      <c r="F130" s="1176"/>
      <c r="G130" s="1176"/>
      <c r="H130" s="1171"/>
      <c r="I130" s="1171"/>
      <c r="J130" s="1171"/>
      <c r="K130" s="1171"/>
      <c r="L130" s="1171"/>
      <c r="M130" s="1171"/>
      <c r="N130" s="1171"/>
      <c r="O130" s="1171"/>
      <c r="P130" s="1171"/>
      <c r="Q130" s="1171"/>
      <c r="R130" s="1171"/>
      <c r="S130" s="1171"/>
      <c r="T130" s="1171"/>
      <c r="U130" s="1171"/>
      <c r="V130" s="1171"/>
      <c r="W130" s="1171"/>
      <c r="X130" s="1171"/>
      <c r="Y130" s="1171"/>
      <c r="Z130" s="1171"/>
      <c r="AA130" s="1171"/>
      <c r="AB130" s="1171"/>
      <c r="AC130" s="1171"/>
      <c r="AD130" s="1171"/>
      <c r="AE130" s="1171"/>
      <c r="AF130" s="1171"/>
      <c r="AG130" s="1171"/>
      <c r="AH130" s="1171"/>
      <c r="AI130" s="1171"/>
      <c r="AJ130" s="1171"/>
      <c r="AK130" s="1171"/>
      <c r="AL130" s="1171"/>
      <c r="AM130" s="1171"/>
      <c r="AN130" s="1171"/>
      <c r="AO130" s="1171"/>
      <c r="AP130" s="1171"/>
      <c r="AQ130" s="1171"/>
      <c r="AR130" s="1171"/>
      <c r="AS130" s="1171"/>
      <c r="AT130" s="1171"/>
      <c r="AU130" s="1171"/>
      <c r="AV130" s="1171"/>
      <c r="AW130" s="1171"/>
      <c r="AX130" s="166"/>
      <c r="AY130" s="1176"/>
      <c r="AZ130" s="1176"/>
      <c r="BA130" s="2498"/>
      <c r="BB130" s="1176"/>
      <c r="BC130" s="1176"/>
      <c r="BD130" s="1176"/>
      <c r="BE130" s="1176"/>
      <c r="BF130" s="1176"/>
      <c r="BG130" s="1176"/>
      <c r="BH130" s="1176"/>
      <c r="BI130" s="1176"/>
      <c r="BJ130" s="1190"/>
      <c r="BK130" s="97"/>
    </row>
    <row r="131" spans="2:63" ht="18">
      <c r="B131" s="1189"/>
      <c r="C131" s="166"/>
      <c r="D131" s="266"/>
      <c r="E131" s="166"/>
      <c r="F131" s="166"/>
      <c r="G131" s="166"/>
      <c r="H131" s="1156"/>
      <c r="I131" s="1156"/>
      <c r="J131" s="1156"/>
      <c r="K131" s="1156"/>
      <c r="L131" s="1156"/>
      <c r="M131" s="1156"/>
      <c r="N131" s="1156"/>
      <c r="O131" s="1156"/>
      <c r="P131" s="1156"/>
      <c r="Q131" s="1156"/>
      <c r="R131" s="1156"/>
      <c r="S131" s="1156"/>
      <c r="T131" s="1156"/>
      <c r="U131" s="1156"/>
      <c r="V131" s="1156"/>
      <c r="W131" s="1156"/>
      <c r="X131" s="1156"/>
      <c r="Y131" s="1156"/>
      <c r="Z131" s="1156"/>
      <c r="AA131" s="1156"/>
      <c r="AB131" s="1156"/>
      <c r="AC131" s="1156"/>
      <c r="AD131" s="1156"/>
      <c r="AE131" s="1156"/>
      <c r="AF131" s="1156"/>
      <c r="AG131" s="1156"/>
      <c r="AH131" s="1156"/>
      <c r="AI131" s="1156"/>
      <c r="AJ131" s="1156"/>
      <c r="AK131" s="1156"/>
      <c r="AL131" s="1156"/>
      <c r="AM131" s="1156"/>
      <c r="AN131" s="1156"/>
      <c r="AO131" s="1156"/>
      <c r="AP131" s="1156"/>
      <c r="AQ131" s="1156"/>
      <c r="AR131" s="1156"/>
      <c r="AS131" s="1156"/>
      <c r="AT131" s="1156"/>
      <c r="AU131" s="1156"/>
      <c r="AV131" s="1156"/>
      <c r="AW131" s="1156"/>
      <c r="AX131" s="166"/>
      <c r="AY131" s="1168"/>
      <c r="AZ131" s="1168"/>
      <c r="BA131" s="2908"/>
      <c r="BB131" s="1168"/>
      <c r="BC131" s="1168"/>
      <c r="BD131" s="1168"/>
      <c r="BE131" s="1168"/>
      <c r="BF131" s="1168"/>
      <c r="BG131" s="1168"/>
      <c r="BH131" s="1168"/>
      <c r="BI131" s="1168"/>
      <c r="BJ131" s="1169"/>
      <c r="BK131" s="22"/>
    </row>
    <row r="132" spans="2:63" ht="18">
      <c r="B132" s="1189"/>
      <c r="C132" s="1179" t="s">
        <v>1141</v>
      </c>
      <c r="D132" s="166"/>
      <c r="E132" s="166"/>
      <c r="F132" s="166"/>
      <c r="G132" s="166"/>
      <c r="H132" s="1156"/>
      <c r="I132" s="1156"/>
      <c r="J132" s="1156"/>
      <c r="K132" s="1156"/>
      <c r="L132" s="1156"/>
      <c r="M132" s="1156"/>
      <c r="N132" s="1156"/>
      <c r="O132" s="1156"/>
      <c r="P132" s="1156"/>
      <c r="Q132" s="1156"/>
      <c r="R132" s="1156"/>
      <c r="S132" s="1156"/>
      <c r="T132" s="1156"/>
      <c r="U132" s="1156"/>
      <c r="V132" s="1156"/>
      <c r="W132" s="1156"/>
      <c r="X132" s="1156"/>
      <c r="Y132" s="1156"/>
      <c r="Z132" s="1156"/>
      <c r="AA132" s="1156"/>
      <c r="AB132" s="1156"/>
      <c r="AC132" s="1156"/>
      <c r="AD132" s="1156"/>
      <c r="AE132" s="1156"/>
      <c r="AF132" s="1156"/>
      <c r="AG132" s="1156"/>
      <c r="AH132" s="1156"/>
      <c r="AI132" s="1156"/>
      <c r="AJ132" s="1156"/>
      <c r="AK132" s="1156"/>
      <c r="AL132" s="1156"/>
      <c r="AM132" s="1156"/>
      <c r="AN132" s="1156"/>
      <c r="AO132" s="1156"/>
      <c r="AP132" s="1156"/>
      <c r="AQ132" s="1156"/>
      <c r="AR132" s="1156"/>
      <c r="AS132" s="1156"/>
      <c r="AT132" s="1156"/>
      <c r="AU132" s="1156"/>
      <c r="AV132" s="1156"/>
      <c r="AW132" s="1156"/>
      <c r="AX132" s="166"/>
      <c r="AY132" s="1168"/>
      <c r="AZ132" s="1168"/>
      <c r="BA132" s="1168"/>
      <c r="BB132" s="1168"/>
      <c r="BC132" s="1168"/>
      <c r="BD132" s="1168"/>
      <c r="BE132" s="1168"/>
      <c r="BF132" s="1168"/>
      <c r="BG132" s="1168"/>
      <c r="BH132" s="1168"/>
      <c r="BI132" s="1168"/>
      <c r="BJ132" s="1169"/>
      <c r="BK132" s="22"/>
    </row>
    <row r="133" spans="2:63">
      <c r="B133" s="164"/>
      <c r="C133" s="166"/>
      <c r="D133" s="166"/>
      <c r="E133" s="166"/>
      <c r="F133" s="166"/>
      <c r="G133" s="166"/>
      <c r="H133" s="1156"/>
      <c r="I133" s="1156"/>
      <c r="J133" s="1156"/>
      <c r="K133" s="1156"/>
      <c r="L133" s="1156"/>
      <c r="M133" s="1156"/>
      <c r="N133" s="1156"/>
      <c r="O133" s="1156"/>
      <c r="P133" s="1156"/>
      <c r="Q133" s="1156"/>
      <c r="R133" s="1156"/>
      <c r="S133" s="1156"/>
      <c r="T133" s="1156"/>
      <c r="U133" s="1156"/>
      <c r="V133" s="1156"/>
      <c r="W133" s="1156"/>
      <c r="X133" s="1156"/>
      <c r="Y133" s="1156"/>
      <c r="Z133" s="1156"/>
      <c r="AA133" s="1156"/>
      <c r="AB133" s="1156"/>
      <c r="AC133" s="1156"/>
      <c r="AD133" s="1156"/>
      <c r="AE133" s="1156"/>
      <c r="AF133" s="1156"/>
      <c r="AG133" s="1156"/>
      <c r="AH133" s="1156"/>
      <c r="AI133" s="1156"/>
      <c r="AJ133" s="1156"/>
      <c r="AK133" s="1156"/>
      <c r="AL133" s="1156"/>
      <c r="AM133" s="1156"/>
      <c r="AN133" s="1156"/>
      <c r="AO133" s="1156"/>
      <c r="AP133" s="1156"/>
      <c r="AQ133" s="1156"/>
      <c r="AR133" s="1156"/>
      <c r="AS133" s="1156"/>
      <c r="AT133" s="1156"/>
      <c r="AU133" s="1156"/>
      <c r="AV133" s="1156"/>
      <c r="AW133" s="1156"/>
      <c r="AX133" s="166"/>
      <c r="AY133" s="1168"/>
      <c r="AZ133" s="1168"/>
      <c r="BA133" s="1168"/>
      <c r="BB133" s="1168"/>
      <c r="BC133" s="1168"/>
      <c r="BD133" s="1168"/>
      <c r="BE133" s="1168"/>
      <c r="BF133" s="1168"/>
      <c r="BG133" s="1168"/>
      <c r="BH133" s="1168"/>
      <c r="BI133" s="1168"/>
      <c r="BJ133" s="1169"/>
      <c r="BK133" s="1020"/>
    </row>
    <row r="134" spans="2:63">
      <c r="B134" s="164"/>
      <c r="C134" s="1170" t="s">
        <v>51</v>
      </c>
      <c r="D134" s="166" t="str">
        <f>INDEX(Vectors[Description],MATCH($C134,Vectors[Code],0))</f>
        <v>Coal indigenous production</v>
      </c>
      <c r="E134" s="166"/>
      <c r="F134" s="267"/>
      <c r="G134" s="267"/>
      <c r="H134" s="1165"/>
      <c r="I134" s="1165"/>
      <c r="J134" s="1165"/>
      <c r="K134" s="1165"/>
      <c r="L134" s="1165"/>
      <c r="M134" s="1165"/>
      <c r="N134" s="1165"/>
      <c r="O134" s="1165"/>
      <c r="P134" s="1165"/>
      <c r="Q134" s="1165"/>
      <c r="R134" s="1165"/>
      <c r="S134" s="1165"/>
      <c r="T134" s="1165"/>
      <c r="U134" s="1165"/>
      <c r="V134" s="1165"/>
      <c r="W134" s="1165"/>
      <c r="X134" s="1165"/>
      <c r="Y134" s="1165"/>
      <c r="Z134" s="1165"/>
      <c r="AA134" s="1165"/>
      <c r="AB134" s="1165"/>
      <c r="AC134" s="1165"/>
      <c r="AD134" s="1165"/>
      <c r="AE134" s="1165"/>
      <c r="AF134" s="1165"/>
      <c r="AG134" s="1165"/>
      <c r="AH134" s="1165"/>
      <c r="AI134" s="1165"/>
      <c r="AJ134" s="1165"/>
      <c r="AK134" s="1165"/>
      <c r="AL134" s="1165"/>
      <c r="AM134" s="1165"/>
      <c r="AN134" s="1165"/>
      <c r="AO134" s="1165"/>
      <c r="AP134" s="1165"/>
      <c r="AQ134" s="1165"/>
      <c r="AR134" s="1165"/>
      <c r="AS134" s="1165"/>
      <c r="AT134" s="1165"/>
      <c r="AU134" s="1165"/>
      <c r="AV134" s="1165"/>
      <c r="AW134" s="1165"/>
      <c r="AX134" s="166"/>
      <c r="AY134" s="1168">
        <f ca="1">INDEX(INDIRECT("'"&amp;AY$4&amp;"'!Year.NetBalance"), MATCH(Pathways!$C134, INDIRECT("'"&amp;AY$4&amp;"'!Year.Vectors"), 0))</f>
        <v>0</v>
      </c>
      <c r="AZ134" s="1168"/>
      <c r="BA134" s="1168">
        <f ca="1">INDEX(INDIRECT("'"&amp;BA$4&amp;"'!Year.NetBalance"), MATCH(Pathways!$C134, INDIRECT("'"&amp;BA$4&amp;"'!Year.Vectors"), 0))</f>
        <v>0</v>
      </c>
      <c r="BB134" s="1168">
        <f ca="1">INDEX(INDIRECT("'"&amp;BB$4&amp;"'!Year.NetBalance"), MATCH(Pathways!$C134, INDIRECT("'"&amp;BB$4&amp;"'!Year.Vectors"), 0))</f>
        <v>0</v>
      </c>
      <c r="BC134" s="1168">
        <f ca="1">INDEX(INDIRECT("'"&amp;BC$4&amp;"'!Year.NetBalance"), MATCH(Pathways!$C134, INDIRECT("'"&amp;BC$4&amp;"'!Year.Vectors"), 0))</f>
        <v>0</v>
      </c>
      <c r="BD134" s="1168">
        <f ca="1">INDEX(INDIRECT("'"&amp;BD$4&amp;"'!Year.NetBalance"), MATCH(Pathways!$C134, INDIRECT("'"&amp;BD$4&amp;"'!Year.Vectors"), 0))</f>
        <v>0</v>
      </c>
      <c r="BE134" s="1168">
        <f ca="1">INDEX(INDIRECT("'"&amp;BE$4&amp;"'!Year.NetBalance"), MATCH(Pathways!$C134, INDIRECT("'"&amp;BE$4&amp;"'!Year.Vectors"), 0))</f>
        <v>0</v>
      </c>
      <c r="BF134" s="1168">
        <f ca="1">INDEX(INDIRECT("'"&amp;BF$4&amp;"'!Year.NetBalance"), MATCH(Pathways!$C134, INDIRECT("'"&amp;BF$4&amp;"'!Year.Vectors"), 0))</f>
        <v>0</v>
      </c>
      <c r="BG134" s="1168">
        <f ca="1">INDEX(INDIRECT("'"&amp;BG$4&amp;"'!Year.NetBalance"), MATCH(Pathways!$C134, INDIRECT("'"&amp;BG$4&amp;"'!Year.Vectors"), 0))</f>
        <v>0</v>
      </c>
      <c r="BH134" s="1168">
        <f ca="1">INDEX(INDIRECT("'"&amp;BH$4&amp;"'!Year.NetBalance"), MATCH(Pathways!$C134, INDIRECT("'"&amp;BH$4&amp;"'!Year.Vectors"), 0))</f>
        <v>0</v>
      </c>
      <c r="BI134" s="1168">
        <f ca="1">INDEX(INDIRECT("'"&amp;BI$4&amp;"'!Year.NetBalance"), MATCH(Pathways!$C134, INDIRECT("'"&amp;BI$4&amp;"'!Year.Vectors"), 0))</f>
        <v>0</v>
      </c>
      <c r="BJ134" s="1169"/>
      <c r="BK134" s="1020"/>
    </row>
    <row r="135" spans="2:63">
      <c r="B135" s="164"/>
      <c r="C135" s="1170" t="s">
        <v>52</v>
      </c>
      <c r="D135" s="166" t="str">
        <f>INDEX(Vectors[Description],MATCH($C135,Vectors[Code],0))</f>
        <v>Oil and petroleum products</v>
      </c>
      <c r="E135" s="166"/>
      <c r="F135" s="267"/>
      <c r="G135" s="267"/>
      <c r="H135" s="1165"/>
      <c r="I135" s="1165"/>
      <c r="J135" s="1165"/>
      <c r="K135" s="1165"/>
      <c r="L135" s="1165"/>
      <c r="M135" s="1165"/>
      <c r="N135" s="1165"/>
      <c r="O135" s="1165"/>
      <c r="P135" s="1165"/>
      <c r="Q135" s="1165"/>
      <c r="R135" s="1165"/>
      <c r="S135" s="1165"/>
      <c r="T135" s="1165"/>
      <c r="U135" s="1165"/>
      <c r="V135" s="1165"/>
      <c r="W135" s="1165"/>
      <c r="X135" s="1165"/>
      <c r="Y135" s="1165"/>
      <c r="Z135" s="1165"/>
      <c r="AA135" s="1165"/>
      <c r="AB135" s="1165"/>
      <c r="AC135" s="1165"/>
      <c r="AD135" s="1165"/>
      <c r="AE135" s="1165"/>
      <c r="AF135" s="1165"/>
      <c r="AG135" s="1165"/>
      <c r="AH135" s="1165"/>
      <c r="AI135" s="1165"/>
      <c r="AJ135" s="1165"/>
      <c r="AK135" s="1165"/>
      <c r="AL135" s="1165"/>
      <c r="AM135" s="1165"/>
      <c r="AN135" s="1165"/>
      <c r="AO135" s="1165"/>
      <c r="AP135" s="1165"/>
      <c r="AQ135" s="1165"/>
      <c r="AR135" s="1165"/>
      <c r="AS135" s="1165"/>
      <c r="AT135" s="1165"/>
      <c r="AU135" s="1165"/>
      <c r="AV135" s="1165"/>
      <c r="AW135" s="1165"/>
      <c r="AX135" s="166"/>
      <c r="AY135" s="1168">
        <f ca="1">INDEX(INDIRECT("'"&amp;AY$4&amp;"'!Year.NetBalance"), MATCH(Pathways!$C135, INDIRECT("'"&amp;AY$4&amp;"'!Year.Vectors"), 0))</f>
        <v>0</v>
      </c>
      <c r="AZ135" s="1168"/>
      <c r="BA135" s="1168">
        <f ca="1">INDEX(INDIRECT("'"&amp;BA$4&amp;"'!Year.NetBalance"), MATCH(Pathways!$C135, INDIRECT("'"&amp;BA$4&amp;"'!Year.Vectors"), 0))</f>
        <v>0</v>
      </c>
      <c r="BB135" s="1168">
        <f ca="1">INDEX(INDIRECT("'"&amp;BB$4&amp;"'!Year.NetBalance"), MATCH(Pathways!$C135, INDIRECT("'"&amp;BB$4&amp;"'!Year.Vectors"), 0))</f>
        <v>0</v>
      </c>
      <c r="BC135" s="1168">
        <f ca="1">INDEX(INDIRECT("'"&amp;BC$4&amp;"'!Year.NetBalance"), MATCH(Pathways!$C135, INDIRECT("'"&amp;BC$4&amp;"'!Year.Vectors"), 0))</f>
        <v>0</v>
      </c>
      <c r="BD135" s="1168">
        <f ca="1">INDEX(INDIRECT("'"&amp;BD$4&amp;"'!Year.NetBalance"), MATCH(Pathways!$C135, INDIRECT("'"&amp;BD$4&amp;"'!Year.Vectors"), 0))</f>
        <v>0</v>
      </c>
      <c r="BE135" s="1168">
        <f ca="1">INDEX(INDIRECT("'"&amp;BE$4&amp;"'!Year.NetBalance"), MATCH(Pathways!$C135, INDIRECT("'"&amp;BE$4&amp;"'!Year.Vectors"), 0))</f>
        <v>0</v>
      </c>
      <c r="BF135" s="1168">
        <f ca="1">INDEX(INDIRECT("'"&amp;BF$4&amp;"'!Year.NetBalance"), MATCH(Pathways!$C135, INDIRECT("'"&amp;BF$4&amp;"'!Year.Vectors"), 0))</f>
        <v>0</v>
      </c>
      <c r="BG135" s="1168">
        <f ca="1">INDEX(INDIRECT("'"&amp;BG$4&amp;"'!Year.NetBalance"), MATCH(Pathways!$C135, INDIRECT("'"&amp;BG$4&amp;"'!Year.Vectors"), 0))</f>
        <v>0</v>
      </c>
      <c r="BH135" s="1168">
        <f ca="1">INDEX(INDIRECT("'"&amp;BH$4&amp;"'!Year.NetBalance"), MATCH(Pathways!$C135, INDIRECT("'"&amp;BH$4&amp;"'!Year.Vectors"), 0))</f>
        <v>5.6843418860808015E-13</v>
      </c>
      <c r="BI135" s="1168">
        <f ca="1">INDEX(INDIRECT("'"&amp;BI$4&amp;"'!Year.NetBalance"), MATCH(Pathways!$C135, INDIRECT("'"&amp;BI$4&amp;"'!Year.Vectors"), 0))</f>
        <v>-7.9580786405131221E-13</v>
      </c>
      <c r="BJ135" s="1169"/>
      <c r="BK135" s="1020"/>
    </row>
    <row r="136" spans="2:63">
      <c r="B136" s="164"/>
      <c r="C136" s="1170" t="s">
        <v>53</v>
      </c>
      <c r="D136" s="166" t="str">
        <f>INDEX(Vectors[Description],MATCH($C136,Vectors[Code],0))</f>
        <v>Natural gas</v>
      </c>
      <c r="E136" s="166"/>
      <c r="F136" s="267"/>
      <c r="G136" s="267"/>
      <c r="H136" s="1165"/>
      <c r="I136" s="1165"/>
      <c r="J136" s="1165"/>
      <c r="K136" s="1165"/>
      <c r="L136" s="1165"/>
      <c r="M136" s="1165"/>
      <c r="N136" s="1165"/>
      <c r="O136" s="1165"/>
      <c r="P136" s="1165"/>
      <c r="Q136" s="1165"/>
      <c r="R136" s="1165"/>
      <c r="S136" s="1165"/>
      <c r="T136" s="1165"/>
      <c r="U136" s="1165"/>
      <c r="V136" s="1165"/>
      <c r="W136" s="1165"/>
      <c r="X136" s="1165"/>
      <c r="Y136" s="1165"/>
      <c r="Z136" s="1165"/>
      <c r="AA136" s="1165"/>
      <c r="AB136" s="1165"/>
      <c r="AC136" s="1165"/>
      <c r="AD136" s="1165"/>
      <c r="AE136" s="1165"/>
      <c r="AF136" s="1165"/>
      <c r="AG136" s="1165"/>
      <c r="AH136" s="1165"/>
      <c r="AI136" s="1165"/>
      <c r="AJ136" s="1165"/>
      <c r="AK136" s="1165"/>
      <c r="AL136" s="1165"/>
      <c r="AM136" s="1165"/>
      <c r="AN136" s="1165"/>
      <c r="AO136" s="1165"/>
      <c r="AP136" s="1165"/>
      <c r="AQ136" s="1165"/>
      <c r="AR136" s="1165"/>
      <c r="AS136" s="1165"/>
      <c r="AT136" s="1165"/>
      <c r="AU136" s="1165"/>
      <c r="AV136" s="1165"/>
      <c r="AW136" s="1165"/>
      <c r="AX136" s="166"/>
      <c r="AY136" s="1168">
        <f ca="1">INDEX(INDIRECT("'"&amp;AY$4&amp;"'!Year.NetBalance"), MATCH(Pathways!$C136, INDIRECT("'"&amp;AY$4&amp;"'!Year.Vectors"), 0))</f>
        <v>0</v>
      </c>
      <c r="AZ136" s="1168"/>
      <c r="BA136" s="1168">
        <f ca="1">INDEX(INDIRECT("'"&amp;BA$4&amp;"'!Year.NetBalance"), MATCH(Pathways!$C136, INDIRECT("'"&amp;BA$4&amp;"'!Year.Vectors"), 0))</f>
        <v>0</v>
      </c>
      <c r="BB136" s="1168">
        <f ca="1">INDEX(INDIRECT("'"&amp;BB$4&amp;"'!Year.NetBalance"), MATCH(Pathways!$C136, INDIRECT("'"&amp;BB$4&amp;"'!Year.Vectors"), 0))</f>
        <v>0</v>
      </c>
      <c r="BC136" s="1168">
        <f ca="1">INDEX(INDIRECT("'"&amp;BC$4&amp;"'!Year.NetBalance"), MATCH(Pathways!$C136, INDIRECT("'"&amp;BC$4&amp;"'!Year.Vectors"), 0))</f>
        <v>0</v>
      </c>
      <c r="BD136" s="1168">
        <f ca="1">INDEX(INDIRECT("'"&amp;BD$4&amp;"'!Year.NetBalance"), MATCH(Pathways!$C136, INDIRECT("'"&amp;BD$4&amp;"'!Year.Vectors"), 0))</f>
        <v>0</v>
      </c>
      <c r="BE136" s="1168">
        <f ca="1">INDEX(INDIRECT("'"&amp;BE$4&amp;"'!Year.NetBalance"), MATCH(Pathways!$C136, INDIRECT("'"&amp;BE$4&amp;"'!Year.Vectors"), 0))</f>
        <v>0</v>
      </c>
      <c r="BF136" s="1168">
        <f ca="1">INDEX(INDIRECT("'"&amp;BF$4&amp;"'!Year.NetBalance"), MATCH(Pathways!$C136, INDIRECT("'"&amp;BF$4&amp;"'!Year.Vectors"), 0))</f>
        <v>0</v>
      </c>
      <c r="BG136" s="1168">
        <f ca="1">INDEX(INDIRECT("'"&amp;BG$4&amp;"'!Year.NetBalance"), MATCH(Pathways!$C136, INDIRECT("'"&amp;BG$4&amp;"'!Year.Vectors"), 0))</f>
        <v>0</v>
      </c>
      <c r="BH136" s="1168">
        <f ca="1">INDEX(INDIRECT("'"&amp;BH$4&amp;"'!Year.NetBalance"), MATCH(Pathways!$C136, INDIRECT("'"&amp;BH$4&amp;"'!Year.Vectors"), 0))</f>
        <v>0</v>
      </c>
      <c r="BI136" s="1168">
        <f ca="1">INDEX(INDIRECT("'"&amp;BI$4&amp;"'!Year.NetBalance"), MATCH(Pathways!$C136, INDIRECT("'"&amp;BI$4&amp;"'!Year.Vectors"), 0))</f>
        <v>0</v>
      </c>
      <c r="BJ136" s="1169"/>
      <c r="BK136" s="1020"/>
    </row>
    <row r="137" spans="2:63">
      <c r="B137" s="164"/>
      <c r="C137" s="1170" t="s">
        <v>36</v>
      </c>
      <c r="D137" s="166" t="str">
        <f>INDEX(Vectors[Description],MATCH($C137,Vectors[Code],0))</f>
        <v>Solid hydrocarbons</v>
      </c>
      <c r="E137" s="166"/>
      <c r="F137" s="267"/>
      <c r="G137" s="267"/>
      <c r="H137" s="1165"/>
      <c r="I137" s="1165"/>
      <c r="J137" s="1165"/>
      <c r="K137" s="1165"/>
      <c r="L137" s="1165"/>
      <c r="M137" s="1165"/>
      <c r="N137" s="1165"/>
      <c r="O137" s="1165"/>
      <c r="P137" s="1165"/>
      <c r="Q137" s="1165"/>
      <c r="R137" s="1165"/>
      <c r="S137" s="1165"/>
      <c r="T137" s="1165"/>
      <c r="U137" s="1165"/>
      <c r="V137" s="1165"/>
      <c r="W137" s="1165"/>
      <c r="X137" s="1165"/>
      <c r="Y137" s="1165"/>
      <c r="Z137" s="1165"/>
      <c r="AA137" s="1165"/>
      <c r="AB137" s="1165"/>
      <c r="AC137" s="1165"/>
      <c r="AD137" s="1165"/>
      <c r="AE137" s="1165"/>
      <c r="AF137" s="1165"/>
      <c r="AG137" s="1165"/>
      <c r="AH137" s="1165"/>
      <c r="AI137" s="1165"/>
      <c r="AJ137" s="1165"/>
      <c r="AK137" s="1165"/>
      <c r="AL137" s="1165"/>
      <c r="AM137" s="1165"/>
      <c r="AN137" s="1165"/>
      <c r="AO137" s="1165"/>
      <c r="AP137" s="1165"/>
      <c r="AQ137" s="1165"/>
      <c r="AR137" s="1165"/>
      <c r="AS137" s="1165"/>
      <c r="AT137" s="1165"/>
      <c r="AU137" s="1165"/>
      <c r="AV137" s="1165"/>
      <c r="AW137" s="1165"/>
      <c r="AX137" s="166"/>
      <c r="AY137" s="1168">
        <f ca="1">INDEX(INDIRECT("'"&amp;AY$4&amp;"'!Year.NetBalance"), MATCH(Pathways!$C137, INDIRECT("'"&amp;AY$4&amp;"'!Year.Vectors"), 0))</f>
        <v>0</v>
      </c>
      <c r="AZ137" s="1168"/>
      <c r="BA137" s="1168">
        <f ca="1">INDEX(INDIRECT("'"&amp;BA$4&amp;"'!Year.NetBalance"), MATCH(Pathways!$C137, INDIRECT("'"&amp;BA$4&amp;"'!Year.Vectors"), 0))</f>
        <v>0</v>
      </c>
      <c r="BB137" s="1168">
        <f ca="1">INDEX(INDIRECT("'"&amp;BB$4&amp;"'!Year.NetBalance"), MATCH(Pathways!$C137, INDIRECT("'"&amp;BB$4&amp;"'!Year.Vectors"), 0))</f>
        <v>0</v>
      </c>
      <c r="BC137" s="1168">
        <f ca="1">INDEX(INDIRECT("'"&amp;BC$4&amp;"'!Year.NetBalance"), MATCH(Pathways!$C137, INDIRECT("'"&amp;BC$4&amp;"'!Year.Vectors"), 0))</f>
        <v>0</v>
      </c>
      <c r="BD137" s="1168">
        <f ca="1">INDEX(INDIRECT("'"&amp;BD$4&amp;"'!Year.NetBalance"), MATCH(Pathways!$C137, INDIRECT("'"&amp;BD$4&amp;"'!Year.Vectors"), 0))</f>
        <v>0</v>
      </c>
      <c r="BE137" s="1168">
        <f ca="1">INDEX(INDIRECT("'"&amp;BE$4&amp;"'!Year.NetBalance"), MATCH(Pathways!$C137, INDIRECT("'"&amp;BE$4&amp;"'!Year.Vectors"), 0))</f>
        <v>0</v>
      </c>
      <c r="BF137" s="1168">
        <f ca="1">INDEX(INDIRECT("'"&amp;BF$4&amp;"'!Year.NetBalance"), MATCH(Pathways!$C137, INDIRECT("'"&amp;BF$4&amp;"'!Year.Vectors"), 0))</f>
        <v>0</v>
      </c>
      <c r="BG137" s="1168">
        <f ca="1">INDEX(INDIRECT("'"&amp;BG$4&amp;"'!Year.NetBalance"), MATCH(Pathways!$C137, INDIRECT("'"&amp;BG$4&amp;"'!Year.Vectors"), 0))</f>
        <v>0</v>
      </c>
      <c r="BH137" s="1168">
        <f ca="1">INDEX(INDIRECT("'"&amp;BH$4&amp;"'!Year.NetBalance"), MATCH(Pathways!$C137, INDIRECT("'"&amp;BH$4&amp;"'!Year.Vectors"), 0))</f>
        <v>0</v>
      </c>
      <c r="BI137" s="1168">
        <f ca="1">INDEX(INDIRECT("'"&amp;BI$4&amp;"'!Year.NetBalance"), MATCH(Pathways!$C137, INDIRECT("'"&amp;BI$4&amp;"'!Year.Vectors"), 0))</f>
        <v>0</v>
      </c>
      <c r="BJ137" s="1169"/>
      <c r="BK137" s="1020"/>
    </row>
    <row r="138" spans="2:63">
      <c r="B138" s="164"/>
      <c r="C138" s="1170" t="s">
        <v>38</v>
      </c>
      <c r="D138" s="166" t="str">
        <f>INDEX(Vectors[Description],MATCH($C138,Vectors[Code],0))</f>
        <v>Liquid hydrocarbons</v>
      </c>
      <c r="E138" s="166"/>
      <c r="F138" s="267"/>
      <c r="G138" s="267"/>
      <c r="H138" s="1165"/>
      <c r="I138" s="1165"/>
      <c r="J138" s="1165"/>
      <c r="K138" s="1165"/>
      <c r="L138" s="1165"/>
      <c r="M138" s="1165"/>
      <c r="N138" s="1165"/>
      <c r="O138" s="1165"/>
      <c r="P138" s="1165"/>
      <c r="Q138" s="1165"/>
      <c r="R138" s="1165"/>
      <c r="S138" s="1165"/>
      <c r="T138" s="1165"/>
      <c r="U138" s="1165"/>
      <c r="V138" s="1165"/>
      <c r="W138" s="1165"/>
      <c r="X138" s="1165"/>
      <c r="Y138" s="1165"/>
      <c r="Z138" s="1165"/>
      <c r="AA138" s="1165"/>
      <c r="AB138" s="1165"/>
      <c r="AC138" s="1165"/>
      <c r="AD138" s="1165"/>
      <c r="AE138" s="1165"/>
      <c r="AF138" s="1165"/>
      <c r="AG138" s="1165"/>
      <c r="AH138" s="1165"/>
      <c r="AI138" s="1165"/>
      <c r="AJ138" s="1165"/>
      <c r="AK138" s="1165"/>
      <c r="AL138" s="1165"/>
      <c r="AM138" s="1165"/>
      <c r="AN138" s="1165"/>
      <c r="AO138" s="1165"/>
      <c r="AP138" s="1165"/>
      <c r="AQ138" s="1165"/>
      <c r="AR138" s="1165"/>
      <c r="AS138" s="1165"/>
      <c r="AT138" s="1165"/>
      <c r="AU138" s="1165"/>
      <c r="AV138" s="1165"/>
      <c r="AW138" s="1165"/>
      <c r="AX138" s="166"/>
      <c r="AY138" s="1168">
        <f ca="1">INDEX(INDIRECT("'"&amp;AY$4&amp;"'!Year.NetBalance"), MATCH(Pathways!$C138, INDIRECT("'"&amp;AY$4&amp;"'!Year.Vectors"), 0))</f>
        <v>0</v>
      </c>
      <c r="AZ138" s="1168"/>
      <c r="BA138" s="1168">
        <f ca="1">INDEX(INDIRECT("'"&amp;BA$4&amp;"'!Year.NetBalance"), MATCH(Pathways!$C138, INDIRECT("'"&amp;BA$4&amp;"'!Year.Vectors"), 0))</f>
        <v>0</v>
      </c>
      <c r="BB138" s="1168">
        <f ca="1">INDEX(INDIRECT("'"&amp;BB$4&amp;"'!Year.NetBalance"), MATCH(Pathways!$C138, INDIRECT("'"&amp;BB$4&amp;"'!Year.Vectors"), 0))</f>
        <v>0</v>
      </c>
      <c r="BC138" s="1168">
        <f ca="1">INDEX(INDIRECT("'"&amp;BC$4&amp;"'!Year.NetBalance"), MATCH(Pathways!$C138, INDIRECT("'"&amp;BC$4&amp;"'!Year.Vectors"), 0))</f>
        <v>0</v>
      </c>
      <c r="BD138" s="1168">
        <f ca="1">INDEX(INDIRECT("'"&amp;BD$4&amp;"'!Year.NetBalance"), MATCH(Pathways!$C138, INDIRECT("'"&amp;BD$4&amp;"'!Year.Vectors"), 0))</f>
        <v>0</v>
      </c>
      <c r="BE138" s="1168">
        <f ca="1">INDEX(INDIRECT("'"&amp;BE$4&amp;"'!Year.NetBalance"), MATCH(Pathways!$C138, INDIRECT("'"&amp;BE$4&amp;"'!Year.Vectors"), 0))</f>
        <v>0</v>
      </c>
      <c r="BF138" s="1168">
        <f ca="1">INDEX(INDIRECT("'"&amp;BF$4&amp;"'!Year.NetBalance"), MATCH(Pathways!$C138, INDIRECT("'"&amp;BF$4&amp;"'!Year.Vectors"), 0))</f>
        <v>0</v>
      </c>
      <c r="BG138" s="1168">
        <f ca="1">INDEX(INDIRECT("'"&amp;BG$4&amp;"'!Year.NetBalance"), MATCH(Pathways!$C138, INDIRECT("'"&amp;BG$4&amp;"'!Year.Vectors"), 0))</f>
        <v>0</v>
      </c>
      <c r="BH138" s="1168">
        <f ca="1">INDEX(INDIRECT("'"&amp;BH$4&amp;"'!Year.NetBalance"), MATCH(Pathways!$C138, INDIRECT("'"&amp;BH$4&amp;"'!Year.Vectors"), 0))</f>
        <v>0</v>
      </c>
      <c r="BI138" s="1168">
        <f ca="1">INDEX(INDIRECT("'"&amp;BI$4&amp;"'!Year.NetBalance"), MATCH(Pathways!$C138, INDIRECT("'"&amp;BI$4&amp;"'!Year.Vectors"), 0))</f>
        <v>0</v>
      </c>
      <c r="BJ138" s="1169"/>
      <c r="BK138" s="1020"/>
    </row>
    <row r="139" spans="2:63">
      <c r="B139" s="164"/>
      <c r="C139" s="1170" t="s">
        <v>39</v>
      </c>
      <c r="D139" s="166" t="str">
        <f>INDEX(Vectors[Description],MATCH($C139,Vectors[Code],0))</f>
        <v>Gaseous hydrocarbons</v>
      </c>
      <c r="E139" s="166"/>
      <c r="F139" s="267"/>
      <c r="G139" s="267"/>
      <c r="H139" s="1165"/>
      <c r="I139" s="1165"/>
      <c r="J139" s="1165"/>
      <c r="K139" s="1165"/>
      <c r="L139" s="1165"/>
      <c r="M139" s="1165"/>
      <c r="N139" s="1165"/>
      <c r="O139" s="1165"/>
      <c r="P139" s="1165"/>
      <c r="Q139" s="1165"/>
      <c r="R139" s="1165"/>
      <c r="S139" s="1165"/>
      <c r="T139" s="1165"/>
      <c r="U139" s="1165"/>
      <c r="V139" s="1165"/>
      <c r="W139" s="1165"/>
      <c r="X139" s="1165"/>
      <c r="Y139" s="1165"/>
      <c r="Z139" s="1165"/>
      <c r="AA139" s="1165"/>
      <c r="AB139" s="1165"/>
      <c r="AC139" s="1165"/>
      <c r="AD139" s="1165"/>
      <c r="AE139" s="1165"/>
      <c r="AF139" s="1165"/>
      <c r="AG139" s="1165"/>
      <c r="AH139" s="1165"/>
      <c r="AI139" s="1165"/>
      <c r="AJ139" s="1165"/>
      <c r="AK139" s="1165"/>
      <c r="AL139" s="1165"/>
      <c r="AM139" s="1165"/>
      <c r="AN139" s="1165"/>
      <c r="AO139" s="1165"/>
      <c r="AP139" s="1165"/>
      <c r="AQ139" s="1165"/>
      <c r="AR139" s="1165"/>
      <c r="AS139" s="1165"/>
      <c r="AT139" s="1165"/>
      <c r="AU139" s="1165"/>
      <c r="AV139" s="1165"/>
      <c r="AW139" s="1165"/>
      <c r="AX139" s="166"/>
      <c r="AY139" s="1168">
        <f ca="1">INDEX(INDIRECT("'"&amp;AY$4&amp;"'!Year.NetBalance"), MATCH(Pathways!$C139, INDIRECT("'"&amp;AY$4&amp;"'!Year.Vectors"), 0))</f>
        <v>0</v>
      </c>
      <c r="AZ139" s="1168"/>
      <c r="BA139" s="1168">
        <f ca="1">INDEX(INDIRECT("'"&amp;BA$4&amp;"'!Year.NetBalance"), MATCH(Pathways!$C139, INDIRECT("'"&amp;BA$4&amp;"'!Year.Vectors"), 0))</f>
        <v>0</v>
      </c>
      <c r="BB139" s="1168">
        <f ca="1">INDEX(INDIRECT("'"&amp;BB$4&amp;"'!Year.NetBalance"), MATCH(Pathways!$C139, INDIRECT("'"&amp;BB$4&amp;"'!Year.Vectors"), 0))</f>
        <v>0</v>
      </c>
      <c r="BC139" s="1168">
        <f ca="1">INDEX(INDIRECT("'"&amp;BC$4&amp;"'!Year.NetBalance"), MATCH(Pathways!$C139, INDIRECT("'"&amp;BC$4&amp;"'!Year.Vectors"), 0))</f>
        <v>0</v>
      </c>
      <c r="BD139" s="1168">
        <f ca="1">INDEX(INDIRECT("'"&amp;BD$4&amp;"'!Year.NetBalance"), MATCH(Pathways!$C139, INDIRECT("'"&amp;BD$4&amp;"'!Year.Vectors"), 0))</f>
        <v>0</v>
      </c>
      <c r="BE139" s="1168">
        <f ca="1">INDEX(INDIRECT("'"&amp;BE$4&amp;"'!Year.NetBalance"), MATCH(Pathways!$C139, INDIRECT("'"&amp;BE$4&amp;"'!Year.Vectors"), 0))</f>
        <v>0</v>
      </c>
      <c r="BF139" s="1168">
        <f ca="1">INDEX(INDIRECT("'"&amp;BF$4&amp;"'!Year.NetBalance"), MATCH(Pathways!$C139, INDIRECT("'"&amp;BF$4&amp;"'!Year.Vectors"), 0))</f>
        <v>0</v>
      </c>
      <c r="BG139" s="1168">
        <f ca="1">INDEX(INDIRECT("'"&amp;BG$4&amp;"'!Year.NetBalance"), MATCH(Pathways!$C139, INDIRECT("'"&amp;BG$4&amp;"'!Year.Vectors"), 0))</f>
        <v>0</v>
      </c>
      <c r="BH139" s="1168">
        <f ca="1">INDEX(INDIRECT("'"&amp;BH$4&amp;"'!Year.NetBalance"), MATCH(Pathways!$C139, INDIRECT("'"&amp;BH$4&amp;"'!Year.Vectors"), 0))</f>
        <v>0</v>
      </c>
      <c r="BI139" s="1168">
        <f ca="1">INDEX(INDIRECT("'"&amp;BI$4&amp;"'!Year.NetBalance"), MATCH(Pathways!$C139, INDIRECT("'"&amp;BI$4&amp;"'!Year.Vectors"), 0))</f>
        <v>0</v>
      </c>
      <c r="BJ139" s="1169"/>
      <c r="BK139" s="1020"/>
    </row>
    <row r="140" spans="2:63">
      <c r="B140" s="164"/>
      <c r="C140" s="1170" t="s">
        <v>93</v>
      </c>
      <c r="D140" s="166" t="str">
        <f>INDEX(Vectors[Description],MATCH($C140,Vectors[Code],0))</f>
        <v>Solid Biomass Hydrocarbons</v>
      </c>
      <c r="E140" s="166"/>
      <c r="F140" s="267"/>
      <c r="G140" s="267"/>
      <c r="H140" s="1165"/>
      <c r="I140" s="1165"/>
      <c r="J140" s="1165"/>
      <c r="K140" s="1165"/>
      <c r="L140" s="1165"/>
      <c r="M140" s="1165"/>
      <c r="N140" s="1165"/>
      <c r="O140" s="1165"/>
      <c r="P140" s="1165"/>
      <c r="Q140" s="1165"/>
      <c r="R140" s="1165"/>
      <c r="S140" s="1165"/>
      <c r="T140" s="1165"/>
      <c r="U140" s="1165"/>
      <c r="V140" s="1165"/>
      <c r="W140" s="1165"/>
      <c r="X140" s="1165"/>
      <c r="Y140" s="1165"/>
      <c r="Z140" s="1165"/>
      <c r="AA140" s="1165"/>
      <c r="AB140" s="1165"/>
      <c r="AC140" s="1165"/>
      <c r="AD140" s="1165"/>
      <c r="AE140" s="1165"/>
      <c r="AF140" s="1165"/>
      <c r="AG140" s="1165"/>
      <c r="AH140" s="1165"/>
      <c r="AI140" s="1165"/>
      <c r="AJ140" s="1165"/>
      <c r="AK140" s="1165"/>
      <c r="AL140" s="1165"/>
      <c r="AM140" s="1165"/>
      <c r="AN140" s="1165"/>
      <c r="AO140" s="1165"/>
      <c r="AP140" s="1165"/>
      <c r="AQ140" s="1165"/>
      <c r="AR140" s="1165"/>
      <c r="AS140" s="1165"/>
      <c r="AT140" s="1165"/>
      <c r="AU140" s="1165"/>
      <c r="AV140" s="1165"/>
      <c r="AW140" s="1165"/>
      <c r="AX140" s="166"/>
      <c r="AY140" s="1168">
        <f ca="1">INDEX(INDIRECT("'"&amp;AY$4&amp;"'!Year.NetBalance"), MATCH(Pathways!$C140, INDIRECT("'"&amp;AY$4&amp;"'!Year.Vectors"), 0))</f>
        <v>0</v>
      </c>
      <c r="AZ140" s="1168"/>
      <c r="BA140" s="1168">
        <f ca="1">INDEX(INDIRECT("'"&amp;BA$4&amp;"'!Year.NetBalance"), MATCH(Pathways!$C140, INDIRECT("'"&amp;BA$4&amp;"'!Year.Vectors"), 0))</f>
        <v>0</v>
      </c>
      <c r="BB140" s="1168">
        <f ca="1">INDEX(INDIRECT("'"&amp;BB$4&amp;"'!Year.NetBalance"), MATCH(Pathways!$C140, INDIRECT("'"&amp;BB$4&amp;"'!Year.Vectors"), 0))</f>
        <v>0</v>
      </c>
      <c r="BC140" s="1168">
        <f ca="1">INDEX(INDIRECT("'"&amp;BC$4&amp;"'!Year.NetBalance"), MATCH(Pathways!$C140, INDIRECT("'"&amp;BC$4&amp;"'!Year.Vectors"), 0))</f>
        <v>0</v>
      </c>
      <c r="BD140" s="1168">
        <f ca="1">INDEX(INDIRECT("'"&amp;BD$4&amp;"'!Year.NetBalance"), MATCH(Pathways!$C140, INDIRECT("'"&amp;BD$4&amp;"'!Year.Vectors"), 0))</f>
        <v>0</v>
      </c>
      <c r="BE140" s="1168">
        <f ca="1">INDEX(INDIRECT("'"&amp;BE$4&amp;"'!Year.NetBalance"), MATCH(Pathways!$C140, INDIRECT("'"&amp;BE$4&amp;"'!Year.Vectors"), 0))</f>
        <v>0</v>
      </c>
      <c r="BF140" s="1168">
        <f ca="1">INDEX(INDIRECT("'"&amp;BF$4&amp;"'!Year.NetBalance"), MATCH(Pathways!$C140, INDIRECT("'"&amp;BF$4&amp;"'!Year.Vectors"), 0))</f>
        <v>0</v>
      </c>
      <c r="BG140" s="1168">
        <f ca="1">INDEX(INDIRECT("'"&amp;BG$4&amp;"'!Year.NetBalance"), MATCH(Pathways!$C140, INDIRECT("'"&amp;BG$4&amp;"'!Year.Vectors"), 0))</f>
        <v>0</v>
      </c>
      <c r="BH140" s="1168">
        <f ca="1">INDEX(INDIRECT("'"&amp;BH$4&amp;"'!Year.NetBalance"), MATCH(Pathways!$C140, INDIRECT("'"&amp;BH$4&amp;"'!Year.Vectors"), 0))</f>
        <v>0</v>
      </c>
      <c r="BI140" s="1168">
        <f ca="1">INDEX(INDIRECT("'"&amp;BI$4&amp;"'!Year.NetBalance"), MATCH(Pathways!$C140, INDIRECT("'"&amp;BI$4&amp;"'!Year.Vectors"), 0))</f>
        <v>0</v>
      </c>
      <c r="BJ140" s="1169"/>
      <c r="BK140" s="1020"/>
    </row>
    <row r="141" spans="2:63">
      <c r="B141" s="164"/>
      <c r="C141" s="1170" t="s">
        <v>254</v>
      </c>
      <c r="D141" s="166" t="str">
        <f>INDEX(Vectors[Description],MATCH($C141,Vectors[Code],0))</f>
        <v>Edible biomass</v>
      </c>
      <c r="E141" s="166"/>
      <c r="F141" s="267"/>
      <c r="G141" s="267"/>
      <c r="H141" s="1165"/>
      <c r="I141" s="1165"/>
      <c r="J141" s="1165"/>
      <c r="K141" s="1165"/>
      <c r="L141" s="1165"/>
      <c r="M141" s="1165"/>
      <c r="N141" s="1165"/>
      <c r="O141" s="1165"/>
      <c r="P141" s="1165"/>
      <c r="Q141" s="1165"/>
      <c r="R141" s="1165"/>
      <c r="S141" s="1165"/>
      <c r="T141" s="1165"/>
      <c r="U141" s="1165"/>
      <c r="V141" s="1165"/>
      <c r="W141" s="1165"/>
      <c r="X141" s="1165"/>
      <c r="Y141" s="1165"/>
      <c r="Z141" s="1165"/>
      <c r="AA141" s="1165"/>
      <c r="AB141" s="1165"/>
      <c r="AC141" s="1165"/>
      <c r="AD141" s="1165"/>
      <c r="AE141" s="1165"/>
      <c r="AF141" s="1165"/>
      <c r="AG141" s="1165"/>
      <c r="AH141" s="1165"/>
      <c r="AI141" s="1165"/>
      <c r="AJ141" s="1165"/>
      <c r="AK141" s="1165"/>
      <c r="AL141" s="1165"/>
      <c r="AM141" s="1165"/>
      <c r="AN141" s="1165"/>
      <c r="AO141" s="1165"/>
      <c r="AP141" s="1165"/>
      <c r="AQ141" s="1165"/>
      <c r="AR141" s="1165"/>
      <c r="AS141" s="1165"/>
      <c r="AT141" s="1165"/>
      <c r="AU141" s="1165"/>
      <c r="AV141" s="1165"/>
      <c r="AW141" s="1165"/>
      <c r="AX141" s="166"/>
      <c r="AY141" s="1168">
        <f ca="1">INDEX(INDIRECT("'"&amp;AY$4&amp;"'!Year.NetBalance"), MATCH(Pathways!$C141, INDIRECT("'"&amp;AY$4&amp;"'!Year.Vectors"), 0))</f>
        <v>0</v>
      </c>
      <c r="AZ141" s="1168"/>
      <c r="BA141" s="1168">
        <f ca="1">INDEX(INDIRECT("'"&amp;BA$4&amp;"'!Year.NetBalance"), MATCH(Pathways!$C141, INDIRECT("'"&amp;BA$4&amp;"'!Year.Vectors"), 0))</f>
        <v>0</v>
      </c>
      <c r="BB141" s="1168">
        <f ca="1">INDEX(INDIRECT("'"&amp;BB$4&amp;"'!Year.NetBalance"), MATCH(Pathways!$C141, INDIRECT("'"&amp;BB$4&amp;"'!Year.Vectors"), 0))</f>
        <v>0</v>
      </c>
      <c r="BC141" s="1168">
        <f ca="1">INDEX(INDIRECT("'"&amp;BC$4&amp;"'!Year.NetBalance"), MATCH(Pathways!$C141, INDIRECT("'"&amp;BC$4&amp;"'!Year.Vectors"), 0))</f>
        <v>0</v>
      </c>
      <c r="BD141" s="1168">
        <f ca="1">INDEX(INDIRECT("'"&amp;BD$4&amp;"'!Year.NetBalance"), MATCH(Pathways!$C141, INDIRECT("'"&amp;BD$4&amp;"'!Year.Vectors"), 0))</f>
        <v>0</v>
      </c>
      <c r="BE141" s="1168">
        <f ca="1">INDEX(INDIRECT("'"&amp;BE$4&amp;"'!Year.NetBalance"), MATCH(Pathways!$C141, INDIRECT("'"&amp;BE$4&amp;"'!Year.Vectors"), 0))</f>
        <v>0</v>
      </c>
      <c r="BF141" s="1168">
        <f ca="1">INDEX(INDIRECT("'"&amp;BF$4&amp;"'!Year.NetBalance"), MATCH(Pathways!$C141, INDIRECT("'"&amp;BF$4&amp;"'!Year.Vectors"), 0))</f>
        <v>0</v>
      </c>
      <c r="BG141" s="1168">
        <f ca="1">INDEX(INDIRECT("'"&amp;BG$4&amp;"'!Year.NetBalance"), MATCH(Pathways!$C141, INDIRECT("'"&amp;BG$4&amp;"'!Year.Vectors"), 0))</f>
        <v>0</v>
      </c>
      <c r="BH141" s="1168">
        <f ca="1">INDEX(INDIRECT("'"&amp;BH$4&amp;"'!Year.NetBalance"), MATCH(Pathways!$C141, INDIRECT("'"&amp;BH$4&amp;"'!Year.Vectors"), 0))</f>
        <v>0</v>
      </c>
      <c r="BI141" s="1168">
        <f ca="1">INDEX(INDIRECT("'"&amp;BI$4&amp;"'!Year.NetBalance"), MATCH(Pathways!$C141, INDIRECT("'"&amp;BI$4&amp;"'!Year.Vectors"), 0))</f>
        <v>0</v>
      </c>
      <c r="BJ141" s="1169"/>
      <c r="BK141" s="1020"/>
    </row>
    <row r="142" spans="2:63">
      <c r="B142" s="164"/>
      <c r="C142" s="1170" t="s">
        <v>253</v>
      </c>
      <c r="D142" s="166" t="str">
        <f>INDEX(Vectors[Description],MATCH($C142,Vectors[Code],0))</f>
        <v xml:space="preserve"> Gaseous Biomass Hydrocarbons</v>
      </c>
      <c r="E142" s="166"/>
      <c r="F142" s="267"/>
      <c r="G142" s="267"/>
      <c r="H142" s="1165"/>
      <c r="I142" s="1165"/>
      <c r="J142" s="1165"/>
      <c r="K142" s="1165"/>
      <c r="L142" s="1165"/>
      <c r="M142" s="1165"/>
      <c r="N142" s="1165"/>
      <c r="O142" s="1165"/>
      <c r="P142" s="1165"/>
      <c r="Q142" s="1165"/>
      <c r="R142" s="1165"/>
      <c r="S142" s="1165"/>
      <c r="T142" s="1165"/>
      <c r="U142" s="1165"/>
      <c r="V142" s="1165"/>
      <c r="W142" s="1165"/>
      <c r="X142" s="1165"/>
      <c r="Y142" s="1165"/>
      <c r="Z142" s="1165"/>
      <c r="AA142" s="1165"/>
      <c r="AB142" s="1165"/>
      <c r="AC142" s="1165"/>
      <c r="AD142" s="1165"/>
      <c r="AE142" s="1165"/>
      <c r="AF142" s="1165"/>
      <c r="AG142" s="1165"/>
      <c r="AH142" s="1165"/>
      <c r="AI142" s="1165"/>
      <c r="AJ142" s="1165"/>
      <c r="AK142" s="1165"/>
      <c r="AL142" s="1165"/>
      <c r="AM142" s="1165"/>
      <c r="AN142" s="1165"/>
      <c r="AO142" s="1165"/>
      <c r="AP142" s="1165"/>
      <c r="AQ142" s="1165"/>
      <c r="AR142" s="1165"/>
      <c r="AS142" s="1165"/>
      <c r="AT142" s="1165"/>
      <c r="AU142" s="1165"/>
      <c r="AV142" s="1165"/>
      <c r="AW142" s="1165"/>
      <c r="AX142" s="166"/>
      <c r="AY142" s="1168">
        <f ca="1">INDEX(INDIRECT("'"&amp;AY$4&amp;"'!Year.NetBalance"), MATCH(Pathways!$C142, INDIRECT("'"&amp;AY$4&amp;"'!Year.Vectors"), 0))</f>
        <v>0</v>
      </c>
      <c r="AZ142" s="1168"/>
      <c r="BA142" s="1168">
        <f ca="1">INDEX(INDIRECT("'"&amp;BA$4&amp;"'!Year.NetBalance"), MATCH(Pathways!$C142, INDIRECT("'"&amp;BA$4&amp;"'!Year.Vectors"), 0))</f>
        <v>0</v>
      </c>
      <c r="BB142" s="1168">
        <f ca="1">INDEX(INDIRECT("'"&amp;BB$4&amp;"'!Year.NetBalance"), MATCH(Pathways!$C142, INDIRECT("'"&amp;BB$4&amp;"'!Year.Vectors"), 0))</f>
        <v>0</v>
      </c>
      <c r="BC142" s="1168">
        <f ca="1">INDEX(INDIRECT("'"&amp;BC$4&amp;"'!Year.NetBalance"), MATCH(Pathways!$C142, INDIRECT("'"&amp;BC$4&amp;"'!Year.Vectors"), 0))</f>
        <v>0</v>
      </c>
      <c r="BD142" s="1168">
        <f ca="1">INDEX(INDIRECT("'"&amp;BD$4&amp;"'!Year.NetBalance"), MATCH(Pathways!$C142, INDIRECT("'"&amp;BD$4&amp;"'!Year.Vectors"), 0))</f>
        <v>0</v>
      </c>
      <c r="BE142" s="1168">
        <f ca="1">INDEX(INDIRECT("'"&amp;BE$4&amp;"'!Year.NetBalance"), MATCH(Pathways!$C142, INDIRECT("'"&amp;BE$4&amp;"'!Year.Vectors"), 0))</f>
        <v>0</v>
      </c>
      <c r="BF142" s="1168">
        <f ca="1">INDEX(INDIRECT("'"&amp;BF$4&amp;"'!Year.NetBalance"), MATCH(Pathways!$C142, INDIRECT("'"&amp;BF$4&amp;"'!Year.Vectors"), 0))</f>
        <v>0</v>
      </c>
      <c r="BG142" s="1168">
        <f ca="1">INDEX(INDIRECT("'"&amp;BG$4&amp;"'!Year.NetBalance"), MATCH(Pathways!$C142, INDIRECT("'"&amp;BG$4&amp;"'!Year.Vectors"), 0))</f>
        <v>0</v>
      </c>
      <c r="BH142" s="1168">
        <f ca="1">INDEX(INDIRECT("'"&amp;BH$4&amp;"'!Year.NetBalance"), MATCH(Pathways!$C142, INDIRECT("'"&amp;BH$4&amp;"'!Year.Vectors"), 0))</f>
        <v>0</v>
      </c>
      <c r="BI142" s="1168">
        <f ca="1">INDEX(INDIRECT("'"&amp;BI$4&amp;"'!Year.NetBalance"), MATCH(Pathways!$C142, INDIRECT("'"&amp;BI$4&amp;"'!Year.Vectors"), 0))</f>
        <v>0</v>
      </c>
      <c r="BJ142" s="1169"/>
      <c r="BK142" s="1020"/>
    </row>
    <row r="143" spans="2:63">
      <c r="B143" s="164"/>
      <c r="C143" s="1170" t="s">
        <v>255</v>
      </c>
      <c r="D143" s="166" t="str">
        <f>INDEX(Vectors[Description],MATCH($C143,Vectors[Code],0))</f>
        <v>Dry biomass and waste</v>
      </c>
      <c r="E143" s="166"/>
      <c r="F143" s="267"/>
      <c r="G143" s="267"/>
      <c r="H143" s="1165"/>
      <c r="I143" s="1165"/>
      <c r="J143" s="1165"/>
      <c r="K143" s="1165"/>
      <c r="L143" s="1165"/>
      <c r="M143" s="1165"/>
      <c r="N143" s="1165"/>
      <c r="O143" s="1165"/>
      <c r="P143" s="1165"/>
      <c r="Q143" s="1165"/>
      <c r="R143" s="1165"/>
      <c r="S143" s="1165"/>
      <c r="T143" s="1165"/>
      <c r="U143" s="1165"/>
      <c r="V143" s="1165"/>
      <c r="W143" s="1165"/>
      <c r="X143" s="1165"/>
      <c r="Y143" s="1165"/>
      <c r="Z143" s="1165"/>
      <c r="AA143" s="1165"/>
      <c r="AB143" s="1165"/>
      <c r="AC143" s="1165"/>
      <c r="AD143" s="1165"/>
      <c r="AE143" s="1165"/>
      <c r="AF143" s="1165"/>
      <c r="AG143" s="1165"/>
      <c r="AH143" s="1165"/>
      <c r="AI143" s="1165"/>
      <c r="AJ143" s="1165"/>
      <c r="AK143" s="1165"/>
      <c r="AL143" s="1165"/>
      <c r="AM143" s="1165"/>
      <c r="AN143" s="1165"/>
      <c r="AO143" s="1165"/>
      <c r="AP143" s="1165"/>
      <c r="AQ143" s="1165"/>
      <c r="AR143" s="1165"/>
      <c r="AS143" s="1165"/>
      <c r="AT143" s="1165"/>
      <c r="AU143" s="1165"/>
      <c r="AV143" s="1165"/>
      <c r="AW143" s="1165"/>
      <c r="AX143" s="166"/>
      <c r="AY143" s="1168">
        <f ca="1">INDEX(INDIRECT("'"&amp;AY$4&amp;"'!Year.NetBalance"), MATCH(Pathways!$C143, INDIRECT("'"&amp;AY$4&amp;"'!Year.Vectors"), 0))</f>
        <v>0</v>
      </c>
      <c r="AZ143" s="1168"/>
      <c r="BA143" s="1168">
        <f ca="1">INDEX(INDIRECT("'"&amp;BA$4&amp;"'!Year.NetBalance"), MATCH(Pathways!$C143, INDIRECT("'"&amp;BA$4&amp;"'!Year.Vectors"), 0))</f>
        <v>0</v>
      </c>
      <c r="BB143" s="1168">
        <f ca="1">INDEX(INDIRECT("'"&amp;BB$4&amp;"'!Year.NetBalance"), MATCH(Pathways!$C143, INDIRECT("'"&amp;BB$4&amp;"'!Year.Vectors"), 0))</f>
        <v>0</v>
      </c>
      <c r="BC143" s="1168">
        <f ca="1">INDEX(INDIRECT("'"&amp;BC$4&amp;"'!Year.NetBalance"), MATCH(Pathways!$C143, INDIRECT("'"&amp;BC$4&amp;"'!Year.Vectors"), 0))</f>
        <v>0</v>
      </c>
      <c r="BD143" s="1168">
        <f ca="1">INDEX(INDIRECT("'"&amp;BD$4&amp;"'!Year.NetBalance"), MATCH(Pathways!$C143, INDIRECT("'"&amp;BD$4&amp;"'!Year.Vectors"), 0))</f>
        <v>0</v>
      </c>
      <c r="BE143" s="1168">
        <f ca="1">INDEX(INDIRECT("'"&amp;BE$4&amp;"'!Year.NetBalance"), MATCH(Pathways!$C143, INDIRECT("'"&amp;BE$4&amp;"'!Year.Vectors"), 0))</f>
        <v>0</v>
      </c>
      <c r="BF143" s="1168">
        <f ca="1">INDEX(INDIRECT("'"&amp;BF$4&amp;"'!Year.NetBalance"), MATCH(Pathways!$C143, INDIRECT("'"&amp;BF$4&amp;"'!Year.Vectors"), 0))</f>
        <v>0</v>
      </c>
      <c r="BG143" s="1168">
        <f ca="1">INDEX(INDIRECT("'"&amp;BG$4&amp;"'!Year.NetBalance"), MATCH(Pathways!$C143, INDIRECT("'"&amp;BG$4&amp;"'!Year.Vectors"), 0))</f>
        <v>0</v>
      </c>
      <c r="BH143" s="1168">
        <f ca="1">INDEX(INDIRECT("'"&amp;BH$4&amp;"'!Year.NetBalance"), MATCH(Pathways!$C143, INDIRECT("'"&amp;BH$4&amp;"'!Year.Vectors"), 0))</f>
        <v>0</v>
      </c>
      <c r="BI143" s="1168">
        <f ca="1">INDEX(INDIRECT("'"&amp;BI$4&amp;"'!Year.NetBalance"), MATCH(Pathways!$C143, INDIRECT("'"&amp;BI$4&amp;"'!Year.Vectors"), 0))</f>
        <v>0</v>
      </c>
      <c r="BJ143" s="1169"/>
      <c r="BK143" s="1020"/>
    </row>
    <row r="144" spans="2:63">
      <c r="B144" s="164"/>
      <c r="C144" s="1170" t="s">
        <v>297</v>
      </c>
      <c r="D144" s="166" t="str">
        <f>INDEX(Vectors[Description],MATCH($C144,Vectors[Code],0))</f>
        <v>Wet biomass and waste</v>
      </c>
      <c r="E144" s="166"/>
      <c r="F144" s="267"/>
      <c r="G144" s="267"/>
      <c r="H144" s="1165"/>
      <c r="I144" s="1165"/>
      <c r="J144" s="1165"/>
      <c r="K144" s="1165"/>
      <c r="L144" s="1165"/>
      <c r="M144" s="1165"/>
      <c r="N144" s="1165"/>
      <c r="O144" s="1165"/>
      <c r="P144" s="1165"/>
      <c r="Q144" s="1165"/>
      <c r="R144" s="1165"/>
      <c r="S144" s="1165"/>
      <c r="T144" s="1165"/>
      <c r="U144" s="1165"/>
      <c r="V144" s="1165"/>
      <c r="W144" s="1165"/>
      <c r="X144" s="1165"/>
      <c r="Y144" s="1165"/>
      <c r="Z144" s="1165"/>
      <c r="AA144" s="1165"/>
      <c r="AB144" s="1165"/>
      <c r="AC144" s="1165"/>
      <c r="AD144" s="1165"/>
      <c r="AE144" s="1165"/>
      <c r="AF144" s="1165"/>
      <c r="AG144" s="1165"/>
      <c r="AH144" s="1165"/>
      <c r="AI144" s="1165"/>
      <c r="AJ144" s="1165"/>
      <c r="AK144" s="1165"/>
      <c r="AL144" s="1165"/>
      <c r="AM144" s="1165"/>
      <c r="AN144" s="1165"/>
      <c r="AO144" s="1165"/>
      <c r="AP144" s="1165"/>
      <c r="AQ144" s="1165"/>
      <c r="AR144" s="1165"/>
      <c r="AS144" s="1165"/>
      <c r="AT144" s="1165"/>
      <c r="AU144" s="1165"/>
      <c r="AV144" s="1165"/>
      <c r="AW144" s="1165"/>
      <c r="AX144" s="166"/>
      <c r="AY144" s="1168">
        <f ca="1">INDEX(INDIRECT("'"&amp;AY$4&amp;"'!Year.NetBalance"), MATCH(Pathways!$C144, INDIRECT("'"&amp;AY$4&amp;"'!Year.Vectors"), 0))</f>
        <v>0</v>
      </c>
      <c r="AZ144" s="1168"/>
      <c r="BA144" s="1168">
        <f ca="1">INDEX(INDIRECT("'"&amp;BA$4&amp;"'!Year.NetBalance"), MATCH(Pathways!$C144, INDIRECT("'"&amp;BA$4&amp;"'!Year.Vectors"), 0))</f>
        <v>0</v>
      </c>
      <c r="BB144" s="1168">
        <f ca="1">INDEX(INDIRECT("'"&amp;BB$4&amp;"'!Year.NetBalance"), MATCH(Pathways!$C144, INDIRECT("'"&amp;BB$4&amp;"'!Year.Vectors"), 0))</f>
        <v>0</v>
      </c>
      <c r="BC144" s="1168">
        <f ca="1">INDEX(INDIRECT("'"&amp;BC$4&amp;"'!Year.NetBalance"), MATCH(Pathways!$C144, INDIRECT("'"&amp;BC$4&amp;"'!Year.Vectors"), 0))</f>
        <v>0</v>
      </c>
      <c r="BD144" s="1168">
        <f ca="1">INDEX(INDIRECT("'"&amp;BD$4&amp;"'!Year.NetBalance"), MATCH(Pathways!$C144, INDIRECT("'"&amp;BD$4&amp;"'!Year.Vectors"), 0))</f>
        <v>0</v>
      </c>
      <c r="BE144" s="1168">
        <f ca="1">INDEX(INDIRECT("'"&amp;BE$4&amp;"'!Year.NetBalance"), MATCH(Pathways!$C144, INDIRECT("'"&amp;BE$4&amp;"'!Year.Vectors"), 0))</f>
        <v>0</v>
      </c>
      <c r="BF144" s="1168">
        <f ca="1">INDEX(INDIRECT("'"&amp;BF$4&amp;"'!Year.NetBalance"), MATCH(Pathways!$C144, INDIRECT("'"&amp;BF$4&amp;"'!Year.Vectors"), 0))</f>
        <v>0</v>
      </c>
      <c r="BG144" s="1168">
        <f ca="1">INDEX(INDIRECT("'"&amp;BG$4&amp;"'!Year.NetBalance"), MATCH(Pathways!$C144, INDIRECT("'"&amp;BG$4&amp;"'!Year.Vectors"), 0))</f>
        <v>0</v>
      </c>
      <c r="BH144" s="1168">
        <f ca="1">INDEX(INDIRECT("'"&amp;BH$4&amp;"'!Year.NetBalance"), MATCH(Pathways!$C144, INDIRECT("'"&amp;BH$4&amp;"'!Year.Vectors"), 0))</f>
        <v>0</v>
      </c>
      <c r="BI144" s="1168">
        <f ca="1">INDEX(INDIRECT("'"&amp;BI$4&amp;"'!Year.NetBalance"), MATCH(Pathways!$C144, INDIRECT("'"&amp;BI$4&amp;"'!Year.Vectors"), 0))</f>
        <v>1.7763568394002505E-15</v>
      </c>
      <c r="BJ144" s="1169"/>
      <c r="BK144" s="1020"/>
    </row>
    <row r="145" spans="1:63">
      <c r="B145" s="164"/>
      <c r="C145" s="1170" t="s">
        <v>408</v>
      </c>
      <c r="D145" s="166" t="str">
        <f>INDEX(Vectors[Description],MATCH($C145,Vectors[Code],0))</f>
        <v>Off Grid Renewables</v>
      </c>
      <c r="E145" s="166"/>
      <c r="F145" s="267"/>
      <c r="G145" s="267"/>
      <c r="H145" s="1165"/>
      <c r="I145" s="1165"/>
      <c r="J145" s="1165"/>
      <c r="K145" s="1165"/>
      <c r="L145" s="1165"/>
      <c r="M145" s="1165"/>
      <c r="N145" s="1165"/>
      <c r="O145" s="1165"/>
      <c r="P145" s="1165"/>
      <c r="Q145" s="1165"/>
      <c r="R145" s="1165"/>
      <c r="S145" s="1165"/>
      <c r="T145" s="1165"/>
      <c r="U145" s="1165"/>
      <c r="V145" s="1165"/>
      <c r="W145" s="1165"/>
      <c r="X145" s="1165"/>
      <c r="Y145" s="1165"/>
      <c r="Z145" s="1165"/>
      <c r="AA145" s="1165"/>
      <c r="AB145" s="1165"/>
      <c r="AC145" s="1165"/>
      <c r="AD145" s="1165"/>
      <c r="AE145" s="1165"/>
      <c r="AF145" s="1165"/>
      <c r="AG145" s="1165"/>
      <c r="AH145" s="1165"/>
      <c r="AI145" s="1165"/>
      <c r="AJ145" s="1165"/>
      <c r="AK145" s="1165"/>
      <c r="AL145" s="1165"/>
      <c r="AM145" s="1165"/>
      <c r="AN145" s="1165"/>
      <c r="AO145" s="1165"/>
      <c r="AP145" s="1165"/>
      <c r="AQ145" s="1165"/>
      <c r="AR145" s="1165"/>
      <c r="AS145" s="1165"/>
      <c r="AT145" s="1165"/>
      <c r="AU145" s="1165"/>
      <c r="AV145" s="1165"/>
      <c r="AW145" s="1165"/>
      <c r="AX145" s="166"/>
      <c r="AY145" s="1168">
        <f ca="1">INDEX(INDIRECT("'"&amp;AY$4&amp;"'!Year.NetBalance"), MATCH(Pathways!$C145, INDIRECT("'"&amp;AY$4&amp;"'!Year.Vectors"), 0))</f>
        <v>0</v>
      </c>
      <c r="AZ145" s="1168"/>
      <c r="BA145" s="1168">
        <f ca="1">INDEX(INDIRECT("'"&amp;BA$4&amp;"'!Year.NetBalance"), MATCH(Pathways!$C145, INDIRECT("'"&amp;BA$4&amp;"'!Year.Vectors"), 0))</f>
        <v>0</v>
      </c>
      <c r="BB145" s="1168">
        <f ca="1">INDEX(INDIRECT("'"&amp;BB$4&amp;"'!Year.NetBalance"), MATCH(Pathways!$C145, INDIRECT("'"&amp;BB$4&amp;"'!Year.Vectors"), 0))</f>
        <v>0</v>
      </c>
      <c r="BC145" s="1168">
        <f ca="1">INDEX(INDIRECT("'"&amp;BC$4&amp;"'!Year.NetBalance"), MATCH(Pathways!$C145, INDIRECT("'"&amp;BC$4&amp;"'!Year.Vectors"), 0))</f>
        <v>0</v>
      </c>
      <c r="BD145" s="1168">
        <f ca="1">INDEX(INDIRECT("'"&amp;BD$4&amp;"'!Year.NetBalance"), MATCH(Pathways!$C145, INDIRECT("'"&amp;BD$4&amp;"'!Year.Vectors"), 0))</f>
        <v>0</v>
      </c>
      <c r="BE145" s="1168">
        <f ca="1">INDEX(INDIRECT("'"&amp;BE$4&amp;"'!Year.NetBalance"), MATCH(Pathways!$C145, INDIRECT("'"&amp;BE$4&amp;"'!Year.Vectors"), 0))</f>
        <v>0</v>
      </c>
      <c r="BF145" s="1168">
        <f ca="1">INDEX(INDIRECT("'"&amp;BF$4&amp;"'!Year.NetBalance"), MATCH(Pathways!$C145, INDIRECT("'"&amp;BF$4&amp;"'!Year.Vectors"), 0))</f>
        <v>0</v>
      </c>
      <c r="BG145" s="1168">
        <f ca="1">INDEX(INDIRECT("'"&amp;BG$4&amp;"'!Year.NetBalance"), MATCH(Pathways!$C145, INDIRECT("'"&amp;BG$4&amp;"'!Year.Vectors"), 0))</f>
        <v>0</v>
      </c>
      <c r="BH145" s="1168">
        <f ca="1">INDEX(INDIRECT("'"&amp;BH$4&amp;"'!Year.NetBalance"), MATCH(Pathways!$C145, INDIRECT("'"&amp;BH$4&amp;"'!Year.Vectors"), 0))</f>
        <v>0</v>
      </c>
      <c r="BI145" s="1168">
        <f ca="1">INDEX(INDIRECT("'"&amp;BI$4&amp;"'!Year.NetBalance"), MATCH(Pathways!$C145, INDIRECT("'"&amp;BI$4&amp;"'!Year.Vectors"), 0))</f>
        <v>0</v>
      </c>
      <c r="BJ145" s="1169"/>
      <c r="BK145" s="1020"/>
    </row>
    <row r="146" spans="1:63">
      <c r="B146" s="164"/>
      <c r="C146" s="1170" t="s">
        <v>427</v>
      </c>
      <c r="D146" s="166" t="str">
        <f>INDEX(Vectors[Description],MATCH($C146,Vectors[Code],0))</f>
        <v>H2</v>
      </c>
      <c r="E146" s="166"/>
      <c r="F146" s="267"/>
      <c r="G146" s="267"/>
      <c r="H146" s="1165"/>
      <c r="I146" s="1165"/>
      <c r="J146" s="1165"/>
      <c r="K146" s="1165"/>
      <c r="L146" s="1165"/>
      <c r="M146" s="1165"/>
      <c r="N146" s="1165"/>
      <c r="O146" s="1165"/>
      <c r="P146" s="1165"/>
      <c r="Q146" s="1165"/>
      <c r="R146" s="1165"/>
      <c r="S146" s="1165"/>
      <c r="T146" s="1165"/>
      <c r="U146" s="1165"/>
      <c r="V146" s="1165"/>
      <c r="W146" s="1165"/>
      <c r="X146" s="1165"/>
      <c r="Y146" s="1165"/>
      <c r="Z146" s="1165"/>
      <c r="AA146" s="1165"/>
      <c r="AB146" s="1165"/>
      <c r="AC146" s="1165"/>
      <c r="AD146" s="1165"/>
      <c r="AE146" s="1165"/>
      <c r="AF146" s="1165"/>
      <c r="AG146" s="1165"/>
      <c r="AH146" s="1165"/>
      <c r="AI146" s="1165"/>
      <c r="AJ146" s="1165"/>
      <c r="AK146" s="1165"/>
      <c r="AL146" s="1165"/>
      <c r="AM146" s="1165"/>
      <c r="AN146" s="1165"/>
      <c r="AO146" s="1165"/>
      <c r="AP146" s="1165"/>
      <c r="AQ146" s="1165"/>
      <c r="AR146" s="1165"/>
      <c r="AS146" s="1165"/>
      <c r="AT146" s="1165"/>
      <c r="AU146" s="1165"/>
      <c r="AV146" s="1165"/>
      <c r="AW146" s="1165"/>
      <c r="AX146" s="166"/>
      <c r="AY146" s="1168">
        <f ca="1">INDEX(INDIRECT("'"&amp;AY$4&amp;"'!Year.NetBalance"), MATCH(Pathways!$C146, INDIRECT("'"&amp;AY$4&amp;"'!Year.Vectors"), 0))</f>
        <v>0</v>
      </c>
      <c r="AZ146" s="1168"/>
      <c r="BA146" s="1168">
        <f ca="1">INDEX(INDIRECT("'"&amp;BA$4&amp;"'!Year.NetBalance"), MATCH(Pathways!$C146, INDIRECT("'"&amp;BA$4&amp;"'!Year.Vectors"), 0))</f>
        <v>0</v>
      </c>
      <c r="BB146" s="1168">
        <f ca="1">INDEX(INDIRECT("'"&amp;BB$4&amp;"'!Year.NetBalance"), MATCH(Pathways!$C146, INDIRECT("'"&amp;BB$4&amp;"'!Year.Vectors"), 0))</f>
        <v>0</v>
      </c>
      <c r="BC146" s="1168">
        <f ca="1">INDEX(INDIRECT("'"&amp;BC$4&amp;"'!Year.NetBalance"), MATCH(Pathways!$C146, INDIRECT("'"&amp;BC$4&amp;"'!Year.Vectors"), 0))</f>
        <v>0</v>
      </c>
      <c r="BD146" s="1168">
        <f ca="1">INDEX(INDIRECT("'"&amp;BD$4&amp;"'!Year.NetBalance"), MATCH(Pathways!$C146, INDIRECT("'"&amp;BD$4&amp;"'!Year.Vectors"), 0))</f>
        <v>0</v>
      </c>
      <c r="BE146" s="1168">
        <f ca="1">INDEX(INDIRECT("'"&amp;BE$4&amp;"'!Year.NetBalance"), MATCH(Pathways!$C146, INDIRECT("'"&amp;BE$4&amp;"'!Year.Vectors"), 0))</f>
        <v>0</v>
      </c>
      <c r="BF146" s="1168">
        <f ca="1">INDEX(INDIRECT("'"&amp;BF$4&amp;"'!Year.NetBalance"), MATCH(Pathways!$C146, INDIRECT("'"&amp;BF$4&amp;"'!Year.Vectors"), 0))</f>
        <v>0</v>
      </c>
      <c r="BG146" s="1168">
        <f ca="1">INDEX(INDIRECT("'"&amp;BG$4&amp;"'!Year.NetBalance"), MATCH(Pathways!$C146, INDIRECT("'"&amp;BG$4&amp;"'!Year.Vectors"), 0))</f>
        <v>0</v>
      </c>
      <c r="BH146" s="1168">
        <f ca="1">INDEX(INDIRECT("'"&amp;BH$4&amp;"'!Year.NetBalance"), MATCH(Pathways!$C146, INDIRECT("'"&amp;BH$4&amp;"'!Year.Vectors"), 0))</f>
        <v>0</v>
      </c>
      <c r="BI146" s="1168">
        <f ca="1">INDEX(INDIRECT("'"&amp;BI$4&amp;"'!Year.NetBalance"), MATCH(Pathways!$C146, INDIRECT("'"&amp;BI$4&amp;"'!Year.Vectors"), 0))</f>
        <v>0</v>
      </c>
      <c r="BJ146" s="1169"/>
      <c r="BK146" s="1020"/>
    </row>
    <row r="147" spans="1:63">
      <c r="B147" s="164"/>
      <c r="C147" s="1170" t="s">
        <v>435</v>
      </c>
      <c r="D147" s="166" t="str">
        <f>INDEX(Vectors[Description],MATCH($C147,Vectors[Code],0))</f>
        <v>Energy crops (second generation)</v>
      </c>
      <c r="E147" s="166"/>
      <c r="F147" s="267"/>
      <c r="G147" s="267"/>
      <c r="H147" s="1165"/>
      <c r="I147" s="1165"/>
      <c r="J147" s="1165"/>
      <c r="K147" s="1165"/>
      <c r="L147" s="1165"/>
      <c r="M147" s="1165"/>
      <c r="N147" s="1165"/>
      <c r="O147" s="1165"/>
      <c r="P147" s="1165"/>
      <c r="Q147" s="1165"/>
      <c r="R147" s="1165"/>
      <c r="S147" s="1165"/>
      <c r="T147" s="1165"/>
      <c r="U147" s="1165"/>
      <c r="V147" s="1165"/>
      <c r="W147" s="1165"/>
      <c r="X147" s="1165"/>
      <c r="Y147" s="1165"/>
      <c r="Z147" s="1165"/>
      <c r="AA147" s="1165"/>
      <c r="AB147" s="1165"/>
      <c r="AC147" s="1165"/>
      <c r="AD147" s="1165"/>
      <c r="AE147" s="1165"/>
      <c r="AF147" s="1165"/>
      <c r="AG147" s="1165"/>
      <c r="AH147" s="1165"/>
      <c r="AI147" s="1165"/>
      <c r="AJ147" s="1165"/>
      <c r="AK147" s="1165"/>
      <c r="AL147" s="1165"/>
      <c r="AM147" s="1165"/>
      <c r="AN147" s="1165"/>
      <c r="AO147" s="1165"/>
      <c r="AP147" s="1165"/>
      <c r="AQ147" s="1165"/>
      <c r="AR147" s="1165"/>
      <c r="AS147" s="1165"/>
      <c r="AT147" s="1165"/>
      <c r="AU147" s="1165"/>
      <c r="AV147" s="1165"/>
      <c r="AW147" s="1165"/>
      <c r="AX147" s="166"/>
      <c r="AY147" s="1168">
        <f ca="1">INDEX(INDIRECT("'"&amp;AY$4&amp;"'!Year.NetBalance"), MATCH(Pathways!$C147, INDIRECT("'"&amp;AY$4&amp;"'!Year.Vectors"), 0))</f>
        <v>0</v>
      </c>
      <c r="AZ147" s="1168"/>
      <c r="BA147" s="1168">
        <f ca="1">INDEX(INDIRECT("'"&amp;BA$4&amp;"'!Year.NetBalance"), MATCH(Pathways!$C147, INDIRECT("'"&amp;BA$4&amp;"'!Year.Vectors"), 0))</f>
        <v>0</v>
      </c>
      <c r="BB147" s="1168">
        <f ca="1">INDEX(INDIRECT("'"&amp;BB$4&amp;"'!Year.NetBalance"), MATCH(Pathways!$C147, INDIRECT("'"&amp;BB$4&amp;"'!Year.Vectors"), 0))</f>
        <v>0</v>
      </c>
      <c r="BC147" s="1168">
        <f ca="1">INDEX(INDIRECT("'"&amp;BC$4&amp;"'!Year.NetBalance"), MATCH(Pathways!$C147, INDIRECT("'"&amp;BC$4&amp;"'!Year.Vectors"), 0))</f>
        <v>0</v>
      </c>
      <c r="BD147" s="1168">
        <f ca="1">INDEX(INDIRECT("'"&amp;BD$4&amp;"'!Year.NetBalance"), MATCH(Pathways!$C147, INDIRECT("'"&amp;BD$4&amp;"'!Year.Vectors"), 0))</f>
        <v>0</v>
      </c>
      <c r="BE147" s="1168">
        <f ca="1">INDEX(INDIRECT("'"&amp;BE$4&amp;"'!Year.NetBalance"), MATCH(Pathways!$C147, INDIRECT("'"&amp;BE$4&amp;"'!Year.Vectors"), 0))</f>
        <v>0</v>
      </c>
      <c r="BF147" s="1168">
        <f ca="1">INDEX(INDIRECT("'"&amp;BF$4&amp;"'!Year.NetBalance"), MATCH(Pathways!$C147, INDIRECT("'"&amp;BF$4&amp;"'!Year.Vectors"), 0))</f>
        <v>0</v>
      </c>
      <c r="BG147" s="1168">
        <f ca="1">INDEX(INDIRECT("'"&amp;BG$4&amp;"'!Year.NetBalance"), MATCH(Pathways!$C147, INDIRECT("'"&amp;BG$4&amp;"'!Year.Vectors"), 0))</f>
        <v>0</v>
      </c>
      <c r="BH147" s="1168">
        <f ca="1">INDEX(INDIRECT("'"&amp;BH$4&amp;"'!Year.NetBalance"), MATCH(Pathways!$C147, INDIRECT("'"&amp;BH$4&amp;"'!Year.Vectors"), 0))</f>
        <v>0</v>
      </c>
      <c r="BI147" s="1168">
        <f ca="1">INDEX(INDIRECT("'"&amp;BI$4&amp;"'!Year.NetBalance"), MATCH(Pathways!$C147, INDIRECT("'"&amp;BI$4&amp;"'!Year.Vectors"), 0))</f>
        <v>0</v>
      </c>
      <c r="BJ147" s="1169"/>
      <c r="BK147" s="1020"/>
    </row>
    <row r="148" spans="1:63" s="51" customFormat="1">
      <c r="B148" s="164"/>
      <c r="C148" s="60"/>
      <c r="D148" s="1174" t="s">
        <v>1142</v>
      </c>
      <c r="E148" s="166"/>
      <c r="F148" s="1175"/>
      <c r="G148" s="1176"/>
      <c r="H148" s="1171"/>
      <c r="I148" s="1171"/>
      <c r="J148" s="1171"/>
      <c r="K148" s="1171"/>
      <c r="L148" s="1171"/>
      <c r="M148" s="1171"/>
      <c r="N148" s="1171"/>
      <c r="O148" s="1171"/>
      <c r="P148" s="1171"/>
      <c r="Q148" s="1171"/>
      <c r="R148" s="1171"/>
      <c r="S148" s="1171"/>
      <c r="T148" s="1171"/>
      <c r="U148" s="1171"/>
      <c r="V148" s="1171"/>
      <c r="W148" s="1171"/>
      <c r="X148" s="1171"/>
      <c r="Y148" s="1171"/>
      <c r="Z148" s="1171"/>
      <c r="AA148" s="1171"/>
      <c r="AB148" s="1171"/>
      <c r="AC148" s="1171"/>
      <c r="AD148" s="1171"/>
      <c r="AE148" s="1171"/>
      <c r="AF148" s="1171"/>
      <c r="AG148" s="1171"/>
      <c r="AH148" s="1171"/>
      <c r="AI148" s="1171"/>
      <c r="AJ148" s="1171"/>
      <c r="AK148" s="1171"/>
      <c r="AL148" s="1171"/>
      <c r="AM148" s="1171"/>
      <c r="AN148" s="1171"/>
      <c r="AO148" s="1171"/>
      <c r="AP148" s="1171"/>
      <c r="AQ148" s="1171"/>
      <c r="AR148" s="1171"/>
      <c r="AS148" s="1171"/>
      <c r="AT148" s="1171"/>
      <c r="AU148" s="1171"/>
      <c r="AV148" s="1171"/>
      <c r="AW148" s="1171"/>
      <c r="AX148" s="166"/>
      <c r="AY148" s="1175">
        <f t="shared" ref="AY148:BI148" ca="1" si="41">SUM(AY134:AY147)</f>
        <v>0</v>
      </c>
      <c r="AZ148" s="1175"/>
      <c r="BA148" s="1175">
        <f t="shared" ca="1" si="41"/>
        <v>0</v>
      </c>
      <c r="BB148" s="1175">
        <f t="shared" ca="1" si="41"/>
        <v>0</v>
      </c>
      <c r="BC148" s="1175">
        <f t="shared" ca="1" si="41"/>
        <v>0</v>
      </c>
      <c r="BD148" s="1175">
        <f t="shared" ca="1" si="41"/>
        <v>0</v>
      </c>
      <c r="BE148" s="1175">
        <f t="shared" ca="1" si="41"/>
        <v>0</v>
      </c>
      <c r="BF148" s="1175">
        <f t="shared" ca="1" si="41"/>
        <v>0</v>
      </c>
      <c r="BG148" s="1175">
        <f t="shared" ca="1" si="41"/>
        <v>0</v>
      </c>
      <c r="BH148" s="1175">
        <f t="shared" ca="1" si="41"/>
        <v>5.6843418860808015E-13</v>
      </c>
      <c r="BI148" s="1175">
        <f t="shared" ca="1" si="41"/>
        <v>-7.9403150721191196E-13</v>
      </c>
      <c r="BJ148" s="1190"/>
      <c r="BK148" s="1020"/>
    </row>
    <row r="149" spans="1:63">
      <c r="B149" s="164"/>
      <c r="C149" s="166"/>
      <c r="D149" s="166"/>
      <c r="E149" s="166"/>
      <c r="F149" s="166"/>
      <c r="G149" s="166"/>
      <c r="H149" s="1156"/>
      <c r="I149" s="1156"/>
      <c r="J149" s="1156"/>
      <c r="K149" s="1156"/>
      <c r="L149" s="1156"/>
      <c r="M149" s="1156"/>
      <c r="N149" s="1156"/>
      <c r="O149" s="1156"/>
      <c r="P149" s="1156"/>
      <c r="Q149" s="1156"/>
      <c r="R149" s="1156"/>
      <c r="S149" s="1156"/>
      <c r="T149" s="1156"/>
      <c r="U149" s="1156"/>
      <c r="V149" s="1156"/>
      <c r="W149" s="1156"/>
      <c r="X149" s="1156"/>
      <c r="Y149" s="1156"/>
      <c r="Z149" s="1156"/>
      <c r="AA149" s="1156"/>
      <c r="AB149" s="1156"/>
      <c r="AC149" s="1156"/>
      <c r="AD149" s="1156"/>
      <c r="AE149" s="1156"/>
      <c r="AF149" s="1156"/>
      <c r="AG149" s="1156"/>
      <c r="AH149" s="1156"/>
      <c r="AI149" s="1156"/>
      <c r="AJ149" s="1156"/>
      <c r="AK149" s="1156"/>
      <c r="AL149" s="1156"/>
      <c r="AM149" s="1156"/>
      <c r="AN149" s="1156"/>
      <c r="AO149" s="1156"/>
      <c r="AP149" s="1156"/>
      <c r="AQ149" s="1156"/>
      <c r="AR149" s="1156"/>
      <c r="AS149" s="1156"/>
      <c r="AT149" s="1156"/>
      <c r="AU149" s="1156"/>
      <c r="AV149" s="1156"/>
      <c r="AW149" s="1156"/>
      <c r="AX149" s="166"/>
      <c r="AY149" s="1168"/>
      <c r="AZ149" s="1168"/>
      <c r="BA149" s="1168"/>
      <c r="BB149" s="1168"/>
      <c r="BC149" s="1168"/>
      <c r="BD149" s="1168"/>
      <c r="BE149" s="1168"/>
      <c r="BF149" s="1168"/>
      <c r="BG149" s="1168"/>
      <c r="BH149" s="1168"/>
      <c r="BI149" s="1168"/>
      <c r="BJ149" s="1169"/>
      <c r="BK149" s="1020"/>
    </row>
    <row r="150" spans="1:63" s="859" customFormat="1" ht="18">
      <c r="B150" s="1189"/>
      <c r="C150" s="266"/>
      <c r="D150" s="1174" t="s">
        <v>1143</v>
      </c>
      <c r="E150" s="166"/>
      <c r="F150" s="1175"/>
      <c r="G150" s="1176"/>
      <c r="H150" s="1171"/>
      <c r="I150" s="1171"/>
      <c r="J150" s="1171"/>
      <c r="K150" s="1171"/>
      <c r="L150" s="1171"/>
      <c r="M150" s="1171"/>
      <c r="N150" s="1171"/>
      <c r="O150" s="1171"/>
      <c r="P150" s="1171"/>
      <c r="Q150" s="1171"/>
      <c r="R150" s="1171"/>
      <c r="S150" s="1171"/>
      <c r="T150" s="1171"/>
      <c r="U150" s="1171"/>
      <c r="V150" s="1171"/>
      <c r="W150" s="1171"/>
      <c r="X150" s="1171"/>
      <c r="Y150" s="1171"/>
      <c r="Z150" s="1171"/>
      <c r="AA150" s="1171"/>
      <c r="AB150" s="1171"/>
      <c r="AC150" s="1171"/>
      <c r="AD150" s="1171"/>
      <c r="AE150" s="1171"/>
      <c r="AF150" s="1171"/>
      <c r="AG150" s="1171"/>
      <c r="AH150" s="1171"/>
      <c r="AI150" s="1171"/>
      <c r="AJ150" s="1171"/>
      <c r="AK150" s="1171"/>
      <c r="AL150" s="1171"/>
      <c r="AM150" s="1171"/>
      <c r="AN150" s="1171"/>
      <c r="AO150" s="1171"/>
      <c r="AP150" s="1171"/>
      <c r="AQ150" s="1171"/>
      <c r="AR150" s="1171"/>
      <c r="AS150" s="1171"/>
      <c r="AT150" s="1171"/>
      <c r="AU150" s="1171"/>
      <c r="AV150" s="1171"/>
      <c r="AW150" s="1171"/>
      <c r="AX150" s="166"/>
      <c r="AY150" s="1175">
        <f ca="1">AY21-AY116+AY148</f>
        <v>4.5474735088646412E-13</v>
      </c>
      <c r="AZ150" s="1175"/>
      <c r="BA150" s="1175">
        <f t="shared" ref="BA150:BI150" ca="1" si="42">BA21-BA116+BA148</f>
        <v>0</v>
      </c>
      <c r="BB150" s="1175">
        <f t="shared" ca="1" si="42"/>
        <v>0</v>
      </c>
      <c r="BC150" s="1175">
        <f t="shared" ca="1" si="42"/>
        <v>-1.8189894035458565E-12</v>
      </c>
      <c r="BD150" s="1175">
        <f t="shared" ca="1" si="42"/>
        <v>1.8189894035458565E-12</v>
      </c>
      <c r="BE150" s="1175">
        <f t="shared" ca="1" si="42"/>
        <v>-3.637978807091713E-12</v>
      </c>
      <c r="BF150" s="1175">
        <f t="shared" ca="1" si="42"/>
        <v>0</v>
      </c>
      <c r="BG150" s="1175">
        <f t="shared" ca="1" si="42"/>
        <v>0</v>
      </c>
      <c r="BH150" s="1175">
        <f t="shared" ca="1" si="42"/>
        <v>4.2064129956997931E-12</v>
      </c>
      <c r="BI150" s="1175">
        <f t="shared" ca="1" si="42"/>
        <v>-7.9403150721191196E-13</v>
      </c>
      <c r="BJ150" s="1177"/>
      <c r="BK150" s="1020"/>
    </row>
    <row r="151" spans="1:63" s="859" customFormat="1">
      <c r="D151" s="1191"/>
      <c r="E151" s="3153"/>
      <c r="F151" s="1192"/>
      <c r="G151" s="1192"/>
      <c r="H151" s="1193"/>
      <c r="I151" s="1193"/>
      <c r="J151" s="1193"/>
      <c r="K151" s="1193"/>
      <c r="L151" s="1193"/>
      <c r="M151" s="1193"/>
      <c r="N151" s="1193"/>
      <c r="O151" s="1193"/>
      <c r="P151" s="1193"/>
      <c r="Q151" s="1193"/>
      <c r="R151" s="1193"/>
      <c r="S151" s="1193"/>
      <c r="T151" s="1193"/>
      <c r="U151" s="1193"/>
      <c r="V151" s="1193"/>
      <c r="W151" s="1193"/>
      <c r="X151" s="1193"/>
      <c r="Y151" s="1193"/>
      <c r="Z151" s="1193"/>
      <c r="AA151" s="1193"/>
      <c r="AB151" s="1193"/>
      <c r="AC151" s="1193"/>
      <c r="AD151" s="1193"/>
      <c r="AE151" s="1193"/>
      <c r="AF151" s="1193"/>
      <c r="AG151" s="1193"/>
      <c r="AH151" s="1193"/>
      <c r="AI151" s="1193"/>
      <c r="AJ151" s="1193"/>
      <c r="AK151" s="1193"/>
      <c r="AL151" s="1193"/>
      <c r="AM151" s="1193"/>
      <c r="AN151" s="1193"/>
      <c r="AO151" s="1193"/>
      <c r="AP151" s="1193"/>
      <c r="AQ151" s="1193"/>
      <c r="AR151" s="1193"/>
      <c r="AS151" s="1193"/>
      <c r="AT151" s="1193"/>
      <c r="AU151" s="1193"/>
      <c r="AV151" s="1193"/>
      <c r="AW151" s="1193"/>
      <c r="AX151" s="3153"/>
      <c r="AY151" s="1192"/>
      <c r="AZ151" s="1192"/>
      <c r="BA151" s="1192"/>
      <c r="BB151" s="1192"/>
      <c r="BC151" s="1192"/>
      <c r="BD151" s="1192"/>
      <c r="BE151" s="1192"/>
      <c r="BF151" s="1192"/>
      <c r="BG151" s="1192"/>
      <c r="BH151" s="1192"/>
      <c r="BI151" s="1192"/>
      <c r="BJ151" s="1178"/>
      <c r="BK151" s="1178"/>
    </row>
    <row r="152" spans="1:63" ht="21" customHeight="1">
      <c r="A152" s="420"/>
      <c r="B152" s="1194" t="s">
        <v>1144</v>
      </c>
      <c r="C152" s="1195"/>
      <c r="D152" s="1195"/>
      <c r="E152" s="1195"/>
      <c r="F152" s="1195"/>
      <c r="G152" s="1195"/>
      <c r="H152" s="1196"/>
      <c r="I152" s="1196"/>
      <c r="J152" s="1196"/>
      <c r="K152" s="1196"/>
      <c r="L152" s="1196"/>
      <c r="M152" s="1196"/>
      <c r="N152" s="1196"/>
      <c r="O152" s="1196"/>
      <c r="P152" s="1196"/>
      <c r="Q152" s="1196"/>
      <c r="R152" s="1196"/>
      <c r="S152" s="1196"/>
      <c r="T152" s="1196"/>
      <c r="U152" s="1196"/>
      <c r="V152" s="1196"/>
      <c r="W152" s="1196"/>
      <c r="X152" s="1196"/>
      <c r="Y152" s="1196"/>
      <c r="Z152" s="1196"/>
      <c r="AA152" s="1196"/>
      <c r="AB152" s="1196"/>
      <c r="AC152" s="1196"/>
      <c r="AD152" s="1196"/>
      <c r="AE152" s="1196"/>
      <c r="AF152" s="1196"/>
      <c r="AG152" s="1196"/>
      <c r="AH152" s="1196"/>
      <c r="AI152" s="1196"/>
      <c r="AJ152" s="1196"/>
      <c r="AK152" s="1196"/>
      <c r="AL152" s="1196"/>
      <c r="AM152" s="1196"/>
      <c r="AN152" s="1196"/>
      <c r="AO152" s="1196"/>
      <c r="AP152" s="1196"/>
      <c r="AQ152" s="1196"/>
      <c r="AR152" s="1196"/>
      <c r="AS152" s="1196"/>
      <c r="AT152" s="1196"/>
      <c r="AU152" s="1196"/>
      <c r="AV152" s="1196"/>
      <c r="AW152" s="1196"/>
      <c r="AX152" s="1195"/>
      <c r="AY152" s="1197"/>
      <c r="AZ152" s="1197"/>
      <c r="BA152" s="1197"/>
      <c r="BB152" s="1197"/>
      <c r="BC152" s="1197"/>
      <c r="BD152" s="1197"/>
      <c r="BE152" s="1197"/>
      <c r="BF152" s="1197"/>
      <c r="BG152" s="1197"/>
      <c r="BH152" s="1197"/>
      <c r="BI152" s="1197"/>
      <c r="BJ152" s="1198"/>
      <c r="BK152" s="22"/>
    </row>
    <row r="153" spans="1:63" ht="18">
      <c r="B153" s="2569"/>
      <c r="C153" s="191"/>
      <c r="D153" s="191"/>
      <c r="E153" s="191"/>
      <c r="F153" s="191"/>
      <c r="G153" s="191"/>
      <c r="H153" s="2570"/>
      <c r="I153" s="2570"/>
      <c r="J153" s="2570"/>
      <c r="K153" s="2570"/>
      <c r="L153" s="2570"/>
      <c r="M153" s="2570"/>
      <c r="N153" s="2570"/>
      <c r="O153" s="2570"/>
      <c r="P153" s="2570"/>
      <c r="Q153" s="2570"/>
      <c r="R153" s="2570"/>
      <c r="S153" s="2570"/>
      <c r="T153" s="2570"/>
      <c r="U153" s="2570"/>
      <c r="V153" s="2570"/>
      <c r="W153" s="2570"/>
      <c r="X153" s="2570"/>
      <c r="Y153" s="2570"/>
      <c r="Z153" s="2570"/>
      <c r="AA153" s="2570"/>
      <c r="AB153" s="2570"/>
      <c r="AC153" s="2570"/>
      <c r="AD153" s="2570"/>
      <c r="AE153" s="2570"/>
      <c r="AF153" s="2570"/>
      <c r="AG153" s="2570"/>
      <c r="AH153" s="2570"/>
      <c r="AI153" s="2570"/>
      <c r="AJ153" s="2570"/>
      <c r="AK153" s="2570"/>
      <c r="AL153" s="2570"/>
      <c r="AM153" s="2570"/>
      <c r="AN153" s="2570"/>
      <c r="AO153" s="2570"/>
      <c r="AP153" s="2570"/>
      <c r="AQ153" s="2570"/>
      <c r="AR153" s="2570"/>
      <c r="AS153" s="2570"/>
      <c r="AT153" s="2570"/>
      <c r="AU153" s="2570"/>
      <c r="AV153" s="2570"/>
      <c r="AW153" s="2570"/>
      <c r="AX153" s="191"/>
      <c r="AY153" s="2571"/>
      <c r="AZ153" s="2571"/>
      <c r="BA153" s="2571"/>
      <c r="BB153" s="2571"/>
      <c r="BC153" s="2571"/>
      <c r="BD153" s="2571"/>
      <c r="BE153" s="2571"/>
      <c r="BF153" s="2571"/>
      <c r="BG153" s="2571"/>
      <c r="BH153" s="2571"/>
      <c r="BI153" s="2571"/>
      <c r="BJ153" s="2572"/>
      <c r="BK153" s="22"/>
    </row>
    <row r="154" spans="1:63" ht="15.75">
      <c r="B154" s="2573"/>
      <c r="C154" s="187" t="s">
        <v>34</v>
      </c>
      <c r="D154" s="187" t="str">
        <f>INDEX(Vectors[Description],MATCH($C154,Vectors[Code],0))</f>
        <v>Electricity (delivered to end user)</v>
      </c>
      <c r="E154" s="187"/>
      <c r="F154" s="2574"/>
      <c r="G154" s="2574"/>
      <c r="H154" s="2575"/>
      <c r="I154" s="2575"/>
      <c r="J154" s="2575"/>
      <c r="K154" s="2575"/>
      <c r="L154" s="2575"/>
      <c r="M154" s="2575"/>
      <c r="N154" s="2575"/>
      <c r="O154" s="2575"/>
      <c r="P154" s="2575"/>
      <c r="Q154" s="2575"/>
      <c r="R154" s="2575"/>
      <c r="S154" s="2575"/>
      <c r="T154" s="2575"/>
      <c r="U154" s="2575"/>
      <c r="V154" s="2575"/>
      <c r="W154" s="2575"/>
      <c r="X154" s="2575"/>
      <c r="Y154" s="2575"/>
      <c r="Z154" s="2575"/>
      <c r="AA154" s="2575"/>
      <c r="AB154" s="2575"/>
      <c r="AC154" s="2575"/>
      <c r="AD154" s="2575"/>
      <c r="AE154" s="2575"/>
      <c r="AF154" s="2575"/>
      <c r="AG154" s="2575"/>
      <c r="AH154" s="2575"/>
      <c r="AI154" s="2575"/>
      <c r="AJ154" s="2575"/>
      <c r="AK154" s="2575"/>
      <c r="AL154" s="2575"/>
      <c r="AM154" s="2575"/>
      <c r="AN154" s="2575"/>
      <c r="AO154" s="2575"/>
      <c r="AP154" s="2575"/>
      <c r="AQ154" s="2575"/>
      <c r="AR154" s="2575"/>
      <c r="AS154" s="2575"/>
      <c r="AT154" s="2575"/>
      <c r="AU154" s="2575"/>
      <c r="AV154" s="2575"/>
      <c r="AW154" s="2575"/>
      <c r="AX154" s="187"/>
      <c r="AY154" s="2576">
        <f ca="1">INDEX(INDIRECT("'"&amp;AY$4&amp;"'!Year.NetBalance"), MATCH(Pathways!$C154, INDIRECT("'"&amp;AY$4&amp;"'!Year.Vectors"), 0))</f>
        <v>-595.68681516482502</v>
      </c>
      <c r="AZ154" s="2576"/>
      <c r="BA154" s="2576">
        <f ca="1">INDEX(INDIRECT("'"&amp;BA$4&amp;"'!Year.NetBalance"), MATCH(Pathways!$C154, INDIRECT("'"&amp;BA$4&amp;"'!Year.Vectors"), 0))</f>
        <v>-798.39296177664801</v>
      </c>
      <c r="BB154" s="2576">
        <f ca="1">INDEX(INDIRECT("'"&amp;BB$4&amp;"'!Year.NetBalance"), MATCH(Pathways!$C154, INDIRECT("'"&amp;BB$4&amp;"'!Year.Vectors"), 0))</f>
        <v>-1142.8498773739643</v>
      </c>
      <c r="BC154" s="2576">
        <f ca="1">INDEX(INDIRECT("'"&amp;BC$4&amp;"'!Year.NetBalance"), MATCH(Pathways!$C154, INDIRECT("'"&amp;BC$4&amp;"'!Year.Vectors"), 0))</f>
        <v>-1640.0251055308779</v>
      </c>
      <c r="BD154" s="2576">
        <f ca="1">INDEX(INDIRECT("'"&amp;BD$4&amp;"'!Year.NetBalance"), MATCH(Pathways!$C154, INDIRECT("'"&amp;BD$4&amp;"'!Year.Vectors"), 0))</f>
        <v>-2290.662235710573</v>
      </c>
      <c r="BE154" s="2576">
        <f ca="1">INDEX(INDIRECT("'"&amp;BE$4&amp;"'!Year.NetBalance"), MATCH(Pathways!$C154, INDIRECT("'"&amp;BE$4&amp;"'!Year.Vectors"), 0))</f>
        <v>-3170.4883780648101</v>
      </c>
      <c r="BF154" s="2576">
        <f ca="1">INDEX(INDIRECT("'"&amp;BF$4&amp;"'!Year.NetBalance"), MATCH(Pathways!$C154, INDIRECT("'"&amp;BF$4&amp;"'!Year.Vectors"), 0))</f>
        <v>-3970.4133793283249</v>
      </c>
      <c r="BG154" s="2576">
        <f ca="1">INDEX(INDIRECT("'"&amp;BG$4&amp;"'!Year.NetBalance"), MATCH(Pathways!$C154, INDIRECT("'"&amp;BG$4&amp;"'!Year.Vectors"), 0))</f>
        <v>-4914.3042732371441</v>
      </c>
      <c r="BH154" s="2576">
        <f ca="1">INDEX(INDIRECT("'"&amp;BH$4&amp;"'!Year.NetBalance"), MATCH(Pathways!$C154, INDIRECT("'"&amp;BH$4&amp;"'!Year.Vectors"), 0))</f>
        <v>-5747.5586114860871</v>
      </c>
      <c r="BI154" s="2576">
        <f ca="1">INDEX(INDIRECT("'"&amp;BI$4&amp;"'!Year.NetBalance"), MATCH(Pathways!$C154, INDIRECT("'"&amp;BI$4&amp;"'!Year.Vectors"), 0))</f>
        <v>-6680.5573002001365</v>
      </c>
      <c r="BJ154" s="2577" t="s">
        <v>1145</v>
      </c>
      <c r="BK154" s="22"/>
    </row>
    <row r="155" spans="1:63">
      <c r="B155" s="190"/>
      <c r="C155" s="187" t="s">
        <v>35</v>
      </c>
      <c r="D155" s="187" t="str">
        <f>INDEX(Vectors[Description],MATCH($C155,Vectors[Code],0))</f>
        <v>Electricity (supplied to grid)</v>
      </c>
      <c r="E155" s="187"/>
      <c r="F155" s="2574"/>
      <c r="G155" s="2574"/>
      <c r="H155" s="2575"/>
      <c r="I155" s="2575"/>
      <c r="J155" s="2575"/>
      <c r="K155" s="2575"/>
      <c r="L155" s="2575"/>
      <c r="M155" s="2575"/>
      <c r="N155" s="2575"/>
      <c r="O155" s="2575"/>
      <c r="P155" s="2575"/>
      <c r="Q155" s="2575"/>
      <c r="R155" s="2575"/>
      <c r="S155" s="2575"/>
      <c r="T155" s="2575"/>
      <c r="U155" s="2575"/>
      <c r="V155" s="2575"/>
      <c r="W155" s="2575"/>
      <c r="X155" s="2575"/>
      <c r="Y155" s="2575"/>
      <c r="Z155" s="2575"/>
      <c r="AA155" s="2575"/>
      <c r="AB155" s="2575"/>
      <c r="AC155" s="2575"/>
      <c r="AD155" s="2575"/>
      <c r="AE155" s="2575"/>
      <c r="AF155" s="2575"/>
      <c r="AG155" s="2575"/>
      <c r="AH155" s="2575"/>
      <c r="AI155" s="2575"/>
      <c r="AJ155" s="2575"/>
      <c r="AK155" s="2575"/>
      <c r="AL155" s="2575"/>
      <c r="AM155" s="2575"/>
      <c r="AN155" s="2575"/>
      <c r="AO155" s="2575"/>
      <c r="AP155" s="2575"/>
      <c r="AQ155" s="2575"/>
      <c r="AR155" s="2575"/>
      <c r="AS155" s="2575"/>
      <c r="AT155" s="2575"/>
      <c r="AU155" s="2575"/>
      <c r="AV155" s="2575"/>
      <c r="AW155" s="2575"/>
      <c r="AX155" s="187"/>
      <c r="AY155" s="2576">
        <f ca="1">INDEX(INDIRECT("'"&amp;AY$4&amp;"'!Year.NetBalance"), MATCH(Pathways!$C155, INDIRECT("'"&amp;AY$4&amp;"'!Year.Vectors"), 0))</f>
        <v>595.68681516482502</v>
      </c>
      <c r="AZ155" s="2576"/>
      <c r="BA155" s="2576">
        <f ca="1">INDEX(INDIRECT("'"&amp;BA$4&amp;"'!Year.NetBalance"), MATCH(Pathways!$C155, INDIRECT("'"&amp;BA$4&amp;"'!Year.Vectors"), 0))</f>
        <v>798.39296177664801</v>
      </c>
      <c r="BB155" s="2576">
        <f ca="1">INDEX(INDIRECT("'"&amp;BB$4&amp;"'!Year.NetBalance"), MATCH(Pathways!$C155, INDIRECT("'"&amp;BB$4&amp;"'!Year.Vectors"), 0))</f>
        <v>1142.8498773739643</v>
      </c>
      <c r="BC155" s="2576">
        <f ca="1">INDEX(INDIRECT("'"&amp;BC$4&amp;"'!Year.NetBalance"), MATCH(Pathways!$C155, INDIRECT("'"&amp;BC$4&amp;"'!Year.Vectors"), 0))</f>
        <v>1640.0251055308779</v>
      </c>
      <c r="BD155" s="2576">
        <f ca="1">INDEX(INDIRECT("'"&amp;BD$4&amp;"'!Year.NetBalance"), MATCH(Pathways!$C155, INDIRECT("'"&amp;BD$4&amp;"'!Year.Vectors"), 0))</f>
        <v>2290.662235710573</v>
      </c>
      <c r="BE155" s="2576">
        <f ca="1">INDEX(INDIRECT("'"&amp;BE$4&amp;"'!Year.NetBalance"), MATCH(Pathways!$C155, INDIRECT("'"&amp;BE$4&amp;"'!Year.Vectors"), 0))</f>
        <v>3170.4883780648101</v>
      </c>
      <c r="BF155" s="2576">
        <f ca="1">INDEX(INDIRECT("'"&amp;BF$4&amp;"'!Year.NetBalance"), MATCH(Pathways!$C155, INDIRECT("'"&amp;BF$4&amp;"'!Year.Vectors"), 0))</f>
        <v>3970.4133793283249</v>
      </c>
      <c r="BG155" s="2576">
        <f ca="1">INDEX(INDIRECT("'"&amp;BG$4&amp;"'!Year.NetBalance"), MATCH(Pathways!$C155, INDIRECT("'"&amp;BG$4&amp;"'!Year.Vectors"), 0))</f>
        <v>4914.3042732371441</v>
      </c>
      <c r="BH155" s="2576">
        <f ca="1">INDEX(INDIRECT("'"&amp;BH$4&amp;"'!Year.NetBalance"), MATCH(Pathways!$C155, INDIRECT("'"&amp;BH$4&amp;"'!Year.Vectors"), 0))</f>
        <v>5747.5586114860871</v>
      </c>
      <c r="BI155" s="2576">
        <f ca="1">INDEX(INDIRECT("'"&amp;BI$4&amp;"'!Year.NetBalance"), MATCH(Pathways!$C155, INDIRECT("'"&amp;BI$4&amp;"'!Year.Vectors"), 0))</f>
        <v>6680.5573002001365</v>
      </c>
      <c r="BJ155" s="2577"/>
      <c r="BK155" s="22"/>
    </row>
    <row r="156" spans="1:63" s="51" customFormat="1">
      <c r="B156" s="193"/>
      <c r="C156" s="189"/>
      <c r="D156" s="2578" t="s">
        <v>1146</v>
      </c>
      <c r="E156" s="187"/>
      <c r="F156" s="2579"/>
      <c r="G156" s="2580"/>
      <c r="H156" s="2581"/>
      <c r="I156" s="2581"/>
      <c r="J156" s="2581"/>
      <c r="K156" s="2581"/>
      <c r="L156" s="2581"/>
      <c r="M156" s="2581"/>
      <c r="N156" s="2581"/>
      <c r="O156" s="2581"/>
      <c r="P156" s="2581"/>
      <c r="Q156" s="2581"/>
      <c r="R156" s="2581"/>
      <c r="S156" s="2581"/>
      <c r="T156" s="2581"/>
      <c r="U156" s="2581"/>
      <c r="V156" s="2581"/>
      <c r="W156" s="2581"/>
      <c r="X156" s="2581"/>
      <c r="Y156" s="2581"/>
      <c r="Z156" s="2581"/>
      <c r="AA156" s="2581"/>
      <c r="AB156" s="2581"/>
      <c r="AC156" s="2581"/>
      <c r="AD156" s="2581"/>
      <c r="AE156" s="2581"/>
      <c r="AF156" s="2581"/>
      <c r="AG156" s="2581"/>
      <c r="AH156" s="2581"/>
      <c r="AI156" s="2581"/>
      <c r="AJ156" s="2581"/>
      <c r="AK156" s="2581"/>
      <c r="AL156" s="2581"/>
      <c r="AM156" s="2581"/>
      <c r="AN156" s="2581"/>
      <c r="AO156" s="2581"/>
      <c r="AP156" s="2581"/>
      <c r="AQ156" s="2581"/>
      <c r="AR156" s="2581"/>
      <c r="AS156" s="2581"/>
      <c r="AT156" s="2581"/>
      <c r="AU156" s="2581"/>
      <c r="AV156" s="2581"/>
      <c r="AW156" s="2581"/>
      <c r="AX156" s="187"/>
      <c r="AY156" s="2579">
        <f t="shared" ref="AY156:BI156" ca="1" si="43">SUM(AY154:AY155)</f>
        <v>0</v>
      </c>
      <c r="AZ156" s="2579"/>
      <c r="BA156" s="2579">
        <f t="shared" ca="1" si="43"/>
        <v>0</v>
      </c>
      <c r="BB156" s="2579">
        <f t="shared" ca="1" si="43"/>
        <v>0</v>
      </c>
      <c r="BC156" s="2579">
        <f t="shared" ca="1" si="43"/>
        <v>0</v>
      </c>
      <c r="BD156" s="2579">
        <f t="shared" ca="1" si="43"/>
        <v>0</v>
      </c>
      <c r="BE156" s="2579">
        <f t="shared" ca="1" si="43"/>
        <v>0</v>
      </c>
      <c r="BF156" s="2579">
        <f t="shared" ca="1" si="43"/>
        <v>0</v>
      </c>
      <c r="BG156" s="2579">
        <f t="shared" ca="1" si="43"/>
        <v>0</v>
      </c>
      <c r="BH156" s="2579">
        <f t="shared" ca="1" si="43"/>
        <v>0</v>
      </c>
      <c r="BI156" s="2579">
        <f t="shared" ca="1" si="43"/>
        <v>0</v>
      </c>
      <c r="BJ156" s="2582"/>
      <c r="BK156" s="97"/>
    </row>
    <row r="157" spans="1:63" ht="4.5" customHeight="1">
      <c r="B157" s="193"/>
      <c r="C157" s="187"/>
      <c r="D157" s="187"/>
      <c r="E157" s="187"/>
      <c r="F157" s="187"/>
      <c r="G157" s="187"/>
      <c r="H157" s="2583"/>
      <c r="I157" s="2583"/>
      <c r="J157" s="2583"/>
      <c r="K157" s="2583"/>
      <c r="L157" s="2583"/>
      <c r="M157" s="2583"/>
      <c r="N157" s="2583"/>
      <c r="O157" s="2583"/>
      <c r="P157" s="2583"/>
      <c r="Q157" s="2583"/>
      <c r="R157" s="2583"/>
      <c r="S157" s="2583"/>
      <c r="T157" s="2583"/>
      <c r="U157" s="2583"/>
      <c r="V157" s="2583"/>
      <c r="W157" s="2583"/>
      <c r="X157" s="2583"/>
      <c r="Y157" s="2583"/>
      <c r="Z157" s="2583"/>
      <c r="AA157" s="2583"/>
      <c r="AB157" s="2583"/>
      <c r="AC157" s="2583"/>
      <c r="AD157" s="2583"/>
      <c r="AE157" s="2583"/>
      <c r="AF157" s="2583"/>
      <c r="AG157" s="2583"/>
      <c r="AH157" s="2583"/>
      <c r="AI157" s="2583"/>
      <c r="AJ157" s="2583"/>
      <c r="AK157" s="2583"/>
      <c r="AL157" s="2583"/>
      <c r="AM157" s="2583"/>
      <c r="AN157" s="2583"/>
      <c r="AO157" s="2583"/>
      <c r="AP157" s="2583"/>
      <c r="AQ157" s="2583"/>
      <c r="AR157" s="2583"/>
      <c r="AS157" s="2583"/>
      <c r="AT157" s="2583"/>
      <c r="AU157" s="2583"/>
      <c r="AV157" s="2583"/>
      <c r="AW157" s="2583"/>
      <c r="AX157" s="187"/>
      <c r="AY157" s="2576"/>
      <c r="AZ157" s="2576"/>
      <c r="BA157" s="2576"/>
      <c r="BB157" s="2576"/>
      <c r="BC157" s="2576"/>
      <c r="BD157" s="2576"/>
      <c r="BE157" s="2576"/>
      <c r="BF157" s="2576"/>
      <c r="BG157" s="2576"/>
      <c r="BH157" s="2576"/>
      <c r="BI157" s="2576"/>
      <c r="BJ157" s="2577"/>
      <c r="BK157" s="22"/>
    </row>
    <row r="158" spans="1:63" s="37" customFormat="1" ht="18">
      <c r="B158" s="2584"/>
      <c r="C158" s="2585" t="s">
        <v>35</v>
      </c>
      <c r="D158" s="2585" t="s">
        <v>45</v>
      </c>
      <c r="E158" s="2585"/>
      <c r="F158" s="2585"/>
      <c r="G158" s="2585"/>
      <c r="H158" s="2586"/>
      <c r="I158" s="2586"/>
      <c r="J158" s="2586"/>
      <c r="K158" s="2586"/>
      <c r="L158" s="2586"/>
      <c r="M158" s="2586"/>
      <c r="N158" s="2586"/>
      <c r="O158" s="2586"/>
      <c r="P158" s="2586"/>
      <c r="Q158" s="2586"/>
      <c r="R158" s="2586"/>
      <c r="S158" s="2586"/>
      <c r="T158" s="2586"/>
      <c r="U158" s="2586"/>
      <c r="V158" s="2586"/>
      <c r="W158" s="2586"/>
      <c r="X158" s="2586"/>
      <c r="Y158" s="2586"/>
      <c r="Z158" s="2586"/>
      <c r="AA158" s="2586"/>
      <c r="AB158" s="2586"/>
      <c r="AC158" s="2586"/>
      <c r="AD158" s="2586"/>
      <c r="AE158" s="2586"/>
      <c r="AF158" s="2586"/>
      <c r="AG158" s="2586"/>
      <c r="AH158" s="2586"/>
      <c r="AI158" s="2586"/>
      <c r="AJ158" s="2586"/>
      <c r="AK158" s="2586"/>
      <c r="AL158" s="2586"/>
      <c r="AM158" s="2586"/>
      <c r="AN158" s="2586"/>
      <c r="AO158" s="2586"/>
      <c r="AP158" s="2586"/>
      <c r="AQ158" s="2586"/>
      <c r="AR158" s="2586"/>
      <c r="AS158" s="2586"/>
      <c r="AT158" s="2586"/>
      <c r="AU158" s="2586"/>
      <c r="AV158" s="2586"/>
      <c r="AW158" s="2586"/>
      <c r="AX158" s="2585"/>
      <c r="AY158" s="2587">
        <f ca="1">INDEX(INDIRECT("'"&amp;AY$4&amp;"'!Year.Matrix"), MATCH("VII.b", INDIRECT("'"&amp;AY$4&amp;"'!Year.Modules"), 0), MATCH(Pathways!$C158, INDIRECT("'"&amp;AY$4&amp;"'!Year.Vectors"), 0))</f>
        <v>-195.08288504070401</v>
      </c>
      <c r="AZ158" s="2587"/>
      <c r="BA158" s="2587">
        <f ca="1">INDEX(INDIRECT("'"&amp;BA$4&amp;"'!Year.Matrix"), MATCH("VII.b", INDIRECT("'"&amp;BA$4&amp;"'!Year.Modules"), 0), MATCH(Pathways!$C158, INDIRECT("'"&amp;BA$4&amp;"'!Year.Vectors"), 0))</f>
        <v>-234.32332560745226</v>
      </c>
      <c r="BB158" s="2587">
        <f ca="1">INDEX(INDIRECT("'"&amp;BB$4&amp;"'!Year.Matrix"), MATCH("VII.b", INDIRECT("'"&amp;BB$4&amp;"'!Year.Modules"), 0), MATCH(Pathways!$C158, INDIRECT("'"&amp;BB$4&amp;"'!Year.Vectors"), 0))</f>
        <v>-313.04693193832941</v>
      </c>
      <c r="BC158" s="2587">
        <f ca="1">INDEX(INDIRECT("'"&amp;BC$4&amp;"'!Year.Matrix"), MATCH("VII.b", INDIRECT("'"&amp;BC$4&amp;"'!Year.Modules"), 0), MATCH(Pathways!$C158, INDIRECT("'"&amp;BC$4&amp;"'!Year.Vectors"), 0))</f>
        <v>-423.93802753088653</v>
      </c>
      <c r="BD158" s="2587">
        <f ca="1">INDEX(INDIRECT("'"&amp;BD$4&amp;"'!Year.Matrix"), MATCH("VII.b", INDIRECT("'"&amp;BD$4&amp;"'!Year.Modules"), 0), MATCH(Pathways!$C158, INDIRECT("'"&amp;BD$4&amp;"'!Year.Vectors"), 0))</f>
        <v>-557.71159630953753</v>
      </c>
      <c r="BE158" s="2587">
        <f ca="1">INDEX(INDIRECT("'"&amp;BE$4&amp;"'!Year.Matrix"), MATCH("VII.b", INDIRECT("'"&amp;BE$4&amp;"'!Year.Modules"), 0), MATCH(Pathways!$C158, INDIRECT("'"&amp;BE$4&amp;"'!Year.Vectors"), 0))</f>
        <v>-729.63510033996545</v>
      </c>
      <c r="BF158" s="2587">
        <f ca="1">INDEX(INDIRECT("'"&amp;BF$4&amp;"'!Year.Matrix"), MATCH("VII.b", INDIRECT("'"&amp;BF$4&amp;"'!Year.Modules"), 0), MATCH(Pathways!$C158, INDIRECT("'"&amp;BF$4&amp;"'!Year.Vectors"), 0))</f>
        <v>-865.89214021991711</v>
      </c>
      <c r="BG158" s="2587">
        <f ca="1">INDEX(INDIRECT("'"&amp;BG$4&amp;"'!Year.Matrix"), MATCH("VII.b", INDIRECT("'"&amp;BG$4&amp;"'!Year.Modules"), 0), MATCH(Pathways!$C158, INDIRECT("'"&amp;BG$4&amp;"'!Year.Vectors"), 0))</f>
        <v>-978.85350735662541</v>
      </c>
      <c r="BH158" s="2587">
        <f ca="1">INDEX(INDIRECT("'"&amp;BH$4&amp;"'!Year.Matrix"), MATCH("VII.b", INDIRECT("'"&amp;BH$4&amp;"'!Year.Modules"), 0), MATCH(Pathways!$C158, INDIRECT("'"&amp;BH$4&amp;"'!Year.Vectors"), 0))</f>
        <v>-1090.2145534112278</v>
      </c>
      <c r="BI158" s="2587">
        <f ca="1">INDEX(INDIRECT("'"&amp;BI$4&amp;"'!Year.Matrix"), MATCH("VII.b", INDIRECT("'"&amp;BI$4&amp;"'!Year.Modules"), 0), MATCH(Pathways!$C158, INDIRECT("'"&amp;BI$4&amp;"'!Year.Vectors"), 0))</f>
        <v>-1227.112144415446</v>
      </c>
      <c r="BJ158" s="2588"/>
      <c r="BK158" s="141"/>
    </row>
    <row r="159" spans="1:63" s="113" customFormat="1">
      <c r="B159" s="193"/>
      <c r="C159" s="2589"/>
      <c r="D159" s="2589" t="s">
        <v>1147</v>
      </c>
      <c r="E159" s="2585"/>
      <c r="F159" s="2590"/>
      <c r="G159" s="2590"/>
      <c r="H159" s="2591"/>
      <c r="I159" s="2591"/>
      <c r="J159" s="2591"/>
      <c r="K159" s="2591"/>
      <c r="L159" s="2591"/>
      <c r="M159" s="2591"/>
      <c r="N159" s="2591"/>
      <c r="O159" s="2591"/>
      <c r="P159" s="2591"/>
      <c r="Q159" s="2591"/>
      <c r="R159" s="2591"/>
      <c r="S159" s="2591"/>
      <c r="T159" s="2591"/>
      <c r="U159" s="2591"/>
      <c r="V159" s="2591"/>
      <c r="W159" s="2591"/>
      <c r="X159" s="2591"/>
      <c r="Y159" s="2591"/>
      <c r="Z159" s="2591"/>
      <c r="AA159" s="2591"/>
      <c r="AB159" s="2591"/>
      <c r="AC159" s="2591"/>
      <c r="AD159" s="2591"/>
      <c r="AE159" s="2591"/>
      <c r="AF159" s="2591"/>
      <c r="AG159" s="2591"/>
      <c r="AH159" s="2591"/>
      <c r="AI159" s="2591"/>
      <c r="AJ159" s="2591"/>
      <c r="AK159" s="2591"/>
      <c r="AL159" s="2591"/>
      <c r="AM159" s="2591"/>
      <c r="AN159" s="2591"/>
      <c r="AO159" s="2591"/>
      <c r="AP159" s="2591"/>
      <c r="AQ159" s="2591"/>
      <c r="AR159" s="2591"/>
      <c r="AS159" s="2591"/>
      <c r="AT159" s="2591"/>
      <c r="AU159" s="2591"/>
      <c r="AV159" s="2591"/>
      <c r="AW159" s="2591"/>
      <c r="AX159" s="2585"/>
      <c r="AY159" s="2590">
        <f t="shared" ref="AY159:BI159" ca="1" si="44">-AY154-AY158</f>
        <v>790.76970020552903</v>
      </c>
      <c r="AZ159" s="2590"/>
      <c r="BA159" s="2590">
        <f t="shared" ca="1" si="44"/>
        <v>1032.7162873841003</v>
      </c>
      <c r="BB159" s="2590">
        <f t="shared" ca="1" si="44"/>
        <v>1455.8968093122937</v>
      </c>
      <c r="BC159" s="2590">
        <f t="shared" ca="1" si="44"/>
        <v>2063.9631330617644</v>
      </c>
      <c r="BD159" s="2590">
        <f t="shared" ca="1" si="44"/>
        <v>2848.3738320201105</v>
      </c>
      <c r="BE159" s="2590">
        <f t="shared" ca="1" si="44"/>
        <v>3900.1234784047756</v>
      </c>
      <c r="BF159" s="2590">
        <f t="shared" ca="1" si="44"/>
        <v>4836.305519548242</v>
      </c>
      <c r="BG159" s="2590">
        <f t="shared" ca="1" si="44"/>
        <v>5893.1577805937695</v>
      </c>
      <c r="BH159" s="2590">
        <f t="shared" ca="1" si="44"/>
        <v>6837.7731648973149</v>
      </c>
      <c r="BI159" s="2590">
        <f t="shared" ca="1" si="44"/>
        <v>7907.6694446155825</v>
      </c>
      <c r="BJ159" s="2592"/>
    </row>
    <row r="160" spans="1:63" s="113" customFormat="1">
      <c r="B160" s="2593"/>
      <c r="C160" s="2589"/>
      <c r="D160" s="2589" t="s">
        <v>1148</v>
      </c>
      <c r="E160" s="2585"/>
      <c r="F160" s="2590"/>
      <c r="G160" s="2590"/>
      <c r="H160" s="2591"/>
      <c r="I160" s="2591"/>
      <c r="J160" s="2591"/>
      <c r="K160" s="2591"/>
      <c r="L160" s="2591"/>
      <c r="M160" s="2591"/>
      <c r="N160" s="2591"/>
      <c r="O160" s="2591"/>
      <c r="P160" s="2591"/>
      <c r="Q160" s="2591"/>
      <c r="R160" s="2591"/>
      <c r="S160" s="2591"/>
      <c r="T160" s="2591"/>
      <c r="U160" s="2591"/>
      <c r="V160" s="2591"/>
      <c r="W160" s="2591"/>
      <c r="X160" s="2591"/>
      <c r="Y160" s="2591"/>
      <c r="Z160" s="2591"/>
      <c r="AA160" s="2591"/>
      <c r="AB160" s="2591"/>
      <c r="AC160" s="2591"/>
      <c r="AD160" s="2591"/>
      <c r="AE160" s="2591"/>
      <c r="AF160" s="2591"/>
      <c r="AG160" s="2591"/>
      <c r="AH160" s="2591"/>
      <c r="AI160" s="2591"/>
      <c r="AJ160" s="2591"/>
      <c r="AK160" s="2591"/>
      <c r="AL160" s="2591"/>
      <c r="AM160" s="2591"/>
      <c r="AN160" s="2591"/>
      <c r="AO160" s="2591"/>
      <c r="AP160" s="2591"/>
      <c r="AQ160" s="2591"/>
      <c r="AR160" s="2591"/>
      <c r="AS160" s="2591"/>
      <c r="AT160" s="2591"/>
      <c r="AU160" s="2591"/>
      <c r="AV160" s="2591"/>
      <c r="AW160" s="2591"/>
      <c r="AX160" s="2585"/>
      <c r="AY160" s="2590">
        <f t="shared" ref="AY160:BI160" ca="1" si="45">AY188</f>
        <v>790.76970020552903</v>
      </c>
      <c r="AZ160" s="2590"/>
      <c r="BA160" s="2590">
        <f t="shared" ca="1" si="45"/>
        <v>1032.7162873841003</v>
      </c>
      <c r="BB160" s="2590">
        <f t="shared" ca="1" si="45"/>
        <v>1455.8968093122935</v>
      </c>
      <c r="BC160" s="2590">
        <f t="shared" ca="1" si="45"/>
        <v>2063.963133061764</v>
      </c>
      <c r="BD160" s="2590">
        <f t="shared" ca="1" si="45"/>
        <v>2848.373832020111</v>
      </c>
      <c r="BE160" s="2590">
        <f t="shared" ca="1" si="45"/>
        <v>3900.1234784047761</v>
      </c>
      <c r="BF160" s="2590">
        <f t="shared" ca="1" si="45"/>
        <v>4836.305519548242</v>
      </c>
      <c r="BG160" s="2590">
        <f t="shared" ca="1" si="45"/>
        <v>5893.1577805937686</v>
      </c>
      <c r="BH160" s="2590">
        <f t="shared" ca="1" si="45"/>
        <v>6837.773164897314</v>
      </c>
      <c r="BI160" s="2590">
        <f t="shared" ca="1" si="45"/>
        <v>7907.6694446155816</v>
      </c>
      <c r="BJ160" s="2592"/>
    </row>
    <row r="161" spans="1:64">
      <c r="B161" s="2594"/>
      <c r="C161" s="187"/>
      <c r="D161" s="187"/>
      <c r="E161" s="187"/>
      <c r="F161" s="187"/>
      <c r="G161" s="187"/>
      <c r="H161" s="2583"/>
      <c r="I161" s="2583"/>
      <c r="J161" s="2583"/>
      <c r="K161" s="2583"/>
      <c r="L161" s="2583"/>
      <c r="M161" s="2583"/>
      <c r="N161" s="2583"/>
      <c r="O161" s="2583"/>
      <c r="P161" s="2583"/>
      <c r="Q161" s="2583"/>
      <c r="R161" s="2583"/>
      <c r="S161" s="2583"/>
      <c r="T161" s="2583"/>
      <c r="U161" s="2583"/>
      <c r="V161" s="2583"/>
      <c r="W161" s="2583"/>
      <c r="X161" s="2583"/>
      <c r="Y161" s="2583"/>
      <c r="Z161" s="2583"/>
      <c r="AA161" s="2583"/>
      <c r="AB161" s="2583"/>
      <c r="AC161" s="2583"/>
      <c r="AD161" s="2583"/>
      <c r="AE161" s="2583"/>
      <c r="AF161" s="2583"/>
      <c r="AG161" s="2583"/>
      <c r="AH161" s="2583"/>
      <c r="AI161" s="2583"/>
      <c r="AJ161" s="2583"/>
      <c r="AK161" s="2583"/>
      <c r="AL161" s="2583"/>
      <c r="AM161" s="2583"/>
      <c r="AN161" s="2583"/>
      <c r="AO161" s="2583"/>
      <c r="AP161" s="2583"/>
      <c r="AQ161" s="2583"/>
      <c r="AR161" s="2583"/>
      <c r="AS161" s="2583"/>
      <c r="AT161" s="2583"/>
      <c r="AU161" s="2583"/>
      <c r="AV161" s="2583"/>
      <c r="AW161" s="2583"/>
      <c r="AX161" s="187"/>
      <c r="AY161" s="187"/>
      <c r="AZ161" s="187"/>
      <c r="BA161" s="187"/>
      <c r="BB161" s="187"/>
      <c r="BC161" s="187"/>
      <c r="BD161" s="187"/>
      <c r="BE161" s="187"/>
      <c r="BF161" s="187"/>
      <c r="BG161" s="187"/>
      <c r="BH161" s="187"/>
      <c r="BI161" s="187"/>
      <c r="BJ161" s="194"/>
    </row>
    <row r="162" spans="1:64">
      <c r="B162" s="2594"/>
      <c r="C162" s="187"/>
      <c r="D162" s="187"/>
      <c r="E162" s="187"/>
      <c r="F162" s="187"/>
      <c r="G162" s="187"/>
      <c r="H162" s="2583"/>
      <c r="I162" s="2583"/>
      <c r="J162" s="2583"/>
      <c r="K162" s="2583"/>
      <c r="L162" s="2583"/>
      <c r="M162" s="2583"/>
      <c r="N162" s="2583"/>
      <c r="O162" s="2583"/>
      <c r="P162" s="2583"/>
      <c r="Q162" s="2583"/>
      <c r="R162" s="2583"/>
      <c r="S162" s="2583"/>
      <c r="T162" s="2583"/>
      <c r="U162" s="2583"/>
      <c r="V162" s="2583"/>
      <c r="W162" s="2583"/>
      <c r="X162" s="2583"/>
      <c r="Y162" s="2583"/>
      <c r="Z162" s="2583"/>
      <c r="AA162" s="2583"/>
      <c r="AB162" s="2583"/>
      <c r="AC162" s="2583"/>
      <c r="AD162" s="2583"/>
      <c r="AE162" s="2583"/>
      <c r="AF162" s="2583"/>
      <c r="AG162" s="2583"/>
      <c r="AH162" s="2583"/>
      <c r="AI162" s="2583"/>
      <c r="AJ162" s="2583"/>
      <c r="AK162" s="2583"/>
      <c r="AL162" s="2583"/>
      <c r="AM162" s="2583"/>
      <c r="AN162" s="2583"/>
      <c r="AO162" s="2583"/>
      <c r="AP162" s="2583"/>
      <c r="AQ162" s="2583"/>
      <c r="AR162" s="2583"/>
      <c r="AS162" s="2583"/>
      <c r="AT162" s="2583"/>
      <c r="AU162" s="2583"/>
      <c r="AV162" s="2583"/>
      <c r="AW162" s="2583"/>
      <c r="AX162" s="187"/>
      <c r="AY162" s="187"/>
      <c r="AZ162" s="187"/>
      <c r="BA162" s="187"/>
      <c r="BB162" s="187"/>
      <c r="BC162" s="187"/>
      <c r="BD162" s="187"/>
      <c r="BE162" s="187"/>
      <c r="BF162" s="187"/>
      <c r="BG162" s="187"/>
      <c r="BH162" s="187"/>
      <c r="BI162" s="187"/>
      <c r="BJ162" s="194"/>
    </row>
    <row r="163" spans="1:64">
      <c r="B163" s="1502"/>
      <c r="C163" s="187" t="s">
        <v>48</v>
      </c>
      <c r="D163" s="187" t="str">
        <f>INDEX(Vectors[Description],MATCH($C163,Vectors[Code],0))</f>
        <v>Unallocated</v>
      </c>
      <c r="E163" s="187"/>
      <c r="F163" s="2576"/>
      <c r="G163" s="2576"/>
      <c r="H163" s="2595"/>
      <c r="I163" s="2595"/>
      <c r="J163" s="2595"/>
      <c r="K163" s="2595"/>
      <c r="L163" s="2595"/>
      <c r="M163" s="2595"/>
      <c r="N163" s="2595"/>
      <c r="O163" s="2595"/>
      <c r="P163" s="2595"/>
      <c r="Q163" s="2595"/>
      <c r="R163" s="2595"/>
      <c r="S163" s="2595"/>
      <c r="T163" s="2595"/>
      <c r="U163" s="2595"/>
      <c r="V163" s="2595"/>
      <c r="W163" s="2595"/>
      <c r="X163" s="2595"/>
      <c r="Y163" s="2595"/>
      <c r="Z163" s="2595"/>
      <c r="AA163" s="2595"/>
      <c r="AB163" s="2595"/>
      <c r="AC163" s="2595"/>
      <c r="AD163" s="2595"/>
      <c r="AE163" s="2595"/>
      <c r="AF163" s="2595"/>
      <c r="AG163" s="2595"/>
      <c r="AH163" s="2595"/>
      <c r="AI163" s="2595"/>
      <c r="AJ163" s="2595"/>
      <c r="AK163" s="2595"/>
      <c r="AL163" s="2595"/>
      <c r="AM163" s="2595"/>
      <c r="AN163" s="2595"/>
      <c r="AO163" s="2595"/>
      <c r="AP163" s="2595"/>
      <c r="AQ163" s="2595"/>
      <c r="AR163" s="2595"/>
      <c r="AS163" s="2595"/>
      <c r="AT163" s="2595"/>
      <c r="AU163" s="2595"/>
      <c r="AV163" s="2595"/>
      <c r="AW163" s="2595"/>
      <c r="AX163" s="187"/>
      <c r="AY163" s="2576">
        <f ca="1">INDEX(INDIRECT("'"&amp;AY$4&amp;"'!Year.NetBalance"), MATCH(Pathways!$C163, INDIRECT("'"&amp;AY$4&amp;"'!Year.Vectors"), 0))</f>
        <v>0</v>
      </c>
      <c r="AZ163" s="2576"/>
      <c r="BA163" s="2576">
        <f ca="1">INDEX(INDIRECT("'"&amp;BA$4&amp;"'!Year.NetBalance"), MATCH(Pathways!$C163, INDIRECT("'"&amp;BA$4&amp;"'!Year.Vectors"), 0))</f>
        <v>0</v>
      </c>
      <c r="BB163" s="2576">
        <f ca="1">INDEX(INDIRECT("'"&amp;BB$4&amp;"'!Year.NetBalance"), MATCH(Pathways!$C163, INDIRECT("'"&amp;BB$4&amp;"'!Year.Vectors"), 0))</f>
        <v>0</v>
      </c>
      <c r="BC163" s="2576">
        <f ca="1">INDEX(INDIRECT("'"&amp;BC$4&amp;"'!Year.NetBalance"), MATCH(Pathways!$C163, INDIRECT("'"&amp;BC$4&amp;"'!Year.Vectors"), 0))</f>
        <v>0</v>
      </c>
      <c r="BD163" s="2576">
        <f ca="1">INDEX(INDIRECT("'"&amp;BD$4&amp;"'!Year.NetBalance"), MATCH(Pathways!$C163, INDIRECT("'"&amp;BD$4&amp;"'!Year.Vectors"), 0))</f>
        <v>0</v>
      </c>
      <c r="BE163" s="2576">
        <f ca="1">INDEX(INDIRECT("'"&amp;BE$4&amp;"'!Year.NetBalance"), MATCH(Pathways!$C163, INDIRECT("'"&amp;BE$4&amp;"'!Year.Vectors"), 0))</f>
        <v>-9.0949470177292824E-12</v>
      </c>
      <c r="BF163" s="2576">
        <f ca="1">INDEX(INDIRECT("'"&amp;BF$4&amp;"'!Year.NetBalance"), MATCH(Pathways!$C163, INDIRECT("'"&amp;BF$4&amp;"'!Year.Vectors"), 0))</f>
        <v>0</v>
      </c>
      <c r="BG163" s="2576">
        <f ca="1">INDEX(INDIRECT("'"&amp;BG$4&amp;"'!Year.NetBalance"), MATCH(Pathways!$C163, INDIRECT("'"&amp;BG$4&amp;"'!Year.Vectors"), 0))</f>
        <v>0</v>
      </c>
      <c r="BH163" s="2576">
        <f ca="1">INDEX(INDIRECT("'"&amp;BH$4&amp;"'!Year.NetBalance"), MATCH(Pathways!$C163, INDIRECT("'"&amp;BH$4&amp;"'!Year.Vectors"), 0))</f>
        <v>0</v>
      </c>
      <c r="BI163" s="2576">
        <f ca="1">INDEX(INDIRECT("'"&amp;BI$4&amp;"'!Year.NetBalance"), MATCH(Pathways!$C163, INDIRECT("'"&amp;BI$4&amp;"'!Year.Vectors"), 0))</f>
        <v>0</v>
      </c>
      <c r="BJ163" s="2577"/>
      <c r="BK163" s="22"/>
    </row>
    <row r="164" spans="1:64" ht="4.5" customHeight="1">
      <c r="B164" s="193"/>
      <c r="C164" s="187"/>
      <c r="D164" s="187"/>
      <c r="E164" s="187"/>
      <c r="F164" s="2574"/>
      <c r="G164" s="2574"/>
      <c r="H164" s="2575"/>
      <c r="I164" s="2575"/>
      <c r="J164" s="2575"/>
      <c r="K164" s="2575"/>
      <c r="L164" s="2575"/>
      <c r="M164" s="2575"/>
      <c r="N164" s="2575"/>
      <c r="O164" s="2575"/>
      <c r="P164" s="2575"/>
      <c r="Q164" s="2575"/>
      <c r="R164" s="2575"/>
      <c r="S164" s="2575"/>
      <c r="T164" s="2575"/>
      <c r="U164" s="2575"/>
      <c r="V164" s="2575"/>
      <c r="W164" s="2575"/>
      <c r="X164" s="2575"/>
      <c r="Y164" s="2575"/>
      <c r="Z164" s="2575"/>
      <c r="AA164" s="2575"/>
      <c r="AB164" s="2575"/>
      <c r="AC164" s="2575"/>
      <c r="AD164" s="2575"/>
      <c r="AE164" s="2575"/>
      <c r="AF164" s="2575"/>
      <c r="AG164" s="2575"/>
      <c r="AH164" s="2575"/>
      <c r="AI164" s="2575"/>
      <c r="AJ164" s="2575"/>
      <c r="AK164" s="2575"/>
      <c r="AL164" s="2575"/>
      <c r="AM164" s="2575"/>
      <c r="AN164" s="2575"/>
      <c r="AO164" s="2575"/>
      <c r="AP164" s="2575"/>
      <c r="AQ164" s="2575"/>
      <c r="AR164" s="2575"/>
      <c r="AS164" s="2575"/>
      <c r="AT164" s="2575"/>
      <c r="AU164" s="2575"/>
      <c r="AV164" s="2575"/>
      <c r="AW164" s="2575"/>
      <c r="AX164" s="187"/>
      <c r="AY164" s="2576"/>
      <c r="AZ164" s="2576"/>
      <c r="BA164" s="2576"/>
      <c r="BB164" s="2576"/>
      <c r="BC164" s="2576"/>
      <c r="BD164" s="2576"/>
      <c r="BE164" s="2576"/>
      <c r="BF164" s="2576"/>
      <c r="BG164" s="2576"/>
      <c r="BH164" s="2576"/>
      <c r="BI164" s="2576"/>
      <c r="BJ164" s="194"/>
    </row>
    <row r="165" spans="1:64" s="51" customFormat="1">
      <c r="B165" s="193"/>
      <c r="C165" s="189"/>
      <c r="D165" s="2578" t="s">
        <v>1149</v>
      </c>
      <c r="E165" s="187"/>
      <c r="F165" s="2579"/>
      <c r="G165" s="2580"/>
      <c r="H165" s="2581"/>
      <c r="I165" s="2581"/>
      <c r="J165" s="2581"/>
      <c r="K165" s="2581"/>
      <c r="L165" s="2581"/>
      <c r="M165" s="2581"/>
      <c r="N165" s="2581"/>
      <c r="O165" s="2581"/>
      <c r="P165" s="2581"/>
      <c r="Q165" s="2581"/>
      <c r="R165" s="2581"/>
      <c r="S165" s="2581"/>
      <c r="T165" s="2581"/>
      <c r="U165" s="2581"/>
      <c r="V165" s="2581"/>
      <c r="W165" s="2581"/>
      <c r="X165" s="2581"/>
      <c r="Y165" s="2581"/>
      <c r="Z165" s="2581"/>
      <c r="AA165" s="2581"/>
      <c r="AB165" s="2581"/>
      <c r="AC165" s="2581"/>
      <c r="AD165" s="2581"/>
      <c r="AE165" s="2581"/>
      <c r="AF165" s="2581"/>
      <c r="AG165" s="2581"/>
      <c r="AH165" s="2581"/>
      <c r="AI165" s="2581"/>
      <c r="AJ165" s="2581"/>
      <c r="AK165" s="2581"/>
      <c r="AL165" s="2581"/>
      <c r="AM165" s="2581"/>
      <c r="AN165" s="2581"/>
      <c r="AO165" s="2581"/>
      <c r="AP165" s="2581"/>
      <c r="AQ165" s="2581"/>
      <c r="AR165" s="2581"/>
      <c r="AS165" s="2581"/>
      <c r="AT165" s="2581"/>
      <c r="AU165" s="2581"/>
      <c r="AV165" s="2581"/>
      <c r="AW165" s="2581"/>
      <c r="AX165" s="187"/>
      <c r="AY165" s="2579">
        <f ca="1">AY150+AY156+AY163</f>
        <v>4.5474735088646412E-13</v>
      </c>
      <c r="AZ165" s="2579"/>
      <c r="BA165" s="2579">
        <f t="shared" ref="BA165:BI165" ca="1" si="46">BA150+BA156+BA163</f>
        <v>0</v>
      </c>
      <c r="BB165" s="2579">
        <f t="shared" ca="1" si="46"/>
        <v>0</v>
      </c>
      <c r="BC165" s="2579">
        <f t="shared" ca="1" si="46"/>
        <v>-1.8189894035458565E-12</v>
      </c>
      <c r="BD165" s="2579">
        <f t="shared" ca="1" si="46"/>
        <v>1.8189894035458565E-12</v>
      </c>
      <c r="BE165" s="2579">
        <f t="shared" ca="1" si="46"/>
        <v>-1.2732925824820995E-11</v>
      </c>
      <c r="BF165" s="2579">
        <f t="shared" ca="1" si="46"/>
        <v>0</v>
      </c>
      <c r="BG165" s="2579">
        <f t="shared" ca="1" si="46"/>
        <v>0</v>
      </c>
      <c r="BH165" s="2579">
        <f t="shared" ca="1" si="46"/>
        <v>4.2064129956997931E-12</v>
      </c>
      <c r="BI165" s="2579">
        <f t="shared" ca="1" si="46"/>
        <v>-7.9403150721191196E-13</v>
      </c>
      <c r="BJ165" s="2596"/>
    </row>
    <row r="166" spans="1:64" s="242" customFormat="1">
      <c r="B166" s="631"/>
      <c r="C166" s="35"/>
      <c r="D166" s="35"/>
      <c r="E166" s="35"/>
      <c r="F166" s="35"/>
      <c r="G166" s="35"/>
      <c r="H166" s="1203"/>
      <c r="I166" s="1203"/>
      <c r="J166" s="1203"/>
      <c r="K166" s="1203"/>
      <c r="L166" s="1203"/>
      <c r="M166" s="1203"/>
      <c r="N166" s="1203"/>
      <c r="O166" s="1203"/>
      <c r="P166" s="1203"/>
      <c r="Q166" s="1203"/>
      <c r="R166" s="1203"/>
      <c r="S166" s="1203"/>
      <c r="T166" s="1203"/>
      <c r="U166" s="1203"/>
      <c r="V166" s="1203"/>
      <c r="W166" s="1203"/>
      <c r="X166" s="1203"/>
      <c r="Y166" s="1203"/>
      <c r="Z166" s="1203"/>
      <c r="AA166" s="1203"/>
      <c r="AB166" s="1203"/>
      <c r="AC166" s="1203"/>
      <c r="AD166" s="1203"/>
      <c r="AE166" s="1203"/>
      <c r="AF166" s="1203"/>
      <c r="AG166" s="1203"/>
      <c r="AH166" s="1203"/>
      <c r="AI166" s="1203"/>
      <c r="AJ166" s="1203"/>
      <c r="AK166" s="1203"/>
      <c r="AL166" s="1203"/>
      <c r="AM166" s="1203"/>
      <c r="AN166" s="1203"/>
      <c r="AO166" s="1203"/>
      <c r="AP166" s="1203"/>
      <c r="AQ166" s="1203"/>
      <c r="AR166" s="1203"/>
      <c r="AS166" s="1203"/>
      <c r="AT166" s="1203"/>
      <c r="AU166" s="1203"/>
      <c r="AV166" s="1203"/>
      <c r="AW166" s="1203"/>
      <c r="AX166" s="35"/>
      <c r="AY166" s="35"/>
      <c r="AZ166" s="35"/>
      <c r="BA166" s="35"/>
      <c r="BB166" s="35"/>
      <c r="BC166" s="35"/>
      <c r="BD166" s="35"/>
      <c r="BE166" s="35"/>
      <c r="BF166" s="35"/>
      <c r="BG166" s="35"/>
      <c r="BH166" s="35"/>
      <c r="BI166" s="35"/>
      <c r="BJ166" s="632"/>
    </row>
    <row r="167" spans="1:64" ht="22.5">
      <c r="A167" s="420"/>
      <c r="B167" s="1194" t="s">
        <v>401</v>
      </c>
      <c r="C167" s="1195"/>
      <c r="D167" s="1195"/>
      <c r="E167" s="1195"/>
      <c r="F167" s="1195"/>
      <c r="G167" s="1195"/>
      <c r="H167" s="1196"/>
      <c r="I167" s="1196"/>
      <c r="J167" s="1196"/>
      <c r="K167" s="1196"/>
      <c r="L167" s="1196"/>
      <c r="M167" s="1196"/>
      <c r="N167" s="1196"/>
      <c r="O167" s="1196"/>
      <c r="P167" s="1196"/>
      <c r="Q167" s="1196"/>
      <c r="R167" s="1196"/>
      <c r="S167" s="1196"/>
      <c r="T167" s="1196"/>
      <c r="U167" s="1196"/>
      <c r="V167" s="1196"/>
      <c r="W167" s="1196"/>
      <c r="X167" s="1196"/>
      <c r="Y167" s="1196"/>
      <c r="Z167" s="1196"/>
      <c r="AA167" s="1196"/>
      <c r="AB167" s="1196"/>
      <c r="AC167" s="1196"/>
      <c r="AD167" s="1196"/>
      <c r="AE167" s="1196"/>
      <c r="AF167" s="1196"/>
      <c r="AG167" s="1196"/>
      <c r="AH167" s="1196"/>
      <c r="AI167" s="1196"/>
      <c r="AJ167" s="1196"/>
      <c r="AK167" s="1196"/>
      <c r="AL167" s="1196"/>
      <c r="AM167" s="1196"/>
      <c r="AN167" s="1196"/>
      <c r="AO167" s="1196"/>
      <c r="AP167" s="1196"/>
      <c r="AQ167" s="1196"/>
      <c r="AR167" s="1196"/>
      <c r="AS167" s="1196"/>
      <c r="AT167" s="1196"/>
      <c r="AU167" s="1196"/>
      <c r="AV167" s="1196"/>
      <c r="AW167" s="1196"/>
      <c r="AX167" s="1195"/>
      <c r="AY167" s="1197"/>
      <c r="AZ167" s="1197"/>
      <c r="BA167" s="1197"/>
      <c r="BB167" s="1197"/>
      <c r="BC167" s="1197"/>
      <c r="BD167" s="1197"/>
      <c r="BE167" s="1197"/>
      <c r="BF167" s="1197"/>
      <c r="BG167" s="1197"/>
      <c r="BH167" s="1197"/>
      <c r="BI167" s="1197"/>
      <c r="BJ167" s="1198"/>
    </row>
    <row r="168" spans="1:64" s="242" customFormat="1">
      <c r="A168" s="1204"/>
      <c r="B168" s="193"/>
      <c r="C168" s="187"/>
      <c r="D168" s="191"/>
      <c r="E168" s="191"/>
      <c r="F168" s="191"/>
      <c r="G168" s="191"/>
      <c r="H168" s="2570"/>
      <c r="I168" s="2570"/>
      <c r="J168" s="2570"/>
      <c r="K168" s="2570"/>
      <c r="L168" s="2570"/>
      <c r="M168" s="2570"/>
      <c r="N168" s="2570"/>
      <c r="O168" s="2570"/>
      <c r="P168" s="2570"/>
      <c r="Q168" s="2570"/>
      <c r="R168" s="2570"/>
      <c r="S168" s="2570"/>
      <c r="T168" s="2570"/>
      <c r="U168" s="2570"/>
      <c r="V168" s="2570"/>
      <c r="W168" s="2570"/>
      <c r="X168" s="2570"/>
      <c r="Y168" s="2570"/>
      <c r="Z168" s="2570"/>
      <c r="AA168" s="2570"/>
      <c r="AB168" s="2570"/>
      <c r="AC168" s="2570"/>
      <c r="AD168" s="2570"/>
      <c r="AE168" s="2570"/>
      <c r="AF168" s="2570"/>
      <c r="AG168" s="2570"/>
      <c r="AH168" s="2570"/>
      <c r="AI168" s="2570"/>
      <c r="AJ168" s="2570"/>
      <c r="AK168" s="2570"/>
      <c r="AL168" s="2570"/>
      <c r="AM168" s="2570"/>
      <c r="AN168" s="2570"/>
      <c r="AO168" s="2570"/>
      <c r="AP168" s="2570"/>
      <c r="AQ168" s="2570"/>
      <c r="AR168" s="2570"/>
      <c r="AS168" s="2570"/>
      <c r="AT168" s="2570"/>
      <c r="AU168" s="2570"/>
      <c r="AV168" s="2570"/>
      <c r="AW168" s="2570"/>
      <c r="AX168" s="191"/>
      <c r="AY168" s="2571"/>
      <c r="AZ168" s="2576"/>
      <c r="BA168" s="2576"/>
      <c r="BB168" s="2576"/>
      <c r="BC168" s="2576"/>
      <c r="BD168" s="2576"/>
      <c r="BE168" s="2576"/>
      <c r="BF168" s="2576"/>
      <c r="BG168" s="2576"/>
      <c r="BH168" s="2576"/>
      <c r="BI168" s="2576"/>
      <c r="BJ168" s="2577"/>
    </row>
    <row r="169" spans="1:64" ht="15.75">
      <c r="B169" s="2573"/>
      <c r="C169" s="187" t="s">
        <v>35</v>
      </c>
      <c r="D169" s="2600" t="str">
        <f>preferences.energyunits&amp;"/year"</f>
        <v>TWh/year</v>
      </c>
      <c r="E169" s="187"/>
      <c r="F169" s="2600"/>
      <c r="G169" s="187"/>
      <c r="H169" s="2583"/>
      <c r="I169" s="2583"/>
      <c r="J169" s="2583"/>
      <c r="K169" s="2583"/>
      <c r="L169" s="2583"/>
      <c r="M169" s="2583"/>
      <c r="N169" s="2583"/>
      <c r="O169" s="2583"/>
      <c r="P169" s="2583"/>
      <c r="Q169" s="2583"/>
      <c r="R169" s="2583"/>
      <c r="S169" s="2583"/>
      <c r="T169" s="2583"/>
      <c r="U169" s="2583"/>
      <c r="V169" s="2583"/>
      <c r="W169" s="2583"/>
      <c r="X169" s="2583"/>
      <c r="Y169" s="2583"/>
      <c r="Z169" s="2583"/>
      <c r="AA169" s="2583"/>
      <c r="AB169" s="2583"/>
      <c r="AC169" s="2583"/>
      <c r="AD169" s="2583"/>
      <c r="AE169" s="2583"/>
      <c r="AF169" s="2583"/>
      <c r="AG169" s="2583"/>
      <c r="AH169" s="2583"/>
      <c r="AI169" s="2583"/>
      <c r="AJ169" s="2583"/>
      <c r="AK169" s="2583"/>
      <c r="AL169" s="2583"/>
      <c r="AM169" s="2583"/>
      <c r="AN169" s="2583"/>
      <c r="AO169" s="2583"/>
      <c r="AP169" s="2583"/>
      <c r="AQ169" s="2583"/>
      <c r="AR169" s="2583"/>
      <c r="AS169" s="2583"/>
      <c r="AT169" s="2583"/>
      <c r="AU169" s="2583"/>
      <c r="AV169" s="2583"/>
      <c r="AW169" s="2583"/>
      <c r="AX169" s="187"/>
      <c r="AY169" s="2601">
        <v>2007</v>
      </c>
      <c r="AZ169" s="2601"/>
      <c r="BA169" s="2601">
        <f>AY169+5</f>
        <v>2012</v>
      </c>
      <c r="BB169" s="2601">
        <f t="shared" ref="BB169:BI169" si="47">BA169+5</f>
        <v>2017</v>
      </c>
      <c r="BC169" s="2601">
        <f t="shared" si="47"/>
        <v>2022</v>
      </c>
      <c r="BD169" s="2601">
        <f t="shared" si="47"/>
        <v>2027</v>
      </c>
      <c r="BE169" s="2601">
        <f t="shared" si="47"/>
        <v>2032</v>
      </c>
      <c r="BF169" s="2601">
        <f t="shared" si="47"/>
        <v>2037</v>
      </c>
      <c r="BG169" s="2601">
        <f t="shared" si="47"/>
        <v>2042</v>
      </c>
      <c r="BH169" s="2601">
        <f t="shared" si="47"/>
        <v>2047</v>
      </c>
      <c r="BI169" s="2601">
        <f t="shared" si="47"/>
        <v>2052</v>
      </c>
      <c r="BJ169" s="194"/>
    </row>
    <row r="170" spans="1:64" ht="15.75">
      <c r="B170" s="2597"/>
      <c r="C170" s="1503" t="s">
        <v>248</v>
      </c>
      <c r="D170" s="187" t="str">
        <f>INDEX(Modules[Module], MATCH($C170, Modules[Code], 0))</f>
        <v>Gas Power Stations</v>
      </c>
      <c r="E170" s="1503"/>
      <c r="F170" s="2576"/>
      <c r="G170" s="2576"/>
      <c r="H170" s="2595"/>
      <c r="I170" s="2595"/>
      <c r="J170" s="2595"/>
      <c r="K170" s="2595"/>
      <c r="L170" s="2595"/>
      <c r="M170" s="2595"/>
      <c r="N170" s="2595"/>
      <c r="O170" s="2595"/>
      <c r="P170" s="2595"/>
      <c r="Q170" s="2595"/>
      <c r="R170" s="2595"/>
      <c r="S170" s="2595"/>
      <c r="T170" s="2595"/>
      <c r="U170" s="2595"/>
      <c r="V170" s="2595"/>
      <c r="W170" s="2595"/>
      <c r="X170" s="2595"/>
      <c r="Y170" s="2595"/>
      <c r="Z170" s="2595"/>
      <c r="AA170" s="2595"/>
      <c r="AB170" s="2595"/>
      <c r="AC170" s="2595"/>
      <c r="AD170" s="2595"/>
      <c r="AE170" s="2595"/>
      <c r="AF170" s="2595"/>
      <c r="AG170" s="2595"/>
      <c r="AH170" s="2595">
        <f>221.2*Unit.TWh</f>
        <v>221.2</v>
      </c>
      <c r="AI170" s="2595">
        <f>214.6*Unit.TWh</f>
        <v>214.6</v>
      </c>
      <c r="AJ170" s="2595">
        <f>221.2*Unit.TWh</f>
        <v>221.2</v>
      </c>
      <c r="AK170" s="2595">
        <f>226.3*Unit.TWh</f>
        <v>226.3</v>
      </c>
      <c r="AL170" s="2595">
        <f>241.6*Unit.TWh</f>
        <v>241.6</v>
      </c>
      <c r="AM170" s="2595">
        <f>248.5*Unit.TWh</f>
        <v>248.5</v>
      </c>
      <c r="AN170" s="2595">
        <f>250.7*Unit.TWh</f>
        <v>250.7</v>
      </c>
      <c r="AO170" s="2595">
        <f>258.7*Unit.TWh</f>
        <v>258.7</v>
      </c>
      <c r="AP170" s="2595">
        <f>262.6*Unit.TWh</f>
        <v>262.60000000000002</v>
      </c>
      <c r="AQ170" s="2595">
        <f>264.2*Unit.TWh</f>
        <v>264.2</v>
      </c>
      <c r="AR170" s="2595">
        <f>267.6*Unit.TWh</f>
        <v>267.60000000000002</v>
      </c>
      <c r="AS170" s="2595">
        <f>276.5*Unit.TWh</f>
        <v>276.5</v>
      </c>
      <c r="AT170" s="2595">
        <f>279.3*Unit.TWh</f>
        <v>279.3</v>
      </c>
      <c r="AU170" s="2595">
        <f>250.1*Unit.TWh</f>
        <v>250.1</v>
      </c>
      <c r="AV170" s="2595">
        <f>263.1*Unit.TWh</f>
        <v>263.10000000000002</v>
      </c>
      <c r="AW170" s="2595" t="s">
        <v>1150</v>
      </c>
      <c r="AX170" s="1503"/>
      <c r="AY170" s="2576">
        <f ca="1">INDEX(INDIRECT("'"&amp;AY$4&amp;"'!Year.Matrix"), MATCH($C170, INDIRECT("'"&amp;AY$4&amp;"'!Year.Modules"), 0), MATCH($C$169, INDIRECT("'"&amp;AY$4&amp;"'!Year.Vectors"), 0))</f>
        <v>64.008837597600007</v>
      </c>
      <c r="AZ170" s="2576"/>
      <c r="BA170" s="2576">
        <f t="shared" ref="BA170:BI173" ca="1" si="48">INDEX(INDIRECT("'"&amp;BA$4&amp;"'!Year.Matrix"), MATCH($C170, INDIRECT("'"&amp;BA$4&amp;"'!Year.Modules"), 0), MATCH($C$169, INDIRECT("'"&amp;BA$4&amp;"'!Year.Vectors"), 0))</f>
        <v>96.596143677000001</v>
      </c>
      <c r="BB170" s="2576">
        <f t="shared" ca="1" si="48"/>
        <v>109.8605340414</v>
      </c>
      <c r="BC170" s="2576">
        <f t="shared" ca="1" si="48"/>
        <v>109.8605340414</v>
      </c>
      <c r="BD170" s="2576">
        <f t="shared" ca="1" si="48"/>
        <v>109.8605340414</v>
      </c>
      <c r="BE170" s="2576">
        <f t="shared" ca="1" si="48"/>
        <v>109.8605340414</v>
      </c>
      <c r="BF170" s="2576">
        <f t="shared" ca="1" si="48"/>
        <v>109.8605340414</v>
      </c>
      <c r="BG170" s="2576">
        <f t="shared" ca="1" si="48"/>
        <v>109.8605340414</v>
      </c>
      <c r="BH170" s="2576">
        <f t="shared" ca="1" si="48"/>
        <v>109.8605340414</v>
      </c>
      <c r="BI170" s="2576">
        <f t="shared" ca="1" si="48"/>
        <v>109.8605340414</v>
      </c>
      <c r="BJ170" s="194"/>
      <c r="BL170" s="15"/>
    </row>
    <row r="171" spans="1:64" s="410" customFormat="1">
      <c r="B171" s="193"/>
      <c r="C171" s="2598" t="s">
        <v>278</v>
      </c>
      <c r="D171" s="187" t="str">
        <f>INDEX(Modules[Module], MATCH($C171, Modules[Code], 0))</f>
        <v>Coal power stations</v>
      </c>
      <c r="E171" s="1503"/>
      <c r="F171" s="2602"/>
      <c r="G171" s="2602"/>
      <c r="H171" s="2603"/>
      <c r="I171" s="2603"/>
      <c r="J171" s="2603"/>
      <c r="K171" s="2603"/>
      <c r="L171" s="2603"/>
      <c r="M171" s="2603"/>
      <c r="N171" s="2603"/>
      <c r="O171" s="2603"/>
      <c r="P171" s="2603"/>
      <c r="Q171" s="2603"/>
      <c r="R171" s="2603"/>
      <c r="S171" s="2603"/>
      <c r="T171" s="2603"/>
      <c r="U171" s="2603"/>
      <c r="V171" s="2603"/>
      <c r="W171" s="2603"/>
      <c r="X171" s="2603"/>
      <c r="Y171" s="2603"/>
      <c r="Z171" s="2603"/>
      <c r="AA171" s="2603"/>
      <c r="AB171" s="2603"/>
      <c r="AC171" s="2603"/>
      <c r="AD171" s="2603"/>
      <c r="AE171" s="2603"/>
      <c r="AF171" s="2603"/>
      <c r="AG171" s="2603"/>
      <c r="AH171" s="2603"/>
      <c r="AI171" s="2603"/>
      <c r="AJ171" s="2603"/>
      <c r="AK171" s="2603"/>
      <c r="AL171" s="2603"/>
      <c r="AM171" s="2603"/>
      <c r="AN171" s="2603"/>
      <c r="AO171" s="2603"/>
      <c r="AP171" s="2603"/>
      <c r="AQ171" s="2603"/>
      <c r="AR171" s="2603"/>
      <c r="AS171" s="2603"/>
      <c r="AT171" s="2603"/>
      <c r="AU171" s="2603"/>
      <c r="AV171" s="2603"/>
      <c r="AW171" s="2603"/>
      <c r="AX171" s="1503"/>
      <c r="AY171" s="2602">
        <f ca="1">INDEX(INDIRECT("'"&amp;AY$4&amp;"'!Year.Matrix"), MATCH($C171, INDIRECT("'"&amp;AY$4&amp;"'!Year.Modules"), 0), MATCH($C$169, INDIRECT("'"&amp;AY$4&amp;"'!Year.Vectors"), 0))</f>
        <v>489.68979840000003</v>
      </c>
      <c r="AZ171" s="2602"/>
      <c r="BA171" s="2602">
        <f t="shared" ca="1" si="48"/>
        <v>710.86285644904808</v>
      </c>
      <c r="BB171" s="2602">
        <f t="shared" ca="1" si="48"/>
        <v>987.43322456128158</v>
      </c>
      <c r="BC171" s="2602">
        <f t="shared" ca="1" si="48"/>
        <v>936.05697418960165</v>
      </c>
      <c r="BD171" s="2602">
        <f t="shared" ca="1" si="48"/>
        <v>857.50498844560173</v>
      </c>
      <c r="BE171" s="2602">
        <f t="shared" ca="1" si="48"/>
        <v>774.08352476560174</v>
      </c>
      <c r="BF171" s="2602">
        <f t="shared" ca="1" si="48"/>
        <v>711.69800024920607</v>
      </c>
      <c r="BG171" s="2602">
        <f t="shared" ca="1" si="48"/>
        <v>631.66170278920595</v>
      </c>
      <c r="BH171" s="2602">
        <f t="shared" ca="1" si="48"/>
        <v>563.12045398120586</v>
      </c>
      <c r="BI171" s="2602">
        <f t="shared" ca="1" si="48"/>
        <v>336.94328475400596</v>
      </c>
      <c r="BJ171" s="2604"/>
      <c r="BL171" s="1205"/>
    </row>
    <row r="172" spans="1:64" s="410" customFormat="1">
      <c r="B172" s="193"/>
      <c r="C172" s="2598" t="s">
        <v>696</v>
      </c>
      <c r="D172" s="187" t="str">
        <f>INDEX(Modules[Module], MATCH($C172, Modules[Code], 0))</f>
        <v>Carbon Capture Storage (CCS)</v>
      </c>
      <c r="E172" s="1503"/>
      <c r="F172" s="2602"/>
      <c r="G172" s="2602"/>
      <c r="H172" s="2603"/>
      <c r="I172" s="2603"/>
      <c r="J172" s="2603"/>
      <c r="K172" s="2603"/>
      <c r="L172" s="2603"/>
      <c r="M172" s="2603"/>
      <c r="N172" s="2603"/>
      <c r="O172" s="2603"/>
      <c r="P172" s="2603"/>
      <c r="Q172" s="2603"/>
      <c r="R172" s="2603"/>
      <c r="S172" s="2603"/>
      <c r="T172" s="2603"/>
      <c r="U172" s="2603"/>
      <c r="V172" s="2603"/>
      <c r="W172" s="2603"/>
      <c r="X172" s="2603"/>
      <c r="Y172" s="2603"/>
      <c r="Z172" s="2603"/>
      <c r="AA172" s="2603"/>
      <c r="AB172" s="2603"/>
      <c r="AC172" s="2603"/>
      <c r="AD172" s="2603"/>
      <c r="AE172" s="2603"/>
      <c r="AF172" s="2603"/>
      <c r="AG172" s="2603"/>
      <c r="AH172" s="2603"/>
      <c r="AI172" s="2603"/>
      <c r="AJ172" s="2603"/>
      <c r="AK172" s="2603"/>
      <c r="AL172" s="2603"/>
      <c r="AM172" s="2603"/>
      <c r="AN172" s="2603"/>
      <c r="AO172" s="2603"/>
      <c r="AP172" s="2603"/>
      <c r="AQ172" s="2603"/>
      <c r="AR172" s="2603"/>
      <c r="AS172" s="2603"/>
      <c r="AT172" s="2603"/>
      <c r="AU172" s="2603"/>
      <c r="AV172" s="2603"/>
      <c r="AW172" s="2603"/>
      <c r="AX172" s="1503"/>
      <c r="AY172" s="2602">
        <f ca="1">INDEX(INDIRECT("'"&amp;AY$4&amp;"'!Year.Matrix"), MATCH($C172, INDIRECT("'"&amp;AY$4&amp;"'!Year.Modules"), 0), MATCH($C$169, INDIRECT("'"&amp;AY$4&amp;"'!Year.Vectors"), 0))</f>
        <v>0</v>
      </c>
      <c r="AZ172" s="2602"/>
      <c r="BA172" s="2602">
        <f t="shared" ca="1" si="48"/>
        <v>0</v>
      </c>
      <c r="BB172" s="2602">
        <f t="shared" ca="1" si="48"/>
        <v>0</v>
      </c>
      <c r="BC172" s="2602">
        <f t="shared" ca="1" si="48"/>
        <v>0</v>
      </c>
      <c r="BD172" s="2602">
        <f t="shared" ca="1" si="48"/>
        <v>0</v>
      </c>
      <c r="BE172" s="2602">
        <f t="shared" ca="1" si="48"/>
        <v>2.5772040000000001</v>
      </c>
      <c r="BF172" s="2602">
        <f t="shared" ca="1" si="48"/>
        <v>6.1362000000000005</v>
      </c>
      <c r="BG172" s="2602">
        <f t="shared" ca="1" si="48"/>
        <v>14.358708</v>
      </c>
      <c r="BH172" s="2602">
        <f t="shared" ca="1" si="48"/>
        <v>19.513116000000004</v>
      </c>
      <c r="BI172" s="2602">
        <f t="shared" ca="1" si="48"/>
        <v>27.244728000000002</v>
      </c>
      <c r="BJ172" s="2604"/>
      <c r="BL172" s="1205"/>
    </row>
    <row r="173" spans="1:64" s="410" customFormat="1">
      <c r="B173" s="2599"/>
      <c r="C173" s="2598" t="s">
        <v>1819</v>
      </c>
      <c r="D173" s="187" t="str">
        <f>INDEX(Modules[Module], MATCH($C173, Modules[Code], 0))</f>
        <v>Electricity Balancing Requirement</v>
      </c>
      <c r="E173" s="1503"/>
      <c r="F173" s="2602"/>
      <c r="G173" s="2602"/>
      <c r="H173" s="2603"/>
      <c r="I173" s="2603"/>
      <c r="J173" s="2603"/>
      <c r="K173" s="2603"/>
      <c r="L173" s="2603"/>
      <c r="M173" s="2603"/>
      <c r="N173" s="2603"/>
      <c r="O173" s="2603"/>
      <c r="P173" s="2603"/>
      <c r="Q173" s="2603"/>
      <c r="R173" s="2603"/>
      <c r="S173" s="2603"/>
      <c r="T173" s="2603"/>
      <c r="U173" s="2603"/>
      <c r="V173" s="2603"/>
      <c r="W173" s="2603"/>
      <c r="X173" s="2603"/>
      <c r="Y173" s="2603"/>
      <c r="Z173" s="2603"/>
      <c r="AA173" s="2603"/>
      <c r="AB173" s="2603"/>
      <c r="AC173" s="2603"/>
      <c r="AD173" s="2603"/>
      <c r="AE173" s="2603"/>
      <c r="AF173" s="2603"/>
      <c r="AG173" s="2603"/>
      <c r="AH173" s="2603">
        <f>221.2*Unit.TWh</f>
        <v>221.2</v>
      </c>
      <c r="AI173" s="2603">
        <f>214.6*Unit.TWh</f>
        <v>214.6</v>
      </c>
      <c r="AJ173" s="2603">
        <f>221.2*Unit.TWh</f>
        <v>221.2</v>
      </c>
      <c r="AK173" s="2603">
        <f>226.3*Unit.TWh</f>
        <v>226.3</v>
      </c>
      <c r="AL173" s="2603">
        <f>241.6*Unit.TWh</f>
        <v>241.6</v>
      </c>
      <c r="AM173" s="2603">
        <f>248.5*Unit.TWh</f>
        <v>248.5</v>
      </c>
      <c r="AN173" s="2603">
        <f>250.7*Unit.TWh</f>
        <v>250.7</v>
      </c>
      <c r="AO173" s="2603">
        <f>258.7*Unit.TWh</f>
        <v>258.7</v>
      </c>
      <c r="AP173" s="2603">
        <f>262.6*Unit.TWh</f>
        <v>262.60000000000002</v>
      </c>
      <c r="AQ173" s="2603">
        <f>264.2*Unit.TWh</f>
        <v>264.2</v>
      </c>
      <c r="AR173" s="2603">
        <f>267.6*Unit.TWh</f>
        <v>267.60000000000002</v>
      </c>
      <c r="AS173" s="2603">
        <f>276.5*Unit.TWh</f>
        <v>276.5</v>
      </c>
      <c r="AT173" s="2603">
        <f>279.3*Unit.TWh</f>
        <v>279.3</v>
      </c>
      <c r="AU173" s="2603">
        <f>250.1*Unit.TWh</f>
        <v>250.1</v>
      </c>
      <c r="AV173" s="2603">
        <f>263.1*Unit.TWh</f>
        <v>263.10000000000002</v>
      </c>
      <c r="AW173" s="2603" t="s">
        <v>1135</v>
      </c>
      <c r="AX173" s="2602">
        <f>AX170+AX171+AX172</f>
        <v>0</v>
      </c>
      <c r="AY173" s="2602">
        <f ca="1">INDEX(INDIRECT("'"&amp;AY$4&amp;"'!Year.Matrix"), MATCH($C173, INDIRECT("'"&amp;AY$4&amp;"'!Year.Modules"), 0), MATCH($C$169, INDIRECT("'"&amp;AY$4&amp;"'!Year.Vectors"), 0))</f>
        <v>57.253185663040085</v>
      </c>
      <c r="AZ173" s="2602"/>
      <c r="BA173" s="2602">
        <f t="shared" ca="1" si="48"/>
        <v>2.5585518968521228</v>
      </c>
      <c r="BB173" s="2602">
        <f t="shared" ca="1" si="48"/>
        <v>26.676280792411944</v>
      </c>
      <c r="BC173" s="2602">
        <f t="shared" ca="1" si="48"/>
        <v>633.96028414856255</v>
      </c>
      <c r="BD173" s="2602">
        <f t="shared" ca="1" si="48"/>
        <v>1436.0672738769088</v>
      </c>
      <c r="BE173" s="2602">
        <f t="shared" ca="1" si="48"/>
        <v>2499.5140421615743</v>
      </c>
      <c r="BF173" s="2602">
        <f t="shared" ca="1" si="48"/>
        <v>3442.540621324436</v>
      </c>
      <c r="BG173" s="2602">
        <f t="shared" ca="1" si="48"/>
        <v>4538.886109711163</v>
      </c>
      <c r="BH173" s="2602">
        <f t="shared" ca="1" si="48"/>
        <v>5541.1197894407087</v>
      </c>
      <c r="BI173" s="2602">
        <f t="shared" ca="1" si="48"/>
        <v>6841.2588476361761</v>
      </c>
      <c r="BJ173" s="2604"/>
      <c r="BL173" s="1205"/>
    </row>
    <row r="174" spans="1:64" s="410" customFormat="1">
      <c r="B174" s="2599"/>
      <c r="C174" s="2598"/>
      <c r="D174" s="186" t="s">
        <v>1947</v>
      </c>
      <c r="E174" s="1503"/>
      <c r="F174" s="2602"/>
      <c r="G174" s="2602"/>
      <c r="H174" s="2603"/>
      <c r="I174" s="2603"/>
      <c r="J174" s="2603"/>
      <c r="K174" s="2603"/>
      <c r="L174" s="2603"/>
      <c r="M174" s="2603"/>
      <c r="N174" s="2603"/>
      <c r="O174" s="2603"/>
      <c r="P174" s="2603"/>
      <c r="Q174" s="2603"/>
      <c r="R174" s="2603"/>
      <c r="S174" s="2603"/>
      <c r="T174" s="2603"/>
      <c r="U174" s="2603"/>
      <c r="V174" s="2603"/>
      <c r="W174" s="2603"/>
      <c r="X174" s="2603"/>
      <c r="Y174" s="2603"/>
      <c r="Z174" s="2603"/>
      <c r="AA174" s="2603"/>
      <c r="AB174" s="2603"/>
      <c r="AC174" s="2603"/>
      <c r="AD174" s="2603"/>
      <c r="AE174" s="2603"/>
      <c r="AF174" s="2603"/>
      <c r="AG174" s="2603"/>
      <c r="AH174" s="2603"/>
      <c r="AI174" s="2603"/>
      <c r="AJ174" s="2603"/>
      <c r="AK174" s="2603"/>
      <c r="AL174" s="2603"/>
      <c r="AM174" s="2603"/>
      <c r="AN174" s="2603"/>
      <c r="AO174" s="2603"/>
      <c r="AP174" s="2603"/>
      <c r="AQ174" s="2603"/>
      <c r="AR174" s="2603"/>
      <c r="AS174" s="2603"/>
      <c r="AT174" s="2603"/>
      <c r="AU174" s="2603"/>
      <c r="AV174" s="2603"/>
      <c r="AW174" s="2603"/>
      <c r="AX174" s="2602"/>
      <c r="AY174" s="2602">
        <f ca="1">SUM(AY170:AY173)</f>
        <v>610.95182166064012</v>
      </c>
      <c r="AZ174" s="2602"/>
      <c r="BA174" s="2602">
        <f t="shared" ref="BA174:BI174" ca="1" si="49">SUM(BA170:BA173)</f>
        <v>810.01755202290019</v>
      </c>
      <c r="BB174" s="2602">
        <f t="shared" ca="1" si="49"/>
        <v>1123.9700393950934</v>
      </c>
      <c r="BC174" s="2602">
        <f t="shared" ca="1" si="49"/>
        <v>1679.8777923795642</v>
      </c>
      <c r="BD174" s="2602">
        <f t="shared" ca="1" si="49"/>
        <v>2403.4327963639107</v>
      </c>
      <c r="BE174" s="2602">
        <f t="shared" ca="1" si="49"/>
        <v>3386.0353049685759</v>
      </c>
      <c r="BF174" s="2602">
        <f t="shared" ca="1" si="49"/>
        <v>4270.235355615042</v>
      </c>
      <c r="BG174" s="2602">
        <f t="shared" ca="1" si="49"/>
        <v>5294.7670545417686</v>
      </c>
      <c r="BH174" s="2602">
        <f t="shared" ca="1" si="49"/>
        <v>6233.6138934633145</v>
      </c>
      <c r="BI174" s="2602">
        <f t="shared" ca="1" si="49"/>
        <v>7315.307394431582</v>
      </c>
      <c r="BJ174" s="2604"/>
      <c r="BL174" s="1205"/>
    </row>
    <row r="175" spans="1:64">
      <c r="B175" s="2599"/>
      <c r="C175" s="1503" t="s">
        <v>61</v>
      </c>
      <c r="D175" s="187" t="str">
        <f>INDEX(Modules[Module], MATCH($C175, Modules[Code], 0))</f>
        <v>Nuclear power</v>
      </c>
      <c r="E175" s="1503"/>
      <c r="F175" s="2576"/>
      <c r="G175" s="2576"/>
      <c r="H175" s="2595"/>
      <c r="I175" s="2595"/>
      <c r="J175" s="2595"/>
      <c r="K175" s="2595"/>
      <c r="L175" s="2595"/>
      <c r="M175" s="2595"/>
      <c r="N175" s="2595"/>
      <c r="O175" s="2595"/>
      <c r="P175" s="2595"/>
      <c r="Q175" s="2595"/>
      <c r="R175" s="2595"/>
      <c r="S175" s="2595"/>
      <c r="T175" s="2595"/>
      <c r="U175" s="2595"/>
      <c r="V175" s="2595"/>
      <c r="W175" s="2595"/>
      <c r="X175" s="2595"/>
      <c r="Y175" s="2595"/>
      <c r="Z175" s="2595"/>
      <c r="AA175" s="2595"/>
      <c r="AB175" s="2595"/>
      <c r="AC175" s="2595"/>
      <c r="AD175" s="2595"/>
      <c r="AE175" s="2595"/>
      <c r="AF175" s="2595"/>
      <c r="AG175" s="2595"/>
      <c r="AH175" s="2595"/>
      <c r="AI175" s="2595"/>
      <c r="AJ175" s="2595"/>
      <c r="AK175" s="2595"/>
      <c r="AL175" s="2595"/>
      <c r="AM175" s="2595"/>
      <c r="AN175" s="2595"/>
      <c r="AO175" s="2595"/>
      <c r="AP175" s="2595"/>
      <c r="AQ175" s="2595"/>
      <c r="AR175" s="2595"/>
      <c r="AS175" s="2595"/>
      <c r="AT175" s="2595"/>
      <c r="AU175" s="2595"/>
      <c r="AV175" s="2595"/>
      <c r="AW175" s="2595"/>
      <c r="AX175" s="1503"/>
      <c r="AY175" s="2576">
        <f ca="1">INDEX(INDIRECT("'"&amp;AY$4&amp;"'!Year.Matrix"), MATCH($C175, INDIRECT("'"&amp;AY$4&amp;"'!Year.Modules"), 0), MATCH($C$169, INDIRECT("'"&amp;AY$4&amp;"'!Year.Vectors"), 0))</f>
        <v>28.331712000000003</v>
      </c>
      <c r="AZ175" s="2576"/>
      <c r="BA175" s="2576">
        <f t="shared" ref="BA175:BI176" ca="1" si="50">INDEX(INDIRECT("'"&amp;BA$4&amp;"'!Year.Matrix"), MATCH($C175, INDIRECT("'"&amp;BA$4&amp;"'!Year.Modules"), 0), MATCH($C$169, INDIRECT("'"&amp;BA$4&amp;"'!Year.Vectors"), 0))</f>
        <v>32.819904000000001</v>
      </c>
      <c r="BB175" s="2576">
        <f t="shared" ca="1" si="50"/>
        <v>69.987744000000006</v>
      </c>
      <c r="BC175" s="2576">
        <f t="shared" ca="1" si="50"/>
        <v>67.743648000000007</v>
      </c>
      <c r="BD175" s="2576">
        <f t="shared" ca="1" si="50"/>
        <v>67.743648000000007</v>
      </c>
      <c r="BE175" s="2576">
        <f t="shared" ca="1" si="50"/>
        <v>66.341088000000013</v>
      </c>
      <c r="BF175" s="2576">
        <f t="shared" ca="1" si="50"/>
        <v>63.255456000000002</v>
      </c>
      <c r="BG175" s="2576">
        <f t="shared" ca="1" si="50"/>
        <v>61.712640000000007</v>
      </c>
      <c r="BH175" s="2576">
        <f t="shared" ca="1" si="50"/>
        <v>58.627007999999996</v>
      </c>
      <c r="BI175" s="2576">
        <f t="shared" ca="1" si="50"/>
        <v>58.627007999999996</v>
      </c>
      <c r="BJ175" s="194"/>
      <c r="BL175" s="15"/>
    </row>
    <row r="176" spans="1:64">
      <c r="B176" s="2599"/>
      <c r="C176" s="1503" t="s">
        <v>62</v>
      </c>
      <c r="D176" s="187" t="str">
        <f>INDEX(Modules[Module], MATCH($C176, Modules[Code], 0))</f>
        <v>Hydro Power Generation</v>
      </c>
      <c r="E176" s="1503"/>
      <c r="F176" s="2576"/>
      <c r="G176" s="2576"/>
      <c r="H176" s="2595"/>
      <c r="I176" s="2595"/>
      <c r="J176" s="2595"/>
      <c r="K176" s="2595"/>
      <c r="L176" s="2595"/>
      <c r="M176" s="2595"/>
      <c r="N176" s="2595"/>
      <c r="O176" s="2595"/>
      <c r="P176" s="2595"/>
      <c r="Q176" s="2595"/>
      <c r="R176" s="2595"/>
      <c r="S176" s="2595"/>
      <c r="T176" s="2595"/>
      <c r="U176" s="2595"/>
      <c r="V176" s="2595"/>
      <c r="W176" s="2595"/>
      <c r="X176" s="2595"/>
      <c r="Y176" s="2595"/>
      <c r="Z176" s="2595"/>
      <c r="AA176" s="2595"/>
      <c r="AB176" s="2595"/>
      <c r="AC176" s="2595"/>
      <c r="AD176" s="2595"/>
      <c r="AE176" s="2595"/>
      <c r="AF176" s="2595"/>
      <c r="AG176" s="2595"/>
      <c r="AH176" s="2595">
        <f>85.8*Unit.TWh</f>
        <v>85.8</v>
      </c>
      <c r="AI176" s="2595">
        <f>89.3*Unit.TWh</f>
        <v>89.3</v>
      </c>
      <c r="AJ176" s="2595">
        <f>90.6*Unit.TWh</f>
        <v>90.6</v>
      </c>
      <c r="AK176" s="2595">
        <f>87.7*Unit.TWh</f>
        <v>87.7</v>
      </c>
      <c r="AL176" s="2595">
        <f>78.3*Unit.TWh</f>
        <v>78.3</v>
      </c>
      <c r="AM176" s="2595">
        <f>83*Unit.TWh</f>
        <v>83</v>
      </c>
      <c r="AN176" s="2595">
        <f>81.1*Unit.TWh</f>
        <v>81.099999999999994</v>
      </c>
      <c r="AO176" s="2595">
        <f>81.9*Unit.TWh</f>
        <v>81.900000000000006</v>
      </c>
      <c r="AP176" s="2595">
        <f>73.7*Unit.TWh</f>
        <v>73.7</v>
      </c>
      <c r="AQ176" s="2595">
        <f>75.2*Unit.TWh</f>
        <v>75.2</v>
      </c>
      <c r="AR176" s="2595">
        <f>69.2*Unit.TWh</f>
        <v>69.2</v>
      </c>
      <c r="AS176" s="2595">
        <f>57.2*Unit.TWh</f>
        <v>57.2</v>
      </c>
      <c r="AT176" s="2595">
        <f>47.7*Unit.TWh</f>
        <v>47.7</v>
      </c>
      <c r="AU176" s="2595">
        <f>62.8*Unit.TWh</f>
        <v>62.8</v>
      </c>
      <c r="AV176" s="2595">
        <f>56.5 *Unit.TWh</f>
        <v>56.5</v>
      </c>
      <c r="AW176" s="2595" t="s">
        <v>1151</v>
      </c>
      <c r="AX176" s="1503"/>
      <c r="AY176" s="2576">
        <f ca="1">INDEX(INDIRECT("'"&amp;AY$4&amp;"'!Year.Matrix"), MATCH($C176, INDIRECT("'"&amp;AY$4&amp;"'!Year.Modules"), 0), MATCH($C$169, INDIRECT("'"&amp;AY$4&amp;"'!Year.Vectors"), 0))</f>
        <v>121.49675999999999</v>
      </c>
      <c r="AZ176" s="2576"/>
      <c r="BA176" s="2576">
        <f t="shared" ca="1" si="50"/>
        <v>143.76240000000001</v>
      </c>
      <c r="BB176" s="2576">
        <f t="shared" ca="1" si="50"/>
        <v>171.81360000000004</v>
      </c>
      <c r="BC176" s="2576">
        <f t="shared" ca="1" si="50"/>
        <v>171.81360000000004</v>
      </c>
      <c r="BD176" s="2576">
        <f t="shared" ca="1" si="50"/>
        <v>171.81360000000004</v>
      </c>
      <c r="BE176" s="2576">
        <f t="shared" ca="1" si="50"/>
        <v>171.81360000000004</v>
      </c>
      <c r="BF176" s="2576">
        <f t="shared" ca="1" si="50"/>
        <v>171.81360000000004</v>
      </c>
      <c r="BG176" s="2576">
        <f t="shared" ca="1" si="50"/>
        <v>171.81360000000004</v>
      </c>
      <c r="BH176" s="2576">
        <f t="shared" ca="1" si="50"/>
        <v>171.81360000000004</v>
      </c>
      <c r="BI176" s="2576">
        <f t="shared" ca="1" si="50"/>
        <v>171.81360000000004</v>
      </c>
      <c r="BJ176" s="194"/>
      <c r="BL176" s="15"/>
    </row>
    <row r="177" spans="2:64">
      <c r="B177" s="193"/>
      <c r="C177" s="1503"/>
      <c r="D177" s="186" t="s">
        <v>1949</v>
      </c>
      <c r="E177" s="1503"/>
      <c r="F177" s="2576"/>
      <c r="G177" s="2576"/>
      <c r="H177" s="2595"/>
      <c r="I177" s="2595"/>
      <c r="J177" s="2595"/>
      <c r="K177" s="2595"/>
      <c r="L177" s="2595"/>
      <c r="M177" s="2595"/>
      <c r="N177" s="2595"/>
      <c r="O177" s="2595"/>
      <c r="P177" s="2595"/>
      <c r="Q177" s="2595"/>
      <c r="R177" s="2595"/>
      <c r="S177" s="2595"/>
      <c r="T177" s="2595"/>
      <c r="U177" s="2595"/>
      <c r="V177" s="2595"/>
      <c r="W177" s="2595"/>
      <c r="X177" s="2595"/>
      <c r="Y177" s="2595"/>
      <c r="Z177" s="2595"/>
      <c r="AA177" s="2595"/>
      <c r="AB177" s="2595"/>
      <c r="AC177" s="2595"/>
      <c r="AD177" s="2595"/>
      <c r="AE177" s="2595"/>
      <c r="AF177" s="2595"/>
      <c r="AG177" s="2595"/>
      <c r="AH177" s="2595"/>
      <c r="AI177" s="2595"/>
      <c r="AJ177" s="2595"/>
      <c r="AK177" s="2595"/>
      <c r="AL177" s="2595"/>
      <c r="AM177" s="2595"/>
      <c r="AN177" s="2595"/>
      <c r="AO177" s="2595"/>
      <c r="AP177" s="2595"/>
      <c r="AQ177" s="2595"/>
      <c r="AR177" s="2595"/>
      <c r="AS177" s="2595"/>
      <c r="AT177" s="2595"/>
      <c r="AU177" s="2595"/>
      <c r="AV177" s="2595"/>
      <c r="AW177" s="2595"/>
      <c r="AX177" s="1503"/>
      <c r="AY177" s="2576">
        <f ca="1">AY176+AY175</f>
        <v>149.828472</v>
      </c>
      <c r="AZ177" s="2576"/>
      <c r="BA177" s="2576">
        <f t="shared" ref="BA177:BI177" ca="1" si="51">BA176+BA175</f>
        <v>176.58230400000002</v>
      </c>
      <c r="BB177" s="2576">
        <f t="shared" ca="1" si="51"/>
        <v>241.80134400000003</v>
      </c>
      <c r="BC177" s="2576">
        <f t="shared" ca="1" si="51"/>
        <v>239.55724800000004</v>
      </c>
      <c r="BD177" s="2576">
        <f t="shared" ca="1" si="51"/>
        <v>239.55724800000004</v>
      </c>
      <c r="BE177" s="2576">
        <f t="shared" ca="1" si="51"/>
        <v>238.15468800000005</v>
      </c>
      <c r="BF177" s="2576">
        <f t="shared" ca="1" si="51"/>
        <v>235.06905600000005</v>
      </c>
      <c r="BG177" s="2576">
        <f t="shared" ca="1" si="51"/>
        <v>233.52624000000003</v>
      </c>
      <c r="BH177" s="2576">
        <f t="shared" ca="1" si="51"/>
        <v>230.44060800000003</v>
      </c>
      <c r="BI177" s="2576">
        <f t="shared" ca="1" si="51"/>
        <v>230.44060800000003</v>
      </c>
      <c r="BJ177" s="194"/>
      <c r="BL177" s="15"/>
    </row>
    <row r="178" spans="2:64" s="410" customFormat="1">
      <c r="B178" s="193"/>
      <c r="C178" s="2598" t="s">
        <v>311</v>
      </c>
      <c r="D178" s="187" t="str">
        <f>INDEX(Modules[Module], MATCH($C178, Modules[Code], 0))</f>
        <v>Solar PV</v>
      </c>
      <c r="E178" s="1503"/>
      <c r="F178" s="2602"/>
      <c r="G178" s="2602"/>
      <c r="H178" s="2603"/>
      <c r="I178" s="2603"/>
      <c r="J178" s="2603"/>
      <c r="K178" s="2603"/>
      <c r="L178" s="2603"/>
      <c r="M178" s="2603"/>
      <c r="N178" s="2603"/>
      <c r="O178" s="2603"/>
      <c r="P178" s="2603"/>
      <c r="Q178" s="2603"/>
      <c r="R178" s="2603"/>
      <c r="S178" s="2603"/>
      <c r="T178" s="2603"/>
      <c r="U178" s="2603"/>
      <c r="V178" s="2603"/>
      <c r="W178" s="2603"/>
      <c r="X178" s="2603"/>
      <c r="Y178" s="2603"/>
      <c r="Z178" s="2603"/>
      <c r="AA178" s="2603"/>
      <c r="AB178" s="2603"/>
      <c r="AC178" s="2603"/>
      <c r="AD178" s="2603"/>
      <c r="AE178" s="2603"/>
      <c r="AF178" s="2603"/>
      <c r="AG178" s="2603"/>
      <c r="AH178" s="2603"/>
      <c r="AI178" s="2603"/>
      <c r="AJ178" s="2603"/>
      <c r="AK178" s="2603"/>
      <c r="AL178" s="2603"/>
      <c r="AM178" s="2603"/>
      <c r="AN178" s="2603"/>
      <c r="AO178" s="2603"/>
      <c r="AP178" s="2603"/>
      <c r="AQ178" s="2603"/>
      <c r="AR178" s="2603">
        <f>3.6*Unit.TWh</f>
        <v>3.6</v>
      </c>
      <c r="AS178" s="2603">
        <f>4.5*Unit.TWh</f>
        <v>4.5</v>
      </c>
      <c r="AT178" s="2603">
        <f>5.8*Unit.TWh</f>
        <v>5.8</v>
      </c>
      <c r="AU178" s="2603">
        <f>7.6*Unit.TWh</f>
        <v>7.6</v>
      </c>
      <c r="AV178" s="2603">
        <f>7.1*Unit.TWh</f>
        <v>7.1</v>
      </c>
      <c r="AW178" s="2603" t="s">
        <v>1152</v>
      </c>
      <c r="AX178" s="1503"/>
      <c r="AY178" s="2602">
        <f t="shared" ref="AY178:AY184" ca="1" si="52">INDEX(INDIRECT("'"&amp;AY$4&amp;"'!Year.Matrix"), MATCH($C178, INDIRECT("'"&amp;AY$4&amp;"'!Year.Modules"), 0), MATCH($C$169, INDIRECT("'"&amp;AY$4&amp;"'!Year.Vectors"), 0))</f>
        <v>0</v>
      </c>
      <c r="AZ178" s="2602"/>
      <c r="BA178" s="2602">
        <f t="shared" ref="BA178:BI184" ca="1" si="53">INDEX(INDIRECT("'"&amp;BA$4&amp;"'!Year.Matrix"), MATCH($C178, INDIRECT("'"&amp;BA$4&amp;"'!Year.Modules"), 0), MATCH($C$169, INDIRECT("'"&amp;BA$4&amp;"'!Year.Vectors"), 0))</f>
        <v>1.56727314</v>
      </c>
      <c r="BB178" s="2602">
        <f t="shared" ca="1" si="53"/>
        <v>8.2727459460000006</v>
      </c>
      <c r="BC178" s="2602">
        <f t="shared" ca="1" si="53"/>
        <v>18.558353960999998</v>
      </c>
      <c r="BD178" s="2602">
        <f t="shared" ca="1" si="53"/>
        <v>32.792269185000002</v>
      </c>
      <c r="BE178" s="2602">
        <f t="shared" ca="1" si="53"/>
        <v>47.823373215000004</v>
      </c>
      <c r="BF178" s="2602">
        <f t="shared" ca="1" si="53"/>
        <v>60.992995229999998</v>
      </c>
      <c r="BG178" s="2602">
        <f t="shared" ca="1" si="53"/>
        <v>69.119910000000004</v>
      </c>
      <c r="BH178" s="2602">
        <f t="shared" ca="1" si="53"/>
        <v>68.111819999999994</v>
      </c>
      <c r="BI178" s="2602">
        <f t="shared" ca="1" si="53"/>
        <v>59.608800000000002</v>
      </c>
      <c r="BJ178" s="2604"/>
      <c r="BL178" s="1205"/>
    </row>
    <row r="179" spans="2:64" s="410" customFormat="1">
      <c r="B179" s="193"/>
      <c r="C179" s="2598" t="s">
        <v>407</v>
      </c>
      <c r="D179" s="187" t="str">
        <f>INDEX(Modules[Module], MATCH($C179, Modules[Code], 0))</f>
        <v>Solar CSP</v>
      </c>
      <c r="E179" s="1503"/>
      <c r="F179" s="2602"/>
      <c r="G179" s="2602"/>
      <c r="H179" s="2603"/>
      <c r="I179" s="2603"/>
      <c r="J179" s="2603"/>
      <c r="K179" s="2603"/>
      <c r="L179" s="2603"/>
      <c r="M179" s="2603"/>
      <c r="N179" s="2603"/>
      <c r="O179" s="2603"/>
      <c r="P179" s="2603"/>
      <c r="Q179" s="2603"/>
      <c r="R179" s="2603"/>
      <c r="S179" s="2603"/>
      <c r="T179" s="2603"/>
      <c r="U179" s="2603"/>
      <c r="V179" s="2603"/>
      <c r="W179" s="2603"/>
      <c r="X179" s="2603"/>
      <c r="Y179" s="2603"/>
      <c r="Z179" s="2603"/>
      <c r="AA179" s="2603"/>
      <c r="AB179" s="2603"/>
      <c r="AC179" s="2603"/>
      <c r="AD179" s="2603"/>
      <c r="AE179" s="2603"/>
      <c r="AF179" s="2603"/>
      <c r="AG179" s="2603"/>
      <c r="AH179" s="2603"/>
      <c r="AI179" s="2603"/>
      <c r="AJ179" s="2603"/>
      <c r="AK179" s="2603"/>
      <c r="AL179" s="2603"/>
      <c r="AM179" s="2603"/>
      <c r="AN179" s="2603"/>
      <c r="AO179" s="2603"/>
      <c r="AP179" s="2603"/>
      <c r="AQ179" s="2603"/>
      <c r="AR179" s="2603">
        <f>0.7*Unit.TWh</f>
        <v>0.7</v>
      </c>
      <c r="AS179" s="2603">
        <f>0.8*Unit.TWh</f>
        <v>0.8</v>
      </c>
      <c r="AT179" s="2603">
        <f>1.3*Unit.TWh</f>
        <v>1.3</v>
      </c>
      <c r="AU179" s="2603">
        <f>1.7*Unit.TWh</f>
        <v>1.7</v>
      </c>
      <c r="AV179" s="2603">
        <f>3*Unit.TWh</f>
        <v>3</v>
      </c>
      <c r="AW179" s="2603" t="s">
        <v>1153</v>
      </c>
      <c r="AX179" s="1503"/>
      <c r="AY179" s="2602">
        <f t="shared" ca="1" si="52"/>
        <v>0</v>
      </c>
      <c r="AZ179" s="2602"/>
      <c r="BA179" s="2602">
        <f t="shared" ca="1" si="53"/>
        <v>0</v>
      </c>
      <c r="BB179" s="2602">
        <f t="shared" ca="1" si="53"/>
        <v>2.5246079999999997</v>
      </c>
      <c r="BC179" s="2602">
        <f t="shared" ca="1" si="53"/>
        <v>8.5731479999999998</v>
      </c>
      <c r="BD179" s="2602">
        <f t="shared" ca="1" si="53"/>
        <v>15.638544</v>
      </c>
      <c r="BE179" s="2602">
        <f t="shared" ca="1" si="53"/>
        <v>25.719444000000003</v>
      </c>
      <c r="BF179" s="2602">
        <f t="shared" ca="1" si="53"/>
        <v>33.784163999999997</v>
      </c>
      <c r="BG179" s="2602">
        <f t="shared" ca="1" si="53"/>
        <v>37.816524000000008</v>
      </c>
      <c r="BH179" s="2602">
        <f t="shared" ca="1" si="53"/>
        <v>35.291916000000001</v>
      </c>
      <c r="BI179" s="2602">
        <f t="shared" ca="1" si="53"/>
        <v>29.243376000000001</v>
      </c>
      <c r="BJ179" s="2604"/>
      <c r="BL179" s="1205"/>
    </row>
    <row r="180" spans="2:64" s="410" customFormat="1">
      <c r="B180" s="2599"/>
      <c r="C180" s="2598" t="s">
        <v>1071</v>
      </c>
      <c r="D180" s="187" t="str">
        <f>INDEX(Modules[Module], MATCH($C180, Modules[Code], 0))</f>
        <v>Onshore Wind</v>
      </c>
      <c r="E180" s="1503"/>
      <c r="F180" s="2602"/>
      <c r="G180" s="2602"/>
      <c r="H180" s="2603"/>
      <c r="I180" s="2603"/>
      <c r="J180" s="2603"/>
      <c r="K180" s="2603"/>
      <c r="L180" s="2603"/>
      <c r="M180" s="2603"/>
      <c r="N180" s="2603"/>
      <c r="O180" s="2603"/>
      <c r="P180" s="2603"/>
      <c r="Q180" s="2603"/>
      <c r="R180" s="2603"/>
      <c r="S180" s="2603"/>
      <c r="T180" s="2603"/>
      <c r="U180" s="2603"/>
      <c r="V180" s="2603"/>
      <c r="W180" s="2603"/>
      <c r="X180" s="2603"/>
      <c r="Y180" s="2603"/>
      <c r="Z180" s="2603"/>
      <c r="AA180" s="2603"/>
      <c r="AB180" s="2603"/>
      <c r="AC180" s="2603"/>
      <c r="AD180" s="2603"/>
      <c r="AE180" s="2603"/>
      <c r="AF180" s="2603"/>
      <c r="AG180" s="2603"/>
      <c r="AH180" s="2603">
        <f>2.8*Unit.TWh</f>
        <v>2.8</v>
      </c>
      <c r="AI180" s="2603">
        <f>3.3*Unit.TWh</f>
        <v>3.3</v>
      </c>
      <c r="AJ180" s="2603">
        <f>4.2*Unit.TWh</f>
        <v>4.2</v>
      </c>
      <c r="AK180" s="2603">
        <f>4.4*Unit.TWh</f>
        <v>4.4000000000000004</v>
      </c>
      <c r="AL180" s="2603">
        <f>4.3*Unit.TWh</f>
        <v>4.3</v>
      </c>
      <c r="AM180" s="2603">
        <f>3.2*Unit.TWh</f>
        <v>3.2</v>
      </c>
      <c r="AN180" s="2603">
        <f>3.9*Unit.TWh</f>
        <v>3.9</v>
      </c>
      <c r="AO180" s="2603">
        <f>2.6*Unit.TWh</f>
        <v>2.6</v>
      </c>
      <c r="AP180" s="2603">
        <f>3.9*Unit.TWh</f>
        <v>3.9</v>
      </c>
      <c r="AQ180" s="2603">
        <f>3.8*Unit.TWh</f>
        <v>3.8</v>
      </c>
      <c r="AR180" s="2603">
        <f>3.7*Unit.TWh</f>
        <v>3.7</v>
      </c>
      <c r="AS180" s="2603">
        <f>4.1*Unit.TWh</f>
        <v>4.0999999999999996</v>
      </c>
      <c r="AT180" s="2603">
        <f>4.2*Unit.TWh</f>
        <v>4.2</v>
      </c>
      <c r="AU180" s="2603">
        <f>4.3*Unit.TWh</f>
        <v>4.3</v>
      </c>
      <c r="AV180" s="2603">
        <f>2.7*Unit.TWh</f>
        <v>2.7</v>
      </c>
      <c r="AW180" s="2603" t="s">
        <v>1154</v>
      </c>
      <c r="AX180" s="1503"/>
      <c r="AY180" s="2602">
        <f t="shared" ca="1" si="52"/>
        <v>12.437183268</v>
      </c>
      <c r="AZ180" s="2602"/>
      <c r="BA180" s="2602">
        <f t="shared" ca="1" si="53"/>
        <v>18.722249233199999</v>
      </c>
      <c r="BB180" s="2602">
        <f t="shared" ca="1" si="53"/>
        <v>36.604889233199998</v>
      </c>
      <c r="BC180" s="2602">
        <f t="shared" ca="1" si="53"/>
        <v>58.519889233199997</v>
      </c>
      <c r="BD180" s="2602">
        <f t="shared" ca="1" si="53"/>
        <v>81.311489233199993</v>
      </c>
      <c r="BE180" s="2602">
        <f t="shared" ca="1" si="53"/>
        <v>110.89673923319999</v>
      </c>
      <c r="BF180" s="2602">
        <f t="shared" ca="1" si="53"/>
        <v>129.14055596519998</v>
      </c>
      <c r="BG180" s="2602">
        <f t="shared" ca="1" si="53"/>
        <v>139.86152999999999</v>
      </c>
      <c r="BH180" s="2602">
        <f t="shared" ca="1" si="53"/>
        <v>148.27688999999998</v>
      </c>
      <c r="BI180" s="2602">
        <f t="shared" ca="1" si="53"/>
        <v>148.80284999999998</v>
      </c>
      <c r="BJ180" s="2604"/>
      <c r="BL180" s="1205"/>
    </row>
    <row r="181" spans="2:64" s="410" customFormat="1">
      <c r="B181" s="2599"/>
      <c r="C181" s="2598" t="s">
        <v>1285</v>
      </c>
      <c r="D181" s="187" t="str">
        <f>INDEX(Modules[Module], MATCH($C181, Modules[Code], 0))</f>
        <v>Offshore Wind</v>
      </c>
      <c r="E181" s="1503"/>
      <c r="F181" s="2602"/>
      <c r="G181" s="2602"/>
      <c r="H181" s="2603"/>
      <c r="I181" s="2603"/>
      <c r="J181" s="2603"/>
      <c r="K181" s="2603"/>
      <c r="L181" s="2603"/>
      <c r="M181" s="2603"/>
      <c r="N181" s="2603"/>
      <c r="O181" s="2603"/>
      <c r="P181" s="2603"/>
      <c r="Q181" s="2603"/>
      <c r="R181" s="2603"/>
      <c r="S181" s="2603"/>
      <c r="T181" s="2603"/>
      <c r="U181" s="2603"/>
      <c r="V181" s="2603"/>
      <c r="W181" s="2603"/>
      <c r="X181" s="2603"/>
      <c r="Y181" s="2603"/>
      <c r="Z181" s="2603"/>
      <c r="AA181" s="2603"/>
      <c r="AB181" s="2603"/>
      <c r="AC181" s="2603"/>
      <c r="AD181" s="2603"/>
      <c r="AE181" s="2603"/>
      <c r="AF181" s="2603"/>
      <c r="AG181" s="2603"/>
      <c r="AH181" s="2603"/>
      <c r="AI181" s="2603"/>
      <c r="AJ181" s="2603"/>
      <c r="AK181" s="2603"/>
      <c r="AL181" s="2603"/>
      <c r="AM181" s="2603"/>
      <c r="AN181" s="2603"/>
      <c r="AO181" s="2603"/>
      <c r="AP181" s="2603"/>
      <c r="AQ181" s="2603"/>
      <c r="AR181" s="2603"/>
      <c r="AS181" s="2603"/>
      <c r="AT181" s="2603"/>
      <c r="AU181" s="2603"/>
      <c r="AV181" s="2603"/>
      <c r="AW181" s="2603"/>
      <c r="AX181" s="1503"/>
      <c r="AY181" s="2602">
        <f t="shared" ca="1" si="52"/>
        <v>0</v>
      </c>
      <c r="AZ181" s="2602"/>
      <c r="BA181" s="2602">
        <f t="shared" ca="1" si="53"/>
        <v>0</v>
      </c>
      <c r="BB181" s="2602">
        <f t="shared" ca="1" si="53"/>
        <v>0</v>
      </c>
      <c r="BC181" s="2602">
        <f t="shared" ca="1" si="53"/>
        <v>1.4463900000000003</v>
      </c>
      <c r="BD181" s="2602">
        <f t="shared" ca="1" si="53"/>
        <v>3.02427</v>
      </c>
      <c r="BE181" s="2602">
        <f t="shared" ca="1" si="53"/>
        <v>4.6021499999999991</v>
      </c>
      <c r="BF181" s="2602">
        <f t="shared" ca="1" si="53"/>
        <v>7.8455700000000004</v>
      </c>
      <c r="BG181" s="2602">
        <f t="shared" ca="1" si="53"/>
        <v>11.176649999999999</v>
      </c>
      <c r="BH181" s="2602">
        <f t="shared" ca="1" si="53"/>
        <v>12.88602</v>
      </c>
      <c r="BI181" s="2602">
        <f t="shared" ca="1" si="53"/>
        <v>13.148999999999999</v>
      </c>
      <c r="BJ181" s="2604"/>
      <c r="BL181" s="1205"/>
    </row>
    <row r="182" spans="2:64" s="410" customFormat="1">
      <c r="B182" s="2599"/>
      <c r="C182" s="2598" t="s">
        <v>1073</v>
      </c>
      <c r="D182" s="187" t="str">
        <f>INDEX(Modules[Module], MATCH($C182, Modules[Code], 0))</f>
        <v>Small Hydro</v>
      </c>
      <c r="E182" s="1503"/>
      <c r="F182" s="2602"/>
      <c r="G182" s="2602"/>
      <c r="H182" s="2603"/>
      <c r="I182" s="2603"/>
      <c r="J182" s="2603"/>
      <c r="K182" s="2603"/>
      <c r="L182" s="2603"/>
      <c r="M182" s="2603"/>
      <c r="N182" s="2603"/>
      <c r="O182" s="2603"/>
      <c r="P182" s="2603"/>
      <c r="Q182" s="2603"/>
      <c r="R182" s="2603"/>
      <c r="S182" s="2603"/>
      <c r="T182" s="2603"/>
      <c r="U182" s="2603"/>
      <c r="V182" s="2603"/>
      <c r="W182" s="2603"/>
      <c r="X182" s="2603"/>
      <c r="Y182" s="2603"/>
      <c r="Z182" s="2603"/>
      <c r="AA182" s="2603"/>
      <c r="AB182" s="2603"/>
      <c r="AC182" s="2603"/>
      <c r="AD182" s="2603"/>
      <c r="AE182" s="2603"/>
      <c r="AF182" s="2603"/>
      <c r="AG182" s="2603"/>
      <c r="AH182" s="2603"/>
      <c r="AI182" s="2603"/>
      <c r="AJ182" s="2603"/>
      <c r="AK182" s="2603"/>
      <c r="AL182" s="2603"/>
      <c r="AM182" s="2603"/>
      <c r="AN182" s="2603"/>
      <c r="AO182" s="2603"/>
      <c r="AP182" s="2603"/>
      <c r="AQ182" s="2603"/>
      <c r="AR182" s="2603"/>
      <c r="AS182" s="2603"/>
      <c r="AT182" s="2603"/>
      <c r="AU182" s="2603"/>
      <c r="AV182" s="2603"/>
      <c r="AW182" s="2603"/>
      <c r="AX182" s="1503"/>
      <c r="AY182" s="2602">
        <f t="shared" ca="1" si="52"/>
        <v>7.0138343880000011</v>
      </c>
      <c r="AZ182" s="2602"/>
      <c r="BA182" s="2602">
        <f t="shared" ca="1" si="53"/>
        <v>12.081458988000001</v>
      </c>
      <c r="BB182" s="2602">
        <f t="shared" ca="1" si="53"/>
        <v>17.604038988000003</v>
      </c>
      <c r="BC182" s="2602">
        <f t="shared" ca="1" si="53"/>
        <v>23.937473988000004</v>
      </c>
      <c r="BD182" s="2602">
        <f t="shared" ca="1" si="53"/>
        <v>27.750683988000002</v>
      </c>
      <c r="BE182" s="2602">
        <f t="shared" ca="1" si="53"/>
        <v>31.651553988000003</v>
      </c>
      <c r="BF182" s="2602">
        <f t="shared" ca="1" si="53"/>
        <v>33.623903988000002</v>
      </c>
      <c r="BG182" s="2602">
        <f t="shared" ca="1" si="53"/>
        <v>33.902259552000004</v>
      </c>
      <c r="BH182" s="2602">
        <f t="shared" ca="1" si="53"/>
        <v>34.790711183999996</v>
      </c>
      <c r="BI182" s="2602">
        <f t="shared" ca="1" si="53"/>
        <v>35.382416183999993</v>
      </c>
      <c r="BJ182" s="2604"/>
      <c r="BL182" s="1205"/>
    </row>
    <row r="183" spans="2:64" s="410" customFormat="1">
      <c r="B183" s="2599"/>
      <c r="C183" s="2598" t="s">
        <v>304</v>
      </c>
      <c r="D183" s="187" t="str">
        <f>INDEX(Modules[Module], MATCH($C183, Modules[Code], 0))</f>
        <v>Biomass Based Electricity&amp; Biogas</v>
      </c>
      <c r="E183" s="1503"/>
      <c r="F183" s="2602"/>
      <c r="G183" s="2602"/>
      <c r="H183" s="2603"/>
      <c r="I183" s="2603"/>
      <c r="J183" s="2603"/>
      <c r="K183" s="2603"/>
      <c r="L183" s="2603"/>
      <c r="M183" s="2603"/>
      <c r="N183" s="2603"/>
      <c r="O183" s="2603"/>
      <c r="P183" s="2603"/>
      <c r="Q183" s="2603"/>
      <c r="R183" s="2603"/>
      <c r="S183" s="2603"/>
      <c r="T183" s="2603"/>
      <c r="U183" s="2603"/>
      <c r="V183" s="2603"/>
      <c r="W183" s="2603"/>
      <c r="X183" s="2603"/>
      <c r="Y183" s="2603"/>
      <c r="Z183" s="2603"/>
      <c r="AA183" s="2603"/>
      <c r="AB183" s="2603"/>
      <c r="AC183" s="2603"/>
      <c r="AD183" s="2603"/>
      <c r="AE183" s="2603"/>
      <c r="AF183" s="2603"/>
      <c r="AG183" s="2603"/>
      <c r="AH183" s="2603"/>
      <c r="AI183" s="2603"/>
      <c r="AJ183" s="2603"/>
      <c r="AK183" s="2603"/>
      <c r="AL183" s="2603"/>
      <c r="AM183" s="2603"/>
      <c r="AN183" s="2603"/>
      <c r="AO183" s="2603"/>
      <c r="AP183" s="2603"/>
      <c r="AQ183" s="2603"/>
      <c r="AR183" s="2603"/>
      <c r="AS183" s="2603"/>
      <c r="AT183" s="2603"/>
      <c r="AU183" s="2603"/>
      <c r="AV183" s="2603"/>
      <c r="AW183" s="2603"/>
      <c r="AX183" s="1503"/>
      <c r="AY183" s="2602">
        <f t="shared" ca="1" si="52"/>
        <v>9.538388888888889</v>
      </c>
      <c r="AZ183" s="2602"/>
      <c r="BA183" s="2602">
        <f t="shared" ca="1" si="53"/>
        <v>9.7454499999999999</v>
      </c>
      <c r="BB183" s="2602">
        <f t="shared" ca="1" si="53"/>
        <v>11.119143750000001</v>
      </c>
      <c r="BC183" s="2602">
        <f t="shared" ca="1" si="53"/>
        <v>12.4928375</v>
      </c>
      <c r="BD183" s="2602">
        <f t="shared" ca="1" si="53"/>
        <v>13.866531250000003</v>
      </c>
      <c r="BE183" s="2602">
        <f t="shared" ca="1" si="53"/>
        <v>15.240225000000006</v>
      </c>
      <c r="BF183" s="2602">
        <f t="shared" ca="1" si="53"/>
        <v>16.613918750000003</v>
      </c>
      <c r="BG183" s="2602">
        <f t="shared" ca="1" si="53"/>
        <v>17.987612500000004</v>
      </c>
      <c r="BH183" s="2602">
        <f t="shared" ca="1" si="53"/>
        <v>19.361306250000005</v>
      </c>
      <c r="BI183" s="2602">
        <f t="shared" ca="1" si="53"/>
        <v>20.735000000000003</v>
      </c>
      <c r="BJ183" s="2604"/>
      <c r="BL183" s="1205"/>
    </row>
    <row r="184" spans="2:64" s="410" customFormat="1">
      <c r="B184" s="2599"/>
      <c r="C184" s="2598" t="s">
        <v>296</v>
      </c>
      <c r="D184" s="187" t="str">
        <f>INDEX(Modules[Module], MATCH($C184, Modules[Code], 0))</f>
        <v>Waste to Electricity</v>
      </c>
      <c r="E184" s="1503"/>
      <c r="F184" s="2602"/>
      <c r="G184" s="2602"/>
      <c r="H184" s="2603"/>
      <c r="I184" s="2603"/>
      <c r="J184" s="2603"/>
      <c r="K184" s="2603"/>
      <c r="L184" s="2603"/>
      <c r="M184" s="2603"/>
      <c r="N184" s="2603"/>
      <c r="O184" s="2603"/>
      <c r="P184" s="2603"/>
      <c r="Q184" s="2603"/>
      <c r="R184" s="2603"/>
      <c r="S184" s="2603"/>
      <c r="T184" s="2603"/>
      <c r="U184" s="2603"/>
      <c r="V184" s="2603"/>
      <c r="W184" s="2603"/>
      <c r="X184" s="2603"/>
      <c r="Y184" s="2603"/>
      <c r="Z184" s="2603"/>
      <c r="AA184" s="2603"/>
      <c r="AB184" s="2603"/>
      <c r="AC184" s="2603"/>
      <c r="AD184" s="2603"/>
      <c r="AE184" s="2603"/>
      <c r="AF184" s="2603"/>
      <c r="AG184" s="2603"/>
      <c r="AH184" s="2603"/>
      <c r="AI184" s="2603"/>
      <c r="AJ184" s="2603"/>
      <c r="AK184" s="2603"/>
      <c r="AL184" s="2603"/>
      <c r="AM184" s="2603"/>
      <c r="AN184" s="2603"/>
      <c r="AO184" s="2603"/>
      <c r="AP184" s="2603"/>
      <c r="AQ184" s="2603"/>
      <c r="AR184" s="2603"/>
      <c r="AS184" s="2603"/>
      <c r="AT184" s="2603"/>
      <c r="AU184" s="2603"/>
      <c r="AV184" s="2603"/>
      <c r="AW184" s="2603"/>
      <c r="AX184" s="1503"/>
      <c r="AY184" s="2602">
        <f t="shared" ca="1" si="52"/>
        <v>0</v>
      </c>
      <c r="AZ184" s="2602"/>
      <c r="BA184" s="2602">
        <f t="shared" ca="1" si="53"/>
        <v>0</v>
      </c>
      <c r="BB184" s="2602">
        <f t="shared" ca="1" si="53"/>
        <v>0</v>
      </c>
      <c r="BC184" s="2602">
        <f t="shared" ca="1" si="53"/>
        <v>0</v>
      </c>
      <c r="BD184" s="2602">
        <f t="shared" ca="1" si="53"/>
        <v>0</v>
      </c>
      <c r="BE184" s="2602">
        <f t="shared" ca="1" si="53"/>
        <v>0</v>
      </c>
      <c r="BF184" s="2602">
        <f t="shared" ca="1" si="53"/>
        <v>0</v>
      </c>
      <c r="BG184" s="2602">
        <f t="shared" ca="1" si="53"/>
        <v>0</v>
      </c>
      <c r="BH184" s="2602">
        <f t="shared" ca="1" si="53"/>
        <v>0</v>
      </c>
      <c r="BI184" s="2602">
        <f t="shared" ca="1" si="53"/>
        <v>0</v>
      </c>
      <c r="BJ184" s="2604"/>
      <c r="BL184" s="1205"/>
    </row>
    <row r="185" spans="2:64" s="410" customFormat="1">
      <c r="B185" s="2599"/>
      <c r="C185" s="2598"/>
      <c r="D185" s="186" t="s">
        <v>1948</v>
      </c>
      <c r="E185" s="1503"/>
      <c r="F185" s="2602"/>
      <c r="G185" s="2602"/>
      <c r="H185" s="2603"/>
      <c r="I185" s="2603"/>
      <c r="J185" s="2603"/>
      <c r="K185" s="2603"/>
      <c r="L185" s="2603"/>
      <c r="M185" s="2603"/>
      <c r="N185" s="2603"/>
      <c r="O185" s="2603"/>
      <c r="P185" s="2603"/>
      <c r="Q185" s="2603"/>
      <c r="R185" s="2603"/>
      <c r="S185" s="2603"/>
      <c r="T185" s="2603"/>
      <c r="U185" s="2603"/>
      <c r="V185" s="2603"/>
      <c r="W185" s="2603"/>
      <c r="X185" s="2603"/>
      <c r="Y185" s="2603"/>
      <c r="Z185" s="2603"/>
      <c r="AA185" s="2603"/>
      <c r="AB185" s="2603"/>
      <c r="AC185" s="2603"/>
      <c r="AD185" s="2603"/>
      <c r="AE185" s="2603"/>
      <c r="AF185" s="2603"/>
      <c r="AG185" s="2603"/>
      <c r="AH185" s="2603"/>
      <c r="AI185" s="2603"/>
      <c r="AJ185" s="2603"/>
      <c r="AK185" s="2603"/>
      <c r="AL185" s="2603"/>
      <c r="AM185" s="2603"/>
      <c r="AN185" s="2603"/>
      <c r="AO185" s="2603"/>
      <c r="AP185" s="2603"/>
      <c r="AQ185" s="2603"/>
      <c r="AR185" s="2603"/>
      <c r="AS185" s="2603"/>
      <c r="AT185" s="2603"/>
      <c r="AU185" s="2603"/>
      <c r="AV185" s="2603"/>
      <c r="AW185" s="2603"/>
      <c r="AX185" s="1503"/>
      <c r="AY185" s="2602">
        <f ca="1">SUM(AY178:AY184)</f>
        <v>28.98940654488889</v>
      </c>
      <c r="AZ185" s="2602"/>
      <c r="BA185" s="2602">
        <f t="shared" ref="BA185:BI185" ca="1" si="54">SUM(BA178:BA184)</f>
        <v>42.1164313612</v>
      </c>
      <c r="BB185" s="2602">
        <f t="shared" ca="1" si="54"/>
        <v>76.125425917200005</v>
      </c>
      <c r="BC185" s="2602">
        <f t="shared" ca="1" si="54"/>
        <v>123.5280926822</v>
      </c>
      <c r="BD185" s="2602">
        <f t="shared" ca="1" si="54"/>
        <v>174.38378765619998</v>
      </c>
      <c r="BE185" s="2602">
        <f t="shared" ca="1" si="54"/>
        <v>235.93348543619999</v>
      </c>
      <c r="BF185" s="2602">
        <f t="shared" ca="1" si="54"/>
        <v>282.00110793319999</v>
      </c>
      <c r="BG185" s="2602">
        <f t="shared" ca="1" si="54"/>
        <v>309.86448605200002</v>
      </c>
      <c r="BH185" s="2602">
        <f t="shared" ca="1" si="54"/>
        <v>318.71866343399989</v>
      </c>
      <c r="BI185" s="2602">
        <f t="shared" ca="1" si="54"/>
        <v>306.92144218399994</v>
      </c>
      <c r="BJ185" s="2604"/>
      <c r="BL185" s="1205"/>
    </row>
    <row r="186" spans="2:64">
      <c r="B186" s="2599"/>
      <c r="C186" s="1503" t="s">
        <v>263</v>
      </c>
      <c r="D186" s="186" t="str">
        <f>INDEX(Modules[Module], MATCH($C186, Modules[Code], 0))</f>
        <v>Electricity imports</v>
      </c>
      <c r="E186" s="1503"/>
      <c r="F186" s="2576"/>
      <c r="G186" s="2576"/>
      <c r="H186" s="2595"/>
      <c r="I186" s="2595"/>
      <c r="J186" s="2595"/>
      <c r="K186" s="2595"/>
      <c r="L186" s="2595"/>
      <c r="M186" s="2595"/>
      <c r="N186" s="2595"/>
      <c r="O186" s="2595"/>
      <c r="P186" s="2595"/>
      <c r="Q186" s="2595"/>
      <c r="R186" s="2595"/>
      <c r="S186" s="2595"/>
      <c r="T186" s="2595"/>
      <c r="U186" s="2595"/>
      <c r="V186" s="2595"/>
      <c r="W186" s="2595"/>
      <c r="X186" s="2595"/>
      <c r="Y186" s="2595"/>
      <c r="Z186" s="2595"/>
      <c r="AA186" s="2595"/>
      <c r="AB186" s="2595"/>
      <c r="AC186" s="2595"/>
      <c r="AD186" s="2595"/>
      <c r="AE186" s="2595"/>
      <c r="AF186" s="2595"/>
      <c r="AG186" s="2595"/>
      <c r="AH186" s="2595"/>
      <c r="AI186" s="2595"/>
      <c r="AJ186" s="2595"/>
      <c r="AK186" s="2595"/>
      <c r="AL186" s="2595"/>
      <c r="AM186" s="2595"/>
      <c r="AN186" s="2595"/>
      <c r="AO186" s="2595"/>
      <c r="AP186" s="2595"/>
      <c r="AQ186" s="2595"/>
      <c r="AR186" s="2595">
        <f>7.9*Unit.TWh</f>
        <v>7.9</v>
      </c>
      <c r="AS186" s="2595">
        <f>9.4*Unit.TWh</f>
        <v>9.4</v>
      </c>
      <c r="AT186" s="2595">
        <f>11.3*Unit.TWh</f>
        <v>11.3</v>
      </c>
      <c r="AU186" s="2595">
        <f>13.6*Unit.TWh</f>
        <v>13.6</v>
      </c>
      <c r="AV186" s="2595">
        <f>12.9*Unit.TWh</f>
        <v>12.9</v>
      </c>
      <c r="AW186" s="2595" t="s">
        <v>1135</v>
      </c>
      <c r="AX186" s="1503"/>
      <c r="AY186" s="2602">
        <f ca="1">INDEX(INDIRECT("'"&amp;AY$4&amp;"'!Year.Matrix"), MATCH($C186, INDIRECT("'"&amp;AY$4&amp;"'!Year.Modules"), 0), MATCH($C$169, INDIRECT("'"&amp;AY$4&amp;"'!Year.Vectors"), 0))</f>
        <v>1</v>
      </c>
      <c r="AZ186" s="2602"/>
      <c r="BA186" s="2602">
        <f t="shared" ref="BA186:BI186" ca="1" si="55">INDEX(INDIRECT("'"&amp;BA$4&amp;"'!Year.Matrix"), MATCH($C186, INDIRECT("'"&amp;BA$4&amp;"'!Year.Modules"), 0), MATCH($C$169, INDIRECT("'"&amp;BA$4&amp;"'!Year.Vectors"), 0))</f>
        <v>4</v>
      </c>
      <c r="BB186" s="2602">
        <f t="shared" ca="1" si="55"/>
        <v>14</v>
      </c>
      <c r="BC186" s="2602">
        <f t="shared" ca="1" si="55"/>
        <v>21</v>
      </c>
      <c r="BD186" s="2602">
        <f t="shared" ca="1" si="55"/>
        <v>31</v>
      </c>
      <c r="BE186" s="2602">
        <f t="shared" ca="1" si="55"/>
        <v>40</v>
      </c>
      <c r="BF186" s="2602">
        <f t="shared" ca="1" si="55"/>
        <v>49</v>
      </c>
      <c r="BG186" s="2602">
        <f t="shared" ca="1" si="55"/>
        <v>55</v>
      </c>
      <c r="BH186" s="2602">
        <f t="shared" ca="1" si="55"/>
        <v>55</v>
      </c>
      <c r="BI186" s="2602">
        <f t="shared" ca="1" si="55"/>
        <v>55</v>
      </c>
      <c r="BJ186" s="194"/>
      <c r="BL186" s="15"/>
    </row>
    <row r="187" spans="2:64">
      <c r="B187" s="2599"/>
      <c r="C187" s="1503"/>
      <c r="D187" s="187"/>
      <c r="E187" s="1503"/>
      <c r="F187" s="2576"/>
      <c r="G187" s="2576"/>
      <c r="H187" s="2595"/>
      <c r="I187" s="2595"/>
      <c r="J187" s="2595"/>
      <c r="K187" s="2595"/>
      <c r="L187" s="2595"/>
      <c r="M187" s="2595"/>
      <c r="N187" s="2595"/>
      <c r="O187" s="2595"/>
      <c r="P187" s="2595"/>
      <c r="Q187" s="2595"/>
      <c r="R187" s="2595"/>
      <c r="S187" s="2595"/>
      <c r="T187" s="2595"/>
      <c r="U187" s="2595"/>
      <c r="V187" s="2595"/>
      <c r="W187" s="2595"/>
      <c r="X187" s="2595"/>
      <c r="Y187" s="2595"/>
      <c r="Z187" s="2595"/>
      <c r="AA187" s="2595"/>
      <c r="AB187" s="2595"/>
      <c r="AC187" s="2595"/>
      <c r="AD187" s="2595"/>
      <c r="AE187" s="2595"/>
      <c r="AF187" s="2595"/>
      <c r="AG187" s="2595"/>
      <c r="AH187" s="2595"/>
      <c r="AI187" s="2595"/>
      <c r="AJ187" s="2595"/>
      <c r="AK187" s="2595"/>
      <c r="AL187" s="2595"/>
      <c r="AM187" s="2595"/>
      <c r="AN187" s="2595"/>
      <c r="AO187" s="2595"/>
      <c r="AP187" s="2595"/>
      <c r="AQ187" s="2595"/>
      <c r="AR187" s="2595"/>
      <c r="AS187" s="2595"/>
      <c r="AT187" s="2595"/>
      <c r="AU187" s="2595"/>
      <c r="AV187" s="2595"/>
      <c r="AW187" s="2595"/>
      <c r="AX187" s="1503"/>
      <c r="AY187" s="2576"/>
      <c r="AZ187" s="2576"/>
      <c r="BA187" s="2576"/>
      <c r="BB187" s="2576"/>
      <c r="BC187" s="2576"/>
      <c r="BD187" s="2576"/>
      <c r="BE187" s="2576"/>
      <c r="BF187" s="2576"/>
      <c r="BG187" s="2576"/>
      <c r="BH187" s="2576"/>
      <c r="BI187" s="2576"/>
      <c r="BJ187" s="194"/>
      <c r="BL187" s="15"/>
    </row>
    <row r="188" spans="2:64">
      <c r="B188" s="193"/>
      <c r="C188" s="1503"/>
      <c r="D188" s="2605" t="s">
        <v>1155</v>
      </c>
      <c r="E188" s="1503"/>
      <c r="F188" s="2606"/>
      <c r="G188" s="2607"/>
      <c r="H188" s="2608"/>
      <c r="I188" s="2608"/>
      <c r="J188" s="2608"/>
      <c r="K188" s="2608"/>
      <c r="L188" s="2608"/>
      <c r="M188" s="2608"/>
      <c r="N188" s="2608"/>
      <c r="O188" s="2608"/>
      <c r="P188" s="2608"/>
      <c r="Q188" s="2608"/>
      <c r="R188" s="2608"/>
      <c r="S188" s="2608"/>
      <c r="T188" s="2608"/>
      <c r="U188" s="2608"/>
      <c r="V188" s="2608"/>
      <c r="W188" s="2608"/>
      <c r="X188" s="2608"/>
      <c r="Y188" s="2608"/>
      <c r="Z188" s="2608"/>
      <c r="AA188" s="2608"/>
      <c r="AB188" s="2608"/>
      <c r="AC188" s="2608"/>
      <c r="AD188" s="2608"/>
      <c r="AE188" s="2608"/>
      <c r="AF188" s="2608"/>
      <c r="AG188" s="2608"/>
      <c r="AH188" s="2608"/>
      <c r="AI188" s="2608"/>
      <c r="AJ188" s="2608"/>
      <c r="AK188" s="2608"/>
      <c r="AL188" s="2608"/>
      <c r="AM188" s="2608"/>
      <c r="AN188" s="2608"/>
      <c r="AO188" s="2608"/>
      <c r="AP188" s="2608"/>
      <c r="AQ188" s="2608"/>
      <c r="AR188" s="2608">
        <f>352.2*Unit.TWh</f>
        <v>352.2</v>
      </c>
      <c r="AS188" s="2608">
        <f>348.4*Unit.TWh</f>
        <v>348.4</v>
      </c>
      <c r="AT188" s="2608">
        <f>349.3*Unit.TWh</f>
        <v>349.3</v>
      </c>
      <c r="AU188" s="2608">
        <f>329.3*Unit.TWh</f>
        <v>329.3</v>
      </c>
      <c r="AV188" s="2608">
        <f>335.1*Unit.TWh</f>
        <v>335.1</v>
      </c>
      <c r="AW188" s="2608" t="s">
        <v>1135</v>
      </c>
      <c r="AX188" s="1503"/>
      <c r="AY188" s="2606">
        <f ca="1">AY174+AY177+AY185+AY186</f>
        <v>790.76970020552903</v>
      </c>
      <c r="AZ188" s="2606"/>
      <c r="BA188" s="2606">
        <f t="shared" ref="BA188:BI188" ca="1" si="56">BA174+BA177+BA185+BA186</f>
        <v>1032.7162873841003</v>
      </c>
      <c r="BB188" s="2606">
        <f t="shared" ca="1" si="56"/>
        <v>1455.8968093122935</v>
      </c>
      <c r="BC188" s="2606">
        <f t="shared" ca="1" si="56"/>
        <v>2063.963133061764</v>
      </c>
      <c r="BD188" s="2606">
        <f t="shared" ca="1" si="56"/>
        <v>2848.373832020111</v>
      </c>
      <c r="BE188" s="2606">
        <f t="shared" ca="1" si="56"/>
        <v>3900.1234784047761</v>
      </c>
      <c r="BF188" s="2606">
        <f t="shared" ca="1" si="56"/>
        <v>4836.305519548242</v>
      </c>
      <c r="BG188" s="2606">
        <f t="shared" ca="1" si="56"/>
        <v>5893.1577805937686</v>
      </c>
      <c r="BH188" s="2606">
        <f ca="1">BH174+BH177+BH185+BH186</f>
        <v>6837.773164897314</v>
      </c>
      <c r="BI188" s="2606">
        <f t="shared" ca="1" si="56"/>
        <v>7907.6694446155816</v>
      </c>
      <c r="BJ188" s="194"/>
      <c r="BK188" s="310">
        <f ca="1">BI188-BI158</f>
        <v>9134.7815890310267</v>
      </c>
    </row>
    <row r="189" spans="2:64">
      <c r="B189" s="193"/>
      <c r="C189" s="1503"/>
      <c r="D189" s="186" t="s">
        <v>2056</v>
      </c>
      <c r="E189" s="1503"/>
      <c r="F189" s="2607"/>
      <c r="G189" s="2607"/>
      <c r="H189" s="2608"/>
      <c r="I189" s="2608"/>
      <c r="J189" s="2608"/>
      <c r="K189" s="2608"/>
      <c r="L189" s="2608"/>
      <c r="M189" s="2608"/>
      <c r="N189" s="2608"/>
      <c r="O189" s="2608"/>
      <c r="P189" s="2608"/>
      <c r="Q189" s="2608"/>
      <c r="R189" s="2608"/>
      <c r="S189" s="2608"/>
      <c r="T189" s="2608"/>
      <c r="U189" s="2608"/>
      <c r="V189" s="2608"/>
      <c r="W189" s="2608"/>
      <c r="X189" s="2608"/>
      <c r="Y189" s="2608"/>
      <c r="Z189" s="2608"/>
      <c r="AA189" s="2608"/>
      <c r="AB189" s="2608"/>
      <c r="AC189" s="2608"/>
      <c r="AD189" s="2608"/>
      <c r="AE189" s="2608"/>
      <c r="AF189" s="2608"/>
      <c r="AG189" s="2608"/>
      <c r="AH189" s="2608"/>
      <c r="AI189" s="2608"/>
      <c r="AJ189" s="2608"/>
      <c r="AK189" s="2608"/>
      <c r="AL189" s="2608"/>
      <c r="AM189" s="2608"/>
      <c r="AN189" s="2608"/>
      <c r="AO189" s="2608"/>
      <c r="AP189" s="2608"/>
      <c r="AQ189" s="2608"/>
      <c r="AR189" s="2608"/>
      <c r="AS189" s="2608"/>
      <c r="AT189" s="2608"/>
      <c r="AU189" s="2608"/>
      <c r="AV189" s="2608"/>
      <c r="AW189" s="2608"/>
      <c r="AX189" s="1503"/>
      <c r="AY189" s="2609">
        <f ca="1">AY185/AY188</f>
        <v>3.6659733595450418E-2</v>
      </c>
      <c r="AZ189" s="2609"/>
      <c r="BA189" s="2609">
        <f t="shared" ref="BA189:BI189" ca="1" si="57">BA185/BA188</f>
        <v>4.0782189528434883E-2</v>
      </c>
      <c r="BB189" s="2609">
        <f t="shared" ca="1" si="57"/>
        <v>5.2287652140098145E-2</v>
      </c>
      <c r="BC189" s="2609">
        <f t="shared" ca="1" si="57"/>
        <v>5.9849951146633891E-2</v>
      </c>
      <c r="BD189" s="2609">
        <f t="shared" ca="1" si="57"/>
        <v>6.1222226414193774E-2</v>
      </c>
      <c r="BE189" s="2609">
        <f t="shared" ca="1" si="57"/>
        <v>6.0493850192840877E-2</v>
      </c>
      <c r="BF189" s="2609">
        <f t="shared" ca="1" si="57"/>
        <v>5.8309200440989022E-2</v>
      </c>
      <c r="BG189" s="2609">
        <f t="shared" ca="1" si="57"/>
        <v>5.2580381789944106E-2</v>
      </c>
      <c r="BH189" s="2609">
        <f t="shared" ca="1" si="57"/>
        <v>4.6611470686127421E-2</v>
      </c>
      <c r="BI189" s="2609">
        <f t="shared" ca="1" si="57"/>
        <v>3.8813135062567151E-2</v>
      </c>
      <c r="BJ189" s="194"/>
    </row>
    <row r="190" spans="2:64">
      <c r="B190" s="193"/>
      <c r="C190" s="187"/>
      <c r="D190" s="2585" t="s">
        <v>1156</v>
      </c>
      <c r="E190" s="187"/>
      <c r="F190" s="2610"/>
      <c r="G190" s="2610"/>
      <c r="H190" s="2595"/>
      <c r="I190" s="2595"/>
      <c r="J190" s="2595"/>
      <c r="K190" s="2595"/>
      <c r="L190" s="2595"/>
      <c r="M190" s="2595"/>
      <c r="N190" s="2595"/>
      <c r="O190" s="2595"/>
      <c r="P190" s="2595"/>
      <c r="Q190" s="2595"/>
      <c r="R190" s="2595"/>
      <c r="S190" s="2595"/>
      <c r="T190" s="2595"/>
      <c r="U190" s="2595"/>
      <c r="V190" s="2595"/>
      <c r="W190" s="2595"/>
      <c r="X190" s="2595"/>
      <c r="Y190" s="2595"/>
      <c r="Z190" s="2595"/>
      <c r="AA190" s="2595"/>
      <c r="AB190" s="2595"/>
      <c r="AC190" s="2595"/>
      <c r="AD190" s="2595"/>
      <c r="AE190" s="2595"/>
      <c r="AF190" s="2595"/>
      <c r="AG190" s="2595"/>
      <c r="AH190" s="2595"/>
      <c r="AI190" s="2595"/>
      <c r="AJ190" s="2595"/>
      <c r="AK190" s="2595"/>
      <c r="AL190" s="2595"/>
      <c r="AM190" s="2595"/>
      <c r="AN190" s="2595"/>
      <c r="AO190" s="2595"/>
      <c r="AP190" s="2595"/>
      <c r="AQ190" s="2595"/>
      <c r="AR190" s="2595"/>
      <c r="AS190" s="2595"/>
      <c r="AT190" s="2595"/>
      <c r="AU190" s="2595"/>
      <c r="AV190" s="2595"/>
      <c r="AW190" s="2595"/>
      <c r="AX190" s="2610">
        <f>AX61</f>
        <v>0</v>
      </c>
      <c r="AY190" s="2610">
        <f ca="1">AY61-AY186</f>
        <v>0</v>
      </c>
      <c r="AZ190" s="2610"/>
      <c r="BA190" s="2610">
        <f t="shared" ref="BA190:BI190" ca="1" si="58">BA61-BA186</f>
        <v>2.2737367544323206E-13</v>
      </c>
      <c r="BB190" s="2610">
        <f t="shared" ca="1" si="58"/>
        <v>4.5474735088646412E-13</v>
      </c>
      <c r="BC190" s="2610">
        <f t="shared" ca="1" si="58"/>
        <v>2.2737367544323206E-13</v>
      </c>
      <c r="BD190" s="2610">
        <f t="shared" ca="1" si="58"/>
        <v>-4.5474735088646412E-13</v>
      </c>
      <c r="BE190" s="2610">
        <f t="shared" ca="1" si="58"/>
        <v>-4.5474735088646412E-13</v>
      </c>
      <c r="BF190" s="2610">
        <f t="shared" ca="1" si="58"/>
        <v>0</v>
      </c>
      <c r="BG190" s="2610">
        <f t="shared" ca="1" si="58"/>
        <v>9.0949470177292824E-13</v>
      </c>
      <c r="BH190" s="2610">
        <f t="shared" ca="1" si="58"/>
        <v>9.0949470177292824E-13</v>
      </c>
      <c r="BI190" s="2610">
        <f t="shared" ca="1" si="58"/>
        <v>9.0949470177292824E-13</v>
      </c>
      <c r="BJ190" s="194" t="s">
        <v>1145</v>
      </c>
    </row>
    <row r="191" spans="2:64">
      <c r="B191" s="193"/>
      <c r="C191" s="187"/>
      <c r="D191" s="2585" t="s">
        <v>2076</v>
      </c>
      <c r="E191" s="187"/>
      <c r="F191" s="2610"/>
      <c r="G191" s="2610"/>
      <c r="H191" s="2595"/>
      <c r="I191" s="2595"/>
      <c r="J191" s="2595"/>
      <c r="K191" s="2595"/>
      <c r="L191" s="2595"/>
      <c r="M191" s="2595"/>
      <c r="N191" s="2595"/>
      <c r="O191" s="2595"/>
      <c r="P191" s="2595"/>
      <c r="Q191" s="2595"/>
      <c r="R191" s="2595"/>
      <c r="S191" s="2595"/>
      <c r="T191" s="2595"/>
      <c r="U191" s="2595"/>
      <c r="V191" s="2595"/>
      <c r="W191" s="2595"/>
      <c r="X191" s="2595"/>
      <c r="Y191" s="2595"/>
      <c r="Z191" s="2595"/>
      <c r="AA191" s="2595"/>
      <c r="AB191" s="2595"/>
      <c r="AC191" s="2595"/>
      <c r="AD191" s="2595"/>
      <c r="AE191" s="2595"/>
      <c r="AF191" s="2595"/>
      <c r="AG191" s="2595"/>
      <c r="AH191" s="2595"/>
      <c r="AI191" s="2595"/>
      <c r="AJ191" s="2595"/>
      <c r="AK191" s="2595"/>
      <c r="AL191" s="2595"/>
      <c r="AM191" s="2595"/>
      <c r="AN191" s="2595"/>
      <c r="AO191" s="2595"/>
      <c r="AP191" s="2595"/>
      <c r="AQ191" s="2595"/>
      <c r="AR191" s="2595"/>
      <c r="AS191" s="2595"/>
      <c r="AT191" s="2595"/>
      <c r="AU191" s="2595"/>
      <c r="AV191" s="2595"/>
      <c r="AW191" s="2595"/>
      <c r="AX191" s="2610">
        <f t="shared" ref="AX191:BI191" si="59">IF(AX190&lt;0,AX190+AX188,AX188)</f>
        <v>0</v>
      </c>
      <c r="AY191" s="2610">
        <f t="shared" ca="1" si="59"/>
        <v>790.76970020552903</v>
      </c>
      <c r="AZ191" s="2610"/>
      <c r="BA191" s="2610">
        <f t="shared" ca="1" si="59"/>
        <v>1032.7162873841003</v>
      </c>
      <c r="BB191" s="2610">
        <f t="shared" ca="1" si="59"/>
        <v>1455.8968093122935</v>
      </c>
      <c r="BC191" s="2610">
        <f t="shared" ca="1" si="59"/>
        <v>2063.963133061764</v>
      </c>
      <c r="BD191" s="2610">
        <f t="shared" ca="1" si="59"/>
        <v>2848.3738320201105</v>
      </c>
      <c r="BE191" s="2610">
        <f t="shared" ca="1" si="59"/>
        <v>3900.1234784047756</v>
      </c>
      <c r="BF191" s="2610">
        <f t="shared" ca="1" si="59"/>
        <v>4836.305519548242</v>
      </c>
      <c r="BG191" s="2610">
        <f t="shared" ca="1" si="59"/>
        <v>5893.1577805937686</v>
      </c>
      <c r="BH191" s="2610">
        <f t="shared" ca="1" si="59"/>
        <v>6837.773164897314</v>
      </c>
      <c r="BI191" s="2610">
        <f t="shared" ca="1" si="59"/>
        <v>7907.6694446155816</v>
      </c>
      <c r="BJ191" s="194"/>
    </row>
    <row r="192" spans="2:64">
      <c r="B192" s="193"/>
      <c r="C192" s="186"/>
      <c r="D192" s="186" t="s">
        <v>2451</v>
      </c>
      <c r="E192" s="2607"/>
      <c r="F192" s="187"/>
      <c r="G192" s="187"/>
      <c r="H192" s="2583"/>
      <c r="I192" s="2583"/>
      <c r="J192" s="2583"/>
      <c r="K192" s="2583"/>
      <c r="L192" s="2583"/>
      <c r="M192" s="2583"/>
      <c r="N192" s="2583"/>
      <c r="O192" s="2583"/>
      <c r="P192" s="2583"/>
      <c r="Q192" s="2583"/>
      <c r="R192" s="2583"/>
      <c r="S192" s="2583"/>
      <c r="T192" s="2583"/>
      <c r="U192" s="2583"/>
      <c r="V192" s="2583"/>
      <c r="W192" s="2583"/>
      <c r="X192" s="2583"/>
      <c r="Y192" s="2583"/>
      <c r="Z192" s="2583"/>
      <c r="AA192" s="2583"/>
      <c r="AB192" s="2583"/>
      <c r="AC192" s="2583"/>
      <c r="AD192" s="2583"/>
      <c r="AE192" s="2583"/>
      <c r="AF192" s="2583"/>
      <c r="AG192" s="2583"/>
      <c r="AH192" s="2583"/>
      <c r="AI192" s="2583"/>
      <c r="AJ192" s="2583"/>
      <c r="AK192" s="2583"/>
      <c r="AL192" s="2583"/>
      <c r="AM192" s="2583"/>
      <c r="AN192" s="2583"/>
      <c r="AO192" s="2583"/>
      <c r="AP192" s="2583"/>
      <c r="AQ192" s="2583"/>
      <c r="AR192" s="2583"/>
      <c r="AS192" s="2583"/>
      <c r="AT192" s="2583"/>
      <c r="AU192" s="2583"/>
      <c r="AV192" s="2583"/>
      <c r="AW192" s="2583"/>
      <c r="AX192" s="2607"/>
      <c r="AY192" s="2607"/>
      <c r="AZ192" s="2607"/>
      <c r="BA192" s="2607"/>
      <c r="BB192" s="2607"/>
      <c r="BC192" s="2607"/>
      <c r="BD192" s="2607"/>
      <c r="BE192" s="2607"/>
      <c r="BF192" s="2607"/>
      <c r="BG192" s="2607"/>
      <c r="BH192" s="2607"/>
      <c r="BI192" s="2607"/>
      <c r="BJ192" s="194"/>
    </row>
    <row r="193" spans="2:62">
      <c r="B193" s="193"/>
      <c r="C193" s="2600"/>
      <c r="D193" s="2600" t="str">
        <f>Preferences.PowerUnits&amp;" installed capacity"</f>
        <v>GW installed capacity</v>
      </c>
      <c r="E193" s="2600"/>
      <c r="F193" s="2600"/>
      <c r="G193" s="2600"/>
      <c r="H193" s="2611"/>
      <c r="I193" s="2611"/>
      <c r="J193" s="2611"/>
      <c r="K193" s="2611"/>
      <c r="L193" s="2611"/>
      <c r="M193" s="2611"/>
      <c r="N193" s="2611"/>
      <c r="O193" s="2611"/>
      <c r="P193" s="2611"/>
      <c r="Q193" s="2611"/>
      <c r="R193" s="2611"/>
      <c r="S193" s="2611"/>
      <c r="T193" s="2611"/>
      <c r="U193" s="2611"/>
      <c r="V193" s="2611"/>
      <c r="W193" s="2611"/>
      <c r="X193" s="2611"/>
      <c r="Y193" s="2611"/>
      <c r="Z193" s="2611"/>
      <c r="AA193" s="2611"/>
      <c r="AB193" s="2611"/>
      <c r="AC193" s="2611"/>
      <c r="AD193" s="2611"/>
      <c r="AE193" s="2611"/>
      <c r="AF193" s="2611"/>
      <c r="AG193" s="2611"/>
      <c r="AH193" s="2611"/>
      <c r="AI193" s="2611"/>
      <c r="AJ193" s="2611"/>
      <c r="AK193" s="2611"/>
      <c r="AL193" s="2611"/>
      <c r="AM193" s="2611"/>
      <c r="AN193" s="2611"/>
      <c r="AO193" s="2611"/>
      <c r="AP193" s="2611"/>
      <c r="AQ193" s="2611"/>
      <c r="AR193" s="2611"/>
      <c r="AS193" s="2611"/>
      <c r="AT193" s="2611"/>
      <c r="AU193" s="2611"/>
      <c r="AV193" s="2611"/>
      <c r="AW193" s="2611"/>
      <c r="AX193" s="2600"/>
      <c r="AY193" s="2601">
        <v>2007</v>
      </c>
      <c r="AZ193" s="2601"/>
      <c r="BA193" s="2601">
        <f>AY193+5</f>
        <v>2012</v>
      </c>
      <c r="BB193" s="2601">
        <f t="shared" ref="BB193:BI193" si="60">BA193+5</f>
        <v>2017</v>
      </c>
      <c r="BC193" s="2601">
        <f t="shared" si="60"/>
        <v>2022</v>
      </c>
      <c r="BD193" s="2601">
        <f t="shared" si="60"/>
        <v>2027</v>
      </c>
      <c r="BE193" s="2601">
        <f t="shared" si="60"/>
        <v>2032</v>
      </c>
      <c r="BF193" s="2601">
        <f t="shared" si="60"/>
        <v>2037</v>
      </c>
      <c r="BG193" s="2601">
        <f t="shared" si="60"/>
        <v>2042</v>
      </c>
      <c r="BH193" s="2601">
        <f t="shared" si="60"/>
        <v>2047</v>
      </c>
      <c r="BI193" s="2601">
        <f t="shared" si="60"/>
        <v>2052</v>
      </c>
      <c r="BJ193" s="194"/>
    </row>
    <row r="194" spans="2:62">
      <c r="B194" s="193"/>
      <c r="C194" s="1503" t="s">
        <v>248</v>
      </c>
      <c r="D194" s="187" t="str">
        <f>INDEX(Modules[Module], MATCH($C194, Modules[Code], 0))</f>
        <v>Gas Power Stations</v>
      </c>
      <c r="E194" s="1503"/>
      <c r="F194" s="2607"/>
      <c r="G194" s="2607"/>
      <c r="H194" s="2608"/>
      <c r="I194" s="2608"/>
      <c r="J194" s="2608"/>
      <c r="K194" s="2608"/>
      <c r="L194" s="2608"/>
      <c r="M194" s="2608"/>
      <c r="N194" s="2608"/>
      <c r="O194" s="2608"/>
      <c r="P194" s="2608"/>
      <c r="Q194" s="2608"/>
      <c r="R194" s="2608"/>
      <c r="S194" s="2608"/>
      <c r="T194" s="2608"/>
      <c r="U194" s="2608"/>
      <c r="V194" s="2608"/>
      <c r="W194" s="2608"/>
      <c r="X194" s="2608"/>
      <c r="Y194" s="2608"/>
      <c r="Z194" s="2608"/>
      <c r="AA194" s="2608"/>
      <c r="AB194" s="2608"/>
      <c r="AC194" s="2608"/>
      <c r="AD194" s="2608"/>
      <c r="AE194" s="2608"/>
      <c r="AF194" s="2608"/>
      <c r="AG194" s="2608"/>
      <c r="AH194" s="2608"/>
      <c r="AI194" s="2608"/>
      <c r="AJ194" s="2608"/>
      <c r="AK194" s="2608"/>
      <c r="AL194" s="2608"/>
      <c r="AM194" s="2608"/>
      <c r="AN194" s="2608"/>
      <c r="AO194" s="2608"/>
      <c r="AP194" s="2608"/>
      <c r="AQ194" s="2608"/>
      <c r="AR194" s="2608">
        <f>63.6*Unit.GW</f>
        <v>63.6</v>
      </c>
      <c r="AS194" s="2608">
        <f>63.6*Unit.GW</f>
        <v>63.6</v>
      </c>
      <c r="AT194" s="2608">
        <f>63.7*Unit.GW</f>
        <v>63.7</v>
      </c>
      <c r="AU194" s="2608">
        <f>64.5*Unit.GW</f>
        <v>64.5</v>
      </c>
      <c r="AV194" s="2608">
        <f>69.3*Unit.GW</f>
        <v>69.3</v>
      </c>
      <c r="AW194" s="2608" t="s">
        <v>1157</v>
      </c>
      <c r="AX194" s="1503"/>
      <c r="AY194" s="2846">
        <f t="shared" ref="AY194:BI208" ca="1" si="61">IFERROR(INDEX(INDIRECT($C194&amp;".info["&amp;AY$193&amp;"]"), MATCH("B.02", INDIRECT($C194&amp;".info[Vector]"), 0)), 0)</f>
        <v>0</v>
      </c>
      <c r="AZ194" s="2846"/>
      <c r="BA194" s="2846">
        <f t="shared" ca="1" si="61"/>
        <v>18.381</v>
      </c>
      <c r="BB194" s="2846">
        <f t="shared" ca="1" si="61"/>
        <v>20.919</v>
      </c>
      <c r="BC194" s="2846">
        <f t="shared" ca="1" si="61"/>
        <v>20.919</v>
      </c>
      <c r="BD194" s="2846">
        <f t="shared" ca="1" si="61"/>
        <v>20.919</v>
      </c>
      <c r="BE194" s="2846">
        <f t="shared" ca="1" si="61"/>
        <v>20.919</v>
      </c>
      <c r="BF194" s="2846">
        <f t="shared" ca="1" si="61"/>
        <v>20.919</v>
      </c>
      <c r="BG194" s="2846">
        <f t="shared" ca="1" si="61"/>
        <v>20.919</v>
      </c>
      <c r="BH194" s="2846">
        <f t="shared" ca="1" si="61"/>
        <v>20.919</v>
      </c>
      <c r="BI194" s="2846">
        <f t="shared" ca="1" si="61"/>
        <v>20.919</v>
      </c>
      <c r="BJ194" s="194"/>
    </row>
    <row r="195" spans="2:62">
      <c r="B195" s="193"/>
      <c r="C195" s="2598" t="s">
        <v>278</v>
      </c>
      <c r="D195" s="187" t="str">
        <f>INDEX(Modules[Module], MATCH($C195, Modules[Code], 0))</f>
        <v>Coal power stations</v>
      </c>
      <c r="E195" s="1503"/>
      <c r="F195" s="2607"/>
      <c r="G195" s="2607"/>
      <c r="H195" s="2608"/>
      <c r="I195" s="2608"/>
      <c r="J195" s="2608"/>
      <c r="K195" s="2608"/>
      <c r="L195" s="2608"/>
      <c r="M195" s="2608"/>
      <c r="N195" s="2608"/>
      <c r="O195" s="2608"/>
      <c r="P195" s="2608"/>
      <c r="Q195" s="2608"/>
      <c r="R195" s="2608"/>
      <c r="S195" s="2608"/>
      <c r="T195" s="2608"/>
      <c r="U195" s="2608"/>
      <c r="V195" s="2608"/>
      <c r="W195" s="2608"/>
      <c r="X195" s="2608"/>
      <c r="Y195" s="2608"/>
      <c r="Z195" s="2608"/>
      <c r="AA195" s="2608"/>
      <c r="AB195" s="2608"/>
      <c r="AC195" s="2608"/>
      <c r="AD195" s="2608"/>
      <c r="AE195" s="2608"/>
      <c r="AF195" s="2608"/>
      <c r="AG195" s="2608"/>
      <c r="AH195" s="2608"/>
      <c r="AI195" s="2608"/>
      <c r="AJ195" s="2608"/>
      <c r="AK195" s="2608"/>
      <c r="AL195" s="2608"/>
      <c r="AM195" s="2608"/>
      <c r="AN195" s="2608"/>
      <c r="AO195" s="2608"/>
      <c r="AP195" s="2608"/>
      <c r="AQ195" s="2608"/>
      <c r="AR195" s="2608"/>
      <c r="AS195" s="2608"/>
      <c r="AT195" s="2608"/>
      <c r="AU195" s="2608"/>
      <c r="AV195" s="2608"/>
      <c r="AW195" s="2608" t="s">
        <v>1158</v>
      </c>
      <c r="AX195" s="1503"/>
      <c r="AY195" s="2846">
        <f t="shared" ca="1" si="61"/>
        <v>82</v>
      </c>
      <c r="AZ195" s="2846"/>
      <c r="BA195" s="2846">
        <f t="shared" ca="1" si="61"/>
        <v>125.02330000000001</v>
      </c>
      <c r="BB195" s="2846">
        <f t="shared" ca="1" si="61"/>
        <v>175.2914387382277</v>
      </c>
      <c r="BC195" s="2846">
        <f t="shared" ca="1" si="61"/>
        <v>165.92363873822771</v>
      </c>
      <c r="BD195" s="2846">
        <f t="shared" ca="1" si="61"/>
        <v>152.38363873822772</v>
      </c>
      <c r="BE195" s="2846">
        <f t="shared" ca="1" si="61"/>
        <v>137.6836387382277</v>
      </c>
      <c r="BF195" s="2846">
        <f t="shared" ca="1" si="61"/>
        <v>124.92613873822771</v>
      </c>
      <c r="BG195" s="2846">
        <f t="shared" ca="1" si="61"/>
        <v>109.53513873822772</v>
      </c>
      <c r="BH195" s="2846">
        <f t="shared" ca="1" si="61"/>
        <v>98.050138738227716</v>
      </c>
      <c r="BI195" s="2846">
        <f t="shared" ca="1" si="61"/>
        <v>60.151138738227722</v>
      </c>
      <c r="BJ195" s="194"/>
    </row>
    <row r="196" spans="2:62">
      <c r="B196" s="193"/>
      <c r="C196" s="2598" t="s">
        <v>696</v>
      </c>
      <c r="D196" s="187" t="str">
        <f>INDEX(Modules[Module], MATCH($C196, Modules[Code], 0))</f>
        <v>Carbon Capture Storage (CCS)</v>
      </c>
      <c r="E196" s="1503"/>
      <c r="F196" s="2607"/>
      <c r="G196" s="2607"/>
      <c r="H196" s="2608"/>
      <c r="I196" s="2608"/>
      <c r="J196" s="2608"/>
      <c r="K196" s="2608"/>
      <c r="L196" s="2608"/>
      <c r="M196" s="2608"/>
      <c r="N196" s="2608"/>
      <c r="O196" s="2608"/>
      <c r="P196" s="2608"/>
      <c r="Q196" s="2608"/>
      <c r="R196" s="2608"/>
      <c r="S196" s="2608"/>
      <c r="T196" s="2608"/>
      <c r="U196" s="2608"/>
      <c r="V196" s="2608"/>
      <c r="W196" s="2608"/>
      <c r="X196" s="2608"/>
      <c r="Y196" s="2608"/>
      <c r="Z196" s="2608"/>
      <c r="AA196" s="2608"/>
      <c r="AB196" s="2608"/>
      <c r="AC196" s="2608"/>
      <c r="AD196" s="2608"/>
      <c r="AE196" s="2608"/>
      <c r="AF196" s="2608"/>
      <c r="AG196" s="2608"/>
      <c r="AH196" s="2608"/>
      <c r="AI196" s="2608"/>
      <c r="AJ196" s="2608"/>
      <c r="AK196" s="2608"/>
      <c r="AL196" s="2608"/>
      <c r="AM196" s="2608"/>
      <c r="AN196" s="2608"/>
      <c r="AO196" s="2608"/>
      <c r="AP196" s="2608"/>
      <c r="AQ196" s="2608"/>
      <c r="AR196" s="2608"/>
      <c r="AS196" s="2608"/>
      <c r="AT196" s="2608"/>
      <c r="AU196" s="2608"/>
      <c r="AV196" s="2608"/>
      <c r="AW196" s="2608"/>
      <c r="AX196" s="1503"/>
      <c r="AY196" s="2846">
        <f t="shared" ca="1" si="61"/>
        <v>0</v>
      </c>
      <c r="AZ196" s="2846"/>
      <c r="BA196" s="2846">
        <f t="shared" ca="1" si="61"/>
        <v>0</v>
      </c>
      <c r="BB196" s="2846">
        <f t="shared" ca="1" si="61"/>
        <v>0</v>
      </c>
      <c r="BC196" s="2846">
        <f t="shared" ca="1" si="61"/>
        <v>0</v>
      </c>
      <c r="BD196" s="2846">
        <f t="shared" ca="1" si="61"/>
        <v>0</v>
      </c>
      <c r="BE196" s="2846">
        <f t="shared" ca="1" si="61"/>
        <v>1</v>
      </c>
      <c r="BF196" s="2846">
        <f t="shared" ca="1" si="61"/>
        <v>2</v>
      </c>
      <c r="BG196" s="2846">
        <f t="shared" ca="1" si="61"/>
        <v>5</v>
      </c>
      <c r="BH196" s="2846">
        <f t="shared" ca="1" si="61"/>
        <v>7</v>
      </c>
      <c r="BI196" s="2846">
        <f t="shared" ca="1" si="61"/>
        <v>10</v>
      </c>
      <c r="BJ196" s="194"/>
    </row>
    <row r="197" spans="2:62">
      <c r="B197" s="193"/>
      <c r="C197" s="2598" t="s">
        <v>1819</v>
      </c>
      <c r="D197" s="187" t="str">
        <f>INDEX(Modules[Module], MATCH($C197, Modules[Code], 0))</f>
        <v>Electricity Balancing Requirement</v>
      </c>
      <c r="E197" s="1503"/>
      <c r="F197" s="2607"/>
      <c r="G197" s="2607"/>
      <c r="H197" s="2608"/>
      <c r="I197" s="2608"/>
      <c r="J197" s="2608"/>
      <c r="K197" s="2608"/>
      <c r="L197" s="2608"/>
      <c r="M197" s="2608"/>
      <c r="N197" s="2608"/>
      <c r="O197" s="2608"/>
      <c r="P197" s="2608"/>
      <c r="Q197" s="2608"/>
      <c r="R197" s="2608"/>
      <c r="S197" s="2608"/>
      <c r="T197" s="2608"/>
      <c r="U197" s="2608"/>
      <c r="V197" s="2608"/>
      <c r="W197" s="2608"/>
      <c r="X197" s="2608"/>
      <c r="Y197" s="2608"/>
      <c r="Z197" s="2608"/>
      <c r="AA197" s="2608"/>
      <c r="AB197" s="2608"/>
      <c r="AC197" s="2608"/>
      <c r="AD197" s="2608"/>
      <c r="AE197" s="2608"/>
      <c r="AF197" s="2608"/>
      <c r="AG197" s="2608"/>
      <c r="AH197" s="2608"/>
      <c r="AI197" s="2608"/>
      <c r="AJ197" s="2608"/>
      <c r="AK197" s="2608"/>
      <c r="AL197" s="2608"/>
      <c r="AM197" s="2608"/>
      <c r="AN197" s="2608"/>
      <c r="AO197" s="2608"/>
      <c r="AP197" s="2608"/>
      <c r="AQ197" s="2608"/>
      <c r="AR197" s="2608"/>
      <c r="AS197" s="2608"/>
      <c r="AT197" s="2608"/>
      <c r="AU197" s="2608"/>
      <c r="AV197" s="2608"/>
      <c r="AW197" s="2608"/>
      <c r="AX197" s="1503"/>
      <c r="AY197" s="2846">
        <f t="shared" ca="1" si="61"/>
        <v>11.506446686594195</v>
      </c>
      <c r="AZ197" s="2846"/>
      <c r="BA197" s="2846">
        <f t="shared" ca="1" si="61"/>
        <v>0.51077638826046257</v>
      </c>
      <c r="BB197" s="2846">
        <f t="shared" ca="1" si="61"/>
        <v>4.5647297728288754</v>
      </c>
      <c r="BC197" s="2846">
        <f t="shared" ca="1" si="61"/>
        <v>94.920473755987715</v>
      </c>
      <c r="BD197" s="2846">
        <f t="shared" ca="1" si="61"/>
        <v>215.01691728992043</v>
      </c>
      <c r="BE197" s="2846">
        <f t="shared" ca="1" si="61"/>
        <v>374.24277667545812</v>
      </c>
      <c r="BF197" s="2846">
        <f t="shared" ca="1" si="61"/>
        <v>515.43857694368262</v>
      </c>
      <c r="BG197" s="2846">
        <f t="shared" ca="1" si="61"/>
        <v>679.59023716585682</v>
      </c>
      <c r="BH197" s="2846">
        <f t="shared" ca="1" si="61"/>
        <v>829.6508924983948</v>
      </c>
      <c r="BI197" s="2846">
        <f t="shared" ca="1" si="61"/>
        <v>1024.3157925533287</v>
      </c>
      <c r="BJ197" s="194"/>
    </row>
    <row r="198" spans="2:62">
      <c r="B198" s="193"/>
      <c r="C198" s="1503" t="s">
        <v>61</v>
      </c>
      <c r="D198" s="1503" t="str">
        <f>INDEX(Modules[Module], MATCH($C198, Modules[Code], 0))</f>
        <v>Nuclear power</v>
      </c>
      <c r="E198" s="1503"/>
      <c r="F198" s="2607"/>
      <c r="G198" s="2607"/>
      <c r="H198" s="2608"/>
      <c r="I198" s="2608"/>
      <c r="J198" s="2608"/>
      <c r="K198" s="2608"/>
      <c r="L198" s="2608"/>
      <c r="M198" s="2608"/>
      <c r="N198" s="2608"/>
      <c r="O198" s="2608"/>
      <c r="P198" s="2608"/>
      <c r="Q198" s="2608"/>
      <c r="R198" s="2608"/>
      <c r="S198" s="2608"/>
      <c r="T198" s="2608"/>
      <c r="U198" s="2608"/>
      <c r="V198" s="2608"/>
      <c r="W198" s="2608"/>
      <c r="X198" s="2608"/>
      <c r="Y198" s="2608"/>
      <c r="Z198" s="2608"/>
      <c r="AA198" s="2608"/>
      <c r="AB198" s="2608"/>
      <c r="AC198" s="2608"/>
      <c r="AD198" s="2608"/>
      <c r="AE198" s="2608"/>
      <c r="AF198" s="2608"/>
      <c r="AG198" s="2608"/>
      <c r="AH198" s="2608"/>
      <c r="AI198" s="2608"/>
      <c r="AJ198" s="2608"/>
      <c r="AK198" s="2608"/>
      <c r="AL198" s="2608"/>
      <c r="AM198" s="2608"/>
      <c r="AN198" s="2608"/>
      <c r="AO198" s="2608"/>
      <c r="AP198" s="2608"/>
      <c r="AQ198" s="2608"/>
      <c r="AR198" s="2608"/>
      <c r="AS198" s="2608"/>
      <c r="AT198" s="2608"/>
      <c r="AU198" s="2608"/>
      <c r="AV198" s="2608"/>
      <c r="AW198" s="2608"/>
      <c r="AX198" s="1503"/>
      <c r="AY198" s="2846">
        <f t="shared" ca="1" si="61"/>
        <v>4.04</v>
      </c>
      <c r="AZ198" s="2846"/>
      <c r="BA198" s="2846">
        <f t="shared" ca="1" si="61"/>
        <v>4.68</v>
      </c>
      <c r="BB198" s="2846">
        <f t="shared" ca="1" si="61"/>
        <v>9.98</v>
      </c>
      <c r="BC198" s="2846">
        <f t="shared" ca="1" si="61"/>
        <v>9.66</v>
      </c>
      <c r="BD198" s="2846">
        <f t="shared" ca="1" si="61"/>
        <v>9.66</v>
      </c>
      <c r="BE198" s="2846">
        <f t="shared" ca="1" si="61"/>
        <v>9.4600000000000009</v>
      </c>
      <c r="BF198" s="2846">
        <f t="shared" ca="1" si="61"/>
        <v>9.02</v>
      </c>
      <c r="BG198" s="2846">
        <f t="shared" ca="1" si="61"/>
        <v>8.8000000000000007</v>
      </c>
      <c r="BH198" s="2846">
        <f t="shared" ca="1" si="61"/>
        <v>8.36</v>
      </c>
      <c r="BI198" s="2846">
        <f t="shared" ca="1" si="61"/>
        <v>8.36</v>
      </c>
      <c r="BJ198" s="194"/>
    </row>
    <row r="199" spans="2:62">
      <c r="B199" s="193"/>
      <c r="C199" s="1503" t="s">
        <v>62</v>
      </c>
      <c r="D199" s="187" t="str">
        <f>INDEX(Modules[Module], MATCH($C199, Modules[Code], 0))</f>
        <v>Hydro Power Generation</v>
      </c>
      <c r="E199" s="1503"/>
      <c r="F199" s="2607"/>
      <c r="G199" s="2607"/>
      <c r="H199" s="2608"/>
      <c r="I199" s="2608"/>
      <c r="J199" s="2608"/>
      <c r="K199" s="2608"/>
      <c r="L199" s="2608"/>
      <c r="M199" s="2608"/>
      <c r="N199" s="2608"/>
      <c r="O199" s="2608"/>
      <c r="P199" s="2608"/>
      <c r="Q199" s="2608"/>
      <c r="R199" s="2608"/>
      <c r="S199" s="2608"/>
      <c r="T199" s="2608"/>
      <c r="U199" s="2608"/>
      <c r="V199" s="2608"/>
      <c r="W199" s="2608"/>
      <c r="X199" s="2608"/>
      <c r="Y199" s="2608"/>
      <c r="Z199" s="2608"/>
      <c r="AA199" s="2608"/>
      <c r="AB199" s="2608"/>
      <c r="AC199" s="2608"/>
      <c r="AD199" s="2608"/>
      <c r="AE199" s="2608"/>
      <c r="AF199" s="2608"/>
      <c r="AG199" s="2608"/>
      <c r="AH199" s="2608"/>
      <c r="AI199" s="2608"/>
      <c r="AJ199" s="2608"/>
      <c r="AK199" s="2608"/>
      <c r="AL199" s="2608"/>
      <c r="AM199" s="2608"/>
      <c r="AN199" s="2608"/>
      <c r="AO199" s="2608"/>
      <c r="AP199" s="2608"/>
      <c r="AQ199" s="2608"/>
      <c r="AR199" s="2608">
        <f>11*Unit.GW</f>
        <v>11</v>
      </c>
      <c r="AS199" s="2608">
        <f>11*Unit.GW</f>
        <v>11</v>
      </c>
      <c r="AT199" s="2608">
        <f>11*Unit.GW</f>
        <v>11</v>
      </c>
      <c r="AU199" s="2608">
        <f>10.9*Unit.GW</f>
        <v>10.9</v>
      </c>
      <c r="AV199" s="2608">
        <f>10.9*Unit.GW</f>
        <v>10.9</v>
      </c>
      <c r="AW199" s="2608" t="s">
        <v>1159</v>
      </c>
      <c r="AX199" s="1503"/>
      <c r="AY199" s="2846">
        <f t="shared" ca="1" si="61"/>
        <v>34.65</v>
      </c>
      <c r="AZ199" s="2846"/>
      <c r="BA199" s="2846">
        <f t="shared" ca="1" si="61"/>
        <v>41</v>
      </c>
      <c r="BB199" s="2846">
        <f t="shared" ca="1" si="61"/>
        <v>49</v>
      </c>
      <c r="BC199" s="2846">
        <f t="shared" ca="1" si="61"/>
        <v>49</v>
      </c>
      <c r="BD199" s="2846">
        <f t="shared" ca="1" si="61"/>
        <v>49</v>
      </c>
      <c r="BE199" s="2846">
        <f t="shared" ca="1" si="61"/>
        <v>49</v>
      </c>
      <c r="BF199" s="2846">
        <f t="shared" ca="1" si="61"/>
        <v>49</v>
      </c>
      <c r="BG199" s="2846">
        <f t="shared" ca="1" si="61"/>
        <v>49</v>
      </c>
      <c r="BH199" s="2846">
        <f t="shared" ca="1" si="61"/>
        <v>49</v>
      </c>
      <c r="BI199" s="2846">
        <f t="shared" ca="1" si="61"/>
        <v>49</v>
      </c>
      <c r="BJ199" s="194"/>
    </row>
    <row r="200" spans="2:62">
      <c r="B200" s="193"/>
      <c r="C200" s="2598" t="s">
        <v>311</v>
      </c>
      <c r="D200" s="187" t="str">
        <f>INDEX(Modules[Module], MATCH($C200, Modules[Code], 0))</f>
        <v>Solar PV</v>
      </c>
      <c r="E200" s="1503"/>
      <c r="F200" s="2607"/>
      <c r="G200" s="2607"/>
      <c r="H200" s="2608"/>
      <c r="I200" s="2608"/>
      <c r="J200" s="2608"/>
      <c r="K200" s="2608"/>
      <c r="L200" s="2608"/>
      <c r="M200" s="2608"/>
      <c r="N200" s="2608"/>
      <c r="O200" s="2608"/>
      <c r="P200" s="2608"/>
      <c r="Q200" s="2608"/>
      <c r="R200" s="2608"/>
      <c r="S200" s="2608"/>
      <c r="T200" s="2608"/>
      <c r="U200" s="2608"/>
      <c r="V200" s="2608"/>
      <c r="W200" s="2608"/>
      <c r="X200" s="2608"/>
      <c r="Y200" s="2608"/>
      <c r="Z200" s="2608"/>
      <c r="AA200" s="2608"/>
      <c r="AB200" s="2608"/>
      <c r="AC200" s="2608"/>
      <c r="AD200" s="2608"/>
      <c r="AE200" s="2608"/>
      <c r="AF200" s="2608"/>
      <c r="AG200" s="2608"/>
      <c r="AH200" s="2608"/>
      <c r="AI200" s="2608"/>
      <c r="AJ200" s="2608"/>
      <c r="AK200" s="2608"/>
      <c r="AL200" s="2608"/>
      <c r="AM200" s="2608"/>
      <c r="AN200" s="2608"/>
      <c r="AO200" s="2608"/>
      <c r="AP200" s="2608"/>
      <c r="AQ200" s="2608"/>
      <c r="AR200" s="2608"/>
      <c r="AS200" s="2608"/>
      <c r="AT200" s="2608"/>
      <c r="AU200" s="2608"/>
      <c r="AV200" s="2608"/>
      <c r="AW200" s="2608" t="s">
        <v>1160</v>
      </c>
      <c r="AX200" s="1503"/>
      <c r="AY200" s="2846">
        <f t="shared" ca="1" si="61"/>
        <v>0</v>
      </c>
      <c r="AZ200" s="2846"/>
      <c r="BA200" s="2846">
        <f t="shared" ca="1" si="61"/>
        <v>0.94100000000000006</v>
      </c>
      <c r="BB200" s="2846">
        <f t="shared" ca="1" si="61"/>
        <v>4.9409999999999998</v>
      </c>
      <c r="BC200" s="2846">
        <f t="shared" ca="1" si="61"/>
        <v>10.940999999999999</v>
      </c>
      <c r="BD200" s="2846">
        <f t="shared" ca="1" si="61"/>
        <v>18.940999999999999</v>
      </c>
      <c r="BE200" s="2846">
        <f t="shared" ca="1" si="61"/>
        <v>26.940999999999999</v>
      </c>
      <c r="BF200" s="2846">
        <f t="shared" ca="1" si="61"/>
        <v>33.941000000000003</v>
      </c>
      <c r="BG200" s="2846">
        <f t="shared" ca="1" si="61"/>
        <v>38</v>
      </c>
      <c r="BH200" s="2846">
        <f t="shared" ca="1" si="61"/>
        <v>37</v>
      </c>
      <c r="BI200" s="2846">
        <f t="shared" ca="1" si="61"/>
        <v>32</v>
      </c>
      <c r="BJ200" s="194"/>
    </row>
    <row r="201" spans="2:62">
      <c r="B201" s="193"/>
      <c r="C201" s="2598" t="s">
        <v>407</v>
      </c>
      <c r="D201" s="1503" t="str">
        <f>INDEX(Modules[Module], MATCH($C201, Modules[Code], 0))</f>
        <v>Solar CSP</v>
      </c>
      <c r="E201" s="1503"/>
      <c r="F201" s="2607"/>
      <c r="G201" s="2607"/>
      <c r="H201" s="2608"/>
      <c r="I201" s="2608"/>
      <c r="J201" s="2608"/>
      <c r="K201" s="2608"/>
      <c r="L201" s="2608"/>
      <c r="M201" s="2608"/>
      <c r="N201" s="2608"/>
      <c r="O201" s="2608"/>
      <c r="P201" s="2608"/>
      <c r="Q201" s="2608"/>
      <c r="R201" s="2608"/>
      <c r="S201" s="2608"/>
      <c r="T201" s="2608"/>
      <c r="U201" s="2608"/>
      <c r="V201" s="2608"/>
      <c r="W201" s="2608"/>
      <c r="X201" s="2608"/>
      <c r="Y201" s="2608"/>
      <c r="Z201" s="2608"/>
      <c r="AA201" s="2608"/>
      <c r="AB201" s="2608"/>
      <c r="AC201" s="2608"/>
      <c r="AD201" s="2608"/>
      <c r="AE201" s="2608"/>
      <c r="AF201" s="2608"/>
      <c r="AG201" s="2608"/>
      <c r="AH201" s="2608"/>
      <c r="AI201" s="2608"/>
      <c r="AJ201" s="2608"/>
      <c r="AK201" s="2608"/>
      <c r="AL201" s="2608"/>
      <c r="AM201" s="2608"/>
      <c r="AN201" s="2608"/>
      <c r="AO201" s="2608"/>
      <c r="AP201" s="2608"/>
      <c r="AQ201" s="2608"/>
      <c r="AR201" s="2608"/>
      <c r="AS201" s="2608"/>
      <c r="AT201" s="2608"/>
      <c r="AU201" s="2608"/>
      <c r="AV201" s="2608"/>
      <c r="AW201" s="2608"/>
      <c r="AX201" s="1503"/>
      <c r="AY201" s="2846">
        <f t="shared" ca="1" si="61"/>
        <v>0</v>
      </c>
      <c r="AZ201" s="2846"/>
      <c r="BA201" s="2846">
        <f t="shared" ca="1" si="61"/>
        <v>0</v>
      </c>
      <c r="BB201" s="2846">
        <f t="shared" ca="1" si="61"/>
        <v>1</v>
      </c>
      <c r="BC201" s="2846">
        <f t="shared" ca="1" si="61"/>
        <v>3</v>
      </c>
      <c r="BD201" s="2846">
        <f t="shared" ca="1" si="61"/>
        <v>5</v>
      </c>
      <c r="BE201" s="2846">
        <f t="shared" ca="1" si="61"/>
        <v>7.5</v>
      </c>
      <c r="BF201" s="2846">
        <f t="shared" ca="1" si="61"/>
        <v>9.5</v>
      </c>
      <c r="BG201" s="2846">
        <f t="shared" ca="1" si="61"/>
        <v>10.5</v>
      </c>
      <c r="BH201" s="2846">
        <f t="shared" ca="1" si="61"/>
        <v>9.5</v>
      </c>
      <c r="BI201" s="2846">
        <f t="shared" ca="1" si="61"/>
        <v>7.5</v>
      </c>
      <c r="BJ201" s="194"/>
    </row>
    <row r="202" spans="2:62">
      <c r="B202" s="193"/>
      <c r="C202" s="2598" t="s">
        <v>1071</v>
      </c>
      <c r="D202" s="187" t="str">
        <f>INDEX(Modules[Module], MATCH($C202, Modules[Code], 0))</f>
        <v>Onshore Wind</v>
      </c>
      <c r="E202" s="1503"/>
      <c r="F202" s="2607"/>
      <c r="G202" s="2607"/>
      <c r="H202" s="2608"/>
      <c r="I202" s="2608"/>
      <c r="J202" s="2608"/>
      <c r="K202" s="2608"/>
      <c r="L202" s="2608"/>
      <c r="M202" s="2608"/>
      <c r="N202" s="2608"/>
      <c r="O202" s="2608"/>
      <c r="P202" s="2608"/>
      <c r="Q202" s="2608"/>
      <c r="R202" s="2608"/>
      <c r="S202" s="2608"/>
      <c r="T202" s="2608"/>
      <c r="U202" s="2608"/>
      <c r="V202" s="2608"/>
      <c r="W202" s="2608"/>
      <c r="X202" s="2608"/>
      <c r="Y202" s="2608"/>
      <c r="Z202" s="2608"/>
      <c r="AA202" s="2608"/>
      <c r="AB202" s="2608"/>
      <c r="AC202" s="2608"/>
      <c r="AD202" s="2608"/>
      <c r="AE202" s="2608"/>
      <c r="AF202" s="2608"/>
      <c r="AG202" s="2608"/>
      <c r="AH202" s="2608"/>
      <c r="AI202" s="2608"/>
      <c r="AJ202" s="2608"/>
      <c r="AK202" s="2608"/>
      <c r="AL202" s="2608"/>
      <c r="AM202" s="2608"/>
      <c r="AN202" s="2608"/>
      <c r="AO202" s="2608"/>
      <c r="AP202" s="2608"/>
      <c r="AQ202" s="2608"/>
      <c r="AR202" s="2608">
        <f>1.4*Unit.GW</f>
        <v>1.4</v>
      </c>
      <c r="AS202" s="2608">
        <f>1.4*Unit.GW</f>
        <v>1.4</v>
      </c>
      <c r="AT202" s="2608">
        <f>1.5*Unit.GW</f>
        <v>1.5</v>
      </c>
      <c r="AU202" s="2608">
        <f>1.5*Unit.GW</f>
        <v>1.5</v>
      </c>
      <c r="AV202" s="2608">
        <f>1.5*Unit.GW</f>
        <v>1.5</v>
      </c>
      <c r="AW202" s="2608" t="s">
        <v>1161</v>
      </c>
      <c r="AX202" s="1503"/>
      <c r="AY202" s="2846">
        <f t="shared" ca="1" si="61"/>
        <v>7.0939899999999998</v>
      </c>
      <c r="AZ202" s="2846"/>
      <c r="BA202" s="2846">
        <f t="shared" ca="1" si="61"/>
        <v>10.353</v>
      </c>
      <c r="BB202" s="2846">
        <f t="shared" ca="1" si="61"/>
        <v>18.853000000000002</v>
      </c>
      <c r="BC202" s="2846">
        <f t="shared" ca="1" si="61"/>
        <v>28.853000000000002</v>
      </c>
      <c r="BD202" s="2846">
        <f t="shared" ca="1" si="61"/>
        <v>38.853000000000002</v>
      </c>
      <c r="BE202" s="2846">
        <f t="shared" ca="1" si="61"/>
        <v>51.353000000000002</v>
      </c>
      <c r="BF202" s="2846">
        <f t="shared" ca="1" si="61"/>
        <v>56.759010000000004</v>
      </c>
      <c r="BG202" s="2846">
        <f t="shared" ca="1" si="61"/>
        <v>58.5</v>
      </c>
      <c r="BH202" s="2846">
        <f t="shared" ca="1" si="61"/>
        <v>60</v>
      </c>
      <c r="BI202" s="2846">
        <f t="shared" ca="1" si="61"/>
        <v>58</v>
      </c>
      <c r="BJ202" s="194"/>
    </row>
    <row r="203" spans="2:62">
      <c r="B203" s="193"/>
      <c r="C203" s="2598" t="s">
        <v>1285</v>
      </c>
      <c r="D203" s="187" t="str">
        <f>INDEX(Modules[Module], MATCH($C203, Modules[Code], 0))</f>
        <v>Offshore Wind</v>
      </c>
      <c r="E203" s="1503"/>
      <c r="F203" s="2607"/>
      <c r="G203" s="2607"/>
      <c r="H203" s="2608"/>
      <c r="I203" s="2608"/>
      <c r="J203" s="2608"/>
      <c r="K203" s="2608"/>
      <c r="L203" s="2608"/>
      <c r="M203" s="2608"/>
      <c r="N203" s="2608"/>
      <c r="O203" s="2608"/>
      <c r="P203" s="2608"/>
      <c r="Q203" s="2608"/>
      <c r="R203" s="2608"/>
      <c r="S203" s="2608"/>
      <c r="T203" s="2608"/>
      <c r="U203" s="2608"/>
      <c r="V203" s="2608"/>
      <c r="W203" s="2608"/>
      <c r="X203" s="2608"/>
      <c r="Y203" s="2608"/>
      <c r="Z203" s="2608"/>
      <c r="AA203" s="2608"/>
      <c r="AB203" s="2608"/>
      <c r="AC203" s="2608"/>
      <c r="AD203" s="2608"/>
      <c r="AE203" s="2608"/>
      <c r="AF203" s="2608"/>
      <c r="AG203" s="2608"/>
      <c r="AH203" s="2608"/>
      <c r="AI203" s="2608"/>
      <c r="AJ203" s="2608"/>
      <c r="AK203" s="2608"/>
      <c r="AL203" s="2608"/>
      <c r="AM203" s="2608"/>
      <c r="AN203" s="2608"/>
      <c r="AO203" s="2608"/>
      <c r="AP203" s="2608"/>
      <c r="AQ203" s="2608"/>
      <c r="AR203" s="2608"/>
      <c r="AS203" s="2608"/>
      <c r="AT203" s="2608"/>
      <c r="AU203" s="2608"/>
      <c r="AV203" s="2608"/>
      <c r="AW203" s="2608"/>
      <c r="AX203" s="1503"/>
      <c r="AY203" s="2846">
        <f t="shared" ca="1" si="61"/>
        <v>0</v>
      </c>
      <c r="AZ203" s="2846"/>
      <c r="BA203" s="2846">
        <f t="shared" ca="1" si="61"/>
        <v>0</v>
      </c>
      <c r="BB203" s="2846">
        <f t="shared" ca="1" si="61"/>
        <v>0</v>
      </c>
      <c r="BC203" s="2846">
        <f t="shared" ca="1" si="61"/>
        <v>0.5</v>
      </c>
      <c r="BD203" s="2846">
        <f t="shared" ca="1" si="61"/>
        <v>1</v>
      </c>
      <c r="BE203" s="2846">
        <f t="shared" ca="1" si="61"/>
        <v>1.5</v>
      </c>
      <c r="BF203" s="2846">
        <f t="shared" ca="1" si="61"/>
        <v>2.5</v>
      </c>
      <c r="BG203" s="2846">
        <f t="shared" ca="1" si="61"/>
        <v>3.5</v>
      </c>
      <c r="BH203" s="2846">
        <f t="shared" ca="1" si="61"/>
        <v>4</v>
      </c>
      <c r="BI203" s="2846">
        <f t="shared" ca="1" si="61"/>
        <v>4</v>
      </c>
      <c r="BJ203" s="194"/>
    </row>
    <row r="204" spans="2:62">
      <c r="B204" s="193"/>
      <c r="C204" s="2598" t="s">
        <v>1073</v>
      </c>
      <c r="D204" s="187" t="str">
        <f>INDEX(Modules[Module], MATCH($C204, Modules[Code], 0))</f>
        <v>Small Hydro</v>
      </c>
      <c r="E204" s="1503"/>
      <c r="F204" s="2607"/>
      <c r="G204" s="2607"/>
      <c r="H204" s="2608"/>
      <c r="I204" s="2608"/>
      <c r="J204" s="2608"/>
      <c r="K204" s="2608"/>
      <c r="L204" s="2608"/>
      <c r="M204" s="2608"/>
      <c r="N204" s="2608"/>
      <c r="O204" s="2608"/>
      <c r="P204" s="2608"/>
      <c r="Q204" s="2608"/>
      <c r="R204" s="2608"/>
      <c r="S204" s="2608"/>
      <c r="T204" s="2608"/>
      <c r="U204" s="2608"/>
      <c r="V204" s="2608"/>
      <c r="W204" s="2608"/>
      <c r="X204" s="2608"/>
      <c r="Y204" s="2608"/>
      <c r="Z204" s="2608"/>
      <c r="AA204" s="2608"/>
      <c r="AB204" s="2608"/>
      <c r="AC204" s="2608"/>
      <c r="AD204" s="2608"/>
      <c r="AE204" s="2608"/>
      <c r="AF204" s="2608"/>
      <c r="AG204" s="2608"/>
      <c r="AH204" s="2608"/>
      <c r="AI204" s="2608"/>
      <c r="AJ204" s="2608"/>
      <c r="AK204" s="2608"/>
      <c r="AL204" s="2608"/>
      <c r="AM204" s="2608"/>
      <c r="AN204" s="2608"/>
      <c r="AO204" s="2608"/>
      <c r="AP204" s="2608"/>
      <c r="AQ204" s="2608"/>
      <c r="AR204" s="2608"/>
      <c r="AS204" s="2608"/>
      <c r="AT204" s="2608"/>
      <c r="AU204" s="2608"/>
      <c r="AV204" s="2608"/>
      <c r="AW204" s="2608"/>
      <c r="AX204" s="1503"/>
      <c r="AY204" s="2846">
        <f t="shared" ca="1" si="61"/>
        <v>1.9756</v>
      </c>
      <c r="AZ204" s="2846"/>
      <c r="BA204" s="2846">
        <f t="shared" ca="1" si="61"/>
        <v>3.3856000000000002</v>
      </c>
      <c r="BB204" s="2846">
        <f t="shared" ca="1" si="61"/>
        <v>4.8856000000000002</v>
      </c>
      <c r="BC204" s="2846">
        <f t="shared" ca="1" si="61"/>
        <v>6.5856000000000003</v>
      </c>
      <c r="BD204" s="2846">
        <f t="shared" ca="1" si="61"/>
        <v>7.5856000000000003</v>
      </c>
      <c r="BE204" s="2846">
        <f t="shared" ca="1" si="61"/>
        <v>8.5855999999999995</v>
      </c>
      <c r="BF204" s="2846">
        <f t="shared" ca="1" si="61"/>
        <v>9.0855999999999995</v>
      </c>
      <c r="BG204" s="2846">
        <f t="shared" ca="1" si="61"/>
        <v>8.9599999999999991</v>
      </c>
      <c r="BH204" s="2846">
        <f t="shared" ca="1" si="61"/>
        <v>9.0405999999999995</v>
      </c>
      <c r="BI204" s="2846">
        <f t="shared" ca="1" si="61"/>
        <v>9.0405999999999995</v>
      </c>
      <c r="BJ204" s="194"/>
    </row>
    <row r="205" spans="2:62">
      <c r="B205" s="193"/>
      <c r="C205" s="2598" t="s">
        <v>304</v>
      </c>
      <c r="D205" s="187" t="s">
        <v>499</v>
      </c>
      <c r="E205" s="1503"/>
      <c r="F205" s="2607"/>
      <c r="G205" s="2607"/>
      <c r="H205" s="2608"/>
      <c r="I205" s="2608"/>
      <c r="J205" s="2608"/>
      <c r="K205" s="2608"/>
      <c r="L205" s="2608"/>
      <c r="M205" s="2608"/>
      <c r="N205" s="2608"/>
      <c r="O205" s="2608"/>
      <c r="P205" s="2608"/>
      <c r="Q205" s="2608"/>
      <c r="R205" s="2608"/>
      <c r="S205" s="2608"/>
      <c r="T205" s="2608"/>
      <c r="U205" s="2608"/>
      <c r="V205" s="2608"/>
      <c r="W205" s="2608"/>
      <c r="X205" s="2608"/>
      <c r="Y205" s="2608"/>
      <c r="Z205" s="2608"/>
      <c r="AA205" s="2608"/>
      <c r="AB205" s="2608"/>
      <c r="AC205" s="2608"/>
      <c r="AD205" s="2608"/>
      <c r="AE205" s="2608"/>
      <c r="AF205" s="2608"/>
      <c r="AG205" s="2608"/>
      <c r="AH205" s="2608"/>
      <c r="AI205" s="2608"/>
      <c r="AJ205" s="2608"/>
      <c r="AK205" s="2608"/>
      <c r="AL205" s="2608"/>
      <c r="AM205" s="2608"/>
      <c r="AN205" s="2608"/>
      <c r="AO205" s="2608"/>
      <c r="AP205" s="2608"/>
      <c r="AQ205" s="2608"/>
      <c r="AR205" s="2608"/>
      <c r="AS205" s="2608"/>
      <c r="AT205" s="2608"/>
      <c r="AU205" s="2608"/>
      <c r="AV205" s="2608"/>
      <c r="AW205" s="2608"/>
      <c r="AX205" s="1503"/>
      <c r="AY205" s="2846">
        <f t="shared" ca="1" si="61"/>
        <v>1.0101398712196108</v>
      </c>
      <c r="AZ205" s="2846"/>
      <c r="BA205" s="2846">
        <f t="shared" ca="1" si="61"/>
        <v>1.3896660392425277</v>
      </c>
      <c r="BB205" s="2846">
        <f t="shared" ca="1" si="61"/>
        <v>1.5855498160506503</v>
      </c>
      <c r="BC205" s="2846">
        <f t="shared" ca="1" si="61"/>
        <v>1.7814335928587721</v>
      </c>
      <c r="BD205" s="2846">
        <f t="shared" ca="1" si="61"/>
        <v>1.9773173696668951</v>
      </c>
      <c r="BE205" s="2846">
        <f t="shared" ca="1" si="61"/>
        <v>2.1732011464750176</v>
      </c>
      <c r="BF205" s="2846">
        <f t="shared" ca="1" si="61"/>
        <v>2.3690849232831392</v>
      </c>
      <c r="BG205" s="2846">
        <f t="shared" ca="1" si="61"/>
        <v>2.5649687000912622</v>
      </c>
      <c r="BH205" s="2846">
        <f t="shared" ca="1" si="61"/>
        <v>2.7608524768993843</v>
      </c>
      <c r="BI205" s="2846">
        <f t="shared" ca="1" si="61"/>
        <v>2.9567362537075064</v>
      </c>
      <c r="BJ205" s="194"/>
    </row>
    <row r="206" spans="2:62">
      <c r="B206" s="193"/>
      <c r="C206" s="2598" t="s">
        <v>296</v>
      </c>
      <c r="D206" s="187" t="str">
        <f>INDEX(Modules[Module], MATCH($C206, Modules[Code], 0))</f>
        <v>Waste to Electricity</v>
      </c>
      <c r="E206" s="1503"/>
      <c r="F206" s="2607"/>
      <c r="G206" s="2607"/>
      <c r="H206" s="2608"/>
      <c r="I206" s="2608"/>
      <c r="J206" s="2608"/>
      <c r="K206" s="2608"/>
      <c r="L206" s="2608"/>
      <c r="M206" s="2608"/>
      <c r="N206" s="2608"/>
      <c r="O206" s="2608"/>
      <c r="P206" s="2608"/>
      <c r="Q206" s="2608"/>
      <c r="R206" s="2608"/>
      <c r="S206" s="2608"/>
      <c r="T206" s="2608"/>
      <c r="U206" s="2608"/>
      <c r="V206" s="2608"/>
      <c r="W206" s="2608"/>
      <c r="X206" s="2608"/>
      <c r="Y206" s="2608"/>
      <c r="Z206" s="2608"/>
      <c r="AA206" s="2608"/>
      <c r="AB206" s="2608"/>
      <c r="AC206" s="2608"/>
      <c r="AD206" s="2608"/>
      <c r="AE206" s="2608"/>
      <c r="AF206" s="2608"/>
      <c r="AG206" s="2608"/>
      <c r="AH206" s="2608"/>
      <c r="AI206" s="2608"/>
      <c r="AJ206" s="2608"/>
      <c r="AK206" s="2608"/>
      <c r="AL206" s="2608"/>
      <c r="AM206" s="2608"/>
      <c r="AN206" s="2608"/>
      <c r="AO206" s="2608"/>
      <c r="AP206" s="2608"/>
      <c r="AQ206" s="2608"/>
      <c r="AR206" s="2608"/>
      <c r="AS206" s="2608"/>
      <c r="AT206" s="2608"/>
      <c r="AU206" s="2608"/>
      <c r="AV206" s="2608"/>
      <c r="AW206" s="2608" t="s">
        <v>1162</v>
      </c>
      <c r="AX206" s="1503"/>
      <c r="AY206" s="2846">
        <f t="shared" ca="1" si="61"/>
        <v>0</v>
      </c>
      <c r="AZ206" s="2846"/>
      <c r="BA206" s="2846">
        <f t="shared" ca="1" si="61"/>
        <v>0</v>
      </c>
      <c r="BB206" s="2846">
        <f t="shared" ca="1" si="61"/>
        <v>0</v>
      </c>
      <c r="BC206" s="2846">
        <f t="shared" ca="1" si="61"/>
        <v>0</v>
      </c>
      <c r="BD206" s="2846">
        <f t="shared" ca="1" si="61"/>
        <v>0</v>
      </c>
      <c r="BE206" s="2846">
        <f t="shared" ca="1" si="61"/>
        <v>0</v>
      </c>
      <c r="BF206" s="2846">
        <f t="shared" ca="1" si="61"/>
        <v>0</v>
      </c>
      <c r="BG206" s="2846">
        <f t="shared" ca="1" si="61"/>
        <v>0</v>
      </c>
      <c r="BH206" s="2846">
        <f t="shared" ca="1" si="61"/>
        <v>0</v>
      </c>
      <c r="BI206" s="2846">
        <f t="shared" ca="1" si="61"/>
        <v>0</v>
      </c>
      <c r="BJ206" s="194"/>
    </row>
    <row r="207" spans="2:62">
      <c r="B207" s="193"/>
      <c r="C207" s="2598"/>
      <c r="D207" s="2598"/>
      <c r="E207" s="1503"/>
      <c r="F207" s="2598"/>
      <c r="G207" s="2598"/>
      <c r="H207" s="2612"/>
      <c r="I207" s="2612"/>
      <c r="J207" s="2612"/>
      <c r="K207" s="2612"/>
      <c r="L207" s="2612"/>
      <c r="M207" s="2612"/>
      <c r="N207" s="2612"/>
      <c r="O207" s="2612"/>
      <c r="P207" s="2612"/>
      <c r="Q207" s="2612"/>
      <c r="R207" s="2612"/>
      <c r="S207" s="2612"/>
      <c r="T207" s="2612"/>
      <c r="U207" s="2612"/>
      <c r="V207" s="2612"/>
      <c r="W207" s="2612"/>
      <c r="X207" s="2612"/>
      <c r="Y207" s="2612"/>
      <c r="Z207" s="2612"/>
      <c r="AA207" s="2612"/>
      <c r="AB207" s="2612"/>
      <c r="AC207" s="2612"/>
      <c r="AD207" s="2612"/>
      <c r="AE207" s="2612"/>
      <c r="AF207" s="2612"/>
      <c r="AG207" s="2612"/>
      <c r="AH207" s="2612"/>
      <c r="AI207" s="2612"/>
      <c r="AJ207" s="2612"/>
      <c r="AK207" s="2612"/>
      <c r="AL207" s="2612"/>
      <c r="AM207" s="2612"/>
      <c r="AN207" s="2612"/>
      <c r="AO207" s="2612"/>
      <c r="AP207" s="2612"/>
      <c r="AQ207" s="2612"/>
      <c r="AR207" s="2612"/>
      <c r="AS207" s="2612"/>
      <c r="AT207" s="2612"/>
      <c r="AU207" s="2612"/>
      <c r="AV207" s="2612"/>
      <c r="AW207" s="2612"/>
      <c r="AX207" s="1503"/>
      <c r="AY207" s="2846">
        <f t="shared" ca="1" si="61"/>
        <v>0</v>
      </c>
      <c r="AZ207" s="2846"/>
      <c r="BA207" s="2846">
        <f t="shared" ca="1" si="61"/>
        <v>0</v>
      </c>
      <c r="BB207" s="2846">
        <f t="shared" ca="1" si="61"/>
        <v>0</v>
      </c>
      <c r="BC207" s="2846">
        <f t="shared" ca="1" si="61"/>
        <v>0</v>
      </c>
      <c r="BD207" s="2846">
        <f t="shared" ca="1" si="61"/>
        <v>0</v>
      </c>
      <c r="BE207" s="2846">
        <f t="shared" ca="1" si="61"/>
        <v>0</v>
      </c>
      <c r="BF207" s="2846">
        <f t="shared" ca="1" si="61"/>
        <v>0</v>
      </c>
      <c r="BG207" s="2846">
        <f t="shared" ca="1" si="61"/>
        <v>0</v>
      </c>
      <c r="BH207" s="2846">
        <f t="shared" ca="1" si="61"/>
        <v>0</v>
      </c>
      <c r="BI207" s="2846">
        <f t="shared" ca="1" si="61"/>
        <v>0</v>
      </c>
      <c r="BJ207" s="194"/>
    </row>
    <row r="208" spans="2:62">
      <c r="B208" s="193"/>
      <c r="C208" s="2598" t="s">
        <v>267</v>
      </c>
      <c r="D208" s="2598" t="s">
        <v>1163</v>
      </c>
      <c r="E208" s="1503"/>
      <c r="F208" s="2598"/>
      <c r="G208" s="2598"/>
      <c r="H208" s="2612"/>
      <c r="I208" s="2612"/>
      <c r="J208" s="2612"/>
      <c r="K208" s="2612"/>
      <c r="L208" s="2612"/>
      <c r="M208" s="2612"/>
      <c r="N208" s="2612"/>
      <c r="O208" s="2612"/>
      <c r="P208" s="2612"/>
      <c r="Q208" s="2612"/>
      <c r="R208" s="2612"/>
      <c r="S208" s="2612"/>
      <c r="T208" s="2612"/>
      <c r="U208" s="2612"/>
      <c r="V208" s="2612"/>
      <c r="W208" s="2612"/>
      <c r="X208" s="2612"/>
      <c r="Y208" s="2612"/>
      <c r="Z208" s="2612"/>
      <c r="AA208" s="2612"/>
      <c r="AB208" s="2612"/>
      <c r="AC208" s="2612"/>
      <c r="AD208" s="2612"/>
      <c r="AE208" s="2612"/>
      <c r="AF208" s="2612"/>
      <c r="AG208" s="2612"/>
      <c r="AH208" s="2612"/>
      <c r="AI208" s="2612"/>
      <c r="AJ208" s="2612"/>
      <c r="AK208" s="2612"/>
      <c r="AL208" s="2612"/>
      <c r="AM208" s="2612"/>
      <c r="AN208" s="2612"/>
      <c r="AO208" s="2612"/>
      <c r="AP208" s="2612"/>
      <c r="AQ208" s="2612"/>
      <c r="AR208" s="2612"/>
      <c r="AS208" s="2612"/>
      <c r="AT208" s="2612"/>
      <c r="AU208" s="2612"/>
      <c r="AV208" s="2612"/>
      <c r="AW208" s="2612"/>
      <c r="AX208" s="1503"/>
      <c r="AY208" s="2846">
        <f t="shared" ca="1" si="61"/>
        <v>0</v>
      </c>
      <c r="AZ208" s="2846"/>
      <c r="BA208" s="2846">
        <f t="shared" ca="1" si="61"/>
        <v>0</v>
      </c>
      <c r="BB208" s="2846">
        <f t="shared" ca="1" si="61"/>
        <v>0</v>
      </c>
      <c r="BC208" s="2846">
        <f t="shared" ca="1" si="61"/>
        <v>0</v>
      </c>
      <c r="BD208" s="2846">
        <f t="shared" ca="1" si="61"/>
        <v>0</v>
      </c>
      <c r="BE208" s="2846">
        <f t="shared" ca="1" si="61"/>
        <v>0</v>
      </c>
      <c r="BF208" s="2846">
        <f t="shared" ca="1" si="61"/>
        <v>0</v>
      </c>
      <c r="BG208" s="2846">
        <f t="shared" ca="1" si="61"/>
        <v>0</v>
      </c>
      <c r="BH208" s="2846">
        <f t="shared" ca="1" si="61"/>
        <v>0</v>
      </c>
      <c r="BI208" s="2846">
        <f t="shared" ca="1" si="61"/>
        <v>0</v>
      </c>
      <c r="BJ208" s="194"/>
    </row>
    <row r="209" spans="1:62">
      <c r="B209" s="193"/>
      <c r="C209" s="1503"/>
      <c r="D209" s="2605" t="s">
        <v>1164</v>
      </c>
      <c r="E209" s="2605"/>
      <c r="F209" s="2605"/>
      <c r="G209" s="2605"/>
      <c r="H209" s="2613"/>
      <c r="I209" s="2613"/>
      <c r="J209" s="2613"/>
      <c r="K209" s="2613"/>
      <c r="L209" s="2613"/>
      <c r="M209" s="2613"/>
      <c r="N209" s="2613"/>
      <c r="O209" s="2613"/>
      <c r="P209" s="2613"/>
      <c r="Q209" s="2613"/>
      <c r="R209" s="2613"/>
      <c r="S209" s="2613"/>
      <c r="T209" s="2613"/>
      <c r="U209" s="2613"/>
      <c r="V209" s="2613"/>
      <c r="W209" s="2613"/>
      <c r="X209" s="2613"/>
      <c r="Y209" s="2613"/>
      <c r="Z209" s="2613"/>
      <c r="AA209" s="2613"/>
      <c r="AB209" s="2613"/>
      <c r="AC209" s="2613"/>
      <c r="AD209" s="2613"/>
      <c r="AE209" s="2613"/>
      <c r="AF209" s="2613"/>
      <c r="AG209" s="2613"/>
      <c r="AH209" s="2613"/>
      <c r="AI209" s="2613"/>
      <c r="AJ209" s="2613"/>
      <c r="AK209" s="2613"/>
      <c r="AL209" s="2613"/>
      <c r="AM209" s="2613"/>
      <c r="AN209" s="2613"/>
      <c r="AO209" s="2613"/>
      <c r="AP209" s="2613"/>
      <c r="AQ209" s="2613"/>
      <c r="AR209" s="2614">
        <f>74.996*Unit.GW</f>
        <v>74.995999999999995</v>
      </c>
      <c r="AS209" s="2614">
        <f>75.97856007*Unit.GW</f>
        <v>75.97856007</v>
      </c>
      <c r="AT209" s="2614">
        <f>76.78237735*Unit.GW</f>
        <v>76.782377350000004</v>
      </c>
      <c r="AU209" s="2614">
        <f>77.67526559*Unit.GW</f>
        <v>77.675265589999995</v>
      </c>
      <c r="AV209" s="2614">
        <f>83.19678575*Unit.GW</f>
        <v>83.196785750000004</v>
      </c>
      <c r="AW209" s="2613"/>
      <c r="AX209" s="2605"/>
      <c r="AY209" s="2847">
        <f t="shared" ref="AY209:BI209" ca="1" si="62">SUM(AY195:AY208)</f>
        <v>142.27617655781381</v>
      </c>
      <c r="AZ209" s="2847"/>
      <c r="BA209" s="2847">
        <f t="shared" ca="1" si="62"/>
        <v>187.28334242750304</v>
      </c>
      <c r="BB209" s="2847">
        <f t="shared" ca="1" si="62"/>
        <v>270.10131832710726</v>
      </c>
      <c r="BC209" s="2847">
        <f t="shared" ca="1" si="62"/>
        <v>371.16514608707422</v>
      </c>
      <c r="BD209" s="2847">
        <f t="shared" ca="1" si="62"/>
        <v>499.417473397815</v>
      </c>
      <c r="BE209" s="2847">
        <f t="shared" ca="1" si="62"/>
        <v>669.43921656016084</v>
      </c>
      <c r="BF209" s="2847">
        <f t="shared" ca="1" si="62"/>
        <v>814.53941060519344</v>
      </c>
      <c r="BG209" s="2847">
        <f t="shared" ca="1" si="62"/>
        <v>973.95034460417583</v>
      </c>
      <c r="BH209" s="2847">
        <f t="shared" ca="1" si="62"/>
        <v>1114.3624837135219</v>
      </c>
      <c r="BI209" s="2847">
        <f t="shared" ca="1" si="62"/>
        <v>1265.3242675452639</v>
      </c>
      <c r="BJ209" s="194"/>
    </row>
    <row r="210" spans="1:62">
      <c r="B210" s="193"/>
      <c r="C210" s="187"/>
      <c r="D210" s="186"/>
      <c r="E210" s="187"/>
      <c r="F210" s="2607"/>
      <c r="G210" s="2607"/>
      <c r="H210" s="2608"/>
      <c r="I210" s="2608"/>
      <c r="J210" s="2608"/>
      <c r="K210" s="2608"/>
      <c r="L210" s="2608"/>
      <c r="M210" s="2608"/>
      <c r="N210" s="2608"/>
      <c r="O210" s="2608"/>
      <c r="P210" s="2608"/>
      <c r="Q210" s="2608"/>
      <c r="R210" s="2608"/>
      <c r="S210" s="2608"/>
      <c r="T210" s="2608"/>
      <c r="U210" s="2608"/>
      <c r="V210" s="2608"/>
      <c r="W210" s="2608"/>
      <c r="X210" s="2608"/>
      <c r="Y210" s="2608"/>
      <c r="Z210" s="2608"/>
      <c r="AA210" s="2608"/>
      <c r="AB210" s="2608"/>
      <c r="AC210" s="2608"/>
      <c r="AD210" s="2608"/>
      <c r="AE210" s="2608"/>
      <c r="AF210" s="2608"/>
      <c r="AG210" s="2608"/>
      <c r="AH210" s="2608"/>
      <c r="AI210" s="2608"/>
      <c r="AJ210" s="2608"/>
      <c r="AK210" s="2608"/>
      <c r="AL210" s="2608"/>
      <c r="AM210" s="2608"/>
      <c r="AN210" s="2608"/>
      <c r="AO210" s="2608"/>
      <c r="AP210" s="2608"/>
      <c r="AQ210" s="2608"/>
      <c r="AR210" s="2608"/>
      <c r="AS210" s="2608"/>
      <c r="AT210" s="2608"/>
      <c r="AU210" s="2608"/>
      <c r="AV210" s="2608"/>
      <c r="AW210" s="2608"/>
      <c r="AX210" s="187"/>
      <c r="AY210" s="2607"/>
      <c r="AZ210" s="2607"/>
      <c r="BA210" s="2607"/>
      <c r="BB210" s="2607"/>
      <c r="BC210" s="2607"/>
      <c r="BD210" s="2607"/>
      <c r="BE210" s="2607"/>
      <c r="BF210" s="2607"/>
      <c r="BG210" s="2607"/>
      <c r="BH210" s="2607"/>
      <c r="BI210" s="2607"/>
      <c r="BJ210" s="194"/>
    </row>
    <row r="211" spans="1:62">
      <c r="B211" s="1201"/>
      <c r="H211" s="1207"/>
      <c r="I211" s="1207"/>
      <c r="J211" s="1207"/>
      <c r="K211" s="1207"/>
      <c r="L211" s="1207"/>
      <c r="M211" s="1207"/>
      <c r="N211" s="1207"/>
      <c r="O211" s="1207"/>
      <c r="P211" s="1207"/>
      <c r="Q211" s="1207"/>
      <c r="R211" s="1207"/>
      <c r="S211" s="1207"/>
      <c r="T211" s="1207"/>
      <c r="U211" s="1207"/>
      <c r="V211" s="1207"/>
      <c r="W211" s="1207"/>
      <c r="X211" s="1207"/>
      <c r="Y211" s="1207"/>
      <c r="Z211" s="1207"/>
      <c r="AA211" s="1207"/>
      <c r="AB211" s="1207"/>
      <c r="AC211" s="1207"/>
      <c r="AD211" s="1207"/>
      <c r="AE211" s="1207"/>
      <c r="AF211" s="1207"/>
      <c r="AG211" s="1207"/>
      <c r="AH211" s="1207"/>
      <c r="AI211" s="1207"/>
      <c r="AJ211" s="1207"/>
      <c r="AK211" s="1207"/>
      <c r="AL211" s="1207"/>
      <c r="AM211" s="1207"/>
      <c r="AN211" s="1207"/>
      <c r="AO211" s="1207"/>
      <c r="AP211" s="1207"/>
      <c r="AQ211" s="1207"/>
      <c r="AR211" s="1207"/>
      <c r="AS211" s="1207"/>
      <c r="AT211" s="1207"/>
      <c r="AU211" s="1207"/>
      <c r="AV211" s="1207"/>
      <c r="AW211" s="1207"/>
    </row>
    <row r="212" spans="1:62" ht="22.5">
      <c r="A212" s="420"/>
      <c r="B212" s="1208" t="s">
        <v>281</v>
      </c>
      <c r="C212" s="1209"/>
      <c r="D212" s="1209"/>
      <c r="E212" s="1209"/>
      <c r="F212" s="1209"/>
      <c r="G212" s="1209"/>
      <c r="H212" s="1210"/>
      <c r="I212" s="1210"/>
      <c r="J212" s="1210"/>
      <c r="K212" s="1210"/>
      <c r="L212" s="1210"/>
      <c r="M212" s="1210"/>
      <c r="N212" s="1210"/>
      <c r="O212" s="1210"/>
      <c r="P212" s="1210"/>
      <c r="Q212" s="1210"/>
      <c r="R212" s="1210"/>
      <c r="S212" s="1210"/>
      <c r="T212" s="1210"/>
      <c r="U212" s="1210"/>
      <c r="V212" s="1210"/>
      <c r="W212" s="1210"/>
      <c r="X212" s="1210"/>
      <c r="Y212" s="1210"/>
      <c r="Z212" s="1210"/>
      <c r="AA212" s="1210"/>
      <c r="AB212" s="1210"/>
      <c r="AC212" s="1210"/>
      <c r="AD212" s="1210"/>
      <c r="AE212" s="1210"/>
      <c r="AF212" s="1210"/>
      <c r="AG212" s="1210"/>
      <c r="AH212" s="1210"/>
      <c r="AI212" s="1210"/>
      <c r="AJ212" s="1210"/>
      <c r="AK212" s="1210"/>
      <c r="AL212" s="1210"/>
      <c r="AM212" s="1210"/>
      <c r="AN212" s="1210"/>
      <c r="AO212" s="1210"/>
      <c r="AP212" s="1210"/>
      <c r="AQ212" s="1210"/>
      <c r="AR212" s="1210"/>
      <c r="AS212" s="1210"/>
      <c r="AT212" s="1210"/>
      <c r="AU212" s="1210"/>
      <c r="AV212" s="1210"/>
      <c r="AW212" s="1210"/>
      <c r="AX212" s="1209"/>
      <c r="AY212" s="1209"/>
      <c r="AZ212" s="1209"/>
      <c r="BA212" s="1209"/>
      <c r="BB212" s="1209"/>
      <c r="BC212" s="1209"/>
      <c r="BD212" s="1209"/>
      <c r="BE212" s="1209"/>
      <c r="BF212" s="1209"/>
      <c r="BG212" s="1209"/>
      <c r="BH212" s="1209"/>
      <c r="BI212" s="1211"/>
      <c r="BJ212" s="1212"/>
    </row>
    <row r="213" spans="1:62">
      <c r="B213" s="1270"/>
      <c r="C213" s="1214"/>
      <c r="D213" s="1214"/>
      <c r="E213" s="1214"/>
      <c r="F213" s="1214"/>
      <c r="G213" s="1214"/>
      <c r="H213" s="1215"/>
      <c r="I213" s="1215"/>
      <c r="J213" s="1215"/>
      <c r="K213" s="1215"/>
      <c r="L213" s="1215"/>
      <c r="M213" s="1215"/>
      <c r="N213" s="1215"/>
      <c r="O213" s="1215"/>
      <c r="P213" s="1215"/>
      <c r="Q213" s="1215"/>
      <c r="R213" s="1215"/>
      <c r="S213" s="1215"/>
      <c r="T213" s="1215"/>
      <c r="U213" s="1215"/>
      <c r="V213" s="1215"/>
      <c r="W213" s="1215"/>
      <c r="X213" s="1215"/>
      <c r="Y213" s="1215"/>
      <c r="Z213" s="1215"/>
      <c r="AA213" s="1215"/>
      <c r="AB213" s="1215"/>
      <c r="AC213" s="1215"/>
      <c r="AD213" s="1215"/>
      <c r="AE213" s="1215"/>
      <c r="AF213" s="1215"/>
      <c r="AG213" s="1215"/>
      <c r="AH213" s="1215"/>
      <c r="AI213" s="1215"/>
      <c r="AJ213" s="1215"/>
      <c r="AK213" s="1215"/>
      <c r="AL213" s="1215"/>
      <c r="AM213" s="1215"/>
      <c r="AN213" s="1215"/>
      <c r="AO213" s="1215"/>
      <c r="AP213" s="1215"/>
      <c r="AQ213" s="1215"/>
      <c r="AR213" s="1215"/>
      <c r="AS213" s="1215"/>
      <c r="AT213" s="1215"/>
      <c r="AU213" s="1215"/>
      <c r="AV213" s="1215"/>
      <c r="AW213" s="1215"/>
      <c r="AX213" s="1214"/>
      <c r="AY213" s="1214"/>
      <c r="AZ213" s="1214"/>
      <c r="BA213" s="1214"/>
      <c r="BB213" s="1214"/>
      <c r="BC213" s="1214"/>
      <c r="BD213" s="1214"/>
      <c r="BE213" s="1214"/>
      <c r="BF213" s="1214"/>
      <c r="BG213" s="1214"/>
      <c r="BH213" s="1214"/>
      <c r="BI213" s="1216"/>
      <c r="BJ213" s="1217"/>
    </row>
    <row r="214" spans="1:62" ht="15.75">
      <c r="B214" s="2615"/>
      <c r="C214" s="1218" t="s">
        <v>1165</v>
      </c>
      <c r="D214" s="1214"/>
      <c r="E214" s="1214"/>
      <c r="F214" s="1214"/>
      <c r="G214" s="1214"/>
      <c r="H214" s="1215"/>
      <c r="I214" s="1215"/>
      <c r="J214" s="1215"/>
      <c r="K214" s="1215"/>
      <c r="L214" s="1215"/>
      <c r="M214" s="1215"/>
      <c r="N214" s="1215"/>
      <c r="O214" s="1215"/>
      <c r="P214" s="1215"/>
      <c r="Q214" s="1215"/>
      <c r="R214" s="1215"/>
      <c r="S214" s="1215"/>
      <c r="T214" s="1215"/>
      <c r="U214" s="1215"/>
      <c r="V214" s="1215"/>
      <c r="W214" s="1215"/>
      <c r="X214" s="1215"/>
      <c r="Y214" s="1215"/>
      <c r="Z214" s="1215"/>
      <c r="AA214" s="1215"/>
      <c r="AB214" s="1215"/>
      <c r="AC214" s="1215"/>
      <c r="AD214" s="1215"/>
      <c r="AE214" s="1215"/>
      <c r="AF214" s="1215"/>
      <c r="AG214" s="1215"/>
      <c r="AH214" s="1215"/>
      <c r="AI214" s="1215"/>
      <c r="AJ214" s="1215"/>
      <c r="AK214" s="1215"/>
      <c r="AL214" s="1215"/>
      <c r="AM214" s="1215"/>
      <c r="AN214" s="1215"/>
      <c r="AO214" s="1215"/>
      <c r="AP214" s="1215"/>
      <c r="AQ214" s="1215"/>
      <c r="AR214" s="1215"/>
      <c r="AS214" s="1215"/>
      <c r="AT214" s="1215"/>
      <c r="AU214" s="1215"/>
      <c r="AV214" s="1215"/>
      <c r="AW214" s="1215"/>
      <c r="AX214" s="1214"/>
      <c r="AY214" s="1214"/>
      <c r="AZ214" s="1214"/>
      <c r="BA214" s="1214"/>
      <c r="BB214" s="1214"/>
      <c r="BC214" s="1214"/>
      <c r="BD214" s="1214"/>
      <c r="BE214" s="1214"/>
      <c r="BF214" s="1214"/>
      <c r="BG214" s="1214"/>
      <c r="BH214" s="1214"/>
      <c r="BI214" s="1216"/>
      <c r="BJ214" s="1217"/>
    </row>
    <row r="215" spans="1:62" ht="15.75">
      <c r="B215" s="1213"/>
      <c r="C215" s="1214"/>
      <c r="D215" s="1220" t="s">
        <v>337</v>
      </c>
      <c r="E215" s="1214"/>
      <c r="F215" s="1214" t="s">
        <v>1166</v>
      </c>
      <c r="G215" s="1214"/>
      <c r="H215" s="1215"/>
      <c r="I215" s="1215"/>
      <c r="J215" s="1215"/>
      <c r="K215" s="1215"/>
      <c r="L215" s="1215"/>
      <c r="M215" s="1215"/>
      <c r="N215" s="1215"/>
      <c r="O215" s="1215"/>
      <c r="P215" s="1215"/>
      <c r="Q215" s="1215"/>
      <c r="R215" s="1215"/>
      <c r="S215" s="1215"/>
      <c r="T215" s="1215"/>
      <c r="U215" s="1215"/>
      <c r="V215" s="1215"/>
      <c r="W215" s="1215"/>
      <c r="X215" s="1215"/>
      <c r="Y215" s="1215"/>
      <c r="Z215" s="1215"/>
      <c r="AA215" s="1215"/>
      <c r="AB215" s="1215"/>
      <c r="AC215" s="1215"/>
      <c r="AD215" s="1215"/>
      <c r="AE215" s="1215"/>
      <c r="AF215" s="1215"/>
      <c r="AG215" s="1215"/>
      <c r="AH215" s="1215"/>
      <c r="AI215" s="1215"/>
      <c r="AJ215" s="1215"/>
      <c r="AK215" s="1215"/>
      <c r="AL215" s="1215"/>
      <c r="AM215" s="1215"/>
      <c r="AN215" s="1215"/>
      <c r="AO215" s="1215"/>
      <c r="AP215" s="1215"/>
      <c r="AQ215" s="1215"/>
      <c r="AR215" s="1215"/>
      <c r="AS215" s="1215"/>
      <c r="AT215" s="1215"/>
      <c r="AU215" s="1215"/>
      <c r="AV215" s="1215"/>
      <c r="AW215" s="1215"/>
      <c r="AX215" s="1214"/>
      <c r="AY215" s="2405">
        <v>2007</v>
      </c>
      <c r="AZ215" s="2405"/>
      <c r="BA215" s="2405">
        <f>AY215+5</f>
        <v>2012</v>
      </c>
      <c r="BB215" s="2405">
        <f t="shared" ref="BB215:BI215" si="63">BA215+5</f>
        <v>2017</v>
      </c>
      <c r="BC215" s="2405">
        <f t="shared" si="63"/>
        <v>2022</v>
      </c>
      <c r="BD215" s="2405">
        <f t="shared" si="63"/>
        <v>2027</v>
      </c>
      <c r="BE215" s="2405">
        <f t="shared" si="63"/>
        <v>2032</v>
      </c>
      <c r="BF215" s="2405">
        <f t="shared" si="63"/>
        <v>2037</v>
      </c>
      <c r="BG215" s="2405">
        <f t="shared" si="63"/>
        <v>2042</v>
      </c>
      <c r="BH215" s="2405">
        <f t="shared" si="63"/>
        <v>2047</v>
      </c>
      <c r="BI215" s="2405">
        <f t="shared" si="63"/>
        <v>2052</v>
      </c>
      <c r="BJ215" s="1217"/>
    </row>
    <row r="216" spans="1:62" s="410" customFormat="1" ht="15.75">
      <c r="B216" s="1213"/>
      <c r="C216" s="1222" t="s">
        <v>359</v>
      </c>
      <c r="D216" s="1223" t="str">
        <f>INDEX(IPCC[Sector_description], MATCH($C216, IPCC[Sector_code], 0))</f>
        <v>Fuel Combustion</v>
      </c>
      <c r="E216" s="1214"/>
      <c r="F216" s="1224"/>
      <c r="G216" s="1224"/>
      <c r="H216" s="1225"/>
      <c r="I216" s="1225"/>
      <c r="J216" s="1225"/>
      <c r="K216" s="1225"/>
      <c r="L216" s="1225"/>
      <c r="M216" s="1225"/>
      <c r="N216" s="1225"/>
      <c r="O216" s="1225"/>
      <c r="P216" s="1225"/>
      <c r="Q216" s="1225"/>
      <c r="R216" s="1225"/>
      <c r="S216" s="1225"/>
      <c r="T216" s="1225"/>
      <c r="U216" s="1225"/>
      <c r="V216" s="1225"/>
      <c r="W216" s="1225"/>
      <c r="X216" s="1225"/>
      <c r="Y216" s="1225"/>
      <c r="Z216" s="1225"/>
      <c r="AA216" s="1225"/>
      <c r="AB216" s="1225"/>
      <c r="AC216" s="1225"/>
      <c r="AD216" s="1225"/>
      <c r="AE216" s="1225"/>
      <c r="AF216" s="1225"/>
      <c r="AG216" s="1225"/>
      <c r="AH216" s="1225"/>
      <c r="AI216" s="1225"/>
      <c r="AJ216" s="1225"/>
      <c r="AK216" s="1225"/>
      <c r="AL216" s="1225"/>
      <c r="AM216" s="1225"/>
      <c r="AN216" s="1225"/>
      <c r="AO216" s="1225"/>
      <c r="AP216" s="1225"/>
      <c r="AQ216" s="1225"/>
      <c r="AR216" s="1225"/>
      <c r="AS216" s="1225"/>
      <c r="AT216" s="1225"/>
      <c r="AU216" s="1225"/>
      <c r="AV216" s="1225"/>
      <c r="AW216" s="1225"/>
      <c r="AX216" s="1226"/>
      <c r="AY216" s="1224"/>
      <c r="AZ216" s="1224"/>
      <c r="BA216" s="1224"/>
      <c r="BB216" s="1224"/>
      <c r="BC216" s="1224"/>
      <c r="BD216" s="1224"/>
      <c r="BE216" s="1224"/>
      <c r="BF216" s="1224"/>
      <c r="BG216" s="1224"/>
      <c r="BH216" s="1224"/>
      <c r="BI216" s="1224"/>
      <c r="BJ216" s="1227"/>
    </row>
    <row r="217" spans="1:62" s="410" customFormat="1">
      <c r="B217" s="1219"/>
      <c r="C217" s="1222" t="s">
        <v>358</v>
      </c>
      <c r="D217" s="1223" t="str">
        <f>INDEX(IPCC[Sector_description], MATCH($C217, IPCC[Sector_code], 0))</f>
        <v>Fugitive Emissions from Fuels</v>
      </c>
      <c r="E217" s="1214"/>
      <c r="F217" s="1224"/>
      <c r="G217" s="1224"/>
      <c r="H217" s="1225"/>
      <c r="I217" s="1225"/>
      <c r="J217" s="1225"/>
      <c r="K217" s="1225"/>
      <c r="L217" s="1225"/>
      <c r="M217" s="1225"/>
      <c r="N217" s="1225"/>
      <c r="O217" s="1225"/>
      <c r="P217" s="1225"/>
      <c r="Q217" s="1225"/>
      <c r="R217" s="1225"/>
      <c r="S217" s="1225"/>
      <c r="T217" s="1225"/>
      <c r="U217" s="1225"/>
      <c r="V217" s="1225"/>
      <c r="W217" s="1225"/>
      <c r="X217" s="1225"/>
      <c r="Y217" s="1225"/>
      <c r="Z217" s="1225"/>
      <c r="AA217" s="1225"/>
      <c r="AB217" s="1225"/>
      <c r="AC217" s="1225"/>
      <c r="AD217" s="1225"/>
      <c r="AE217" s="1225"/>
      <c r="AF217" s="1225"/>
      <c r="AG217" s="1225"/>
      <c r="AH217" s="1225"/>
      <c r="AI217" s="1225"/>
      <c r="AJ217" s="1225"/>
      <c r="AK217" s="1225"/>
      <c r="AL217" s="1225"/>
      <c r="AM217" s="1225"/>
      <c r="AN217" s="1225"/>
      <c r="AO217" s="1225"/>
      <c r="AP217" s="1225"/>
      <c r="AQ217" s="1225"/>
      <c r="AR217" s="1225"/>
      <c r="AS217" s="1225"/>
      <c r="AT217" s="1225"/>
      <c r="AU217" s="1225"/>
      <c r="AV217" s="1225"/>
      <c r="AW217" s="1225"/>
      <c r="AX217" s="1226"/>
      <c r="AY217" s="1224"/>
      <c r="AZ217" s="1224"/>
      <c r="BA217" s="1224"/>
      <c r="BB217" s="1224"/>
      <c r="BC217" s="1224"/>
      <c r="BD217" s="1224"/>
      <c r="BE217" s="1224"/>
      <c r="BF217" s="1224"/>
      <c r="BG217" s="1224"/>
      <c r="BH217" s="1224"/>
      <c r="BI217" s="1224"/>
      <c r="BJ217" s="1227"/>
    </row>
    <row r="218" spans="1:62">
      <c r="B218" s="1221"/>
      <c r="C218" s="1216">
        <v>1</v>
      </c>
      <c r="D218" s="1214" t="s">
        <v>338</v>
      </c>
      <c r="E218" s="1214"/>
      <c r="F218" s="1228"/>
      <c r="G218" s="1228"/>
      <c r="H218" s="1229"/>
      <c r="I218" s="1229"/>
      <c r="J218" s="1229"/>
      <c r="K218" s="1229"/>
      <c r="L218" s="1229"/>
      <c r="M218" s="1229"/>
      <c r="N218" s="1229"/>
      <c r="O218" s="1229"/>
      <c r="P218" s="1229"/>
      <c r="Q218" s="1229"/>
      <c r="R218" s="1229"/>
      <c r="S218" s="1229"/>
      <c r="T218" s="1229"/>
      <c r="U218" s="1229"/>
      <c r="V218" s="1229"/>
      <c r="W218" s="1229"/>
      <c r="X218" s="1229"/>
      <c r="Y218" s="1229"/>
      <c r="Z218" s="1229"/>
      <c r="AA218" s="1229"/>
      <c r="AB218" s="1229">
        <v>0.78066850625951545</v>
      </c>
      <c r="AC218" s="1229">
        <v>0.79303032723652089</v>
      </c>
      <c r="AD218" s="1229">
        <v>0.77229474496121564</v>
      </c>
      <c r="AE218" s="1229">
        <v>0.75219303835350082</v>
      </c>
      <c r="AF218" s="1229">
        <v>0.73578695789033777</v>
      </c>
      <c r="AG218" s="1229">
        <v>0.72618905012488555</v>
      </c>
      <c r="AH218" s="1229">
        <v>0.75184873958975085</v>
      </c>
      <c r="AI218" s="1229">
        <v>0.7201784237664568</v>
      </c>
      <c r="AJ218" s="1229">
        <v>0.72246178516056581</v>
      </c>
      <c r="AK218" s="1229">
        <v>0.70814678962938948</v>
      </c>
      <c r="AL218" s="1229">
        <v>0.71655214236841402</v>
      </c>
      <c r="AM218" s="1229">
        <v>0.73278215409989189</v>
      </c>
      <c r="AN218" s="1229">
        <v>0.71153756146931657</v>
      </c>
      <c r="AO218" s="1229">
        <v>0.71934758940799959</v>
      </c>
      <c r="AP218" s="1229">
        <v>0.7205408426019051</v>
      </c>
      <c r="AQ218" s="1229">
        <v>0.71432030961912574</v>
      </c>
      <c r="AR218" s="1229">
        <v>0.71223664220202376</v>
      </c>
      <c r="AS218" s="1229">
        <v>0.70043942142568083</v>
      </c>
      <c r="AT218" s="1229">
        <v>0.68490768791088796</v>
      </c>
      <c r="AU218" s="1229">
        <v>0.6244815767662123</v>
      </c>
      <c r="AV218" s="1229">
        <v>0.64593798340147146</v>
      </c>
      <c r="AW218" s="1229" t="s">
        <v>1167</v>
      </c>
      <c r="AX218" s="1230"/>
      <c r="AY218" s="1228"/>
      <c r="AZ218" s="1228"/>
      <c r="BA218" s="1228"/>
      <c r="BB218" s="1228"/>
      <c r="BC218" s="1228"/>
      <c r="BD218" s="1228"/>
      <c r="BE218" s="1228"/>
      <c r="BF218" s="1228"/>
      <c r="BG218" s="1228"/>
      <c r="BH218" s="1228"/>
      <c r="BI218" s="1228"/>
      <c r="BJ218" s="1217"/>
    </row>
    <row r="219" spans="1:62">
      <c r="B219" s="1221"/>
      <c r="C219" s="1216">
        <v>2</v>
      </c>
      <c r="D219" s="1223" t="str">
        <f>INDEX(IPCC[Sector_description], MATCH($C219, IPCC[Sector_code], 0))</f>
        <v>Industrial Processes</v>
      </c>
      <c r="E219" s="1214"/>
      <c r="F219" s="1228"/>
      <c r="G219" s="1228"/>
      <c r="H219" s="1229"/>
      <c r="I219" s="1229"/>
      <c r="J219" s="1229"/>
      <c r="K219" s="1229"/>
      <c r="L219" s="1229"/>
      <c r="M219" s="1229"/>
      <c r="N219" s="1229"/>
      <c r="O219" s="1229"/>
      <c r="P219" s="1229"/>
      <c r="Q219" s="1229"/>
      <c r="R219" s="1229"/>
      <c r="S219" s="1229"/>
      <c r="T219" s="1229"/>
      <c r="U219" s="1229"/>
      <c r="V219" s="1229"/>
      <c r="W219" s="1229"/>
      <c r="X219" s="1229"/>
      <c r="Y219" s="1229"/>
      <c r="Z219" s="1229"/>
      <c r="AA219" s="1229"/>
      <c r="AB219" s="1229">
        <v>6.9343482807534051E-2</v>
      </c>
      <c r="AC219" s="1229">
        <v>6.7201527667633432E-2</v>
      </c>
      <c r="AD219" s="1229">
        <v>6.0308740452555097E-2</v>
      </c>
      <c r="AE219" s="1229">
        <v>5.6069512654103593E-2</v>
      </c>
      <c r="AF219" s="1229">
        <v>5.9165018025826376E-2</v>
      </c>
      <c r="AG219" s="1229">
        <v>5.9469343411300474E-2</v>
      </c>
      <c r="AH219" s="1229">
        <v>6.1733706747177049E-2</v>
      </c>
      <c r="AI219" s="1229">
        <v>6.4683540079197119E-2</v>
      </c>
      <c r="AJ219" s="1229">
        <v>6.2693305864124527E-2</v>
      </c>
      <c r="AK219" s="1229">
        <v>4.1484572634347024E-2</v>
      </c>
      <c r="AL219" s="1229">
        <v>4.0566075608118368E-2</v>
      </c>
      <c r="AM219" s="1229">
        <v>3.8537288721952778E-2</v>
      </c>
      <c r="AN219" s="1229">
        <v>3.6084162089292063E-2</v>
      </c>
      <c r="AO219" s="1229">
        <v>3.8452603774106871E-2</v>
      </c>
      <c r="AP219" s="1229">
        <v>3.8792365320695729E-2</v>
      </c>
      <c r="AQ219" s="1229">
        <v>3.9211455411346581E-2</v>
      </c>
      <c r="AR219" s="1229">
        <v>3.8325588591845497E-2</v>
      </c>
      <c r="AS219" s="1229">
        <v>4.0488700222144139E-2</v>
      </c>
      <c r="AT219" s="1229">
        <v>3.944535219725577E-2</v>
      </c>
      <c r="AU219" s="1229">
        <v>3.2628142935156007E-2</v>
      </c>
      <c r="AV219" s="1229">
        <v>3.4335202352544399E-2</v>
      </c>
      <c r="AW219" s="1229" t="s">
        <v>1167</v>
      </c>
      <c r="AX219" s="1230"/>
      <c r="AY219" s="1228"/>
      <c r="AZ219" s="1228"/>
      <c r="BA219" s="1228"/>
      <c r="BB219" s="1228"/>
      <c r="BC219" s="1228"/>
      <c r="BD219" s="1228"/>
      <c r="BE219" s="1228"/>
      <c r="BF219" s="1228"/>
      <c r="BG219" s="1228"/>
      <c r="BH219" s="1228"/>
      <c r="BI219" s="1228"/>
      <c r="BJ219" s="1217"/>
    </row>
    <row r="220" spans="1:62">
      <c r="B220" s="1219"/>
      <c r="C220" s="1216">
        <v>3</v>
      </c>
      <c r="D220" s="1223" t="str">
        <f>INDEX(IPCC[Sector_description], MATCH($C220, IPCC[Sector_code], 0))</f>
        <v>Solvent and Other Product Use</v>
      </c>
      <c r="E220" s="1214"/>
      <c r="F220" s="1228"/>
      <c r="G220" s="1228"/>
      <c r="H220" s="1229"/>
      <c r="I220" s="1229"/>
      <c r="J220" s="1229"/>
      <c r="K220" s="1229"/>
      <c r="L220" s="1229"/>
      <c r="M220" s="1229"/>
      <c r="N220" s="1229"/>
      <c r="O220" s="1229"/>
      <c r="P220" s="1229"/>
      <c r="Q220" s="1229"/>
      <c r="R220" s="1229"/>
      <c r="S220" s="1229"/>
      <c r="T220" s="1229"/>
      <c r="U220" s="1229"/>
      <c r="V220" s="1229"/>
      <c r="W220" s="1229"/>
      <c r="X220" s="1229"/>
      <c r="Y220" s="1229"/>
      <c r="Z220" s="1229"/>
      <c r="AA220" s="1229"/>
      <c r="AB220" s="1229">
        <v>0</v>
      </c>
      <c r="AC220" s="1229">
        <v>0</v>
      </c>
      <c r="AD220" s="1229">
        <v>0</v>
      </c>
      <c r="AE220" s="1229">
        <v>0</v>
      </c>
      <c r="AF220" s="1229">
        <v>0</v>
      </c>
      <c r="AG220" s="1229">
        <v>0</v>
      </c>
      <c r="AH220" s="1229">
        <v>0</v>
      </c>
      <c r="AI220" s="1229">
        <v>0</v>
      </c>
      <c r="AJ220" s="1229">
        <v>0</v>
      </c>
      <c r="AK220" s="1229">
        <v>0</v>
      </c>
      <c r="AL220" s="1229">
        <v>0</v>
      </c>
      <c r="AM220" s="1229">
        <v>0</v>
      </c>
      <c r="AN220" s="1229">
        <v>0</v>
      </c>
      <c r="AO220" s="1229">
        <v>0</v>
      </c>
      <c r="AP220" s="1229">
        <v>0</v>
      </c>
      <c r="AQ220" s="1229">
        <v>0</v>
      </c>
      <c r="AR220" s="1229">
        <v>0</v>
      </c>
      <c r="AS220" s="1229">
        <v>0</v>
      </c>
      <c r="AT220" s="1229">
        <v>0</v>
      </c>
      <c r="AU220" s="1229">
        <v>0</v>
      </c>
      <c r="AV220" s="1229">
        <v>0</v>
      </c>
      <c r="AW220" s="1229" t="s">
        <v>1167</v>
      </c>
      <c r="AX220" s="1230"/>
      <c r="AY220" s="1228"/>
      <c r="AZ220" s="1228"/>
      <c r="BA220" s="1228"/>
      <c r="BB220" s="1228"/>
      <c r="BC220" s="1228"/>
      <c r="BD220" s="1228"/>
      <c r="BE220" s="1228"/>
      <c r="BF220" s="1228"/>
      <c r="BG220" s="1228"/>
      <c r="BH220" s="1228"/>
      <c r="BI220" s="1228"/>
      <c r="BJ220" s="1217"/>
    </row>
    <row r="221" spans="1:62">
      <c r="B221" s="1219"/>
      <c r="C221" s="1216">
        <v>4</v>
      </c>
      <c r="D221" s="1223" t="str">
        <f>INDEX(IPCC[Sector_description], MATCH($C221, IPCC[Sector_code], 0))</f>
        <v>Agriculture</v>
      </c>
      <c r="E221" s="1214"/>
      <c r="F221" s="1228"/>
      <c r="G221" s="1228"/>
      <c r="H221" s="1229"/>
      <c r="I221" s="1229"/>
      <c r="J221" s="1229"/>
      <c r="K221" s="1229"/>
      <c r="L221" s="1229"/>
      <c r="M221" s="1229"/>
      <c r="N221" s="1229"/>
      <c r="O221" s="1229"/>
      <c r="P221" s="1229"/>
      <c r="Q221" s="1229"/>
      <c r="R221" s="1229"/>
      <c r="S221" s="1229"/>
      <c r="T221" s="1229"/>
      <c r="U221" s="1229"/>
      <c r="V221" s="1229"/>
      <c r="W221" s="1229"/>
      <c r="X221" s="1229"/>
      <c r="Y221" s="1229"/>
      <c r="Z221" s="1229"/>
      <c r="AA221" s="1229"/>
      <c r="AB221" s="1229">
        <v>7.3637270562884535E-2</v>
      </c>
      <c r="AC221" s="1229">
        <v>7.3310664211066273E-2</v>
      </c>
      <c r="AD221" s="1229">
        <v>7.307789942306385E-2</v>
      </c>
      <c r="AE221" s="1229">
        <v>7.2162383125488991E-2</v>
      </c>
      <c r="AF221" s="1229">
        <v>7.233251461154927E-2</v>
      </c>
      <c r="AG221" s="1229">
        <v>7.1795116577178519E-2</v>
      </c>
      <c r="AH221" s="1229">
        <v>7.2276188394337998E-2</v>
      </c>
      <c r="AI221" s="1229">
        <v>7.1970485076200019E-2</v>
      </c>
      <c r="AJ221" s="1229">
        <v>7.1155859245786351E-2</v>
      </c>
      <c r="AK221" s="1229">
        <v>7.0293139708563074E-2</v>
      </c>
      <c r="AL221" s="1229">
        <v>6.7735970284910393E-2</v>
      </c>
      <c r="AM221" s="1229">
        <v>6.4151762853967925E-2</v>
      </c>
      <c r="AN221" s="1229">
        <v>6.4131985916650897E-2</v>
      </c>
      <c r="AO221" s="1229">
        <v>6.3578035995833143E-2</v>
      </c>
      <c r="AP221" s="1229">
        <v>6.3918783074347479E-2</v>
      </c>
      <c r="AQ221" s="1229">
        <v>6.4293092796044213E-2</v>
      </c>
      <c r="AR221" s="1229">
        <v>6.2203930708138899E-2</v>
      </c>
      <c r="AS221" s="1229">
        <v>6.0375061599688654E-2</v>
      </c>
      <c r="AT221" s="1229">
        <v>5.9536708630004403E-2</v>
      </c>
      <c r="AU221" s="1229">
        <v>5.8662754522045092E-2</v>
      </c>
      <c r="AV221" s="1229">
        <v>5.9166189388632114E-2</v>
      </c>
      <c r="AW221" s="1229" t="s">
        <v>1167</v>
      </c>
      <c r="AX221" s="1230"/>
      <c r="AY221" s="1228"/>
      <c r="AZ221" s="1228"/>
      <c r="BA221" s="1228"/>
      <c r="BB221" s="1228"/>
      <c r="BC221" s="1228"/>
      <c r="BD221" s="1228"/>
      <c r="BE221" s="1228"/>
      <c r="BF221" s="1228"/>
      <c r="BG221" s="1228"/>
      <c r="BH221" s="1228"/>
      <c r="BI221" s="1228"/>
      <c r="BJ221" s="1217"/>
    </row>
    <row r="222" spans="1:62">
      <c r="B222" s="1219"/>
      <c r="C222" s="1216">
        <v>5</v>
      </c>
      <c r="D222" s="1223" t="str">
        <f>INDEX(IPCC[Sector_description], MATCH($C222, IPCC[Sector_code], 0))</f>
        <v>Land Use, Land-Use Change and Forestry</v>
      </c>
      <c r="E222" s="1214"/>
      <c r="F222" s="1228"/>
      <c r="G222" s="1228"/>
      <c r="H222" s="1229"/>
      <c r="I222" s="1229"/>
      <c r="J222" s="1229"/>
      <c r="K222" s="1229"/>
      <c r="L222" s="1229"/>
      <c r="M222" s="1229"/>
      <c r="N222" s="1229"/>
      <c r="O222" s="1229"/>
      <c r="P222" s="1229"/>
      <c r="Q222" s="1229"/>
      <c r="R222" s="1229"/>
      <c r="S222" s="1229"/>
      <c r="T222" s="1229"/>
      <c r="U222" s="1229"/>
      <c r="V222" s="1229"/>
      <c r="W222" s="1229"/>
      <c r="X222" s="1229"/>
      <c r="Y222" s="1229"/>
      <c r="Z222" s="1229"/>
      <c r="AA222" s="1229"/>
      <c r="AB222" s="1229">
        <v>4.985445821672126E-3</v>
      </c>
      <c r="AC222" s="1229">
        <v>4.9541876781181602E-3</v>
      </c>
      <c r="AD222" s="1229">
        <v>4.2814993614007906E-3</v>
      </c>
      <c r="AE222" s="1229">
        <v>2.85139785334176E-3</v>
      </c>
      <c r="AF222" s="1229">
        <v>2.6295050724475699E-3</v>
      </c>
      <c r="AG222" s="1229">
        <v>3.1573278825746112E-3</v>
      </c>
      <c r="AH222" s="1229">
        <v>2.7934494919249478E-3</v>
      </c>
      <c r="AI222" s="1229">
        <v>2.4588709035687681E-3</v>
      </c>
      <c r="AJ222" s="1229">
        <v>1.5886960591720714E-3</v>
      </c>
      <c r="AK222" s="1229">
        <v>1.3600700980916927E-3</v>
      </c>
      <c r="AL222" s="1229">
        <v>4.8312545719096401E-4</v>
      </c>
      <c r="AM222" s="1229">
        <v>-1.4623827590729024E-4</v>
      </c>
      <c r="AN222" s="1229">
        <v>-1.1968507170436733E-3</v>
      </c>
      <c r="AO222" s="1229">
        <v>-1.6478975384083344E-3</v>
      </c>
      <c r="AP222" s="1229">
        <v>-3.0195909710430914E-3</v>
      </c>
      <c r="AQ222" s="1229">
        <v>-3.7712994763044764E-3</v>
      </c>
      <c r="AR222" s="1229">
        <v>-3.9659912657932167E-3</v>
      </c>
      <c r="AS222" s="1229">
        <v>-4.461209073727321E-3</v>
      </c>
      <c r="AT222" s="1229">
        <v>-4.9719007114346772E-3</v>
      </c>
      <c r="AU222" s="1229">
        <v>-5.3886085866594515E-3</v>
      </c>
      <c r="AV222" s="1229">
        <v>-4.9206320533610234E-3</v>
      </c>
      <c r="AW222" s="1229" t="s">
        <v>1167</v>
      </c>
      <c r="AX222" s="1230"/>
      <c r="AY222" s="1228"/>
      <c r="AZ222" s="1228"/>
      <c r="BA222" s="1228"/>
      <c r="BB222" s="1228"/>
      <c r="BC222" s="1228"/>
      <c r="BD222" s="1228"/>
      <c r="BE222" s="1228"/>
      <c r="BF222" s="1228"/>
      <c r="BG222" s="1228"/>
      <c r="BH222" s="1228"/>
      <c r="BI222" s="1228"/>
      <c r="BJ222" s="1217"/>
    </row>
    <row r="223" spans="1:62">
      <c r="B223" s="1219"/>
      <c r="C223" s="1216">
        <v>6</v>
      </c>
      <c r="D223" s="1223" t="str">
        <f>INDEX(IPCC[Sector_description], MATCH($C223, IPCC[Sector_code], 0))</f>
        <v>Waste</v>
      </c>
      <c r="E223" s="1214"/>
      <c r="F223" s="1228"/>
      <c r="G223" s="1228"/>
      <c r="H223" s="1229"/>
      <c r="I223" s="1229"/>
      <c r="J223" s="1229"/>
      <c r="K223" s="1229"/>
      <c r="L223" s="1229"/>
      <c r="M223" s="1229"/>
      <c r="N223" s="1229"/>
      <c r="O223" s="1229"/>
      <c r="P223" s="1229"/>
      <c r="Q223" s="1229"/>
      <c r="R223" s="1229"/>
      <c r="S223" s="1229"/>
      <c r="T223" s="1229"/>
      <c r="U223" s="1229"/>
      <c r="V223" s="1229"/>
      <c r="W223" s="1229"/>
      <c r="X223" s="1229"/>
      <c r="Y223" s="1229"/>
      <c r="Z223" s="1229"/>
      <c r="AA223" s="1229"/>
      <c r="AB223" s="1229">
        <v>5.891518004264519E-2</v>
      </c>
      <c r="AC223" s="1229">
        <v>5.7763754767127445E-2</v>
      </c>
      <c r="AD223" s="1229">
        <v>5.6093917262205951E-2</v>
      </c>
      <c r="AE223" s="1229">
        <v>5.429662701085268E-2</v>
      </c>
      <c r="AF223" s="1229">
        <v>5.2729999456029013E-2</v>
      </c>
      <c r="AG223" s="1229">
        <v>5.1327979005276206E-2</v>
      </c>
      <c r="AH223" s="1229">
        <v>5.0001887923747032E-2</v>
      </c>
      <c r="AI223" s="1229">
        <v>4.6033251120786184E-2</v>
      </c>
      <c r="AJ223" s="1229">
        <v>4.3417900556837259E-2</v>
      </c>
      <c r="AK223" s="1229">
        <v>3.9925678294356753E-2</v>
      </c>
      <c r="AL223" s="1229">
        <v>3.7678753821267202E-2</v>
      </c>
      <c r="AM223" s="1229">
        <v>3.3296983857234307E-2</v>
      </c>
      <c r="AN223" s="1229">
        <v>3.0624818715528856E-2</v>
      </c>
      <c r="AO223" s="1229">
        <v>2.6967867591497052E-2</v>
      </c>
      <c r="AP223" s="1229">
        <v>2.5021247166119889E-2</v>
      </c>
      <c r="AQ223" s="1229">
        <v>2.4379250511532797E-2</v>
      </c>
      <c r="AR223" s="1229">
        <v>2.3871769558427309E-2</v>
      </c>
      <c r="AS223" s="1229">
        <v>2.3398858470177794E-2</v>
      </c>
      <c r="AT223" s="1229">
        <v>2.2682335876657248E-2</v>
      </c>
      <c r="AU223" s="1229">
        <v>2.2024503390587171E-2</v>
      </c>
      <c r="AV223" s="1229">
        <v>2.1273529298134919E-2</v>
      </c>
      <c r="AW223" s="1229" t="s">
        <v>1167</v>
      </c>
      <c r="AX223" s="1230"/>
      <c r="AY223" s="1228"/>
      <c r="AZ223" s="1228"/>
      <c r="BA223" s="1228"/>
      <c r="BB223" s="1228"/>
      <c r="BC223" s="1228"/>
      <c r="BD223" s="1228"/>
      <c r="BE223" s="1228"/>
      <c r="BF223" s="1228"/>
      <c r="BG223" s="1228"/>
      <c r="BH223" s="1228"/>
      <c r="BI223" s="1228"/>
      <c r="BJ223" s="1217"/>
    </row>
    <row r="224" spans="1:62">
      <c r="B224" s="1219"/>
      <c r="C224" s="1216">
        <v>7</v>
      </c>
      <c r="D224" s="1223" t="str">
        <f>INDEX(IPCC[Sector_description], MATCH($C224, IPCC[Sector_code], 0))</f>
        <v>Other</v>
      </c>
      <c r="E224" s="1214"/>
      <c r="F224" s="1228"/>
      <c r="G224" s="1228"/>
      <c r="H224" s="1229"/>
      <c r="I224" s="1229"/>
      <c r="J224" s="1229"/>
      <c r="K224" s="1229"/>
      <c r="L224" s="1229"/>
      <c r="M224" s="1229"/>
      <c r="N224" s="1229"/>
      <c r="O224" s="1229"/>
      <c r="P224" s="1229"/>
      <c r="Q224" s="1229"/>
      <c r="R224" s="1229"/>
      <c r="S224" s="1229"/>
      <c r="T224" s="1229"/>
      <c r="U224" s="1229"/>
      <c r="V224" s="1229"/>
      <c r="W224" s="1229"/>
      <c r="X224" s="1229"/>
      <c r="Y224" s="1229"/>
      <c r="Z224" s="1229"/>
      <c r="AA224" s="1229"/>
      <c r="AB224" s="1229">
        <v>0</v>
      </c>
      <c r="AC224" s="1229">
        <v>0</v>
      </c>
      <c r="AD224" s="1229">
        <v>0</v>
      </c>
      <c r="AE224" s="1229">
        <v>0</v>
      </c>
      <c r="AF224" s="1229">
        <v>0</v>
      </c>
      <c r="AG224" s="1229">
        <v>0</v>
      </c>
      <c r="AH224" s="1229">
        <v>0</v>
      </c>
      <c r="AI224" s="1229">
        <v>0</v>
      </c>
      <c r="AJ224" s="1229">
        <v>0</v>
      </c>
      <c r="AK224" s="1229">
        <v>0</v>
      </c>
      <c r="AL224" s="1229">
        <v>0</v>
      </c>
      <c r="AM224" s="1229">
        <v>0</v>
      </c>
      <c r="AN224" s="1229">
        <v>0</v>
      </c>
      <c r="AO224" s="1229">
        <v>0</v>
      </c>
      <c r="AP224" s="1229">
        <v>0</v>
      </c>
      <c r="AQ224" s="1229">
        <v>0</v>
      </c>
      <c r="AR224" s="1229">
        <v>0</v>
      </c>
      <c r="AS224" s="1229">
        <v>0</v>
      </c>
      <c r="AT224" s="1229">
        <v>0</v>
      </c>
      <c r="AU224" s="1229">
        <v>0</v>
      </c>
      <c r="AV224" s="1229">
        <v>0</v>
      </c>
      <c r="AW224" s="1229" t="s">
        <v>1167</v>
      </c>
      <c r="AX224" s="1230"/>
      <c r="AY224" s="1228"/>
      <c r="AZ224" s="1228"/>
      <c r="BA224" s="1228"/>
      <c r="BB224" s="1228"/>
      <c r="BC224" s="1228"/>
      <c r="BD224" s="1228"/>
      <c r="BE224" s="1228"/>
      <c r="BF224" s="1228"/>
      <c r="BG224" s="1228"/>
      <c r="BH224" s="1228"/>
      <c r="BI224" s="1228"/>
      <c r="BJ224" s="1217"/>
    </row>
    <row r="225" spans="2:63">
      <c r="B225" s="1219"/>
      <c r="C225" s="1216" t="s">
        <v>345</v>
      </c>
      <c r="D225" s="1223" t="str">
        <f>INDEX(IPCC[Sector_description], MATCH($C225, IPCC[Sector_code], 0))</f>
        <v>International Aviation and Shipping</v>
      </c>
      <c r="E225" s="1214"/>
      <c r="F225" s="1228"/>
      <c r="G225" s="1228"/>
      <c r="H225" s="1229"/>
      <c r="I225" s="1229"/>
      <c r="J225" s="1229"/>
      <c r="K225" s="1229"/>
      <c r="L225" s="1229"/>
      <c r="M225" s="1229"/>
      <c r="N225" s="1229"/>
      <c r="O225" s="1229"/>
      <c r="P225" s="1229"/>
      <c r="Q225" s="1229"/>
      <c r="R225" s="1229"/>
      <c r="S225" s="1229"/>
      <c r="T225" s="1229"/>
      <c r="U225" s="1229"/>
      <c r="V225" s="1229"/>
      <c r="W225" s="1229"/>
      <c r="X225" s="1229"/>
      <c r="Y225" s="1229"/>
      <c r="Z225" s="1229"/>
      <c r="AA225" s="1229"/>
      <c r="AB225" s="1229">
        <v>3.1737423133451841E-2</v>
      </c>
      <c r="AC225" s="1229">
        <v>3.1401834014604092E-2</v>
      </c>
      <c r="AD225" s="1229">
        <v>3.370064471080534E-2</v>
      </c>
      <c r="AE225" s="1229">
        <v>3.5080277576749426E-2</v>
      </c>
      <c r="AF225" s="1229">
        <v>3.498646073499493E-2</v>
      </c>
      <c r="AG225" s="1229">
        <v>3.6854721398015496E-2</v>
      </c>
      <c r="AH225" s="1229">
        <v>3.9595940090069143E-2</v>
      </c>
      <c r="AI225" s="1229">
        <v>4.2348390762424769E-2</v>
      </c>
      <c r="AJ225" s="1229">
        <v>4.6261057726800003E-2</v>
      </c>
      <c r="AK225" s="1229">
        <v>4.5466986001059882E-2</v>
      </c>
      <c r="AL225" s="1229">
        <v>4.8153620412829522E-2</v>
      </c>
      <c r="AM225" s="1229">
        <v>4.7407544680983751E-2</v>
      </c>
      <c r="AN225" s="1229">
        <v>4.4704417121659366E-2</v>
      </c>
      <c r="AO225" s="1229">
        <v>4.6951156639025673E-2</v>
      </c>
      <c r="AP225" s="1229">
        <v>5.1755999103343713E-2</v>
      </c>
      <c r="AQ225" s="1229">
        <v>5.5831139470604634E-2</v>
      </c>
      <c r="AR225" s="1229">
        <v>5.9483094928962726E-2</v>
      </c>
      <c r="AS225" s="1229">
        <v>5.8669674297053533E-2</v>
      </c>
      <c r="AT225" s="1229">
        <v>5.902984569716286E-2</v>
      </c>
      <c r="AU225" s="1229">
        <v>5.5998995551261657E-2</v>
      </c>
      <c r="AV225" s="1229">
        <v>5.2417268836815141E-2</v>
      </c>
      <c r="AW225" s="1229" t="s">
        <v>1167</v>
      </c>
      <c r="AX225" s="1230"/>
      <c r="AY225" s="1228"/>
      <c r="AZ225" s="1228"/>
      <c r="BA225" s="1228"/>
      <c r="BB225" s="1228"/>
      <c r="BC225" s="1228"/>
      <c r="BD225" s="1228"/>
      <c r="BE225" s="1228"/>
      <c r="BF225" s="1228"/>
      <c r="BG225" s="1228"/>
      <c r="BH225" s="1228"/>
      <c r="BI225" s="1228"/>
      <c r="BJ225" s="1217"/>
    </row>
    <row r="226" spans="2:63" s="410" customFormat="1">
      <c r="B226" s="1219"/>
      <c r="C226" s="1216" t="s">
        <v>346</v>
      </c>
      <c r="D226" s="1223" t="str">
        <f>INDEX(IPCC[Sector_description], MATCH($C226, IPCC[Sector_code], 0))</f>
        <v>Bioenergy credit</v>
      </c>
      <c r="E226" s="1214"/>
      <c r="F226" s="1224"/>
      <c r="G226" s="1224"/>
      <c r="H226" s="1225"/>
      <c r="I226" s="1225"/>
      <c r="J226" s="1225"/>
      <c r="K226" s="1225"/>
      <c r="L226" s="1225"/>
      <c r="M226" s="1225"/>
      <c r="N226" s="1225"/>
      <c r="O226" s="1225"/>
      <c r="P226" s="1225"/>
      <c r="Q226" s="1225"/>
      <c r="R226" s="1225"/>
      <c r="S226" s="1225"/>
      <c r="T226" s="1225"/>
      <c r="U226" s="1225"/>
      <c r="V226" s="1225"/>
      <c r="W226" s="1225"/>
      <c r="X226" s="1225"/>
      <c r="Y226" s="1225"/>
      <c r="Z226" s="1225"/>
      <c r="AA226" s="1225"/>
      <c r="AB226" s="1225">
        <v>0</v>
      </c>
      <c r="AC226" s="1225">
        <v>0</v>
      </c>
      <c r="AD226" s="1225">
        <v>0</v>
      </c>
      <c r="AE226" s="1225">
        <v>0</v>
      </c>
      <c r="AF226" s="1225">
        <v>0</v>
      </c>
      <c r="AG226" s="1225">
        <v>0</v>
      </c>
      <c r="AH226" s="1225">
        <v>0</v>
      </c>
      <c r="AI226" s="1225">
        <v>0</v>
      </c>
      <c r="AJ226" s="1225">
        <v>0</v>
      </c>
      <c r="AK226" s="1225">
        <v>0</v>
      </c>
      <c r="AL226" s="1225">
        <v>0</v>
      </c>
      <c r="AM226" s="1225">
        <v>0</v>
      </c>
      <c r="AN226" s="1225">
        <v>0</v>
      </c>
      <c r="AO226" s="1225">
        <v>0</v>
      </c>
      <c r="AP226" s="1225">
        <v>0</v>
      </c>
      <c r="AQ226" s="1225">
        <v>0</v>
      </c>
      <c r="AR226" s="1225">
        <v>0</v>
      </c>
      <c r="AS226" s="1225">
        <v>0</v>
      </c>
      <c r="AT226" s="1225">
        <v>0</v>
      </c>
      <c r="AU226" s="1225">
        <v>0</v>
      </c>
      <c r="AV226" s="1225">
        <v>0</v>
      </c>
      <c r="AW226" s="1225" t="s">
        <v>1167</v>
      </c>
      <c r="AX226" s="1226"/>
      <c r="AY226" s="1228"/>
      <c r="AZ226" s="1228"/>
      <c r="BA226" s="1228"/>
      <c r="BB226" s="1228"/>
      <c r="BC226" s="1228"/>
      <c r="BD226" s="1228"/>
      <c r="BE226" s="1228"/>
      <c r="BF226" s="1228"/>
      <c r="BG226" s="1228"/>
      <c r="BH226" s="1228"/>
      <c r="BI226" s="1228"/>
      <c r="BJ226" s="1227"/>
    </row>
    <row r="227" spans="2:63">
      <c r="B227" s="1219"/>
      <c r="C227" s="1216" t="s">
        <v>369</v>
      </c>
      <c r="D227" s="1223" t="str">
        <f>INDEX(IPCC[Sector_description], MATCH($C227, IPCC[Sector_code], 0))</f>
        <v>Carbon capture</v>
      </c>
      <c r="E227" s="1214"/>
      <c r="F227" s="1224"/>
      <c r="G227" s="1224"/>
      <c r="H227" s="1225"/>
      <c r="I227" s="1225"/>
      <c r="J227" s="1225"/>
      <c r="K227" s="1225"/>
      <c r="L227" s="1225"/>
      <c r="M227" s="1225"/>
      <c r="N227" s="1225"/>
      <c r="O227" s="1225"/>
      <c r="P227" s="1225"/>
      <c r="Q227" s="1225"/>
      <c r="R227" s="1225"/>
      <c r="S227" s="1225"/>
      <c r="T227" s="1225"/>
      <c r="U227" s="1225"/>
      <c r="V227" s="1225"/>
      <c r="W227" s="1225"/>
      <c r="X227" s="1225"/>
      <c r="Y227" s="1225"/>
      <c r="Z227" s="1225"/>
      <c r="AA227" s="1225"/>
      <c r="AB227" s="1225">
        <v>0</v>
      </c>
      <c r="AC227" s="1225">
        <v>0</v>
      </c>
      <c r="AD227" s="1225">
        <v>0</v>
      </c>
      <c r="AE227" s="1225">
        <v>0</v>
      </c>
      <c r="AF227" s="1225">
        <v>0</v>
      </c>
      <c r="AG227" s="1225">
        <v>0</v>
      </c>
      <c r="AH227" s="1225">
        <v>0</v>
      </c>
      <c r="AI227" s="1225">
        <v>0</v>
      </c>
      <c r="AJ227" s="1225">
        <v>0</v>
      </c>
      <c r="AK227" s="1225">
        <v>0</v>
      </c>
      <c r="AL227" s="1225">
        <v>0</v>
      </c>
      <c r="AM227" s="1225">
        <v>0</v>
      </c>
      <c r="AN227" s="1225">
        <v>0</v>
      </c>
      <c r="AO227" s="1225">
        <v>0</v>
      </c>
      <c r="AP227" s="1225">
        <v>0</v>
      </c>
      <c r="AQ227" s="1225">
        <v>0</v>
      </c>
      <c r="AR227" s="1225">
        <v>0</v>
      </c>
      <c r="AS227" s="1225">
        <v>0</v>
      </c>
      <c r="AT227" s="1225">
        <v>0</v>
      </c>
      <c r="AU227" s="1225">
        <v>0</v>
      </c>
      <c r="AV227" s="1225">
        <v>0</v>
      </c>
      <c r="AW227" s="1225" t="s">
        <v>1167</v>
      </c>
      <c r="AX227" s="1226"/>
      <c r="AY227" s="1228"/>
      <c r="AZ227" s="1228"/>
      <c r="BA227" s="1228"/>
      <c r="BB227" s="1228"/>
      <c r="BC227" s="1228"/>
      <c r="BD227" s="1228"/>
      <c r="BE227" s="1228"/>
      <c r="BF227" s="1228"/>
      <c r="BG227" s="1228"/>
      <c r="BH227" s="1228"/>
      <c r="BI227" s="1228"/>
      <c r="BJ227" s="1217"/>
    </row>
    <row r="228" spans="2:63">
      <c r="B228" s="1221"/>
      <c r="C228" s="1214"/>
      <c r="D228" s="1220" t="s">
        <v>103</v>
      </c>
      <c r="E228" s="1214"/>
      <c r="F228" s="1231"/>
      <c r="G228" s="1231"/>
      <c r="H228" s="1232"/>
      <c r="I228" s="1232"/>
      <c r="J228" s="1232"/>
      <c r="K228" s="1232"/>
      <c r="L228" s="1232"/>
      <c r="M228" s="1232"/>
      <c r="N228" s="1232"/>
      <c r="O228" s="1232"/>
      <c r="P228" s="1232"/>
      <c r="Q228" s="1232"/>
      <c r="R228" s="1232"/>
      <c r="S228" s="1232"/>
      <c r="T228" s="1232"/>
      <c r="U228" s="1232"/>
      <c r="V228" s="1232"/>
      <c r="W228" s="1232"/>
      <c r="X228" s="1232"/>
      <c r="Y228" s="1232"/>
      <c r="Z228" s="1232"/>
      <c r="AA228" s="1232"/>
      <c r="AB228" s="1232">
        <v>1.019287308627703</v>
      </c>
      <c r="AC228" s="1232">
        <v>1.0276622955750703</v>
      </c>
      <c r="AD228" s="1232">
        <v>0.99975744617124662</v>
      </c>
      <c r="AE228" s="1232">
        <v>0.97265323657403735</v>
      </c>
      <c r="AF228" s="1232">
        <v>0.95763045579118489</v>
      </c>
      <c r="AG228" s="1232">
        <v>0.94879353839923086</v>
      </c>
      <c r="AH228" s="1232">
        <v>0.97824991223700708</v>
      </c>
      <c r="AI228" s="1232">
        <v>0.94767296170863369</v>
      </c>
      <c r="AJ228" s="1232">
        <v>0.94757860461328602</v>
      </c>
      <c r="AK228" s="1232">
        <v>0.90667723636580799</v>
      </c>
      <c r="AL228" s="1232">
        <v>0.91116968795273046</v>
      </c>
      <c r="AM228" s="1232">
        <v>0.91602949593812333</v>
      </c>
      <c r="AN228" s="1232">
        <v>0.88588609459540424</v>
      </c>
      <c r="AO228" s="1232">
        <v>0.89364935587005401</v>
      </c>
      <c r="AP228" s="1232">
        <v>0.89700964629536883</v>
      </c>
      <c r="AQ228" s="1232">
        <v>0.89426394833234946</v>
      </c>
      <c r="AR228" s="1232">
        <v>0.89215503472360502</v>
      </c>
      <c r="AS228" s="1232">
        <v>0.87891050694101758</v>
      </c>
      <c r="AT228" s="1232">
        <v>0.86063002960053347</v>
      </c>
      <c r="AU228" s="1232">
        <v>0.78840736457860272</v>
      </c>
      <c r="AV228" s="1232">
        <v>0.80820954122423716</v>
      </c>
      <c r="AW228" s="1232" t="s">
        <v>1167</v>
      </c>
      <c r="AX228" s="1228"/>
      <c r="AY228" s="1231"/>
      <c r="AZ228" s="1231"/>
      <c r="BA228" s="1231"/>
      <c r="BB228" s="1231"/>
      <c r="BC228" s="1231"/>
      <c r="BD228" s="1231"/>
      <c r="BE228" s="1231"/>
      <c r="BF228" s="1231"/>
      <c r="BG228" s="1231"/>
      <c r="BH228" s="1231"/>
      <c r="BI228" s="1231"/>
      <c r="BJ228" s="1217"/>
      <c r="BK228" s="1233"/>
    </row>
    <row r="229" spans="2:63" ht="5.25" customHeight="1">
      <c r="B229" s="1219"/>
      <c r="C229" s="1214"/>
      <c r="D229" s="1214"/>
      <c r="E229" s="1214"/>
      <c r="F229" s="1230"/>
      <c r="G229" s="1230"/>
      <c r="H229" s="1234"/>
      <c r="I229" s="1234"/>
      <c r="J229" s="1234"/>
      <c r="K229" s="1234"/>
      <c r="L229" s="1234"/>
      <c r="M229" s="1234"/>
      <c r="N229" s="1234"/>
      <c r="O229" s="1234"/>
      <c r="P229" s="1234"/>
      <c r="Q229" s="1234"/>
      <c r="R229" s="1234"/>
      <c r="S229" s="1234"/>
      <c r="T229" s="1234"/>
      <c r="U229" s="1234"/>
      <c r="V229" s="1234"/>
      <c r="W229" s="1234"/>
      <c r="X229" s="1234"/>
      <c r="Y229" s="1234"/>
      <c r="Z229" s="1234"/>
      <c r="AA229" s="1234"/>
      <c r="AB229" s="1234"/>
      <c r="AC229" s="1234"/>
      <c r="AD229" s="1234"/>
      <c r="AE229" s="1234"/>
      <c r="AF229" s="1234"/>
      <c r="AG229" s="1234"/>
      <c r="AH229" s="1234"/>
      <c r="AI229" s="1234"/>
      <c r="AJ229" s="1234"/>
      <c r="AK229" s="1234"/>
      <c r="AL229" s="1234"/>
      <c r="AM229" s="1234"/>
      <c r="AN229" s="1234"/>
      <c r="AO229" s="1234"/>
      <c r="AP229" s="1234"/>
      <c r="AQ229" s="1234"/>
      <c r="AR229" s="1234"/>
      <c r="AS229" s="1234"/>
      <c r="AT229" s="1234"/>
      <c r="AU229" s="1234"/>
      <c r="AV229" s="1234"/>
      <c r="AW229" s="1234"/>
      <c r="AX229" s="1230"/>
      <c r="AY229" s="1230"/>
      <c r="AZ229" s="1230"/>
      <c r="BA229" s="1230"/>
      <c r="BB229" s="1230"/>
      <c r="BC229" s="1230"/>
      <c r="BD229" s="1230"/>
      <c r="BE229" s="1230"/>
      <c r="BF229" s="1230"/>
      <c r="BG229" s="1230"/>
      <c r="BH229" s="1230"/>
      <c r="BI229" s="1230"/>
      <c r="BJ229" s="1217"/>
    </row>
    <row r="230" spans="2:63" s="37" customFormat="1">
      <c r="B230" s="1219"/>
      <c r="C230" s="1236" t="s">
        <v>1168</v>
      </c>
      <c r="D230" s="1236"/>
      <c r="E230" s="1236"/>
      <c r="F230" s="1237"/>
      <c r="G230" s="1237"/>
      <c r="H230" s="1238"/>
      <c r="I230" s="1238"/>
      <c r="J230" s="1238"/>
      <c r="K230" s="1238"/>
      <c r="L230" s="1238"/>
      <c r="M230" s="1238"/>
      <c r="N230" s="1238"/>
      <c r="O230" s="1238"/>
      <c r="P230" s="1238"/>
      <c r="Q230" s="1238"/>
      <c r="R230" s="1238"/>
      <c r="S230" s="1238"/>
      <c r="T230" s="1238"/>
      <c r="U230" s="1238"/>
      <c r="V230" s="1238"/>
      <c r="W230" s="1238"/>
      <c r="X230" s="1238"/>
      <c r="Y230" s="1238"/>
      <c r="Z230" s="1238"/>
      <c r="AA230" s="1238"/>
      <c r="AB230" s="1238"/>
      <c r="AC230" s="1238"/>
      <c r="AD230" s="1238"/>
      <c r="AE230" s="1238"/>
      <c r="AF230" s="1238"/>
      <c r="AG230" s="1238"/>
      <c r="AH230" s="1238"/>
      <c r="AI230" s="1238"/>
      <c r="AJ230" s="1238"/>
      <c r="AK230" s="1238"/>
      <c r="AL230" s="1238"/>
      <c r="AM230" s="1238"/>
      <c r="AN230" s="1238"/>
      <c r="AO230" s="1238"/>
      <c r="AP230" s="1238"/>
      <c r="AQ230" s="1238"/>
      <c r="AR230" s="1238"/>
      <c r="AS230" s="1238"/>
      <c r="AT230" s="1238"/>
      <c r="AU230" s="1238"/>
      <c r="AV230" s="1238"/>
      <c r="AW230" s="1238"/>
      <c r="AX230" s="1237"/>
      <c r="AY230" s="1237"/>
      <c r="AZ230" s="1237"/>
      <c r="BA230" s="1237"/>
      <c r="BB230" s="1237"/>
      <c r="BC230" s="1237"/>
      <c r="BD230" s="1237"/>
      <c r="BE230" s="1237"/>
      <c r="BF230" s="1237"/>
      <c r="BG230" s="1237"/>
      <c r="BH230" s="1237"/>
      <c r="BI230" s="1237"/>
      <c r="BJ230" s="1239"/>
    </row>
    <row r="231" spans="2:63">
      <c r="B231" s="1219"/>
      <c r="C231" s="1214"/>
      <c r="D231" s="1214"/>
      <c r="E231" s="1214"/>
      <c r="F231" s="1214"/>
      <c r="G231" s="1214"/>
      <c r="H231" s="1215"/>
      <c r="I231" s="1215"/>
      <c r="J231" s="1215"/>
      <c r="K231" s="1215"/>
      <c r="L231" s="1215"/>
      <c r="M231" s="1215"/>
      <c r="N231" s="1215"/>
      <c r="O231" s="1215"/>
      <c r="P231" s="1215"/>
      <c r="Q231" s="1215"/>
      <c r="R231" s="1215"/>
      <c r="S231" s="1215"/>
      <c r="T231" s="1215"/>
      <c r="U231" s="1215"/>
      <c r="V231" s="1215"/>
      <c r="W231" s="1215"/>
      <c r="X231" s="1215"/>
      <c r="Y231" s="1215"/>
      <c r="Z231" s="1215"/>
      <c r="AA231" s="1215"/>
      <c r="AB231" s="1215"/>
      <c r="AC231" s="1215"/>
      <c r="AD231" s="1215"/>
      <c r="AE231" s="1215"/>
      <c r="AF231" s="1215"/>
      <c r="AG231" s="1215"/>
      <c r="AH231" s="1215"/>
      <c r="AI231" s="1215"/>
      <c r="AJ231" s="1215"/>
      <c r="AK231" s="1215"/>
      <c r="AL231" s="1215"/>
      <c r="AM231" s="1215"/>
      <c r="AN231" s="1215"/>
      <c r="AO231" s="1215"/>
      <c r="AP231" s="1215"/>
      <c r="AQ231" s="1215"/>
      <c r="AR231" s="1215"/>
      <c r="AS231" s="1215"/>
      <c r="AT231" s="1215"/>
      <c r="AU231" s="1215"/>
      <c r="AV231" s="1215"/>
      <c r="AW231" s="1215"/>
      <c r="AX231" s="1214"/>
      <c r="AY231" s="1214"/>
      <c r="AZ231" s="1214"/>
      <c r="BA231" s="1214"/>
      <c r="BB231" s="1214"/>
      <c r="BC231" s="1214"/>
      <c r="BD231" s="1214"/>
      <c r="BE231" s="1214"/>
      <c r="BF231" s="1214"/>
      <c r="BG231" s="1214"/>
      <c r="BH231" s="1214"/>
      <c r="BI231" s="1214"/>
      <c r="BJ231" s="1217"/>
    </row>
    <row r="232" spans="2:63" s="51" customFormat="1" ht="13.5" customHeight="1">
      <c r="B232" s="1235"/>
      <c r="C232" s="1241"/>
      <c r="D232" s="1242"/>
      <c r="E232" s="1242" t="s">
        <v>1169</v>
      </c>
      <c r="F232" s="1243"/>
      <c r="G232" s="1243"/>
      <c r="H232" s="1244"/>
      <c r="I232" s="1244"/>
      <c r="J232" s="1244"/>
      <c r="K232" s="1244"/>
      <c r="L232" s="1244"/>
      <c r="M232" s="1244"/>
      <c r="N232" s="1244"/>
      <c r="O232" s="1244"/>
      <c r="P232" s="1244"/>
      <c r="Q232" s="1244"/>
      <c r="R232" s="1244"/>
      <c r="S232" s="1244"/>
      <c r="T232" s="1244"/>
      <c r="U232" s="1244"/>
      <c r="V232" s="1244"/>
      <c r="W232" s="1244"/>
      <c r="X232" s="1244"/>
      <c r="Y232" s="1244"/>
      <c r="Z232" s="1244"/>
      <c r="AA232" s="1244"/>
      <c r="AB232" s="1244"/>
      <c r="AC232" s="1244"/>
      <c r="AD232" s="1244"/>
      <c r="AE232" s="1244"/>
      <c r="AF232" s="1244"/>
      <c r="AG232" s="1244"/>
      <c r="AH232" s="1244"/>
      <c r="AI232" s="1244"/>
      <c r="AJ232" s="1244"/>
      <c r="AK232" s="1244"/>
      <c r="AL232" s="1244"/>
      <c r="AM232" s="1244"/>
      <c r="AN232" s="1244"/>
      <c r="AO232" s="1244"/>
      <c r="AP232" s="1244"/>
      <c r="AQ232" s="1244"/>
      <c r="AR232" s="1244"/>
      <c r="AS232" s="1244"/>
      <c r="AT232" s="1244"/>
      <c r="AU232" s="1244"/>
      <c r="AV232" s="1244"/>
      <c r="AW232" s="1244"/>
      <c r="AX232" s="1241"/>
      <c r="AY232" s="1245"/>
      <c r="AZ232" s="1245"/>
      <c r="BA232" s="1241"/>
      <c r="BB232" s="1241"/>
      <c r="BC232" s="1241"/>
      <c r="BD232" s="1241"/>
      <c r="BE232" s="1241"/>
      <c r="BF232" s="1241"/>
      <c r="BG232" s="1241"/>
      <c r="BH232" s="1246"/>
      <c r="BI232" s="1247"/>
      <c r="BJ232" s="1248"/>
    </row>
    <row r="233" spans="2:63" s="51" customFormat="1" ht="13.5" customHeight="1">
      <c r="B233" s="1219"/>
      <c r="C233" s="1241"/>
      <c r="D233" s="1242"/>
      <c r="E233" s="1242"/>
      <c r="F233" s="1243"/>
      <c r="G233" s="1243"/>
      <c r="H233" s="1244"/>
      <c r="I233" s="1244"/>
      <c r="J233" s="1244"/>
      <c r="K233" s="1244"/>
      <c r="L233" s="1244"/>
      <c r="M233" s="1244"/>
      <c r="N233" s="1244"/>
      <c r="O233" s="1244"/>
      <c r="P233" s="1244"/>
      <c r="Q233" s="1244"/>
      <c r="R233" s="1244"/>
      <c r="S233" s="1244"/>
      <c r="T233" s="1244"/>
      <c r="U233" s="1244"/>
      <c r="V233" s="1244"/>
      <c r="W233" s="1244"/>
      <c r="X233" s="1244"/>
      <c r="Y233" s="1244"/>
      <c r="Z233" s="1244"/>
      <c r="AA233" s="1244"/>
      <c r="AB233" s="1244"/>
      <c r="AC233" s="1244"/>
      <c r="AD233" s="1244"/>
      <c r="AE233" s="1244"/>
      <c r="AF233" s="1244"/>
      <c r="AG233" s="1244"/>
      <c r="AH233" s="1244"/>
      <c r="AI233" s="1244"/>
      <c r="AJ233" s="1244"/>
      <c r="AK233" s="1244"/>
      <c r="AL233" s="1244"/>
      <c r="AM233" s="1244"/>
      <c r="AN233" s="1244"/>
      <c r="AO233" s="1244"/>
      <c r="AP233" s="1244"/>
      <c r="AQ233" s="1244"/>
      <c r="AR233" s="1244"/>
      <c r="AS233" s="1244"/>
      <c r="AT233" s="1244"/>
      <c r="AU233" s="1244"/>
      <c r="AV233" s="1244"/>
      <c r="AW233" s="1244"/>
      <c r="AX233" s="1241"/>
      <c r="AY233" s="1245"/>
      <c r="AZ233" s="1245"/>
      <c r="BA233" s="1241"/>
      <c r="BB233" s="1241"/>
      <c r="BC233" s="1241"/>
      <c r="BD233" s="1241"/>
      <c r="BE233" s="1241"/>
      <c r="BF233" s="1241"/>
      <c r="BG233" s="1241"/>
      <c r="BH233" s="1246"/>
      <c r="BI233" s="1247"/>
      <c r="BJ233" s="1248"/>
    </row>
    <row r="234" spans="2:63" s="51" customFormat="1" ht="13.5" customHeight="1">
      <c r="B234" s="1240"/>
      <c r="C234" s="1241" t="s">
        <v>1170</v>
      </c>
      <c r="D234" s="1242"/>
      <c r="E234" s="1242"/>
      <c r="F234" s="1242" t="s">
        <v>109</v>
      </c>
      <c r="G234" s="1242"/>
      <c r="H234" s="1249"/>
      <c r="I234" s="1249"/>
      <c r="J234" s="1249"/>
      <c r="K234" s="1249"/>
      <c r="L234" s="1249"/>
      <c r="M234" s="1249"/>
      <c r="N234" s="1249"/>
      <c r="O234" s="1249"/>
      <c r="P234" s="1249"/>
      <c r="Q234" s="1249"/>
      <c r="R234" s="1249"/>
      <c r="S234" s="1249"/>
      <c r="T234" s="1249"/>
      <c r="U234" s="1249"/>
      <c r="V234" s="1249"/>
      <c r="W234" s="1249"/>
      <c r="X234" s="1249"/>
      <c r="Y234" s="1249"/>
      <c r="Z234" s="1249"/>
      <c r="AA234" s="1249"/>
      <c r="AB234" s="1249"/>
      <c r="AC234" s="1249"/>
      <c r="AD234" s="1249"/>
      <c r="AE234" s="1249"/>
      <c r="AF234" s="1249"/>
      <c r="AG234" s="1249"/>
      <c r="AH234" s="1249"/>
      <c r="AI234" s="1249"/>
      <c r="AJ234" s="1249"/>
      <c r="AK234" s="1249"/>
      <c r="AL234" s="1249"/>
      <c r="AM234" s="1249"/>
      <c r="AN234" s="1249"/>
      <c r="AO234" s="1249"/>
      <c r="AP234" s="1249"/>
      <c r="AQ234" s="1249"/>
      <c r="AR234" s="1249"/>
      <c r="AS234" s="1249"/>
      <c r="AT234" s="1249"/>
      <c r="AU234" s="1249"/>
      <c r="AV234" s="1249"/>
      <c r="AW234" s="1249"/>
      <c r="AX234" s="1241"/>
      <c r="AY234" s="2405">
        <v>2007</v>
      </c>
      <c r="AZ234" s="2405"/>
      <c r="BA234" s="2405">
        <f>AY234+5</f>
        <v>2012</v>
      </c>
      <c r="BB234" s="2405">
        <f t="shared" ref="BB234:BI234" si="64">BA234+5</f>
        <v>2017</v>
      </c>
      <c r="BC234" s="2405">
        <f t="shared" si="64"/>
        <v>2022</v>
      </c>
      <c r="BD234" s="2405">
        <f t="shared" si="64"/>
        <v>2027</v>
      </c>
      <c r="BE234" s="2405">
        <f t="shared" si="64"/>
        <v>2032</v>
      </c>
      <c r="BF234" s="2405">
        <v>2037</v>
      </c>
      <c r="BG234" s="2405">
        <f t="shared" si="64"/>
        <v>2042</v>
      </c>
      <c r="BH234" s="2405">
        <f t="shared" si="64"/>
        <v>2047</v>
      </c>
      <c r="BI234" s="2405">
        <f t="shared" si="64"/>
        <v>2052</v>
      </c>
      <c r="BJ234" s="1248"/>
    </row>
    <row r="235" spans="2:63" s="51" customFormat="1" ht="13.5" customHeight="1">
      <c r="B235" s="1240"/>
      <c r="C235" s="1242" t="s">
        <v>60</v>
      </c>
      <c r="D235" s="1242"/>
      <c r="E235" s="1242"/>
      <c r="F235" s="1242" t="str">
        <f>INDEX(Workstreams[Workstream], MATCH($C235, Workstreams[Code], 0))</f>
        <v>Hydrocarbon fuel power generation</v>
      </c>
      <c r="G235" s="1250"/>
      <c r="H235" s="1251"/>
      <c r="I235" s="1251"/>
      <c r="J235" s="1251"/>
      <c r="K235" s="1251"/>
      <c r="L235" s="1251"/>
      <c r="M235" s="1251"/>
      <c r="N235" s="1251"/>
      <c r="O235" s="1251"/>
      <c r="P235" s="1251"/>
      <c r="Q235" s="1251"/>
      <c r="R235" s="1251"/>
      <c r="S235" s="1251"/>
      <c r="T235" s="1251"/>
      <c r="U235" s="1251"/>
      <c r="V235" s="1251"/>
      <c r="W235" s="1251"/>
      <c r="X235" s="1251"/>
      <c r="Y235" s="1251"/>
      <c r="Z235" s="1251"/>
      <c r="AA235" s="1251"/>
      <c r="AB235" s="1251"/>
      <c r="AC235" s="1251"/>
      <c r="AD235" s="1251"/>
      <c r="AE235" s="1251"/>
      <c r="AF235" s="1251"/>
      <c r="AG235" s="1251"/>
      <c r="AH235" s="1251"/>
      <c r="AI235" s="1251"/>
      <c r="AJ235" s="1251"/>
      <c r="AK235" s="1251"/>
      <c r="AL235" s="1251"/>
      <c r="AM235" s="1251"/>
      <c r="AN235" s="1251"/>
      <c r="AO235" s="1251"/>
      <c r="AP235" s="1251"/>
      <c r="AQ235" s="1251"/>
      <c r="AR235" s="1251"/>
      <c r="AS235" s="1251"/>
      <c r="AT235" s="1251"/>
      <c r="AU235" s="1251"/>
      <c r="AV235" s="1251"/>
      <c r="AW235" s="1251"/>
      <c r="AX235" s="1241"/>
      <c r="AY235" s="1252">
        <f t="shared" ref="AY235:BI241" ca="1" si="65">SUMIFS(INDIRECT("'"&amp;AY$234&amp;"'!Year.EmissionsBySector"), INDIRECT("'"&amp;AY$234&amp;"'!Year.Modules"),$C235)</f>
        <v>595.06618519645599</v>
      </c>
      <c r="AZ235" s="1252"/>
      <c r="BA235" s="1252">
        <f t="shared" ca="1" si="65"/>
        <v>786.58498080937272</v>
      </c>
      <c r="BB235" s="1252">
        <f t="shared" ca="1" si="65"/>
        <v>1087.8432043865573</v>
      </c>
      <c r="BC235" s="1252">
        <f t="shared" ca="1" si="65"/>
        <v>1606.8342870120703</v>
      </c>
      <c r="BD235" s="1252">
        <f t="shared" ca="1" si="65"/>
        <v>2280.6290028913718</v>
      </c>
      <c r="BE235" s="1252">
        <f t="shared" ca="1" si="65"/>
        <v>3196.8110175540182</v>
      </c>
      <c r="BF235" s="1252">
        <f t="shared" ca="1" si="65"/>
        <v>4021.5588263312093</v>
      </c>
      <c r="BG235" s="1252">
        <f t="shared" ca="1" si="65"/>
        <v>4974.5893139179325</v>
      </c>
      <c r="BH235" s="1252">
        <f t="shared" ca="1" si="65"/>
        <v>5849.210459291693</v>
      </c>
      <c r="BI235" s="1252">
        <f t="shared" ca="1" si="65"/>
        <v>6837.1101374826903</v>
      </c>
      <c r="BJ235" s="1248"/>
    </row>
    <row r="236" spans="2:63" s="51" customFormat="1" ht="13.5" customHeight="1">
      <c r="B236" s="1240"/>
      <c r="C236" s="1242" t="s">
        <v>61</v>
      </c>
      <c r="D236" s="1242"/>
      <c r="E236" s="1242"/>
      <c r="F236" s="1242" t="str">
        <f>INDEX(Workstreams[Workstream], MATCH($C236, Workstreams[Code], 0))</f>
        <v>Nuclear power generation</v>
      </c>
      <c r="G236" s="1250"/>
      <c r="H236" s="1251"/>
      <c r="I236" s="1251"/>
      <c r="J236" s="1251"/>
      <c r="K236" s="1251"/>
      <c r="L236" s="1251"/>
      <c r="M236" s="1251"/>
      <c r="N236" s="1251"/>
      <c r="O236" s="1251"/>
      <c r="P236" s="1251"/>
      <c r="Q236" s="1251"/>
      <c r="R236" s="1251"/>
      <c r="S236" s="1251"/>
      <c r="T236" s="1251"/>
      <c r="U236" s="1251"/>
      <c r="V236" s="1251"/>
      <c r="W236" s="1251"/>
      <c r="X236" s="1251"/>
      <c r="Y236" s="1251"/>
      <c r="Z236" s="1251"/>
      <c r="AA236" s="1251"/>
      <c r="AB236" s="1251"/>
      <c r="AC236" s="1251"/>
      <c r="AD236" s="1251"/>
      <c r="AE236" s="1251"/>
      <c r="AF236" s="1251"/>
      <c r="AG236" s="1251"/>
      <c r="AH236" s="1251"/>
      <c r="AI236" s="1251"/>
      <c r="AJ236" s="1251"/>
      <c r="AK236" s="1251"/>
      <c r="AL236" s="1251"/>
      <c r="AM236" s="1251"/>
      <c r="AN236" s="1251"/>
      <c r="AO236" s="1251"/>
      <c r="AP236" s="1251"/>
      <c r="AQ236" s="1251"/>
      <c r="AR236" s="1251"/>
      <c r="AS236" s="1251"/>
      <c r="AT236" s="1251"/>
      <c r="AU236" s="1251"/>
      <c r="AV236" s="1251"/>
      <c r="AW236" s="1251"/>
      <c r="AX236" s="1241"/>
      <c r="AY236" s="1252">
        <f t="shared" ca="1" si="65"/>
        <v>0</v>
      </c>
      <c r="AZ236" s="1252"/>
      <c r="BA236" s="1252">
        <f t="shared" ca="1" si="65"/>
        <v>0</v>
      </c>
      <c r="BB236" s="1252">
        <f t="shared" ca="1" si="65"/>
        <v>0</v>
      </c>
      <c r="BC236" s="1252">
        <f t="shared" ca="1" si="65"/>
        <v>0</v>
      </c>
      <c r="BD236" s="1252">
        <f t="shared" ca="1" si="65"/>
        <v>0</v>
      </c>
      <c r="BE236" s="1252">
        <f t="shared" ca="1" si="65"/>
        <v>0</v>
      </c>
      <c r="BF236" s="1252">
        <f t="shared" ca="1" si="65"/>
        <v>0</v>
      </c>
      <c r="BG236" s="1252">
        <f t="shared" ca="1" si="65"/>
        <v>0</v>
      </c>
      <c r="BH236" s="1252">
        <f t="shared" ca="1" si="65"/>
        <v>0</v>
      </c>
      <c r="BI236" s="1252">
        <f t="shared" ca="1" si="65"/>
        <v>0</v>
      </c>
      <c r="BJ236" s="1248"/>
    </row>
    <row r="237" spans="2:63" s="51" customFormat="1" ht="13.5" customHeight="1">
      <c r="B237" s="1240"/>
      <c r="C237" s="1242" t="s">
        <v>62</v>
      </c>
      <c r="D237" s="1242"/>
      <c r="E237" s="1242"/>
      <c r="F237" s="1242" t="str">
        <f>INDEX(Workstreams[Workstream], MATCH($C237, Workstreams[Code], 0))</f>
        <v>Hydro Electric Power Generation</v>
      </c>
      <c r="G237" s="1250"/>
      <c r="H237" s="1251"/>
      <c r="I237" s="1251"/>
      <c r="J237" s="1251"/>
      <c r="K237" s="1251"/>
      <c r="L237" s="1251"/>
      <c r="M237" s="1251"/>
      <c r="N237" s="1251"/>
      <c r="O237" s="1251"/>
      <c r="P237" s="1251"/>
      <c r="Q237" s="1251"/>
      <c r="R237" s="1251"/>
      <c r="S237" s="1251"/>
      <c r="T237" s="1251"/>
      <c r="U237" s="1251"/>
      <c r="V237" s="1251"/>
      <c r="W237" s="1251"/>
      <c r="X237" s="1251"/>
      <c r="Y237" s="1251"/>
      <c r="Z237" s="1251"/>
      <c r="AA237" s="1251"/>
      <c r="AB237" s="1251"/>
      <c r="AC237" s="1251"/>
      <c r="AD237" s="1251"/>
      <c r="AE237" s="1251"/>
      <c r="AF237" s="1251"/>
      <c r="AG237" s="1251"/>
      <c r="AH237" s="1251"/>
      <c r="AI237" s="1251"/>
      <c r="AJ237" s="1251"/>
      <c r="AK237" s="1251"/>
      <c r="AL237" s="1251"/>
      <c r="AM237" s="1251"/>
      <c r="AN237" s="1251"/>
      <c r="AO237" s="1251"/>
      <c r="AP237" s="1251"/>
      <c r="AQ237" s="1251"/>
      <c r="AR237" s="1251"/>
      <c r="AS237" s="1251"/>
      <c r="AT237" s="1251"/>
      <c r="AU237" s="1251"/>
      <c r="AV237" s="1251"/>
      <c r="AW237" s="1251"/>
      <c r="AX237" s="1241"/>
      <c r="AY237" s="1252">
        <f t="shared" ca="1" si="65"/>
        <v>0</v>
      </c>
      <c r="AZ237" s="1252"/>
      <c r="BA237" s="1252">
        <f t="shared" ca="1" si="65"/>
        <v>0</v>
      </c>
      <c r="BB237" s="1252">
        <f t="shared" ca="1" si="65"/>
        <v>0</v>
      </c>
      <c r="BC237" s="1252">
        <f t="shared" ca="1" si="65"/>
        <v>0</v>
      </c>
      <c r="BD237" s="1252">
        <f t="shared" ca="1" si="65"/>
        <v>0</v>
      </c>
      <c r="BE237" s="1252">
        <f t="shared" ca="1" si="65"/>
        <v>0</v>
      </c>
      <c r="BF237" s="1252">
        <f t="shared" ca="1" si="65"/>
        <v>0</v>
      </c>
      <c r="BG237" s="1252">
        <f t="shared" ca="1" si="65"/>
        <v>0</v>
      </c>
      <c r="BH237" s="1252">
        <f t="shared" ca="1" si="65"/>
        <v>0</v>
      </c>
      <c r="BI237" s="1252">
        <f t="shared" ca="1" si="65"/>
        <v>0</v>
      </c>
      <c r="BJ237" s="1248"/>
    </row>
    <row r="238" spans="2:63" s="51" customFormat="1" ht="13.5" customHeight="1">
      <c r="B238" s="1240"/>
      <c r="C238" s="1242" t="s">
        <v>63</v>
      </c>
      <c r="D238" s="1242"/>
      <c r="E238" s="1242"/>
      <c r="F238" s="1242" t="str">
        <f>INDEX(Workstreams[Workstream], MATCH($C238, Workstreams[Code], 0))</f>
        <v>National  renewable power generation</v>
      </c>
      <c r="G238" s="1250"/>
      <c r="H238" s="1251"/>
      <c r="I238" s="1251"/>
      <c r="J238" s="1251"/>
      <c r="K238" s="1251"/>
      <c r="L238" s="1251"/>
      <c r="M238" s="1251"/>
      <c r="N238" s="1251"/>
      <c r="O238" s="1251"/>
      <c r="P238" s="1251"/>
      <c r="Q238" s="1251"/>
      <c r="R238" s="1251"/>
      <c r="S238" s="1251"/>
      <c r="T238" s="1251"/>
      <c r="U238" s="1251"/>
      <c r="V238" s="1251"/>
      <c r="W238" s="1251"/>
      <c r="X238" s="1251"/>
      <c r="Y238" s="1251"/>
      <c r="Z238" s="1251"/>
      <c r="AA238" s="1251"/>
      <c r="AB238" s="1251"/>
      <c r="AC238" s="1251"/>
      <c r="AD238" s="1251"/>
      <c r="AE238" s="1251"/>
      <c r="AF238" s="1251"/>
      <c r="AG238" s="1251"/>
      <c r="AH238" s="1251"/>
      <c r="AI238" s="1251"/>
      <c r="AJ238" s="1251"/>
      <c r="AK238" s="1251"/>
      <c r="AL238" s="1251"/>
      <c r="AM238" s="1251"/>
      <c r="AN238" s="1251"/>
      <c r="AO238" s="1251"/>
      <c r="AP238" s="1251"/>
      <c r="AQ238" s="1251"/>
      <c r="AR238" s="1251"/>
      <c r="AS238" s="1251"/>
      <c r="AT238" s="1251"/>
      <c r="AU238" s="1251"/>
      <c r="AV238" s="1251"/>
      <c r="AW238" s="1251"/>
      <c r="AX238" s="1241"/>
      <c r="AY238" s="1252">
        <f t="shared" ca="1" si="65"/>
        <v>0</v>
      </c>
      <c r="AZ238" s="1252"/>
      <c r="BA238" s="1252">
        <f t="shared" ca="1" si="65"/>
        <v>0</v>
      </c>
      <c r="BB238" s="1252">
        <f t="shared" ca="1" si="65"/>
        <v>0</v>
      </c>
      <c r="BC238" s="1252">
        <f t="shared" ca="1" si="65"/>
        <v>0</v>
      </c>
      <c r="BD238" s="1252">
        <f t="shared" ca="1" si="65"/>
        <v>0</v>
      </c>
      <c r="BE238" s="1252">
        <f t="shared" ca="1" si="65"/>
        <v>0</v>
      </c>
      <c r="BF238" s="1252">
        <f t="shared" ca="1" si="65"/>
        <v>0</v>
      </c>
      <c r="BG238" s="1252">
        <f t="shared" ca="1" si="65"/>
        <v>0</v>
      </c>
      <c r="BH238" s="1252">
        <f t="shared" ca="1" si="65"/>
        <v>0</v>
      </c>
      <c r="BI238" s="1252">
        <f t="shared" ca="1" si="65"/>
        <v>0</v>
      </c>
      <c r="BJ238" s="1248"/>
    </row>
    <row r="239" spans="2:63" s="51" customFormat="1" ht="13.5" customHeight="1">
      <c r="B239" s="1240"/>
      <c r="C239" s="1242" t="s">
        <v>190</v>
      </c>
      <c r="D239" s="1242"/>
      <c r="E239" s="1242"/>
      <c r="F239" s="1242" t="str">
        <f>INDEX(Workstreams[Workstream], MATCH($C239, Workstreams[Code], 0))</f>
        <v>Bioenergy</v>
      </c>
      <c r="G239" s="1250"/>
      <c r="H239" s="1251"/>
      <c r="I239" s="1251"/>
      <c r="J239" s="1251"/>
      <c r="K239" s="1251"/>
      <c r="L239" s="1251"/>
      <c r="M239" s="1251"/>
      <c r="N239" s="1251"/>
      <c r="O239" s="1251"/>
      <c r="P239" s="1251"/>
      <c r="Q239" s="1251"/>
      <c r="R239" s="1251"/>
      <c r="S239" s="1251"/>
      <c r="T239" s="1251"/>
      <c r="U239" s="1251"/>
      <c r="V239" s="1251"/>
      <c r="W239" s="1251"/>
      <c r="X239" s="1251"/>
      <c r="Y239" s="1251"/>
      <c r="Z239" s="1251"/>
      <c r="AA239" s="1251"/>
      <c r="AB239" s="1251"/>
      <c r="AC239" s="1251"/>
      <c r="AD239" s="1251"/>
      <c r="AE239" s="1251"/>
      <c r="AF239" s="1251"/>
      <c r="AG239" s="1251"/>
      <c r="AH239" s="1251"/>
      <c r="AI239" s="1251"/>
      <c r="AJ239" s="1251"/>
      <c r="AK239" s="1251"/>
      <c r="AL239" s="1251"/>
      <c r="AM239" s="1251"/>
      <c r="AN239" s="1251"/>
      <c r="AO239" s="1251"/>
      <c r="AP239" s="1251"/>
      <c r="AQ239" s="1251"/>
      <c r="AR239" s="1251"/>
      <c r="AS239" s="1251"/>
      <c r="AT239" s="1251"/>
      <c r="AU239" s="1251"/>
      <c r="AV239" s="1251"/>
      <c r="AW239" s="1251"/>
      <c r="AX239" s="1241"/>
      <c r="AY239" s="1252">
        <f t="shared" ca="1" si="65"/>
        <v>-313.89366247877757</v>
      </c>
      <c r="AZ239" s="1252"/>
      <c r="BA239" s="1252">
        <f t="shared" ca="1" si="65"/>
        <v>-317.74488604405229</v>
      </c>
      <c r="BB239" s="1252">
        <f t="shared" ca="1" si="65"/>
        <v>-316.49941332858305</v>
      </c>
      <c r="BC239" s="1252">
        <f t="shared" ca="1" si="65"/>
        <v>-315.46610321588201</v>
      </c>
      <c r="BD239" s="1252">
        <f t="shared" ca="1" si="65"/>
        <v>-314.6889283958385</v>
      </c>
      <c r="BE239" s="1252">
        <f t="shared" ca="1" si="65"/>
        <v>-314.23239533992523</v>
      </c>
      <c r="BF239" s="1252">
        <f t="shared" ca="1" si="65"/>
        <v>-313.99481361351673</v>
      </c>
      <c r="BG239" s="1252">
        <f t="shared" ca="1" si="65"/>
        <v>-312.92388420747147</v>
      </c>
      <c r="BH239" s="1252">
        <f t="shared" ca="1" si="65"/>
        <v>-312.11179177995979</v>
      </c>
      <c r="BI239" s="1252">
        <f t="shared" ca="1" si="65"/>
        <v>-311.84926752683651</v>
      </c>
      <c r="BJ239" s="1248"/>
    </row>
    <row r="240" spans="2:63" s="51" customFormat="1" ht="13.5" customHeight="1">
      <c r="B240" s="1240"/>
      <c r="C240" s="1242" t="s">
        <v>191</v>
      </c>
      <c r="D240" s="1242"/>
      <c r="E240" s="1242"/>
      <c r="F240" s="1242" t="str">
        <f>INDEX(Workstreams[Workstream], MATCH($C240, Workstreams[Code], 0))</f>
        <v>Waste</v>
      </c>
      <c r="G240" s="1250"/>
      <c r="H240" s="1251"/>
      <c r="I240" s="1251"/>
      <c r="J240" s="1251"/>
      <c r="K240" s="1251"/>
      <c r="L240" s="1251"/>
      <c r="M240" s="1251"/>
      <c r="N240" s="1251"/>
      <c r="O240" s="1251"/>
      <c r="P240" s="1251"/>
      <c r="Q240" s="1251"/>
      <c r="R240" s="1251"/>
      <c r="S240" s="1251"/>
      <c r="T240" s="1251"/>
      <c r="U240" s="1251"/>
      <c r="V240" s="1251"/>
      <c r="W240" s="1251"/>
      <c r="X240" s="1251"/>
      <c r="Y240" s="1251"/>
      <c r="Z240" s="1251"/>
      <c r="AA240" s="1251"/>
      <c r="AB240" s="1251"/>
      <c r="AC240" s="1251"/>
      <c r="AD240" s="1251"/>
      <c r="AE240" s="1251"/>
      <c r="AF240" s="1251"/>
      <c r="AG240" s="1251"/>
      <c r="AH240" s="1251"/>
      <c r="AI240" s="1251"/>
      <c r="AJ240" s="1251"/>
      <c r="AK240" s="1251"/>
      <c r="AL240" s="1251"/>
      <c r="AM240" s="1251"/>
      <c r="AN240" s="1251"/>
      <c r="AO240" s="1251"/>
      <c r="AP240" s="1251"/>
      <c r="AQ240" s="1251"/>
      <c r="AR240" s="1251"/>
      <c r="AS240" s="1251"/>
      <c r="AT240" s="1251"/>
      <c r="AU240" s="1251"/>
      <c r="AV240" s="1251"/>
      <c r="AW240" s="1251"/>
      <c r="AX240" s="1241"/>
      <c r="AY240" s="1252">
        <f t="shared" ca="1" si="65"/>
        <v>0</v>
      </c>
      <c r="AZ240" s="1252"/>
      <c r="BA240" s="1252">
        <f t="shared" ca="1" si="65"/>
        <v>0</v>
      </c>
      <c r="BB240" s="1252">
        <f t="shared" ca="1" si="65"/>
        <v>0</v>
      </c>
      <c r="BC240" s="1252">
        <f t="shared" ca="1" si="65"/>
        <v>0</v>
      </c>
      <c r="BD240" s="1252">
        <f t="shared" ca="1" si="65"/>
        <v>0</v>
      </c>
      <c r="BE240" s="1252">
        <f t="shared" ca="1" si="65"/>
        <v>0</v>
      </c>
      <c r="BF240" s="1252">
        <f t="shared" ca="1" si="65"/>
        <v>0</v>
      </c>
      <c r="BG240" s="1252">
        <f t="shared" ca="1" si="65"/>
        <v>0</v>
      </c>
      <c r="BH240" s="1252">
        <f t="shared" ca="1" si="65"/>
        <v>0</v>
      </c>
      <c r="BI240" s="1252">
        <f t="shared" ca="1" si="65"/>
        <v>0</v>
      </c>
      <c r="BJ240" s="1248"/>
    </row>
    <row r="241" spans="2:62" s="51" customFormat="1" ht="13.5" customHeight="1">
      <c r="B241" s="1240"/>
      <c r="C241" s="1242" t="s">
        <v>192</v>
      </c>
      <c r="D241" s="1242"/>
      <c r="E241" s="1242"/>
      <c r="F241" s="1242" t="str">
        <f>INDEX(Workstreams[Workstream], MATCH($C241, Workstreams[Code], 0))</f>
        <v>Electricity distribution, storage, and balancing</v>
      </c>
      <c r="G241" s="1250"/>
      <c r="H241" s="1251"/>
      <c r="I241" s="1251"/>
      <c r="J241" s="1251"/>
      <c r="K241" s="1251"/>
      <c r="L241" s="1251"/>
      <c r="M241" s="1251"/>
      <c r="N241" s="1251"/>
      <c r="O241" s="1251"/>
      <c r="P241" s="1251"/>
      <c r="Q241" s="1251"/>
      <c r="R241" s="1251"/>
      <c r="S241" s="1251"/>
      <c r="T241" s="1251"/>
      <c r="U241" s="1251"/>
      <c r="V241" s="1251"/>
      <c r="W241" s="1251"/>
      <c r="X241" s="1251"/>
      <c r="Y241" s="1251"/>
      <c r="Z241" s="1251"/>
      <c r="AA241" s="1251"/>
      <c r="AB241" s="1251"/>
      <c r="AC241" s="1251"/>
      <c r="AD241" s="1251"/>
      <c r="AE241" s="1251"/>
      <c r="AF241" s="1251"/>
      <c r="AG241" s="1251"/>
      <c r="AH241" s="1251"/>
      <c r="AI241" s="1251"/>
      <c r="AJ241" s="1251"/>
      <c r="AK241" s="1251"/>
      <c r="AL241" s="1251"/>
      <c r="AM241" s="1251"/>
      <c r="AN241" s="1251"/>
      <c r="AO241" s="1251"/>
      <c r="AP241" s="1251"/>
      <c r="AQ241" s="1251"/>
      <c r="AR241" s="1251"/>
      <c r="AS241" s="1251"/>
      <c r="AT241" s="1251"/>
      <c r="AU241" s="1251"/>
      <c r="AV241" s="1251"/>
      <c r="AW241" s="1251"/>
      <c r="AX241" s="1241"/>
      <c r="AY241" s="1252">
        <f t="shared" ca="1" si="65"/>
        <v>0</v>
      </c>
      <c r="AZ241" s="1252"/>
      <c r="BA241" s="1252">
        <f t="shared" ca="1" si="65"/>
        <v>0</v>
      </c>
      <c r="BB241" s="1252">
        <f t="shared" ca="1" si="65"/>
        <v>0</v>
      </c>
      <c r="BC241" s="1252">
        <f t="shared" ca="1" si="65"/>
        <v>0</v>
      </c>
      <c r="BD241" s="1252">
        <f t="shared" ca="1" si="65"/>
        <v>0</v>
      </c>
      <c r="BE241" s="1252">
        <f t="shared" ca="1" si="65"/>
        <v>0</v>
      </c>
      <c r="BF241" s="1252">
        <f t="shared" ca="1" si="65"/>
        <v>0</v>
      </c>
      <c r="BG241" s="1252">
        <f t="shared" ca="1" si="65"/>
        <v>0</v>
      </c>
      <c r="BH241" s="1252">
        <f t="shared" ca="1" si="65"/>
        <v>0</v>
      </c>
      <c r="BI241" s="1252">
        <f t="shared" ca="1" si="65"/>
        <v>0</v>
      </c>
      <c r="BJ241" s="1248"/>
    </row>
    <row r="242" spans="2:62" s="51" customFormat="1" ht="13.5" customHeight="1">
      <c r="B242" s="1240"/>
      <c r="C242" s="1242"/>
      <c r="D242" s="1242"/>
      <c r="E242" s="1242"/>
      <c r="F242" s="1242"/>
      <c r="G242" s="1250"/>
      <c r="H242" s="1251"/>
      <c r="I242" s="1251"/>
      <c r="J242" s="1251"/>
      <c r="K242" s="1251"/>
      <c r="L242" s="1251"/>
      <c r="M242" s="1251"/>
      <c r="N242" s="1251"/>
      <c r="O242" s="1251"/>
      <c r="P242" s="1251"/>
      <c r="Q242" s="1251"/>
      <c r="R242" s="1251"/>
      <c r="S242" s="1251"/>
      <c r="T242" s="1251"/>
      <c r="U242" s="1251"/>
      <c r="V242" s="1251"/>
      <c r="W242" s="1251"/>
      <c r="X242" s="1251"/>
      <c r="Y242" s="1251"/>
      <c r="Z242" s="1251"/>
      <c r="AA242" s="1251"/>
      <c r="AB242" s="1251"/>
      <c r="AC242" s="1251"/>
      <c r="AD242" s="1251"/>
      <c r="AE242" s="1251"/>
      <c r="AF242" s="1251"/>
      <c r="AG242" s="1251"/>
      <c r="AH242" s="1251"/>
      <c r="AI242" s="1251"/>
      <c r="AJ242" s="1251"/>
      <c r="AK242" s="1251"/>
      <c r="AL242" s="1251"/>
      <c r="AM242" s="1251"/>
      <c r="AN242" s="1251"/>
      <c r="AO242" s="1251"/>
      <c r="AP242" s="1251"/>
      <c r="AQ242" s="1251"/>
      <c r="AR242" s="1251"/>
      <c r="AS242" s="1251"/>
      <c r="AT242" s="1251"/>
      <c r="AU242" s="1251"/>
      <c r="AV242" s="1251"/>
      <c r="AW242" s="1251"/>
      <c r="AX242" s="1241"/>
      <c r="AY242" s="1252"/>
      <c r="AZ242" s="1252"/>
      <c r="BA242" s="1252"/>
      <c r="BB242" s="1252"/>
      <c r="BC242" s="1252"/>
      <c r="BD242" s="1252"/>
      <c r="BE242" s="1252"/>
      <c r="BF242" s="1252"/>
      <c r="BG242" s="1252"/>
      <c r="BH242" s="1252"/>
      <c r="BI242" s="1252"/>
      <c r="BJ242" s="1248"/>
    </row>
    <row r="243" spans="2:62" s="51" customFormat="1" ht="13.5" customHeight="1">
      <c r="B243" s="1240"/>
      <c r="C243" s="1242" t="s">
        <v>195</v>
      </c>
      <c r="D243" s="1242"/>
      <c r="E243" s="1242"/>
      <c r="F243" s="1242" t="str">
        <f>INDEX(Workstreams[Workstream], MATCH($C243, Workstreams[Code], 0))</f>
        <v>Buildings</v>
      </c>
      <c r="G243" s="1250"/>
      <c r="H243" s="1251"/>
      <c r="I243" s="1251"/>
      <c r="J243" s="1251"/>
      <c r="K243" s="1251"/>
      <c r="L243" s="1251"/>
      <c r="M243" s="1251"/>
      <c r="N243" s="1251"/>
      <c r="O243" s="1251"/>
      <c r="P243" s="1251"/>
      <c r="Q243" s="1251"/>
      <c r="R243" s="1251"/>
      <c r="S243" s="1251"/>
      <c r="T243" s="1251"/>
      <c r="U243" s="1251"/>
      <c r="V243" s="1251"/>
      <c r="W243" s="1251"/>
      <c r="X243" s="1251"/>
      <c r="Y243" s="1251"/>
      <c r="Z243" s="1251"/>
      <c r="AA243" s="1251"/>
      <c r="AB243" s="1251"/>
      <c r="AC243" s="1251"/>
      <c r="AD243" s="1251"/>
      <c r="AE243" s="1251"/>
      <c r="AF243" s="1251"/>
      <c r="AG243" s="1251"/>
      <c r="AH243" s="1251"/>
      <c r="AI243" s="1251"/>
      <c r="AJ243" s="1251"/>
      <c r="AK243" s="1251"/>
      <c r="AL243" s="1251"/>
      <c r="AM243" s="1251"/>
      <c r="AN243" s="1251"/>
      <c r="AO243" s="1251"/>
      <c r="AP243" s="1251"/>
      <c r="AQ243" s="1251"/>
      <c r="AR243" s="1251"/>
      <c r="AS243" s="1251"/>
      <c r="AT243" s="1251"/>
      <c r="AU243" s="1251"/>
      <c r="AV243" s="1251"/>
      <c r="AW243" s="1251"/>
      <c r="AX243" s="1241"/>
      <c r="AY243" s="1252">
        <f t="shared" ref="AY243:BI251" ca="1" si="66">SUMIFS(INDIRECT("'"&amp;AY$234&amp;"'!Year.EmissionsBySector"), INDIRECT("'"&amp;AY$234&amp;"'!Year.Modules"),$C243)</f>
        <v>0</v>
      </c>
      <c r="AZ243" s="1252"/>
      <c r="BA243" s="1252">
        <f t="shared" ca="1" si="66"/>
        <v>0</v>
      </c>
      <c r="BB243" s="1252">
        <f t="shared" ca="1" si="66"/>
        <v>0</v>
      </c>
      <c r="BC243" s="1252">
        <f t="shared" ca="1" si="66"/>
        <v>0</v>
      </c>
      <c r="BD243" s="1252">
        <f t="shared" ca="1" si="66"/>
        <v>0</v>
      </c>
      <c r="BE243" s="1252">
        <f t="shared" ca="1" si="66"/>
        <v>0</v>
      </c>
      <c r="BF243" s="1252">
        <f t="shared" ca="1" si="66"/>
        <v>0</v>
      </c>
      <c r="BG243" s="1252">
        <f t="shared" ca="1" si="66"/>
        <v>0</v>
      </c>
      <c r="BH243" s="1252">
        <f t="shared" ca="1" si="66"/>
        <v>0</v>
      </c>
      <c r="BI243" s="1252">
        <f t="shared" ca="1" si="66"/>
        <v>0</v>
      </c>
      <c r="BJ243" s="1248"/>
    </row>
    <row r="244" spans="2:62" s="51" customFormat="1" ht="13.5" customHeight="1">
      <c r="B244" s="1240"/>
      <c r="C244" s="1242" t="s">
        <v>196</v>
      </c>
      <c r="D244" s="1242"/>
      <c r="E244" s="1242"/>
      <c r="F244" s="1242" t="str">
        <f>INDEX(Workstreams[Workstream], MATCH($C244, Workstreams[Code], 0))</f>
        <v>Lighting and appliances</v>
      </c>
      <c r="G244" s="1250"/>
      <c r="H244" s="1251"/>
      <c r="I244" s="1251"/>
      <c r="J244" s="1251"/>
      <c r="K244" s="1251"/>
      <c r="L244" s="1251"/>
      <c r="M244" s="1251"/>
      <c r="N244" s="1251"/>
      <c r="O244" s="1251"/>
      <c r="P244" s="1251"/>
      <c r="Q244" s="1251"/>
      <c r="R244" s="1251"/>
      <c r="S244" s="1251"/>
      <c r="T244" s="1251"/>
      <c r="U244" s="1251"/>
      <c r="V244" s="1251"/>
      <c r="W244" s="1251"/>
      <c r="X244" s="1251"/>
      <c r="Y244" s="1251"/>
      <c r="Z244" s="1251"/>
      <c r="AA244" s="1251"/>
      <c r="AB244" s="1251"/>
      <c r="AC244" s="1251"/>
      <c r="AD244" s="1251"/>
      <c r="AE244" s="1251"/>
      <c r="AF244" s="1251"/>
      <c r="AG244" s="1251"/>
      <c r="AH244" s="1251"/>
      <c r="AI244" s="1251"/>
      <c r="AJ244" s="1251"/>
      <c r="AK244" s="1251"/>
      <c r="AL244" s="1251"/>
      <c r="AM244" s="1251"/>
      <c r="AN244" s="1251"/>
      <c r="AO244" s="1251"/>
      <c r="AP244" s="1251"/>
      <c r="AQ244" s="1251"/>
      <c r="AR244" s="1251"/>
      <c r="AS244" s="1251"/>
      <c r="AT244" s="1251"/>
      <c r="AU244" s="1251"/>
      <c r="AV244" s="1251"/>
      <c r="AW244" s="1251"/>
      <c r="AX244" s="1241"/>
      <c r="AY244" s="1252">
        <f t="shared" ca="1" si="66"/>
        <v>1.9940071140643392</v>
      </c>
      <c r="AZ244" s="1252"/>
      <c r="BA244" s="1252">
        <f t="shared" ca="1" si="66"/>
        <v>1.8329576632390179</v>
      </c>
      <c r="BB244" s="1252">
        <f t="shared" ca="1" si="66"/>
        <v>1.5593969490007227</v>
      </c>
      <c r="BC244" s="1252">
        <f t="shared" ca="1" si="66"/>
        <v>1.2520757241189449</v>
      </c>
      <c r="BD244" s="1252">
        <f t="shared" ca="1" si="66"/>
        <v>0.89960387313435453</v>
      </c>
      <c r="BE244" s="1252">
        <f t="shared" ca="1" si="66"/>
        <v>0.51206817193927345</v>
      </c>
      <c r="BF244" s="1252">
        <f t="shared" ca="1" si="66"/>
        <v>0.41076728618570002</v>
      </c>
      <c r="BG244" s="1252">
        <f t="shared" ca="1" si="66"/>
        <v>0.28960362076092644</v>
      </c>
      <c r="BH244" s="1252">
        <f t="shared" ca="1" si="66"/>
        <v>0.15320843556214719</v>
      </c>
      <c r="BI244" s="1252">
        <f t="shared" ca="1" si="66"/>
        <v>0</v>
      </c>
      <c r="BJ244" s="1248"/>
    </row>
    <row r="245" spans="2:62" s="51" customFormat="1" ht="13.5" customHeight="1">
      <c r="B245" s="1240"/>
      <c r="C245" s="1242" t="s">
        <v>197</v>
      </c>
      <c r="D245" s="1242"/>
      <c r="E245" s="1242"/>
      <c r="F245" s="1242" t="str">
        <f>INDEX(Workstreams[Workstream], MATCH($C245, Workstreams[Code], 0))</f>
        <v>Industry</v>
      </c>
      <c r="G245" s="1250"/>
      <c r="H245" s="1251"/>
      <c r="I245" s="1251"/>
      <c r="J245" s="1251"/>
      <c r="K245" s="1251"/>
      <c r="L245" s="1251"/>
      <c r="M245" s="1251"/>
      <c r="N245" s="1251"/>
      <c r="O245" s="1251"/>
      <c r="P245" s="1251"/>
      <c r="Q245" s="1251"/>
      <c r="R245" s="1251"/>
      <c r="S245" s="1251"/>
      <c r="T245" s="1251"/>
      <c r="U245" s="1251"/>
      <c r="V245" s="1251"/>
      <c r="W245" s="1251"/>
      <c r="X245" s="1251"/>
      <c r="Y245" s="1251"/>
      <c r="Z245" s="1251"/>
      <c r="AA245" s="1251"/>
      <c r="AB245" s="1251"/>
      <c r="AC245" s="1251"/>
      <c r="AD245" s="1251"/>
      <c r="AE245" s="1251"/>
      <c r="AF245" s="1251"/>
      <c r="AG245" s="1251"/>
      <c r="AH245" s="1251"/>
      <c r="AI245" s="1251"/>
      <c r="AJ245" s="1251"/>
      <c r="AK245" s="1251"/>
      <c r="AL245" s="1251"/>
      <c r="AM245" s="1251"/>
      <c r="AN245" s="1251"/>
      <c r="AO245" s="1251"/>
      <c r="AP245" s="1251"/>
      <c r="AQ245" s="1251"/>
      <c r="AR245" s="1251"/>
      <c r="AS245" s="1251"/>
      <c r="AT245" s="1251"/>
      <c r="AU245" s="1251"/>
      <c r="AV245" s="1251"/>
      <c r="AW245" s="1251"/>
      <c r="AX245" s="1241"/>
      <c r="AY245" s="1252">
        <f t="shared" ca="1" si="66"/>
        <v>656.32859095817719</v>
      </c>
      <c r="AZ245" s="1252"/>
      <c r="BA245" s="1252">
        <f t="shared" ca="1" si="66"/>
        <v>979.12998115429286</v>
      </c>
      <c r="BB245" s="1252">
        <f t="shared" ca="1" si="66"/>
        <v>1345.4936987492497</v>
      </c>
      <c r="BC245" s="1252">
        <f t="shared" ca="1" si="66"/>
        <v>1924.2235281328119</v>
      </c>
      <c r="BD245" s="1252">
        <f t="shared" ca="1" si="66"/>
        <v>2584.2470908653481</v>
      </c>
      <c r="BE245" s="1252">
        <f t="shared" ca="1" si="66"/>
        <v>3317.3344442972589</v>
      </c>
      <c r="BF245" s="1252">
        <f t="shared" ca="1" si="66"/>
        <v>4101.1617703764796</v>
      </c>
      <c r="BG245" s="1252">
        <f t="shared" ca="1" si="66"/>
        <v>4844.097183367986</v>
      </c>
      <c r="BH245" s="1252">
        <f t="shared" ca="1" si="66"/>
        <v>5519.430879030032</v>
      </c>
      <c r="BI245" s="1252">
        <f t="shared" ca="1" si="66"/>
        <v>6202.7146584073007</v>
      </c>
      <c r="BJ245" s="1248"/>
    </row>
    <row r="246" spans="2:62" s="51" customFormat="1" ht="13.5" customHeight="1">
      <c r="B246" s="1240"/>
      <c r="C246" s="1242" t="s">
        <v>198</v>
      </c>
      <c r="D246" s="1242"/>
      <c r="E246" s="1242"/>
      <c r="F246" s="1242" t="str">
        <f>INDEX(Workstreams[Workstream], MATCH($C246, Workstreams[Code], 0))</f>
        <v>Transport</v>
      </c>
      <c r="G246" s="1250"/>
      <c r="H246" s="1251"/>
      <c r="I246" s="1251"/>
      <c r="J246" s="1251"/>
      <c r="K246" s="1251"/>
      <c r="L246" s="1251"/>
      <c r="M246" s="1251"/>
      <c r="N246" s="1251"/>
      <c r="O246" s="1251"/>
      <c r="P246" s="1251"/>
      <c r="Q246" s="1251"/>
      <c r="R246" s="1251"/>
      <c r="S246" s="1251"/>
      <c r="T246" s="1251"/>
      <c r="U246" s="1251"/>
      <c r="V246" s="1251"/>
      <c r="W246" s="1251"/>
      <c r="X246" s="1251"/>
      <c r="Y246" s="1251"/>
      <c r="Z246" s="1251"/>
      <c r="AA246" s="1251"/>
      <c r="AB246" s="1251"/>
      <c r="AC246" s="1251"/>
      <c r="AD246" s="1251"/>
      <c r="AE246" s="1251"/>
      <c r="AF246" s="1251"/>
      <c r="AG246" s="1251"/>
      <c r="AH246" s="1251"/>
      <c r="AI246" s="1251"/>
      <c r="AJ246" s="1251"/>
      <c r="AK246" s="1251"/>
      <c r="AL246" s="1251"/>
      <c r="AM246" s="1251"/>
      <c r="AN246" s="1251"/>
      <c r="AO246" s="1251"/>
      <c r="AP246" s="1251"/>
      <c r="AQ246" s="1251"/>
      <c r="AR246" s="1251"/>
      <c r="AS246" s="1251"/>
      <c r="AT246" s="1251"/>
      <c r="AU246" s="1251"/>
      <c r="AV246" s="1251"/>
      <c r="AW246" s="1251"/>
      <c r="AX246" s="1241"/>
      <c r="AY246" s="1252">
        <f t="shared" ca="1" si="66"/>
        <v>221.70597052391258</v>
      </c>
      <c r="AZ246" s="1252"/>
      <c r="BA246" s="1252">
        <f t="shared" ca="1" si="66"/>
        <v>221.70597052391261</v>
      </c>
      <c r="BB246" s="1252">
        <f t="shared" ca="1" si="66"/>
        <v>332.72341446359428</v>
      </c>
      <c r="BC246" s="1252">
        <f t="shared" ca="1" si="66"/>
        <v>477.73809644813332</v>
      </c>
      <c r="BD246" s="1252">
        <f t="shared" ca="1" si="66"/>
        <v>649.49680855388033</v>
      </c>
      <c r="BE246" s="1252">
        <f t="shared" ca="1" si="66"/>
        <v>860.97101632540114</v>
      </c>
      <c r="BF246" s="1252">
        <f t="shared" ca="1" si="66"/>
        <v>1104.8989516151646</v>
      </c>
      <c r="BG246" s="1252">
        <f t="shared" ca="1" si="66"/>
        <v>1338.419311507872</v>
      </c>
      <c r="BH246" s="1252">
        <f t="shared" ca="1" si="66"/>
        <v>1594.8309940816716</v>
      </c>
      <c r="BI246" s="1252">
        <f t="shared" ca="1" si="66"/>
        <v>1853.5938094630712</v>
      </c>
      <c r="BJ246" s="1248"/>
    </row>
    <row r="247" spans="2:62" s="51" customFormat="1" ht="13.5" customHeight="1">
      <c r="B247" s="1240"/>
      <c r="C247" s="1242" t="s">
        <v>199</v>
      </c>
      <c r="D247" s="1242"/>
      <c r="E247" s="1242"/>
      <c r="F247" s="1242" t="str">
        <f>INDEX(Workstreams[Workstream], MATCH($C247, Workstreams[Code], 0))</f>
        <v>Cooking</v>
      </c>
      <c r="G247" s="1250"/>
      <c r="H247" s="1251"/>
      <c r="I247" s="1251"/>
      <c r="J247" s="1251"/>
      <c r="K247" s="1251"/>
      <c r="L247" s="1251"/>
      <c r="M247" s="1251"/>
      <c r="N247" s="1251"/>
      <c r="O247" s="1251"/>
      <c r="P247" s="1251"/>
      <c r="Q247" s="1251"/>
      <c r="R247" s="1251"/>
      <c r="S247" s="1251"/>
      <c r="T247" s="1251"/>
      <c r="U247" s="1251"/>
      <c r="V247" s="1251"/>
      <c r="W247" s="1251"/>
      <c r="X247" s="1251"/>
      <c r="Y247" s="1251"/>
      <c r="Z247" s="1251"/>
      <c r="AA247" s="1251"/>
      <c r="AB247" s="1251"/>
      <c r="AC247" s="1251"/>
      <c r="AD247" s="1251"/>
      <c r="AE247" s="1251"/>
      <c r="AF247" s="1251"/>
      <c r="AG247" s="1251"/>
      <c r="AH247" s="1251"/>
      <c r="AI247" s="1251"/>
      <c r="AJ247" s="1251"/>
      <c r="AK247" s="1251"/>
      <c r="AL247" s="1251"/>
      <c r="AM247" s="1251"/>
      <c r="AN247" s="1251"/>
      <c r="AO247" s="1251"/>
      <c r="AP247" s="1251"/>
      <c r="AQ247" s="1251"/>
      <c r="AR247" s="1251"/>
      <c r="AS247" s="1251"/>
      <c r="AT247" s="1251"/>
      <c r="AU247" s="1251"/>
      <c r="AV247" s="1251"/>
      <c r="AW247" s="1251"/>
      <c r="AX247" s="1241"/>
      <c r="AY247" s="1252">
        <f t="shared" ca="1" si="66"/>
        <v>10.704467295035755</v>
      </c>
      <c r="AZ247" s="1252"/>
      <c r="BA247" s="1252">
        <f t="shared" ca="1" si="66"/>
        <v>16.260888821331829</v>
      </c>
      <c r="BB247" s="1252">
        <f t="shared" ca="1" si="66"/>
        <v>24.239503543901211</v>
      </c>
      <c r="BC247" s="1252">
        <f t="shared" ca="1" si="66"/>
        <v>35.933460950189563</v>
      </c>
      <c r="BD247" s="1252">
        <f t="shared" ca="1" si="66"/>
        <v>52.751366453469238</v>
      </c>
      <c r="BE247" s="1252">
        <f t="shared" ca="1" si="66"/>
        <v>195.39740644307</v>
      </c>
      <c r="BF247" s="1252">
        <f t="shared" ca="1" si="66"/>
        <v>103.07922847908272</v>
      </c>
      <c r="BG247" s="1252">
        <f t="shared" ca="1" si="66"/>
        <v>137.80633413788036</v>
      </c>
      <c r="BH247" s="1252">
        <f t="shared" ca="1" si="66"/>
        <v>184.23361666422136</v>
      </c>
      <c r="BI247" s="1252">
        <f t="shared" ca="1" si="66"/>
        <v>246.3033097633579</v>
      </c>
      <c r="BJ247" s="1248"/>
    </row>
    <row r="248" spans="2:62" s="51" customFormat="1" ht="13.5" customHeight="1">
      <c r="B248" s="1240"/>
      <c r="C248" s="1242" t="s">
        <v>194</v>
      </c>
      <c r="D248" s="1242"/>
      <c r="E248" s="1242"/>
      <c r="F248" s="1242" t="str">
        <f>INDEX(Workstreams[Workstream], MATCH($C248, Workstreams[Code], 0))</f>
        <v>Agriculture</v>
      </c>
      <c r="G248" s="1250"/>
      <c r="H248" s="1251"/>
      <c r="I248" s="1251"/>
      <c r="J248" s="1251"/>
      <c r="K248" s="1251"/>
      <c r="L248" s="1251"/>
      <c r="M248" s="1251"/>
      <c r="N248" s="1251"/>
      <c r="O248" s="1251"/>
      <c r="P248" s="1251"/>
      <c r="Q248" s="1251"/>
      <c r="R248" s="1251"/>
      <c r="S248" s="1251"/>
      <c r="T248" s="1251"/>
      <c r="U248" s="1251"/>
      <c r="V248" s="1251"/>
      <c r="W248" s="1251"/>
      <c r="X248" s="1251"/>
      <c r="Y248" s="1251"/>
      <c r="Z248" s="1251"/>
      <c r="AA248" s="1251"/>
      <c r="AB248" s="1251"/>
      <c r="AC248" s="1251"/>
      <c r="AD248" s="1251"/>
      <c r="AE248" s="1251"/>
      <c r="AF248" s="1251"/>
      <c r="AG248" s="1251"/>
      <c r="AH248" s="1251"/>
      <c r="AI248" s="1251"/>
      <c r="AJ248" s="1251"/>
      <c r="AK248" s="1251"/>
      <c r="AL248" s="1251"/>
      <c r="AM248" s="1251"/>
      <c r="AN248" s="1251"/>
      <c r="AO248" s="1251"/>
      <c r="AP248" s="1251"/>
      <c r="AQ248" s="1251"/>
      <c r="AR248" s="1251"/>
      <c r="AS248" s="1251"/>
      <c r="AT248" s="1251"/>
      <c r="AU248" s="1251"/>
      <c r="AV248" s="1251"/>
      <c r="AW248" s="1251"/>
      <c r="AX248" s="1241"/>
      <c r="AY248" s="1252">
        <f t="shared" ca="1" si="66"/>
        <v>20.879036754401042</v>
      </c>
      <c r="AZ248" s="1252"/>
      <c r="BA248" s="1252">
        <f t="shared" ca="1" si="66"/>
        <v>27.03601947205911</v>
      </c>
      <c r="BB248" s="1252">
        <f t="shared" ca="1" si="66"/>
        <v>37.21072446431117</v>
      </c>
      <c r="BC248" s="1252">
        <f t="shared" ca="1" si="66"/>
        <v>50.995495766927469</v>
      </c>
      <c r="BD248" s="1252">
        <f t="shared" ca="1" si="66"/>
        <v>68.186469248991159</v>
      </c>
      <c r="BE248" s="1252">
        <f t="shared" ca="1" si="66"/>
        <v>85.704909681985981</v>
      </c>
      <c r="BF248" s="1252">
        <f t="shared" ca="1" si="66"/>
        <v>91.587093210349664</v>
      </c>
      <c r="BG248" s="1252">
        <f t="shared" ca="1" si="66"/>
        <v>98.698794368998193</v>
      </c>
      <c r="BH248" s="1252">
        <f t="shared" ca="1" si="66"/>
        <v>103.819221533879</v>
      </c>
      <c r="BI248" s="1252">
        <f t="shared" ca="1" si="66"/>
        <v>109.56385666370986</v>
      </c>
      <c r="BJ248" s="1248"/>
    </row>
    <row r="249" spans="2:62" s="51" customFormat="1" ht="13.5" customHeight="1">
      <c r="B249" s="1240"/>
      <c r="C249" s="1242" t="s">
        <v>308</v>
      </c>
      <c r="D249" s="1242"/>
      <c r="E249" s="1242"/>
      <c r="F249" s="1242" t="str">
        <f>INDEX(Workstreams[Workstream], MATCH($C249, Workstreams[Code], 0))</f>
        <v>Fossil fuel production</v>
      </c>
      <c r="G249" s="1250"/>
      <c r="H249" s="1251"/>
      <c r="I249" s="1251"/>
      <c r="J249" s="1251"/>
      <c r="K249" s="1251"/>
      <c r="L249" s="1251"/>
      <c r="M249" s="1251"/>
      <c r="N249" s="1251"/>
      <c r="O249" s="1251"/>
      <c r="P249" s="1251"/>
      <c r="Q249" s="1251"/>
      <c r="R249" s="1251"/>
      <c r="S249" s="1251"/>
      <c r="T249" s="1251"/>
      <c r="U249" s="1251"/>
      <c r="V249" s="1251"/>
      <c r="W249" s="1251"/>
      <c r="X249" s="1251"/>
      <c r="Y249" s="1251"/>
      <c r="Z249" s="1251"/>
      <c r="AA249" s="1251"/>
      <c r="AB249" s="1251"/>
      <c r="AC249" s="1251"/>
      <c r="AD249" s="1251"/>
      <c r="AE249" s="1251"/>
      <c r="AF249" s="1251"/>
      <c r="AG249" s="1251"/>
      <c r="AH249" s="1251"/>
      <c r="AI249" s="1251"/>
      <c r="AJ249" s="1251"/>
      <c r="AK249" s="1251"/>
      <c r="AL249" s="1251"/>
      <c r="AM249" s="1251"/>
      <c r="AN249" s="1251"/>
      <c r="AO249" s="1251"/>
      <c r="AP249" s="1251"/>
      <c r="AQ249" s="1251"/>
      <c r="AR249" s="1251"/>
      <c r="AS249" s="1251"/>
      <c r="AT249" s="1251"/>
      <c r="AU249" s="1251"/>
      <c r="AV249" s="1251"/>
      <c r="AW249" s="1251"/>
      <c r="AX249" s="1241"/>
      <c r="AY249" s="1252">
        <f t="shared" ca="1" si="66"/>
        <v>0</v>
      </c>
      <c r="AZ249" s="1252"/>
      <c r="BA249" s="1252">
        <f t="shared" ca="1" si="66"/>
        <v>0</v>
      </c>
      <c r="BB249" s="1252">
        <f t="shared" ca="1" si="66"/>
        <v>0</v>
      </c>
      <c r="BC249" s="1252">
        <f t="shared" ca="1" si="66"/>
        <v>0</v>
      </c>
      <c r="BD249" s="1252">
        <f t="shared" ca="1" si="66"/>
        <v>0</v>
      </c>
      <c r="BE249" s="1252">
        <f t="shared" ca="1" si="66"/>
        <v>0</v>
      </c>
      <c r="BF249" s="1252">
        <f t="shared" ca="1" si="66"/>
        <v>0</v>
      </c>
      <c r="BG249" s="1252">
        <f t="shared" ca="1" si="66"/>
        <v>0</v>
      </c>
      <c r="BH249" s="1252">
        <f t="shared" ca="1" si="66"/>
        <v>0</v>
      </c>
      <c r="BI249" s="1252">
        <f t="shared" ca="1" si="66"/>
        <v>0</v>
      </c>
      <c r="BJ249" s="1248"/>
    </row>
    <row r="250" spans="2:62" s="51" customFormat="1" ht="13.5" customHeight="1">
      <c r="B250" s="1240"/>
      <c r="C250" s="1242" t="s">
        <v>330</v>
      </c>
      <c r="D250" s="1242"/>
      <c r="E250" s="1242"/>
      <c r="F250" s="1242" t="str">
        <f>INDEX(Workstreams[Workstream], MATCH($C250, Workstreams[Code], 0))</f>
        <v>Telecom</v>
      </c>
      <c r="G250" s="1250"/>
      <c r="H250" s="1251"/>
      <c r="I250" s="1251"/>
      <c r="J250" s="1251"/>
      <c r="K250" s="1251"/>
      <c r="L250" s="1251"/>
      <c r="M250" s="1251"/>
      <c r="N250" s="1251"/>
      <c r="O250" s="1251"/>
      <c r="P250" s="1251"/>
      <c r="Q250" s="1251"/>
      <c r="R250" s="1251"/>
      <c r="S250" s="1251"/>
      <c r="T250" s="1251"/>
      <c r="U250" s="1251"/>
      <c r="V250" s="1251"/>
      <c r="W250" s="1251"/>
      <c r="X250" s="1251"/>
      <c r="Y250" s="1251"/>
      <c r="Z250" s="1251"/>
      <c r="AA250" s="1251"/>
      <c r="AB250" s="1251"/>
      <c r="AC250" s="1251"/>
      <c r="AD250" s="1251"/>
      <c r="AE250" s="1251"/>
      <c r="AF250" s="1251"/>
      <c r="AG250" s="1251"/>
      <c r="AH250" s="1251"/>
      <c r="AI250" s="1251"/>
      <c r="AJ250" s="1251"/>
      <c r="AK250" s="1251"/>
      <c r="AL250" s="1251"/>
      <c r="AM250" s="1251"/>
      <c r="AN250" s="1251"/>
      <c r="AO250" s="1251"/>
      <c r="AP250" s="1251"/>
      <c r="AQ250" s="1251"/>
      <c r="AR250" s="1251"/>
      <c r="AS250" s="1251"/>
      <c r="AT250" s="1251"/>
      <c r="AU250" s="1251"/>
      <c r="AV250" s="1251"/>
      <c r="AW250" s="1251"/>
      <c r="AX250" s="1241"/>
      <c r="AY250" s="1252">
        <f t="shared" ca="1" si="66"/>
        <v>3.0726872469131559</v>
      </c>
      <c r="AZ250" s="1252"/>
      <c r="BA250" s="1252">
        <f t="shared" ca="1" si="66"/>
        <v>18.29421654212566</v>
      </c>
      <c r="BB250" s="1252">
        <f t="shared" ca="1" si="66"/>
        <v>21.177514905456842</v>
      </c>
      <c r="BC250" s="1252">
        <f t="shared" ca="1" si="66"/>
        <v>25.074678438244892</v>
      </c>
      <c r="BD250" s="1252">
        <f t="shared" ca="1" si="66"/>
        <v>32.320342968977968</v>
      </c>
      <c r="BE250" s="1252">
        <f t="shared" ca="1" si="66"/>
        <v>36.462928193339295</v>
      </c>
      <c r="BF250" s="1252">
        <f t="shared" ca="1" si="66"/>
        <v>35.469500008939789</v>
      </c>
      <c r="BG250" s="1252">
        <f t="shared" ca="1" si="66"/>
        <v>36.23072660274935</v>
      </c>
      <c r="BH250" s="1252">
        <f t="shared" ca="1" si="66"/>
        <v>41.661688969135909</v>
      </c>
      <c r="BI250" s="1252">
        <f t="shared" ca="1" si="66"/>
        <v>52.715327395312691</v>
      </c>
      <c r="BJ250" s="1248"/>
    </row>
    <row r="251" spans="2:62" s="51" customFormat="1" ht="13.5" customHeight="1">
      <c r="B251" s="1240"/>
      <c r="C251" s="1242" t="s">
        <v>409</v>
      </c>
      <c r="D251" s="1242"/>
      <c r="E251" s="1242"/>
      <c r="F251" s="1242" t="str">
        <f>INDEX(Workstreams[Workstream], MATCH($C251, Workstreams[Code], 0))</f>
        <v>Transfer</v>
      </c>
      <c r="G251" s="1250"/>
      <c r="H251" s="1251"/>
      <c r="I251" s="1251"/>
      <c r="J251" s="1251"/>
      <c r="K251" s="1251"/>
      <c r="L251" s="1251"/>
      <c r="M251" s="1251"/>
      <c r="N251" s="1251"/>
      <c r="O251" s="1251"/>
      <c r="P251" s="1251"/>
      <c r="Q251" s="1251"/>
      <c r="R251" s="1251"/>
      <c r="S251" s="1251"/>
      <c r="T251" s="1251"/>
      <c r="U251" s="1251"/>
      <c r="V251" s="1251"/>
      <c r="W251" s="1251"/>
      <c r="X251" s="1251"/>
      <c r="Y251" s="1251"/>
      <c r="Z251" s="1251"/>
      <c r="AA251" s="1251"/>
      <c r="AB251" s="1251"/>
      <c r="AC251" s="1251"/>
      <c r="AD251" s="1251"/>
      <c r="AE251" s="1251"/>
      <c r="AF251" s="1251"/>
      <c r="AG251" s="1251"/>
      <c r="AH251" s="1251"/>
      <c r="AI251" s="1251"/>
      <c r="AJ251" s="1251"/>
      <c r="AK251" s="1251"/>
      <c r="AL251" s="1251"/>
      <c r="AM251" s="1251"/>
      <c r="AN251" s="1251"/>
      <c r="AO251" s="1251"/>
      <c r="AP251" s="1251"/>
      <c r="AQ251" s="1251"/>
      <c r="AR251" s="1251"/>
      <c r="AS251" s="1251"/>
      <c r="AT251" s="1251"/>
      <c r="AU251" s="1251"/>
      <c r="AV251" s="1251"/>
      <c r="AW251" s="1251"/>
      <c r="AX251" s="1241"/>
      <c r="AY251" s="1252">
        <f t="shared" ca="1" si="66"/>
        <v>0</v>
      </c>
      <c r="AZ251" s="1252"/>
      <c r="BA251" s="1252">
        <f t="shared" ca="1" si="66"/>
        <v>0</v>
      </c>
      <c r="BB251" s="1252">
        <f t="shared" ca="1" si="66"/>
        <v>0</v>
      </c>
      <c r="BC251" s="1252">
        <f t="shared" ca="1" si="66"/>
        <v>0</v>
      </c>
      <c r="BD251" s="1252">
        <f t="shared" ca="1" si="66"/>
        <v>0</v>
      </c>
      <c r="BE251" s="1252">
        <f t="shared" ca="1" si="66"/>
        <v>0</v>
      </c>
      <c r="BF251" s="1252">
        <f t="shared" ca="1" si="66"/>
        <v>0</v>
      </c>
      <c r="BG251" s="1252">
        <f t="shared" ca="1" si="66"/>
        <v>0</v>
      </c>
      <c r="BH251" s="1252">
        <f t="shared" ca="1" si="66"/>
        <v>0</v>
      </c>
      <c r="BI251" s="1252">
        <f t="shared" ca="1" si="66"/>
        <v>0</v>
      </c>
      <c r="BJ251" s="1248"/>
    </row>
    <row r="252" spans="2:62" s="51" customFormat="1" ht="13.5" customHeight="1">
      <c r="B252" s="1240"/>
      <c r="C252" s="1241"/>
      <c r="D252" s="1242"/>
      <c r="E252" s="1242"/>
      <c r="F252" s="1242" t="s">
        <v>103</v>
      </c>
      <c r="G252" s="1242"/>
      <c r="H252" s="1249"/>
      <c r="I252" s="1249"/>
      <c r="J252" s="1249"/>
      <c r="K252" s="1249"/>
      <c r="L252" s="1249"/>
      <c r="M252" s="1249"/>
      <c r="N252" s="1249"/>
      <c r="O252" s="1249"/>
      <c r="P252" s="1249"/>
      <c r="Q252" s="1249"/>
      <c r="R252" s="1249"/>
      <c r="S252" s="1249"/>
      <c r="T252" s="1249"/>
      <c r="U252" s="1249"/>
      <c r="V252" s="1249"/>
      <c r="W252" s="1249"/>
      <c r="X252" s="1249"/>
      <c r="Y252" s="1249"/>
      <c r="Z252" s="1249"/>
      <c r="AA252" s="1249"/>
      <c r="AB252" s="1249"/>
      <c r="AC252" s="1249"/>
      <c r="AD252" s="1249"/>
      <c r="AE252" s="1249"/>
      <c r="AF252" s="1249"/>
      <c r="AG252" s="1249"/>
      <c r="AH252" s="1249"/>
      <c r="AI252" s="1249"/>
      <c r="AJ252" s="1249"/>
      <c r="AK252" s="1249"/>
      <c r="AL252" s="1249"/>
      <c r="AM252" s="1249"/>
      <c r="AN252" s="1249"/>
      <c r="AO252" s="1249"/>
      <c r="AP252" s="1249"/>
      <c r="AQ252" s="1249"/>
      <c r="AR252" s="1249"/>
      <c r="AS252" s="1249"/>
      <c r="AT252" s="1249"/>
      <c r="AU252" s="1249"/>
      <c r="AV252" s="1249"/>
      <c r="AW252" s="1249"/>
      <c r="AX252" s="1241"/>
      <c r="AY252" s="1253">
        <f t="shared" ref="AY252:BI252" ca="1" si="67">SUM(AY235:AY251)</f>
        <v>1195.8572826101824</v>
      </c>
      <c r="AZ252" s="1253"/>
      <c r="BA252" s="1253">
        <f t="shared" ca="1" si="67"/>
        <v>1733.1001289422813</v>
      </c>
      <c r="BB252" s="1253">
        <f t="shared" ca="1" si="67"/>
        <v>2533.7480441334887</v>
      </c>
      <c r="BC252" s="1253">
        <f t="shared" ca="1" si="67"/>
        <v>3806.5855192566146</v>
      </c>
      <c r="BD252" s="1253">
        <f t="shared" ca="1" si="67"/>
        <v>5353.8417564593346</v>
      </c>
      <c r="BE252" s="1253">
        <f t="shared" ca="1" si="67"/>
        <v>7378.9613953270882</v>
      </c>
      <c r="BF252" s="1253">
        <f t="shared" ca="1" si="67"/>
        <v>9144.171323693894</v>
      </c>
      <c r="BG252" s="1253">
        <f t="shared" ca="1" si="67"/>
        <v>11117.207383316709</v>
      </c>
      <c r="BH252" s="1253">
        <f t="shared" ca="1" si="67"/>
        <v>12981.228276226235</v>
      </c>
      <c r="BI252" s="1253">
        <f t="shared" ca="1" si="67"/>
        <v>14990.151831648607</v>
      </c>
      <c r="BJ252" s="1248"/>
    </row>
    <row r="253" spans="2:62">
      <c r="B253" s="1240"/>
      <c r="C253" s="1214"/>
      <c r="D253" s="1214"/>
      <c r="E253" s="1214"/>
      <c r="F253" s="1265" t="s">
        <v>2467</v>
      </c>
      <c r="G253" s="1236"/>
      <c r="H253" s="1254"/>
      <c r="I253" s="1254"/>
      <c r="J253" s="1254"/>
      <c r="K253" s="1254"/>
      <c r="L253" s="1254"/>
      <c r="M253" s="1254"/>
      <c r="N253" s="1254"/>
      <c r="O253" s="1254"/>
      <c r="P253" s="1254"/>
      <c r="Q253" s="1254"/>
      <c r="R253" s="1254"/>
      <c r="S253" s="1254"/>
      <c r="T253" s="1254"/>
      <c r="U253" s="1254"/>
      <c r="V253" s="1254"/>
      <c r="W253" s="1254"/>
      <c r="X253" s="1254"/>
      <c r="Y253" s="1254"/>
      <c r="Z253" s="1254"/>
      <c r="AA253" s="1254"/>
      <c r="AB253" s="1254"/>
      <c r="AC253" s="1254"/>
      <c r="AD253" s="1254"/>
      <c r="AE253" s="1254"/>
      <c r="AF253" s="1254"/>
      <c r="AG253" s="1254"/>
      <c r="AH253" s="1254"/>
      <c r="AI253" s="1254"/>
      <c r="AJ253" s="1254"/>
      <c r="AK253" s="1254"/>
      <c r="AL253" s="1254"/>
      <c r="AM253" s="1254"/>
      <c r="AN253" s="1254"/>
      <c r="AO253" s="1254"/>
      <c r="AP253" s="1254"/>
      <c r="AQ253" s="1254"/>
      <c r="AR253" s="1254"/>
      <c r="AS253" s="1254"/>
      <c r="AT253" s="1254"/>
      <c r="AU253" s="1254"/>
      <c r="AV253" s="1254"/>
      <c r="AW253" s="1254"/>
      <c r="AX253" s="1214"/>
      <c r="AY253" s="1214"/>
      <c r="AZ253" s="1214"/>
      <c r="BA253" s="3196">
        <f ca="1">BA252*10^6/BA82</f>
        <v>1.4253081226256636</v>
      </c>
      <c r="BB253" s="3196">
        <f t="shared" ref="BB253:BI253" ca="1" si="68">BB252*10^6/BB82</f>
        <v>1.9587400194121416</v>
      </c>
      <c r="BC253" s="3196">
        <f t="shared" ca="1" si="68"/>
        <v>2.7512343235444749</v>
      </c>
      <c r="BD253" s="3196">
        <f t="shared" ca="1" si="68"/>
        <v>3.6834975062326762</v>
      </c>
      <c r="BE253" s="3196">
        <f t="shared" ca="1" si="68"/>
        <v>4.8104704541959915</v>
      </c>
      <c r="BF253" s="3196">
        <f t="shared" ca="1" si="68"/>
        <v>5.7432871664194378</v>
      </c>
      <c r="BG253" s="3196">
        <f t="shared" ca="1" si="68"/>
        <v>6.6988114539925032</v>
      </c>
      <c r="BH253" s="3196">
        <f t="shared" ca="1" si="68"/>
        <v>7.6173188825732678</v>
      </c>
      <c r="BI253" s="3196">
        <f t="shared" ca="1" si="68"/>
        <v>8.5267107096920398</v>
      </c>
      <c r="BJ253" s="1217" t="s">
        <v>1172</v>
      </c>
    </row>
    <row r="254" spans="2:62" ht="15.75">
      <c r="B254" s="1240"/>
      <c r="C254" s="1218" t="s">
        <v>1173</v>
      </c>
      <c r="D254" s="1214"/>
      <c r="E254" s="1214"/>
      <c r="F254" s="1236" t="s">
        <v>1174</v>
      </c>
      <c r="G254" s="1236"/>
      <c r="H254" s="1254"/>
      <c r="I254" s="1254"/>
      <c r="J254" s="1254"/>
      <c r="K254" s="1254"/>
      <c r="L254" s="1254"/>
      <c r="M254" s="1254"/>
      <c r="N254" s="1254"/>
      <c r="O254" s="1254"/>
      <c r="P254" s="1254"/>
      <c r="Q254" s="1254"/>
      <c r="R254" s="1254"/>
      <c r="S254" s="1254"/>
      <c r="T254" s="1254"/>
      <c r="U254" s="1254"/>
      <c r="V254" s="1254"/>
      <c r="W254" s="1254"/>
      <c r="X254" s="1254"/>
      <c r="Y254" s="1254"/>
      <c r="Z254" s="1254"/>
      <c r="AA254" s="1254"/>
      <c r="AB254" s="1254"/>
      <c r="AC254" s="1254"/>
      <c r="AD254" s="1254"/>
      <c r="AE254" s="1254"/>
      <c r="AF254" s="1254"/>
      <c r="AG254" s="1254"/>
      <c r="AH254" s="1254"/>
      <c r="AI254" s="1254"/>
      <c r="AJ254" s="1254"/>
      <c r="AK254" s="1254"/>
      <c r="AL254" s="1254"/>
      <c r="AM254" s="1254"/>
      <c r="AN254" s="1254"/>
      <c r="AO254" s="1254"/>
      <c r="AP254" s="1254"/>
      <c r="AQ254" s="1254"/>
      <c r="AR254" s="1254"/>
      <c r="AS254" s="1254"/>
      <c r="AT254" s="1254"/>
      <c r="AU254" s="1254"/>
      <c r="AV254" s="1254"/>
      <c r="AW254" s="1254"/>
      <c r="AX254" s="1214"/>
      <c r="AY254" s="1214"/>
      <c r="AZ254" s="1214"/>
      <c r="BA254" s="1256">
        <f ca="1">BA253</f>
        <v>1.4253081226256636</v>
      </c>
      <c r="BB254" s="1256">
        <f ca="1">BB253+BA253</f>
        <v>3.3840481420378055</v>
      </c>
      <c r="BC254" s="1256">
        <f t="shared" ref="BC254:BI254" ca="1" si="69">BC253+BB254</f>
        <v>6.1352824655822804</v>
      </c>
      <c r="BD254" s="1256">
        <f t="shared" ca="1" si="69"/>
        <v>9.8187799718149567</v>
      </c>
      <c r="BE254" s="1256">
        <f t="shared" ca="1" si="69"/>
        <v>14.629250426010948</v>
      </c>
      <c r="BF254" s="1256">
        <f t="shared" ca="1" si="69"/>
        <v>20.372537592430387</v>
      </c>
      <c r="BG254" s="1256">
        <f t="shared" ca="1" si="69"/>
        <v>27.071349046422888</v>
      </c>
      <c r="BH254" s="1256">
        <f t="shared" ca="1" si="69"/>
        <v>34.688667928996153</v>
      </c>
      <c r="BI254" s="1256">
        <f t="shared" ca="1" si="69"/>
        <v>43.215378638688193</v>
      </c>
      <c r="BJ254" s="1217"/>
    </row>
    <row r="255" spans="2:62">
      <c r="B255" s="1219"/>
      <c r="C255" s="1214"/>
      <c r="D255" s="1214"/>
      <c r="E255" s="1214"/>
      <c r="F255" s="1214"/>
      <c r="G255" s="1214"/>
      <c r="H255" s="1215"/>
      <c r="I255" s="1215"/>
      <c r="J255" s="1215"/>
      <c r="K255" s="1215"/>
      <c r="L255" s="1215"/>
      <c r="M255" s="1215"/>
      <c r="N255" s="1215"/>
      <c r="O255" s="1215"/>
      <c r="P255" s="1215"/>
      <c r="Q255" s="1215"/>
      <c r="R255" s="1215"/>
      <c r="S255" s="1215"/>
      <c r="T255" s="1215"/>
      <c r="U255" s="1215"/>
      <c r="V255" s="1215"/>
      <c r="W255" s="1215"/>
      <c r="X255" s="1215"/>
      <c r="Y255" s="1215"/>
      <c r="Z255" s="1215"/>
      <c r="AA255" s="1215"/>
      <c r="AB255" s="1215"/>
      <c r="AC255" s="1215"/>
      <c r="AD255" s="1215"/>
      <c r="AE255" s="1215"/>
      <c r="AF255" s="1215"/>
      <c r="AG255" s="1215"/>
      <c r="AH255" s="1215"/>
      <c r="AI255" s="1215"/>
      <c r="AJ255" s="1215"/>
      <c r="AK255" s="1215"/>
      <c r="AL255" s="1215"/>
      <c r="AM255" s="1215"/>
      <c r="AN255" s="1215"/>
      <c r="AO255" s="1215"/>
      <c r="AP255" s="1215"/>
      <c r="AQ255" s="1215"/>
      <c r="AR255" s="1215"/>
      <c r="AS255" s="1215"/>
      <c r="AT255" s="1215"/>
      <c r="AU255" s="1215"/>
      <c r="AV255" s="1215"/>
      <c r="AW255" s="1215"/>
      <c r="AX255" s="1214"/>
      <c r="AY255" s="1214"/>
      <c r="AZ255" s="1214"/>
      <c r="BA255" s="1214"/>
      <c r="BB255" s="1214"/>
      <c r="BC255" s="1214"/>
      <c r="BD255" s="1214"/>
      <c r="BE255" s="1214"/>
      <c r="BF255" s="1214"/>
      <c r="BG255" s="1214"/>
      <c r="BH255" s="1214"/>
      <c r="BI255" s="1214"/>
      <c r="BJ255" s="1217"/>
    </row>
    <row r="256" spans="2:62">
      <c r="B256" s="1219"/>
      <c r="C256" s="1214"/>
      <c r="D256" s="1220" t="s">
        <v>337</v>
      </c>
      <c r="E256" s="1214"/>
      <c r="F256" s="1214" t="s">
        <v>1175</v>
      </c>
      <c r="G256" s="1214"/>
      <c r="H256" s="1215"/>
      <c r="I256" s="1215"/>
      <c r="J256" s="1215"/>
      <c r="K256" s="1215"/>
      <c r="L256" s="1215"/>
      <c r="M256" s="1215"/>
      <c r="N256" s="1215"/>
      <c r="O256" s="1215"/>
      <c r="P256" s="1215"/>
      <c r="Q256" s="1215"/>
      <c r="R256" s="1215"/>
      <c r="S256" s="1215"/>
      <c r="T256" s="1215"/>
      <c r="U256" s="1215"/>
      <c r="V256" s="1215"/>
      <c r="W256" s="1215"/>
      <c r="X256" s="1215"/>
      <c r="Y256" s="1215"/>
      <c r="Z256" s="1215"/>
      <c r="AA256" s="1215"/>
      <c r="AB256" s="1215">
        <v>1990</v>
      </c>
      <c r="AC256" s="1215">
        <v>1991</v>
      </c>
      <c r="AD256" s="1215">
        <v>1992</v>
      </c>
      <c r="AE256" s="1215">
        <v>1993</v>
      </c>
      <c r="AF256" s="1215">
        <v>1994</v>
      </c>
      <c r="AG256" s="1215">
        <v>1995</v>
      </c>
      <c r="AH256" s="1215">
        <v>1996</v>
      </c>
      <c r="AI256" s="1215">
        <v>1997</v>
      </c>
      <c r="AJ256" s="1215">
        <v>1998</v>
      </c>
      <c r="AK256" s="1215">
        <v>1999</v>
      </c>
      <c r="AL256" s="1215">
        <v>2000</v>
      </c>
      <c r="AM256" s="1215">
        <v>2001</v>
      </c>
      <c r="AN256" s="1215">
        <v>2002</v>
      </c>
      <c r="AO256" s="1215">
        <v>2003</v>
      </c>
      <c r="AP256" s="1215">
        <v>2004</v>
      </c>
      <c r="AQ256" s="1215">
        <v>2005</v>
      </c>
      <c r="AR256" s="1215">
        <v>2006</v>
      </c>
      <c r="AS256" s="1215">
        <v>2007</v>
      </c>
      <c r="AT256" s="1215">
        <v>2008</v>
      </c>
      <c r="AU256" s="1215">
        <v>2009</v>
      </c>
      <c r="AV256" s="1215">
        <v>2010</v>
      </c>
      <c r="AW256" s="1215"/>
      <c r="AX256" s="1214"/>
      <c r="AY256" s="1214"/>
      <c r="AZ256" s="1214"/>
      <c r="BA256" s="1214"/>
      <c r="BB256" s="1214"/>
      <c r="BC256" s="1214"/>
      <c r="BD256" s="1214"/>
      <c r="BE256" s="1214"/>
      <c r="BF256" s="1214"/>
      <c r="BG256" s="1214"/>
      <c r="BH256" s="1214"/>
      <c r="BI256" s="1216" t="s">
        <v>367</v>
      </c>
      <c r="BJ256" s="1217"/>
    </row>
    <row r="257" spans="2:63" s="410" customFormat="1">
      <c r="B257" s="1219"/>
      <c r="C257" s="1222" t="s">
        <v>359</v>
      </c>
      <c r="D257" s="1223" t="str">
        <f>INDEX(IPCC[Sector_description], MATCH($C257, IPCC[Sector_code], 0))</f>
        <v>Fuel Combustion</v>
      </c>
      <c r="E257" s="1214"/>
      <c r="F257" s="1224"/>
      <c r="G257" s="1224"/>
      <c r="H257" s="1225"/>
      <c r="I257" s="1225"/>
      <c r="J257" s="1225"/>
      <c r="K257" s="1225"/>
      <c r="L257" s="1225"/>
      <c r="M257" s="1225"/>
      <c r="N257" s="1225"/>
      <c r="O257" s="1225"/>
      <c r="P257" s="1225"/>
      <c r="Q257" s="1225"/>
      <c r="R257" s="1225"/>
      <c r="S257" s="1225"/>
      <c r="T257" s="1225"/>
      <c r="U257" s="1225"/>
      <c r="V257" s="1225"/>
      <c r="W257" s="1225"/>
      <c r="X257" s="1225"/>
      <c r="Y257" s="1225"/>
      <c r="Z257" s="1225"/>
      <c r="AA257" s="1225"/>
      <c r="AB257" s="1225">
        <v>574.32095470838158</v>
      </c>
      <c r="AC257" s="1225">
        <v>584.07437428245817</v>
      </c>
      <c r="AD257" s="1225">
        <v>567.77562980428604</v>
      </c>
      <c r="AE257" s="1225">
        <v>553.33753691323284</v>
      </c>
      <c r="AF257" s="1225">
        <v>546.2326953595707</v>
      </c>
      <c r="AG257" s="1225">
        <v>536.02033883393392</v>
      </c>
      <c r="AH257" s="1225">
        <v>556.6263616262188</v>
      </c>
      <c r="AI257" s="1225">
        <v>534.74891299255432</v>
      </c>
      <c r="AJ257" s="1225">
        <v>538.75473446895467</v>
      </c>
      <c r="AK257" s="1225">
        <v>530.66566313949943</v>
      </c>
      <c r="AL257" s="1225">
        <v>539.00049895868733</v>
      </c>
      <c r="AM257" s="1225">
        <v>552.19141203114191</v>
      </c>
      <c r="AN257" s="1225">
        <v>536.21693879087923</v>
      </c>
      <c r="AO257" s="1225">
        <v>545.64182602813037</v>
      </c>
      <c r="AP257" s="1225">
        <v>546.91526250414915</v>
      </c>
      <c r="AQ257" s="1225">
        <v>542.80240867747409</v>
      </c>
      <c r="AR257" s="1225">
        <v>542.65668632601535</v>
      </c>
      <c r="AS257" s="1225">
        <v>534.02574552989233</v>
      </c>
      <c r="AT257" s="1225">
        <v>522.9479251564137</v>
      </c>
      <c r="AU257" s="1225">
        <v>475.60178758150977</v>
      </c>
      <c r="AV257" s="1225">
        <v>492.7502706136072</v>
      </c>
      <c r="AW257" s="1257" t="s">
        <v>1176</v>
      </c>
      <c r="AX257" s="1226"/>
      <c r="AY257" s="1224">
        <f t="shared" ref="AY257:BI258" ca="1" si="70">SUMIFS(INDIRECT("'"&amp;AY$4&amp;"'!Year.Emissions"), INDIRECT("'"&amp;AY$4&amp;"'!Year.IPCC"), $C257)</f>
        <v>1178.5139623629584</v>
      </c>
      <c r="AZ257" s="1224"/>
      <c r="BA257" s="1224">
        <f t="shared" ca="1" si="70"/>
        <v>1542.9858078670618</v>
      </c>
      <c r="BB257" s="1224">
        <f t="shared" ca="1" si="70"/>
        <v>2156.3230931819899</v>
      </c>
      <c r="BC257" s="1224">
        <f t="shared" ca="1" si="70"/>
        <v>3134.8651799678455</v>
      </c>
      <c r="BD257" s="1224">
        <f t="shared" ca="1" si="70"/>
        <v>4344.0867964535209</v>
      </c>
      <c r="BE257" s="1224">
        <f t="shared" ca="1" si="70"/>
        <v>6004.0538581476249</v>
      </c>
      <c r="BF257" s="1224">
        <f t="shared" ca="1" si="70"/>
        <v>7384.0961877553927</v>
      </c>
      <c r="BG257" s="1224">
        <f t="shared" ca="1" si="70"/>
        <v>9000.8954295893436</v>
      </c>
      <c r="BH257" s="1224">
        <f t="shared" ca="1" si="70"/>
        <v>10532.623812014712</v>
      </c>
      <c r="BI257" s="1224">
        <f t="shared" ca="1" si="70"/>
        <v>12204.306963259591</v>
      </c>
      <c r="BJ257" s="1227"/>
    </row>
    <row r="258" spans="2:63" s="410" customFormat="1">
      <c r="B258" s="1219"/>
      <c r="C258" s="1222" t="s">
        <v>358</v>
      </c>
      <c r="D258" s="1223" t="str">
        <f>INDEX(IPCC[Sector_description], MATCH($C258, IPCC[Sector_code], 0))</f>
        <v>Fugitive Emissions from Fuels</v>
      </c>
      <c r="E258" s="1214"/>
      <c r="F258" s="1224"/>
      <c r="G258" s="1224"/>
      <c r="H258" s="1225"/>
      <c r="I258" s="1225"/>
      <c r="J258" s="1225"/>
      <c r="K258" s="1225"/>
      <c r="L258" s="1225"/>
      <c r="M258" s="1225"/>
      <c r="N258" s="1225"/>
      <c r="O258" s="1225"/>
      <c r="P258" s="1225"/>
      <c r="Q258" s="1225"/>
      <c r="R258" s="1225"/>
      <c r="S258" s="1225"/>
      <c r="T258" s="1225"/>
      <c r="U258" s="1225"/>
      <c r="V258" s="1225"/>
      <c r="W258" s="1225"/>
      <c r="X258" s="1225"/>
      <c r="Y258" s="1225"/>
      <c r="Z258" s="1225"/>
      <c r="AA258" s="1225"/>
      <c r="AB258" s="1225">
        <v>35.28336958104466</v>
      </c>
      <c r="AC258" s="1225">
        <v>35.182983866091305</v>
      </c>
      <c r="AD258" s="1225">
        <v>35.289835728726885</v>
      </c>
      <c r="AE258" s="1225">
        <v>34.031013507405163</v>
      </c>
      <c r="AF258" s="1225">
        <v>28.324761088666332</v>
      </c>
      <c r="AG258" s="1225">
        <v>31.042353791967415</v>
      </c>
      <c r="AH258" s="1225">
        <v>30.473334583513346</v>
      </c>
      <c r="AI258" s="1225">
        <v>27.620233281205483</v>
      </c>
      <c r="AJ258" s="1225">
        <v>25.397431061510737</v>
      </c>
      <c r="AK258" s="1225">
        <v>22.308283841071088</v>
      </c>
      <c r="AL258" s="1225">
        <v>20.536975736659553</v>
      </c>
      <c r="AM258" s="1225">
        <v>20.019669009851356</v>
      </c>
      <c r="AN258" s="1225">
        <v>19.40477630089951</v>
      </c>
      <c r="AO258" s="1225">
        <v>16.07854267407026</v>
      </c>
      <c r="AP258" s="1225">
        <v>15.736887486965456</v>
      </c>
      <c r="AQ258" s="1225">
        <v>14.992284178784804</v>
      </c>
      <c r="AR258" s="1225">
        <v>13.510923257815429</v>
      </c>
      <c r="AS258" s="1225">
        <v>12.929712235090694</v>
      </c>
      <c r="AT258" s="1225">
        <v>11.879194090477329</v>
      </c>
      <c r="AU258" s="1225">
        <v>12.040107260360204</v>
      </c>
      <c r="AV258" s="1225">
        <v>11.646390385331518</v>
      </c>
      <c r="AW258" s="1257" t="s">
        <v>1176</v>
      </c>
      <c r="AX258" s="1226"/>
      <c r="AY258" s="1224">
        <f t="shared" ca="1" si="70"/>
        <v>0</v>
      </c>
      <c r="AZ258" s="1224"/>
      <c r="BA258" s="1224">
        <f t="shared" ca="1" si="70"/>
        <v>0</v>
      </c>
      <c r="BB258" s="1224">
        <f t="shared" ca="1" si="70"/>
        <v>0</v>
      </c>
      <c r="BC258" s="1224">
        <f t="shared" ca="1" si="70"/>
        <v>0</v>
      </c>
      <c r="BD258" s="1224">
        <f t="shared" ca="1" si="70"/>
        <v>0</v>
      </c>
      <c r="BE258" s="1224">
        <f t="shared" ca="1" si="70"/>
        <v>0</v>
      </c>
      <c r="BF258" s="1224">
        <f t="shared" ca="1" si="70"/>
        <v>0</v>
      </c>
      <c r="BG258" s="1224">
        <f t="shared" ca="1" si="70"/>
        <v>0</v>
      </c>
      <c r="BH258" s="1224">
        <f t="shared" ca="1" si="70"/>
        <v>0</v>
      </c>
      <c r="BI258" s="1224">
        <f t="shared" ca="1" si="70"/>
        <v>0</v>
      </c>
      <c r="BJ258" s="1227"/>
    </row>
    <row r="259" spans="2:63">
      <c r="B259" s="1221"/>
      <c r="C259" s="1216">
        <v>1</v>
      </c>
      <c r="D259" s="1214" t="s">
        <v>338</v>
      </c>
      <c r="E259" s="1214"/>
      <c r="F259" s="1258"/>
      <c r="G259" s="1258"/>
      <c r="H259" s="1257"/>
      <c r="I259" s="1257"/>
      <c r="J259" s="1257"/>
      <c r="K259" s="1257"/>
      <c r="L259" s="1257"/>
      <c r="M259" s="1257"/>
      <c r="N259" s="1257"/>
      <c r="O259" s="1257"/>
      <c r="P259" s="1257"/>
      <c r="Q259" s="1257"/>
      <c r="R259" s="1257"/>
      <c r="S259" s="1257"/>
      <c r="T259" s="1257"/>
      <c r="U259" s="1257"/>
      <c r="V259" s="1257"/>
      <c r="W259" s="1257"/>
      <c r="X259" s="1257"/>
      <c r="Y259" s="1257"/>
      <c r="Z259" s="1257"/>
      <c r="AA259" s="1257"/>
      <c r="AB259" s="1257">
        <v>609.60432428942624</v>
      </c>
      <c r="AC259" s="1257">
        <v>619.25735814854954</v>
      </c>
      <c r="AD259" s="1257">
        <v>603.06546553301303</v>
      </c>
      <c r="AE259" s="1257">
        <v>587.36855042063803</v>
      </c>
      <c r="AF259" s="1257">
        <v>574.55745644823708</v>
      </c>
      <c r="AG259" s="1257">
        <v>567.06269262590126</v>
      </c>
      <c r="AH259" s="1257">
        <v>587.09969620973209</v>
      </c>
      <c r="AI259" s="1257">
        <v>562.36914627375972</v>
      </c>
      <c r="AJ259" s="1257">
        <v>564.15216553046548</v>
      </c>
      <c r="AK259" s="1257">
        <v>552.97394698057042</v>
      </c>
      <c r="AL259" s="1257">
        <v>559.53747469534676</v>
      </c>
      <c r="AM259" s="1257">
        <v>572.21108104099335</v>
      </c>
      <c r="AN259" s="1257">
        <v>555.62171509177858</v>
      </c>
      <c r="AO259" s="1257">
        <v>561.72036870220063</v>
      </c>
      <c r="AP259" s="1257">
        <v>562.65214999111447</v>
      </c>
      <c r="AQ259" s="1257">
        <v>557.79469285625896</v>
      </c>
      <c r="AR259" s="1257">
        <v>556.16760958383077</v>
      </c>
      <c r="AS259" s="1257">
        <v>546.95545776498307</v>
      </c>
      <c r="AT259" s="1257">
        <v>534.82711924689102</v>
      </c>
      <c r="AU259" s="1257">
        <v>487.64189484186994</v>
      </c>
      <c r="AV259" s="1257">
        <v>504.39666099893867</v>
      </c>
      <c r="AW259" s="1257" t="s">
        <v>1176</v>
      </c>
      <c r="AX259" s="1226"/>
      <c r="AY259" s="1258">
        <f t="shared" ref="AY259:BI259" ca="1" si="71">AY257+AY258</f>
        <v>1178.5139623629584</v>
      </c>
      <c r="AZ259" s="1258"/>
      <c r="BA259" s="1258">
        <f t="shared" ca="1" si="71"/>
        <v>1542.9858078670618</v>
      </c>
      <c r="BB259" s="1258">
        <f t="shared" ca="1" si="71"/>
        <v>2156.3230931819899</v>
      </c>
      <c r="BC259" s="1258">
        <f t="shared" ca="1" si="71"/>
        <v>3134.8651799678455</v>
      </c>
      <c r="BD259" s="1258">
        <f t="shared" ca="1" si="71"/>
        <v>4344.0867964535209</v>
      </c>
      <c r="BE259" s="1258">
        <f t="shared" ca="1" si="71"/>
        <v>6004.0538581476249</v>
      </c>
      <c r="BF259" s="1258">
        <f t="shared" ca="1" si="71"/>
        <v>7384.0961877553927</v>
      </c>
      <c r="BG259" s="1258">
        <f t="shared" ca="1" si="71"/>
        <v>9000.8954295893436</v>
      </c>
      <c r="BH259" s="1258">
        <f t="shared" ca="1" si="71"/>
        <v>10532.623812014712</v>
      </c>
      <c r="BI259" s="1258">
        <f t="shared" ca="1" si="71"/>
        <v>12204.306963259591</v>
      </c>
      <c r="BJ259" s="1217"/>
    </row>
    <row r="260" spans="2:63">
      <c r="B260" s="1221"/>
      <c r="C260" s="1216">
        <v>2</v>
      </c>
      <c r="D260" s="1223" t="str">
        <f>INDEX(IPCC[Sector_description], MATCH($C260, IPCC[Sector_code], 0))</f>
        <v>Industrial Processes</v>
      </c>
      <c r="E260" s="1214"/>
      <c r="F260" s="1258"/>
      <c r="G260" s="1258"/>
      <c r="H260" s="1257"/>
      <c r="I260" s="1257"/>
      <c r="J260" s="1257"/>
      <c r="K260" s="1257"/>
      <c r="L260" s="1257"/>
      <c r="M260" s="1257"/>
      <c r="N260" s="1257"/>
      <c r="O260" s="1257"/>
      <c r="P260" s="1257"/>
      <c r="Q260" s="1257"/>
      <c r="R260" s="1257"/>
      <c r="S260" s="1257"/>
      <c r="T260" s="1257"/>
      <c r="U260" s="1257"/>
      <c r="V260" s="1257"/>
      <c r="W260" s="1257"/>
      <c r="X260" s="1257"/>
      <c r="Y260" s="1257"/>
      <c r="Z260" s="1257"/>
      <c r="AA260" s="1257"/>
      <c r="AB260" s="1257">
        <v>54.14857476869939</v>
      </c>
      <c r="AC260" s="1257">
        <v>52.475976085330302</v>
      </c>
      <c r="AD260" s="1257">
        <v>47.09357259520948</v>
      </c>
      <c r="AE260" s="1257">
        <v>43.783266649903538</v>
      </c>
      <c r="AF260" s="1257">
        <v>46.200468631708674</v>
      </c>
      <c r="AG260" s="1257">
        <v>46.438108640865629</v>
      </c>
      <c r="AH260" s="1257">
        <v>48.20629279360756</v>
      </c>
      <c r="AI260" s="1257">
        <v>50.509743157896679</v>
      </c>
      <c r="AJ260" s="1257">
        <v>48.955619513700753</v>
      </c>
      <c r="AK260" s="1257">
        <v>32.394255265102153</v>
      </c>
      <c r="AL260" s="1257">
        <v>31.677024129804071</v>
      </c>
      <c r="AM260" s="1257">
        <v>30.092795678224793</v>
      </c>
      <c r="AN260" s="1257">
        <v>28.177211033386556</v>
      </c>
      <c r="AO260" s="1257">
        <v>30.026667340786869</v>
      </c>
      <c r="AP260" s="1257">
        <v>30.291978553378527</v>
      </c>
      <c r="AQ260" s="1257">
        <v>30.619235422944978</v>
      </c>
      <c r="AR260" s="1257">
        <v>29.927484392152323</v>
      </c>
      <c r="AS260" s="1257">
        <v>31.616603644661854</v>
      </c>
      <c r="AT260" s="1257">
        <v>30.80187951705711</v>
      </c>
      <c r="AU260" s="1257">
        <v>25.47849294203823</v>
      </c>
      <c r="AV260" s="1257">
        <v>26.811492537019994</v>
      </c>
      <c r="AW260" s="1257" t="s">
        <v>1176</v>
      </c>
      <c r="AX260" s="1226"/>
      <c r="AY260" s="1224">
        <f t="shared" ref="AY260:BI268" ca="1" si="72">SUMIFS(INDIRECT("'"&amp;AY$4&amp;"'!Year.Emissions"), INDIRECT("'"&amp;AY$4&amp;"'!Year.IPCC"), $C260)</f>
        <v>0</v>
      </c>
      <c r="AZ260" s="1224"/>
      <c r="BA260" s="1224">
        <f t="shared" ca="1" si="72"/>
        <v>0</v>
      </c>
      <c r="BB260" s="1224">
        <f t="shared" ca="1" si="72"/>
        <v>0</v>
      </c>
      <c r="BC260" s="1224">
        <f t="shared" ca="1" si="72"/>
        <v>0</v>
      </c>
      <c r="BD260" s="1224">
        <f t="shared" ca="1" si="72"/>
        <v>0</v>
      </c>
      <c r="BE260" s="1224">
        <f t="shared" ca="1" si="72"/>
        <v>0</v>
      </c>
      <c r="BF260" s="1224">
        <f t="shared" ca="1" si="72"/>
        <v>0</v>
      </c>
      <c r="BG260" s="1224">
        <f t="shared" ca="1" si="72"/>
        <v>0</v>
      </c>
      <c r="BH260" s="1224">
        <f t="shared" ca="1" si="72"/>
        <v>0</v>
      </c>
      <c r="BI260" s="1224">
        <f t="shared" ca="1" si="72"/>
        <v>0</v>
      </c>
      <c r="BJ260" s="1217"/>
    </row>
    <row r="261" spans="2:63">
      <c r="B261" s="1219"/>
      <c r="C261" s="1216">
        <v>3</v>
      </c>
      <c r="D261" s="1223" t="str">
        <f>INDEX(IPCC[Sector_description], MATCH($C261, IPCC[Sector_code], 0))</f>
        <v>Solvent and Other Product Use</v>
      </c>
      <c r="E261" s="1214"/>
      <c r="F261" s="1258"/>
      <c r="G261" s="1258"/>
      <c r="H261" s="1257"/>
      <c r="I261" s="1257"/>
      <c r="J261" s="1257"/>
      <c r="K261" s="1257"/>
      <c r="L261" s="1257"/>
      <c r="M261" s="1257"/>
      <c r="N261" s="1257"/>
      <c r="O261" s="1257"/>
      <c r="P261" s="1257"/>
      <c r="Q261" s="1257"/>
      <c r="R261" s="1257"/>
      <c r="S261" s="1257"/>
      <c r="T261" s="1257"/>
      <c r="U261" s="1257"/>
      <c r="V261" s="1257"/>
      <c r="W261" s="1257"/>
      <c r="X261" s="1257"/>
      <c r="Y261" s="1257"/>
      <c r="Z261" s="1257"/>
      <c r="AA261" s="1257"/>
      <c r="AB261" s="1257" t="s">
        <v>1177</v>
      </c>
      <c r="AC261" s="1257" t="s">
        <v>1177</v>
      </c>
      <c r="AD261" s="1257" t="s">
        <v>1177</v>
      </c>
      <c r="AE261" s="1257" t="s">
        <v>1177</v>
      </c>
      <c r="AF261" s="1257" t="s">
        <v>1177</v>
      </c>
      <c r="AG261" s="1257" t="s">
        <v>1177</v>
      </c>
      <c r="AH261" s="1257" t="s">
        <v>1177</v>
      </c>
      <c r="AI261" s="1257" t="s">
        <v>1177</v>
      </c>
      <c r="AJ261" s="1257" t="s">
        <v>1177</v>
      </c>
      <c r="AK261" s="1257" t="s">
        <v>1177</v>
      </c>
      <c r="AL261" s="1257" t="s">
        <v>1177</v>
      </c>
      <c r="AM261" s="1257" t="s">
        <v>1177</v>
      </c>
      <c r="AN261" s="1257" t="s">
        <v>1177</v>
      </c>
      <c r="AO261" s="1257" t="s">
        <v>1177</v>
      </c>
      <c r="AP261" s="1257" t="s">
        <v>1177</v>
      </c>
      <c r="AQ261" s="1257" t="s">
        <v>1177</v>
      </c>
      <c r="AR261" s="1257" t="s">
        <v>1177</v>
      </c>
      <c r="AS261" s="1257" t="s">
        <v>1177</v>
      </c>
      <c r="AT261" s="1257" t="s">
        <v>1177</v>
      </c>
      <c r="AU261" s="1257" t="s">
        <v>1177</v>
      </c>
      <c r="AV261" s="1257" t="s">
        <v>1177</v>
      </c>
      <c r="AW261" s="1257" t="s">
        <v>1176</v>
      </c>
      <c r="AX261" s="1226"/>
      <c r="AY261" s="1224">
        <f t="shared" ca="1" si="72"/>
        <v>0</v>
      </c>
      <c r="AZ261" s="1224"/>
      <c r="BA261" s="1224">
        <f t="shared" ca="1" si="72"/>
        <v>0</v>
      </c>
      <c r="BB261" s="1224">
        <f t="shared" ca="1" si="72"/>
        <v>0</v>
      </c>
      <c r="BC261" s="1224">
        <f t="shared" ca="1" si="72"/>
        <v>0</v>
      </c>
      <c r="BD261" s="1224">
        <f t="shared" ca="1" si="72"/>
        <v>0</v>
      </c>
      <c r="BE261" s="1224">
        <f t="shared" ca="1" si="72"/>
        <v>0</v>
      </c>
      <c r="BF261" s="1224">
        <f t="shared" ca="1" si="72"/>
        <v>0</v>
      </c>
      <c r="BG261" s="1224">
        <f t="shared" ca="1" si="72"/>
        <v>0</v>
      </c>
      <c r="BH261" s="1224">
        <f t="shared" ca="1" si="72"/>
        <v>0</v>
      </c>
      <c r="BI261" s="1224">
        <f t="shared" ca="1" si="72"/>
        <v>0</v>
      </c>
      <c r="BJ261" s="1217"/>
    </row>
    <row r="262" spans="2:63">
      <c r="B262" s="1219"/>
      <c r="C262" s="1216">
        <v>4</v>
      </c>
      <c r="D262" s="1223" t="str">
        <f>INDEX(IPCC[Sector_description], MATCH($C262, IPCC[Sector_code], 0))</f>
        <v>Agriculture</v>
      </c>
      <c r="E262" s="1214"/>
      <c r="F262" s="1258"/>
      <c r="G262" s="1258"/>
      <c r="H262" s="1257"/>
      <c r="I262" s="1257"/>
      <c r="J262" s="1257"/>
      <c r="K262" s="1257"/>
      <c r="L262" s="1257"/>
      <c r="M262" s="1257"/>
      <c r="N262" s="1257"/>
      <c r="O262" s="1257"/>
      <c r="P262" s="1257"/>
      <c r="Q262" s="1257"/>
      <c r="R262" s="1257"/>
      <c r="S262" s="1257"/>
      <c r="T262" s="1257"/>
      <c r="U262" s="1257"/>
      <c r="V262" s="1257"/>
      <c r="W262" s="1257"/>
      <c r="X262" s="1257"/>
      <c r="Y262" s="1257"/>
      <c r="Z262" s="1257"/>
      <c r="AA262" s="1257"/>
      <c r="AB262" s="1257">
        <v>57.50148520668305</v>
      </c>
      <c r="AC262" s="1257">
        <v>57.246446553512868</v>
      </c>
      <c r="AD262" s="1257">
        <v>57.064686407982649</v>
      </c>
      <c r="AE262" s="1257">
        <v>56.349782848425512</v>
      </c>
      <c r="AF262" s="1257">
        <v>56.482634229989579</v>
      </c>
      <c r="AG262" s="1257">
        <v>56.062993674503744</v>
      </c>
      <c r="AH262" s="1257">
        <v>56.438650509232893</v>
      </c>
      <c r="AI262" s="1257">
        <v>56.199934507252166</v>
      </c>
      <c r="AJ262" s="1257">
        <v>55.563813765969243</v>
      </c>
      <c r="AK262" s="1257">
        <v>54.890137863427519</v>
      </c>
      <c r="AL262" s="1257">
        <v>52.893308830233281</v>
      </c>
      <c r="AM262" s="1257">
        <v>50.094491750341383</v>
      </c>
      <c r="AN262" s="1257">
        <v>50.07904843936754</v>
      </c>
      <c r="AO262" s="1257">
        <v>49.646482933698181</v>
      </c>
      <c r="AP262" s="1257">
        <v>49.912563723285288</v>
      </c>
      <c r="AQ262" s="1257">
        <v>50.204852733460946</v>
      </c>
      <c r="AR262" s="1257">
        <v>48.573478811345488</v>
      </c>
      <c r="AS262" s="1257">
        <v>47.145361104365769</v>
      </c>
      <c r="AT262" s="1257">
        <v>46.490712439147927</v>
      </c>
      <c r="AU262" s="1257">
        <v>45.808263743996648</v>
      </c>
      <c r="AV262" s="1257">
        <v>46.201383319346213</v>
      </c>
      <c r="AW262" s="1257" t="s">
        <v>1176</v>
      </c>
      <c r="AX262" s="1226"/>
      <c r="AY262" s="1224">
        <f t="shared" ca="1" si="72"/>
        <v>0</v>
      </c>
      <c r="AZ262" s="1224"/>
      <c r="BA262" s="1224">
        <f t="shared" ca="1" si="72"/>
        <v>0</v>
      </c>
      <c r="BB262" s="1224">
        <f t="shared" ca="1" si="72"/>
        <v>0</v>
      </c>
      <c r="BC262" s="1224">
        <f t="shared" ca="1" si="72"/>
        <v>0</v>
      </c>
      <c r="BD262" s="1224">
        <f t="shared" ca="1" si="72"/>
        <v>0</v>
      </c>
      <c r="BE262" s="1224">
        <f t="shared" ca="1" si="72"/>
        <v>0</v>
      </c>
      <c r="BF262" s="1224">
        <f t="shared" ca="1" si="72"/>
        <v>0</v>
      </c>
      <c r="BG262" s="1224">
        <f t="shared" ca="1" si="72"/>
        <v>0</v>
      </c>
      <c r="BH262" s="1224">
        <f t="shared" ca="1" si="72"/>
        <v>0</v>
      </c>
      <c r="BI262" s="1224">
        <f t="shared" ca="1" si="72"/>
        <v>0</v>
      </c>
      <c r="BJ262" s="1217"/>
    </row>
    <row r="263" spans="2:63">
      <c r="B263" s="1219"/>
      <c r="C263" s="1216">
        <v>5</v>
      </c>
      <c r="D263" s="1223" t="str">
        <f>INDEX(IPCC[Sector_description], MATCH($C263, IPCC[Sector_code], 0))</f>
        <v>Land Use, Land-Use Change and Forestry</v>
      </c>
      <c r="E263" s="1214"/>
      <c r="F263" s="1258"/>
      <c r="G263" s="1258"/>
      <c r="H263" s="1257"/>
      <c r="I263" s="1257"/>
      <c r="J263" s="1257"/>
      <c r="K263" s="1257"/>
      <c r="L263" s="1257"/>
      <c r="M263" s="1257"/>
      <c r="N263" s="1257"/>
      <c r="O263" s="1257"/>
      <c r="P263" s="1257"/>
      <c r="Q263" s="1257"/>
      <c r="R263" s="1257"/>
      <c r="S263" s="1257"/>
      <c r="T263" s="1257"/>
      <c r="U263" s="1257"/>
      <c r="V263" s="1257"/>
      <c r="W263" s="1257"/>
      <c r="X263" s="1257"/>
      <c r="Y263" s="1257"/>
      <c r="Z263" s="1257"/>
      <c r="AA263" s="1257"/>
      <c r="AB263" s="1257">
        <v>3.8930087572812679</v>
      </c>
      <c r="AC263" s="1257">
        <v>3.8686000622628693</v>
      </c>
      <c r="AD263" s="1257">
        <v>3.3433147414361009</v>
      </c>
      <c r="AE263" s="1257">
        <v>2.2265845845315693</v>
      </c>
      <c r="AF263" s="1257">
        <v>2.0533141148288525</v>
      </c>
      <c r="AG263" s="1257">
        <v>2.4654776194817205</v>
      </c>
      <c r="AH263" s="1257">
        <v>2.1813341723246857</v>
      </c>
      <c r="AI263" s="1257">
        <v>1.920070200944781</v>
      </c>
      <c r="AJ263" s="1257">
        <v>1.2405726372813575</v>
      </c>
      <c r="AK263" s="1257">
        <v>1.0620443971872269</v>
      </c>
      <c r="AL263" s="1257">
        <v>0.37726047037436505</v>
      </c>
      <c r="AM263" s="1257">
        <v>-0.11419377707044237</v>
      </c>
      <c r="AN263" s="1257">
        <v>-0.93459050389331721</v>
      </c>
      <c r="AO263" s="1257">
        <v>-1.2868015775516333</v>
      </c>
      <c r="AP263" s="1257">
        <v>-2.3579223431888501</v>
      </c>
      <c r="AQ263" s="1257">
        <v>-2.9449125339525444</v>
      </c>
      <c r="AR263" s="1257">
        <v>-3.0969424363046301</v>
      </c>
      <c r="AS263" s="1257">
        <v>-3.4836455180367438</v>
      </c>
      <c r="AT263" s="1257">
        <v>-3.8824317227172771</v>
      </c>
      <c r="AU263" s="1257">
        <v>-4.2078283804095697</v>
      </c>
      <c r="AV263" s="1257">
        <v>-3.8423973221854002</v>
      </c>
      <c r="AW263" s="1257" t="s">
        <v>1176</v>
      </c>
      <c r="AX263" s="1226"/>
      <c r="AY263" s="1224">
        <f t="shared" ca="1" si="72"/>
        <v>0</v>
      </c>
      <c r="AZ263" s="1224"/>
      <c r="BA263" s="1224">
        <f t="shared" ca="1" si="72"/>
        <v>0</v>
      </c>
      <c r="BB263" s="1224">
        <f t="shared" ca="1" si="72"/>
        <v>0</v>
      </c>
      <c r="BC263" s="1224">
        <f t="shared" ca="1" si="72"/>
        <v>0</v>
      </c>
      <c r="BD263" s="1224">
        <f t="shared" ca="1" si="72"/>
        <v>0</v>
      </c>
      <c r="BE263" s="1224">
        <f t="shared" ca="1" si="72"/>
        <v>0</v>
      </c>
      <c r="BF263" s="1224">
        <f t="shared" ca="1" si="72"/>
        <v>0</v>
      </c>
      <c r="BG263" s="1224">
        <f t="shared" ca="1" si="72"/>
        <v>0</v>
      </c>
      <c r="BH263" s="1224">
        <f t="shared" ca="1" si="72"/>
        <v>0</v>
      </c>
      <c r="BI263" s="1224">
        <f t="shared" ca="1" si="72"/>
        <v>0</v>
      </c>
      <c r="BJ263" s="1217"/>
    </row>
    <row r="264" spans="2:63">
      <c r="B264" s="1219"/>
      <c r="C264" s="1216">
        <v>6</v>
      </c>
      <c r="D264" s="1223" t="str">
        <f>INDEX(IPCC[Sector_description], MATCH($C264, IPCC[Sector_code], 0))</f>
        <v>Waste</v>
      </c>
      <c r="E264" s="1214"/>
      <c r="F264" s="1258"/>
      <c r="G264" s="1258"/>
      <c r="H264" s="1257"/>
      <c r="I264" s="1257"/>
      <c r="J264" s="1257"/>
      <c r="K264" s="1257"/>
      <c r="L264" s="1257"/>
      <c r="M264" s="1257"/>
      <c r="N264" s="1257"/>
      <c r="O264" s="1257"/>
      <c r="P264" s="1257"/>
      <c r="Q264" s="1257"/>
      <c r="R264" s="1257"/>
      <c r="S264" s="1257"/>
      <c r="T264" s="1257"/>
      <c r="U264" s="1257"/>
      <c r="V264" s="1257"/>
      <c r="W264" s="1257"/>
      <c r="X264" s="1257"/>
      <c r="Y264" s="1257"/>
      <c r="Z264" s="1257"/>
      <c r="AA264" s="1257"/>
      <c r="AB264" s="1257">
        <v>46.005376459169604</v>
      </c>
      <c r="AC264" s="1257">
        <v>45.106257535550021</v>
      </c>
      <c r="AD264" s="1257">
        <v>43.802323592142784</v>
      </c>
      <c r="AE264" s="1257">
        <v>42.398865017289033</v>
      </c>
      <c r="AF264" s="1257">
        <v>41.175525117813187</v>
      </c>
      <c r="AG264" s="1257">
        <v>40.080722749499124</v>
      </c>
      <c r="AH264" s="1257">
        <v>39.045211708359346</v>
      </c>
      <c r="AI264" s="1257">
        <v>35.946203438881568</v>
      </c>
      <c r="AJ264" s="1257">
        <v>33.903942222331288</v>
      </c>
      <c r="AK264" s="1257">
        <v>31.176954037822373</v>
      </c>
      <c r="AL264" s="1257">
        <v>29.422387452691304</v>
      </c>
      <c r="AM264" s="1257">
        <v>26.000773929539882</v>
      </c>
      <c r="AN264" s="1257">
        <v>23.914147643814456</v>
      </c>
      <c r="AO264" s="1257">
        <v>21.058526850801719</v>
      </c>
      <c r="AP264" s="1257">
        <v>19.538460113710165</v>
      </c>
      <c r="AQ264" s="1257">
        <v>19.037141136861958</v>
      </c>
      <c r="AR264" s="1257">
        <v>18.640862074715724</v>
      </c>
      <c r="AS264" s="1257">
        <v>18.271577747130092</v>
      </c>
      <c r="AT264" s="1257">
        <v>17.712063346383925</v>
      </c>
      <c r="AU264" s="1257">
        <v>17.198378568592883</v>
      </c>
      <c r="AV264" s="1257">
        <v>16.611961862247568</v>
      </c>
      <c r="AW264" s="1257" t="s">
        <v>1176</v>
      </c>
      <c r="AX264" s="1226"/>
      <c r="AY264" s="1224">
        <f t="shared" ca="1" si="72"/>
        <v>0</v>
      </c>
      <c r="AZ264" s="1224"/>
      <c r="BA264" s="1224">
        <f t="shared" ca="1" si="72"/>
        <v>0</v>
      </c>
      <c r="BB264" s="1224">
        <f t="shared" ca="1" si="72"/>
        <v>0</v>
      </c>
      <c r="BC264" s="1224">
        <f t="shared" ca="1" si="72"/>
        <v>0</v>
      </c>
      <c r="BD264" s="1224">
        <f t="shared" ca="1" si="72"/>
        <v>0</v>
      </c>
      <c r="BE264" s="1224">
        <f t="shared" ca="1" si="72"/>
        <v>0</v>
      </c>
      <c r="BF264" s="1224">
        <f t="shared" ca="1" si="72"/>
        <v>0</v>
      </c>
      <c r="BG264" s="1224">
        <f t="shared" ca="1" si="72"/>
        <v>0</v>
      </c>
      <c r="BH264" s="1224">
        <f t="shared" ca="1" si="72"/>
        <v>0</v>
      </c>
      <c r="BI264" s="1224">
        <f t="shared" ca="1" si="72"/>
        <v>0</v>
      </c>
      <c r="BJ264" s="1217"/>
    </row>
    <row r="265" spans="2:63">
      <c r="B265" s="1219"/>
      <c r="C265" s="1216">
        <v>7</v>
      </c>
      <c r="D265" s="1223" t="str">
        <f>INDEX(IPCC[Sector_description], MATCH($C265, IPCC[Sector_code], 0))</f>
        <v>Other</v>
      </c>
      <c r="E265" s="1214"/>
      <c r="F265" s="1226"/>
      <c r="G265" s="1226"/>
      <c r="H265" s="1259"/>
      <c r="I265" s="1259"/>
      <c r="J265" s="1259"/>
      <c r="K265" s="1259"/>
      <c r="L265" s="1259"/>
      <c r="M265" s="1259"/>
      <c r="N265" s="1259"/>
      <c r="O265" s="1259"/>
      <c r="P265" s="1259"/>
      <c r="Q265" s="1259"/>
      <c r="R265" s="1259"/>
      <c r="S265" s="1259"/>
      <c r="T265" s="1259"/>
      <c r="U265" s="1259"/>
      <c r="V265" s="1259"/>
      <c r="W265" s="1259"/>
      <c r="X265" s="1259"/>
      <c r="Y265" s="1259"/>
      <c r="Z265" s="1259"/>
      <c r="AA265" s="1259"/>
      <c r="AB265" s="1259" t="s">
        <v>1178</v>
      </c>
      <c r="AC265" s="1259" t="s">
        <v>1178</v>
      </c>
      <c r="AD265" s="1259" t="s">
        <v>1178</v>
      </c>
      <c r="AE265" s="1259" t="s">
        <v>1178</v>
      </c>
      <c r="AF265" s="1259" t="s">
        <v>1178</v>
      </c>
      <c r="AG265" s="1259" t="s">
        <v>1178</v>
      </c>
      <c r="AH265" s="1259" t="s">
        <v>1178</v>
      </c>
      <c r="AI265" s="1259" t="s">
        <v>1178</v>
      </c>
      <c r="AJ265" s="1259" t="s">
        <v>1178</v>
      </c>
      <c r="AK265" s="1259" t="s">
        <v>1178</v>
      </c>
      <c r="AL265" s="1259" t="s">
        <v>1178</v>
      </c>
      <c r="AM265" s="1259" t="s">
        <v>1178</v>
      </c>
      <c r="AN265" s="1259" t="s">
        <v>1178</v>
      </c>
      <c r="AO265" s="1259" t="s">
        <v>1178</v>
      </c>
      <c r="AP265" s="1259" t="s">
        <v>1178</v>
      </c>
      <c r="AQ265" s="1259" t="s">
        <v>1178</v>
      </c>
      <c r="AR265" s="1259" t="s">
        <v>1178</v>
      </c>
      <c r="AS265" s="1259" t="s">
        <v>1178</v>
      </c>
      <c r="AT265" s="1259" t="s">
        <v>1178</v>
      </c>
      <c r="AU265" s="1259" t="s">
        <v>1178</v>
      </c>
      <c r="AV265" s="1259" t="s">
        <v>1178</v>
      </c>
      <c r="AW265" s="1259" t="s">
        <v>1176</v>
      </c>
      <c r="AX265" s="1226"/>
      <c r="AY265" s="1224">
        <f t="shared" ca="1" si="72"/>
        <v>0</v>
      </c>
      <c r="AZ265" s="1224"/>
      <c r="BA265" s="1224">
        <f t="shared" ca="1" si="72"/>
        <v>0</v>
      </c>
      <c r="BB265" s="1224">
        <f t="shared" ca="1" si="72"/>
        <v>0</v>
      </c>
      <c r="BC265" s="1224">
        <f t="shared" ca="1" si="72"/>
        <v>0</v>
      </c>
      <c r="BD265" s="1224">
        <f t="shared" ca="1" si="72"/>
        <v>0</v>
      </c>
      <c r="BE265" s="1224">
        <f t="shared" ca="1" si="72"/>
        <v>0</v>
      </c>
      <c r="BF265" s="1224">
        <f t="shared" ca="1" si="72"/>
        <v>0</v>
      </c>
      <c r="BG265" s="1224">
        <f t="shared" ca="1" si="72"/>
        <v>0</v>
      </c>
      <c r="BH265" s="1224">
        <f t="shared" ca="1" si="72"/>
        <v>0</v>
      </c>
      <c r="BI265" s="1224">
        <f t="shared" ca="1" si="72"/>
        <v>0</v>
      </c>
      <c r="BJ265" s="1217"/>
    </row>
    <row r="266" spans="2:63">
      <c r="B266" s="1219"/>
      <c r="C266" s="1216" t="s">
        <v>345</v>
      </c>
      <c r="D266" s="1223" t="str">
        <f>INDEX(IPCC[Sector_description], MATCH($C266, IPCC[Sector_code], 0))</f>
        <v>International Aviation and Shipping</v>
      </c>
      <c r="E266" s="1214"/>
      <c r="F266" s="1258"/>
      <c r="G266" s="1258"/>
      <c r="H266" s="1257"/>
      <c r="I266" s="1257"/>
      <c r="J266" s="1257"/>
      <c r="K266" s="1257"/>
      <c r="L266" s="1257"/>
      <c r="M266" s="1257"/>
      <c r="N266" s="1257"/>
      <c r="O266" s="1257"/>
      <c r="P266" s="1257"/>
      <c r="Q266" s="1257"/>
      <c r="R266" s="1257"/>
      <c r="S266" s="1257"/>
      <c r="T266" s="1257"/>
      <c r="U266" s="1257"/>
      <c r="V266" s="1257"/>
      <c r="W266" s="1257"/>
      <c r="X266" s="1257"/>
      <c r="Y266" s="1257"/>
      <c r="Z266" s="1257"/>
      <c r="AA266" s="1257"/>
      <c r="AB266" s="1257">
        <f t="shared" ref="AB266:AR266" si="73">0+0</f>
        <v>0</v>
      </c>
      <c r="AC266" s="1257">
        <f t="shared" si="73"/>
        <v>0</v>
      </c>
      <c r="AD266" s="1257">
        <f t="shared" si="73"/>
        <v>0</v>
      </c>
      <c r="AE266" s="1257">
        <f t="shared" si="73"/>
        <v>0</v>
      </c>
      <c r="AF266" s="1257">
        <f t="shared" si="73"/>
        <v>0</v>
      </c>
      <c r="AG266" s="1257">
        <f t="shared" si="73"/>
        <v>0</v>
      </c>
      <c r="AH266" s="1257">
        <f t="shared" si="73"/>
        <v>0</v>
      </c>
      <c r="AI266" s="1257">
        <f t="shared" si="73"/>
        <v>0</v>
      </c>
      <c r="AJ266" s="1257">
        <f t="shared" si="73"/>
        <v>0</v>
      </c>
      <c r="AK266" s="1257">
        <f t="shared" si="73"/>
        <v>0</v>
      </c>
      <c r="AL266" s="1257">
        <f t="shared" si="73"/>
        <v>0</v>
      </c>
      <c r="AM266" s="1257">
        <f t="shared" si="73"/>
        <v>0</v>
      </c>
      <c r="AN266" s="1257">
        <f t="shared" si="73"/>
        <v>0</v>
      </c>
      <c r="AO266" s="1257">
        <f t="shared" si="73"/>
        <v>0</v>
      </c>
      <c r="AP266" s="1257">
        <f t="shared" si="73"/>
        <v>0</v>
      </c>
      <c r="AQ266" s="1257">
        <f t="shared" si="73"/>
        <v>0</v>
      </c>
      <c r="AR266" s="1257">
        <f t="shared" si="73"/>
        <v>0</v>
      </c>
      <c r="AS266" s="1257"/>
      <c r="AT266" s="1257"/>
      <c r="AU266" s="1257"/>
      <c r="AV266" s="1257"/>
      <c r="AW266" s="1257" t="s">
        <v>1179</v>
      </c>
      <c r="AX266" s="1226"/>
      <c r="AY266" s="1224">
        <f t="shared" ca="1" si="72"/>
        <v>0</v>
      </c>
      <c r="AZ266" s="1224"/>
      <c r="BA266" s="1224">
        <f t="shared" ca="1" si="72"/>
        <v>0</v>
      </c>
      <c r="BB266" s="1224">
        <f t="shared" ca="1" si="72"/>
        <v>0</v>
      </c>
      <c r="BC266" s="1224">
        <f t="shared" ca="1" si="72"/>
        <v>0</v>
      </c>
      <c r="BD266" s="1224">
        <f t="shared" ca="1" si="72"/>
        <v>0</v>
      </c>
      <c r="BE266" s="1224">
        <f t="shared" ca="1" si="72"/>
        <v>0</v>
      </c>
      <c r="BF266" s="1224">
        <f t="shared" ca="1" si="72"/>
        <v>0</v>
      </c>
      <c r="BG266" s="1224">
        <f t="shared" ca="1" si="72"/>
        <v>0</v>
      </c>
      <c r="BH266" s="1224">
        <f t="shared" ca="1" si="72"/>
        <v>0</v>
      </c>
      <c r="BI266" s="1224">
        <f t="shared" ca="1" si="72"/>
        <v>0</v>
      </c>
      <c r="BJ266" s="1217"/>
    </row>
    <row r="267" spans="2:63" s="410" customFormat="1">
      <c r="B267" s="1219"/>
      <c r="C267" s="1216" t="s">
        <v>346</v>
      </c>
      <c r="D267" s="1223" t="str">
        <f>INDEX(IPCC[Sector_description], MATCH($C267, IPCC[Sector_code], 0))</f>
        <v>Bioenergy credit</v>
      </c>
      <c r="E267" s="1214"/>
      <c r="F267" s="1258"/>
      <c r="G267" s="1258"/>
      <c r="H267" s="1257"/>
      <c r="I267" s="1257"/>
      <c r="J267" s="1257"/>
      <c r="K267" s="1257"/>
      <c r="L267" s="1257"/>
      <c r="M267" s="1257"/>
      <c r="N267" s="1257"/>
      <c r="O267" s="1257"/>
      <c r="P267" s="1257"/>
      <c r="Q267" s="1257"/>
      <c r="R267" s="1257"/>
      <c r="S267" s="1257"/>
      <c r="T267" s="1257"/>
      <c r="U267" s="1257"/>
      <c r="V267" s="1257"/>
      <c r="W267" s="1257"/>
      <c r="X267" s="1257"/>
      <c r="Y267" s="1257"/>
      <c r="Z267" s="1257"/>
      <c r="AA267" s="1257"/>
      <c r="AB267" s="1257">
        <v>0</v>
      </c>
      <c r="AC267" s="1257">
        <v>0</v>
      </c>
      <c r="AD267" s="1257">
        <v>0</v>
      </c>
      <c r="AE267" s="1257">
        <v>0</v>
      </c>
      <c r="AF267" s="1257">
        <v>0</v>
      </c>
      <c r="AG267" s="1257">
        <v>0</v>
      </c>
      <c r="AH267" s="1257">
        <v>0</v>
      </c>
      <c r="AI267" s="1257">
        <v>0</v>
      </c>
      <c r="AJ267" s="1257">
        <v>0</v>
      </c>
      <c r="AK267" s="1257">
        <v>0</v>
      </c>
      <c r="AL267" s="1257">
        <v>0</v>
      </c>
      <c r="AM267" s="1257">
        <v>0</v>
      </c>
      <c r="AN267" s="1257">
        <v>0</v>
      </c>
      <c r="AO267" s="1257">
        <v>0</v>
      </c>
      <c r="AP267" s="1257">
        <v>0</v>
      </c>
      <c r="AQ267" s="1257">
        <v>0</v>
      </c>
      <c r="AR267" s="1257">
        <v>0</v>
      </c>
      <c r="AS267" s="1257">
        <v>0</v>
      </c>
      <c r="AT267" s="1257">
        <v>0</v>
      </c>
      <c r="AU267" s="1257">
        <v>0</v>
      </c>
      <c r="AV267" s="1257">
        <v>0</v>
      </c>
      <c r="AW267" s="1257" t="s">
        <v>1176</v>
      </c>
      <c r="AX267" s="1226"/>
      <c r="AY267" s="1224">
        <f t="shared" ca="1" si="72"/>
        <v>0</v>
      </c>
      <c r="AZ267" s="1224"/>
      <c r="BA267" s="1224">
        <f t="shared" ca="1" si="72"/>
        <v>0</v>
      </c>
      <c r="BB267" s="1224">
        <f t="shared" ca="1" si="72"/>
        <v>0</v>
      </c>
      <c r="BC267" s="1224">
        <f t="shared" ca="1" si="72"/>
        <v>0</v>
      </c>
      <c r="BD267" s="1224">
        <f t="shared" ca="1" si="72"/>
        <v>0</v>
      </c>
      <c r="BE267" s="1224">
        <f t="shared" ca="1" si="72"/>
        <v>0</v>
      </c>
      <c r="BF267" s="1224">
        <f t="shared" ca="1" si="72"/>
        <v>0</v>
      </c>
      <c r="BG267" s="1224">
        <f t="shared" ca="1" si="72"/>
        <v>0</v>
      </c>
      <c r="BH267" s="1224">
        <f t="shared" ca="1" si="72"/>
        <v>0</v>
      </c>
      <c r="BI267" s="1224">
        <f t="shared" ca="1" si="72"/>
        <v>0</v>
      </c>
      <c r="BJ267" s="1227"/>
    </row>
    <row r="268" spans="2:63">
      <c r="B268" s="1219"/>
      <c r="C268" s="1216" t="s">
        <v>369</v>
      </c>
      <c r="D268" s="1223" t="str">
        <f>INDEX(IPCC[Sector_description], MATCH($C268, IPCC[Sector_code], 0))</f>
        <v>Carbon capture</v>
      </c>
      <c r="E268" s="1214"/>
      <c r="F268" s="1258"/>
      <c r="G268" s="1258"/>
      <c r="H268" s="1257"/>
      <c r="I268" s="1257"/>
      <c r="J268" s="1257"/>
      <c r="K268" s="1257"/>
      <c r="L268" s="1257"/>
      <c r="M268" s="1257"/>
      <c r="N268" s="1257"/>
      <c r="O268" s="1257"/>
      <c r="P268" s="1257"/>
      <c r="Q268" s="1257"/>
      <c r="R268" s="1257"/>
      <c r="S268" s="1257"/>
      <c r="T268" s="1257"/>
      <c r="U268" s="1257"/>
      <c r="V268" s="1257"/>
      <c r="W268" s="1257"/>
      <c r="X268" s="1257"/>
      <c r="Y268" s="1257"/>
      <c r="Z268" s="1257"/>
      <c r="AA268" s="1257"/>
      <c r="AB268" s="1257">
        <v>0</v>
      </c>
      <c r="AC268" s="1257">
        <v>0</v>
      </c>
      <c r="AD268" s="1257">
        <v>0</v>
      </c>
      <c r="AE268" s="1257">
        <v>0</v>
      </c>
      <c r="AF268" s="1257">
        <v>0</v>
      </c>
      <c r="AG268" s="1257">
        <v>0</v>
      </c>
      <c r="AH268" s="1257">
        <v>0</v>
      </c>
      <c r="AI268" s="1257">
        <v>0</v>
      </c>
      <c r="AJ268" s="1257">
        <v>0</v>
      </c>
      <c r="AK268" s="1257">
        <v>0</v>
      </c>
      <c r="AL268" s="1257">
        <v>0</v>
      </c>
      <c r="AM268" s="1257">
        <v>0</v>
      </c>
      <c r="AN268" s="1257">
        <v>0</v>
      </c>
      <c r="AO268" s="1257">
        <v>0</v>
      </c>
      <c r="AP268" s="1257">
        <v>0</v>
      </c>
      <c r="AQ268" s="1257">
        <v>0</v>
      </c>
      <c r="AR268" s="1257">
        <v>0</v>
      </c>
      <c r="AS268" s="1257">
        <v>0</v>
      </c>
      <c r="AT268" s="1257">
        <v>0</v>
      </c>
      <c r="AU268" s="1257">
        <v>0</v>
      </c>
      <c r="AV268" s="1257">
        <v>0</v>
      </c>
      <c r="AW268" s="1257" t="s">
        <v>1176</v>
      </c>
      <c r="AX268" s="1226"/>
      <c r="AY268" s="2481">
        <f t="shared" ca="1" si="72"/>
        <v>0</v>
      </c>
      <c r="AZ268" s="2481"/>
      <c r="BA268" s="2481">
        <f t="shared" ca="1" si="72"/>
        <v>0</v>
      </c>
      <c r="BB268" s="2481">
        <f t="shared" ca="1" si="72"/>
        <v>0</v>
      </c>
      <c r="BC268" s="2481">
        <f t="shared" ca="1" si="72"/>
        <v>0</v>
      </c>
      <c r="BD268" s="2481">
        <f t="shared" ca="1" si="72"/>
        <v>0</v>
      </c>
      <c r="BE268" s="2481">
        <f t="shared" ca="1" si="72"/>
        <v>-5.9902178225806457</v>
      </c>
      <c r="BF268" s="2481">
        <f t="shared" ca="1" si="72"/>
        <v>-11.98043564516129</v>
      </c>
      <c r="BG268" s="2481">
        <f t="shared" ca="1" si="72"/>
        <v>-29.043480351906162</v>
      </c>
      <c r="BH268" s="2481">
        <f t="shared" ca="1" si="72"/>
        <v>-40.660872492668624</v>
      </c>
      <c r="BI268" s="2481">
        <f t="shared" ca="1" si="72"/>
        <v>-56.378520683111951</v>
      </c>
      <c r="BJ268" s="1217"/>
    </row>
    <row r="269" spans="2:63">
      <c r="B269" s="1221"/>
      <c r="C269" s="1214"/>
      <c r="D269" s="1214" t="s">
        <v>103</v>
      </c>
      <c r="E269" s="1214"/>
      <c r="F269" s="1260"/>
      <c r="G269" s="1260"/>
      <c r="H269" s="1261"/>
      <c r="I269" s="1261"/>
      <c r="J269" s="1261"/>
      <c r="K269" s="1261"/>
      <c r="L269" s="1261"/>
      <c r="M269" s="1261"/>
      <c r="N269" s="1261"/>
      <c r="O269" s="1261"/>
      <c r="P269" s="1261"/>
      <c r="Q269" s="1261"/>
      <c r="R269" s="1261"/>
      <c r="S269" s="1261"/>
      <c r="T269" s="1261"/>
      <c r="U269" s="1261"/>
      <c r="V269" s="1261"/>
      <c r="W269" s="1261"/>
      <c r="X269" s="1261"/>
      <c r="Y269" s="1261"/>
      <c r="Z269" s="1261"/>
      <c r="AA269" s="1261"/>
      <c r="AB269" s="1261">
        <v>795.93572182124274</v>
      </c>
      <c r="AC269" s="1261">
        <v>802.4755376560646</v>
      </c>
      <c r="AD269" s="1261">
        <v>780.68534536725031</v>
      </c>
      <c r="AE269" s="1261">
        <v>759.52035248688799</v>
      </c>
      <c r="AF269" s="1261">
        <v>747.78944230587103</v>
      </c>
      <c r="AG269" s="1261">
        <v>740.88891665083361</v>
      </c>
      <c r="AH269" s="1261">
        <v>763.89065519339613</v>
      </c>
      <c r="AI269" s="1261">
        <v>740.01388660823704</v>
      </c>
      <c r="AJ269" s="1261">
        <v>739.9402055350414</v>
      </c>
      <c r="AK269" s="1261">
        <v>708.00135984945894</v>
      </c>
      <c r="AL269" s="1261">
        <v>711.50940185716161</v>
      </c>
      <c r="AM269" s="1261">
        <v>715.30430320050698</v>
      </c>
      <c r="AN269" s="1261">
        <v>691.76608222710354</v>
      </c>
      <c r="AO269" s="1261">
        <v>697.82821693046253</v>
      </c>
      <c r="AP269" s="1261">
        <v>700.45218287466992</v>
      </c>
      <c r="AQ269" s="1261">
        <v>698.30813666551887</v>
      </c>
      <c r="AR269" s="1261">
        <v>696.66133927951546</v>
      </c>
      <c r="AS269" s="1261"/>
      <c r="AT269" s="1261"/>
      <c r="AU269" s="1261"/>
      <c r="AV269" s="1261"/>
      <c r="AW269" s="1261"/>
      <c r="AX269" s="1226"/>
      <c r="AY269" s="1260">
        <f t="shared" ref="AY269:BI269" ca="1" si="74">SUM(AY259:AY268)</f>
        <v>1178.5139623629584</v>
      </c>
      <c r="AZ269" s="1260"/>
      <c r="BA269" s="1260">
        <f t="shared" ca="1" si="74"/>
        <v>1542.9858078670618</v>
      </c>
      <c r="BB269" s="1260">
        <f t="shared" ca="1" si="74"/>
        <v>2156.3230931819899</v>
      </c>
      <c r="BC269" s="1260">
        <f t="shared" ca="1" si="74"/>
        <v>3134.8651799678455</v>
      </c>
      <c r="BD269" s="1260">
        <f t="shared" ca="1" si="74"/>
        <v>4344.0867964535209</v>
      </c>
      <c r="BE269" s="1260">
        <f t="shared" ca="1" si="74"/>
        <v>5998.0636403250446</v>
      </c>
      <c r="BF269" s="1260">
        <f t="shared" ca="1" si="74"/>
        <v>7372.1157521102314</v>
      </c>
      <c r="BG269" s="1260">
        <f t="shared" ca="1" si="74"/>
        <v>8971.851949237438</v>
      </c>
      <c r="BH269" s="1260">
        <f t="shared" ca="1" si="74"/>
        <v>10491.962939522044</v>
      </c>
      <c r="BI269" s="1260">
        <f t="shared" ca="1" si="74"/>
        <v>12147.928442576478</v>
      </c>
      <c r="BJ269" s="1217" t="s">
        <v>1172</v>
      </c>
      <c r="BK269" s="1233"/>
    </row>
    <row r="270" spans="2:63" ht="5.25" customHeight="1">
      <c r="B270" s="1219"/>
      <c r="C270" s="1214"/>
      <c r="D270" s="1214"/>
      <c r="E270" s="1214"/>
      <c r="F270" s="1226"/>
      <c r="G270" s="1226"/>
      <c r="H270" s="1259"/>
      <c r="I270" s="1259"/>
      <c r="J270" s="1259"/>
      <c r="K270" s="1259"/>
      <c r="L270" s="1259"/>
      <c r="M270" s="1259"/>
      <c r="N270" s="1259"/>
      <c r="O270" s="1259"/>
      <c r="P270" s="1259"/>
      <c r="Q270" s="1259"/>
      <c r="R270" s="1259"/>
      <c r="S270" s="1259"/>
      <c r="T270" s="1259"/>
      <c r="U270" s="1259"/>
      <c r="V270" s="1259"/>
      <c r="W270" s="1259"/>
      <c r="X270" s="1259"/>
      <c r="Y270" s="1259"/>
      <c r="Z270" s="1259"/>
      <c r="AA270" s="1259"/>
      <c r="AB270" s="1259"/>
      <c r="AC270" s="1259"/>
      <c r="AD270" s="1259"/>
      <c r="AE270" s="1259"/>
      <c r="AF270" s="1259"/>
      <c r="AG270" s="1259"/>
      <c r="AH270" s="1259"/>
      <c r="AI270" s="1259"/>
      <c r="AJ270" s="1259"/>
      <c r="AK270" s="1259"/>
      <c r="AL270" s="1259"/>
      <c r="AM270" s="1259"/>
      <c r="AN270" s="1259"/>
      <c r="AO270" s="1259"/>
      <c r="AP270" s="1259"/>
      <c r="AQ270" s="1259"/>
      <c r="AR270" s="1259"/>
      <c r="AS270" s="1259"/>
      <c r="AT270" s="1259"/>
      <c r="AU270" s="1259"/>
      <c r="AV270" s="1259"/>
      <c r="AW270" s="1259"/>
      <c r="AX270" s="1226"/>
      <c r="AY270" s="1226"/>
      <c r="AZ270" s="1226"/>
      <c r="BA270" s="1226"/>
      <c r="BB270" s="1226"/>
      <c r="BC270" s="1226"/>
      <c r="BD270" s="1226"/>
      <c r="BE270" s="1226"/>
      <c r="BF270" s="1226"/>
      <c r="BG270" s="1226"/>
      <c r="BH270" s="1226"/>
      <c r="BI270" s="1226"/>
      <c r="BJ270" s="1217"/>
    </row>
    <row r="271" spans="2:63" s="37" customFormat="1">
      <c r="B271" s="1219"/>
      <c r="C271" s="1236"/>
      <c r="D271" s="1236"/>
      <c r="E271" s="1236"/>
      <c r="F271" s="1262"/>
      <c r="G271" s="1262"/>
      <c r="H271" s="1263"/>
      <c r="I271" s="1263"/>
      <c r="J271" s="1263"/>
      <c r="K271" s="1263"/>
      <c r="L271" s="1263"/>
      <c r="M271" s="1263"/>
      <c r="N271" s="1263"/>
      <c r="O271" s="1263"/>
      <c r="P271" s="1263"/>
      <c r="Q271" s="1263"/>
      <c r="R271" s="1263"/>
      <c r="S271" s="1263"/>
      <c r="T271" s="1263"/>
      <c r="U271" s="1263"/>
      <c r="V271" s="1263"/>
      <c r="W271" s="1263"/>
      <c r="X271" s="1263"/>
      <c r="Y271" s="1263"/>
      <c r="Z271" s="1263"/>
      <c r="AA271" s="1263"/>
      <c r="AB271" s="1263"/>
      <c r="AC271" s="1263"/>
      <c r="AD271" s="1263"/>
      <c r="AE271" s="1263"/>
      <c r="AF271" s="1263"/>
      <c r="AG271" s="1263"/>
      <c r="AH271" s="1263"/>
      <c r="AI271" s="1263"/>
      <c r="AJ271" s="1263"/>
      <c r="AK271" s="1263"/>
      <c r="AL271" s="1263"/>
      <c r="AM271" s="1263"/>
      <c r="AN271" s="1263"/>
      <c r="AO271" s="1263"/>
      <c r="AP271" s="1263"/>
      <c r="AQ271" s="1263"/>
      <c r="AR271" s="1263"/>
      <c r="AS271" s="1263"/>
      <c r="AT271" s="1263"/>
      <c r="AU271" s="1263"/>
      <c r="AV271" s="1263"/>
      <c r="AW271" s="1263"/>
      <c r="AX271" s="1264"/>
      <c r="AY271" s="1262"/>
      <c r="AZ271" s="1262"/>
      <c r="BA271" s="1262"/>
      <c r="BB271" s="1262"/>
      <c r="BC271" s="1262"/>
      <c r="BD271" s="1262"/>
      <c r="BE271" s="1262"/>
      <c r="BF271" s="1262"/>
      <c r="BG271" s="1262"/>
      <c r="BH271" s="1262"/>
      <c r="BI271" s="1262"/>
      <c r="BJ271" s="1217"/>
    </row>
    <row r="272" spans="2:63">
      <c r="B272" s="1235"/>
      <c r="C272" s="1266"/>
      <c r="D272" s="1266"/>
      <c r="E272" s="1266"/>
      <c r="F272" s="1266"/>
      <c r="G272" s="1266"/>
      <c r="H272" s="1267"/>
      <c r="I272" s="1267"/>
      <c r="J272" s="1267"/>
      <c r="K272" s="1267"/>
      <c r="L272" s="1267"/>
      <c r="M272" s="1267"/>
      <c r="N272" s="1267"/>
      <c r="O272" s="1267"/>
      <c r="P272" s="1267"/>
      <c r="Q272" s="1267"/>
      <c r="R272" s="1267"/>
      <c r="S272" s="1267"/>
      <c r="T272" s="1267"/>
      <c r="U272" s="1267"/>
      <c r="V272" s="1267"/>
      <c r="W272" s="1267"/>
      <c r="X272" s="1267"/>
      <c r="Y272" s="1267"/>
      <c r="Z272" s="1267"/>
      <c r="AA272" s="1267"/>
      <c r="AB272" s="1267"/>
      <c r="AC272" s="1267"/>
      <c r="AD272" s="1267"/>
      <c r="AE272" s="1267"/>
      <c r="AF272" s="1267"/>
      <c r="AG272" s="1267"/>
      <c r="AH272" s="1267"/>
      <c r="AI272" s="1267"/>
      <c r="AJ272" s="1267"/>
      <c r="AK272" s="1267"/>
      <c r="AL272" s="1267"/>
      <c r="AM272" s="1267"/>
      <c r="AN272" s="1267"/>
      <c r="AO272" s="1267"/>
      <c r="AP272" s="1267"/>
      <c r="AQ272" s="1267"/>
      <c r="AR272" s="1267"/>
      <c r="AS272" s="1267"/>
      <c r="AT272" s="1267"/>
      <c r="AU272" s="1267"/>
      <c r="AV272" s="1267"/>
      <c r="AW272" s="1267"/>
      <c r="AX272" s="1266"/>
      <c r="AY272" s="1266"/>
      <c r="AZ272" s="1266"/>
      <c r="BA272" s="1266"/>
      <c r="BB272" s="1266"/>
      <c r="BC272" s="1266"/>
      <c r="BD272" s="1266"/>
      <c r="BE272" s="1266"/>
      <c r="BF272" s="1266"/>
      <c r="BG272" s="1266"/>
      <c r="BH272" s="1266"/>
      <c r="BI272" s="1266"/>
      <c r="BJ272" s="1268"/>
    </row>
    <row r="273" spans="1:62" s="242" customFormat="1">
      <c r="B273" s="1235"/>
      <c r="C273" s="35"/>
      <c r="D273" s="35"/>
      <c r="E273" s="35"/>
      <c r="F273" s="35"/>
      <c r="G273" s="35"/>
      <c r="H273" s="1203"/>
      <c r="I273" s="1203"/>
      <c r="J273" s="1203"/>
      <c r="K273" s="1203"/>
      <c r="L273" s="1203"/>
      <c r="M273" s="1203"/>
      <c r="N273" s="1203"/>
      <c r="O273" s="1203"/>
      <c r="P273" s="1203"/>
      <c r="Q273" s="1203"/>
      <c r="R273" s="1203"/>
      <c r="S273" s="1203"/>
      <c r="T273" s="1203"/>
      <c r="U273" s="1203"/>
      <c r="V273" s="1203"/>
      <c r="W273" s="1203"/>
      <c r="X273" s="1203"/>
      <c r="Y273" s="1203"/>
      <c r="Z273" s="1203"/>
      <c r="AA273" s="1203"/>
      <c r="AB273" s="1203"/>
      <c r="AC273" s="1203"/>
      <c r="AD273" s="1203"/>
      <c r="AE273" s="1203"/>
      <c r="AF273" s="1203"/>
      <c r="AG273" s="1203"/>
      <c r="AH273" s="1203"/>
      <c r="AI273" s="1203"/>
      <c r="AJ273" s="1203"/>
      <c r="AK273" s="1203"/>
      <c r="AL273" s="1203"/>
      <c r="AM273" s="1203"/>
      <c r="AN273" s="1203"/>
      <c r="AO273" s="1203"/>
      <c r="AP273" s="1203"/>
      <c r="AQ273" s="1203"/>
      <c r="AR273" s="1203"/>
      <c r="AS273" s="1203"/>
      <c r="AT273" s="1203"/>
      <c r="AU273" s="1203"/>
      <c r="AV273" s="1203"/>
      <c r="AW273" s="1203"/>
      <c r="AX273" s="35"/>
      <c r="AY273" s="35"/>
      <c r="AZ273" s="35"/>
      <c r="BA273" s="35"/>
      <c r="BB273" s="35"/>
      <c r="BC273" s="35"/>
      <c r="BD273" s="35"/>
      <c r="BE273" s="35"/>
      <c r="BF273" s="35"/>
      <c r="BG273" s="35"/>
      <c r="BH273" s="35"/>
      <c r="BI273" s="35"/>
      <c r="BJ273" s="35"/>
    </row>
    <row r="274" spans="1:62" ht="22.5">
      <c r="A274" s="420"/>
      <c r="B274" s="1208" t="s">
        <v>1180</v>
      </c>
      <c r="C274" s="1209"/>
      <c r="D274" s="1209"/>
      <c r="E274" s="1209"/>
      <c r="F274" s="1209"/>
      <c r="G274" s="1209"/>
      <c r="H274" s="1210"/>
      <c r="I274" s="1210"/>
      <c r="J274" s="1210"/>
      <c r="K274" s="1210"/>
      <c r="L274" s="1210"/>
      <c r="M274" s="1210"/>
      <c r="N274" s="1210"/>
      <c r="O274" s="1210"/>
      <c r="P274" s="1210"/>
      <c r="Q274" s="1210"/>
      <c r="R274" s="1210"/>
      <c r="S274" s="1210"/>
      <c r="T274" s="1210"/>
      <c r="U274" s="1210"/>
      <c r="V274" s="1210"/>
      <c r="W274" s="1210"/>
      <c r="X274" s="1210"/>
      <c r="Y274" s="1210"/>
      <c r="Z274" s="1210"/>
      <c r="AA274" s="1210"/>
      <c r="AB274" s="1210"/>
      <c r="AC274" s="1210"/>
      <c r="AD274" s="1210"/>
      <c r="AE274" s="1210"/>
      <c r="AF274" s="1210"/>
      <c r="AG274" s="1210"/>
      <c r="AH274" s="1210"/>
      <c r="AI274" s="1210"/>
      <c r="AJ274" s="1210"/>
      <c r="AK274" s="1210"/>
      <c r="AL274" s="1210"/>
      <c r="AM274" s="1210"/>
      <c r="AN274" s="1210"/>
      <c r="AO274" s="1210"/>
      <c r="AP274" s="1210"/>
      <c r="AQ274" s="1210"/>
      <c r="AR274" s="1210"/>
      <c r="AS274" s="1210"/>
      <c r="AT274" s="1210"/>
      <c r="AU274" s="1210"/>
      <c r="AV274" s="1210"/>
      <c r="AW274" s="1210"/>
      <c r="AX274" s="1209"/>
      <c r="AY274" s="1209"/>
      <c r="AZ274" s="1209"/>
      <c r="BA274" s="1209"/>
      <c r="BB274" s="1209"/>
      <c r="BC274" s="1209"/>
      <c r="BD274" s="1209"/>
      <c r="BE274" s="1209"/>
      <c r="BF274" s="1209"/>
      <c r="BG274" s="1209"/>
      <c r="BH274" s="1209"/>
      <c r="BI274" s="1211"/>
      <c r="BJ274" s="1212"/>
    </row>
    <row r="275" spans="1:62">
      <c r="B275" s="35"/>
      <c r="C275" s="1214"/>
      <c r="D275" s="1214"/>
      <c r="E275" s="1214"/>
      <c r="F275" s="1214"/>
      <c r="G275" s="1214"/>
      <c r="H275" s="1215"/>
      <c r="I275" s="1215"/>
      <c r="J275" s="1215"/>
      <c r="K275" s="1215"/>
      <c r="L275" s="1215"/>
      <c r="M275" s="1215"/>
      <c r="N275" s="1215"/>
      <c r="O275" s="1215"/>
      <c r="P275" s="1215"/>
      <c r="Q275" s="1215"/>
      <c r="R275" s="1215"/>
      <c r="S275" s="1215"/>
      <c r="T275" s="1215"/>
      <c r="U275" s="1215"/>
      <c r="V275" s="1215"/>
      <c r="W275" s="1215"/>
      <c r="X275" s="1215"/>
      <c r="Y275" s="1215"/>
      <c r="Z275" s="1215"/>
      <c r="AA275" s="1215"/>
      <c r="AB275" s="1215"/>
      <c r="AC275" s="1215"/>
      <c r="AD275" s="1215"/>
      <c r="AE275" s="1215"/>
      <c r="AF275" s="1215"/>
      <c r="AG275" s="1215"/>
      <c r="AH275" s="1215"/>
      <c r="AI275" s="1215"/>
      <c r="AJ275" s="1215"/>
      <c r="AK275" s="1215"/>
      <c r="AL275" s="1215"/>
      <c r="AM275" s="1215"/>
      <c r="AN275" s="1215"/>
      <c r="AO275" s="1215"/>
      <c r="AP275" s="1215"/>
      <c r="AQ275" s="1215"/>
      <c r="AR275" s="1215"/>
      <c r="AS275" s="1215"/>
      <c r="AT275" s="1215"/>
      <c r="AU275" s="1215"/>
      <c r="AV275" s="1215"/>
      <c r="AW275" s="1215"/>
      <c r="AX275" s="1214"/>
      <c r="AY275" s="1214"/>
      <c r="AZ275" s="1214"/>
      <c r="BA275" s="1214"/>
      <c r="BB275" s="1214"/>
      <c r="BC275" s="1214"/>
      <c r="BD275" s="1214"/>
      <c r="BE275" s="1214"/>
      <c r="BF275" s="1214"/>
      <c r="BG275" s="1214"/>
      <c r="BH275" s="1214"/>
      <c r="BI275" s="1214"/>
      <c r="BJ275" s="1214"/>
    </row>
    <row r="276" spans="1:62" ht="15.75">
      <c r="B276" s="1208" t="s">
        <v>1181</v>
      </c>
      <c r="C276" s="1214"/>
      <c r="D276" s="1214"/>
      <c r="E276" s="1214"/>
      <c r="F276" s="1214"/>
      <c r="G276" s="1214"/>
      <c r="H276" s="1215"/>
      <c r="I276" s="1215"/>
      <c r="J276" s="1215"/>
      <c r="K276" s="1215"/>
      <c r="L276" s="1215"/>
      <c r="M276" s="1215"/>
      <c r="N276" s="1215"/>
      <c r="O276" s="1215"/>
      <c r="P276" s="1215"/>
      <c r="Q276" s="1215"/>
      <c r="R276" s="1215"/>
      <c r="S276" s="1215"/>
      <c r="T276" s="1215"/>
      <c r="U276" s="1215"/>
      <c r="V276" s="1215"/>
      <c r="W276" s="1215"/>
      <c r="X276" s="1215"/>
      <c r="Y276" s="1215"/>
      <c r="Z276" s="1215"/>
      <c r="AA276" s="1215"/>
      <c r="AB276" s="1215"/>
      <c r="AC276" s="1215"/>
      <c r="AD276" s="1215"/>
      <c r="AE276" s="1215"/>
      <c r="AF276" s="1215"/>
      <c r="AG276" s="1215"/>
      <c r="AH276" s="1215"/>
      <c r="AI276" s="1215"/>
      <c r="AJ276" s="1215"/>
      <c r="AK276" s="1215"/>
      <c r="AL276" s="1215"/>
      <c r="AM276" s="1215"/>
      <c r="AN276" s="1215"/>
      <c r="AO276" s="1215"/>
      <c r="AP276" s="1215"/>
      <c r="AQ276" s="1215"/>
      <c r="AR276" s="1215"/>
      <c r="AS276" s="1215"/>
      <c r="AT276" s="1215"/>
      <c r="AU276" s="1215"/>
      <c r="AV276" s="1215"/>
      <c r="AW276" s="1215"/>
      <c r="AX276" s="1214"/>
      <c r="AY276" s="1214"/>
      <c r="AZ276" s="1214"/>
      <c r="BA276" s="1214"/>
      <c r="BB276" s="1214"/>
      <c r="BC276" s="1214"/>
      <c r="BD276" s="1214"/>
      <c r="BE276" s="1214"/>
      <c r="BF276" s="1214"/>
      <c r="BG276" s="1214"/>
      <c r="BH276" s="1214"/>
      <c r="BI276" s="1214"/>
      <c r="BJ276" s="1214"/>
    </row>
    <row r="277" spans="1:62">
      <c r="B277" s="1214"/>
      <c r="C277" s="1214"/>
      <c r="D277" s="1214"/>
      <c r="E277" s="1214"/>
      <c r="F277" s="1214"/>
      <c r="G277" s="1214"/>
      <c r="H277" s="1215"/>
      <c r="I277" s="1215"/>
      <c r="J277" s="1215"/>
      <c r="K277" s="1215"/>
      <c r="L277" s="1215"/>
      <c r="M277" s="1215"/>
      <c r="N277" s="1215"/>
      <c r="O277" s="1215"/>
      <c r="P277" s="1215"/>
      <c r="Q277" s="1215"/>
      <c r="R277" s="1215"/>
      <c r="S277" s="1215"/>
      <c r="T277" s="1215"/>
      <c r="U277" s="1215"/>
      <c r="V277" s="1215"/>
      <c r="W277" s="1215"/>
      <c r="X277" s="1215"/>
      <c r="Y277" s="1215"/>
      <c r="Z277" s="1215"/>
      <c r="AA277" s="1215"/>
      <c r="AB277" s="1215"/>
      <c r="AC277" s="1215"/>
      <c r="AD277" s="1215"/>
      <c r="AE277" s="1215"/>
      <c r="AF277" s="1215"/>
      <c r="AG277" s="1215"/>
      <c r="AH277" s="1215"/>
      <c r="AI277" s="1215"/>
      <c r="AJ277" s="1215"/>
      <c r="AK277" s="1215"/>
      <c r="AL277" s="1215"/>
      <c r="AM277" s="1215"/>
      <c r="AN277" s="1215"/>
      <c r="AO277" s="1215"/>
      <c r="AP277" s="1215"/>
      <c r="AQ277" s="1215"/>
      <c r="AR277" s="1215"/>
      <c r="AS277" s="1215"/>
      <c r="AT277" s="1215"/>
      <c r="AU277" s="1215"/>
      <c r="AV277" s="1215"/>
      <c r="AW277" s="1215"/>
      <c r="AX277" s="1214"/>
      <c r="AY277" s="1214"/>
      <c r="AZ277" s="1214"/>
      <c r="BA277" s="1214"/>
      <c r="BB277" s="1214"/>
      <c r="BC277" s="1214"/>
      <c r="BD277" s="1214"/>
      <c r="BE277" s="1214"/>
      <c r="BF277" s="1214"/>
      <c r="BG277" s="1214"/>
      <c r="BH277" s="1214"/>
      <c r="BI277" s="1214"/>
      <c r="BJ277" s="1214"/>
    </row>
    <row r="278" spans="1:62">
      <c r="B278" s="1220"/>
      <c r="C278" s="1236" t="s">
        <v>32</v>
      </c>
      <c r="D278" s="1214"/>
      <c r="E278" s="1214"/>
      <c r="F278" s="1214"/>
      <c r="G278" s="1214"/>
      <c r="H278" s="1215"/>
      <c r="I278" s="1215"/>
      <c r="J278" s="1215"/>
      <c r="K278" s="1215"/>
      <c r="L278" s="1215"/>
      <c r="M278" s="1215"/>
      <c r="N278" s="1215"/>
      <c r="O278" s="1215"/>
      <c r="P278" s="1215"/>
      <c r="Q278" s="1215"/>
      <c r="R278" s="1215"/>
      <c r="S278" s="1215"/>
      <c r="T278" s="1215"/>
      <c r="U278" s="1215"/>
      <c r="V278" s="1215"/>
      <c r="W278" s="1215"/>
      <c r="X278" s="1215"/>
      <c r="Y278" s="1215"/>
      <c r="Z278" s="1215"/>
      <c r="AA278" s="1215"/>
      <c r="AB278" s="1215"/>
      <c r="AC278" s="1215"/>
      <c r="AD278" s="1215"/>
      <c r="AE278" s="1215"/>
      <c r="AF278" s="1215"/>
      <c r="AG278" s="1215"/>
      <c r="AH278" s="1215"/>
      <c r="AI278" s="1215"/>
      <c r="AJ278" s="1215"/>
      <c r="AK278" s="1215"/>
      <c r="AL278" s="1215"/>
      <c r="AM278" s="1215"/>
      <c r="AN278" s="1215"/>
      <c r="AO278" s="1215"/>
      <c r="AP278" s="1215"/>
      <c r="AQ278" s="1215"/>
      <c r="AR278" s="1215"/>
      <c r="AS278" s="1215"/>
      <c r="AT278" s="1215"/>
      <c r="AU278" s="1215"/>
      <c r="AV278" s="1215"/>
      <c r="AW278" s="1215"/>
      <c r="AX278" s="1214"/>
      <c r="AY278" s="2405">
        <v>2007</v>
      </c>
      <c r="AZ278" s="2405"/>
      <c r="BA278" s="2405">
        <f>AY278+5</f>
        <v>2012</v>
      </c>
      <c r="BB278" s="2405">
        <f t="shared" ref="BB278:BI278" si="75">BA278+5</f>
        <v>2017</v>
      </c>
      <c r="BC278" s="2405">
        <f t="shared" si="75"/>
        <v>2022</v>
      </c>
      <c r="BD278" s="2405">
        <f t="shared" si="75"/>
        <v>2027</v>
      </c>
      <c r="BE278" s="2405">
        <f t="shared" si="75"/>
        <v>2032</v>
      </c>
      <c r="BF278" s="2405">
        <f t="shared" si="75"/>
        <v>2037</v>
      </c>
      <c r="BG278" s="2405">
        <f t="shared" si="75"/>
        <v>2042</v>
      </c>
      <c r="BH278" s="2405">
        <f t="shared" si="75"/>
        <v>2047</v>
      </c>
      <c r="BI278" s="2405">
        <f t="shared" si="75"/>
        <v>2052</v>
      </c>
      <c r="BJ278" s="1214"/>
    </row>
    <row r="279" spans="1:62">
      <c r="B279" s="1214"/>
      <c r="C279" s="1269" t="s">
        <v>304</v>
      </c>
      <c r="D279" s="1269" t="s">
        <v>36</v>
      </c>
      <c r="E279" s="166" t="str">
        <f>INDEX(Vectors[Description],MATCH($D279,Vectors[Code],0))</f>
        <v>Solid hydrocarbons</v>
      </c>
      <c r="F279" s="1270"/>
      <c r="G279" s="1270"/>
      <c r="H279" s="1271"/>
      <c r="I279" s="1271"/>
      <c r="J279" s="1271"/>
      <c r="K279" s="1271"/>
      <c r="L279" s="1271"/>
      <c r="M279" s="1271"/>
      <c r="N279" s="1271"/>
      <c r="O279" s="1271"/>
      <c r="P279" s="1271"/>
      <c r="Q279" s="1271"/>
      <c r="R279" s="1271"/>
      <c r="S279" s="1271"/>
      <c r="T279" s="1271"/>
      <c r="U279" s="1271"/>
      <c r="V279" s="1271"/>
      <c r="W279" s="1271"/>
      <c r="X279" s="1271"/>
      <c r="Y279" s="1271"/>
      <c r="Z279" s="1271"/>
      <c r="AA279" s="1271"/>
      <c r="AB279" s="1271"/>
      <c r="AC279" s="1271"/>
      <c r="AD279" s="1271"/>
      <c r="AE279" s="1271"/>
      <c r="AF279" s="1271"/>
      <c r="AG279" s="1271"/>
      <c r="AH279" s="1271"/>
      <c r="AI279" s="1271"/>
      <c r="AJ279" s="1271">
        <f>11.2811*Unit.TWh</f>
        <v>11.2811</v>
      </c>
      <c r="AK279" s="1271">
        <f>11.5128859*Unit.TWh</f>
        <v>11.512885900000001</v>
      </c>
      <c r="AL279" s="1271">
        <f>9.9829594*Unit.TWh</f>
        <v>9.9829594000000004</v>
      </c>
      <c r="AM279" s="1271">
        <f>10.7253023*Unit.TWh</f>
        <v>10.725302299999999</v>
      </c>
      <c r="AN279" s="1271">
        <f>11.7831671*Unit.TWh</f>
        <v>11.7831671</v>
      </c>
      <c r="AO279" s="1271">
        <f>11.9234249*Unit.TWh</f>
        <v>11.923424900000001</v>
      </c>
      <c r="AP279" s="1271">
        <f>8.2292717*Unit.TWh</f>
        <v>8.2292717</v>
      </c>
      <c r="AQ279" s="1271">
        <f>13.56519449*Unit.TWh</f>
        <v>13.56519449</v>
      </c>
      <c r="AR279" s="1271">
        <f>13.10799238*Unit.TWh</f>
        <v>13.107992380000001</v>
      </c>
      <c r="AS279" s="1271">
        <f>14.11044992*Unit.TWh</f>
        <v>14.110449920000001</v>
      </c>
      <c r="AT279" s="1271">
        <f>15.68101481*Unit.TWh</f>
        <v>15.681014810000001</v>
      </c>
      <c r="AU279" s="1271">
        <f>18.7866056*Unit.TWh</f>
        <v>18.786605600000001</v>
      </c>
      <c r="AV279" s="1271">
        <f>19.95985165*Unit.TWh</f>
        <v>19.959851650000001</v>
      </c>
      <c r="AW279" s="1271" t="s">
        <v>1182</v>
      </c>
      <c r="AX279" s="1272"/>
      <c r="AY279" s="1273"/>
      <c r="AZ279" s="1273"/>
      <c r="BA279" s="1273"/>
      <c r="BB279" s="1273"/>
      <c r="BC279" s="1273"/>
      <c r="BD279" s="1273"/>
      <c r="BE279" s="1273"/>
      <c r="BF279" s="1273"/>
      <c r="BG279" s="1273"/>
      <c r="BH279" s="1273"/>
      <c r="BI279" s="1273"/>
      <c r="BJ279" s="1214"/>
    </row>
    <row r="280" spans="1:62">
      <c r="B280" s="1214"/>
      <c r="C280" s="1269" t="s">
        <v>304</v>
      </c>
      <c r="D280" s="1269" t="s">
        <v>38</v>
      </c>
      <c r="E280" s="166" t="str">
        <f>INDEX(Vectors[Description],MATCH($D280,Vectors[Code],0))</f>
        <v>Liquid hydrocarbons</v>
      </c>
      <c r="F280" s="1270"/>
      <c r="G280" s="1270"/>
      <c r="H280" s="1271"/>
      <c r="I280" s="1271"/>
      <c r="J280" s="1271"/>
      <c r="K280" s="1271"/>
      <c r="L280" s="1271"/>
      <c r="M280" s="1271"/>
      <c r="N280" s="1271"/>
      <c r="O280" s="1271"/>
      <c r="P280" s="1271"/>
      <c r="Q280" s="1271"/>
      <c r="R280" s="1271"/>
      <c r="S280" s="1271"/>
      <c r="T280" s="1271"/>
      <c r="U280" s="1271"/>
      <c r="V280" s="1271"/>
      <c r="W280" s="1271"/>
      <c r="X280" s="1271"/>
      <c r="Y280" s="1271"/>
      <c r="Z280" s="1271"/>
      <c r="AA280" s="1271"/>
      <c r="AB280" s="1271"/>
      <c r="AC280" s="1271"/>
      <c r="AD280" s="1271"/>
      <c r="AE280" s="1271"/>
      <c r="AF280" s="1271"/>
      <c r="AG280" s="1271"/>
      <c r="AH280" s="1271"/>
      <c r="AI280" s="1271"/>
      <c r="AJ280" s="1271">
        <f t="shared" ref="AJ280:AP280" si="76">0*Unit.TWh</f>
        <v>0</v>
      </c>
      <c r="AK280" s="1271">
        <f t="shared" si="76"/>
        <v>0</v>
      </c>
      <c r="AL280" s="1271">
        <f t="shared" si="76"/>
        <v>0</v>
      </c>
      <c r="AM280" s="1271">
        <f t="shared" si="76"/>
        <v>0</v>
      </c>
      <c r="AN280" s="1271">
        <f t="shared" si="76"/>
        <v>0</v>
      </c>
      <c r="AO280" s="1271">
        <f t="shared" si="76"/>
        <v>0</v>
      </c>
      <c r="AP280" s="1271">
        <f t="shared" si="76"/>
        <v>0</v>
      </c>
      <c r="AQ280" s="1271">
        <f>0.09313615*Unit.TWh</f>
        <v>9.3136150000000001E-2</v>
      </c>
      <c r="AR280" s="1271">
        <f>2.691796244*Unit.TWh</f>
        <v>2.6917962439999998</v>
      </c>
      <c r="AS280" s="1271">
        <f>4.599912358*Unit.TWh</f>
        <v>4.5999123580000001</v>
      </c>
      <c r="AT280" s="1271">
        <f>3.516727083*Unit.TWh</f>
        <v>3.5167270830000001</v>
      </c>
      <c r="AU280" s="1271">
        <f>2.629156279*Unit.TWh</f>
        <v>2.629156279</v>
      </c>
      <c r="AV280" s="1271">
        <f>3.539047787*Unit.TWh</f>
        <v>3.5390477869999999</v>
      </c>
      <c r="AW280" s="1271" t="s">
        <v>1183</v>
      </c>
      <c r="AX280" s="1272"/>
      <c r="AY280" s="1273"/>
      <c r="AZ280" s="1273"/>
      <c r="BA280" s="1273"/>
      <c r="BB280" s="1273"/>
      <c r="BC280" s="1273"/>
      <c r="BD280" s="1273"/>
      <c r="BE280" s="1273"/>
      <c r="BF280" s="1273"/>
      <c r="BG280" s="1273"/>
      <c r="BH280" s="1273"/>
      <c r="BI280" s="1273"/>
      <c r="BJ280" s="1214"/>
    </row>
    <row r="281" spans="1:62">
      <c r="B281" s="1214"/>
      <c r="C281" s="1269" t="s">
        <v>304</v>
      </c>
      <c r="D281" s="1269" t="s">
        <v>39</v>
      </c>
      <c r="E281" s="166" t="str">
        <f>INDEX(Vectors[Description],MATCH($D281,Vectors[Code],0))</f>
        <v>Gaseous hydrocarbons</v>
      </c>
      <c r="F281" s="1270"/>
      <c r="G281" s="1270"/>
      <c r="H281" s="1271"/>
      <c r="I281" s="1271"/>
      <c r="J281" s="1271"/>
      <c r="K281" s="1271"/>
      <c r="L281" s="1271"/>
      <c r="M281" s="1271"/>
      <c r="N281" s="1271"/>
      <c r="O281" s="1271"/>
      <c r="P281" s="1271"/>
      <c r="Q281" s="1271"/>
      <c r="R281" s="1271"/>
      <c r="S281" s="1271"/>
      <c r="T281" s="1271"/>
      <c r="U281" s="1271"/>
      <c r="V281" s="1271"/>
      <c r="W281" s="1271"/>
      <c r="X281" s="1271"/>
      <c r="Y281" s="1271"/>
      <c r="Z281" s="1271"/>
      <c r="AA281" s="1271"/>
      <c r="AB281" s="1271"/>
      <c r="AC281" s="1271"/>
      <c r="AD281" s="1271"/>
      <c r="AE281" s="1271"/>
      <c r="AF281" s="1271"/>
      <c r="AG281" s="1271"/>
      <c r="AH281" s="1271"/>
      <c r="AI281" s="1271"/>
      <c r="AJ281" s="1271">
        <f>4.679912*Unit.TWh</f>
        <v>4.6799119999999998</v>
      </c>
      <c r="AK281" s="1271">
        <f>6.65236*Unit.TWh</f>
        <v>6.6523599999999998</v>
      </c>
      <c r="AL281" s="1271">
        <f>8.5030419*Unit.TWh</f>
        <v>8.5030418999999995</v>
      </c>
      <c r="AM281" s="1271">
        <f>9.7205866*Unit.TWh</f>
        <v>9.7205866000000007</v>
      </c>
      <c r="AN281" s="1271">
        <f>10.375123*Unit.TWh</f>
        <v>10.375123</v>
      </c>
      <c r="AO281" s="1271">
        <f>12.654603*Unit.TWh</f>
        <v>12.654603</v>
      </c>
      <c r="AP281" s="1271">
        <f>17.4844257*Unit.TWh</f>
        <v>17.484425699999999</v>
      </c>
      <c r="AQ281" s="1271">
        <f>18.91593462*Unit.TWh</f>
        <v>18.915934620000002</v>
      </c>
      <c r="AR281" s="1271">
        <f>19.24482717*Unit.TWh</f>
        <v>19.244827170000001</v>
      </c>
      <c r="AS281" s="1271">
        <f>20.29461125*Unit.TWh</f>
        <v>20.294611249999999</v>
      </c>
      <c r="AT281" s="1271">
        <f>20.91263605*Unit.TWh</f>
        <v>20.91263605</v>
      </c>
      <c r="AU281" s="1271">
        <f>21.92331406*Unit.TWh</f>
        <v>21.923314059999999</v>
      </c>
      <c r="AV281" s="1271">
        <f>22.89564828*Unit.TWh</f>
        <v>22.89564828</v>
      </c>
      <c r="AW281" s="1271" t="s">
        <v>1184</v>
      </c>
      <c r="AX281" s="1272"/>
      <c r="AY281" s="1273">
        <f t="shared" ref="AY281:BI281" ca="1" si="77">IFERROR(INDEX(INDIRECT($C281&amp;".Outputs["&amp;AY$4&amp;"]"),MATCH($D281,INDIRECT($C281&amp;".Outputs[Vector]"),0)),"na")</f>
        <v>9.1777777777777771</v>
      </c>
      <c r="AZ281" s="1273"/>
      <c r="BA281" s="1273">
        <f t="shared" ca="1" si="77"/>
        <v>10.305777777777783</v>
      </c>
      <c r="BB281" s="1273">
        <f t="shared" ca="1" si="77"/>
        <v>11.346016666666671</v>
      </c>
      <c r="BC281" s="1273">
        <f t="shared" ca="1" si="77"/>
        <v>12.386255555555559</v>
      </c>
      <c r="BD281" s="1273">
        <f t="shared" ca="1" si="77"/>
        <v>13.426494444444447</v>
      </c>
      <c r="BE281" s="1273">
        <f t="shared" ca="1" si="77"/>
        <v>14.466733333333337</v>
      </c>
      <c r="BF281" s="1273">
        <f t="shared" ca="1" si="77"/>
        <v>14.832036478670412</v>
      </c>
      <c r="BG281" s="1273">
        <f t="shared" ca="1" si="77"/>
        <v>15.206563986198885</v>
      </c>
      <c r="BH281" s="1273">
        <f t="shared" ca="1" si="77"/>
        <v>15.590548782623422</v>
      </c>
      <c r="BI281" s="1273">
        <f t="shared" ca="1" si="77"/>
        <v>15.984229676339865</v>
      </c>
      <c r="BJ281" s="1214"/>
    </row>
    <row r="282" spans="1:62">
      <c r="B282" s="1214"/>
      <c r="C282" s="1272"/>
      <c r="D282" s="1272"/>
      <c r="E282" s="1272"/>
      <c r="F282" s="1272"/>
      <c r="G282" s="1272"/>
      <c r="H282" s="1215"/>
      <c r="I282" s="1215"/>
      <c r="J282" s="1215"/>
      <c r="K282" s="1215"/>
      <c r="L282" s="1215"/>
      <c r="M282" s="1215"/>
      <c r="N282" s="1215"/>
      <c r="O282" s="1215"/>
      <c r="P282" s="1215"/>
      <c r="Q282" s="1215"/>
      <c r="R282" s="1215"/>
      <c r="S282" s="1215"/>
      <c r="T282" s="1215"/>
      <c r="U282" s="1215"/>
      <c r="V282" s="1215"/>
      <c r="W282" s="1215"/>
      <c r="X282" s="1215"/>
      <c r="Y282" s="1215"/>
      <c r="Z282" s="1215"/>
      <c r="AA282" s="1215"/>
      <c r="AB282" s="1215"/>
      <c r="AC282" s="1215"/>
      <c r="AD282" s="1215"/>
      <c r="AE282" s="1215"/>
      <c r="AF282" s="1215"/>
      <c r="AG282" s="1215"/>
      <c r="AH282" s="1215"/>
      <c r="AI282" s="1215"/>
      <c r="AJ282" s="1215"/>
      <c r="AK282" s="1215"/>
      <c r="AL282" s="1215"/>
      <c r="AM282" s="1215"/>
      <c r="AN282" s="1215"/>
      <c r="AO282" s="1215"/>
      <c r="AP282" s="1215"/>
      <c r="AQ282" s="1215"/>
      <c r="AR282" s="1215"/>
      <c r="AS282" s="1215"/>
      <c r="AT282" s="1215"/>
      <c r="AU282" s="1215"/>
      <c r="AV282" s="1215"/>
      <c r="AW282" s="1215"/>
      <c r="AX282" s="1272"/>
      <c r="AY282" s="1272"/>
      <c r="AZ282" s="1272"/>
      <c r="BA282" s="1272"/>
      <c r="BB282" s="1272"/>
      <c r="BC282" s="1272"/>
      <c r="BD282" s="1272"/>
      <c r="BE282" s="1272"/>
      <c r="BF282" s="1272"/>
      <c r="BG282" s="1272"/>
      <c r="BH282" s="1272"/>
      <c r="BI282" s="1272"/>
      <c r="BJ282" s="1214"/>
    </row>
    <row r="283" spans="1:62">
      <c r="B283" s="1214"/>
      <c r="C283" s="1274" t="s">
        <v>32</v>
      </c>
      <c r="D283" s="1272"/>
      <c r="E283" s="1272"/>
      <c r="F283" s="1272"/>
      <c r="G283" s="1272"/>
      <c r="H283" s="1215"/>
      <c r="I283" s="1215"/>
      <c r="J283" s="1215"/>
      <c r="K283" s="1215"/>
      <c r="L283" s="1215"/>
      <c r="M283" s="1215"/>
      <c r="N283" s="1215"/>
      <c r="O283" s="1215"/>
      <c r="P283" s="1215"/>
      <c r="Q283" s="1215"/>
      <c r="R283" s="1215"/>
      <c r="S283" s="1215"/>
      <c r="T283" s="1215"/>
      <c r="U283" s="1215"/>
      <c r="V283" s="1215"/>
      <c r="W283" s="1215"/>
      <c r="X283" s="1215"/>
      <c r="Y283" s="1215"/>
      <c r="Z283" s="1215"/>
      <c r="AA283" s="1215"/>
      <c r="AB283" s="1215"/>
      <c r="AC283" s="1215"/>
      <c r="AD283" s="1215"/>
      <c r="AE283" s="1215"/>
      <c r="AF283" s="1215"/>
      <c r="AG283" s="1215"/>
      <c r="AH283" s="1215"/>
      <c r="AI283" s="1215"/>
      <c r="AJ283" s="1215"/>
      <c r="AK283" s="1215"/>
      <c r="AL283" s="1215"/>
      <c r="AM283" s="1215"/>
      <c r="AN283" s="1215"/>
      <c r="AO283" s="1215"/>
      <c r="AP283" s="1215"/>
      <c r="AQ283" s="1215"/>
      <c r="AR283" s="1215"/>
      <c r="AS283" s="1215"/>
      <c r="AT283" s="1215"/>
      <c r="AU283" s="1215"/>
      <c r="AV283" s="1215"/>
      <c r="AW283" s="1215"/>
      <c r="AX283" s="1272"/>
      <c r="AY283" s="1272"/>
      <c r="AZ283" s="1272"/>
      <c r="BA283" s="1272"/>
      <c r="BB283" s="1272"/>
      <c r="BC283" s="1272"/>
      <c r="BD283" s="1272"/>
      <c r="BE283" s="1272"/>
      <c r="BF283" s="1272"/>
      <c r="BG283" s="1272"/>
      <c r="BH283" s="1272"/>
      <c r="BI283" s="1272"/>
      <c r="BJ283" s="1214"/>
    </row>
    <row r="284" spans="1:62">
      <c r="B284" s="1214"/>
      <c r="C284" s="1269" t="s">
        <v>432</v>
      </c>
      <c r="D284" s="1269" t="s">
        <v>36</v>
      </c>
      <c r="E284" s="1214" t="s">
        <v>49</v>
      </c>
      <c r="F284" s="1270"/>
      <c r="G284" s="1270"/>
      <c r="H284" s="1271"/>
      <c r="I284" s="1271"/>
      <c r="J284" s="1271"/>
      <c r="K284" s="1271"/>
      <c r="L284" s="1271"/>
      <c r="M284" s="1271"/>
      <c r="N284" s="1271"/>
      <c r="O284" s="1271"/>
      <c r="P284" s="1271"/>
      <c r="Q284" s="1271"/>
      <c r="R284" s="1271"/>
      <c r="S284" s="1271"/>
      <c r="T284" s="1271"/>
      <c r="U284" s="1271"/>
      <c r="V284" s="1271"/>
      <c r="W284" s="1271"/>
      <c r="X284" s="1271"/>
      <c r="Y284" s="1271"/>
      <c r="Z284" s="1271"/>
      <c r="AA284" s="1271"/>
      <c r="AB284" s="1271"/>
      <c r="AC284" s="1271"/>
      <c r="AD284" s="1271"/>
      <c r="AE284" s="1271"/>
      <c r="AF284" s="1271"/>
      <c r="AG284" s="1271"/>
      <c r="AH284" s="1271"/>
      <c r="AI284" s="1271"/>
      <c r="AJ284" s="1271">
        <f t="shared" ref="AJ284:AN286" si="78">0*Unit.TWh</f>
        <v>0</v>
      </c>
      <c r="AK284" s="1271">
        <f t="shared" si="78"/>
        <v>0</v>
      </c>
      <c r="AL284" s="1271">
        <f t="shared" si="78"/>
        <v>0</v>
      </c>
      <c r="AM284" s="1271">
        <f t="shared" si="78"/>
        <v>0</v>
      </c>
      <c r="AN284" s="1271">
        <f t="shared" si="78"/>
        <v>0</v>
      </c>
      <c r="AO284" s="1271">
        <f>1.2843009*Unit.TWh</f>
        <v>1.2843009000000001</v>
      </c>
      <c r="AP284" s="1271">
        <f>4.67526*Unit.TWh</f>
        <v>4.6752599999999997</v>
      </c>
      <c r="AQ284" s="1271">
        <f>4.89331583*Unit.TWh</f>
        <v>4.8933158299999997</v>
      </c>
      <c r="AR284" s="1271">
        <f>5.78000326*Unit.TWh</f>
        <v>5.78000326</v>
      </c>
      <c r="AS284" s="1271">
        <f>4.398455251*Unit.TWh</f>
        <v>4.3984552509999997</v>
      </c>
      <c r="AT284" s="1271">
        <f>5.033138643*Unit.TWh</f>
        <v>5.033138643</v>
      </c>
      <c r="AU284" s="1271">
        <f>4.917245238*Unit.TWh</f>
        <v>4.9172452379999996</v>
      </c>
      <c r="AV284" s="1271">
        <f>8.756573386*Unit.TWh</f>
        <v>8.7565733859999995</v>
      </c>
      <c r="AW284" s="1271" t="s">
        <v>1185</v>
      </c>
      <c r="AX284" s="1272"/>
      <c r="AY284" s="1273"/>
      <c r="AZ284" s="1273"/>
      <c r="BA284" s="1273"/>
      <c r="BB284" s="1273"/>
      <c r="BC284" s="1273"/>
      <c r="BD284" s="1273"/>
      <c r="BE284" s="1273"/>
      <c r="BF284" s="1273"/>
      <c r="BG284" s="1273"/>
      <c r="BH284" s="1273"/>
      <c r="BI284" s="1273"/>
      <c r="BJ284" s="1214"/>
    </row>
    <row r="285" spans="1:62">
      <c r="B285" s="1214"/>
      <c r="C285" s="1269" t="s">
        <v>432</v>
      </c>
      <c r="D285" s="1269" t="s">
        <v>38</v>
      </c>
      <c r="E285" s="1214" t="s">
        <v>50</v>
      </c>
      <c r="F285" s="1270"/>
      <c r="G285" s="1270"/>
      <c r="H285" s="1271"/>
      <c r="I285" s="1271"/>
      <c r="J285" s="1271"/>
      <c r="K285" s="1271"/>
      <c r="L285" s="1271"/>
      <c r="M285" s="1271"/>
      <c r="N285" s="1271"/>
      <c r="O285" s="1271"/>
      <c r="P285" s="1271"/>
      <c r="Q285" s="1271"/>
      <c r="R285" s="1271"/>
      <c r="S285" s="1271"/>
      <c r="T285" s="1271"/>
      <c r="U285" s="1271"/>
      <c r="V285" s="1271"/>
      <c r="W285" s="1271"/>
      <c r="X285" s="1271"/>
      <c r="Y285" s="1271"/>
      <c r="Z285" s="1271"/>
      <c r="AA285" s="1271"/>
      <c r="AB285" s="1271"/>
      <c r="AC285" s="1271"/>
      <c r="AD285" s="1271"/>
      <c r="AE285" s="1271"/>
      <c r="AF285" s="1271"/>
      <c r="AG285" s="1271"/>
      <c r="AH285" s="1271"/>
      <c r="AI285" s="1271"/>
      <c r="AJ285" s="1271">
        <f t="shared" si="78"/>
        <v>0</v>
      </c>
      <c r="AK285" s="1271">
        <f t="shared" si="78"/>
        <v>0</v>
      </c>
      <c r="AL285" s="1271">
        <f t="shared" si="78"/>
        <v>0</v>
      </c>
      <c r="AM285" s="1271">
        <f t="shared" si="78"/>
        <v>0</v>
      </c>
      <c r="AN285" s="1271">
        <f t="shared" si="78"/>
        <v>0</v>
      </c>
      <c r="AO285" s="1271">
        <f>0*Unit.TWh</f>
        <v>0</v>
      </c>
      <c r="AP285" s="1271">
        <f>0*Unit.TWh</f>
        <v>0</v>
      </c>
      <c r="AQ285" s="1271">
        <f>0.768079488*Unit.TWh</f>
        <v>0.76807948800000003</v>
      </c>
      <c r="AR285" s="1271">
        <f>0.621433135*Unit.TWh</f>
        <v>0.62143313499999997</v>
      </c>
      <c r="AS285" s="1271">
        <f>0.883831113*Unit.TWh</f>
        <v>0.88383111299999995</v>
      </c>
      <c r="AT285" s="1271">
        <f>6.362225731*Unit.TWh</f>
        <v>6.3622257309999997</v>
      </c>
      <c r="AU285" s="1271">
        <f>9.448472566*Unit.TWh</f>
        <v>9.4484725659999995</v>
      </c>
      <c r="AV285" s="1271">
        <f>11.52719409*Unit.TWh</f>
        <v>11.52719409</v>
      </c>
      <c r="AW285" s="1271" t="s">
        <v>1186</v>
      </c>
      <c r="AX285" s="1272"/>
      <c r="AY285" s="1273">
        <f t="shared" ref="AY285:BI285" ca="1" si="79">IFERROR(INDEX(INDIRECT($C285&amp;".Outputs["&amp;AY$4&amp;"]"),MATCH($D285,INDIRECT($C285&amp;".Outputs[Vector]"),0)),"na")</f>
        <v>0</v>
      </c>
      <c r="AZ285" s="1273"/>
      <c r="BA285" s="1273">
        <f t="shared" ca="1" si="79"/>
        <v>0.13142242804166665</v>
      </c>
      <c r="BB285" s="1273">
        <f t="shared" ca="1" si="79"/>
        <v>3.0140876139388606</v>
      </c>
      <c r="BC285" s="1273">
        <f t="shared" ca="1" si="79"/>
        <v>6.6403498055675261</v>
      </c>
      <c r="BD285" s="1273">
        <f t="shared" ca="1" si="79"/>
        <v>11.174550655547504</v>
      </c>
      <c r="BE285" s="1273">
        <f t="shared" ca="1" si="79"/>
        <v>16.858011722794185</v>
      </c>
      <c r="BF285" s="1273">
        <f t="shared" ca="1" si="79"/>
        <v>23.81237420320716</v>
      </c>
      <c r="BG285" s="1273">
        <f t="shared" ca="1" si="79"/>
        <v>32.28279205089418</v>
      </c>
      <c r="BH285" s="1273">
        <f t="shared" ca="1" si="79"/>
        <v>42.443260246537498</v>
      </c>
      <c r="BI285" s="1273">
        <f t="shared" ca="1" si="79"/>
        <v>54.656933937500007</v>
      </c>
      <c r="BJ285" s="1214"/>
    </row>
    <row r="286" spans="1:62">
      <c r="B286" s="1214"/>
      <c r="C286" s="1269" t="s">
        <v>432</v>
      </c>
      <c r="D286" s="1269" t="s">
        <v>39</v>
      </c>
      <c r="E286" s="1214" t="s">
        <v>163</v>
      </c>
      <c r="F286" s="1270"/>
      <c r="G286" s="1270"/>
      <c r="H286" s="1271"/>
      <c r="I286" s="1271"/>
      <c r="J286" s="1271"/>
      <c r="K286" s="1271"/>
      <c r="L286" s="1271"/>
      <c r="M286" s="1271"/>
      <c r="N286" s="1271"/>
      <c r="O286" s="1271"/>
      <c r="P286" s="1271"/>
      <c r="Q286" s="1271"/>
      <c r="R286" s="1271"/>
      <c r="S286" s="1271"/>
      <c r="T286" s="1271"/>
      <c r="U286" s="1271"/>
      <c r="V286" s="1271"/>
      <c r="W286" s="1271"/>
      <c r="X286" s="1271"/>
      <c r="Y286" s="1271"/>
      <c r="Z286" s="1271"/>
      <c r="AA286" s="1271"/>
      <c r="AB286" s="1271"/>
      <c r="AC286" s="1271"/>
      <c r="AD286" s="1271"/>
      <c r="AE286" s="1271"/>
      <c r="AF286" s="1271"/>
      <c r="AG286" s="1271"/>
      <c r="AH286" s="1271"/>
      <c r="AI286" s="1271"/>
      <c r="AJ286" s="1271">
        <f t="shared" si="78"/>
        <v>0</v>
      </c>
      <c r="AK286" s="1271">
        <f t="shared" si="78"/>
        <v>0</v>
      </c>
      <c r="AL286" s="1271">
        <f t="shared" si="78"/>
        <v>0</v>
      </c>
      <c r="AM286" s="1271">
        <f t="shared" si="78"/>
        <v>0</v>
      </c>
      <c r="AN286" s="1271">
        <f t="shared" si="78"/>
        <v>0</v>
      </c>
      <c r="AO286" s="1271">
        <f>0*Unit.TWh</f>
        <v>0</v>
      </c>
      <c r="AP286" s="1271">
        <f>0*Unit.TWh</f>
        <v>0</v>
      </c>
      <c r="AQ286" s="1271">
        <f t="shared" ref="AQ286:AV286" si="80">0*Unit.TWh</f>
        <v>0</v>
      </c>
      <c r="AR286" s="1271">
        <f t="shared" si="80"/>
        <v>0</v>
      </c>
      <c r="AS286" s="1271">
        <f t="shared" si="80"/>
        <v>0</v>
      </c>
      <c r="AT286" s="1271">
        <f t="shared" si="80"/>
        <v>0</v>
      </c>
      <c r="AU286" s="1271">
        <f t="shared" si="80"/>
        <v>0</v>
      </c>
      <c r="AV286" s="1271">
        <f t="shared" si="80"/>
        <v>0</v>
      </c>
      <c r="AW286" s="1271" t="s">
        <v>1187</v>
      </c>
      <c r="AX286" s="1272"/>
      <c r="AY286" s="1273"/>
      <c r="AZ286" s="1273"/>
      <c r="BA286" s="1273"/>
      <c r="BB286" s="1273"/>
      <c r="BC286" s="1273"/>
      <c r="BD286" s="1273"/>
      <c r="BE286" s="1273"/>
      <c r="BF286" s="1273"/>
      <c r="BG286" s="1273"/>
      <c r="BH286" s="1273"/>
      <c r="BI286" s="1273"/>
      <c r="BJ286" s="1214"/>
    </row>
    <row r="287" spans="1:62">
      <c r="B287" s="1214"/>
      <c r="C287" s="1214"/>
      <c r="D287" s="1214"/>
      <c r="E287" s="1214"/>
      <c r="F287" s="1214"/>
      <c r="G287" s="1214"/>
      <c r="H287" s="1215"/>
      <c r="I287" s="1215"/>
      <c r="J287" s="1215"/>
      <c r="K287" s="1215"/>
      <c r="L287" s="1215"/>
      <c r="M287" s="1215"/>
      <c r="N287" s="1215"/>
      <c r="O287" s="1215"/>
      <c r="P287" s="1215"/>
      <c r="Q287" s="1215"/>
      <c r="R287" s="1215"/>
      <c r="S287" s="1215"/>
      <c r="T287" s="1215"/>
      <c r="U287" s="1215"/>
      <c r="V287" s="1215"/>
      <c r="W287" s="1215"/>
      <c r="X287" s="1215"/>
      <c r="Y287" s="1215"/>
      <c r="Z287" s="1215"/>
      <c r="AA287" s="1215"/>
      <c r="AB287" s="1215"/>
      <c r="AC287" s="1215"/>
      <c r="AD287" s="1215"/>
      <c r="AE287" s="1215"/>
      <c r="AF287" s="1215"/>
      <c r="AG287" s="1215"/>
      <c r="AH287" s="1215"/>
      <c r="AI287" s="1215"/>
      <c r="AJ287" s="1215"/>
      <c r="AK287" s="1215"/>
      <c r="AL287" s="1215"/>
      <c r="AM287" s="1215"/>
      <c r="AN287" s="1215"/>
      <c r="AO287" s="1215"/>
      <c r="AP287" s="1215"/>
      <c r="AQ287" s="1215"/>
      <c r="AR287" s="1215"/>
      <c r="AS287" s="1215"/>
      <c r="AT287" s="1215"/>
      <c r="AU287" s="1215"/>
      <c r="AV287" s="1215"/>
      <c r="AW287" s="1215"/>
      <c r="AX287" s="1214"/>
      <c r="AY287" s="1214"/>
      <c r="AZ287" s="1214"/>
      <c r="BA287" s="1214"/>
      <c r="BB287" s="1214"/>
      <c r="BC287" s="1214"/>
      <c r="BD287" s="1214"/>
      <c r="BE287" s="1214"/>
      <c r="BF287" s="1214"/>
      <c r="BG287" s="1214"/>
      <c r="BH287" s="1214"/>
      <c r="BI287" s="1214"/>
      <c r="BJ287" s="1214"/>
    </row>
    <row r="288" spans="1:62">
      <c r="B288" s="1214"/>
      <c r="C288" s="1236" t="s">
        <v>32</v>
      </c>
      <c r="D288" s="1214"/>
      <c r="E288" s="1214"/>
      <c r="F288" s="1214"/>
      <c r="G288" s="1214"/>
      <c r="H288" s="1215"/>
      <c r="I288" s="1215"/>
      <c r="J288" s="1215"/>
      <c r="K288" s="1215"/>
      <c r="L288" s="1215"/>
      <c r="M288" s="1215"/>
      <c r="N288" s="1215"/>
      <c r="O288" s="1215"/>
      <c r="P288" s="1215"/>
      <c r="Q288" s="1215"/>
      <c r="R288" s="1215"/>
      <c r="S288" s="1215"/>
      <c r="T288" s="1215"/>
      <c r="U288" s="1215"/>
      <c r="V288" s="1215"/>
      <c r="W288" s="1215"/>
      <c r="X288" s="1215"/>
      <c r="Y288" s="1215"/>
      <c r="Z288" s="1215"/>
      <c r="AA288" s="1215"/>
      <c r="AB288" s="1215"/>
      <c r="AC288" s="1215"/>
      <c r="AD288" s="1215"/>
      <c r="AE288" s="1215"/>
      <c r="AF288" s="1215"/>
      <c r="AG288" s="1215"/>
      <c r="AH288" s="1215"/>
      <c r="AI288" s="1215"/>
      <c r="AJ288" s="1215"/>
      <c r="AK288" s="1215"/>
      <c r="AL288" s="1215"/>
      <c r="AM288" s="1215"/>
      <c r="AN288" s="1215"/>
      <c r="AO288" s="1215"/>
      <c r="AP288" s="1215"/>
      <c r="AQ288" s="1215"/>
      <c r="AR288" s="1215"/>
      <c r="AS288" s="1215"/>
      <c r="AT288" s="1215"/>
      <c r="AU288" s="1215"/>
      <c r="AV288" s="1215"/>
      <c r="AW288" s="1215"/>
      <c r="AX288" s="1214"/>
      <c r="AY288" s="1214"/>
      <c r="AZ288" s="1214"/>
      <c r="BA288" s="1214"/>
      <c r="BB288" s="1214"/>
      <c r="BC288" s="1214"/>
      <c r="BD288" s="1214"/>
      <c r="BE288" s="1214"/>
      <c r="BF288" s="1214"/>
      <c r="BG288" s="1214"/>
      <c r="BH288" s="1214"/>
      <c r="BI288" s="1214"/>
      <c r="BJ288" s="1214"/>
    </row>
    <row r="289" spans="2:62">
      <c r="B289" s="1214"/>
      <c r="C289" s="1269" t="s">
        <v>2068</v>
      </c>
      <c r="D289" s="1269" t="s">
        <v>36</v>
      </c>
      <c r="E289" s="1214" t="s">
        <v>49</v>
      </c>
      <c r="F289" s="1270"/>
      <c r="G289" s="1270"/>
      <c r="H289" s="1271"/>
      <c r="I289" s="1271"/>
      <c r="J289" s="1271"/>
      <c r="K289" s="1271"/>
      <c r="L289" s="1271"/>
      <c r="M289" s="1271"/>
      <c r="N289" s="1271"/>
      <c r="O289" s="1271"/>
      <c r="P289" s="1271"/>
      <c r="Q289" s="1271"/>
      <c r="R289" s="1271"/>
      <c r="S289" s="1271"/>
      <c r="T289" s="1271"/>
      <c r="U289" s="1271"/>
      <c r="V289" s="1271"/>
      <c r="W289" s="1271"/>
      <c r="X289" s="1271"/>
      <c r="Y289" s="1271"/>
      <c r="Z289" s="1271"/>
      <c r="AA289" s="1271"/>
      <c r="AB289" s="1271"/>
      <c r="AC289" s="1271"/>
      <c r="AD289" s="1271"/>
      <c r="AE289" s="1271"/>
      <c r="AF289" s="1271"/>
      <c r="AG289" s="1271"/>
      <c r="AH289" s="1271"/>
      <c r="AI289" s="1271"/>
      <c r="AJ289" s="1271">
        <f>11.2811*Unit.TWh</f>
        <v>11.2811</v>
      </c>
      <c r="AK289" s="1271">
        <f>11.5128859*Unit.TWh</f>
        <v>11.512885900000001</v>
      </c>
      <c r="AL289" s="1271">
        <f>9.9829594*Unit.TWh</f>
        <v>9.9829594000000004</v>
      </c>
      <c r="AM289" s="1271">
        <f>10.7253023*Unit.TWh</f>
        <v>10.725302299999999</v>
      </c>
      <c r="AN289" s="1271">
        <f>11.7831671*Unit.TWh</f>
        <v>11.7831671</v>
      </c>
      <c r="AO289" s="1271">
        <f>13.2077258*Unit.TWh</f>
        <v>13.2077258</v>
      </c>
      <c r="AP289" s="1271">
        <f>12.9045317*Unit.TWh</f>
        <v>12.9045317</v>
      </c>
      <c r="AQ289" s="1271">
        <f>18.45851032*Unit.TWh</f>
        <v>18.458510319999998</v>
      </c>
      <c r="AR289" s="1271">
        <f>18.88799564*Unit.TWh</f>
        <v>18.88799564</v>
      </c>
      <c r="AS289" s="1271">
        <f>18.50890517*Unit.TWh</f>
        <v>18.508905169999998</v>
      </c>
      <c r="AT289" s="1271">
        <f>20.71415345*Unit.TWh</f>
        <v>20.714153450000001</v>
      </c>
      <c r="AU289" s="1271">
        <f>23.70385084*Unit.TWh</f>
        <v>23.703850840000001</v>
      </c>
      <c r="AV289" s="1271">
        <f>28.71642504*Unit.TWh</f>
        <v>28.716425040000001</v>
      </c>
      <c r="AW289" s="1271" t="s">
        <v>1179</v>
      </c>
      <c r="AX289" s="1214"/>
      <c r="AY289" s="1273">
        <f t="shared" ref="AY289:BI289" ca="1" si="81">IFERROR(INDEX(INDIRECT($C289&amp;".Outputs["&amp;AY$4&amp;"]"),MATCH($D289,INDIRECT($C289&amp;".Outputs[Vector]"),0)),"na")</f>
        <v>937.23355555555554</v>
      </c>
      <c r="AZ289" s="1273"/>
      <c r="BA289" s="1273">
        <f t="shared" ca="1" si="81"/>
        <v>948.40980000000002</v>
      </c>
      <c r="BB289" s="1273">
        <f t="shared" ca="1" si="81"/>
        <v>947.50491464762865</v>
      </c>
      <c r="BC289" s="1273">
        <f t="shared" ca="1" si="81"/>
        <v>946.63986672306442</v>
      </c>
      <c r="BD289" s="1273">
        <f t="shared" ca="1" si="81"/>
        <v>945.81505619727227</v>
      </c>
      <c r="BE289" s="1273">
        <f t="shared" ca="1" si="81"/>
        <v>945.03088705695825</v>
      </c>
      <c r="BF289" s="1273">
        <f t="shared" ca="1" si="81"/>
        <v>944.28776734488724</v>
      </c>
      <c r="BG289" s="1273">
        <f t="shared" ca="1" si="81"/>
        <v>939.97345000000041</v>
      </c>
      <c r="BH289" s="1273">
        <f t="shared" ca="1" si="81"/>
        <v>935.10072500000024</v>
      </c>
      <c r="BI289" s="1273">
        <f t="shared" ca="1" si="81"/>
        <v>930.22800000000007</v>
      </c>
      <c r="BJ289" s="1214"/>
    </row>
    <row r="290" spans="2:62">
      <c r="B290" s="1214"/>
      <c r="C290" s="1269" t="s">
        <v>2068</v>
      </c>
      <c r="D290" s="1269" t="s">
        <v>38</v>
      </c>
      <c r="E290" s="1214" t="s">
        <v>50</v>
      </c>
      <c r="F290" s="1270"/>
      <c r="G290" s="1270"/>
      <c r="H290" s="1271"/>
      <c r="I290" s="1271"/>
      <c r="J290" s="1271"/>
      <c r="K290" s="1271"/>
      <c r="L290" s="1271"/>
      <c r="M290" s="1271"/>
      <c r="N290" s="1271"/>
      <c r="O290" s="1271"/>
      <c r="P290" s="1271"/>
      <c r="Q290" s="1271"/>
      <c r="R290" s="1271"/>
      <c r="S290" s="1271"/>
      <c r="T290" s="1271"/>
      <c r="U290" s="1271"/>
      <c r="V290" s="1271"/>
      <c r="W290" s="1271"/>
      <c r="X290" s="1271"/>
      <c r="Y290" s="1271"/>
      <c r="Z290" s="1271"/>
      <c r="AA290" s="1271"/>
      <c r="AB290" s="1271"/>
      <c r="AC290" s="1271"/>
      <c r="AD290" s="1271"/>
      <c r="AE290" s="1271"/>
      <c r="AF290" s="1271"/>
      <c r="AG290" s="1271"/>
      <c r="AH290" s="1271"/>
      <c r="AI290" s="1271"/>
      <c r="AJ290" s="1271">
        <f t="shared" ref="AJ290:AP290" si="82">0*Unit.TWh</f>
        <v>0</v>
      </c>
      <c r="AK290" s="1271">
        <f t="shared" si="82"/>
        <v>0</v>
      </c>
      <c r="AL290" s="1271">
        <f t="shared" si="82"/>
        <v>0</v>
      </c>
      <c r="AM290" s="1271">
        <f t="shared" si="82"/>
        <v>0</v>
      </c>
      <c r="AN290" s="1271">
        <f t="shared" si="82"/>
        <v>0</v>
      </c>
      <c r="AO290" s="1271">
        <f t="shared" si="82"/>
        <v>0</v>
      </c>
      <c r="AP290" s="1271">
        <f t="shared" si="82"/>
        <v>0</v>
      </c>
      <c r="AQ290" s="1271">
        <f>0.861215638*Unit.TWh</f>
        <v>0.86121563800000001</v>
      </c>
      <c r="AR290" s="1271">
        <f>3.313229379*Unit.TWh</f>
        <v>3.313229379</v>
      </c>
      <c r="AS290" s="1271">
        <f>5.483743472*Unit.TWh</f>
        <v>5.4837434719999996</v>
      </c>
      <c r="AT290" s="1271">
        <f>9.878952814*Unit.TWh</f>
        <v>9.8789528139999998</v>
      </c>
      <c r="AU290" s="1271">
        <f>12.07762885*Unit.TWh</f>
        <v>12.07762885</v>
      </c>
      <c r="AV290" s="1271">
        <f>15.06624188*Unit.TWh</f>
        <v>15.06624188</v>
      </c>
      <c r="AW290" s="1271" t="s">
        <v>1179</v>
      </c>
      <c r="AX290" s="1214"/>
      <c r="AY290" s="1273"/>
      <c r="AZ290" s="1273"/>
      <c r="BA290" s="1273"/>
      <c r="BB290" s="1273"/>
      <c r="BC290" s="1273"/>
      <c r="BD290" s="1273"/>
      <c r="BE290" s="1273"/>
      <c r="BF290" s="1273"/>
      <c r="BG290" s="1273"/>
      <c r="BH290" s="1273"/>
      <c r="BI290" s="1273"/>
      <c r="BJ290" s="1214"/>
    </row>
    <row r="291" spans="2:62">
      <c r="B291" s="1214"/>
      <c r="C291" s="1269" t="s">
        <v>2068</v>
      </c>
      <c r="D291" s="1269" t="s">
        <v>39</v>
      </c>
      <c r="E291" s="1214" t="s">
        <v>163</v>
      </c>
      <c r="F291" s="1270"/>
      <c r="G291" s="1270"/>
      <c r="H291" s="1271"/>
      <c r="I291" s="1271"/>
      <c r="J291" s="1271"/>
      <c r="K291" s="1271"/>
      <c r="L291" s="1271"/>
      <c r="M291" s="1271"/>
      <c r="N291" s="1271"/>
      <c r="O291" s="1271"/>
      <c r="P291" s="1271"/>
      <c r="Q291" s="1271"/>
      <c r="R291" s="1271"/>
      <c r="S291" s="1271"/>
      <c r="T291" s="1271"/>
      <c r="U291" s="1271"/>
      <c r="V291" s="1271"/>
      <c r="W291" s="1271"/>
      <c r="X291" s="1271"/>
      <c r="Y291" s="1271"/>
      <c r="Z291" s="1271"/>
      <c r="AA291" s="1271"/>
      <c r="AB291" s="1271"/>
      <c r="AC291" s="1271"/>
      <c r="AD291" s="1271"/>
      <c r="AE291" s="1271"/>
      <c r="AF291" s="1271"/>
      <c r="AG291" s="1271"/>
      <c r="AH291" s="1271"/>
      <c r="AI291" s="1271"/>
      <c r="AJ291" s="1271">
        <f>4.679912*Unit.TWh</f>
        <v>4.6799119999999998</v>
      </c>
      <c r="AK291" s="1271">
        <f>6.65236*Unit.TWh</f>
        <v>6.6523599999999998</v>
      </c>
      <c r="AL291" s="1271">
        <f>8.5030419*Unit.TWh</f>
        <v>8.5030418999999995</v>
      </c>
      <c r="AM291" s="1271">
        <f>9.7205866*Unit.TWh</f>
        <v>9.7205866000000007</v>
      </c>
      <c r="AN291" s="1271">
        <f>10.375123*Unit.TWh</f>
        <v>10.375123</v>
      </c>
      <c r="AO291" s="1271">
        <f>12.654603*Unit.TWh</f>
        <v>12.654603</v>
      </c>
      <c r="AP291" s="1271">
        <f>17.4844257*Unit.TWh</f>
        <v>17.484425699999999</v>
      </c>
      <c r="AQ291" s="1271">
        <f>18.91593462*Unit.TWh</f>
        <v>18.915934620000002</v>
      </c>
      <c r="AR291" s="1271">
        <f>19.24482717*Unit.TWh</f>
        <v>19.244827170000001</v>
      </c>
      <c r="AS291" s="1271">
        <f>20.29461125*Unit.TWh</f>
        <v>20.294611249999999</v>
      </c>
      <c r="AT291" s="1271">
        <f>20.91263605*Unit.TWh</f>
        <v>20.91263605</v>
      </c>
      <c r="AU291" s="1271">
        <f>21.92331406*Unit.TWh</f>
        <v>21.923314059999999</v>
      </c>
      <c r="AV291" s="1271">
        <f>22.89564828*Unit.TWh</f>
        <v>22.89564828</v>
      </c>
      <c r="AW291" s="1271" t="s">
        <v>1179</v>
      </c>
      <c r="AX291" s="1214"/>
      <c r="AY291" s="1273"/>
      <c r="AZ291" s="1273"/>
      <c r="BA291" s="1273"/>
      <c r="BB291" s="1273"/>
      <c r="BC291" s="1273"/>
      <c r="BD291" s="1273"/>
      <c r="BE291" s="1273"/>
      <c r="BF291" s="1273"/>
      <c r="BG291" s="1273"/>
      <c r="BH291" s="1273"/>
      <c r="BI291" s="1273"/>
      <c r="BJ291" s="1214"/>
    </row>
    <row r="292" spans="2:62">
      <c r="B292" s="1214"/>
      <c r="C292" s="1269"/>
      <c r="D292" s="1269"/>
      <c r="E292" s="1214"/>
      <c r="F292" s="1270"/>
      <c r="G292" s="1270"/>
      <c r="H292" s="1271"/>
      <c r="I292" s="1271"/>
      <c r="J292" s="1271"/>
      <c r="K292" s="1271"/>
      <c r="L292" s="1271"/>
      <c r="M292" s="1271"/>
      <c r="N292" s="1271"/>
      <c r="O292" s="1271"/>
      <c r="P292" s="1271"/>
      <c r="Q292" s="1271"/>
      <c r="R292" s="1271"/>
      <c r="S292" s="1271"/>
      <c r="T292" s="1271"/>
      <c r="U292" s="1271"/>
      <c r="V292" s="1271"/>
      <c r="W292" s="1271"/>
      <c r="X292" s="1271"/>
      <c r="Y292" s="1271"/>
      <c r="Z292" s="1271"/>
      <c r="AA292" s="1271"/>
      <c r="AB292" s="1271"/>
      <c r="AC292" s="1271"/>
      <c r="AD292" s="1271"/>
      <c r="AE292" s="1271"/>
      <c r="AF292" s="1271"/>
      <c r="AG292" s="1271"/>
      <c r="AH292" s="1271"/>
      <c r="AI292" s="1271"/>
      <c r="AJ292" s="1271"/>
      <c r="AK292" s="1271"/>
      <c r="AL292" s="1271"/>
      <c r="AM292" s="1271"/>
      <c r="AN292" s="1271"/>
      <c r="AO292" s="1271"/>
      <c r="AP292" s="1271"/>
      <c r="AQ292" s="1271"/>
      <c r="AR292" s="1271"/>
      <c r="AS292" s="1271"/>
      <c r="AT292" s="1271"/>
      <c r="AU292" s="1271"/>
      <c r="AV292" s="1271"/>
      <c r="AW292" s="1271"/>
      <c r="AX292" s="1214"/>
      <c r="AY292" s="1273"/>
      <c r="AZ292" s="1273"/>
      <c r="BA292" s="1273"/>
      <c r="BB292" s="1273"/>
      <c r="BC292" s="1273"/>
      <c r="BD292" s="1273"/>
      <c r="BE292" s="1273"/>
      <c r="BF292" s="1273"/>
      <c r="BG292" s="1273"/>
      <c r="BH292" s="1273"/>
      <c r="BI292" s="1273"/>
      <c r="BJ292" s="1214"/>
    </row>
    <row r="293" spans="2:62">
      <c r="B293" s="1214"/>
      <c r="C293" s="1236" t="s">
        <v>2091</v>
      </c>
      <c r="D293" s="1214"/>
      <c r="E293" s="1214"/>
      <c r="F293" s="1214"/>
      <c r="G293" s="1214"/>
      <c r="H293" s="1215"/>
      <c r="I293" s="1215"/>
      <c r="J293" s="1215"/>
      <c r="K293" s="1215"/>
      <c r="L293" s="1215"/>
      <c r="M293" s="1215"/>
      <c r="N293" s="1215"/>
      <c r="O293" s="1215"/>
      <c r="P293" s="1215"/>
      <c r="Q293" s="1215"/>
      <c r="R293" s="1215"/>
      <c r="S293" s="1215"/>
      <c r="T293" s="1215"/>
      <c r="U293" s="1215"/>
      <c r="V293" s="1215"/>
      <c r="W293" s="1215"/>
      <c r="X293" s="1215"/>
      <c r="Y293" s="1215"/>
      <c r="Z293" s="1215"/>
      <c r="AA293" s="1215"/>
      <c r="AB293" s="1215"/>
      <c r="AC293" s="1215"/>
      <c r="AD293" s="1215"/>
      <c r="AE293" s="1215"/>
      <c r="AF293" s="1215"/>
      <c r="AG293" s="1215"/>
      <c r="AH293" s="1215"/>
      <c r="AI293" s="1215"/>
      <c r="AJ293" s="1215"/>
      <c r="AK293" s="1215"/>
      <c r="AL293" s="1215"/>
      <c r="AM293" s="1215"/>
      <c r="AN293" s="1215"/>
      <c r="AO293" s="1215"/>
      <c r="AP293" s="1215"/>
      <c r="AQ293" s="1215"/>
      <c r="AR293" s="1215"/>
      <c r="AS293" s="1215"/>
      <c r="AT293" s="1215"/>
      <c r="AU293" s="1215"/>
      <c r="AV293" s="1215"/>
      <c r="AW293" s="1215"/>
      <c r="AX293" s="1214"/>
      <c r="AY293" s="1214"/>
      <c r="AZ293" s="1214"/>
      <c r="BA293" s="1214"/>
      <c r="BB293" s="1214"/>
      <c r="BC293" s="1214"/>
      <c r="BD293" s="1214"/>
      <c r="BE293" s="1214"/>
      <c r="BF293" s="1214"/>
      <c r="BG293" s="1214"/>
      <c r="BH293" s="1214"/>
      <c r="BI293" s="1214"/>
      <c r="BJ293" s="1214"/>
    </row>
    <row r="294" spans="2:62">
      <c r="B294" s="1214"/>
      <c r="C294" s="1269" t="s">
        <v>296</v>
      </c>
      <c r="D294" s="1269" t="s">
        <v>36</v>
      </c>
      <c r="E294" s="1214" t="s">
        <v>49</v>
      </c>
      <c r="F294" s="1270"/>
      <c r="G294" s="1270"/>
      <c r="H294" s="1271"/>
      <c r="I294" s="1271"/>
      <c r="J294" s="1271"/>
      <c r="K294" s="1271"/>
      <c r="L294" s="1271"/>
      <c r="M294" s="1271"/>
      <c r="N294" s="1271"/>
      <c r="O294" s="1271"/>
      <c r="P294" s="1271"/>
      <c r="Q294" s="1271"/>
      <c r="R294" s="1271"/>
      <c r="S294" s="1271"/>
      <c r="T294" s="1271"/>
      <c r="U294" s="1271"/>
      <c r="V294" s="1271"/>
      <c r="W294" s="1271"/>
      <c r="X294" s="1271"/>
      <c r="Y294" s="1271"/>
      <c r="Z294" s="1271"/>
      <c r="AA294" s="1271"/>
      <c r="AB294" s="1271"/>
      <c r="AC294" s="1271"/>
      <c r="AD294" s="1271"/>
      <c r="AE294" s="1271"/>
      <c r="AF294" s="1271"/>
      <c r="AG294" s="1271"/>
      <c r="AH294" s="1271"/>
      <c r="AI294" s="1271"/>
      <c r="AJ294" s="1271">
        <f>11.2811*Unit.TWh</f>
        <v>11.2811</v>
      </c>
      <c r="AK294" s="1271">
        <f>11.5128859*Unit.TWh</f>
        <v>11.512885900000001</v>
      </c>
      <c r="AL294" s="1271">
        <f>9.9829594*Unit.TWh</f>
        <v>9.9829594000000004</v>
      </c>
      <c r="AM294" s="1271">
        <f>10.7253023*Unit.TWh</f>
        <v>10.725302299999999</v>
      </c>
      <c r="AN294" s="1271">
        <f>11.7831671*Unit.TWh</f>
        <v>11.7831671</v>
      </c>
      <c r="AO294" s="1271">
        <f>13.2077258*Unit.TWh</f>
        <v>13.2077258</v>
      </c>
      <c r="AP294" s="1271">
        <f>12.9045317*Unit.TWh</f>
        <v>12.9045317</v>
      </c>
      <c r="AQ294" s="1271">
        <f>18.45851032*Unit.TWh</f>
        <v>18.458510319999998</v>
      </c>
      <c r="AR294" s="1271">
        <f>18.88799564*Unit.TWh</f>
        <v>18.88799564</v>
      </c>
      <c r="AS294" s="1271">
        <f>18.50890517*Unit.TWh</f>
        <v>18.508905169999998</v>
      </c>
      <c r="AT294" s="1271">
        <f>20.71415345*Unit.TWh</f>
        <v>20.714153450000001</v>
      </c>
      <c r="AU294" s="1271">
        <f>23.70385084*Unit.TWh</f>
        <v>23.703850840000001</v>
      </c>
      <c r="AV294" s="1271">
        <f>28.71642504*Unit.TWh</f>
        <v>28.716425040000001</v>
      </c>
      <c r="AW294" s="1271" t="s">
        <v>1179</v>
      </c>
      <c r="AX294" s="1214"/>
      <c r="AY294" s="1273">
        <f t="shared" ref="AY294:BI296" ca="1" si="83">IFERROR(INDEX(INDIRECT($C294&amp;".Outputs["&amp;AY$4&amp;"]"),MATCH($D294,INDIRECT($C294&amp;".Outputs[Vector]"),0)),"na")</f>
        <v>0</v>
      </c>
      <c r="AZ294" s="1273"/>
      <c r="BA294" s="1273">
        <f t="shared" ca="1" si="83"/>
        <v>0</v>
      </c>
      <c r="BB294" s="1273">
        <f t="shared" ca="1" si="83"/>
        <v>0</v>
      </c>
      <c r="BC294" s="1273">
        <f t="shared" ca="1" si="83"/>
        <v>0</v>
      </c>
      <c r="BD294" s="1273">
        <f t="shared" ca="1" si="83"/>
        <v>0</v>
      </c>
      <c r="BE294" s="1273">
        <f t="shared" ca="1" si="83"/>
        <v>0</v>
      </c>
      <c r="BF294" s="1273">
        <f t="shared" ca="1" si="83"/>
        <v>0</v>
      </c>
      <c r="BG294" s="1273">
        <f t="shared" ca="1" si="83"/>
        <v>0</v>
      </c>
      <c r="BH294" s="1273">
        <f t="shared" ca="1" si="83"/>
        <v>0</v>
      </c>
      <c r="BI294" s="1273">
        <f t="shared" ca="1" si="83"/>
        <v>0</v>
      </c>
      <c r="BJ294" s="1214"/>
    </row>
    <row r="295" spans="2:62">
      <c r="B295" s="1214"/>
      <c r="C295" s="1269" t="s">
        <v>296</v>
      </c>
      <c r="D295" s="1269" t="s">
        <v>38</v>
      </c>
      <c r="E295" s="1214" t="s">
        <v>50</v>
      </c>
      <c r="F295" s="1270"/>
      <c r="G295" s="1270"/>
      <c r="H295" s="1271"/>
      <c r="I295" s="1271"/>
      <c r="J295" s="1271"/>
      <c r="K295" s="1271"/>
      <c r="L295" s="1271"/>
      <c r="M295" s="1271"/>
      <c r="N295" s="1271"/>
      <c r="O295" s="1271"/>
      <c r="P295" s="1271"/>
      <c r="Q295" s="1271"/>
      <c r="R295" s="1271"/>
      <c r="S295" s="1271"/>
      <c r="T295" s="1271"/>
      <c r="U295" s="1271"/>
      <c r="V295" s="1271"/>
      <c r="W295" s="1271"/>
      <c r="X295" s="1271"/>
      <c r="Y295" s="1271"/>
      <c r="Z295" s="1271"/>
      <c r="AA295" s="1271"/>
      <c r="AB295" s="1271"/>
      <c r="AC295" s="1271"/>
      <c r="AD295" s="1271"/>
      <c r="AE295" s="1271"/>
      <c r="AF295" s="1271"/>
      <c r="AG295" s="1271"/>
      <c r="AH295" s="1271"/>
      <c r="AI295" s="1271"/>
      <c r="AJ295" s="1271">
        <f t="shared" ref="AJ295:AP295" si="84">0*Unit.TWh</f>
        <v>0</v>
      </c>
      <c r="AK295" s="1271">
        <f t="shared" si="84"/>
        <v>0</v>
      </c>
      <c r="AL295" s="1271">
        <f t="shared" si="84"/>
        <v>0</v>
      </c>
      <c r="AM295" s="1271">
        <f t="shared" si="84"/>
        <v>0</v>
      </c>
      <c r="AN295" s="1271">
        <f t="shared" si="84"/>
        <v>0</v>
      </c>
      <c r="AO295" s="1271">
        <f t="shared" si="84"/>
        <v>0</v>
      </c>
      <c r="AP295" s="1271">
        <f t="shared" si="84"/>
        <v>0</v>
      </c>
      <c r="AQ295" s="1271">
        <f>0.861215638*Unit.TWh</f>
        <v>0.86121563800000001</v>
      </c>
      <c r="AR295" s="1271">
        <f>3.313229379*Unit.TWh</f>
        <v>3.313229379</v>
      </c>
      <c r="AS295" s="1271">
        <f>5.483743472*Unit.TWh</f>
        <v>5.4837434719999996</v>
      </c>
      <c r="AT295" s="1271">
        <f>9.878952814*Unit.TWh</f>
        <v>9.8789528139999998</v>
      </c>
      <c r="AU295" s="1271">
        <f>12.07762885*Unit.TWh</f>
        <v>12.07762885</v>
      </c>
      <c r="AV295" s="1271">
        <f>15.06624188*Unit.TWh</f>
        <v>15.06624188</v>
      </c>
      <c r="AW295" s="1271" t="s">
        <v>1179</v>
      </c>
      <c r="AX295" s="1214"/>
      <c r="AY295" s="1273"/>
      <c r="AZ295" s="1273"/>
      <c r="BA295" s="1273"/>
      <c r="BB295" s="1273"/>
      <c r="BC295" s="1273"/>
      <c r="BD295" s="1273"/>
      <c r="BE295" s="1273"/>
      <c r="BF295" s="1273"/>
      <c r="BG295" s="1273"/>
      <c r="BH295" s="1273"/>
      <c r="BI295" s="1273"/>
      <c r="BJ295" s="1214"/>
    </row>
    <row r="296" spans="2:62">
      <c r="B296" s="1214"/>
      <c r="C296" s="1269" t="s">
        <v>296</v>
      </c>
      <c r="D296" s="1269" t="s">
        <v>39</v>
      </c>
      <c r="E296" s="1214" t="s">
        <v>163</v>
      </c>
      <c r="F296" s="1270"/>
      <c r="G296" s="1270"/>
      <c r="H296" s="1271"/>
      <c r="I296" s="1271"/>
      <c r="J296" s="1271"/>
      <c r="K296" s="1271"/>
      <c r="L296" s="1271"/>
      <c r="M296" s="1271"/>
      <c r="N296" s="1271"/>
      <c r="O296" s="1271"/>
      <c r="P296" s="1271"/>
      <c r="Q296" s="1271"/>
      <c r="R296" s="1271"/>
      <c r="S296" s="1271"/>
      <c r="T296" s="1271"/>
      <c r="U296" s="1271"/>
      <c r="V296" s="1271"/>
      <c r="W296" s="1271"/>
      <c r="X296" s="1271"/>
      <c r="Y296" s="1271"/>
      <c r="Z296" s="1271"/>
      <c r="AA296" s="1271"/>
      <c r="AB296" s="1271"/>
      <c r="AC296" s="1271"/>
      <c r="AD296" s="1271"/>
      <c r="AE296" s="1271"/>
      <c r="AF296" s="1271"/>
      <c r="AG296" s="1271"/>
      <c r="AH296" s="1271"/>
      <c r="AI296" s="1271"/>
      <c r="AJ296" s="1271">
        <f>4.679912*Unit.TWh</f>
        <v>4.6799119999999998</v>
      </c>
      <c r="AK296" s="1271">
        <f>6.65236*Unit.TWh</f>
        <v>6.6523599999999998</v>
      </c>
      <c r="AL296" s="1271">
        <f>8.5030419*Unit.TWh</f>
        <v>8.5030418999999995</v>
      </c>
      <c r="AM296" s="1271">
        <f>9.7205866*Unit.TWh</f>
        <v>9.7205866000000007</v>
      </c>
      <c r="AN296" s="1271">
        <f>10.375123*Unit.TWh</f>
        <v>10.375123</v>
      </c>
      <c r="AO296" s="1271">
        <f>12.654603*Unit.TWh</f>
        <v>12.654603</v>
      </c>
      <c r="AP296" s="1271">
        <f>17.4844257*Unit.TWh</f>
        <v>17.484425699999999</v>
      </c>
      <c r="AQ296" s="1271">
        <f>18.91593462*Unit.TWh</f>
        <v>18.915934620000002</v>
      </c>
      <c r="AR296" s="1271">
        <f>19.24482717*Unit.TWh</f>
        <v>19.244827170000001</v>
      </c>
      <c r="AS296" s="1271">
        <f>20.29461125*Unit.TWh</f>
        <v>20.294611249999999</v>
      </c>
      <c r="AT296" s="1271">
        <f>20.91263605*Unit.TWh</f>
        <v>20.91263605</v>
      </c>
      <c r="AU296" s="1271">
        <f>21.92331406*Unit.TWh</f>
        <v>21.923314059999999</v>
      </c>
      <c r="AV296" s="1271">
        <f>22.89564828*Unit.TWh</f>
        <v>22.89564828</v>
      </c>
      <c r="AW296" s="1271" t="s">
        <v>1179</v>
      </c>
      <c r="AX296" s="1214"/>
      <c r="AY296" s="1273">
        <f t="shared" ca="1" si="83"/>
        <v>0</v>
      </c>
      <c r="AZ296" s="1273"/>
      <c r="BA296" s="1273">
        <f t="shared" ca="1" si="83"/>
        <v>0</v>
      </c>
      <c r="BB296" s="1273">
        <f t="shared" ca="1" si="83"/>
        <v>0</v>
      </c>
      <c r="BC296" s="1273">
        <f t="shared" ca="1" si="83"/>
        <v>0</v>
      </c>
      <c r="BD296" s="1273">
        <f t="shared" ca="1" si="83"/>
        <v>0</v>
      </c>
      <c r="BE296" s="1273">
        <f t="shared" ca="1" si="83"/>
        <v>0</v>
      </c>
      <c r="BF296" s="1273">
        <f t="shared" ca="1" si="83"/>
        <v>0</v>
      </c>
      <c r="BG296" s="1273">
        <f t="shared" ca="1" si="83"/>
        <v>0</v>
      </c>
      <c r="BH296" s="1273">
        <f t="shared" ca="1" si="83"/>
        <v>0</v>
      </c>
      <c r="BI296" s="1273">
        <f t="shared" ca="1" si="83"/>
        <v>0</v>
      </c>
      <c r="BJ296" s="1214"/>
    </row>
    <row r="297" spans="2:62">
      <c r="B297" s="1214"/>
      <c r="C297" s="1269"/>
      <c r="D297" s="1269"/>
      <c r="E297" s="1214"/>
      <c r="F297" s="1270"/>
      <c r="G297" s="1270"/>
      <c r="H297" s="1271"/>
      <c r="I297" s="1271"/>
      <c r="J297" s="1271"/>
      <c r="K297" s="1271"/>
      <c r="L297" s="1271"/>
      <c r="M297" s="1271"/>
      <c r="N297" s="1271"/>
      <c r="O297" s="1271"/>
      <c r="P297" s="1271"/>
      <c r="Q297" s="1271"/>
      <c r="R297" s="1271"/>
      <c r="S297" s="1271"/>
      <c r="T297" s="1271"/>
      <c r="U297" s="1271"/>
      <c r="V297" s="1271"/>
      <c r="W297" s="1271"/>
      <c r="X297" s="1271"/>
      <c r="Y297" s="1271"/>
      <c r="Z297" s="1271"/>
      <c r="AA297" s="1271"/>
      <c r="AB297" s="1271"/>
      <c r="AC297" s="1271"/>
      <c r="AD297" s="1271"/>
      <c r="AE297" s="1271"/>
      <c r="AF297" s="1271"/>
      <c r="AG297" s="1271"/>
      <c r="AH297" s="1271"/>
      <c r="AI297" s="1271"/>
      <c r="AJ297" s="1271"/>
      <c r="AK297" s="1271"/>
      <c r="AL297" s="1271"/>
      <c r="AM297" s="1271"/>
      <c r="AN297" s="1271"/>
      <c r="AO297" s="1271"/>
      <c r="AP297" s="1271"/>
      <c r="AQ297" s="1271"/>
      <c r="AR297" s="1271"/>
      <c r="AS297" s="1271"/>
      <c r="AT297" s="1271"/>
      <c r="AU297" s="1271"/>
      <c r="AV297" s="1271"/>
      <c r="AW297" s="1271"/>
      <c r="AX297" s="1214"/>
      <c r="AY297" s="1273"/>
      <c r="AZ297" s="1273"/>
      <c r="BA297" s="1273"/>
      <c r="BB297" s="1273"/>
      <c r="BC297" s="1273"/>
      <c r="BD297" s="1273"/>
      <c r="BE297" s="1273"/>
      <c r="BF297" s="1273"/>
      <c r="BG297" s="1273"/>
      <c r="BH297" s="1273"/>
      <c r="BI297" s="1273"/>
      <c r="BJ297" s="1214"/>
    </row>
    <row r="298" spans="2:62">
      <c r="B298" s="1214"/>
      <c r="C298" s="1236" t="s">
        <v>2092</v>
      </c>
      <c r="D298" s="1214"/>
      <c r="E298" s="1214"/>
      <c r="F298" s="1214"/>
      <c r="G298" s="1214"/>
      <c r="H298" s="1215"/>
      <c r="I298" s="1215"/>
      <c r="J298" s="1215"/>
      <c r="K298" s="1215"/>
      <c r="L298" s="1215"/>
      <c r="M298" s="1215"/>
      <c r="N298" s="1215"/>
      <c r="O298" s="1215"/>
      <c r="P298" s="1215"/>
      <c r="Q298" s="1215"/>
      <c r="R298" s="1215"/>
      <c r="S298" s="1215"/>
      <c r="T298" s="1215"/>
      <c r="U298" s="1215"/>
      <c r="V298" s="1215"/>
      <c r="W298" s="1215"/>
      <c r="X298" s="1215"/>
      <c r="Y298" s="1215"/>
      <c r="Z298" s="1215"/>
      <c r="AA298" s="1215"/>
      <c r="AB298" s="1215"/>
      <c r="AC298" s="1215"/>
      <c r="AD298" s="1215"/>
      <c r="AE298" s="1215"/>
      <c r="AF298" s="1215"/>
      <c r="AG298" s="1215"/>
      <c r="AH298" s="1215"/>
      <c r="AI298" s="1215"/>
      <c r="AJ298" s="1215"/>
      <c r="AK298" s="1215"/>
      <c r="AL298" s="1215"/>
      <c r="AM298" s="1215"/>
      <c r="AN298" s="1215"/>
      <c r="AO298" s="1215"/>
      <c r="AP298" s="1215"/>
      <c r="AQ298" s="1215"/>
      <c r="AR298" s="1215"/>
      <c r="AS298" s="1215"/>
      <c r="AT298" s="1215"/>
      <c r="AU298" s="1215"/>
      <c r="AV298" s="1215"/>
      <c r="AW298" s="1215"/>
      <c r="AX298" s="1214"/>
      <c r="AY298" s="1214"/>
      <c r="AZ298" s="1214"/>
      <c r="BA298" s="1214"/>
      <c r="BB298" s="1214"/>
      <c r="BC298" s="1214"/>
      <c r="BD298" s="1214"/>
      <c r="BE298" s="1214"/>
      <c r="BF298" s="1214"/>
      <c r="BG298" s="1214"/>
      <c r="BH298" s="1214"/>
      <c r="BI298" s="1214"/>
      <c r="BJ298" s="1214"/>
    </row>
    <row r="299" spans="2:62">
      <c r="B299" s="1214"/>
      <c r="C299" s="1269" t="s">
        <v>190</v>
      </c>
      <c r="D299" s="1269" t="s">
        <v>36</v>
      </c>
      <c r="E299" s="1214" t="s">
        <v>49</v>
      </c>
      <c r="F299" s="1270"/>
      <c r="G299" s="1270"/>
      <c r="H299" s="1271"/>
      <c r="I299" s="1271"/>
      <c r="J299" s="1271"/>
      <c r="K299" s="1271"/>
      <c r="L299" s="1271"/>
      <c r="M299" s="1271"/>
      <c r="N299" s="1271"/>
      <c r="O299" s="1271"/>
      <c r="P299" s="1271"/>
      <c r="Q299" s="1271"/>
      <c r="R299" s="1271"/>
      <c r="S299" s="1271"/>
      <c r="T299" s="1271"/>
      <c r="U299" s="1271"/>
      <c r="V299" s="1271"/>
      <c r="W299" s="1271"/>
      <c r="X299" s="1271"/>
      <c r="Y299" s="1271"/>
      <c r="Z299" s="1271"/>
      <c r="AA299" s="1271"/>
      <c r="AB299" s="1271"/>
      <c r="AC299" s="1271"/>
      <c r="AD299" s="1271"/>
      <c r="AE299" s="1271"/>
      <c r="AF299" s="1271"/>
      <c r="AG299" s="1271"/>
      <c r="AH299" s="1271"/>
      <c r="AI299" s="1271"/>
      <c r="AJ299" s="1271">
        <f>11.2811*Unit.TWh</f>
        <v>11.2811</v>
      </c>
      <c r="AK299" s="1271">
        <f>11.5128859*Unit.TWh</f>
        <v>11.512885900000001</v>
      </c>
      <c r="AL299" s="1271">
        <f>9.9829594*Unit.TWh</f>
        <v>9.9829594000000004</v>
      </c>
      <c r="AM299" s="1271">
        <f>10.7253023*Unit.TWh</f>
        <v>10.725302299999999</v>
      </c>
      <c r="AN299" s="1271">
        <f>11.7831671*Unit.TWh</f>
        <v>11.7831671</v>
      </c>
      <c r="AO299" s="1271">
        <f>13.2077258*Unit.TWh</f>
        <v>13.2077258</v>
      </c>
      <c r="AP299" s="1271">
        <f>12.9045317*Unit.TWh</f>
        <v>12.9045317</v>
      </c>
      <c r="AQ299" s="1271">
        <f>18.45851032*Unit.TWh</f>
        <v>18.458510319999998</v>
      </c>
      <c r="AR299" s="1271">
        <f>18.88799564*Unit.TWh</f>
        <v>18.88799564</v>
      </c>
      <c r="AS299" s="1271">
        <f>18.50890517*Unit.TWh</f>
        <v>18.508905169999998</v>
      </c>
      <c r="AT299" s="1271">
        <f>20.71415345*Unit.TWh</f>
        <v>20.714153450000001</v>
      </c>
      <c r="AU299" s="1271">
        <f>23.70385084*Unit.TWh</f>
        <v>23.703850840000001</v>
      </c>
      <c r="AV299" s="1271">
        <f>28.71642504*Unit.TWh</f>
        <v>28.716425040000001</v>
      </c>
      <c r="AW299" s="1271" t="s">
        <v>1179</v>
      </c>
      <c r="AX299" s="1214"/>
      <c r="AY299" s="1273">
        <f ca="1">AY279+AY284+AY289+AY294</f>
        <v>937.23355555555554</v>
      </c>
      <c r="AZ299" s="1273"/>
      <c r="BA299" s="1273">
        <f t="shared" ref="BA299:BI299" ca="1" si="85">BA279+BA284+BA289+BA294</f>
        <v>948.40980000000002</v>
      </c>
      <c r="BB299" s="1273">
        <f t="shared" ca="1" si="85"/>
        <v>947.50491464762865</v>
      </c>
      <c r="BC299" s="1273">
        <f t="shared" ca="1" si="85"/>
        <v>946.63986672306442</v>
      </c>
      <c r="BD299" s="1273">
        <f t="shared" ca="1" si="85"/>
        <v>945.81505619727227</v>
      </c>
      <c r="BE299" s="1273">
        <f t="shared" ca="1" si="85"/>
        <v>945.03088705695825</v>
      </c>
      <c r="BF299" s="1273">
        <f t="shared" ca="1" si="85"/>
        <v>944.28776734488724</v>
      </c>
      <c r="BG299" s="1273">
        <f t="shared" ca="1" si="85"/>
        <v>939.97345000000041</v>
      </c>
      <c r="BH299" s="1273">
        <f t="shared" ca="1" si="85"/>
        <v>935.10072500000024</v>
      </c>
      <c r="BI299" s="1273">
        <f t="shared" ca="1" si="85"/>
        <v>930.22800000000007</v>
      </c>
      <c r="BJ299" s="1214"/>
    </row>
    <row r="300" spans="2:62">
      <c r="B300" s="1214"/>
      <c r="C300" s="1269" t="s">
        <v>190</v>
      </c>
      <c r="D300" s="1269" t="s">
        <v>38</v>
      </c>
      <c r="E300" s="1214" t="s">
        <v>50</v>
      </c>
      <c r="F300" s="1270"/>
      <c r="G300" s="1270"/>
      <c r="H300" s="1271"/>
      <c r="I300" s="1271"/>
      <c r="J300" s="1271"/>
      <c r="K300" s="1271"/>
      <c r="L300" s="1271"/>
      <c r="M300" s="1271"/>
      <c r="N300" s="1271"/>
      <c r="O300" s="1271"/>
      <c r="P300" s="1271"/>
      <c r="Q300" s="1271"/>
      <c r="R300" s="1271"/>
      <c r="S300" s="1271"/>
      <c r="T300" s="1271"/>
      <c r="U300" s="1271"/>
      <c r="V300" s="1271"/>
      <c r="W300" s="1271"/>
      <c r="X300" s="1271"/>
      <c r="Y300" s="1271"/>
      <c r="Z300" s="1271"/>
      <c r="AA300" s="1271"/>
      <c r="AB300" s="1271"/>
      <c r="AC300" s="1271"/>
      <c r="AD300" s="1271"/>
      <c r="AE300" s="1271"/>
      <c r="AF300" s="1271"/>
      <c r="AG300" s="1271"/>
      <c r="AH300" s="1271"/>
      <c r="AI300" s="1271"/>
      <c r="AJ300" s="1271">
        <f t="shared" ref="AJ300:AP300" si="86">0*Unit.TWh</f>
        <v>0</v>
      </c>
      <c r="AK300" s="1271">
        <f t="shared" si="86"/>
        <v>0</v>
      </c>
      <c r="AL300" s="1271">
        <f t="shared" si="86"/>
        <v>0</v>
      </c>
      <c r="AM300" s="1271">
        <f t="shared" si="86"/>
        <v>0</v>
      </c>
      <c r="AN300" s="1271">
        <f t="shared" si="86"/>
        <v>0</v>
      </c>
      <c r="AO300" s="1271">
        <f t="shared" si="86"/>
        <v>0</v>
      </c>
      <c r="AP300" s="1271">
        <f t="shared" si="86"/>
        <v>0</v>
      </c>
      <c r="AQ300" s="1271">
        <f>0.861215638*Unit.TWh</f>
        <v>0.86121563800000001</v>
      </c>
      <c r="AR300" s="1271">
        <f>3.313229379*Unit.TWh</f>
        <v>3.313229379</v>
      </c>
      <c r="AS300" s="1271">
        <f>5.483743472*Unit.TWh</f>
        <v>5.4837434719999996</v>
      </c>
      <c r="AT300" s="1271">
        <f>9.878952814*Unit.TWh</f>
        <v>9.8789528139999998</v>
      </c>
      <c r="AU300" s="1271">
        <f>12.07762885*Unit.TWh</f>
        <v>12.07762885</v>
      </c>
      <c r="AV300" s="1271">
        <f>15.06624188*Unit.TWh</f>
        <v>15.06624188</v>
      </c>
      <c r="AW300" s="1271" t="s">
        <v>1179</v>
      </c>
      <c r="AX300" s="1214"/>
      <c r="AY300" s="1273">
        <f t="shared" ref="AY300:BI301" ca="1" si="87">AY280+AY285+AY290+AY295</f>
        <v>0</v>
      </c>
      <c r="AZ300" s="1273"/>
      <c r="BA300" s="1273">
        <f t="shared" ca="1" si="87"/>
        <v>0.13142242804166665</v>
      </c>
      <c r="BB300" s="1273">
        <f t="shared" ca="1" si="87"/>
        <v>3.0140876139388606</v>
      </c>
      <c r="BC300" s="1273">
        <f t="shared" ca="1" si="87"/>
        <v>6.6403498055675261</v>
      </c>
      <c r="BD300" s="1273">
        <f t="shared" ca="1" si="87"/>
        <v>11.174550655547504</v>
      </c>
      <c r="BE300" s="1273">
        <f t="shared" ca="1" si="87"/>
        <v>16.858011722794185</v>
      </c>
      <c r="BF300" s="1273">
        <f t="shared" ca="1" si="87"/>
        <v>23.81237420320716</v>
      </c>
      <c r="BG300" s="1273">
        <f t="shared" ca="1" si="87"/>
        <v>32.28279205089418</v>
      </c>
      <c r="BH300" s="1273">
        <f t="shared" ca="1" si="87"/>
        <v>42.443260246537498</v>
      </c>
      <c r="BI300" s="1273">
        <f t="shared" ca="1" si="87"/>
        <v>54.656933937500007</v>
      </c>
      <c r="BJ300" s="1214"/>
    </row>
    <row r="301" spans="2:62">
      <c r="B301" s="1214"/>
      <c r="C301" s="1269" t="s">
        <v>190</v>
      </c>
      <c r="D301" s="1269" t="s">
        <v>39</v>
      </c>
      <c r="E301" s="1214" t="s">
        <v>163</v>
      </c>
      <c r="F301" s="1270"/>
      <c r="G301" s="1270"/>
      <c r="H301" s="1271"/>
      <c r="I301" s="1271"/>
      <c r="J301" s="1271"/>
      <c r="K301" s="1271"/>
      <c r="L301" s="1271"/>
      <c r="M301" s="1271"/>
      <c r="N301" s="1271"/>
      <c r="O301" s="1271"/>
      <c r="P301" s="1271"/>
      <c r="Q301" s="1271"/>
      <c r="R301" s="1271"/>
      <c r="S301" s="1271"/>
      <c r="T301" s="1271"/>
      <c r="U301" s="1271"/>
      <c r="V301" s="1271"/>
      <c r="W301" s="1271"/>
      <c r="X301" s="1271"/>
      <c r="Y301" s="1271"/>
      <c r="Z301" s="1271"/>
      <c r="AA301" s="1271"/>
      <c r="AB301" s="1271"/>
      <c r="AC301" s="1271"/>
      <c r="AD301" s="1271"/>
      <c r="AE301" s="1271"/>
      <c r="AF301" s="1271"/>
      <c r="AG301" s="1271"/>
      <c r="AH301" s="1271"/>
      <c r="AI301" s="1271"/>
      <c r="AJ301" s="1271">
        <f>4.679912*Unit.TWh</f>
        <v>4.6799119999999998</v>
      </c>
      <c r="AK301" s="1271">
        <f>6.65236*Unit.TWh</f>
        <v>6.6523599999999998</v>
      </c>
      <c r="AL301" s="1271">
        <f>8.5030419*Unit.TWh</f>
        <v>8.5030418999999995</v>
      </c>
      <c r="AM301" s="1271">
        <f>9.7205866*Unit.TWh</f>
        <v>9.7205866000000007</v>
      </c>
      <c r="AN301" s="1271">
        <f>10.375123*Unit.TWh</f>
        <v>10.375123</v>
      </c>
      <c r="AO301" s="1271">
        <f>12.654603*Unit.TWh</f>
        <v>12.654603</v>
      </c>
      <c r="AP301" s="1271">
        <f>17.4844257*Unit.TWh</f>
        <v>17.484425699999999</v>
      </c>
      <c r="AQ301" s="1271">
        <f>18.91593462*Unit.TWh</f>
        <v>18.915934620000002</v>
      </c>
      <c r="AR301" s="1271">
        <f>19.24482717*Unit.TWh</f>
        <v>19.244827170000001</v>
      </c>
      <c r="AS301" s="1271">
        <f>20.29461125*Unit.TWh</f>
        <v>20.294611249999999</v>
      </c>
      <c r="AT301" s="1271">
        <f>20.91263605*Unit.TWh</f>
        <v>20.91263605</v>
      </c>
      <c r="AU301" s="1271">
        <f>21.92331406*Unit.TWh</f>
        <v>21.923314059999999</v>
      </c>
      <c r="AV301" s="1271">
        <f>22.89564828*Unit.TWh</f>
        <v>22.89564828</v>
      </c>
      <c r="AW301" s="1271" t="s">
        <v>1179</v>
      </c>
      <c r="AX301" s="1214"/>
      <c r="AY301" s="1273">
        <f t="shared" ca="1" si="87"/>
        <v>9.1777777777777771</v>
      </c>
      <c r="AZ301" s="1273"/>
      <c r="BA301" s="1273">
        <f t="shared" ca="1" si="87"/>
        <v>10.305777777777783</v>
      </c>
      <c r="BB301" s="1273">
        <f t="shared" ca="1" si="87"/>
        <v>11.346016666666671</v>
      </c>
      <c r="BC301" s="1273">
        <f t="shared" ca="1" si="87"/>
        <v>12.386255555555559</v>
      </c>
      <c r="BD301" s="1273">
        <f t="shared" ca="1" si="87"/>
        <v>13.426494444444447</v>
      </c>
      <c r="BE301" s="1273">
        <f t="shared" ca="1" si="87"/>
        <v>14.466733333333337</v>
      </c>
      <c r="BF301" s="1273">
        <f t="shared" ca="1" si="87"/>
        <v>14.832036478670412</v>
      </c>
      <c r="BG301" s="1273">
        <f t="shared" ca="1" si="87"/>
        <v>15.206563986198885</v>
      </c>
      <c r="BH301" s="1273">
        <f t="shared" ca="1" si="87"/>
        <v>15.590548782623422</v>
      </c>
      <c r="BI301" s="1273">
        <f t="shared" ca="1" si="87"/>
        <v>15.984229676339865</v>
      </c>
      <c r="BJ301" s="1214"/>
    </row>
    <row r="302" spans="2:62">
      <c r="B302" s="1214"/>
      <c r="C302" s="1269"/>
      <c r="D302" s="1269"/>
      <c r="E302" s="1214"/>
      <c r="F302" s="1270"/>
      <c r="G302" s="1270"/>
      <c r="H302" s="1271"/>
      <c r="I302" s="1271"/>
      <c r="J302" s="1271"/>
      <c r="K302" s="1271"/>
      <c r="L302" s="1271"/>
      <c r="M302" s="1271"/>
      <c r="N302" s="1271"/>
      <c r="O302" s="1271"/>
      <c r="P302" s="1271"/>
      <c r="Q302" s="1271"/>
      <c r="R302" s="1271"/>
      <c r="S302" s="1271"/>
      <c r="T302" s="1271"/>
      <c r="U302" s="1271"/>
      <c r="V302" s="1271"/>
      <c r="W302" s="1271"/>
      <c r="X302" s="1271"/>
      <c r="Y302" s="1271"/>
      <c r="Z302" s="1271"/>
      <c r="AA302" s="1271"/>
      <c r="AB302" s="1271"/>
      <c r="AC302" s="1271"/>
      <c r="AD302" s="1271"/>
      <c r="AE302" s="1271"/>
      <c r="AF302" s="1271"/>
      <c r="AG302" s="1271"/>
      <c r="AH302" s="1271"/>
      <c r="AI302" s="1271"/>
      <c r="AJ302" s="1271"/>
      <c r="AK302" s="1271"/>
      <c r="AL302" s="1271"/>
      <c r="AM302" s="1271"/>
      <c r="AN302" s="1271"/>
      <c r="AO302" s="1271"/>
      <c r="AP302" s="1271"/>
      <c r="AQ302" s="1271"/>
      <c r="AR302" s="1271"/>
      <c r="AS302" s="1271"/>
      <c r="AT302" s="1271"/>
      <c r="AU302" s="1271"/>
      <c r="AV302" s="1271"/>
      <c r="AW302" s="1271"/>
      <c r="AX302" s="1214"/>
      <c r="AY302" s="1273"/>
      <c r="AZ302" s="1273"/>
      <c r="BA302" s="1273"/>
      <c r="BB302" s="1273"/>
      <c r="BC302" s="1273"/>
      <c r="BD302" s="1273"/>
      <c r="BE302" s="1273"/>
      <c r="BF302" s="1273"/>
      <c r="BG302" s="1273"/>
      <c r="BH302" s="1273"/>
      <c r="BI302" s="1273"/>
      <c r="BJ302" s="1214"/>
    </row>
    <row r="303" spans="2:62">
      <c r="B303" s="1214"/>
      <c r="C303" s="1214"/>
      <c r="D303" s="1214"/>
      <c r="E303" s="1214"/>
      <c r="F303" s="1214"/>
      <c r="G303" s="1214"/>
      <c r="H303" s="1215"/>
      <c r="I303" s="1215"/>
      <c r="J303" s="1215"/>
      <c r="K303" s="1215"/>
      <c r="L303" s="1215"/>
      <c r="M303" s="1215"/>
      <c r="N303" s="1215"/>
      <c r="O303" s="1215"/>
      <c r="P303" s="1215"/>
      <c r="Q303" s="1215"/>
      <c r="R303" s="1215"/>
      <c r="S303" s="1215"/>
      <c r="T303" s="1215"/>
      <c r="U303" s="1215"/>
      <c r="V303" s="1215"/>
      <c r="W303" s="1215"/>
      <c r="X303" s="1215"/>
      <c r="Y303" s="1215"/>
      <c r="Z303" s="1215"/>
      <c r="AA303" s="1215"/>
      <c r="AB303" s="1215"/>
      <c r="AC303" s="1215"/>
      <c r="AD303" s="1215"/>
      <c r="AE303" s="1215"/>
      <c r="AF303" s="1215"/>
      <c r="AG303" s="1215"/>
      <c r="AH303" s="1215"/>
      <c r="AI303" s="1215"/>
      <c r="AJ303" s="1215"/>
      <c r="AK303" s="1215"/>
      <c r="AL303" s="1215"/>
      <c r="AM303" s="1215"/>
      <c r="AN303" s="1215"/>
      <c r="AO303" s="1215"/>
      <c r="AP303" s="1215"/>
      <c r="AQ303" s="1215"/>
      <c r="AR303" s="1215"/>
      <c r="AS303" s="1215"/>
      <c r="AT303" s="1215"/>
      <c r="AU303" s="1215"/>
      <c r="AV303" s="1215"/>
      <c r="AW303" s="1215"/>
      <c r="AX303" s="1214"/>
      <c r="AY303" s="1214"/>
      <c r="AZ303" s="1214"/>
      <c r="BA303" s="1214"/>
      <c r="BB303" s="1214"/>
      <c r="BC303" s="1214"/>
      <c r="BD303" s="1214"/>
      <c r="BE303" s="1214"/>
      <c r="BF303" s="1214"/>
      <c r="BG303" s="1214"/>
      <c r="BH303" s="1214"/>
      <c r="BI303" s="1214"/>
      <c r="BJ303" s="1214"/>
    </row>
    <row r="304" spans="2:62">
      <c r="B304" s="1214"/>
    </row>
    <row r="305" spans="1:62" ht="22.5">
      <c r="A305" s="420"/>
      <c r="B305" s="1276" t="s">
        <v>1190</v>
      </c>
      <c r="C305" s="1277"/>
      <c r="D305" s="1277"/>
      <c r="E305" s="1277"/>
      <c r="F305" s="1277"/>
      <c r="G305" s="1277"/>
      <c r="H305" s="1277"/>
      <c r="I305" s="1277"/>
      <c r="J305" s="1277"/>
      <c r="K305" s="1277"/>
      <c r="L305" s="1277"/>
      <c r="M305" s="1277"/>
      <c r="N305" s="1277"/>
      <c r="O305" s="1277"/>
      <c r="P305" s="1277"/>
      <c r="Q305" s="1277"/>
      <c r="R305" s="1277"/>
      <c r="S305" s="1277"/>
      <c r="T305" s="1277"/>
      <c r="U305" s="1277"/>
      <c r="V305" s="1277"/>
      <c r="W305" s="1277"/>
      <c r="X305" s="1277"/>
      <c r="Y305" s="1277"/>
      <c r="Z305" s="1277"/>
      <c r="AA305" s="1277"/>
      <c r="AB305" s="1277"/>
      <c r="AC305" s="1277"/>
      <c r="AD305" s="1277"/>
      <c r="AE305" s="1277"/>
      <c r="AF305" s="1277"/>
      <c r="AG305" s="1277"/>
      <c r="AH305" s="1277"/>
      <c r="AI305" s="1277"/>
      <c r="AJ305" s="1277"/>
      <c r="AK305" s="1277"/>
      <c r="AL305" s="1277"/>
      <c r="AM305" s="1277"/>
      <c r="AN305" s="1277"/>
      <c r="AO305" s="1277"/>
      <c r="AP305" s="1277"/>
      <c r="AQ305" s="1277"/>
      <c r="AR305" s="1277"/>
      <c r="AS305" s="1277"/>
      <c r="AT305" s="1277"/>
      <c r="AU305" s="1277"/>
      <c r="AV305" s="1277"/>
      <c r="AW305" s="1277"/>
      <c r="AX305" s="1277"/>
      <c r="AY305" s="1278"/>
      <c r="AZ305" s="1278"/>
      <c r="BA305" s="1278"/>
      <c r="BB305" s="1278"/>
      <c r="BC305" s="1278"/>
      <c r="BD305" s="1278"/>
      <c r="BE305" s="1278"/>
      <c r="BF305" s="1278"/>
      <c r="BG305" s="1278"/>
      <c r="BH305" s="1278"/>
      <c r="BI305" s="1278"/>
      <c r="BJ305" s="1279"/>
    </row>
    <row r="306" spans="1:62">
      <c r="C306" s="1281"/>
      <c r="D306" s="1281"/>
      <c r="E306" s="1281"/>
      <c r="F306" s="1281"/>
      <c r="G306" s="1281"/>
      <c r="H306" s="1281"/>
      <c r="I306" s="1281"/>
      <c r="J306" s="1281"/>
      <c r="K306" s="1281"/>
      <c r="L306" s="1281"/>
      <c r="M306" s="1281"/>
      <c r="N306" s="1281"/>
      <c r="O306" s="1281"/>
      <c r="P306" s="1281"/>
      <c r="Q306" s="1281"/>
      <c r="R306" s="1281"/>
      <c r="S306" s="1281"/>
      <c r="T306" s="1281"/>
      <c r="U306" s="1281"/>
      <c r="V306" s="1281"/>
      <c r="W306" s="1281"/>
      <c r="X306" s="1281"/>
      <c r="Y306" s="1281"/>
      <c r="Z306" s="1281"/>
      <c r="AA306" s="1281"/>
      <c r="AB306" s="1281"/>
      <c r="AC306" s="1281"/>
      <c r="AD306" s="1281"/>
      <c r="AE306" s="1281"/>
      <c r="AF306" s="1281"/>
      <c r="AG306" s="1281"/>
      <c r="AH306" s="1281"/>
      <c r="AI306" s="1281"/>
      <c r="AJ306" s="1281"/>
      <c r="AK306" s="1281"/>
      <c r="AL306" s="1281"/>
      <c r="AM306" s="1281"/>
      <c r="AN306" s="1281"/>
      <c r="AO306" s="1281"/>
      <c r="AP306" s="1281"/>
      <c r="AQ306" s="1281"/>
      <c r="AR306" s="1281"/>
      <c r="AS306" s="1281"/>
      <c r="AT306" s="1281"/>
      <c r="AU306" s="1281"/>
      <c r="AV306" s="1281"/>
      <c r="AW306" s="1281"/>
      <c r="AX306" s="1281"/>
      <c r="AY306" s="1282"/>
      <c r="AZ306" s="1282"/>
      <c r="BA306" s="1282"/>
      <c r="BB306" s="1282"/>
      <c r="BC306" s="1282"/>
      <c r="BD306" s="1282"/>
      <c r="BE306" s="1282"/>
      <c r="BF306" s="1282"/>
      <c r="BG306" s="1282"/>
      <c r="BH306" s="1282"/>
      <c r="BI306" s="1282"/>
      <c r="BJ306" s="1283"/>
    </row>
    <row r="307" spans="1:62" ht="15.75">
      <c r="B307" s="1276"/>
      <c r="C307" s="1285" t="s">
        <v>7</v>
      </c>
      <c r="D307" s="1285" t="str">
        <f>INDEX(Vectors[Description], MATCH($C307, Vectors[Code], 0))</f>
        <v>Nuclear fission</v>
      </c>
      <c r="E307" s="1285">
        <f t="shared" ref="E307:F313" si="88">E54</f>
        <v>0</v>
      </c>
      <c r="F307" s="1286">
        <f t="shared" si="88"/>
        <v>0</v>
      </c>
      <c r="G307" s="1286"/>
      <c r="H307" s="1286"/>
      <c r="I307" s="1286"/>
      <c r="J307" s="1286"/>
      <c r="K307" s="1286"/>
      <c r="L307" s="1286"/>
      <c r="M307" s="1286"/>
      <c r="N307" s="1286"/>
      <c r="O307" s="1286"/>
      <c r="P307" s="1286"/>
      <c r="Q307" s="1286"/>
      <c r="R307" s="1286"/>
      <c r="S307" s="1286"/>
      <c r="T307" s="1286"/>
      <c r="U307" s="1286"/>
      <c r="V307" s="1286"/>
      <c r="W307" s="1286"/>
      <c r="X307" s="1286"/>
      <c r="Y307" s="1286"/>
      <c r="Z307" s="1286"/>
      <c r="AA307" s="1286"/>
      <c r="AB307" s="1286"/>
      <c r="AC307" s="1286"/>
      <c r="AD307" s="1286"/>
      <c r="AE307" s="1286"/>
      <c r="AF307" s="1286"/>
      <c r="AG307" s="1286"/>
      <c r="AH307" s="1286"/>
      <c r="AI307" s="1286"/>
      <c r="AJ307" s="1286"/>
      <c r="AK307" s="1286"/>
      <c r="AL307" s="1286"/>
      <c r="AM307" s="1286"/>
      <c r="AN307" s="1286"/>
      <c r="AO307" s="1286"/>
      <c r="AP307" s="1286"/>
      <c r="AQ307" s="1286"/>
      <c r="AR307" s="1286"/>
      <c r="AS307" s="1286"/>
      <c r="AT307" s="1286"/>
      <c r="AU307" s="1286"/>
      <c r="AV307" s="1286"/>
      <c r="AW307" s="1286"/>
      <c r="AX307" s="1286">
        <f t="shared" ref="AX307:AY313" si="89">AX54</f>
        <v>0</v>
      </c>
      <c r="AY307" s="1286">
        <f t="shared" ca="1" si="89"/>
        <v>80.94774857142859</v>
      </c>
      <c r="AZ307" s="1286"/>
      <c r="BA307" s="1286">
        <f t="shared" ref="BA307:BI307" ca="1" si="90">BA54</f>
        <v>93.771154285714289</v>
      </c>
      <c r="BB307" s="1286">
        <f t="shared" ca="1" si="90"/>
        <v>199.9649828571429</v>
      </c>
      <c r="BC307" s="1286">
        <f t="shared" ca="1" si="90"/>
        <v>193.55328000000003</v>
      </c>
      <c r="BD307" s="1286">
        <f t="shared" ca="1" si="90"/>
        <v>193.55328000000003</v>
      </c>
      <c r="BE307" s="1286">
        <f t="shared" ca="1" si="90"/>
        <v>189.54596571428576</v>
      </c>
      <c r="BF307" s="1286">
        <f t="shared" ca="1" si="90"/>
        <v>180.72987428571432</v>
      </c>
      <c r="BG307" s="1286">
        <f t="shared" ca="1" si="90"/>
        <v>176.3218285714286</v>
      </c>
      <c r="BH307" s="1286">
        <f t="shared" ca="1" si="90"/>
        <v>167.50573714285716</v>
      </c>
      <c r="BI307" s="1286">
        <f t="shared" ca="1" si="90"/>
        <v>167.50573714285716</v>
      </c>
      <c r="BJ307" s="1287"/>
    </row>
    <row r="308" spans="1:62" ht="15.75">
      <c r="B308" s="1280"/>
      <c r="C308" s="1285" t="s">
        <v>24</v>
      </c>
      <c r="D308" s="1285" t="str">
        <f>INDEX(Vectors[Description], MATCH($C308, Vectors[Code], 0))</f>
        <v>Solar</v>
      </c>
      <c r="E308" s="1285">
        <f t="shared" si="88"/>
        <v>0</v>
      </c>
      <c r="F308" s="1286">
        <f t="shared" si="88"/>
        <v>0</v>
      </c>
      <c r="G308" s="1286"/>
      <c r="H308" s="1286"/>
      <c r="I308" s="1286"/>
      <c r="J308" s="1286"/>
      <c r="K308" s="1286"/>
      <c r="L308" s="1286"/>
      <c r="M308" s="1286"/>
      <c r="N308" s="1286"/>
      <c r="O308" s="1286"/>
      <c r="P308" s="1286"/>
      <c r="Q308" s="1286"/>
      <c r="R308" s="1286"/>
      <c r="S308" s="1286"/>
      <c r="T308" s="1286"/>
      <c r="U308" s="1286"/>
      <c r="V308" s="1286"/>
      <c r="W308" s="1286"/>
      <c r="X308" s="1286"/>
      <c r="Y308" s="1286"/>
      <c r="Z308" s="1286"/>
      <c r="AA308" s="1286"/>
      <c r="AB308" s="1286"/>
      <c r="AC308" s="1286"/>
      <c r="AD308" s="1286"/>
      <c r="AE308" s="1286"/>
      <c r="AF308" s="1286"/>
      <c r="AG308" s="1286"/>
      <c r="AH308" s="1286"/>
      <c r="AI308" s="1286"/>
      <c r="AJ308" s="1286"/>
      <c r="AK308" s="1286"/>
      <c r="AL308" s="1286"/>
      <c r="AM308" s="1286"/>
      <c r="AN308" s="1286"/>
      <c r="AO308" s="1286"/>
      <c r="AP308" s="1286"/>
      <c r="AQ308" s="1286"/>
      <c r="AR308" s="1286"/>
      <c r="AS308" s="1286"/>
      <c r="AT308" s="1286"/>
      <c r="AU308" s="1286"/>
      <c r="AV308" s="1286"/>
      <c r="AW308" s="1286"/>
      <c r="AX308" s="1286">
        <f t="shared" si="89"/>
        <v>0</v>
      </c>
      <c r="AY308" s="1286">
        <f t="shared" ca="1" si="89"/>
        <v>0</v>
      </c>
      <c r="AZ308" s="1286"/>
      <c r="BA308" s="1286">
        <f t="shared" ref="BA308:BI308" ca="1" si="91">BA55</f>
        <v>1.56727314</v>
      </c>
      <c r="BB308" s="1286">
        <f t="shared" ca="1" si="91"/>
        <v>10.99938034075161</v>
      </c>
      <c r="BC308" s="1286">
        <f t="shared" ca="1" si="91"/>
        <v>27.366299513783936</v>
      </c>
      <c r="BD308" s="1286">
        <f t="shared" ca="1" si="91"/>
        <v>49.233277769900653</v>
      </c>
      <c r="BE308" s="1286">
        <f t="shared" ca="1" si="91"/>
        <v>74.393168287263421</v>
      </c>
      <c r="BF308" s="1286">
        <f t="shared" ca="1" si="91"/>
        <v>96.634101460999375</v>
      </c>
      <c r="BG308" s="1286">
        <f t="shared" ca="1" si="91"/>
        <v>108.73461587841729</v>
      </c>
      <c r="BH308" s="1286">
        <f t="shared" ca="1" si="91"/>
        <v>106.76952554064533</v>
      </c>
      <c r="BI308" s="1286">
        <f t="shared" ca="1" si="91"/>
        <v>93.110973518033461</v>
      </c>
      <c r="BJ308" s="1287"/>
    </row>
    <row r="309" spans="1:62">
      <c r="B309" s="1284"/>
      <c r="C309" s="1285" t="s">
        <v>8</v>
      </c>
      <c r="D309" s="1285" t="str">
        <f>INDEX(Vectors[Description], MATCH($C309, Vectors[Code], 0))</f>
        <v>Wind</v>
      </c>
      <c r="E309" s="1285">
        <f t="shared" si="88"/>
        <v>0</v>
      </c>
      <c r="F309" s="1286">
        <f t="shared" si="88"/>
        <v>0</v>
      </c>
      <c r="G309" s="1286"/>
      <c r="H309" s="1286"/>
      <c r="I309" s="1286"/>
      <c r="J309" s="1286"/>
      <c r="K309" s="1286"/>
      <c r="L309" s="1286"/>
      <c r="M309" s="1286"/>
      <c r="N309" s="1286"/>
      <c r="O309" s="1286"/>
      <c r="P309" s="1286"/>
      <c r="Q309" s="1286"/>
      <c r="R309" s="1286"/>
      <c r="S309" s="1286"/>
      <c r="T309" s="1286"/>
      <c r="U309" s="1286"/>
      <c r="V309" s="1286"/>
      <c r="W309" s="1286"/>
      <c r="X309" s="1286"/>
      <c r="Y309" s="1286"/>
      <c r="Z309" s="1286"/>
      <c r="AA309" s="1286"/>
      <c r="AB309" s="1286"/>
      <c r="AC309" s="1286"/>
      <c r="AD309" s="1286"/>
      <c r="AE309" s="1286"/>
      <c r="AF309" s="1286"/>
      <c r="AG309" s="1286"/>
      <c r="AH309" s="1286"/>
      <c r="AI309" s="1286"/>
      <c r="AJ309" s="1286"/>
      <c r="AK309" s="1286"/>
      <c r="AL309" s="1286"/>
      <c r="AM309" s="1286"/>
      <c r="AN309" s="1286"/>
      <c r="AO309" s="1286"/>
      <c r="AP309" s="1286"/>
      <c r="AQ309" s="1286"/>
      <c r="AR309" s="1286"/>
      <c r="AS309" s="1286"/>
      <c r="AT309" s="1286"/>
      <c r="AU309" s="1286"/>
      <c r="AV309" s="1286"/>
      <c r="AW309" s="1286"/>
      <c r="AX309" s="1286">
        <f t="shared" si="89"/>
        <v>0</v>
      </c>
      <c r="AY309" s="1286">
        <f t="shared" ca="1" si="89"/>
        <v>12.437183268</v>
      </c>
      <c r="AZ309" s="1286"/>
      <c r="BA309" s="1286">
        <f t="shared" ref="BA309:BI309" ca="1" si="92">BA56</f>
        <v>18.722249233199999</v>
      </c>
      <c r="BB309" s="1286">
        <f t="shared" ca="1" si="92"/>
        <v>36.604889233199998</v>
      </c>
      <c r="BC309" s="1286">
        <f t="shared" ca="1" si="92"/>
        <v>59.966279233199998</v>
      </c>
      <c r="BD309" s="1286">
        <f t="shared" ca="1" si="92"/>
        <v>84.335759233199994</v>
      </c>
      <c r="BE309" s="1286">
        <f t="shared" ca="1" si="92"/>
        <v>115.49888923319999</v>
      </c>
      <c r="BF309" s="1286">
        <f t="shared" ca="1" si="92"/>
        <v>136.98612596519999</v>
      </c>
      <c r="BG309" s="1286">
        <f t="shared" ca="1" si="92"/>
        <v>151.03817999999998</v>
      </c>
      <c r="BH309" s="1286">
        <f t="shared" ca="1" si="92"/>
        <v>161.16290999999998</v>
      </c>
      <c r="BI309" s="1286">
        <f t="shared" ca="1" si="92"/>
        <v>161.95184999999998</v>
      </c>
      <c r="BJ309" s="1287"/>
    </row>
    <row r="310" spans="1:62">
      <c r="B310" s="1284"/>
      <c r="C310" s="1285" t="s">
        <v>9</v>
      </c>
      <c r="D310" s="1285" t="str">
        <f>INDEX(Vectors[Description], MATCH($C310, Vectors[Code], 0))</f>
        <v>Tidal</v>
      </c>
      <c r="E310" s="1285">
        <f t="shared" si="88"/>
        <v>0</v>
      </c>
      <c r="F310" s="1286">
        <f t="shared" si="88"/>
        <v>0</v>
      </c>
      <c r="G310" s="1286"/>
      <c r="H310" s="1286"/>
      <c r="I310" s="1286"/>
      <c r="J310" s="1286"/>
      <c r="K310" s="1286"/>
      <c r="L310" s="1286"/>
      <c r="M310" s="1286"/>
      <c r="N310" s="1286"/>
      <c r="O310" s="1286"/>
      <c r="P310" s="1286"/>
      <c r="Q310" s="1286"/>
      <c r="R310" s="1286"/>
      <c r="S310" s="1286"/>
      <c r="T310" s="1286"/>
      <c r="U310" s="1286"/>
      <c r="V310" s="1286"/>
      <c r="W310" s="1286"/>
      <c r="X310" s="1286"/>
      <c r="Y310" s="1286"/>
      <c r="Z310" s="1286"/>
      <c r="AA310" s="1286"/>
      <c r="AB310" s="1286"/>
      <c r="AC310" s="1286"/>
      <c r="AD310" s="1286"/>
      <c r="AE310" s="1286"/>
      <c r="AF310" s="1286"/>
      <c r="AG310" s="1286"/>
      <c r="AH310" s="1286"/>
      <c r="AI310" s="1286"/>
      <c r="AJ310" s="1286"/>
      <c r="AK310" s="1286"/>
      <c r="AL310" s="1286"/>
      <c r="AM310" s="1286"/>
      <c r="AN310" s="1286"/>
      <c r="AO310" s="1286"/>
      <c r="AP310" s="1286"/>
      <c r="AQ310" s="1286"/>
      <c r="AR310" s="1286"/>
      <c r="AS310" s="1286"/>
      <c r="AT310" s="1286"/>
      <c r="AU310" s="1286"/>
      <c r="AV310" s="1286"/>
      <c r="AW310" s="1286"/>
      <c r="AX310" s="1286">
        <f t="shared" si="89"/>
        <v>0</v>
      </c>
      <c r="AY310" s="1286">
        <f t="shared" ca="1" si="89"/>
        <v>0</v>
      </c>
      <c r="AZ310" s="1286"/>
      <c r="BA310" s="1286">
        <f t="shared" ref="BA310:BI310" ca="1" si="93">BA57</f>
        <v>0</v>
      </c>
      <c r="BB310" s="1286">
        <f t="shared" ca="1" si="93"/>
        <v>0</v>
      </c>
      <c r="BC310" s="1286">
        <f t="shared" ca="1" si="93"/>
        <v>0</v>
      </c>
      <c r="BD310" s="1286">
        <f t="shared" ca="1" si="93"/>
        <v>0</v>
      </c>
      <c r="BE310" s="1286">
        <f t="shared" ca="1" si="93"/>
        <v>0</v>
      </c>
      <c r="BF310" s="1286">
        <f t="shared" ca="1" si="93"/>
        <v>0</v>
      </c>
      <c r="BG310" s="1286">
        <f t="shared" ca="1" si="93"/>
        <v>0</v>
      </c>
      <c r="BH310" s="1286">
        <f t="shared" ca="1" si="93"/>
        <v>0</v>
      </c>
      <c r="BI310" s="1286">
        <f t="shared" ca="1" si="93"/>
        <v>0</v>
      </c>
      <c r="BJ310" s="1287"/>
    </row>
    <row r="311" spans="1:62">
      <c r="B311" s="1284"/>
      <c r="C311" s="1285" t="s">
        <v>10</v>
      </c>
      <c r="D311" s="1285" t="str">
        <f>INDEX(Vectors[Description], MATCH($C311, Vectors[Code], 0))</f>
        <v>Wave</v>
      </c>
      <c r="E311" s="1285">
        <f t="shared" si="88"/>
        <v>0</v>
      </c>
      <c r="F311" s="1286">
        <f t="shared" si="88"/>
        <v>0</v>
      </c>
      <c r="G311" s="1286"/>
      <c r="H311" s="1286"/>
      <c r="I311" s="1286"/>
      <c r="J311" s="1286"/>
      <c r="K311" s="1286"/>
      <c r="L311" s="1286"/>
      <c r="M311" s="1286"/>
      <c r="N311" s="1286"/>
      <c r="O311" s="1286"/>
      <c r="P311" s="1286"/>
      <c r="Q311" s="1286"/>
      <c r="R311" s="1286"/>
      <c r="S311" s="1286"/>
      <c r="T311" s="1286"/>
      <c r="U311" s="1286"/>
      <c r="V311" s="1286"/>
      <c r="W311" s="1286"/>
      <c r="X311" s="1286"/>
      <c r="Y311" s="1286"/>
      <c r="Z311" s="1286"/>
      <c r="AA311" s="1286"/>
      <c r="AB311" s="1286"/>
      <c r="AC311" s="1286"/>
      <c r="AD311" s="1286"/>
      <c r="AE311" s="1286"/>
      <c r="AF311" s="1286"/>
      <c r="AG311" s="1286"/>
      <c r="AH311" s="1286"/>
      <c r="AI311" s="1286"/>
      <c r="AJ311" s="1286"/>
      <c r="AK311" s="1286"/>
      <c r="AL311" s="1286"/>
      <c r="AM311" s="1286"/>
      <c r="AN311" s="1286"/>
      <c r="AO311" s="1286"/>
      <c r="AP311" s="1286"/>
      <c r="AQ311" s="1286"/>
      <c r="AR311" s="1286"/>
      <c r="AS311" s="1286"/>
      <c r="AT311" s="1286"/>
      <c r="AU311" s="1286"/>
      <c r="AV311" s="1286"/>
      <c r="AW311" s="1286"/>
      <c r="AX311" s="1286">
        <f t="shared" si="89"/>
        <v>0</v>
      </c>
      <c r="AY311" s="1286">
        <f t="shared" ca="1" si="89"/>
        <v>0</v>
      </c>
      <c r="AZ311" s="1286"/>
      <c r="BA311" s="1286">
        <f t="shared" ref="BA311:BI311" ca="1" si="94">BA58</f>
        <v>0</v>
      </c>
      <c r="BB311" s="1286">
        <f t="shared" ca="1" si="94"/>
        <v>0</v>
      </c>
      <c r="BC311" s="1286">
        <f t="shared" ca="1" si="94"/>
        <v>0</v>
      </c>
      <c r="BD311" s="1286">
        <f t="shared" ca="1" si="94"/>
        <v>0</v>
      </c>
      <c r="BE311" s="1286">
        <f t="shared" ca="1" si="94"/>
        <v>0</v>
      </c>
      <c r="BF311" s="1286">
        <f t="shared" ca="1" si="94"/>
        <v>0</v>
      </c>
      <c r="BG311" s="1286">
        <f t="shared" ca="1" si="94"/>
        <v>0</v>
      </c>
      <c r="BH311" s="1286">
        <f t="shared" ca="1" si="94"/>
        <v>0</v>
      </c>
      <c r="BI311" s="1286">
        <f t="shared" ca="1" si="94"/>
        <v>0</v>
      </c>
      <c r="BJ311" s="1287"/>
    </row>
    <row r="312" spans="1:62">
      <c r="B312" s="1284"/>
      <c r="C312" s="1285" t="s">
        <v>11</v>
      </c>
      <c r="D312" s="1285" t="str">
        <f>INDEX(Vectors[Description], MATCH($C312, Vectors[Code], 0))</f>
        <v>Geothermal</v>
      </c>
      <c r="E312" s="1285">
        <f t="shared" si="88"/>
        <v>0</v>
      </c>
      <c r="F312" s="1286">
        <f t="shared" si="88"/>
        <v>0</v>
      </c>
      <c r="G312" s="1286"/>
      <c r="H312" s="1286"/>
      <c r="I312" s="1286"/>
      <c r="J312" s="1286"/>
      <c r="K312" s="1286"/>
      <c r="L312" s="1286"/>
      <c r="M312" s="1286"/>
      <c r="N312" s="1286"/>
      <c r="O312" s="1286"/>
      <c r="P312" s="1286"/>
      <c r="Q312" s="1286"/>
      <c r="R312" s="1286"/>
      <c r="S312" s="1286"/>
      <c r="T312" s="1286"/>
      <c r="U312" s="1286"/>
      <c r="V312" s="1286"/>
      <c r="W312" s="1286"/>
      <c r="X312" s="1286"/>
      <c r="Y312" s="1286"/>
      <c r="Z312" s="1286"/>
      <c r="AA312" s="1286"/>
      <c r="AB312" s="1286"/>
      <c r="AC312" s="1286"/>
      <c r="AD312" s="1286"/>
      <c r="AE312" s="1286"/>
      <c r="AF312" s="1286"/>
      <c r="AG312" s="1286"/>
      <c r="AH312" s="1286"/>
      <c r="AI312" s="1286"/>
      <c r="AJ312" s="1286"/>
      <c r="AK312" s="1286"/>
      <c r="AL312" s="1286"/>
      <c r="AM312" s="1286"/>
      <c r="AN312" s="1286"/>
      <c r="AO312" s="1286"/>
      <c r="AP312" s="1286"/>
      <c r="AQ312" s="1286"/>
      <c r="AR312" s="1286"/>
      <c r="AS312" s="1286"/>
      <c r="AT312" s="1286"/>
      <c r="AU312" s="1286"/>
      <c r="AV312" s="1286"/>
      <c r="AW312" s="1286"/>
      <c r="AX312" s="1286">
        <f t="shared" si="89"/>
        <v>0</v>
      </c>
      <c r="AY312" s="1286">
        <f t="shared" ca="1" si="89"/>
        <v>0</v>
      </c>
      <c r="AZ312" s="1286"/>
      <c r="BA312" s="1286">
        <f t="shared" ref="BA312:BI312" ca="1" si="95">BA59</f>
        <v>0</v>
      </c>
      <c r="BB312" s="1286">
        <f t="shared" ca="1" si="95"/>
        <v>0</v>
      </c>
      <c r="BC312" s="1286">
        <f t="shared" ca="1" si="95"/>
        <v>0</v>
      </c>
      <c r="BD312" s="1286">
        <f t="shared" ca="1" si="95"/>
        <v>0</v>
      </c>
      <c r="BE312" s="1286">
        <f t="shared" ca="1" si="95"/>
        <v>0</v>
      </c>
      <c r="BF312" s="1286">
        <f t="shared" ca="1" si="95"/>
        <v>0</v>
      </c>
      <c r="BG312" s="1286">
        <f t="shared" ca="1" si="95"/>
        <v>0</v>
      </c>
      <c r="BH312" s="1286">
        <f t="shared" ca="1" si="95"/>
        <v>0</v>
      </c>
      <c r="BI312" s="1286">
        <f t="shared" ca="1" si="95"/>
        <v>0</v>
      </c>
      <c r="BJ312" s="1287"/>
    </row>
    <row r="313" spans="1:62">
      <c r="B313" s="1284"/>
      <c r="C313" s="1285" t="s">
        <v>12</v>
      </c>
      <c r="D313" s="1285" t="str">
        <f>INDEX(Vectors[Description], MATCH($C313, Vectors[Code], 0))</f>
        <v>Hydro</v>
      </c>
      <c r="E313" s="1285">
        <f t="shared" si="88"/>
        <v>0</v>
      </c>
      <c r="F313" s="1286">
        <f t="shared" si="88"/>
        <v>0</v>
      </c>
      <c r="G313" s="1286"/>
      <c r="H313" s="1286"/>
      <c r="I313" s="1286"/>
      <c r="J313" s="1286"/>
      <c r="K313" s="1286"/>
      <c r="L313" s="1286"/>
      <c r="M313" s="1286"/>
      <c r="N313" s="1286"/>
      <c r="O313" s="1286"/>
      <c r="P313" s="1286"/>
      <c r="Q313" s="1286"/>
      <c r="R313" s="1286"/>
      <c r="S313" s="1286"/>
      <c r="T313" s="1286"/>
      <c r="U313" s="1286"/>
      <c r="V313" s="1286"/>
      <c r="W313" s="1286"/>
      <c r="X313" s="1286"/>
      <c r="Y313" s="1286"/>
      <c r="Z313" s="1286"/>
      <c r="AA313" s="1286"/>
      <c r="AB313" s="1286"/>
      <c r="AC313" s="1286"/>
      <c r="AD313" s="1286"/>
      <c r="AE313" s="1286"/>
      <c r="AF313" s="1286"/>
      <c r="AG313" s="1286"/>
      <c r="AH313" s="1286"/>
      <c r="AI313" s="1286"/>
      <c r="AJ313" s="1286"/>
      <c r="AK313" s="1286"/>
      <c r="AL313" s="1286"/>
      <c r="AM313" s="1286"/>
      <c r="AN313" s="1286"/>
      <c r="AO313" s="1286"/>
      <c r="AP313" s="1286"/>
      <c r="AQ313" s="1286"/>
      <c r="AR313" s="1286"/>
      <c r="AS313" s="1286"/>
      <c r="AT313" s="1286"/>
      <c r="AU313" s="1286"/>
      <c r="AV313" s="1286"/>
      <c r="AW313" s="1286"/>
      <c r="AX313" s="1286">
        <f t="shared" si="89"/>
        <v>0</v>
      </c>
      <c r="AY313" s="1286">
        <f t="shared" ca="1" si="89"/>
        <v>128.51059438799999</v>
      </c>
      <c r="AZ313" s="1286"/>
      <c r="BA313" s="1286">
        <f t="shared" ref="BA313:BI313" ca="1" si="96">BA60</f>
        <v>155.84385898800002</v>
      </c>
      <c r="BB313" s="1286">
        <f t="shared" ca="1" si="96"/>
        <v>189.41763898800005</v>
      </c>
      <c r="BC313" s="1286">
        <f t="shared" ca="1" si="96"/>
        <v>195.75107398800003</v>
      </c>
      <c r="BD313" s="1286">
        <f t="shared" ca="1" si="96"/>
        <v>199.56428398800003</v>
      </c>
      <c r="BE313" s="1286">
        <f t="shared" ca="1" si="96"/>
        <v>203.46515398800005</v>
      </c>
      <c r="BF313" s="1286">
        <f t="shared" ca="1" si="96"/>
        <v>205.43750398800003</v>
      </c>
      <c r="BG313" s="1286">
        <f t="shared" ca="1" si="96"/>
        <v>205.71585955200004</v>
      </c>
      <c r="BH313" s="1286">
        <f t="shared" ca="1" si="96"/>
        <v>206.60431118400004</v>
      </c>
      <c r="BI313" s="1286">
        <f t="shared" ca="1" si="96"/>
        <v>207.19601618400003</v>
      </c>
      <c r="BJ313" s="1287"/>
    </row>
    <row r="314" spans="1:62">
      <c r="B314" s="1284"/>
      <c r="C314" s="1285" t="s">
        <v>47</v>
      </c>
      <c r="D314" s="1285" t="str">
        <f>INDEX(Vectors[Description], MATCH($C314, Vectors[Code], 0))</f>
        <v>Electricity oversupply (imports)</v>
      </c>
      <c r="E314" s="1285">
        <f>E61</f>
        <v>0</v>
      </c>
      <c r="F314" s="1286">
        <f>MAX(F61, 0)</f>
        <v>0</v>
      </c>
      <c r="G314" s="1286"/>
      <c r="H314" s="1286"/>
      <c r="I314" s="1286"/>
      <c r="J314" s="1286"/>
      <c r="K314" s="1286"/>
      <c r="L314" s="1286"/>
      <c r="M314" s="1286"/>
      <c r="N314" s="1286"/>
      <c r="O314" s="1286"/>
      <c r="P314" s="1286"/>
      <c r="Q314" s="1286"/>
      <c r="R314" s="1286"/>
      <c r="S314" s="1286"/>
      <c r="T314" s="1286"/>
      <c r="U314" s="1286"/>
      <c r="V314" s="1286"/>
      <c r="W314" s="1286"/>
      <c r="X314" s="1286"/>
      <c r="Y314" s="1286"/>
      <c r="Z314" s="1286"/>
      <c r="AA314" s="1286"/>
      <c r="AB314" s="1286"/>
      <c r="AC314" s="1286"/>
      <c r="AD314" s="1286"/>
      <c r="AE314" s="1286"/>
      <c r="AF314" s="1286"/>
      <c r="AG314" s="1286"/>
      <c r="AH314" s="1286"/>
      <c r="AI314" s="1286"/>
      <c r="AJ314" s="1286"/>
      <c r="AK314" s="1286"/>
      <c r="AL314" s="1286"/>
      <c r="AM314" s="1286"/>
      <c r="AN314" s="1286"/>
      <c r="AO314" s="1286"/>
      <c r="AP314" s="1286"/>
      <c r="AQ314" s="1286"/>
      <c r="AR314" s="1286"/>
      <c r="AS314" s="1286"/>
      <c r="AT314" s="1286"/>
      <c r="AU314" s="1286"/>
      <c r="AV314" s="1286"/>
      <c r="AW314" s="1286"/>
      <c r="AX314" s="1286">
        <f>MAX(AX61, 0)</f>
        <v>0</v>
      </c>
      <c r="AY314" s="1286">
        <f ca="1">MAX(AY61, 0)</f>
        <v>1</v>
      </c>
      <c r="AZ314" s="1286"/>
      <c r="BA314" s="1286">
        <f t="shared" ref="BA314:BI314" ca="1" si="97">MAX(BA61, 0)</f>
        <v>4.0000000000002274</v>
      </c>
      <c r="BB314" s="1286">
        <f t="shared" ca="1" si="97"/>
        <v>14.000000000000455</v>
      </c>
      <c r="BC314" s="1286">
        <f t="shared" ca="1" si="97"/>
        <v>21.000000000000227</v>
      </c>
      <c r="BD314" s="1286">
        <f t="shared" ca="1" si="97"/>
        <v>30.999999999999545</v>
      </c>
      <c r="BE314" s="1286">
        <f t="shared" ca="1" si="97"/>
        <v>39.999999999999545</v>
      </c>
      <c r="BF314" s="1286">
        <f t="shared" ca="1" si="97"/>
        <v>49</v>
      </c>
      <c r="BG314" s="1286">
        <f t="shared" ca="1" si="97"/>
        <v>55.000000000000909</v>
      </c>
      <c r="BH314" s="1286">
        <f t="shared" ca="1" si="97"/>
        <v>55.000000000000909</v>
      </c>
      <c r="BI314" s="1286">
        <f t="shared" ca="1" si="97"/>
        <v>55.000000000000909</v>
      </c>
      <c r="BJ314" s="1287"/>
    </row>
    <row r="315" spans="1:62">
      <c r="B315" s="1284"/>
      <c r="C315" s="1285" t="str">
        <f>C64</f>
        <v>R.07</v>
      </c>
      <c r="D315" s="1285" t="str">
        <f>D64</f>
        <v>Environmental heat</v>
      </c>
      <c r="E315" s="1285">
        <f>E64</f>
        <v>0</v>
      </c>
      <c r="F315" s="1286">
        <f>F64</f>
        <v>0</v>
      </c>
      <c r="G315" s="1286"/>
      <c r="H315" s="1286"/>
      <c r="I315" s="1286"/>
      <c r="J315" s="1286"/>
      <c r="K315" s="1286"/>
      <c r="L315" s="1286"/>
      <c r="M315" s="1286"/>
      <c r="N315" s="1286"/>
      <c r="O315" s="1286"/>
      <c r="P315" s="1286"/>
      <c r="Q315" s="1286"/>
      <c r="R315" s="1286"/>
      <c r="S315" s="1286"/>
      <c r="T315" s="1286"/>
      <c r="U315" s="1286"/>
      <c r="V315" s="1286"/>
      <c r="W315" s="1286"/>
      <c r="X315" s="1286"/>
      <c r="Y315" s="1286"/>
      <c r="Z315" s="1286"/>
      <c r="AA315" s="1286"/>
      <c r="AB315" s="1286"/>
      <c r="AC315" s="1286"/>
      <c r="AD315" s="1286"/>
      <c r="AE315" s="1286"/>
      <c r="AF315" s="1286"/>
      <c r="AG315" s="1286"/>
      <c r="AH315" s="1286"/>
      <c r="AI315" s="1286"/>
      <c r="AJ315" s="1286"/>
      <c r="AK315" s="1286"/>
      <c r="AL315" s="1286"/>
      <c r="AM315" s="1286"/>
      <c r="AN315" s="1286"/>
      <c r="AO315" s="1286"/>
      <c r="AP315" s="1286"/>
      <c r="AQ315" s="1286"/>
      <c r="AR315" s="1286"/>
      <c r="AS315" s="1286"/>
      <c r="AT315" s="1286"/>
      <c r="AU315" s="1286"/>
      <c r="AV315" s="1286"/>
      <c r="AW315" s="1286"/>
      <c r="AX315" s="1286">
        <f>AX64</f>
        <v>0</v>
      </c>
      <c r="AY315" s="1286">
        <f ca="1">AY64</f>
        <v>0</v>
      </c>
      <c r="AZ315" s="1286"/>
      <c r="BA315" s="1286">
        <f t="shared" ref="BA315:BI315" ca="1" si="98">BA64</f>
        <v>0</v>
      </c>
      <c r="BB315" s="1286">
        <f t="shared" ca="1" si="98"/>
        <v>0</v>
      </c>
      <c r="BC315" s="1286">
        <f t="shared" ca="1" si="98"/>
        <v>0</v>
      </c>
      <c r="BD315" s="1286">
        <f t="shared" ca="1" si="98"/>
        <v>0</v>
      </c>
      <c r="BE315" s="1286">
        <f t="shared" ca="1" si="98"/>
        <v>0</v>
      </c>
      <c r="BF315" s="1286">
        <f t="shared" ca="1" si="98"/>
        <v>0</v>
      </c>
      <c r="BG315" s="1286">
        <f t="shared" ca="1" si="98"/>
        <v>0</v>
      </c>
      <c r="BH315" s="1286">
        <f t="shared" ca="1" si="98"/>
        <v>0</v>
      </c>
      <c r="BI315" s="1286">
        <f t="shared" ca="1" si="98"/>
        <v>0</v>
      </c>
      <c r="BJ315" s="1287"/>
    </row>
    <row r="316" spans="1:62">
      <c r="B316" s="1284"/>
      <c r="C316" s="1285"/>
      <c r="D316" s="1285" t="s">
        <v>2037</v>
      </c>
      <c r="E316" s="1285">
        <f>E68</f>
        <v>0</v>
      </c>
      <c r="F316" s="1286">
        <f>F68</f>
        <v>0</v>
      </c>
      <c r="G316" s="1286"/>
      <c r="H316" s="1286"/>
      <c r="I316" s="1286"/>
      <c r="J316" s="1286"/>
      <c r="K316" s="1286"/>
      <c r="L316" s="1286"/>
      <c r="M316" s="1286"/>
      <c r="N316" s="1286"/>
      <c r="O316" s="1286"/>
      <c r="P316" s="1286"/>
      <c r="Q316" s="1286"/>
      <c r="R316" s="1286"/>
      <c r="S316" s="1286"/>
      <c r="T316" s="1286"/>
      <c r="U316" s="1286"/>
      <c r="V316" s="1286"/>
      <c r="W316" s="1286"/>
      <c r="X316" s="1286"/>
      <c r="Y316" s="1286"/>
      <c r="Z316" s="1286"/>
      <c r="AA316" s="1286"/>
      <c r="AB316" s="1286"/>
      <c r="AC316" s="1286"/>
      <c r="AD316" s="1286"/>
      <c r="AE316" s="1286"/>
      <c r="AF316" s="1286"/>
      <c r="AG316" s="1286"/>
      <c r="AH316" s="1286"/>
      <c r="AI316" s="1286"/>
      <c r="AJ316" s="1286"/>
      <c r="AK316" s="1286"/>
      <c r="AL316" s="1286"/>
      <c r="AM316" s="1286"/>
      <c r="AN316" s="1286"/>
      <c r="AO316" s="1286"/>
      <c r="AP316" s="1286"/>
      <c r="AQ316" s="1286"/>
      <c r="AR316" s="1286"/>
      <c r="AS316" s="1286"/>
      <c r="AT316" s="1286"/>
      <c r="AU316" s="1286"/>
      <c r="AV316" s="1286"/>
      <c r="AW316" s="1286"/>
      <c r="AX316" s="1286">
        <f>AX68</f>
        <v>0</v>
      </c>
      <c r="AY316" s="1286">
        <f ca="1">AY68</f>
        <v>946.41133333333335</v>
      </c>
      <c r="AZ316" s="1286"/>
      <c r="BA316" s="1286">
        <f t="shared" ref="BA316:BI316" ca="1" si="99">BA68</f>
        <v>958.84700020581943</v>
      </c>
      <c r="BB316" s="1286">
        <f t="shared" ca="1" si="99"/>
        <v>961.86501892823412</v>
      </c>
      <c r="BC316" s="1286">
        <f t="shared" ca="1" si="99"/>
        <v>965.66647208418749</v>
      </c>
      <c r="BD316" s="1286">
        <f t="shared" ca="1" si="99"/>
        <v>970.41610129726416</v>
      </c>
      <c r="BE316" s="1286">
        <f t="shared" ca="1" si="99"/>
        <v>976.35563211308579</v>
      </c>
      <c r="BF316" s="1286">
        <f t="shared" ca="1" si="99"/>
        <v>982.93217802676475</v>
      </c>
      <c r="BG316" s="1286">
        <f t="shared" ca="1" si="99"/>
        <v>987.4628060370934</v>
      </c>
      <c r="BH316" s="1286">
        <f t="shared" ca="1" si="99"/>
        <v>993.13453402916116</v>
      </c>
      <c r="BI316" s="1286">
        <f t="shared" ca="1" si="99"/>
        <v>1000.8691636138399</v>
      </c>
      <c r="BJ316" s="1287"/>
    </row>
    <row r="317" spans="1:62">
      <c r="B317" s="1284"/>
      <c r="C317" s="1285"/>
      <c r="D317" s="1285" t="str">
        <f>D71</f>
        <v>Coal</v>
      </c>
      <c r="E317" s="1285">
        <f>E71</f>
        <v>0</v>
      </c>
      <c r="F317" s="1286">
        <f>MAX(F71,0)</f>
        <v>0</v>
      </c>
      <c r="G317" s="1286"/>
      <c r="H317" s="1286"/>
      <c r="I317" s="1286"/>
      <c r="J317" s="1286"/>
      <c r="K317" s="1286"/>
      <c r="L317" s="1286"/>
      <c r="M317" s="1286"/>
      <c r="N317" s="1286"/>
      <c r="O317" s="1286"/>
      <c r="P317" s="1286"/>
      <c r="Q317" s="1286"/>
      <c r="R317" s="1286"/>
      <c r="S317" s="1286"/>
      <c r="T317" s="1286"/>
      <c r="U317" s="1286"/>
      <c r="V317" s="1286"/>
      <c r="W317" s="1286"/>
      <c r="X317" s="1286"/>
      <c r="Y317" s="1286"/>
      <c r="Z317" s="1286"/>
      <c r="AA317" s="1286"/>
      <c r="AB317" s="1286"/>
      <c r="AC317" s="1286"/>
      <c r="AD317" s="1286"/>
      <c r="AE317" s="1286"/>
      <c r="AF317" s="1286"/>
      <c r="AG317" s="1286"/>
      <c r="AH317" s="1286"/>
      <c r="AI317" s="1286"/>
      <c r="AJ317" s="1286"/>
      <c r="AK317" s="1286"/>
      <c r="AL317" s="1286"/>
      <c r="AM317" s="1286"/>
      <c r="AN317" s="1286"/>
      <c r="AO317" s="1286"/>
      <c r="AP317" s="1286"/>
      <c r="AQ317" s="1286"/>
      <c r="AR317" s="1286"/>
      <c r="AS317" s="1286"/>
      <c r="AT317" s="1286"/>
      <c r="AU317" s="1286"/>
      <c r="AV317" s="1286"/>
      <c r="AW317" s="1286"/>
      <c r="AX317" s="1286">
        <f>MAX(AX71,0)</f>
        <v>0</v>
      </c>
      <c r="AY317" s="1286">
        <f ca="1">AY71</f>
        <v>2316.2462455929053</v>
      </c>
      <c r="AZ317" s="1286"/>
      <c r="BA317" s="1286">
        <f t="shared" ref="BA317:BI317" ca="1" si="100">BA71</f>
        <v>3238.2489822140624</v>
      </c>
      <c r="BB317" s="1286">
        <f t="shared" ca="1" si="100"/>
        <v>4492.7367614435316</v>
      </c>
      <c r="BC317" s="1286">
        <f t="shared" ca="1" si="100"/>
        <v>6652.3651747013391</v>
      </c>
      <c r="BD317" s="1286">
        <f t="shared" ca="1" si="100"/>
        <v>9337.4357162545803</v>
      </c>
      <c r="BE317" s="1286">
        <f t="shared" ca="1" si="100"/>
        <v>12807.871055210169</v>
      </c>
      <c r="BF317" s="1286">
        <f t="shared" ca="1" si="100"/>
        <v>16014.06130301861</v>
      </c>
      <c r="BG317" s="1286">
        <f t="shared" ca="1" si="100"/>
        <v>19519.972798371477</v>
      </c>
      <c r="BH317" s="1286">
        <f t="shared" ca="1" si="100"/>
        <v>22648.081872617422</v>
      </c>
      <c r="BI317" s="1286">
        <f t="shared" ca="1" si="100"/>
        <v>26136.766339922484</v>
      </c>
      <c r="BJ317" s="1287"/>
    </row>
    <row r="318" spans="1:62">
      <c r="B318" s="1284"/>
      <c r="C318" s="1285"/>
      <c r="D318" s="1285" t="s">
        <v>110</v>
      </c>
      <c r="E318" s="1285">
        <f>E74</f>
        <v>0</v>
      </c>
      <c r="F318" s="1286">
        <f>F74</f>
        <v>0</v>
      </c>
      <c r="G318" s="1286"/>
      <c r="H318" s="1286"/>
      <c r="I318" s="1286"/>
      <c r="J318" s="1286"/>
      <c r="K318" s="1286"/>
      <c r="L318" s="1286"/>
      <c r="M318" s="1286"/>
      <c r="N318" s="1286"/>
      <c r="O318" s="1286"/>
      <c r="P318" s="1286"/>
      <c r="Q318" s="1286"/>
      <c r="R318" s="1286"/>
      <c r="S318" s="1286"/>
      <c r="T318" s="1286"/>
      <c r="U318" s="1286"/>
      <c r="V318" s="1286"/>
      <c r="W318" s="1286"/>
      <c r="X318" s="1286"/>
      <c r="Y318" s="1286"/>
      <c r="Z318" s="1286"/>
      <c r="AA318" s="1286"/>
      <c r="AB318" s="1286"/>
      <c r="AC318" s="1286"/>
      <c r="AD318" s="1286"/>
      <c r="AE318" s="1286"/>
      <c r="AF318" s="1286"/>
      <c r="AG318" s="1286"/>
      <c r="AH318" s="1286"/>
      <c r="AI318" s="1286"/>
      <c r="AJ318" s="1286"/>
      <c r="AK318" s="1286"/>
      <c r="AL318" s="1286"/>
      <c r="AM318" s="1286"/>
      <c r="AN318" s="1286"/>
      <c r="AO318" s="1286"/>
      <c r="AP318" s="1286"/>
      <c r="AQ318" s="1286"/>
      <c r="AR318" s="1286"/>
      <c r="AS318" s="1286"/>
      <c r="AT318" s="1286"/>
      <c r="AU318" s="1286"/>
      <c r="AV318" s="1286"/>
      <c r="AW318" s="1286"/>
      <c r="AX318" s="1286">
        <f>AX74</f>
        <v>0</v>
      </c>
      <c r="AY318" s="1286">
        <f ca="1">AY74</f>
        <v>1612.6260395924837</v>
      </c>
      <c r="AZ318" s="1286"/>
      <c r="BA318" s="1286">
        <f t="shared" ref="BA318:BI318" ca="1" si="101">BA74</f>
        <v>1909.5772800259967</v>
      </c>
      <c r="BB318" s="1286">
        <f t="shared" ca="1" si="101"/>
        <v>2580.7414083504682</v>
      </c>
      <c r="BC318" s="1286">
        <f t="shared" ca="1" si="101"/>
        <v>3461.0760192506468</v>
      </c>
      <c r="BD318" s="1286">
        <f t="shared" ca="1" si="101"/>
        <v>4507.4722912926109</v>
      </c>
      <c r="BE318" s="1286">
        <f t="shared" ca="1" si="101"/>
        <v>5733.5036530053567</v>
      </c>
      <c r="BF318" s="1286">
        <f t="shared" ca="1" si="101"/>
        <v>7104.9780416879994</v>
      </c>
      <c r="BG318" s="1286">
        <f t="shared" ca="1" si="101"/>
        <v>8497.5521704450966</v>
      </c>
      <c r="BH318" s="1286">
        <f t="shared" ca="1" si="101"/>
        <v>10064.421013056954</v>
      </c>
      <c r="BI318" s="1286">
        <f t="shared" ca="1" si="101"/>
        <v>11740.454555189404</v>
      </c>
      <c r="BJ318" s="1287"/>
    </row>
    <row r="319" spans="1:62">
      <c r="B319" s="1284"/>
      <c r="C319" s="1285"/>
      <c r="D319" s="1285" t="str">
        <f t="shared" ref="D319:F320" si="102">D77</f>
        <v>Natural gas</v>
      </c>
      <c r="E319" s="1285">
        <f t="shared" si="102"/>
        <v>0</v>
      </c>
      <c r="F319" s="1286">
        <f t="shared" si="102"/>
        <v>0</v>
      </c>
      <c r="G319" s="1286"/>
      <c r="H319" s="1286"/>
      <c r="I319" s="1286"/>
      <c r="J319" s="1286"/>
      <c r="K319" s="1286"/>
      <c r="L319" s="1286"/>
      <c r="M319" s="1286"/>
      <c r="N319" s="1286"/>
      <c r="O319" s="1286"/>
      <c r="P319" s="1286"/>
      <c r="Q319" s="1286"/>
      <c r="R319" s="1286"/>
      <c r="S319" s="1286"/>
      <c r="T319" s="1286"/>
      <c r="U319" s="1286"/>
      <c r="V319" s="1286"/>
      <c r="W319" s="1286"/>
      <c r="X319" s="1286"/>
      <c r="Y319" s="1286"/>
      <c r="Z319" s="1286"/>
      <c r="AA319" s="1286"/>
      <c r="AB319" s="1286"/>
      <c r="AC319" s="1286"/>
      <c r="AD319" s="1286"/>
      <c r="AE319" s="1286"/>
      <c r="AF319" s="1286"/>
      <c r="AG319" s="1286"/>
      <c r="AH319" s="1286"/>
      <c r="AI319" s="1286"/>
      <c r="AJ319" s="1286"/>
      <c r="AK319" s="1286"/>
      <c r="AL319" s="1286"/>
      <c r="AM319" s="1286"/>
      <c r="AN319" s="1286"/>
      <c r="AO319" s="1286"/>
      <c r="AP319" s="1286"/>
      <c r="AQ319" s="1286"/>
      <c r="AR319" s="1286"/>
      <c r="AS319" s="1286"/>
      <c r="AT319" s="1286"/>
      <c r="AU319" s="1286"/>
      <c r="AV319" s="1286"/>
      <c r="AW319" s="1286"/>
      <c r="AX319" s="1286">
        <f>AX77</f>
        <v>0</v>
      </c>
      <c r="AY319" s="1286">
        <f ca="1">AY77</f>
        <v>450.37586718740386</v>
      </c>
      <c r="AZ319" s="1286"/>
      <c r="BA319" s="1286">
        <f t="shared" ref="BA319:BI319" ca="1" si="103">BA77</f>
        <v>607.99706212180251</v>
      </c>
      <c r="BB319" s="1286">
        <f t="shared" ca="1" si="103"/>
        <v>954.37407948436692</v>
      </c>
      <c r="BC319" s="1286">
        <f t="shared" ca="1" si="103"/>
        <v>1129.3893445499402</v>
      </c>
      <c r="BD319" s="1286">
        <f t="shared" ca="1" si="103"/>
        <v>1306.3655615252346</v>
      </c>
      <c r="BE319" s="1286">
        <f t="shared" ca="1" si="103"/>
        <v>1524.5511448106251</v>
      </c>
      <c r="BF319" s="1286">
        <f t="shared" ca="1" si="103"/>
        <v>1771.6776988819261</v>
      </c>
      <c r="BG319" s="1286">
        <f t="shared" ca="1" si="103"/>
        <v>2046.6620023011292</v>
      </c>
      <c r="BH319" s="1286">
        <f t="shared" ca="1" si="103"/>
        <v>2346.3840289711452</v>
      </c>
      <c r="BI319" s="1286">
        <f t="shared" ca="1" si="103"/>
        <v>2682.6666261638215</v>
      </c>
      <c r="BJ319" s="1287"/>
    </row>
    <row r="320" spans="1:62">
      <c r="B320" s="1284"/>
      <c r="C320" s="1285"/>
      <c r="D320" s="1288" t="str">
        <f t="shared" si="102"/>
        <v>Total Primary Supply</v>
      </c>
      <c r="E320" s="1285">
        <f t="shared" si="102"/>
        <v>0</v>
      </c>
      <c r="F320" s="1289">
        <f t="shared" si="102"/>
        <v>0</v>
      </c>
      <c r="G320" s="1289"/>
      <c r="H320" s="1289"/>
      <c r="I320" s="1289"/>
      <c r="J320" s="1289"/>
      <c r="K320" s="1289"/>
      <c r="L320" s="1289"/>
      <c r="M320" s="1289"/>
      <c r="N320" s="1289"/>
      <c r="O320" s="1289"/>
      <c r="P320" s="1289"/>
      <c r="Q320" s="1289"/>
      <c r="R320" s="1289"/>
      <c r="S320" s="1289"/>
      <c r="T320" s="1289"/>
      <c r="U320" s="1289"/>
      <c r="V320" s="1289"/>
      <c r="W320" s="1289"/>
      <c r="X320" s="1289"/>
      <c r="Y320" s="1289"/>
      <c r="Z320" s="1289"/>
      <c r="AA320" s="1289"/>
      <c r="AB320" s="1289"/>
      <c r="AC320" s="1289"/>
      <c r="AD320" s="1289"/>
      <c r="AE320" s="1289"/>
      <c r="AF320" s="1289"/>
      <c r="AG320" s="1289"/>
      <c r="AH320" s="1289"/>
      <c r="AI320" s="1289"/>
      <c r="AJ320" s="1289"/>
      <c r="AK320" s="1289"/>
      <c r="AL320" s="1289"/>
      <c r="AM320" s="1289"/>
      <c r="AN320" s="1289"/>
      <c r="AO320" s="1289"/>
      <c r="AP320" s="1289"/>
      <c r="AQ320" s="1289"/>
      <c r="AR320" s="1289"/>
      <c r="AS320" s="1289"/>
      <c r="AT320" s="1289"/>
      <c r="AU320" s="1289"/>
      <c r="AV320" s="1289"/>
      <c r="AW320" s="1289"/>
      <c r="AX320" s="1289">
        <f>AX78</f>
        <v>0</v>
      </c>
      <c r="AY320" s="1289">
        <f ca="1">AY78</f>
        <v>5548.5550119335549</v>
      </c>
      <c r="AZ320" s="1289"/>
      <c r="BA320" s="1289">
        <f t="shared" ref="BA320:BI320" ca="1" si="104">BA78</f>
        <v>6988.574860214595</v>
      </c>
      <c r="BB320" s="1289">
        <f t="shared" ca="1" si="104"/>
        <v>9440.704159625695</v>
      </c>
      <c r="BC320" s="1289">
        <f t="shared" ca="1" si="104"/>
        <v>12706.133943321098</v>
      </c>
      <c r="BD320" s="1289">
        <f t="shared" ca="1" si="104"/>
        <v>16679.37627136079</v>
      </c>
      <c r="BE320" s="1289">
        <f t="shared" ca="1" si="104"/>
        <v>21665.184662361986</v>
      </c>
      <c r="BF320" s="1289">
        <f t="shared" ca="1" si="104"/>
        <v>26542.436827315214</v>
      </c>
      <c r="BG320" s="1289">
        <f t="shared" ca="1" si="104"/>
        <v>31748.460261156637</v>
      </c>
      <c r="BH320" s="1289">
        <f t="shared" ca="1" si="104"/>
        <v>36749.063932542187</v>
      </c>
      <c r="BI320" s="1289">
        <f t="shared" ca="1" si="104"/>
        <v>42245.521261734444</v>
      </c>
      <c r="BJ320" s="1287"/>
    </row>
    <row r="321" spans="2:65">
      <c r="B321" s="1284"/>
      <c r="C321" s="1285"/>
      <c r="D321" s="1285" t="s">
        <v>2080</v>
      </c>
      <c r="E321" s="1285"/>
      <c r="F321" s="1290">
        <f>MAX(0,F61)+MAX(0,F67)+MAX(0,F69)+MAX(0,F73)+MAX(0,F75)+F54</f>
        <v>0</v>
      </c>
      <c r="G321" s="1290"/>
      <c r="H321" s="1290"/>
      <c r="I321" s="1290"/>
      <c r="J321" s="1290"/>
      <c r="K321" s="1290"/>
      <c r="L321" s="1290"/>
      <c r="M321" s="1290"/>
      <c r="N321" s="1290"/>
      <c r="O321" s="1290"/>
      <c r="P321" s="1290"/>
      <c r="Q321" s="1290"/>
      <c r="R321" s="1290"/>
      <c r="S321" s="1290"/>
      <c r="T321" s="1290"/>
      <c r="U321" s="1290"/>
      <c r="V321" s="1290"/>
      <c r="W321" s="1290"/>
      <c r="X321" s="1290"/>
      <c r="Y321" s="1290"/>
      <c r="Z321" s="1290"/>
      <c r="AA321" s="1290"/>
      <c r="AB321" s="1290"/>
      <c r="AC321" s="1290"/>
      <c r="AD321" s="1290"/>
      <c r="AE321" s="1290"/>
      <c r="AF321" s="1290"/>
      <c r="AG321" s="1290"/>
      <c r="AH321" s="1290"/>
      <c r="AI321" s="1290"/>
      <c r="AJ321" s="1290"/>
      <c r="AK321" s="1290"/>
      <c r="AL321" s="1290"/>
      <c r="AM321" s="1290"/>
      <c r="AN321" s="1290"/>
      <c r="AO321" s="1290"/>
      <c r="AP321" s="1290"/>
      <c r="AQ321" s="1290"/>
      <c r="AR321" s="1290"/>
      <c r="AS321" s="1290"/>
      <c r="AT321" s="1290"/>
      <c r="AU321" s="1290"/>
      <c r="AV321" s="1290"/>
      <c r="AW321" s="1290"/>
      <c r="AX321" s="1290">
        <f>MAX(0,AX61)+MAX(0,AX67)+MAX(0,AX69)+MAX(0,AX73)+MAX(0,AX75)</f>
        <v>0</v>
      </c>
      <c r="AY321" s="1290">
        <f ca="1">MAX(0,AY61)+MAX(0,AY67)+MAX(0,AY69)+MAX(0,AY73)+MAX(0,AY75)+AY54</f>
        <v>1766.0046484442212</v>
      </c>
      <c r="AZ321" s="1290"/>
      <c r="BA321" s="1290">
        <f t="shared" ref="BA321:BI321" ca="1" si="105">MAX(0,BA61)+MAX(0,BA67)+MAX(0,BA69)+MAX(0,BA73)+MAX(0,BA75)+BA54</f>
        <v>2257.0221861475761</v>
      </c>
      <c r="BB321" s="1290">
        <f t="shared" ca="1" si="105"/>
        <v>4111.112413098982</v>
      </c>
      <c r="BC321" s="1290">
        <f t="shared" ca="1" si="105"/>
        <v>6917.8501700579873</v>
      </c>
      <c r="BD321" s="1290">
        <f t="shared" ca="1" si="105"/>
        <v>10510.055990600831</v>
      </c>
      <c r="BE321" s="1290">
        <f t="shared" ca="1" si="105"/>
        <v>15292.611416418711</v>
      </c>
      <c r="BF321" s="1290">
        <f t="shared" ca="1" si="105"/>
        <v>20012.648543574265</v>
      </c>
      <c r="BG321" s="1290">
        <f t="shared" ca="1" si="105"/>
        <v>25764.84661723821</v>
      </c>
      <c r="BH321" s="1290">
        <f t="shared" ca="1" si="105"/>
        <v>31232.867757917629</v>
      </c>
      <c r="BI321" s="1290">
        <f t="shared" ca="1" si="105"/>
        <v>37142.170306654822</v>
      </c>
      <c r="BJ321" s="1287"/>
    </row>
    <row r="322" spans="2:65">
      <c r="B322" s="1284"/>
      <c r="C322" s="1285"/>
      <c r="D322" s="1285"/>
      <c r="E322" s="1285"/>
      <c r="F322" s="1290"/>
      <c r="G322" s="1290"/>
      <c r="H322" s="1290"/>
      <c r="I322" s="1290"/>
      <c r="J322" s="1290"/>
      <c r="K322" s="1290"/>
      <c r="L322" s="1290"/>
      <c r="M322" s="1290"/>
      <c r="N322" s="1290"/>
      <c r="O322" s="1290"/>
      <c r="P322" s="1290"/>
      <c r="Q322" s="1290"/>
      <c r="R322" s="1290"/>
      <c r="S322" s="1290"/>
      <c r="T322" s="1290"/>
      <c r="U322" s="1290"/>
      <c r="V322" s="1290"/>
      <c r="W322" s="1290"/>
      <c r="X322" s="1290"/>
      <c r="Y322" s="1290"/>
      <c r="Z322" s="1290"/>
      <c r="AA322" s="1290"/>
      <c r="AB322" s="1290"/>
      <c r="AC322" s="1290"/>
      <c r="AD322" s="1290"/>
      <c r="AE322" s="1290"/>
      <c r="AF322" s="1290"/>
      <c r="AG322" s="1290"/>
      <c r="AH322" s="1290"/>
      <c r="AI322" s="1290"/>
      <c r="AJ322" s="1290"/>
      <c r="AK322" s="1290"/>
      <c r="AL322" s="1290"/>
      <c r="AM322" s="1290"/>
      <c r="AN322" s="1290"/>
      <c r="AO322" s="1290"/>
      <c r="AP322" s="1290"/>
      <c r="AQ322" s="1290"/>
      <c r="AR322" s="1290"/>
      <c r="AS322" s="1290"/>
      <c r="AT322" s="1290"/>
      <c r="AU322" s="1290"/>
      <c r="AV322" s="1290"/>
      <c r="AW322" s="1290"/>
      <c r="AX322" s="1290"/>
      <c r="AY322" s="1290"/>
      <c r="AZ322" s="1290"/>
      <c r="BA322" s="1290"/>
      <c r="BB322" s="1290"/>
      <c r="BC322" s="1290"/>
      <c r="BD322" s="1290"/>
      <c r="BE322" s="1290"/>
      <c r="BF322" s="1290"/>
      <c r="BG322" s="1290"/>
      <c r="BH322" s="1290" t="s">
        <v>1191</v>
      </c>
      <c r="BI322" s="1291">
        <f ca="1">BI321/BI320</f>
        <v>0.87919782257007717</v>
      </c>
      <c r="BJ322" s="1287"/>
    </row>
    <row r="323" spans="2:65">
      <c r="B323" s="1284"/>
      <c r="C323" s="1285"/>
      <c r="D323" s="1285" t="s">
        <v>1192</v>
      </c>
      <c r="E323" s="1285"/>
      <c r="F323" s="1290"/>
      <c r="G323" s="1290"/>
      <c r="H323" s="1290"/>
      <c r="I323" s="1290"/>
      <c r="J323" s="1290"/>
      <c r="K323" s="1290"/>
      <c r="L323" s="1290"/>
      <c r="M323" s="1290"/>
      <c r="N323" s="1290"/>
      <c r="O323" s="1290"/>
      <c r="P323" s="1290"/>
      <c r="Q323" s="1290"/>
      <c r="R323" s="1290"/>
      <c r="S323" s="1290"/>
      <c r="T323" s="1290"/>
      <c r="U323" s="1290"/>
      <c r="V323" s="1290"/>
      <c r="W323" s="1290"/>
      <c r="X323" s="1290"/>
      <c r="Y323" s="1290"/>
      <c r="Z323" s="1290"/>
      <c r="AA323" s="1290"/>
      <c r="AB323" s="1290"/>
      <c r="AC323" s="1290"/>
      <c r="AD323" s="1290"/>
      <c r="AE323" s="1290"/>
      <c r="AF323" s="1290"/>
      <c r="AG323" s="1290"/>
      <c r="AH323" s="1290"/>
      <c r="AI323" s="1290"/>
      <c r="AJ323" s="1290"/>
      <c r="AK323" s="1290"/>
      <c r="AL323" s="1290"/>
      <c r="AM323" s="1290"/>
      <c r="AN323" s="1290"/>
      <c r="AO323" s="1290"/>
      <c r="AP323" s="1290"/>
      <c r="AQ323" s="1290"/>
      <c r="AR323" s="1290"/>
      <c r="AS323" s="1290"/>
      <c r="AT323" s="1290"/>
      <c r="AU323" s="1290"/>
      <c r="AV323" s="1290"/>
      <c r="AW323" s="1290"/>
      <c r="AX323" s="1290">
        <f>AX21+AX114+AX115</f>
        <v>0</v>
      </c>
      <c r="AY323" s="1290">
        <f ca="1">AY21+AY114+AY115</f>
        <v>5548.5550119335549</v>
      </c>
      <c r="AZ323" s="1290"/>
      <c r="BA323" s="1290">
        <f t="shared" ref="BA323:BI323" ca="1" si="106">BA21+BA114+BA115</f>
        <v>6988.574860214595</v>
      </c>
      <c r="BB323" s="1290">
        <f t="shared" ca="1" si="106"/>
        <v>9440.704159625695</v>
      </c>
      <c r="BC323" s="1290">
        <f t="shared" ca="1" si="106"/>
        <v>12706.133943321096</v>
      </c>
      <c r="BD323" s="1290">
        <f t="shared" ca="1" si="106"/>
        <v>16679.376271360794</v>
      </c>
      <c r="BE323" s="1290">
        <f t="shared" ca="1" si="106"/>
        <v>21665.184662361982</v>
      </c>
      <c r="BF323" s="1290">
        <f t="shared" ca="1" si="106"/>
        <v>26542.436827315214</v>
      </c>
      <c r="BG323" s="1290">
        <f t="shared" ca="1" si="106"/>
        <v>31748.460261156637</v>
      </c>
      <c r="BH323" s="1290">
        <f t="shared" ca="1" si="106"/>
        <v>36749.063932542187</v>
      </c>
      <c r="BI323" s="1290">
        <f t="shared" ca="1" si="106"/>
        <v>42245.521261734444</v>
      </c>
      <c r="BJ323" s="1287"/>
    </row>
    <row r="324" spans="2:65">
      <c r="B324" s="1284"/>
      <c r="C324" s="1285"/>
      <c r="D324" s="1285"/>
      <c r="E324" s="1285"/>
      <c r="F324" s="1290"/>
      <c r="G324" s="1290"/>
      <c r="H324" s="1290"/>
      <c r="I324" s="1290"/>
      <c r="J324" s="1290"/>
      <c r="K324" s="1290"/>
      <c r="L324" s="1290"/>
      <c r="M324" s="1290"/>
      <c r="N324" s="1290"/>
      <c r="O324" s="1290"/>
      <c r="P324" s="1290"/>
      <c r="Q324" s="1290"/>
      <c r="R324" s="1290"/>
      <c r="S324" s="1290"/>
      <c r="T324" s="1290"/>
      <c r="U324" s="1290"/>
      <c r="V324" s="1290"/>
      <c r="W324" s="1290"/>
      <c r="X324" s="1290"/>
      <c r="Y324" s="1290"/>
      <c r="Z324" s="1290"/>
      <c r="AA324" s="1290"/>
      <c r="AB324" s="1290"/>
      <c r="AC324" s="1290"/>
      <c r="AD324" s="1290"/>
      <c r="AE324" s="1290"/>
      <c r="AF324" s="1290"/>
      <c r="AG324" s="1290"/>
      <c r="AH324" s="1290"/>
      <c r="AI324" s="1290"/>
      <c r="AJ324" s="1290"/>
      <c r="AK324" s="1290"/>
      <c r="AL324" s="1290"/>
      <c r="AM324" s="1290"/>
      <c r="AN324" s="1290"/>
      <c r="AO324" s="1290"/>
      <c r="AP324" s="1290"/>
      <c r="AQ324" s="1290"/>
      <c r="AR324" s="1290"/>
      <c r="AS324" s="1290"/>
      <c r="AT324" s="1290"/>
      <c r="AU324" s="1290"/>
      <c r="AV324" s="1290"/>
      <c r="AW324" s="1290"/>
      <c r="AX324" s="1290"/>
      <c r="AY324" s="1290"/>
      <c r="AZ324" s="1290"/>
      <c r="BA324" s="1290"/>
      <c r="BB324" s="1290"/>
      <c r="BC324" s="1290"/>
      <c r="BD324" s="1290"/>
      <c r="BE324" s="1290"/>
      <c r="BF324" s="1290"/>
      <c r="BG324" s="1290"/>
      <c r="BH324" s="1290"/>
      <c r="BI324" s="1290"/>
      <c r="BJ324" s="1287"/>
    </row>
    <row r="325" spans="2:65">
      <c r="B325" s="1284"/>
      <c r="F325" s="310"/>
      <c r="G325" s="310"/>
      <c r="H325" s="310"/>
      <c r="I325" s="310"/>
      <c r="J325" s="310"/>
      <c r="K325" s="310"/>
      <c r="L325" s="310"/>
      <c r="M325" s="310"/>
      <c r="N325" s="310"/>
      <c r="O325" s="310"/>
      <c r="P325" s="310"/>
      <c r="Q325" s="310"/>
      <c r="R325" s="310"/>
      <c r="S325" s="310"/>
      <c r="T325" s="310"/>
      <c r="U325" s="310"/>
      <c r="V325" s="310"/>
      <c r="W325" s="310"/>
      <c r="X325" s="310"/>
      <c r="Y325" s="310"/>
      <c r="Z325" s="310"/>
      <c r="AA325" s="310"/>
      <c r="AB325" s="310"/>
      <c r="AC325" s="310"/>
      <c r="AD325" s="310"/>
      <c r="AE325" s="310"/>
      <c r="AF325" s="310"/>
      <c r="AG325" s="310"/>
      <c r="AH325" s="310"/>
      <c r="AI325" s="310"/>
      <c r="AJ325" s="310"/>
      <c r="AK325" s="310"/>
      <c r="AL325" s="310"/>
      <c r="AM325" s="310"/>
      <c r="AN325" s="310"/>
      <c r="AO325" s="310"/>
      <c r="AP325" s="310"/>
      <c r="AQ325" s="310"/>
      <c r="AR325" s="310"/>
      <c r="AS325" s="310"/>
      <c r="AT325" s="310"/>
      <c r="AU325" s="310"/>
      <c r="AV325" s="310"/>
      <c r="AW325" s="310"/>
      <c r="AX325" s="310"/>
      <c r="AY325" s="310"/>
      <c r="AZ325" s="310"/>
      <c r="BA325" s="310"/>
      <c r="BB325" s="310"/>
      <c r="BC325" s="310"/>
      <c r="BD325" s="310"/>
      <c r="BE325" s="310"/>
      <c r="BF325" s="310"/>
      <c r="BG325" s="310"/>
      <c r="BH325" s="310"/>
      <c r="BI325" s="310"/>
    </row>
    <row r="326" spans="2:65" ht="15.75">
      <c r="B326" s="1276" t="s">
        <v>1193</v>
      </c>
      <c r="C326" s="1277"/>
      <c r="D326" s="1277"/>
      <c r="E326" s="1277"/>
      <c r="F326" s="1277"/>
      <c r="G326" s="1277"/>
      <c r="H326" s="1277"/>
      <c r="I326" s="1277"/>
      <c r="J326" s="1277"/>
      <c r="K326" s="1277"/>
      <c r="L326" s="1277"/>
      <c r="M326" s="1277"/>
      <c r="N326" s="1277"/>
      <c r="O326" s="1277"/>
      <c r="P326" s="1277"/>
      <c r="Q326" s="1277"/>
      <c r="R326" s="1277"/>
      <c r="S326" s="1277"/>
      <c r="T326" s="1277"/>
      <c r="U326" s="1277"/>
      <c r="V326" s="1277"/>
      <c r="W326" s="1277"/>
      <c r="X326" s="1277"/>
      <c r="Y326" s="1277"/>
      <c r="Z326" s="1277"/>
      <c r="AA326" s="1277"/>
      <c r="AB326" s="1277"/>
      <c r="AC326" s="1277"/>
      <c r="AD326" s="1277"/>
      <c r="AE326" s="1277"/>
      <c r="AF326" s="1277"/>
      <c r="AG326" s="1277"/>
      <c r="AH326" s="1277"/>
      <c r="AI326" s="1277"/>
      <c r="AJ326" s="1277"/>
      <c r="AK326" s="1277"/>
      <c r="AL326" s="1277"/>
      <c r="AM326" s="1277"/>
      <c r="AN326" s="1277"/>
      <c r="AO326" s="1277"/>
      <c r="AP326" s="1277"/>
      <c r="AQ326" s="1277"/>
      <c r="AR326" s="1277"/>
      <c r="AS326" s="1277"/>
      <c r="AT326" s="1277"/>
      <c r="AU326" s="1277"/>
      <c r="AV326" s="1277"/>
      <c r="AW326" s="1277"/>
      <c r="AX326" s="1277"/>
      <c r="AY326" s="1278"/>
      <c r="AZ326" s="1278"/>
      <c r="BA326" s="1278"/>
      <c r="BB326" s="1278"/>
      <c r="BC326" s="1278"/>
      <c r="BD326" s="1278"/>
      <c r="BE326" s="1278"/>
      <c r="BF326" s="1278"/>
      <c r="BG326" s="1278"/>
      <c r="BH326" s="1278"/>
      <c r="BI326" s="1278"/>
      <c r="BJ326" s="1279"/>
    </row>
    <row r="327" spans="2:65">
      <c r="C327" s="1281"/>
      <c r="D327" s="1281"/>
      <c r="E327" s="1281"/>
      <c r="F327" s="1281"/>
      <c r="G327" s="1281"/>
      <c r="H327" s="1281"/>
      <c r="I327" s="1281"/>
      <c r="J327" s="1281"/>
      <c r="K327" s="1281"/>
      <c r="L327" s="1281"/>
      <c r="M327" s="1281"/>
      <c r="N327" s="1281"/>
      <c r="O327" s="1281"/>
      <c r="P327" s="1281"/>
      <c r="Q327" s="1281"/>
      <c r="R327" s="1281"/>
      <c r="S327" s="1281"/>
      <c r="T327" s="1281"/>
      <c r="U327" s="1281"/>
      <c r="V327" s="1281"/>
      <c r="W327" s="1281"/>
      <c r="X327" s="1281"/>
      <c r="Y327" s="1281"/>
      <c r="Z327" s="1281"/>
      <c r="AA327" s="1281"/>
      <c r="AB327" s="1281"/>
      <c r="AC327" s="1281"/>
      <c r="AD327" s="1281"/>
      <c r="AE327" s="1281"/>
      <c r="AF327" s="1281"/>
      <c r="AG327" s="1281"/>
      <c r="AH327" s="1281"/>
      <c r="AI327" s="1281"/>
      <c r="AJ327" s="1281"/>
      <c r="AK327" s="1281"/>
      <c r="AL327" s="1281"/>
      <c r="AM327" s="1281"/>
      <c r="AN327" s="1281"/>
      <c r="AO327" s="1281"/>
      <c r="AP327" s="1281"/>
      <c r="AQ327" s="1281"/>
      <c r="AR327" s="1281"/>
      <c r="AS327" s="1281"/>
      <c r="AT327" s="1281"/>
      <c r="AU327" s="1281"/>
      <c r="AV327" s="1281"/>
      <c r="AW327" s="1281"/>
      <c r="AX327" s="1281"/>
      <c r="AY327" s="1282"/>
      <c r="AZ327" s="1282"/>
      <c r="BA327" s="1282"/>
      <c r="BB327" s="1282"/>
      <c r="BC327" s="1282"/>
      <c r="BD327" s="1282"/>
      <c r="BE327" s="1282"/>
      <c r="BF327" s="1282"/>
      <c r="BG327" s="1282"/>
      <c r="BH327" s="1282"/>
      <c r="BI327" s="1282"/>
      <c r="BJ327" s="1283"/>
    </row>
    <row r="328" spans="2:65" ht="15.75">
      <c r="B328" s="1276"/>
      <c r="C328" s="1292" t="s">
        <v>34</v>
      </c>
      <c r="D328" s="1293"/>
      <c r="E328" s="1288"/>
      <c r="F328" s="1294"/>
      <c r="G328" s="1294"/>
      <c r="H328" s="1294"/>
      <c r="I328" s="1294"/>
      <c r="J328" s="1294"/>
      <c r="K328" s="1294"/>
      <c r="L328" s="1294"/>
      <c r="M328" s="1294"/>
      <c r="N328" s="1294"/>
      <c r="O328" s="1294"/>
      <c r="P328" s="1294"/>
      <c r="Q328" s="1294"/>
      <c r="R328" s="1294"/>
      <c r="S328" s="1294"/>
      <c r="T328" s="1294"/>
      <c r="U328" s="1294"/>
      <c r="V328" s="1294"/>
      <c r="W328" s="1294"/>
      <c r="X328" s="1294"/>
      <c r="Y328" s="1294"/>
      <c r="Z328" s="1294"/>
      <c r="AA328" s="1294"/>
      <c r="AB328" s="1294"/>
      <c r="AC328" s="1294"/>
      <c r="AD328" s="1294"/>
      <c r="AE328" s="1294"/>
      <c r="AF328" s="1294"/>
      <c r="AG328" s="1294"/>
      <c r="AH328" s="1294"/>
      <c r="AI328" s="1294"/>
      <c r="AJ328" s="1294"/>
      <c r="AK328" s="1294"/>
      <c r="AL328" s="1294"/>
      <c r="AM328" s="1294"/>
      <c r="AN328" s="1294"/>
      <c r="AO328" s="1294"/>
      <c r="AP328" s="1294"/>
      <c r="AQ328" s="1294"/>
      <c r="AR328" s="1294"/>
      <c r="AS328" s="1294"/>
      <c r="AT328" s="1294"/>
      <c r="AU328" s="1294"/>
      <c r="AV328" s="1294"/>
      <c r="AW328" s="1294"/>
      <c r="AX328" s="1294"/>
      <c r="AY328" s="2410" t="s">
        <v>203</v>
      </c>
      <c r="AZ328" s="2410"/>
      <c r="BA328" s="2410" t="s">
        <v>712</v>
      </c>
      <c r="BB328" s="2410" t="s">
        <v>713</v>
      </c>
      <c r="BC328" s="2410" t="s">
        <v>714</v>
      </c>
      <c r="BD328" s="2410" t="s">
        <v>715</v>
      </c>
      <c r="BE328" s="2410" t="s">
        <v>716</v>
      </c>
      <c r="BF328" s="2410" t="s">
        <v>717</v>
      </c>
      <c r="BG328" s="2410" t="s">
        <v>718</v>
      </c>
      <c r="BH328" s="2410" t="s">
        <v>719</v>
      </c>
      <c r="BI328" s="2411" t="s">
        <v>720</v>
      </c>
      <c r="BJ328" s="1287" t="str">
        <f>preferences.energyunits</f>
        <v>TWh</v>
      </c>
    </row>
    <row r="329" spans="2:65" ht="4.5" customHeight="1">
      <c r="B329" s="1280"/>
      <c r="C329" s="1288"/>
      <c r="D329" s="1285"/>
      <c r="E329" s="1285"/>
      <c r="F329" s="1286"/>
      <c r="G329" s="1286"/>
      <c r="H329" s="1286"/>
      <c r="I329" s="1286"/>
      <c r="J329" s="1286"/>
      <c r="K329" s="1286"/>
      <c r="L329" s="1286"/>
      <c r="M329" s="1286"/>
      <c r="N329" s="1286"/>
      <c r="O329" s="1286"/>
      <c r="P329" s="1286"/>
      <c r="Q329" s="1286"/>
      <c r="R329" s="1286"/>
      <c r="S329" s="1286"/>
      <c r="T329" s="1286"/>
      <c r="U329" s="1286"/>
      <c r="V329" s="1286"/>
      <c r="W329" s="1286"/>
      <c r="X329" s="1286"/>
      <c r="Y329" s="1286"/>
      <c r="Z329" s="1286"/>
      <c r="AA329" s="1286"/>
      <c r="AB329" s="1286"/>
      <c r="AC329" s="1286"/>
      <c r="AD329" s="1286"/>
      <c r="AE329" s="1286"/>
      <c r="AF329" s="1286"/>
      <c r="AG329" s="1286"/>
      <c r="AH329" s="1286"/>
      <c r="AI329" s="1286"/>
      <c r="AJ329" s="1286"/>
      <c r="AK329" s="1286"/>
      <c r="AL329" s="1286"/>
      <c r="AM329" s="1286"/>
      <c r="AN329" s="1286"/>
      <c r="AO329" s="1286"/>
      <c r="AP329" s="1286"/>
      <c r="AQ329" s="1286"/>
      <c r="AR329" s="1286"/>
      <c r="AS329" s="1286"/>
      <c r="AT329" s="1286"/>
      <c r="AU329" s="1286"/>
      <c r="AV329" s="1286"/>
      <c r="AW329" s="1286"/>
      <c r="AX329" s="1286"/>
      <c r="AY329" s="1286"/>
      <c r="AZ329" s="1286"/>
      <c r="BA329" s="1286"/>
      <c r="BB329" s="1286"/>
      <c r="BC329" s="1286"/>
      <c r="BD329" s="1286"/>
      <c r="BE329" s="1286"/>
      <c r="BF329" s="1286"/>
      <c r="BG329" s="1286"/>
      <c r="BH329" s="1286"/>
      <c r="BI329" s="1286"/>
      <c r="BJ329" s="1287"/>
    </row>
    <row r="330" spans="2:65">
      <c r="B330" s="1284"/>
      <c r="C330" s="1296" t="s">
        <v>300</v>
      </c>
      <c r="D330" s="1296" t="str">
        <f>INDEX(Modules[Module], MATCH($C330, Modules[Code], 0))</f>
        <v>Domestic Lighting &amp; Appliances</v>
      </c>
      <c r="E330" s="1297"/>
      <c r="F330" s="1298"/>
      <c r="G330" s="1298"/>
      <c r="H330" s="1298"/>
      <c r="I330" s="1298"/>
      <c r="J330" s="1298"/>
      <c r="K330" s="1298"/>
      <c r="L330" s="1298"/>
      <c r="M330" s="1298"/>
      <c r="N330" s="1298"/>
      <c r="O330" s="1298"/>
      <c r="P330" s="1298"/>
      <c r="Q330" s="1298"/>
      <c r="R330" s="1298"/>
      <c r="S330" s="1298"/>
      <c r="T330" s="1298"/>
      <c r="U330" s="1298"/>
      <c r="V330" s="1298"/>
      <c r="W330" s="1298"/>
      <c r="X330" s="1298"/>
      <c r="Y330" s="1298"/>
      <c r="Z330" s="1298"/>
      <c r="AA330" s="1298"/>
      <c r="AB330" s="1298"/>
      <c r="AC330" s="1298"/>
      <c r="AD330" s="1298"/>
      <c r="AE330" s="1298"/>
      <c r="AF330" s="1298"/>
      <c r="AG330" s="1298"/>
      <c r="AH330" s="1298"/>
      <c r="AI330" s="1298"/>
      <c r="AJ330" s="1298"/>
      <c r="AK330" s="1298"/>
      <c r="AL330" s="1298"/>
      <c r="AM330" s="1298"/>
      <c r="AN330" s="1298"/>
      <c r="AO330" s="1298"/>
      <c r="AP330" s="1298"/>
      <c r="AQ330" s="1298"/>
      <c r="AR330" s="1298"/>
      <c r="AS330" s="1298"/>
      <c r="AT330" s="1298"/>
      <c r="AU330" s="1298"/>
      <c r="AV330" s="1298"/>
      <c r="AW330" s="1298"/>
      <c r="AX330" s="1297"/>
      <c r="AY330" s="368">
        <f t="shared" ref="AY330:BI342" ca="1" si="107">-INDEX(INDIRECT($C330&amp;".Outputs["&amp;AY$328&amp;"]"),MATCH($C$328,INDIRECT($C330&amp;".Outputs[Vector]"),0))</f>
        <v>117.75237224936291</v>
      </c>
      <c r="AZ330" s="368"/>
      <c r="BA330" s="368">
        <f t="shared" ca="1" si="107"/>
        <v>162.82294056639219</v>
      </c>
      <c r="BB330" s="368">
        <f t="shared" ca="1" si="107"/>
        <v>294.19783287152961</v>
      </c>
      <c r="BC330" s="368">
        <f t="shared" ca="1" si="107"/>
        <v>491.61145515036219</v>
      </c>
      <c r="BD330" s="368">
        <f t="shared" ca="1" si="107"/>
        <v>770.89941292875449</v>
      </c>
      <c r="BE330" s="368">
        <f t="shared" ca="1" si="107"/>
        <v>1157.9120424167459</v>
      </c>
      <c r="BF330" s="368">
        <f t="shared" ca="1" si="107"/>
        <v>1452.2441557318687</v>
      </c>
      <c r="BG330" s="368">
        <f t="shared" ca="1" si="107"/>
        <v>1803.3634131162555</v>
      </c>
      <c r="BH330" s="368">
        <f t="shared" ca="1" si="107"/>
        <v>2203.8937916546888</v>
      </c>
      <c r="BI330" s="368">
        <f t="shared" ca="1" si="107"/>
        <v>2671.8455088986316</v>
      </c>
      <c r="BJ330" s="1287"/>
      <c r="BL330" s="260"/>
      <c r="BM330" s="260"/>
    </row>
    <row r="331" spans="2:65">
      <c r="B331" s="1284"/>
      <c r="C331" s="1296" t="s">
        <v>301</v>
      </c>
      <c r="D331" s="1296" t="str">
        <f>INDEX(Modules[Module], MATCH($C331, Modules[Code], 0))</f>
        <v>Commercial Lighting &amp; Appliances</v>
      </c>
      <c r="E331" s="1297"/>
      <c r="F331" s="1298"/>
      <c r="G331" s="1298"/>
      <c r="H331" s="1298"/>
      <c r="I331" s="1298"/>
      <c r="J331" s="1298"/>
      <c r="K331" s="1298"/>
      <c r="L331" s="1298"/>
      <c r="M331" s="1298"/>
      <c r="N331" s="1298"/>
      <c r="O331" s="1298"/>
      <c r="P331" s="1298"/>
      <c r="Q331" s="1298"/>
      <c r="R331" s="1298"/>
      <c r="S331" s="1298"/>
      <c r="T331" s="1298"/>
      <c r="U331" s="1298"/>
      <c r="V331" s="1298"/>
      <c r="W331" s="1298"/>
      <c r="X331" s="1298"/>
      <c r="Y331" s="1298"/>
      <c r="Z331" s="1298"/>
      <c r="AA331" s="1298"/>
      <c r="AB331" s="1298"/>
      <c r="AC331" s="1298"/>
      <c r="AD331" s="1298"/>
      <c r="AE331" s="1298"/>
      <c r="AF331" s="1298"/>
      <c r="AG331" s="1298"/>
      <c r="AH331" s="1298"/>
      <c r="AI331" s="1298"/>
      <c r="AJ331" s="1298"/>
      <c r="AK331" s="1298"/>
      <c r="AL331" s="1298"/>
      <c r="AM331" s="1298"/>
      <c r="AN331" s="1298"/>
      <c r="AO331" s="1298"/>
      <c r="AP331" s="1298"/>
      <c r="AQ331" s="1298"/>
      <c r="AR331" s="1298"/>
      <c r="AS331" s="1298"/>
      <c r="AT331" s="1298"/>
      <c r="AU331" s="1298"/>
      <c r="AV331" s="1298"/>
      <c r="AW331" s="1298"/>
      <c r="AX331" s="1297"/>
      <c r="AY331" s="368">
        <f t="shared" ca="1" si="107"/>
        <v>69.818571670709545</v>
      </c>
      <c r="AZ331" s="368"/>
      <c r="BA331" s="368">
        <f t="shared" ca="1" si="107"/>
        <v>69.818518207485297</v>
      </c>
      <c r="BB331" s="368">
        <f t="shared" ca="1" si="107"/>
        <v>115.39506380103352</v>
      </c>
      <c r="BC331" s="368">
        <f t="shared" ca="1" si="107"/>
        <v>190.74035461227521</v>
      </c>
      <c r="BD331" s="368">
        <f t="shared" ca="1" si="107"/>
        <v>315.3108276463584</v>
      </c>
      <c r="BE331" s="368">
        <f t="shared" ca="1" si="107"/>
        <v>521.28261048106583</v>
      </c>
      <c r="BF331" s="368">
        <f t="shared" ca="1" si="107"/>
        <v>689.40510635890666</v>
      </c>
      <c r="BG331" s="368">
        <f t="shared" ca="1" si="107"/>
        <v>911.74990255642501</v>
      </c>
      <c r="BH331" s="368">
        <f t="shared" ca="1" si="107"/>
        <v>970.17528463991505</v>
      </c>
      <c r="BI331" s="368">
        <f t="shared" ca="1" si="107"/>
        <v>1032.3445308366922</v>
      </c>
      <c r="BJ331" s="1287"/>
      <c r="BL331" s="260"/>
      <c r="BM331" s="260"/>
    </row>
    <row r="332" spans="2:65">
      <c r="B332" s="1284"/>
      <c r="C332" s="1296" t="s">
        <v>282</v>
      </c>
      <c r="D332" s="1296" t="str">
        <f>INDEX(Modules[Module], MATCH($C332, Modules[Code], 0))</f>
        <v>Domestic passenger transport</v>
      </c>
      <c r="E332" s="1297"/>
      <c r="F332" s="1298"/>
      <c r="G332" s="1298"/>
      <c r="H332" s="1298"/>
      <c r="I332" s="1298"/>
      <c r="J332" s="1298"/>
      <c r="K332" s="1298"/>
      <c r="L332" s="1298"/>
      <c r="M332" s="1298"/>
      <c r="N332" s="1298"/>
      <c r="O332" s="1298"/>
      <c r="P332" s="1298"/>
      <c r="Q332" s="1298"/>
      <c r="R332" s="1298"/>
      <c r="S332" s="1298"/>
      <c r="T332" s="1298"/>
      <c r="U332" s="1298"/>
      <c r="V332" s="1298"/>
      <c r="W332" s="1298"/>
      <c r="X332" s="1298"/>
      <c r="Y332" s="1298"/>
      <c r="Z332" s="1298"/>
      <c r="AA332" s="1298"/>
      <c r="AB332" s="1298"/>
      <c r="AC332" s="1298"/>
      <c r="AD332" s="1298"/>
      <c r="AE332" s="1298"/>
      <c r="AF332" s="1298"/>
      <c r="AG332" s="1298"/>
      <c r="AH332" s="1298"/>
      <c r="AI332" s="1298"/>
      <c r="AJ332" s="1298"/>
      <c r="AK332" s="1298"/>
      <c r="AL332" s="1298"/>
      <c r="AM332" s="1298"/>
      <c r="AN332" s="1298"/>
      <c r="AO332" s="1298"/>
      <c r="AP332" s="1298"/>
      <c r="AQ332" s="1298"/>
      <c r="AR332" s="1298"/>
      <c r="AS332" s="1298"/>
      <c r="AT332" s="1298"/>
      <c r="AU332" s="1298"/>
      <c r="AV332" s="1298"/>
      <c r="AW332" s="1298"/>
      <c r="AX332" s="1297"/>
      <c r="AY332" s="368">
        <f t="shared" ca="1" si="107"/>
        <v>7.8045578920344294</v>
      </c>
      <c r="AZ332" s="368"/>
      <c r="BA332" s="368">
        <f t="shared" ca="1" si="107"/>
        <v>7.8045578920344294</v>
      </c>
      <c r="BB332" s="368">
        <f t="shared" ca="1" si="107"/>
        <v>9.9812057374247392</v>
      </c>
      <c r="BC332" s="368">
        <f t="shared" ca="1" si="107"/>
        <v>12.677744583468431</v>
      </c>
      <c r="BD332" s="368">
        <f t="shared" ca="1" si="107"/>
        <v>15.183119042462815</v>
      </c>
      <c r="BE332" s="368">
        <f t="shared" ca="1" si="107"/>
        <v>17.97800145980359</v>
      </c>
      <c r="BF332" s="368">
        <f t="shared" ca="1" si="107"/>
        <v>20.996398618954622</v>
      </c>
      <c r="BG332" s="368">
        <f t="shared" ca="1" si="107"/>
        <v>23.918000610343412</v>
      </c>
      <c r="BH332" s="368">
        <f t="shared" ca="1" si="107"/>
        <v>26.470016839940651</v>
      </c>
      <c r="BI332" s="368">
        <f t="shared" ca="1" si="107"/>
        <v>28.239990009727272</v>
      </c>
      <c r="BJ332" s="1287"/>
      <c r="BL332" s="260"/>
      <c r="BM332" s="260"/>
    </row>
    <row r="333" spans="2:65">
      <c r="B333" s="1284"/>
      <c r="C333" s="1296" t="s">
        <v>294</v>
      </c>
      <c r="D333" s="1296" t="str">
        <f>INDEX(Modules[Module], MATCH($C333, Modules[Code], 0))</f>
        <v>Domestic freight</v>
      </c>
      <c r="E333" s="1297"/>
      <c r="F333" s="1298"/>
      <c r="G333" s="1298"/>
      <c r="H333" s="1298"/>
      <c r="I333" s="1298"/>
      <c r="J333" s="1298"/>
      <c r="K333" s="1298"/>
      <c r="L333" s="1298"/>
      <c r="M333" s="1298"/>
      <c r="N333" s="1298"/>
      <c r="O333" s="1298"/>
      <c r="P333" s="1298"/>
      <c r="Q333" s="1298"/>
      <c r="R333" s="1298"/>
      <c r="S333" s="1298"/>
      <c r="T333" s="1298"/>
      <c r="U333" s="1298"/>
      <c r="V333" s="1298"/>
      <c r="W333" s="1298"/>
      <c r="X333" s="1298"/>
      <c r="Y333" s="1298"/>
      <c r="Z333" s="1298"/>
      <c r="AA333" s="1298"/>
      <c r="AB333" s="1298"/>
      <c r="AC333" s="1298"/>
      <c r="AD333" s="1298"/>
      <c r="AE333" s="1298"/>
      <c r="AF333" s="1298"/>
      <c r="AG333" s="1298"/>
      <c r="AH333" s="1298"/>
      <c r="AI333" s="1298"/>
      <c r="AJ333" s="1298"/>
      <c r="AK333" s="1298"/>
      <c r="AL333" s="1298"/>
      <c r="AM333" s="1298"/>
      <c r="AN333" s="1298"/>
      <c r="AO333" s="1298"/>
      <c r="AP333" s="1298"/>
      <c r="AQ333" s="1298"/>
      <c r="AR333" s="1298"/>
      <c r="AS333" s="1298"/>
      <c r="AT333" s="1298"/>
      <c r="AU333" s="1298"/>
      <c r="AV333" s="1298"/>
      <c r="AW333" s="1298"/>
      <c r="AX333" s="1297"/>
      <c r="AY333" s="368">
        <f t="shared" ca="1" si="107"/>
        <v>6.3710415000000058</v>
      </c>
      <c r="AZ333" s="368"/>
      <c r="BA333" s="368">
        <f t="shared" ca="1" si="107"/>
        <v>6.3710415000000058</v>
      </c>
      <c r="BB333" s="368">
        <f t="shared" ca="1" si="107"/>
        <v>9.4068797025169406</v>
      </c>
      <c r="BC333" s="368">
        <f t="shared" ca="1" si="107"/>
        <v>13.140797584316113</v>
      </c>
      <c r="BD333" s="368">
        <f t="shared" ca="1" si="107"/>
        <v>17.610110958084224</v>
      </c>
      <c r="BE333" s="368">
        <f t="shared" ca="1" si="107"/>
        <v>22.892634286083435</v>
      </c>
      <c r="BF333" s="368">
        <f t="shared" ca="1" si="107"/>
        <v>28.404926019576415</v>
      </c>
      <c r="BG333" s="368">
        <f t="shared" ca="1" si="107"/>
        <v>30.876418737637415</v>
      </c>
      <c r="BH333" s="368">
        <f t="shared" ca="1" si="107"/>
        <v>33.484784986368169</v>
      </c>
      <c r="BI333" s="368">
        <f t="shared" ca="1" si="107"/>
        <v>35.946658228245852</v>
      </c>
      <c r="BJ333" s="1287"/>
      <c r="BL333" s="260"/>
      <c r="BM333" s="260"/>
    </row>
    <row r="334" spans="2:65">
      <c r="B334" s="1284"/>
      <c r="C334" s="1296" t="s">
        <v>298</v>
      </c>
      <c r="D334" s="1296" t="str">
        <f>INDEX(Modules[Module], MATCH($C334, Modules[Code], 0))</f>
        <v>Domestic Cooking</v>
      </c>
      <c r="E334" s="1297"/>
      <c r="F334" s="1298"/>
      <c r="G334" s="1298"/>
      <c r="H334" s="1298"/>
      <c r="I334" s="1298"/>
      <c r="J334" s="1298"/>
      <c r="K334" s="1298"/>
      <c r="L334" s="1298"/>
      <c r="M334" s="1298"/>
      <c r="N334" s="1298"/>
      <c r="O334" s="1298"/>
      <c r="P334" s="1298"/>
      <c r="Q334" s="1298"/>
      <c r="R334" s="1298"/>
      <c r="S334" s="1298"/>
      <c r="T334" s="1298"/>
      <c r="U334" s="1298"/>
      <c r="V334" s="1298"/>
      <c r="W334" s="1298"/>
      <c r="X334" s="1298"/>
      <c r="Y334" s="1298"/>
      <c r="Z334" s="1298"/>
      <c r="AA334" s="1298"/>
      <c r="AB334" s="1298"/>
      <c r="AC334" s="1298"/>
      <c r="AD334" s="1298"/>
      <c r="AE334" s="1298"/>
      <c r="AF334" s="1298"/>
      <c r="AG334" s="1298"/>
      <c r="AH334" s="1298"/>
      <c r="AI334" s="1298"/>
      <c r="AJ334" s="1298"/>
      <c r="AK334" s="1298"/>
      <c r="AL334" s="1298"/>
      <c r="AM334" s="1298"/>
      <c r="AN334" s="1298"/>
      <c r="AO334" s="1298"/>
      <c r="AP334" s="1298"/>
      <c r="AQ334" s="1298"/>
      <c r="AR334" s="1298"/>
      <c r="AS334" s="1298"/>
      <c r="AT334" s="1298"/>
      <c r="AU334" s="1298"/>
      <c r="AV334" s="1298"/>
      <c r="AW334" s="1298"/>
      <c r="AX334" s="1297"/>
      <c r="AY334" s="368">
        <f t="shared" ca="1" si="107"/>
        <v>0.30660334104356374</v>
      </c>
      <c r="AZ334" s="368"/>
      <c r="BA334" s="368">
        <f t="shared" ca="1" si="107"/>
        <v>0.40568124773609537</v>
      </c>
      <c r="BB334" s="368">
        <f t="shared" ca="1" si="107"/>
        <v>1.9119107308416539</v>
      </c>
      <c r="BC334" s="368">
        <f t="shared" ca="1" si="107"/>
        <v>3.0737404888957927</v>
      </c>
      <c r="BD334" s="368">
        <f t="shared" ca="1" si="107"/>
        <v>5.9878453050571316</v>
      </c>
      <c r="BE334" s="368">
        <f t="shared" ca="1" si="107"/>
        <v>10.924338830969084</v>
      </c>
      <c r="BF334" s="368">
        <f t="shared" ca="1" si="107"/>
        <v>14.605179460099949</v>
      </c>
      <c r="BG334" s="368">
        <f t="shared" ca="1" si="107"/>
        <v>19.221420721203312</v>
      </c>
      <c r="BH334" s="368">
        <f t="shared" ca="1" si="107"/>
        <v>25.37842895536987</v>
      </c>
      <c r="BI334" s="368">
        <f t="shared" ca="1" si="107"/>
        <v>29.2476501509129</v>
      </c>
      <c r="BJ334" s="1287"/>
      <c r="BL334" s="260"/>
      <c r="BM334" s="260"/>
    </row>
    <row r="335" spans="2:65">
      <c r="B335" s="1284"/>
      <c r="C335" s="1296" t="s">
        <v>1083</v>
      </c>
      <c r="D335" s="1296" t="str">
        <f>INDEX(Modules[Module], MATCH($C335, Modules[Code], 0))</f>
        <v>Commercial Cooking</v>
      </c>
      <c r="E335" s="1297"/>
      <c r="F335" s="1298"/>
      <c r="G335" s="1298"/>
      <c r="H335" s="1298"/>
      <c r="I335" s="1298"/>
      <c r="J335" s="1298"/>
      <c r="K335" s="1298"/>
      <c r="L335" s="1298"/>
      <c r="M335" s="1298"/>
      <c r="N335" s="1298"/>
      <c r="O335" s="1298"/>
      <c r="P335" s="1298"/>
      <c r="Q335" s="1298"/>
      <c r="R335" s="1298"/>
      <c r="S335" s="1298"/>
      <c r="T335" s="1298"/>
      <c r="U335" s="1298"/>
      <c r="V335" s="1298"/>
      <c r="W335" s="1298"/>
      <c r="X335" s="1298"/>
      <c r="Y335" s="1298"/>
      <c r="Z335" s="1298"/>
      <c r="AA335" s="1298"/>
      <c r="AB335" s="1298"/>
      <c r="AC335" s="1298"/>
      <c r="AD335" s="1298"/>
      <c r="AE335" s="1298"/>
      <c r="AF335" s="1298"/>
      <c r="AG335" s="1298"/>
      <c r="AH335" s="1298"/>
      <c r="AI335" s="1298"/>
      <c r="AJ335" s="1298"/>
      <c r="AK335" s="1298"/>
      <c r="AL335" s="1298"/>
      <c r="AM335" s="1298"/>
      <c r="AN335" s="1298"/>
      <c r="AO335" s="1298"/>
      <c r="AP335" s="1298"/>
      <c r="AQ335" s="1298"/>
      <c r="AR335" s="1298"/>
      <c r="AS335" s="1298"/>
      <c r="AT335" s="1298"/>
      <c r="AU335" s="1298"/>
      <c r="AV335" s="1298"/>
      <c r="AW335" s="1298"/>
      <c r="AX335" s="1297"/>
      <c r="AY335" s="368">
        <f t="shared" ca="1" si="107"/>
        <v>0</v>
      </c>
      <c r="AZ335" s="368"/>
      <c r="BA335" s="368">
        <f t="shared" ca="1" si="107"/>
        <v>0</v>
      </c>
      <c r="BB335" s="368">
        <f t="shared" ca="1" si="107"/>
        <v>0</v>
      </c>
      <c r="BC335" s="368">
        <f t="shared" ca="1" si="107"/>
        <v>0</v>
      </c>
      <c r="BD335" s="368">
        <f t="shared" ca="1" si="107"/>
        <v>0</v>
      </c>
      <c r="BE335" s="368">
        <f t="shared" ca="1" si="107"/>
        <v>0</v>
      </c>
      <c r="BF335" s="368">
        <f t="shared" ca="1" si="107"/>
        <v>0</v>
      </c>
      <c r="BG335" s="368">
        <f t="shared" ca="1" si="107"/>
        <v>0</v>
      </c>
      <c r="BH335" s="368">
        <f t="shared" ca="1" si="107"/>
        <v>0</v>
      </c>
      <c r="BI335" s="368">
        <f t="shared" ca="1" si="107"/>
        <v>0</v>
      </c>
      <c r="BJ335" s="1287"/>
      <c r="BL335" s="260"/>
      <c r="BM335" s="260"/>
    </row>
    <row r="336" spans="2:65">
      <c r="B336" s="1284"/>
      <c r="C336" s="1296" t="s">
        <v>194</v>
      </c>
      <c r="D336" s="1296" t="s">
        <v>106</v>
      </c>
      <c r="E336" s="1297"/>
      <c r="F336" s="1298"/>
      <c r="G336" s="1298"/>
      <c r="H336" s="1298"/>
      <c r="I336" s="1298"/>
      <c r="J336" s="1298"/>
      <c r="K336" s="1298"/>
      <c r="L336" s="1298"/>
      <c r="M336" s="1298"/>
      <c r="N336" s="1298"/>
      <c r="O336" s="1298"/>
      <c r="P336" s="1298"/>
      <c r="Q336" s="1298"/>
      <c r="R336" s="1298"/>
      <c r="S336" s="1298"/>
      <c r="T336" s="1298"/>
      <c r="U336" s="1298"/>
      <c r="V336" s="1298"/>
      <c r="W336" s="1298"/>
      <c r="X336" s="1298"/>
      <c r="Y336" s="1298"/>
      <c r="Z336" s="1298"/>
      <c r="AA336" s="1298"/>
      <c r="AB336" s="1298"/>
      <c r="AC336" s="1298"/>
      <c r="AD336" s="1298"/>
      <c r="AE336" s="1298"/>
      <c r="AF336" s="1298"/>
      <c r="AG336" s="1298"/>
      <c r="AH336" s="1298"/>
      <c r="AI336" s="1298"/>
      <c r="AJ336" s="1298"/>
      <c r="AK336" s="1298"/>
      <c r="AL336" s="1298"/>
      <c r="AM336" s="1298"/>
      <c r="AN336" s="1298"/>
      <c r="AO336" s="1298"/>
      <c r="AP336" s="1298"/>
      <c r="AQ336" s="1298"/>
      <c r="AR336" s="1298"/>
      <c r="AS336" s="1298"/>
      <c r="AT336" s="1298"/>
      <c r="AU336" s="1298"/>
      <c r="AV336" s="1298"/>
      <c r="AW336" s="1298"/>
      <c r="AX336" s="1297"/>
      <c r="AY336" s="368">
        <f t="shared" ca="1" si="107"/>
        <v>99.549000000000007</v>
      </c>
      <c r="AZ336" s="368"/>
      <c r="BA336" s="368">
        <f t="shared" ca="1" si="107"/>
        <v>135.84360999999998</v>
      </c>
      <c r="BB336" s="368">
        <f t="shared" ca="1" si="107"/>
        <v>188.77501314929791</v>
      </c>
      <c r="BC336" s="368">
        <f t="shared" ca="1" si="107"/>
        <v>262.32571067939568</v>
      </c>
      <c r="BD336" s="368">
        <f t="shared" ca="1" si="107"/>
        <v>335.74068575957824</v>
      </c>
      <c r="BE336" s="368">
        <f t="shared" ca="1" si="107"/>
        <v>428.7780628500808</v>
      </c>
      <c r="BF336" s="368">
        <f t="shared" ca="1" si="107"/>
        <v>506.91064092382578</v>
      </c>
      <c r="BG336" s="368">
        <f t="shared" ca="1" si="107"/>
        <v>599.26784878596698</v>
      </c>
      <c r="BH336" s="368">
        <f t="shared" ca="1" si="107"/>
        <v>658.56749564700988</v>
      </c>
      <c r="BI336" s="368">
        <f t="shared" ca="1" si="107"/>
        <v>723.71929535837114</v>
      </c>
      <c r="BJ336" s="1287"/>
      <c r="BL336" s="260"/>
      <c r="BM336" s="260"/>
    </row>
    <row r="337" spans="2:65">
      <c r="B337" s="1284"/>
      <c r="C337" s="1296" t="s">
        <v>330</v>
      </c>
      <c r="D337" s="1296" t="s">
        <v>1078</v>
      </c>
      <c r="E337" s="1297"/>
      <c r="F337" s="1298"/>
      <c r="G337" s="1298"/>
      <c r="H337" s="1298"/>
      <c r="I337" s="1298"/>
      <c r="J337" s="1298"/>
      <c r="K337" s="1298"/>
      <c r="L337" s="1298"/>
      <c r="M337" s="1298"/>
      <c r="N337" s="1298"/>
      <c r="O337" s="1298"/>
      <c r="P337" s="1298"/>
      <c r="Q337" s="1298"/>
      <c r="R337" s="1298"/>
      <c r="S337" s="1298"/>
      <c r="T337" s="1298"/>
      <c r="U337" s="1298"/>
      <c r="V337" s="1298"/>
      <c r="W337" s="1298"/>
      <c r="X337" s="1298"/>
      <c r="Y337" s="1298"/>
      <c r="Z337" s="1298"/>
      <c r="AA337" s="1298"/>
      <c r="AB337" s="1298"/>
      <c r="AC337" s="1298"/>
      <c r="AD337" s="1298"/>
      <c r="AE337" s="1298"/>
      <c r="AF337" s="1298"/>
      <c r="AG337" s="1298"/>
      <c r="AH337" s="1298"/>
      <c r="AI337" s="1298"/>
      <c r="AJ337" s="1298"/>
      <c r="AK337" s="1298"/>
      <c r="AL337" s="1298"/>
      <c r="AM337" s="1298"/>
      <c r="AN337" s="1298"/>
      <c r="AO337" s="1298"/>
      <c r="AP337" s="1298"/>
      <c r="AQ337" s="1298"/>
      <c r="AR337" s="1298"/>
      <c r="AS337" s="1298"/>
      <c r="AT337" s="1298"/>
      <c r="AU337" s="1298"/>
      <c r="AV337" s="1298"/>
      <c r="AW337" s="1298"/>
      <c r="AX337" s="1297"/>
      <c r="AY337" s="368">
        <f t="shared" ca="1" si="107"/>
        <v>2.3668199999999997</v>
      </c>
      <c r="AZ337" s="368"/>
      <c r="BA337" s="368">
        <f t="shared" ca="1" si="107"/>
        <v>14.091612362999999</v>
      </c>
      <c r="BB337" s="368">
        <f t="shared" ca="1" si="107"/>
        <v>20.064265232180411</v>
      </c>
      <c r="BC337" s="368">
        <f t="shared" ca="1" si="107"/>
        <v>28.249080569317663</v>
      </c>
      <c r="BD337" s="368">
        <f t="shared" ca="1" si="107"/>
        <v>37.448347295363597</v>
      </c>
      <c r="BE337" s="368">
        <f t="shared" ca="1" si="107"/>
        <v>44.542199023321331</v>
      </c>
      <c r="BF337" s="368">
        <f t="shared" ca="1" si="107"/>
        <v>57.224138138960534</v>
      </c>
      <c r="BG337" s="368">
        <f t="shared" ca="1" si="107"/>
        <v>63.627974159380635</v>
      </c>
      <c r="BH337" s="368">
        <f t="shared" ca="1" si="107"/>
        <v>77.413159434842669</v>
      </c>
      <c r="BI337" s="368">
        <f t="shared" ca="1" si="107"/>
        <v>97.952342914769488</v>
      </c>
      <c r="BJ337" s="1287"/>
      <c r="BL337" s="260"/>
      <c r="BM337" s="260"/>
    </row>
    <row r="338" spans="2:65">
      <c r="B338" s="1284"/>
      <c r="C338" s="1296" t="s">
        <v>310</v>
      </c>
      <c r="D338" s="1296" t="str">
        <f>INDEX(Modules[Module], MATCH($C338, Modules[Code], 0))</f>
        <v>Domestic Gas Production</v>
      </c>
      <c r="E338" s="1297"/>
      <c r="F338" s="1298"/>
      <c r="G338" s="1298"/>
      <c r="H338" s="1298"/>
      <c r="I338" s="1298"/>
      <c r="J338" s="1298"/>
      <c r="K338" s="1298"/>
      <c r="L338" s="1298"/>
      <c r="M338" s="1298"/>
      <c r="N338" s="1298"/>
      <c r="O338" s="1298"/>
      <c r="P338" s="1298"/>
      <c r="Q338" s="1298"/>
      <c r="R338" s="1298"/>
      <c r="S338" s="1298"/>
      <c r="T338" s="1298"/>
      <c r="U338" s="1298"/>
      <c r="V338" s="1298"/>
      <c r="W338" s="1298"/>
      <c r="X338" s="1298"/>
      <c r="Y338" s="1298"/>
      <c r="Z338" s="1298"/>
      <c r="AA338" s="1298"/>
      <c r="AB338" s="1298"/>
      <c r="AC338" s="1298"/>
      <c r="AD338" s="1298"/>
      <c r="AE338" s="1298"/>
      <c r="AF338" s="1298"/>
      <c r="AG338" s="1298"/>
      <c r="AH338" s="1298"/>
      <c r="AI338" s="1298"/>
      <c r="AJ338" s="1298"/>
      <c r="AK338" s="1298"/>
      <c r="AL338" s="1298"/>
      <c r="AM338" s="1298"/>
      <c r="AN338" s="1298"/>
      <c r="AO338" s="1298"/>
      <c r="AP338" s="1298"/>
      <c r="AQ338" s="1298"/>
      <c r="AR338" s="1298"/>
      <c r="AS338" s="1298"/>
      <c r="AT338" s="1298"/>
      <c r="AU338" s="1298"/>
      <c r="AV338" s="1298"/>
      <c r="AW338" s="1298"/>
      <c r="AX338" s="1297"/>
      <c r="AY338" s="368">
        <f t="shared" ca="1" si="107"/>
        <v>0</v>
      </c>
      <c r="AZ338" s="368"/>
      <c r="BA338" s="368">
        <f t="shared" ca="1" si="107"/>
        <v>0</v>
      </c>
      <c r="BB338" s="368">
        <f t="shared" ca="1" si="107"/>
        <v>0</v>
      </c>
      <c r="BC338" s="368">
        <f t="shared" ca="1" si="107"/>
        <v>0</v>
      </c>
      <c r="BD338" s="368">
        <f t="shared" ca="1" si="107"/>
        <v>0</v>
      </c>
      <c r="BE338" s="368">
        <f t="shared" ca="1" si="107"/>
        <v>0</v>
      </c>
      <c r="BF338" s="368">
        <f t="shared" ca="1" si="107"/>
        <v>0</v>
      </c>
      <c r="BG338" s="368">
        <f t="shared" ca="1" si="107"/>
        <v>0</v>
      </c>
      <c r="BH338" s="368">
        <f t="shared" ca="1" si="107"/>
        <v>0</v>
      </c>
      <c r="BI338" s="368">
        <f t="shared" ca="1" si="107"/>
        <v>0</v>
      </c>
      <c r="BJ338" s="1287"/>
      <c r="BL338" s="260"/>
      <c r="BM338" s="260"/>
    </row>
    <row r="339" spans="2:65">
      <c r="B339" s="1284"/>
      <c r="C339" s="1296" t="s">
        <v>314</v>
      </c>
      <c r="D339" s="1296" t="str">
        <f>INDEX(Modules[Module], MATCH($C339, Modules[Code], 0))</f>
        <v>Domestic Coal Production</v>
      </c>
      <c r="E339" s="1297"/>
      <c r="F339" s="1298"/>
      <c r="G339" s="1298"/>
      <c r="H339" s="1298"/>
      <c r="I339" s="1298"/>
      <c r="J339" s="1298"/>
      <c r="K339" s="1298"/>
      <c r="L339" s="1298"/>
      <c r="M339" s="1298"/>
      <c r="N339" s="1298"/>
      <c r="O339" s="1298"/>
      <c r="P339" s="1298"/>
      <c r="Q339" s="1298"/>
      <c r="R339" s="1298"/>
      <c r="S339" s="1298"/>
      <c r="T339" s="1298"/>
      <c r="U339" s="1298"/>
      <c r="V339" s="1298"/>
      <c r="W339" s="1298"/>
      <c r="X339" s="1298"/>
      <c r="Y339" s="1298"/>
      <c r="Z339" s="1298"/>
      <c r="AA339" s="1298"/>
      <c r="AB339" s="1298"/>
      <c r="AC339" s="1298"/>
      <c r="AD339" s="1298"/>
      <c r="AE339" s="1298"/>
      <c r="AF339" s="1298"/>
      <c r="AG339" s="1298"/>
      <c r="AH339" s="1298"/>
      <c r="AI339" s="1298"/>
      <c r="AJ339" s="1298"/>
      <c r="AK339" s="1298"/>
      <c r="AL339" s="1298"/>
      <c r="AM339" s="1298"/>
      <c r="AN339" s="1298"/>
      <c r="AO339" s="1298"/>
      <c r="AP339" s="1298"/>
      <c r="AQ339" s="1298"/>
      <c r="AR339" s="1298"/>
      <c r="AS339" s="1298"/>
      <c r="AT339" s="1298"/>
      <c r="AU339" s="1298"/>
      <c r="AV339" s="1298"/>
      <c r="AW339" s="1298"/>
      <c r="AX339" s="1297"/>
      <c r="AY339" s="368">
        <f t="shared" ca="1" si="107"/>
        <v>0</v>
      </c>
      <c r="AZ339" s="368"/>
      <c r="BA339" s="368">
        <f t="shared" ca="1" si="107"/>
        <v>0</v>
      </c>
      <c r="BB339" s="368">
        <f t="shared" ca="1" si="107"/>
        <v>0</v>
      </c>
      <c r="BC339" s="368">
        <f t="shared" ca="1" si="107"/>
        <v>0</v>
      </c>
      <c r="BD339" s="368">
        <f t="shared" ca="1" si="107"/>
        <v>0</v>
      </c>
      <c r="BE339" s="368">
        <f t="shared" ca="1" si="107"/>
        <v>0</v>
      </c>
      <c r="BF339" s="368">
        <f t="shared" ca="1" si="107"/>
        <v>0</v>
      </c>
      <c r="BG339" s="368">
        <f t="shared" ca="1" si="107"/>
        <v>0</v>
      </c>
      <c r="BH339" s="368">
        <f t="shared" ca="1" si="107"/>
        <v>0</v>
      </c>
      <c r="BI339" s="368">
        <f t="shared" ca="1" si="107"/>
        <v>0</v>
      </c>
      <c r="BJ339" s="1287"/>
      <c r="BL339" s="260"/>
      <c r="BM339" s="260"/>
    </row>
    <row r="340" spans="2:65">
      <c r="B340" s="1284"/>
      <c r="C340" s="1296" t="s">
        <v>818</v>
      </c>
      <c r="D340" s="1296" t="str">
        <f>INDEX(Modules[Module], MATCH($C340, Modules[Code], 0))</f>
        <v>Domestic Oil Production</v>
      </c>
      <c r="E340" s="1297"/>
      <c r="F340" s="1298"/>
      <c r="G340" s="1298"/>
      <c r="H340" s="1298"/>
      <c r="I340" s="1298"/>
      <c r="J340" s="1298"/>
      <c r="K340" s="1298"/>
      <c r="L340" s="1298"/>
      <c r="M340" s="1298"/>
      <c r="N340" s="1298"/>
      <c r="O340" s="1298"/>
      <c r="P340" s="1298"/>
      <c r="Q340" s="1298"/>
      <c r="R340" s="1298"/>
      <c r="S340" s="1298"/>
      <c r="T340" s="1298"/>
      <c r="U340" s="1298"/>
      <c r="V340" s="1298"/>
      <c r="W340" s="1298"/>
      <c r="X340" s="1298"/>
      <c r="Y340" s="1298"/>
      <c r="Z340" s="1298"/>
      <c r="AA340" s="1298"/>
      <c r="AB340" s="1298"/>
      <c r="AC340" s="1298"/>
      <c r="AD340" s="1298"/>
      <c r="AE340" s="1298"/>
      <c r="AF340" s="1298"/>
      <c r="AG340" s="1298"/>
      <c r="AH340" s="1298"/>
      <c r="AI340" s="1298"/>
      <c r="AJ340" s="1298"/>
      <c r="AK340" s="1298"/>
      <c r="AL340" s="1298"/>
      <c r="AM340" s="1298"/>
      <c r="AN340" s="1298"/>
      <c r="AO340" s="1298"/>
      <c r="AP340" s="1298"/>
      <c r="AQ340" s="1298"/>
      <c r="AR340" s="1298"/>
      <c r="AS340" s="1298"/>
      <c r="AT340" s="1298"/>
      <c r="AU340" s="1298"/>
      <c r="AV340" s="1298"/>
      <c r="AW340" s="1298"/>
      <c r="AX340" s="1297"/>
      <c r="AY340" s="368"/>
      <c r="AZ340" s="368"/>
      <c r="BA340" s="368"/>
      <c r="BB340" s="368"/>
      <c r="BC340" s="368"/>
      <c r="BD340" s="368"/>
      <c r="BE340" s="368"/>
      <c r="BF340" s="368"/>
      <c r="BG340" s="368"/>
      <c r="BH340" s="368"/>
      <c r="BI340" s="368"/>
      <c r="BJ340" s="1287"/>
      <c r="BL340" s="260"/>
      <c r="BM340" s="260"/>
    </row>
    <row r="341" spans="2:65">
      <c r="B341" s="1284"/>
      <c r="C341" s="1296" t="s">
        <v>410</v>
      </c>
      <c r="D341" s="1296" t="str">
        <f>INDEX(Modules[Module], MATCH($C341, Modules[Code], 0))</f>
        <v>Fossil Fuel Transfer</v>
      </c>
      <c r="E341" s="1297"/>
      <c r="F341" s="1298"/>
      <c r="G341" s="1298"/>
      <c r="H341" s="1298"/>
      <c r="I341" s="1298"/>
      <c r="J341" s="1298"/>
      <c r="K341" s="1298"/>
      <c r="L341" s="1298"/>
      <c r="M341" s="1298"/>
      <c r="N341" s="1298"/>
      <c r="O341" s="1298"/>
      <c r="P341" s="1298"/>
      <c r="Q341" s="1298"/>
      <c r="R341" s="1298"/>
      <c r="S341" s="1298"/>
      <c r="T341" s="1298"/>
      <c r="U341" s="1298"/>
      <c r="V341" s="1298"/>
      <c r="W341" s="1298"/>
      <c r="X341" s="1298"/>
      <c r="Y341" s="1298"/>
      <c r="Z341" s="1298"/>
      <c r="AA341" s="1298"/>
      <c r="AB341" s="1298"/>
      <c r="AC341" s="1298"/>
      <c r="AD341" s="1298"/>
      <c r="AE341" s="1298"/>
      <c r="AF341" s="1298"/>
      <c r="AG341" s="1298"/>
      <c r="AH341" s="1298"/>
      <c r="AI341" s="1298"/>
      <c r="AJ341" s="1298"/>
      <c r="AK341" s="1298"/>
      <c r="AL341" s="1298"/>
      <c r="AM341" s="1298"/>
      <c r="AN341" s="1298"/>
      <c r="AO341" s="1298"/>
      <c r="AP341" s="1298"/>
      <c r="AQ341" s="1298"/>
      <c r="AR341" s="1298"/>
      <c r="AS341" s="1298"/>
      <c r="AT341" s="1298"/>
      <c r="AU341" s="1298"/>
      <c r="AV341" s="1298"/>
      <c r="AW341" s="1298"/>
      <c r="AX341" s="1297"/>
      <c r="AY341" s="368"/>
      <c r="AZ341" s="368"/>
      <c r="BA341" s="368"/>
      <c r="BB341" s="368"/>
      <c r="BC341" s="368"/>
      <c r="BD341" s="368"/>
      <c r="BE341" s="368"/>
      <c r="BF341" s="368"/>
      <c r="BG341" s="368"/>
      <c r="BH341" s="368"/>
      <c r="BI341" s="368"/>
      <c r="BJ341" s="1287"/>
      <c r="BL341" s="260"/>
      <c r="BM341" s="260"/>
    </row>
    <row r="342" spans="2:65">
      <c r="B342" s="1284"/>
      <c r="C342" s="1296" t="s">
        <v>197</v>
      </c>
      <c r="D342" s="1296" t="str">
        <f>INDEX(Modules[Module], MATCH($C342, Modules[Code], 0))</f>
        <v>Industry</v>
      </c>
      <c r="E342" s="1297"/>
      <c r="F342" s="1298"/>
      <c r="G342" s="1298"/>
      <c r="H342" s="1298"/>
      <c r="I342" s="1298"/>
      <c r="J342" s="1298"/>
      <c r="K342" s="1298"/>
      <c r="L342" s="1298"/>
      <c r="M342" s="1298"/>
      <c r="N342" s="1298"/>
      <c r="O342" s="1298"/>
      <c r="P342" s="1298"/>
      <c r="Q342" s="1298"/>
      <c r="R342" s="1298"/>
      <c r="S342" s="1298"/>
      <c r="T342" s="1298"/>
      <c r="U342" s="1298"/>
      <c r="V342" s="1298"/>
      <c r="W342" s="1298"/>
      <c r="X342" s="1298"/>
      <c r="Y342" s="1298"/>
      <c r="Z342" s="1298"/>
      <c r="AA342" s="1298"/>
      <c r="AB342" s="1298"/>
      <c r="AC342" s="1298"/>
      <c r="AD342" s="1298"/>
      <c r="AE342" s="1298"/>
      <c r="AF342" s="1298"/>
      <c r="AG342" s="1298"/>
      <c r="AH342" s="1298"/>
      <c r="AI342" s="1298"/>
      <c r="AJ342" s="1298"/>
      <c r="AK342" s="1298"/>
      <c r="AL342" s="1298"/>
      <c r="AM342" s="1298"/>
      <c r="AN342" s="1298"/>
      <c r="AO342" s="1298"/>
      <c r="AP342" s="1298"/>
      <c r="AQ342" s="1298"/>
      <c r="AR342" s="1298"/>
      <c r="AS342" s="1298"/>
      <c r="AT342" s="1298"/>
      <c r="AU342" s="1298"/>
      <c r="AV342" s="1298"/>
      <c r="AW342" s="1298"/>
      <c r="AX342" s="1297"/>
      <c r="AY342" s="368">
        <f t="shared" ca="1" si="107"/>
        <v>291.71784851167462</v>
      </c>
      <c r="AZ342" s="368"/>
      <c r="BA342" s="368">
        <f t="shared" ca="1" si="107"/>
        <v>401.23500000000001</v>
      </c>
      <c r="BB342" s="368">
        <f t="shared" ca="1" si="107"/>
        <v>503.11770614913962</v>
      </c>
      <c r="BC342" s="368">
        <f t="shared" ca="1" si="107"/>
        <v>638.20622186284686</v>
      </c>
      <c r="BD342" s="368">
        <f t="shared" ca="1" si="107"/>
        <v>792.48188677491407</v>
      </c>
      <c r="BE342" s="368">
        <f t="shared" ca="1" si="107"/>
        <v>966.17848871674005</v>
      </c>
      <c r="BF342" s="368">
        <f t="shared" ca="1" si="107"/>
        <v>1200.6228340761327</v>
      </c>
      <c r="BG342" s="368">
        <f t="shared" ca="1" si="107"/>
        <v>1462.2792945499318</v>
      </c>
      <c r="BH342" s="368">
        <f t="shared" ca="1" si="107"/>
        <v>1752.1756493279522</v>
      </c>
      <c r="BI342" s="368">
        <f t="shared" ca="1" si="107"/>
        <v>2061.261323802787</v>
      </c>
      <c r="BJ342" s="1287"/>
      <c r="BL342" s="359"/>
    </row>
    <row r="343" spans="2:65">
      <c r="B343" s="1284"/>
      <c r="C343" s="1296"/>
      <c r="D343" s="1296"/>
      <c r="E343" s="1297"/>
      <c r="F343" s="1298"/>
      <c r="G343" s="1298"/>
      <c r="H343" s="1298"/>
      <c r="I343" s="1298"/>
      <c r="J343" s="1298"/>
      <c r="K343" s="1298"/>
      <c r="L343" s="1298"/>
      <c r="M343" s="1298"/>
      <c r="N343" s="1298"/>
      <c r="O343" s="1298"/>
      <c r="P343" s="1298"/>
      <c r="Q343" s="1298"/>
      <c r="R343" s="1298"/>
      <c r="S343" s="1298"/>
      <c r="T343" s="1298"/>
      <c r="U343" s="1298"/>
      <c r="V343" s="1298"/>
      <c r="W343" s="1298"/>
      <c r="X343" s="1298"/>
      <c r="Y343" s="1298"/>
      <c r="Z343" s="1298"/>
      <c r="AA343" s="1298"/>
      <c r="AB343" s="1298"/>
      <c r="AC343" s="1298"/>
      <c r="AD343" s="1298"/>
      <c r="AE343" s="1298"/>
      <c r="AF343" s="1298"/>
      <c r="AG343" s="1298"/>
      <c r="AH343" s="1298"/>
      <c r="AI343" s="1298"/>
      <c r="AJ343" s="1298"/>
      <c r="AK343" s="1298"/>
      <c r="AL343" s="1298"/>
      <c r="AM343" s="1298"/>
      <c r="AN343" s="1298"/>
      <c r="AO343" s="1298"/>
      <c r="AP343" s="1298"/>
      <c r="AQ343" s="1298"/>
      <c r="AR343" s="1298"/>
      <c r="AS343" s="1298"/>
      <c r="AT343" s="1298"/>
      <c r="AU343" s="1298"/>
      <c r="AV343" s="1298"/>
      <c r="AW343" s="1298"/>
      <c r="AX343" s="1297"/>
      <c r="AY343" s="368"/>
      <c r="AZ343" s="368"/>
      <c r="BA343" s="368"/>
      <c r="BB343" s="368"/>
      <c r="BC343" s="368"/>
      <c r="BD343" s="368"/>
      <c r="BE343" s="368"/>
      <c r="BF343" s="368"/>
      <c r="BG343" s="368"/>
      <c r="BH343" s="368"/>
      <c r="BI343" s="368"/>
      <c r="BJ343" s="1287"/>
    </row>
    <row r="344" spans="2:65">
      <c r="B344" s="1284"/>
      <c r="C344" s="1296"/>
      <c r="D344" s="1296" t="s">
        <v>103</v>
      </c>
      <c r="E344" s="1297"/>
      <c r="F344" s="1298"/>
      <c r="G344" s="1298"/>
      <c r="H344" s="1298"/>
      <c r="I344" s="1298"/>
      <c r="J344" s="1298"/>
      <c r="K344" s="1298"/>
      <c r="L344" s="1298"/>
      <c r="M344" s="1298"/>
      <c r="N344" s="1298"/>
      <c r="O344" s="1298"/>
      <c r="P344" s="1298"/>
      <c r="Q344" s="1298"/>
      <c r="R344" s="1298"/>
      <c r="S344" s="1298"/>
      <c r="T344" s="1298"/>
      <c r="U344" s="1298"/>
      <c r="V344" s="1298"/>
      <c r="W344" s="1298"/>
      <c r="X344" s="1298"/>
      <c r="Y344" s="1298"/>
      <c r="Z344" s="1298"/>
      <c r="AA344" s="1298"/>
      <c r="AB344" s="1298"/>
      <c r="AC344" s="1298"/>
      <c r="AD344" s="1298"/>
      <c r="AE344" s="1298"/>
      <c r="AF344" s="1298"/>
      <c r="AG344" s="1298"/>
      <c r="AH344" s="1298"/>
      <c r="AI344" s="1298"/>
      <c r="AJ344" s="1298"/>
      <c r="AK344" s="1298"/>
      <c r="AL344" s="1298"/>
      <c r="AM344" s="1298"/>
      <c r="AN344" s="1298"/>
      <c r="AO344" s="1298"/>
      <c r="AP344" s="1298"/>
      <c r="AQ344" s="1298"/>
      <c r="AR344" s="1298"/>
      <c r="AS344" s="1298"/>
      <c r="AT344" s="1298"/>
      <c r="AU344" s="1298"/>
      <c r="AV344" s="1298"/>
      <c r="AW344" s="1298"/>
      <c r="AX344" s="1297"/>
      <c r="AY344" s="368">
        <f t="shared" ref="AY344:BI344" ca="1" si="108">SUM(AY330:AY343)</f>
        <v>595.68681516482513</v>
      </c>
      <c r="AZ344" s="368"/>
      <c r="BA344" s="368">
        <f t="shared" ca="1" si="108"/>
        <v>798.39296177664801</v>
      </c>
      <c r="BB344" s="368">
        <f t="shared" ca="1" si="108"/>
        <v>1142.8498773739643</v>
      </c>
      <c r="BC344" s="368">
        <f t="shared" ca="1" si="108"/>
        <v>1640.0251055308781</v>
      </c>
      <c r="BD344" s="368">
        <f t="shared" ca="1" si="108"/>
        <v>2290.6622357105734</v>
      </c>
      <c r="BE344" s="368">
        <f t="shared" ca="1" si="108"/>
        <v>3170.4883780648101</v>
      </c>
      <c r="BF344" s="368">
        <f t="shared" ca="1" si="108"/>
        <v>3970.4133793283249</v>
      </c>
      <c r="BG344" s="368">
        <f t="shared" ca="1" si="108"/>
        <v>4914.3042732371441</v>
      </c>
      <c r="BH344" s="368">
        <f t="shared" ca="1" si="108"/>
        <v>5747.5586114860871</v>
      </c>
      <c r="BI344" s="368">
        <f t="shared" ca="1" si="108"/>
        <v>6680.5573002001365</v>
      </c>
      <c r="BJ344" s="1287"/>
    </row>
    <row r="345" spans="2:65">
      <c r="B345" s="1284"/>
      <c r="C345" s="1296"/>
      <c r="D345" s="1296"/>
      <c r="E345" s="1297"/>
      <c r="F345" s="1298"/>
      <c r="G345" s="1298"/>
      <c r="H345" s="1298"/>
      <c r="I345" s="1298"/>
      <c r="J345" s="1298"/>
      <c r="K345" s="1298"/>
      <c r="L345" s="1298"/>
      <c r="M345" s="1298"/>
      <c r="N345" s="1298"/>
      <c r="O345" s="1298"/>
      <c r="P345" s="1298"/>
      <c r="Q345" s="1298"/>
      <c r="R345" s="1298"/>
      <c r="S345" s="1298"/>
      <c r="T345" s="1298"/>
      <c r="U345" s="1298"/>
      <c r="V345" s="1298"/>
      <c r="W345" s="1298"/>
      <c r="X345" s="1298"/>
      <c r="Y345" s="1298"/>
      <c r="Z345" s="1298"/>
      <c r="AA345" s="1298"/>
      <c r="AB345" s="1298"/>
      <c r="AC345" s="1298"/>
      <c r="AD345" s="1298"/>
      <c r="AE345" s="1298"/>
      <c r="AF345" s="1298"/>
      <c r="AG345" s="1298"/>
      <c r="AH345" s="1298"/>
      <c r="AI345" s="1298"/>
      <c r="AJ345" s="1298"/>
      <c r="AK345" s="1298"/>
      <c r="AL345" s="1298"/>
      <c r="AM345" s="1298"/>
      <c r="AN345" s="1298"/>
      <c r="AO345" s="1298"/>
      <c r="AP345" s="1298"/>
      <c r="AQ345" s="1298"/>
      <c r="AR345" s="1298"/>
      <c r="AS345" s="1298"/>
      <c r="AT345" s="1298"/>
      <c r="AU345" s="1298"/>
      <c r="AV345" s="1298"/>
      <c r="AW345" s="1298"/>
      <c r="AX345" s="1297"/>
      <c r="AY345" s="368"/>
      <c r="AZ345" s="368"/>
      <c r="BA345" s="368"/>
      <c r="BB345" s="368"/>
      <c r="BC345" s="368"/>
      <c r="BD345" s="368"/>
      <c r="BE345" s="368"/>
      <c r="BF345" s="368"/>
      <c r="BG345" s="368"/>
      <c r="BH345" s="368"/>
      <c r="BI345" s="368"/>
      <c r="BJ345" s="1287"/>
    </row>
    <row r="346" spans="2:65">
      <c r="B346" s="1284"/>
      <c r="C346" s="1296"/>
      <c r="D346" s="1299" t="s">
        <v>113</v>
      </c>
      <c r="E346" s="1297"/>
      <c r="F346" s="1298"/>
      <c r="G346" s="1298"/>
      <c r="H346" s="1298"/>
      <c r="I346" s="1298"/>
      <c r="J346" s="1298"/>
      <c r="K346" s="1298"/>
      <c r="L346" s="1298"/>
      <c r="M346" s="1298"/>
      <c r="N346" s="1298"/>
      <c r="O346" s="1298"/>
      <c r="P346" s="1298"/>
      <c r="Q346" s="1298"/>
      <c r="R346" s="1298"/>
      <c r="S346" s="1298"/>
      <c r="T346" s="1298"/>
      <c r="U346" s="1298"/>
      <c r="V346" s="1298"/>
      <c r="W346" s="1298"/>
      <c r="X346" s="1298"/>
      <c r="Y346" s="1298"/>
      <c r="Z346" s="1298"/>
      <c r="AA346" s="1298"/>
      <c r="AB346" s="1298"/>
      <c r="AC346" s="1298"/>
      <c r="AD346" s="1298"/>
      <c r="AE346" s="1298"/>
      <c r="AF346" s="1298"/>
      <c r="AG346" s="1298"/>
      <c r="AH346" s="1298"/>
      <c r="AI346" s="1298"/>
      <c r="AJ346" s="1298"/>
      <c r="AK346" s="1298"/>
      <c r="AL346" s="1298"/>
      <c r="AM346" s="1298"/>
      <c r="AN346" s="1298"/>
      <c r="AO346" s="1298"/>
      <c r="AP346" s="1298"/>
      <c r="AQ346" s="1298"/>
      <c r="AR346" s="1298"/>
      <c r="AS346" s="1298"/>
      <c r="AT346" s="1298"/>
      <c r="AU346" s="1298"/>
      <c r="AV346" s="1298"/>
      <c r="AW346" s="1298"/>
      <c r="AX346" s="1297"/>
      <c r="AY346" s="368">
        <f ca="1">SUM(AY332,AY333)</f>
        <v>14.175599392034435</v>
      </c>
      <c r="AZ346" s="368"/>
      <c r="BA346" s="368">
        <f t="shared" ref="BA346:BI346" ca="1" si="109">SUM(BA332,BA333)</f>
        <v>14.175599392034435</v>
      </c>
      <c r="BB346" s="368">
        <f t="shared" ca="1" si="109"/>
        <v>19.38808543994168</v>
      </c>
      <c r="BC346" s="368">
        <f t="shared" ca="1" si="109"/>
        <v>25.818542167784543</v>
      </c>
      <c r="BD346" s="368">
        <f t="shared" ca="1" si="109"/>
        <v>32.793230000547041</v>
      </c>
      <c r="BE346" s="368">
        <f t="shared" ca="1" si="109"/>
        <v>40.870635745887029</v>
      </c>
      <c r="BF346" s="368">
        <f t="shared" ca="1" si="109"/>
        <v>49.401324638531037</v>
      </c>
      <c r="BG346" s="368">
        <f t="shared" ca="1" si="109"/>
        <v>54.794419347980828</v>
      </c>
      <c r="BH346" s="368">
        <f t="shared" ca="1" si="109"/>
        <v>59.954801826308824</v>
      </c>
      <c r="BI346" s="368">
        <f t="shared" ca="1" si="109"/>
        <v>64.186648237973117</v>
      </c>
      <c r="BJ346" s="1287"/>
    </row>
    <row r="347" spans="2:65">
      <c r="B347" s="1284"/>
      <c r="C347" s="1296"/>
      <c r="D347" s="1299" t="s">
        <v>33</v>
      </c>
      <c r="E347" s="1297"/>
      <c r="F347" s="1298"/>
      <c r="G347" s="1298"/>
      <c r="H347" s="1298"/>
      <c r="I347" s="1298"/>
      <c r="J347" s="1298"/>
      <c r="K347" s="1298"/>
      <c r="L347" s="1298"/>
      <c r="M347" s="1298"/>
      <c r="N347" s="1298"/>
      <c r="O347" s="1298"/>
      <c r="P347" s="1298"/>
      <c r="Q347" s="1298"/>
      <c r="R347" s="1298"/>
      <c r="S347" s="1298"/>
      <c r="T347" s="1298"/>
      <c r="U347" s="1298"/>
      <c r="V347" s="1298"/>
      <c r="W347" s="1298"/>
      <c r="X347" s="1298"/>
      <c r="Y347" s="1298"/>
      <c r="Z347" s="1298"/>
      <c r="AA347" s="1298"/>
      <c r="AB347" s="1298"/>
      <c r="AC347" s="1298"/>
      <c r="AD347" s="1298"/>
      <c r="AE347" s="1298"/>
      <c r="AF347" s="1298"/>
      <c r="AG347" s="1298"/>
      <c r="AH347" s="1298"/>
      <c r="AI347" s="1298"/>
      <c r="AJ347" s="1298"/>
      <c r="AK347" s="1298"/>
      <c r="AL347" s="1298"/>
      <c r="AM347" s="1298"/>
      <c r="AN347" s="1298"/>
      <c r="AO347" s="1298"/>
      <c r="AP347" s="1298"/>
      <c r="AQ347" s="1298"/>
      <c r="AR347" s="1298"/>
      <c r="AS347" s="1298"/>
      <c r="AT347" s="1298"/>
      <c r="AU347" s="1298"/>
      <c r="AV347" s="1298"/>
      <c r="AW347" s="1298"/>
      <c r="AX347" s="1297"/>
      <c r="AY347" s="368">
        <f ca="1">AY342</f>
        <v>291.71784851167462</v>
      </c>
      <c r="AZ347" s="368"/>
      <c r="BA347" s="368">
        <f t="shared" ref="BA347:BI347" ca="1" si="110">BA342</f>
        <v>401.23500000000001</v>
      </c>
      <c r="BB347" s="368">
        <f t="shared" ca="1" si="110"/>
        <v>503.11770614913962</v>
      </c>
      <c r="BC347" s="368">
        <f t="shared" ca="1" si="110"/>
        <v>638.20622186284686</v>
      </c>
      <c r="BD347" s="368">
        <f t="shared" ca="1" si="110"/>
        <v>792.48188677491407</v>
      </c>
      <c r="BE347" s="368">
        <f t="shared" ca="1" si="110"/>
        <v>966.17848871674005</v>
      </c>
      <c r="BF347" s="368">
        <f t="shared" ca="1" si="110"/>
        <v>1200.6228340761327</v>
      </c>
      <c r="BG347" s="368">
        <f t="shared" ca="1" si="110"/>
        <v>1462.2792945499318</v>
      </c>
      <c r="BH347" s="368">
        <f t="shared" ca="1" si="110"/>
        <v>1752.1756493279522</v>
      </c>
      <c r="BI347" s="368">
        <f t="shared" ca="1" si="110"/>
        <v>2061.261323802787</v>
      </c>
      <c r="BJ347" s="1287"/>
    </row>
    <row r="348" spans="2:65">
      <c r="B348" s="1284"/>
      <c r="C348" s="1296"/>
      <c r="D348" s="1299" t="s">
        <v>1051</v>
      </c>
      <c r="E348" s="1297"/>
      <c r="F348" s="1298"/>
      <c r="G348" s="1298"/>
      <c r="H348" s="1298"/>
      <c r="I348" s="1298"/>
      <c r="J348" s="1298"/>
      <c r="K348" s="1298"/>
      <c r="L348" s="1298"/>
      <c r="M348" s="1298"/>
      <c r="N348" s="1298"/>
      <c r="O348" s="1298"/>
      <c r="P348" s="1298"/>
      <c r="Q348" s="1298"/>
      <c r="R348" s="1298"/>
      <c r="S348" s="1298"/>
      <c r="T348" s="1298"/>
      <c r="U348" s="1298"/>
      <c r="V348" s="1298"/>
      <c r="W348" s="1298"/>
      <c r="X348" s="1298"/>
      <c r="Y348" s="1298"/>
      <c r="Z348" s="1298"/>
      <c r="AA348" s="1298"/>
      <c r="AB348" s="1298"/>
      <c r="AC348" s="1298"/>
      <c r="AD348" s="1298"/>
      <c r="AE348" s="1298"/>
      <c r="AF348" s="1298"/>
      <c r="AG348" s="1298"/>
      <c r="AH348" s="1298"/>
      <c r="AI348" s="1298"/>
      <c r="AJ348" s="1298"/>
      <c r="AK348" s="1298"/>
      <c r="AL348" s="1298"/>
      <c r="AM348" s="1298"/>
      <c r="AN348" s="1298"/>
      <c r="AO348" s="1298"/>
      <c r="AP348" s="1298"/>
      <c r="AQ348" s="1298"/>
      <c r="AR348" s="1298"/>
      <c r="AS348" s="1298"/>
      <c r="AT348" s="1298"/>
      <c r="AU348" s="1298"/>
      <c r="AV348" s="1298"/>
      <c r="AW348" s="1298"/>
      <c r="AX348" s="1297"/>
      <c r="AY348" s="368">
        <f ca="1">SUM(AY334,AY335)</f>
        <v>0.30660334104356374</v>
      </c>
      <c r="AZ348" s="368"/>
      <c r="BA348" s="368">
        <f t="shared" ref="BA348:BI348" ca="1" si="111">SUM(BA334,BA335)</f>
        <v>0.40568124773609537</v>
      </c>
      <c r="BB348" s="368">
        <f t="shared" ca="1" si="111"/>
        <v>1.9119107308416539</v>
      </c>
      <c r="BC348" s="368">
        <f t="shared" ca="1" si="111"/>
        <v>3.0737404888957927</v>
      </c>
      <c r="BD348" s="368">
        <f t="shared" ca="1" si="111"/>
        <v>5.9878453050571316</v>
      </c>
      <c r="BE348" s="368">
        <f t="shared" ca="1" si="111"/>
        <v>10.924338830969084</v>
      </c>
      <c r="BF348" s="368">
        <f t="shared" ca="1" si="111"/>
        <v>14.605179460099949</v>
      </c>
      <c r="BG348" s="368">
        <f t="shared" ca="1" si="111"/>
        <v>19.221420721203312</v>
      </c>
      <c r="BH348" s="368">
        <f t="shared" ca="1" si="111"/>
        <v>25.37842895536987</v>
      </c>
      <c r="BI348" s="368">
        <f t="shared" ca="1" si="111"/>
        <v>29.2476501509129</v>
      </c>
      <c r="BJ348" s="1287"/>
    </row>
    <row r="349" spans="2:65">
      <c r="B349" s="1284"/>
      <c r="C349" s="1296"/>
      <c r="D349" s="1299" t="s">
        <v>1194</v>
      </c>
      <c r="E349" s="1297"/>
      <c r="F349" s="1298"/>
      <c r="G349" s="1298"/>
      <c r="H349" s="1298"/>
      <c r="I349" s="1298"/>
      <c r="J349" s="1298"/>
      <c r="K349" s="1298"/>
      <c r="L349" s="1298"/>
      <c r="M349" s="1298"/>
      <c r="N349" s="1298"/>
      <c r="O349" s="1298"/>
      <c r="P349" s="1298"/>
      <c r="Q349" s="1298"/>
      <c r="R349" s="1298"/>
      <c r="S349" s="1298"/>
      <c r="T349" s="1298"/>
      <c r="U349" s="1298"/>
      <c r="V349" s="1298"/>
      <c r="W349" s="1298"/>
      <c r="X349" s="1298"/>
      <c r="Y349" s="1298"/>
      <c r="Z349" s="1298"/>
      <c r="AA349" s="1298"/>
      <c r="AB349" s="1298"/>
      <c r="AC349" s="1298"/>
      <c r="AD349" s="1298"/>
      <c r="AE349" s="1298"/>
      <c r="AF349" s="1298"/>
      <c r="AG349" s="1298"/>
      <c r="AH349" s="1298"/>
      <c r="AI349" s="1298"/>
      <c r="AJ349" s="1298"/>
      <c r="AK349" s="1298"/>
      <c r="AL349" s="1298"/>
      <c r="AM349" s="1298"/>
      <c r="AN349" s="1298"/>
      <c r="AO349" s="1298"/>
      <c r="AP349" s="1298"/>
      <c r="AQ349" s="1298"/>
      <c r="AR349" s="1298"/>
      <c r="AS349" s="1298"/>
      <c r="AT349" s="1298"/>
      <c r="AU349" s="1298"/>
      <c r="AV349" s="1298"/>
      <c r="AW349" s="1298"/>
      <c r="AX349" s="1297"/>
      <c r="AY349" s="368">
        <f ca="1">SUM(AY330,AY331)</f>
        <v>187.57094392007247</v>
      </c>
      <c r="AZ349" s="368"/>
      <c r="BA349" s="368">
        <f t="shared" ref="BA349:BI349" ca="1" si="112">SUM(BA330,BA331)</f>
        <v>232.6414587738775</v>
      </c>
      <c r="BB349" s="368">
        <f t="shared" ca="1" si="112"/>
        <v>409.59289667256314</v>
      </c>
      <c r="BC349" s="368">
        <f t="shared" ca="1" si="112"/>
        <v>682.35180976263746</v>
      </c>
      <c r="BD349" s="368">
        <f t="shared" ca="1" si="112"/>
        <v>1086.2102405751129</v>
      </c>
      <c r="BE349" s="368">
        <f t="shared" ca="1" si="112"/>
        <v>1679.1946528978117</v>
      </c>
      <c r="BF349" s="368">
        <f t="shared" ca="1" si="112"/>
        <v>2141.6492620907752</v>
      </c>
      <c r="BG349" s="368">
        <f t="shared" ca="1" si="112"/>
        <v>2715.1133156726805</v>
      </c>
      <c r="BH349" s="368">
        <f t="shared" ca="1" si="112"/>
        <v>3174.0690762946037</v>
      </c>
      <c r="BI349" s="368">
        <f t="shared" ca="1" si="112"/>
        <v>3704.1900397353238</v>
      </c>
      <c r="BJ349" s="1287"/>
    </row>
    <row r="350" spans="2:65">
      <c r="B350" s="1284"/>
      <c r="C350" s="1296"/>
      <c r="D350" s="1299" t="s">
        <v>1078</v>
      </c>
      <c r="E350" s="1297"/>
      <c r="F350" s="1298"/>
      <c r="G350" s="1298"/>
      <c r="H350" s="1298"/>
      <c r="I350" s="1298"/>
      <c r="J350" s="1298"/>
      <c r="K350" s="1298"/>
      <c r="L350" s="1298"/>
      <c r="M350" s="1298"/>
      <c r="N350" s="1298"/>
      <c r="O350" s="1298"/>
      <c r="P350" s="1298"/>
      <c r="Q350" s="1298"/>
      <c r="R350" s="1298"/>
      <c r="S350" s="1298"/>
      <c r="T350" s="1298"/>
      <c r="U350" s="1298"/>
      <c r="V350" s="1298"/>
      <c r="W350" s="1298"/>
      <c r="X350" s="1298"/>
      <c r="Y350" s="1298"/>
      <c r="Z350" s="1298"/>
      <c r="AA350" s="1298"/>
      <c r="AB350" s="1298"/>
      <c r="AC350" s="1298"/>
      <c r="AD350" s="1298"/>
      <c r="AE350" s="1298"/>
      <c r="AF350" s="1298"/>
      <c r="AG350" s="1298"/>
      <c r="AH350" s="1298"/>
      <c r="AI350" s="1298"/>
      <c r="AJ350" s="1298"/>
      <c r="AK350" s="1298"/>
      <c r="AL350" s="1298"/>
      <c r="AM350" s="1298"/>
      <c r="AN350" s="1298"/>
      <c r="AO350" s="1298"/>
      <c r="AP350" s="1298"/>
      <c r="AQ350" s="1298"/>
      <c r="AR350" s="1298"/>
      <c r="AS350" s="1298"/>
      <c r="AT350" s="1298"/>
      <c r="AU350" s="1298"/>
      <c r="AV350" s="1298"/>
      <c r="AW350" s="1298"/>
      <c r="AX350" s="1297"/>
      <c r="AY350" s="368">
        <f ca="1">AY336</f>
        <v>99.549000000000007</v>
      </c>
      <c r="AZ350" s="368"/>
      <c r="BA350" s="368">
        <f t="shared" ref="BA350:BI351" ca="1" si="113">BA336</f>
        <v>135.84360999999998</v>
      </c>
      <c r="BB350" s="368">
        <f t="shared" ca="1" si="113"/>
        <v>188.77501314929791</v>
      </c>
      <c r="BC350" s="368">
        <f t="shared" ca="1" si="113"/>
        <v>262.32571067939568</v>
      </c>
      <c r="BD350" s="368">
        <f t="shared" ca="1" si="113"/>
        <v>335.74068575957824</v>
      </c>
      <c r="BE350" s="368">
        <f t="shared" ca="1" si="113"/>
        <v>428.7780628500808</v>
      </c>
      <c r="BF350" s="368">
        <f t="shared" ca="1" si="113"/>
        <v>506.91064092382578</v>
      </c>
      <c r="BG350" s="368">
        <f t="shared" ca="1" si="113"/>
        <v>599.26784878596698</v>
      </c>
      <c r="BH350" s="368">
        <f t="shared" ca="1" si="113"/>
        <v>658.56749564700988</v>
      </c>
      <c r="BI350" s="368">
        <f t="shared" ca="1" si="113"/>
        <v>723.71929535837114</v>
      </c>
      <c r="BJ350" s="1287"/>
    </row>
    <row r="351" spans="2:65">
      <c r="B351" s="1284"/>
      <c r="C351" s="1296"/>
      <c r="D351" s="1299" t="s">
        <v>106</v>
      </c>
      <c r="E351" s="1297"/>
      <c r="F351" s="1298"/>
      <c r="G351" s="1298"/>
      <c r="H351" s="1298"/>
      <c r="I351" s="1298"/>
      <c r="J351" s="1298"/>
      <c r="K351" s="1298"/>
      <c r="L351" s="1298"/>
      <c r="M351" s="1298"/>
      <c r="N351" s="1298"/>
      <c r="O351" s="1298"/>
      <c r="P351" s="1298"/>
      <c r="Q351" s="1298"/>
      <c r="R351" s="1298"/>
      <c r="S351" s="1298"/>
      <c r="T351" s="1298"/>
      <c r="U351" s="1298"/>
      <c r="V351" s="1298"/>
      <c r="W351" s="1298"/>
      <c r="X351" s="1298"/>
      <c r="Y351" s="1298"/>
      <c r="Z351" s="1298"/>
      <c r="AA351" s="1298"/>
      <c r="AB351" s="1298"/>
      <c r="AC351" s="1298"/>
      <c r="AD351" s="1298"/>
      <c r="AE351" s="1298"/>
      <c r="AF351" s="1298"/>
      <c r="AG351" s="1298"/>
      <c r="AH351" s="1298"/>
      <c r="AI351" s="1298"/>
      <c r="AJ351" s="1298"/>
      <c r="AK351" s="1298"/>
      <c r="AL351" s="1298"/>
      <c r="AM351" s="1298"/>
      <c r="AN351" s="1298"/>
      <c r="AO351" s="1298"/>
      <c r="AP351" s="1298"/>
      <c r="AQ351" s="1298"/>
      <c r="AR351" s="1298"/>
      <c r="AS351" s="1298"/>
      <c r="AT351" s="1298"/>
      <c r="AU351" s="1298"/>
      <c r="AV351" s="1298"/>
      <c r="AW351" s="1298"/>
      <c r="AX351" s="1297"/>
      <c r="AY351" s="368">
        <f ca="1">AY337</f>
        <v>2.3668199999999997</v>
      </c>
      <c r="AZ351" s="368"/>
      <c r="BA351" s="368">
        <f t="shared" ca="1" si="113"/>
        <v>14.091612362999999</v>
      </c>
      <c r="BB351" s="368">
        <f t="shared" ca="1" si="113"/>
        <v>20.064265232180411</v>
      </c>
      <c r="BC351" s="368">
        <f t="shared" ca="1" si="113"/>
        <v>28.249080569317663</v>
      </c>
      <c r="BD351" s="368">
        <f t="shared" ca="1" si="113"/>
        <v>37.448347295363597</v>
      </c>
      <c r="BE351" s="368">
        <f t="shared" ca="1" si="113"/>
        <v>44.542199023321331</v>
      </c>
      <c r="BF351" s="368">
        <f t="shared" ca="1" si="113"/>
        <v>57.224138138960534</v>
      </c>
      <c r="BG351" s="368">
        <f t="shared" ca="1" si="113"/>
        <v>63.627974159380635</v>
      </c>
      <c r="BH351" s="368">
        <f t="shared" ca="1" si="113"/>
        <v>77.413159434842669</v>
      </c>
      <c r="BI351" s="368">
        <f t="shared" ca="1" si="113"/>
        <v>97.952342914769488</v>
      </c>
      <c r="BJ351" s="1287"/>
    </row>
    <row r="352" spans="2:65">
      <c r="B352" s="1284"/>
      <c r="C352" s="1296"/>
      <c r="D352" s="1299" t="s">
        <v>103</v>
      </c>
      <c r="E352" s="1297"/>
      <c r="F352" s="1298"/>
      <c r="G352" s="1298"/>
      <c r="H352" s="1298"/>
      <c r="I352" s="1298"/>
      <c r="J352" s="1298"/>
      <c r="K352" s="1298"/>
      <c r="L352" s="1298"/>
      <c r="M352" s="1298"/>
      <c r="N352" s="1298"/>
      <c r="O352" s="1298"/>
      <c r="P352" s="1298"/>
      <c r="Q352" s="1298"/>
      <c r="R352" s="1298"/>
      <c r="S352" s="1298"/>
      <c r="T352" s="1298"/>
      <c r="U352" s="1298"/>
      <c r="V352" s="1298"/>
      <c r="W352" s="1298"/>
      <c r="X352" s="1298"/>
      <c r="Y352" s="1298"/>
      <c r="Z352" s="1298"/>
      <c r="AA352" s="1298"/>
      <c r="AB352" s="1298"/>
      <c r="AC352" s="1298"/>
      <c r="AD352" s="1298"/>
      <c r="AE352" s="1298"/>
      <c r="AF352" s="1298"/>
      <c r="AG352" s="1298"/>
      <c r="AH352" s="1298"/>
      <c r="AI352" s="1298"/>
      <c r="AJ352" s="1298"/>
      <c r="AK352" s="1298"/>
      <c r="AL352" s="1298"/>
      <c r="AM352" s="1298"/>
      <c r="AN352" s="1298"/>
      <c r="AO352" s="1298"/>
      <c r="AP352" s="1298"/>
      <c r="AQ352" s="1298"/>
      <c r="AR352" s="1298"/>
      <c r="AS352" s="1298"/>
      <c r="AT352" s="1298"/>
      <c r="AU352" s="1298"/>
      <c r="AV352" s="1298"/>
      <c r="AW352" s="1298"/>
      <c r="AX352" s="1297"/>
      <c r="AY352" s="368">
        <f ca="1">SUM(AY346:AY351)</f>
        <v>595.68681516482502</v>
      </c>
      <c r="AZ352" s="368"/>
      <c r="BA352" s="368">
        <f t="shared" ref="BA352:BI352" ca="1" si="114">SUM(BA346:BA351)</f>
        <v>798.39296177664801</v>
      </c>
      <c r="BB352" s="368">
        <f t="shared" ca="1" si="114"/>
        <v>1142.8498773739643</v>
      </c>
      <c r="BC352" s="368">
        <f t="shared" ca="1" si="114"/>
        <v>1640.0251055308779</v>
      </c>
      <c r="BD352" s="368">
        <f t="shared" ca="1" si="114"/>
        <v>2290.662235710573</v>
      </c>
      <c r="BE352" s="368">
        <f t="shared" ca="1" si="114"/>
        <v>3170.4883780648101</v>
      </c>
      <c r="BF352" s="368">
        <f t="shared" ca="1" si="114"/>
        <v>3970.4133793283249</v>
      </c>
      <c r="BG352" s="368">
        <f t="shared" ca="1" si="114"/>
        <v>4914.3042732371441</v>
      </c>
      <c r="BH352" s="368">
        <f t="shared" ca="1" si="114"/>
        <v>5747.558611486088</v>
      </c>
      <c r="BI352" s="368">
        <f t="shared" ca="1" si="114"/>
        <v>6680.5573002001374</v>
      </c>
      <c r="BJ352" s="1287"/>
    </row>
    <row r="353" spans="1:61" s="3020" customFormat="1">
      <c r="A353" s="3012"/>
      <c r="B353" s="3013"/>
      <c r="C353" s="3014"/>
      <c r="D353" s="3015"/>
      <c r="E353" s="3016"/>
      <c r="F353" s="3017"/>
      <c r="G353" s="3017"/>
      <c r="H353" s="3017"/>
      <c r="I353" s="3017"/>
      <c r="J353" s="3017"/>
      <c r="K353" s="3017"/>
      <c r="L353" s="3017"/>
      <c r="M353" s="3017"/>
      <c r="N353" s="3017"/>
      <c r="O353" s="3017"/>
      <c r="P353" s="3017"/>
      <c r="Q353" s="3017"/>
      <c r="R353" s="3017"/>
      <c r="S353" s="3017"/>
      <c r="T353" s="3017"/>
      <c r="U353" s="3017"/>
      <c r="V353" s="3017"/>
      <c r="W353" s="3017"/>
      <c r="X353" s="3017"/>
      <c r="Y353" s="3017"/>
      <c r="Z353" s="3017"/>
      <c r="AA353" s="3017"/>
      <c r="AB353" s="3017"/>
      <c r="AC353" s="3017"/>
      <c r="AD353" s="3017"/>
      <c r="AE353" s="3017"/>
      <c r="AF353" s="3017"/>
      <c r="AG353" s="3017"/>
      <c r="AH353" s="3017"/>
      <c r="AI353" s="3017"/>
      <c r="AJ353" s="3017"/>
      <c r="AK353" s="3017"/>
      <c r="AL353" s="3017"/>
      <c r="AM353" s="3017"/>
      <c r="AN353" s="3017"/>
      <c r="AO353" s="3017"/>
      <c r="AP353" s="3017"/>
      <c r="AQ353" s="3017"/>
      <c r="AR353" s="3017"/>
      <c r="AS353" s="3017"/>
      <c r="AT353" s="3017"/>
      <c r="AU353" s="3017"/>
      <c r="AV353" s="3017"/>
      <c r="AW353" s="3017"/>
      <c r="AX353" s="3016"/>
      <c r="AY353" s="3018"/>
      <c r="AZ353" s="3018"/>
      <c r="BA353" s="3018"/>
      <c r="BB353" s="3018"/>
      <c r="BC353" s="3018"/>
      <c r="BD353" s="3018"/>
      <c r="BE353" s="3018"/>
      <c r="BF353" s="3018"/>
      <c r="BG353" s="3018"/>
      <c r="BH353" s="3018"/>
      <c r="BI353" s="3019"/>
    </row>
    <row r="354" spans="1:61" s="3020" customFormat="1">
      <c r="A354" s="3012"/>
      <c r="B354" s="3013"/>
    </row>
    <row r="355" spans="1:61" s="3020" customFormat="1">
      <c r="A355" s="3012"/>
      <c r="B355" s="3013"/>
    </row>
    <row r="356" spans="1:61" s="3020" customFormat="1">
      <c r="A356" s="3012"/>
    </row>
    <row r="357" spans="1:61" s="3022" customFormat="1">
      <c r="A357" s="3012"/>
      <c r="B357" s="3021" t="s">
        <v>281</v>
      </c>
    </row>
    <row r="358" spans="1:61" s="3024" customFormat="1">
      <c r="A358" s="3012"/>
      <c r="B358" s="3023"/>
    </row>
    <row r="359" spans="1:61" s="3024" customFormat="1">
      <c r="A359" s="3012"/>
      <c r="B359" s="3023"/>
      <c r="C359" s="1242" t="s">
        <v>60</v>
      </c>
      <c r="D359" s="1242" t="str">
        <f>INDEX(Workstreams[Workstream], MATCH($C359, Workstreams[Code], 0))</f>
        <v>Hydrocarbon fuel power generation</v>
      </c>
      <c r="E359" s="1242"/>
      <c r="AY359" s="3031">
        <f t="shared" ref="AY359:AY367" ca="1" si="115">SUMIFS(INDIRECT("'"&amp;AY$234&amp;"'!Year.EmissionsBySector"), INDIRECT("'"&amp;AY$234&amp;"'!Year.Modules"),$C359)</f>
        <v>595.06618519645599</v>
      </c>
      <c r="BA359" s="3031">
        <f t="shared" ref="BA359:BI367" ca="1" si="116">SUMIFS(INDIRECT("'"&amp;BA$234&amp;"'!Year.EmissionsBySector"), INDIRECT("'"&amp;BA$234&amp;"'!Year.Modules"),$C359)</f>
        <v>786.58498080937272</v>
      </c>
      <c r="BB359" s="3031">
        <f t="shared" ca="1" si="116"/>
        <v>1087.8432043865573</v>
      </c>
      <c r="BC359" s="3031">
        <f t="shared" ca="1" si="116"/>
        <v>1606.8342870120703</v>
      </c>
      <c r="BD359" s="3031">
        <f t="shared" ca="1" si="116"/>
        <v>2280.6290028913718</v>
      </c>
      <c r="BE359" s="3031">
        <f t="shared" ca="1" si="116"/>
        <v>3196.8110175540182</v>
      </c>
      <c r="BF359" s="3031">
        <f t="shared" ca="1" si="116"/>
        <v>4021.5588263312093</v>
      </c>
      <c r="BG359" s="3031">
        <f t="shared" ca="1" si="116"/>
        <v>4974.5893139179325</v>
      </c>
      <c r="BH359" s="3031">
        <f t="shared" ca="1" si="116"/>
        <v>5849.210459291693</v>
      </c>
      <c r="BI359" s="3031">
        <f t="shared" ca="1" si="116"/>
        <v>6837.1101374826903</v>
      </c>
    </row>
    <row r="360" spans="1:61" s="3028" customFormat="1" ht="13.5" customHeight="1">
      <c r="A360" s="3025"/>
      <c r="B360" s="3026"/>
      <c r="C360" s="3027" t="s">
        <v>195</v>
      </c>
      <c r="D360" s="3027" t="str">
        <f>INDEX(Workstreams[Workstream], MATCH($C360, Workstreams[Code], 0))</f>
        <v>Buildings</v>
      </c>
      <c r="E360" s="3027"/>
      <c r="G360" s="3029"/>
      <c r="H360" s="3030"/>
      <c r="I360" s="3030"/>
      <c r="J360" s="3030"/>
      <c r="K360" s="3030"/>
      <c r="L360" s="3030"/>
      <c r="M360" s="3030"/>
      <c r="N360" s="3030"/>
      <c r="O360" s="3030"/>
      <c r="P360" s="3030"/>
      <c r="Q360" s="3030"/>
      <c r="R360" s="3030"/>
      <c r="S360" s="3030"/>
      <c r="T360" s="3030"/>
      <c r="U360" s="3030"/>
      <c r="V360" s="3030"/>
      <c r="W360" s="3030"/>
      <c r="X360" s="3030"/>
      <c r="Y360" s="3030"/>
      <c r="Z360" s="3030"/>
      <c r="AA360" s="3030"/>
      <c r="AB360" s="3030"/>
      <c r="AC360" s="3030"/>
      <c r="AD360" s="3030"/>
      <c r="AE360" s="3030"/>
      <c r="AF360" s="3030"/>
      <c r="AG360" s="3030"/>
      <c r="AH360" s="3030"/>
      <c r="AI360" s="3030"/>
      <c r="AJ360" s="3030"/>
      <c r="AK360" s="3030"/>
      <c r="AL360" s="3030"/>
      <c r="AM360" s="3030"/>
      <c r="AN360" s="3030"/>
      <c r="AO360" s="3030"/>
      <c r="AP360" s="3030"/>
      <c r="AQ360" s="3030"/>
      <c r="AR360" s="3030"/>
      <c r="AS360" s="3030"/>
      <c r="AT360" s="3030"/>
      <c r="AU360" s="3030"/>
      <c r="AV360" s="3030"/>
      <c r="AW360" s="3030"/>
      <c r="AX360" s="1333"/>
      <c r="AY360" s="3031">
        <f t="shared" ca="1" si="115"/>
        <v>0</v>
      </c>
      <c r="BA360" s="3031">
        <f t="shared" ca="1" si="116"/>
        <v>0</v>
      </c>
      <c r="BB360" s="3031">
        <f t="shared" ca="1" si="116"/>
        <v>0</v>
      </c>
      <c r="BC360" s="3031">
        <f t="shared" ca="1" si="116"/>
        <v>0</v>
      </c>
      <c r="BD360" s="3031">
        <f t="shared" ca="1" si="116"/>
        <v>0</v>
      </c>
      <c r="BE360" s="3031">
        <f t="shared" ca="1" si="116"/>
        <v>0</v>
      </c>
      <c r="BF360" s="3031">
        <f t="shared" ca="1" si="116"/>
        <v>0</v>
      </c>
      <c r="BG360" s="3031">
        <f t="shared" ca="1" si="116"/>
        <v>0</v>
      </c>
      <c r="BH360" s="3031">
        <f t="shared" ca="1" si="116"/>
        <v>0</v>
      </c>
      <c r="BI360" s="3031">
        <f t="shared" ca="1" si="116"/>
        <v>0</v>
      </c>
    </row>
    <row r="361" spans="1:61" s="3028" customFormat="1" ht="13.5" customHeight="1">
      <c r="A361" s="3025"/>
      <c r="B361" s="3026"/>
      <c r="C361" s="3027" t="s">
        <v>196</v>
      </c>
      <c r="D361" s="3027" t="str">
        <f>INDEX(Workstreams[Workstream], MATCH($C361, Workstreams[Code], 0))</f>
        <v>Lighting and appliances</v>
      </c>
      <c r="E361" s="3027"/>
      <c r="G361" s="3029"/>
      <c r="H361" s="3030"/>
      <c r="I361" s="3030"/>
      <c r="J361" s="3030"/>
      <c r="K361" s="3030"/>
      <c r="L361" s="3030"/>
      <c r="M361" s="3030"/>
      <c r="N361" s="3030"/>
      <c r="O361" s="3030"/>
      <c r="P361" s="3030"/>
      <c r="Q361" s="3030"/>
      <c r="R361" s="3030"/>
      <c r="S361" s="3030"/>
      <c r="T361" s="3030"/>
      <c r="U361" s="3030"/>
      <c r="V361" s="3030"/>
      <c r="W361" s="3030"/>
      <c r="X361" s="3030"/>
      <c r="Y361" s="3030"/>
      <c r="Z361" s="3030"/>
      <c r="AA361" s="3030"/>
      <c r="AB361" s="3030"/>
      <c r="AC361" s="3030"/>
      <c r="AD361" s="3030"/>
      <c r="AE361" s="3030"/>
      <c r="AF361" s="3030"/>
      <c r="AG361" s="3030"/>
      <c r="AH361" s="3030"/>
      <c r="AI361" s="3030"/>
      <c r="AJ361" s="3030"/>
      <c r="AK361" s="3030"/>
      <c r="AL361" s="3030"/>
      <c r="AM361" s="3030"/>
      <c r="AN361" s="3030"/>
      <c r="AO361" s="3030"/>
      <c r="AP361" s="3030"/>
      <c r="AQ361" s="3030"/>
      <c r="AR361" s="3030"/>
      <c r="AS361" s="3030"/>
      <c r="AT361" s="3030"/>
      <c r="AU361" s="3030"/>
      <c r="AV361" s="3030"/>
      <c r="AW361" s="3030"/>
      <c r="AX361" s="1333"/>
      <c r="AY361" s="3031">
        <f t="shared" ca="1" si="115"/>
        <v>1.9940071140643392</v>
      </c>
      <c r="BA361" s="3031">
        <f t="shared" ca="1" si="116"/>
        <v>1.8329576632390179</v>
      </c>
      <c r="BB361" s="3031">
        <f t="shared" ca="1" si="116"/>
        <v>1.5593969490007227</v>
      </c>
      <c r="BC361" s="3031">
        <f t="shared" ca="1" si="116"/>
        <v>1.2520757241189449</v>
      </c>
      <c r="BD361" s="3031">
        <f t="shared" ca="1" si="116"/>
        <v>0.89960387313435453</v>
      </c>
      <c r="BE361" s="3031">
        <f t="shared" ca="1" si="116"/>
        <v>0.51206817193927345</v>
      </c>
      <c r="BF361" s="3031">
        <f t="shared" ca="1" si="116"/>
        <v>0.41076728618570002</v>
      </c>
      <c r="BG361" s="3031">
        <f t="shared" ca="1" si="116"/>
        <v>0.28960362076092644</v>
      </c>
      <c r="BH361" s="3031">
        <f t="shared" ca="1" si="116"/>
        <v>0.15320843556214719</v>
      </c>
      <c r="BI361" s="3031">
        <f t="shared" ca="1" si="116"/>
        <v>0</v>
      </c>
    </row>
    <row r="362" spans="1:61" s="3028" customFormat="1" ht="13.5" customHeight="1">
      <c r="A362" s="3025"/>
      <c r="B362" s="3026"/>
      <c r="C362" s="3027" t="s">
        <v>197</v>
      </c>
      <c r="D362" s="3027" t="str">
        <f>INDEX(Workstreams[Workstream], MATCH($C362, Workstreams[Code], 0))</f>
        <v>Industry</v>
      </c>
      <c r="E362" s="3027"/>
      <c r="G362" s="3029"/>
      <c r="H362" s="3030"/>
      <c r="I362" s="3030"/>
      <c r="J362" s="3030"/>
      <c r="K362" s="3030"/>
      <c r="L362" s="3030"/>
      <c r="M362" s="3030"/>
      <c r="N362" s="3030"/>
      <c r="O362" s="3030"/>
      <c r="P362" s="3030"/>
      <c r="Q362" s="3030"/>
      <c r="R362" s="3030"/>
      <c r="S362" s="3030"/>
      <c r="T362" s="3030"/>
      <c r="U362" s="3030"/>
      <c r="V362" s="3030"/>
      <c r="W362" s="3030"/>
      <c r="X362" s="3030"/>
      <c r="Y362" s="3030"/>
      <c r="Z362" s="3030"/>
      <c r="AA362" s="3030"/>
      <c r="AB362" s="3030"/>
      <c r="AC362" s="3030"/>
      <c r="AD362" s="3030"/>
      <c r="AE362" s="3030"/>
      <c r="AF362" s="3030"/>
      <c r="AG362" s="3030"/>
      <c r="AH362" s="3030"/>
      <c r="AI362" s="3030"/>
      <c r="AJ362" s="3030"/>
      <c r="AK362" s="3030"/>
      <c r="AL362" s="3030"/>
      <c r="AM362" s="3030"/>
      <c r="AN362" s="3030"/>
      <c r="AO362" s="3030"/>
      <c r="AP362" s="3030"/>
      <c r="AQ362" s="3030"/>
      <c r="AR362" s="3030"/>
      <c r="AS362" s="3030"/>
      <c r="AT362" s="3030"/>
      <c r="AU362" s="3030"/>
      <c r="AV362" s="3030"/>
      <c r="AW362" s="3030"/>
      <c r="AX362" s="1333"/>
      <c r="AY362" s="3031">
        <f t="shared" ca="1" si="115"/>
        <v>656.32859095817719</v>
      </c>
      <c r="BA362" s="3031">
        <f t="shared" ca="1" si="116"/>
        <v>979.12998115429286</v>
      </c>
      <c r="BB362" s="3031">
        <f t="shared" ca="1" si="116"/>
        <v>1345.4936987492497</v>
      </c>
      <c r="BC362" s="3031">
        <f t="shared" ca="1" si="116"/>
        <v>1924.2235281328119</v>
      </c>
      <c r="BD362" s="3031">
        <f t="shared" ca="1" si="116"/>
        <v>2584.2470908653481</v>
      </c>
      <c r="BE362" s="3031">
        <f t="shared" ca="1" si="116"/>
        <v>3317.3344442972589</v>
      </c>
      <c r="BF362" s="3031">
        <f t="shared" ca="1" si="116"/>
        <v>4101.1617703764796</v>
      </c>
      <c r="BG362" s="3031">
        <f t="shared" ca="1" si="116"/>
        <v>4844.097183367986</v>
      </c>
      <c r="BH362" s="3031">
        <f t="shared" ca="1" si="116"/>
        <v>5519.430879030032</v>
      </c>
      <c r="BI362" s="3031">
        <f t="shared" ca="1" si="116"/>
        <v>6202.7146584073007</v>
      </c>
    </row>
    <row r="363" spans="1:61" s="3028" customFormat="1" ht="13.5" customHeight="1">
      <c r="A363" s="3025"/>
      <c r="B363" s="3026"/>
      <c r="C363" s="3027" t="s">
        <v>198</v>
      </c>
      <c r="D363" s="3027" t="str">
        <f>INDEX(Workstreams[Workstream], MATCH($C363, Workstreams[Code], 0))</f>
        <v>Transport</v>
      </c>
      <c r="E363" s="3027"/>
      <c r="G363" s="3029"/>
      <c r="H363" s="3030"/>
      <c r="I363" s="3030"/>
      <c r="J363" s="3030"/>
      <c r="K363" s="3030"/>
      <c r="L363" s="3030"/>
      <c r="M363" s="3030"/>
      <c r="N363" s="3030"/>
      <c r="O363" s="3030"/>
      <c r="P363" s="3030"/>
      <c r="Q363" s="3030"/>
      <c r="R363" s="3030"/>
      <c r="S363" s="3030"/>
      <c r="T363" s="3030"/>
      <c r="U363" s="3030"/>
      <c r="V363" s="3030"/>
      <c r="W363" s="3030"/>
      <c r="X363" s="3030"/>
      <c r="Y363" s="3030"/>
      <c r="Z363" s="3030"/>
      <c r="AA363" s="3030"/>
      <c r="AB363" s="3030"/>
      <c r="AC363" s="3030"/>
      <c r="AD363" s="3030"/>
      <c r="AE363" s="3030"/>
      <c r="AF363" s="3030"/>
      <c r="AG363" s="3030"/>
      <c r="AH363" s="3030"/>
      <c r="AI363" s="3030"/>
      <c r="AJ363" s="3030"/>
      <c r="AK363" s="3030"/>
      <c r="AL363" s="3030"/>
      <c r="AM363" s="3030"/>
      <c r="AN363" s="3030"/>
      <c r="AO363" s="3030"/>
      <c r="AP363" s="3030"/>
      <c r="AQ363" s="3030"/>
      <c r="AR363" s="3030"/>
      <c r="AS363" s="3030"/>
      <c r="AT363" s="3030"/>
      <c r="AU363" s="3030"/>
      <c r="AV363" s="3030"/>
      <c r="AW363" s="3030"/>
      <c r="AX363" s="1333"/>
      <c r="AY363" s="3031">
        <f t="shared" ca="1" si="115"/>
        <v>221.70597052391258</v>
      </c>
      <c r="BA363" s="3031">
        <f t="shared" ca="1" si="116"/>
        <v>221.70597052391261</v>
      </c>
      <c r="BB363" s="3031">
        <f t="shared" ca="1" si="116"/>
        <v>332.72341446359428</v>
      </c>
      <c r="BC363" s="3031">
        <f t="shared" ca="1" si="116"/>
        <v>477.73809644813332</v>
      </c>
      <c r="BD363" s="3031">
        <f t="shared" ca="1" si="116"/>
        <v>649.49680855388033</v>
      </c>
      <c r="BE363" s="3031">
        <f t="shared" ca="1" si="116"/>
        <v>860.97101632540114</v>
      </c>
      <c r="BF363" s="3031">
        <f t="shared" ca="1" si="116"/>
        <v>1104.8989516151646</v>
      </c>
      <c r="BG363" s="3031">
        <f t="shared" ca="1" si="116"/>
        <v>1338.419311507872</v>
      </c>
      <c r="BH363" s="3031">
        <f t="shared" ca="1" si="116"/>
        <v>1594.8309940816716</v>
      </c>
      <c r="BI363" s="3031">
        <f t="shared" ca="1" si="116"/>
        <v>1853.5938094630712</v>
      </c>
    </row>
    <row r="364" spans="1:61" s="3028" customFormat="1" ht="13.5" customHeight="1">
      <c r="A364" s="3025"/>
      <c r="B364" s="3026"/>
      <c r="C364" s="3027" t="s">
        <v>199</v>
      </c>
      <c r="D364" s="3027" t="str">
        <f>INDEX(Workstreams[Workstream], MATCH($C364, Workstreams[Code], 0))</f>
        <v>Cooking</v>
      </c>
      <c r="E364" s="3027"/>
      <c r="G364" s="3029"/>
      <c r="H364" s="3030"/>
      <c r="I364" s="3030"/>
      <c r="J364" s="3030"/>
      <c r="K364" s="3030"/>
      <c r="L364" s="3030"/>
      <c r="M364" s="3030"/>
      <c r="N364" s="3030"/>
      <c r="O364" s="3030"/>
      <c r="P364" s="3030"/>
      <c r="Q364" s="3030"/>
      <c r="R364" s="3030"/>
      <c r="S364" s="3030"/>
      <c r="T364" s="3030"/>
      <c r="U364" s="3030"/>
      <c r="V364" s="3030"/>
      <c r="W364" s="3030"/>
      <c r="X364" s="3030"/>
      <c r="Y364" s="3030"/>
      <c r="Z364" s="3030"/>
      <c r="AA364" s="3030"/>
      <c r="AB364" s="3030"/>
      <c r="AC364" s="3030"/>
      <c r="AD364" s="3030"/>
      <c r="AE364" s="3030"/>
      <c r="AF364" s="3030"/>
      <c r="AG364" s="3030"/>
      <c r="AH364" s="3030"/>
      <c r="AI364" s="3030"/>
      <c r="AJ364" s="3030"/>
      <c r="AK364" s="3030"/>
      <c r="AL364" s="3030"/>
      <c r="AM364" s="3030"/>
      <c r="AN364" s="3030"/>
      <c r="AO364" s="3030"/>
      <c r="AP364" s="3030"/>
      <c r="AQ364" s="3030"/>
      <c r="AR364" s="3030"/>
      <c r="AS364" s="3030"/>
      <c r="AT364" s="3030"/>
      <c r="AU364" s="3030"/>
      <c r="AV364" s="3030"/>
      <c r="AW364" s="3030"/>
      <c r="AX364" s="1333"/>
      <c r="AY364" s="3031">
        <f t="shared" ca="1" si="115"/>
        <v>10.704467295035755</v>
      </c>
      <c r="BA364" s="3031">
        <f t="shared" ca="1" si="116"/>
        <v>16.260888821331829</v>
      </c>
      <c r="BB364" s="3031">
        <f t="shared" ca="1" si="116"/>
        <v>24.239503543901211</v>
      </c>
      <c r="BC364" s="3031">
        <f t="shared" ca="1" si="116"/>
        <v>35.933460950189563</v>
      </c>
      <c r="BD364" s="3031">
        <f t="shared" ca="1" si="116"/>
        <v>52.751366453469238</v>
      </c>
      <c r="BE364" s="3031">
        <f t="shared" ca="1" si="116"/>
        <v>195.39740644307</v>
      </c>
      <c r="BF364" s="3031">
        <f t="shared" ca="1" si="116"/>
        <v>103.07922847908272</v>
      </c>
      <c r="BG364" s="3031">
        <f t="shared" ca="1" si="116"/>
        <v>137.80633413788036</v>
      </c>
      <c r="BH364" s="3031">
        <f t="shared" ca="1" si="116"/>
        <v>184.23361666422136</v>
      </c>
      <c r="BI364" s="3031">
        <f t="shared" ca="1" si="116"/>
        <v>246.3033097633579</v>
      </c>
    </row>
    <row r="365" spans="1:61" s="3028" customFormat="1" ht="13.5" customHeight="1">
      <c r="A365" s="3025"/>
      <c r="B365" s="3026"/>
      <c r="C365" s="3027" t="s">
        <v>194</v>
      </c>
      <c r="D365" s="3027" t="str">
        <f>INDEX(Workstreams[Workstream], MATCH($C365, Workstreams[Code], 0))</f>
        <v>Agriculture</v>
      </c>
      <c r="E365" s="3027"/>
      <c r="G365" s="3029"/>
      <c r="H365" s="3030"/>
      <c r="I365" s="3030"/>
      <c r="J365" s="3030"/>
      <c r="K365" s="3030"/>
      <c r="L365" s="3030"/>
      <c r="M365" s="3030"/>
      <c r="N365" s="3030"/>
      <c r="O365" s="3030"/>
      <c r="P365" s="3030"/>
      <c r="Q365" s="3030"/>
      <c r="R365" s="3030"/>
      <c r="S365" s="3030"/>
      <c r="T365" s="3030"/>
      <c r="U365" s="3030"/>
      <c r="V365" s="3030"/>
      <c r="W365" s="3030"/>
      <c r="X365" s="3030"/>
      <c r="Y365" s="3030"/>
      <c r="Z365" s="3030"/>
      <c r="AA365" s="3030"/>
      <c r="AB365" s="3030"/>
      <c r="AC365" s="3030"/>
      <c r="AD365" s="3030"/>
      <c r="AE365" s="3030"/>
      <c r="AF365" s="3030"/>
      <c r="AG365" s="3030"/>
      <c r="AH365" s="3030"/>
      <c r="AI365" s="3030"/>
      <c r="AJ365" s="3030"/>
      <c r="AK365" s="3030"/>
      <c r="AL365" s="3030"/>
      <c r="AM365" s="3030"/>
      <c r="AN365" s="3030"/>
      <c r="AO365" s="3030"/>
      <c r="AP365" s="3030"/>
      <c r="AQ365" s="3030"/>
      <c r="AR365" s="3030"/>
      <c r="AS365" s="3030"/>
      <c r="AT365" s="3030"/>
      <c r="AU365" s="3030"/>
      <c r="AV365" s="3030"/>
      <c r="AW365" s="3030"/>
      <c r="AX365" s="1333"/>
      <c r="AY365" s="3031">
        <f t="shared" ca="1" si="115"/>
        <v>20.879036754401042</v>
      </c>
      <c r="BA365" s="3031">
        <f t="shared" ca="1" si="116"/>
        <v>27.03601947205911</v>
      </c>
      <c r="BB365" s="3031">
        <f t="shared" ca="1" si="116"/>
        <v>37.21072446431117</v>
      </c>
      <c r="BC365" s="3031">
        <f t="shared" ca="1" si="116"/>
        <v>50.995495766927469</v>
      </c>
      <c r="BD365" s="3031">
        <f t="shared" ca="1" si="116"/>
        <v>68.186469248991159</v>
      </c>
      <c r="BE365" s="3031">
        <f t="shared" ca="1" si="116"/>
        <v>85.704909681985981</v>
      </c>
      <c r="BF365" s="3031">
        <f t="shared" ca="1" si="116"/>
        <v>91.587093210349664</v>
      </c>
      <c r="BG365" s="3031">
        <f t="shared" ca="1" si="116"/>
        <v>98.698794368998193</v>
      </c>
      <c r="BH365" s="3031">
        <f t="shared" ca="1" si="116"/>
        <v>103.819221533879</v>
      </c>
      <c r="BI365" s="3031">
        <f t="shared" ca="1" si="116"/>
        <v>109.56385666370986</v>
      </c>
    </row>
    <row r="366" spans="1:61" s="3028" customFormat="1" ht="13.5" customHeight="1">
      <c r="A366" s="3025"/>
      <c r="B366" s="3026"/>
      <c r="C366" s="3027" t="s">
        <v>330</v>
      </c>
      <c r="D366" s="3027" t="str">
        <f>INDEX(Workstreams[Workstream], MATCH($C366, Workstreams[Code], 0))</f>
        <v>Telecom</v>
      </c>
      <c r="E366" s="3027"/>
      <c r="G366" s="3029"/>
      <c r="H366" s="3030"/>
      <c r="I366" s="3030"/>
      <c r="J366" s="3030"/>
      <c r="K366" s="3030"/>
      <c r="L366" s="3030"/>
      <c r="M366" s="3030"/>
      <c r="N366" s="3030"/>
      <c r="O366" s="3030"/>
      <c r="P366" s="3030"/>
      <c r="Q366" s="3030"/>
      <c r="R366" s="3030"/>
      <c r="S366" s="3030"/>
      <c r="T366" s="3030"/>
      <c r="U366" s="3030"/>
      <c r="V366" s="3030"/>
      <c r="W366" s="3030"/>
      <c r="X366" s="3030"/>
      <c r="Y366" s="3030"/>
      <c r="Z366" s="3030"/>
      <c r="AA366" s="3030"/>
      <c r="AB366" s="3030"/>
      <c r="AC366" s="3030"/>
      <c r="AD366" s="3030"/>
      <c r="AE366" s="3030"/>
      <c r="AF366" s="3030"/>
      <c r="AG366" s="3030"/>
      <c r="AH366" s="3030"/>
      <c r="AI366" s="3030"/>
      <c r="AJ366" s="3030"/>
      <c r="AK366" s="3030"/>
      <c r="AL366" s="3030"/>
      <c r="AM366" s="3030"/>
      <c r="AN366" s="3030"/>
      <c r="AO366" s="3030"/>
      <c r="AP366" s="3030"/>
      <c r="AQ366" s="3030"/>
      <c r="AR366" s="3030"/>
      <c r="AS366" s="3030"/>
      <c r="AT366" s="3030"/>
      <c r="AU366" s="3030"/>
      <c r="AV366" s="3030"/>
      <c r="AW366" s="3030"/>
      <c r="AX366" s="1333"/>
      <c r="AY366" s="3031">
        <f t="shared" ca="1" si="115"/>
        <v>3.0726872469131559</v>
      </c>
      <c r="BA366" s="3031">
        <f t="shared" ca="1" si="116"/>
        <v>18.29421654212566</v>
      </c>
      <c r="BB366" s="3031">
        <f t="shared" ca="1" si="116"/>
        <v>21.177514905456842</v>
      </c>
      <c r="BC366" s="3031">
        <f t="shared" ca="1" si="116"/>
        <v>25.074678438244892</v>
      </c>
      <c r="BD366" s="3031">
        <f t="shared" ca="1" si="116"/>
        <v>32.320342968977968</v>
      </c>
      <c r="BE366" s="3031">
        <f t="shared" ca="1" si="116"/>
        <v>36.462928193339295</v>
      </c>
      <c r="BF366" s="3031">
        <f t="shared" ca="1" si="116"/>
        <v>35.469500008939789</v>
      </c>
      <c r="BG366" s="3031">
        <f t="shared" ca="1" si="116"/>
        <v>36.23072660274935</v>
      </c>
      <c r="BH366" s="3031">
        <f t="shared" ca="1" si="116"/>
        <v>41.661688969135909</v>
      </c>
      <c r="BI366" s="3031">
        <f t="shared" ca="1" si="116"/>
        <v>52.715327395312691</v>
      </c>
    </row>
    <row r="367" spans="1:61" s="3028" customFormat="1" ht="13.5" customHeight="1">
      <c r="A367" s="3025"/>
      <c r="B367" s="3026"/>
      <c r="C367" s="3027" t="s">
        <v>190</v>
      </c>
      <c r="D367" s="3027" t="s">
        <v>492</v>
      </c>
      <c r="E367" s="3027"/>
      <c r="G367" s="3029"/>
      <c r="H367" s="3030"/>
      <c r="I367" s="3030"/>
      <c r="J367" s="3030"/>
      <c r="K367" s="3030"/>
      <c r="L367" s="3030"/>
      <c r="M367" s="3030"/>
      <c r="N367" s="3030"/>
      <c r="O367" s="3030"/>
      <c r="P367" s="3030"/>
      <c r="Q367" s="3030"/>
      <c r="R367" s="3030"/>
      <c r="S367" s="3030"/>
      <c r="T367" s="3030"/>
      <c r="U367" s="3030"/>
      <c r="V367" s="3030"/>
      <c r="W367" s="3030"/>
      <c r="X367" s="3030"/>
      <c r="Y367" s="3030"/>
      <c r="Z367" s="3030"/>
      <c r="AA367" s="3030"/>
      <c r="AB367" s="3030"/>
      <c r="AC367" s="3030"/>
      <c r="AD367" s="3030"/>
      <c r="AE367" s="3030"/>
      <c r="AF367" s="3030"/>
      <c r="AG367" s="3030"/>
      <c r="AH367" s="3030"/>
      <c r="AI367" s="3030"/>
      <c r="AJ367" s="3030"/>
      <c r="AK367" s="3030"/>
      <c r="AL367" s="3030"/>
      <c r="AM367" s="3030"/>
      <c r="AN367" s="3030"/>
      <c r="AO367" s="3030"/>
      <c r="AP367" s="3030"/>
      <c r="AQ367" s="3030"/>
      <c r="AR367" s="3030"/>
      <c r="AS367" s="3030"/>
      <c r="AT367" s="3030"/>
      <c r="AU367" s="3030"/>
      <c r="AV367" s="3030"/>
      <c r="AW367" s="3030"/>
      <c r="AX367" s="1333"/>
      <c r="AY367" s="3031">
        <f t="shared" ca="1" si="115"/>
        <v>-313.89366247877757</v>
      </c>
      <c r="BA367" s="3031">
        <f t="shared" ca="1" si="116"/>
        <v>-317.74488604405229</v>
      </c>
      <c r="BB367" s="3031">
        <f t="shared" ca="1" si="116"/>
        <v>-316.49941332858305</v>
      </c>
      <c r="BC367" s="3031">
        <f t="shared" ca="1" si="116"/>
        <v>-315.46610321588201</v>
      </c>
      <c r="BD367" s="3031">
        <f t="shared" ca="1" si="116"/>
        <v>-314.6889283958385</v>
      </c>
      <c r="BE367" s="3031">
        <f t="shared" ca="1" si="116"/>
        <v>-314.23239533992523</v>
      </c>
      <c r="BF367" s="3031">
        <f t="shared" ca="1" si="116"/>
        <v>-313.99481361351673</v>
      </c>
      <c r="BG367" s="3031">
        <f t="shared" ca="1" si="116"/>
        <v>-312.92388420747147</v>
      </c>
      <c r="BH367" s="3031">
        <f t="shared" ca="1" si="116"/>
        <v>-312.11179177995979</v>
      </c>
      <c r="BI367" s="3031">
        <f t="shared" ca="1" si="116"/>
        <v>-311.84926752683651</v>
      </c>
    </row>
    <row r="368" spans="1:61" s="3028" customFormat="1" ht="13.5" customHeight="1">
      <c r="A368" s="3025"/>
      <c r="B368" s="3026"/>
      <c r="C368" s="1333"/>
      <c r="D368" s="3027" t="s">
        <v>103</v>
      </c>
      <c r="E368" s="3027"/>
      <c r="G368" s="3027"/>
      <c r="H368" s="3032"/>
      <c r="I368" s="3032"/>
      <c r="J368" s="3032"/>
      <c r="K368" s="3032"/>
      <c r="L368" s="3032"/>
      <c r="M368" s="3032"/>
      <c r="N368" s="3032"/>
      <c r="O368" s="3032"/>
      <c r="P368" s="3032"/>
      <c r="Q368" s="3032"/>
      <c r="R368" s="3032"/>
      <c r="S368" s="3032"/>
      <c r="T368" s="3032"/>
      <c r="U368" s="3032"/>
      <c r="V368" s="3032"/>
      <c r="W368" s="3032"/>
      <c r="X368" s="3032"/>
      <c r="Y368" s="3032"/>
      <c r="Z368" s="3032"/>
      <c r="AA368" s="3032"/>
      <c r="AB368" s="3032"/>
      <c r="AC368" s="3032"/>
      <c r="AD368" s="3032"/>
      <c r="AE368" s="3032"/>
      <c r="AF368" s="3032"/>
      <c r="AG368" s="3032"/>
      <c r="AH368" s="3032"/>
      <c r="AI368" s="3032"/>
      <c r="AJ368" s="3032"/>
      <c r="AK368" s="3032"/>
      <c r="AL368" s="3032"/>
      <c r="AM368" s="3032"/>
      <c r="AN368" s="3032"/>
      <c r="AO368" s="3032"/>
      <c r="AP368" s="3032"/>
      <c r="AQ368" s="3032"/>
      <c r="AR368" s="3032"/>
      <c r="AS368" s="3032"/>
      <c r="AT368" s="3032"/>
      <c r="AU368" s="3032"/>
      <c r="AV368" s="3032"/>
      <c r="AW368" s="3032"/>
      <c r="AX368" s="1333"/>
      <c r="AY368" s="3033">
        <f ca="1">SUM(AY359:AY367)</f>
        <v>1195.8572826101824</v>
      </c>
      <c r="BA368" s="3033">
        <f t="shared" ref="BA368:BI368" ca="1" si="117">SUM(BA359:BA367)</f>
        <v>1733.1001289422811</v>
      </c>
      <c r="BB368" s="3033">
        <f t="shared" ca="1" si="117"/>
        <v>2533.7480441334883</v>
      </c>
      <c r="BC368" s="3033">
        <f t="shared" ca="1" si="117"/>
        <v>3806.5855192566141</v>
      </c>
      <c r="BD368" s="3033">
        <f t="shared" ca="1" si="117"/>
        <v>5353.8417564593346</v>
      </c>
      <c r="BE368" s="3033">
        <f t="shared" ca="1" si="117"/>
        <v>7378.9613953270873</v>
      </c>
      <c r="BF368" s="3033">
        <f t="shared" ca="1" si="117"/>
        <v>9144.171323693894</v>
      </c>
      <c r="BG368" s="3033">
        <f t="shared" ca="1" si="117"/>
        <v>11117.207383316707</v>
      </c>
      <c r="BH368" s="3033">
        <f t="shared" ca="1" si="117"/>
        <v>12981.228276226235</v>
      </c>
      <c r="BI368" s="3033">
        <f t="shared" ca="1" si="117"/>
        <v>14990.151831648607</v>
      </c>
    </row>
    <row r="369" spans="1:99" s="3020" customFormat="1">
      <c r="A369" s="3012"/>
      <c r="B369" s="3024"/>
      <c r="C369" s="3024"/>
      <c r="D369" s="3024"/>
      <c r="E369" s="3024"/>
      <c r="F369" s="3024"/>
      <c r="G369" s="3024"/>
      <c r="H369" s="3024"/>
      <c r="I369" s="3024"/>
      <c r="J369" s="3024"/>
      <c r="K369" s="3024"/>
      <c r="L369" s="3024"/>
      <c r="M369" s="3024"/>
      <c r="N369" s="3024"/>
      <c r="O369" s="3024"/>
      <c r="P369" s="3024"/>
      <c r="Q369" s="3024"/>
      <c r="R369" s="3024"/>
      <c r="S369" s="3024"/>
      <c r="T369" s="3024"/>
      <c r="U369" s="3024"/>
      <c r="V369" s="3024"/>
      <c r="W369" s="3024"/>
      <c r="X369" s="3024"/>
      <c r="Y369" s="3024"/>
      <c r="Z369" s="3024"/>
      <c r="AA369" s="3024"/>
      <c r="AB369" s="3024"/>
      <c r="AC369" s="3024"/>
      <c r="AD369" s="3024"/>
      <c r="AE369" s="3024"/>
      <c r="AF369" s="3024"/>
      <c r="AG369" s="3024"/>
      <c r="AH369" s="3024"/>
      <c r="AI369" s="3024"/>
      <c r="AJ369" s="3024"/>
      <c r="AK369" s="3024"/>
      <c r="AL369" s="3024"/>
      <c r="AM369" s="3024"/>
      <c r="AN369" s="3024"/>
      <c r="AO369" s="3024"/>
      <c r="AP369" s="3024"/>
      <c r="AQ369" s="3024"/>
      <c r="AR369" s="3024"/>
      <c r="AS369" s="3024"/>
      <c r="AT369" s="3024"/>
      <c r="AU369" s="3024"/>
      <c r="AV369" s="3024"/>
      <c r="AW369" s="3024"/>
      <c r="AX369" s="3024"/>
      <c r="AY369" s="3024"/>
      <c r="BA369" s="3024"/>
      <c r="BB369" s="3024"/>
      <c r="BC369" s="3024"/>
      <c r="BD369" s="3024"/>
      <c r="BE369" s="3024"/>
      <c r="BF369" s="3024"/>
      <c r="BG369" s="3024"/>
      <c r="BH369" s="3024"/>
      <c r="BI369" s="3024"/>
    </row>
    <row r="370" spans="1:99" s="3020" customFormat="1">
      <c r="A370" s="3012"/>
      <c r="B370" s="3024"/>
      <c r="C370" s="3024"/>
      <c r="D370" s="3024"/>
      <c r="E370" s="3024"/>
      <c r="F370" s="3024"/>
      <c r="G370" s="3024"/>
      <c r="H370" s="3024"/>
      <c r="I370" s="3024"/>
      <c r="J370" s="3024"/>
      <c r="K370" s="3024"/>
      <c r="L370" s="3024"/>
      <c r="M370" s="3024"/>
      <c r="N370" s="3024"/>
      <c r="O370" s="3024"/>
      <c r="P370" s="3024"/>
      <c r="Q370" s="3024"/>
      <c r="R370" s="3024"/>
      <c r="S370" s="3024"/>
      <c r="T370" s="3024"/>
      <c r="U370" s="3024"/>
      <c r="V370" s="3024"/>
      <c r="W370" s="3024"/>
      <c r="X370" s="3024"/>
      <c r="Y370" s="3024"/>
      <c r="Z370" s="3024"/>
      <c r="AA370" s="3024"/>
      <c r="AB370" s="3024"/>
      <c r="AC370" s="3024"/>
      <c r="AD370" s="3024"/>
      <c r="AE370" s="3024"/>
      <c r="AF370" s="3024"/>
      <c r="AG370" s="3024"/>
      <c r="AH370" s="3024"/>
      <c r="AI370" s="3024"/>
      <c r="AJ370" s="3024"/>
      <c r="AK370" s="3024"/>
      <c r="AL370" s="3024"/>
      <c r="AM370" s="3024"/>
      <c r="AN370" s="3024"/>
      <c r="AO370" s="3024"/>
      <c r="AP370" s="3024"/>
      <c r="AQ370" s="3024"/>
      <c r="AR370" s="3024"/>
      <c r="AS370" s="3024"/>
      <c r="AT370" s="3024"/>
      <c r="AU370" s="3024"/>
      <c r="AV370" s="3024"/>
      <c r="AW370" s="3024"/>
      <c r="AX370" s="3024"/>
      <c r="AY370" s="3024"/>
      <c r="BA370" s="3024"/>
      <c r="BB370" s="3024"/>
      <c r="BC370" s="3024"/>
      <c r="BD370" s="3024"/>
      <c r="BE370" s="3024"/>
      <c r="BF370" s="3024"/>
      <c r="BG370" s="3024"/>
      <c r="BH370" s="3024"/>
      <c r="BI370" s="3024"/>
    </row>
    <row r="371" spans="1:99" s="3020" customFormat="1">
      <c r="A371" s="3012"/>
      <c r="B371" s="3024"/>
      <c r="C371" s="3023" t="s">
        <v>2357</v>
      </c>
      <c r="D371" s="3024"/>
      <c r="E371" s="3024"/>
      <c r="F371" s="3024"/>
      <c r="G371" s="3024"/>
      <c r="H371" s="3024"/>
      <c r="I371" s="3024"/>
      <c r="J371" s="3024"/>
      <c r="K371" s="3024"/>
      <c r="L371" s="3024"/>
      <c r="M371" s="3024"/>
      <c r="N371" s="3024"/>
      <c r="O371" s="3024"/>
      <c r="P371" s="3024"/>
      <c r="Q371" s="3024"/>
      <c r="R371" s="3024"/>
      <c r="S371" s="3024"/>
      <c r="T371" s="3024"/>
      <c r="U371" s="3024"/>
      <c r="V371" s="3024"/>
      <c r="W371" s="3024"/>
      <c r="X371" s="3024"/>
      <c r="Y371" s="3024"/>
      <c r="Z371" s="3024"/>
      <c r="AA371" s="3024"/>
      <c r="AB371" s="3024"/>
      <c r="AC371" s="3024"/>
      <c r="AD371" s="3024"/>
      <c r="AE371" s="3024"/>
      <c r="AF371" s="3024"/>
      <c r="AG371" s="3024"/>
      <c r="AH371" s="3024"/>
      <c r="AI371" s="3024"/>
      <c r="AJ371" s="3024"/>
      <c r="AK371" s="3024"/>
      <c r="AL371" s="3024"/>
      <c r="AM371" s="3024"/>
      <c r="AN371" s="3024"/>
      <c r="AO371" s="3024"/>
      <c r="AP371" s="3024"/>
      <c r="AQ371" s="3024"/>
      <c r="AR371" s="3024"/>
      <c r="AS371" s="3024"/>
      <c r="AT371" s="3024"/>
      <c r="AU371" s="3024"/>
      <c r="AV371" s="3024"/>
      <c r="AW371" s="3024"/>
      <c r="AX371" s="3024"/>
      <c r="AY371" s="3024"/>
      <c r="BA371" s="3024"/>
      <c r="BB371" s="3024"/>
      <c r="BC371" s="3024"/>
      <c r="BD371" s="3024"/>
      <c r="BE371" s="3024"/>
      <c r="BF371" s="3024"/>
      <c r="BG371" s="3024"/>
      <c r="BH371" s="3024"/>
      <c r="BI371" s="3024"/>
    </row>
    <row r="372" spans="1:99" s="3020" customFormat="1">
      <c r="A372" s="3012"/>
      <c r="B372" s="3024"/>
      <c r="C372" s="3024"/>
      <c r="D372" s="3024"/>
      <c r="E372" s="3024"/>
      <c r="F372" s="3024"/>
      <c r="G372" s="3024"/>
      <c r="H372" s="3024"/>
      <c r="I372" s="3024"/>
      <c r="J372" s="3024"/>
      <c r="K372" s="3024"/>
      <c r="L372" s="3024"/>
      <c r="M372" s="3024"/>
      <c r="N372" s="3024"/>
      <c r="O372" s="3024"/>
      <c r="P372" s="3024"/>
      <c r="Q372" s="3024"/>
      <c r="R372" s="3024"/>
      <c r="S372" s="3024"/>
      <c r="T372" s="3024"/>
      <c r="U372" s="3024"/>
      <c r="V372" s="3024"/>
      <c r="W372" s="3024"/>
      <c r="X372" s="3024"/>
      <c r="Y372" s="3024"/>
      <c r="Z372" s="3024"/>
      <c r="AA372" s="3024"/>
      <c r="AB372" s="3024"/>
      <c r="AC372" s="3024"/>
      <c r="AD372" s="3024"/>
      <c r="AE372" s="3024"/>
      <c r="AF372" s="3024"/>
      <c r="AG372" s="3024"/>
      <c r="AH372" s="3024"/>
      <c r="AI372" s="3024"/>
      <c r="AJ372" s="3024"/>
      <c r="AK372" s="3024"/>
      <c r="AL372" s="3024"/>
      <c r="AM372" s="3024"/>
      <c r="AN372" s="3024"/>
      <c r="AO372" s="3024"/>
      <c r="AP372" s="3024"/>
      <c r="AQ372" s="3024"/>
      <c r="AR372" s="3024"/>
      <c r="AS372" s="3024"/>
      <c r="AT372" s="3024"/>
      <c r="AU372" s="3024"/>
      <c r="AV372" s="3024"/>
      <c r="AW372" s="3024"/>
      <c r="AX372" s="3024"/>
      <c r="AY372" s="3024">
        <v>2007</v>
      </c>
      <c r="BA372" s="3024">
        <f>AY372+5</f>
        <v>2012</v>
      </c>
      <c r="BB372" s="3024">
        <f t="shared" ref="BB372:BI372" si="118">BA372+5</f>
        <v>2017</v>
      </c>
      <c r="BC372" s="3024">
        <f t="shared" si="118"/>
        <v>2022</v>
      </c>
      <c r="BD372" s="3024">
        <f t="shared" si="118"/>
        <v>2027</v>
      </c>
      <c r="BE372" s="3024">
        <f t="shared" si="118"/>
        <v>2032</v>
      </c>
      <c r="BF372" s="3024">
        <f t="shared" si="118"/>
        <v>2037</v>
      </c>
      <c r="BG372" s="3024">
        <f t="shared" si="118"/>
        <v>2042</v>
      </c>
      <c r="BH372" s="3024">
        <f t="shared" si="118"/>
        <v>2047</v>
      </c>
      <c r="BI372" s="3024">
        <f t="shared" si="118"/>
        <v>2052</v>
      </c>
    </row>
    <row r="373" spans="1:99" s="3020" customFormat="1">
      <c r="A373" s="3012"/>
      <c r="B373" s="3024"/>
      <c r="C373" s="3057" t="s">
        <v>60</v>
      </c>
      <c r="D373" s="3057" t="s">
        <v>157</v>
      </c>
      <c r="E373" s="3024"/>
      <c r="F373" s="3024"/>
      <c r="G373" s="3024"/>
      <c r="H373" s="3024"/>
      <c r="I373" s="3024"/>
      <c r="J373" s="3024"/>
      <c r="K373" s="3024"/>
      <c r="L373" s="3024"/>
      <c r="M373" s="3024"/>
      <c r="N373" s="3024"/>
      <c r="O373" s="3024"/>
      <c r="P373" s="3024"/>
      <c r="Q373" s="3024"/>
      <c r="R373" s="3024"/>
      <c r="S373" s="3024"/>
      <c r="T373" s="3024"/>
      <c r="U373" s="3024"/>
      <c r="V373" s="3024"/>
      <c r="W373" s="3024"/>
      <c r="X373" s="3024"/>
      <c r="Y373" s="3024"/>
      <c r="Z373" s="3024"/>
      <c r="AA373" s="3024"/>
      <c r="AB373" s="3024"/>
      <c r="AC373" s="3024"/>
      <c r="AD373" s="3024"/>
      <c r="AE373" s="3024"/>
      <c r="AF373" s="3024"/>
      <c r="AG373" s="3024"/>
      <c r="AH373" s="3024"/>
      <c r="AI373" s="3024"/>
      <c r="AJ373" s="3024"/>
      <c r="AK373" s="3024"/>
      <c r="AL373" s="3024"/>
      <c r="AM373" s="3024"/>
      <c r="AN373" s="3024"/>
      <c r="AO373" s="3024"/>
      <c r="AP373" s="3024"/>
      <c r="AQ373" s="3024"/>
      <c r="AR373" s="3024"/>
      <c r="AS373" s="3024"/>
      <c r="AT373" s="3024"/>
      <c r="AU373" s="3024"/>
      <c r="AV373" s="3024"/>
      <c r="AW373" s="3024"/>
      <c r="AX373" s="3024"/>
      <c r="AY373" s="3024">
        <f ca="1">(AY359*10^6)/'Global assumptions'!$C$6</f>
        <v>0.48938468879926023</v>
      </c>
      <c r="BA373" s="3024">
        <f ca="1">(BA359*10^6)/'Global assumptions'!$C$7</f>
        <v>0.64689047306642289</v>
      </c>
      <c r="BB373" s="3024">
        <f ca="1">(BB359*10^6)/'Global assumptions'!$C$8</f>
        <v>0.8409683923431307</v>
      </c>
      <c r="BC373" s="3024">
        <f ca="1">(BC359*10^6)/'Global assumptions'!$C$9</f>
        <v>1.1613498817541481</v>
      </c>
      <c r="BD373" s="3024">
        <f ca="1">(BD359*10^6)/'Global assumptions'!$C$10</f>
        <v>1.5690959178345096</v>
      </c>
      <c r="BE373" s="3024">
        <f ca="1">(BE359*10^6)/'Global assumptions'!$C$11</f>
        <v>2.084055482026296</v>
      </c>
      <c r="BF373" s="3024">
        <f ca="1">(BF359*10^6)/'Global assumptions'!$C$12</f>
        <v>2.5258677225809634</v>
      </c>
      <c r="BG373" s="3024">
        <f ca="1">(BG359*10^6)/'Global assumptions'!$C$13</f>
        <v>2.997500606581319</v>
      </c>
      <c r="BH373" s="3024">
        <f ca="1">(BH359*10^6)/'Global assumptions'!$C$14</f>
        <v>3.4322870171928224</v>
      </c>
      <c r="BI373" s="3024">
        <f ca="1">(BI359*10^6)/'Global assumptions'!$C$15</f>
        <v>3.889090710177689</v>
      </c>
    </row>
    <row r="374" spans="1:99" s="3020" customFormat="1">
      <c r="A374" s="3012"/>
      <c r="B374" s="3024"/>
      <c r="C374" s="3027" t="s">
        <v>195</v>
      </c>
      <c r="D374" s="3027" t="str">
        <f>INDEX(Workstreams[Workstream], MATCH($C374, Workstreams[Code], 0))</f>
        <v>Buildings</v>
      </c>
      <c r="E374" s="3027"/>
      <c r="G374" s="3024"/>
      <c r="H374" s="3024"/>
      <c r="I374" s="3024"/>
      <c r="J374" s="3024"/>
      <c r="K374" s="3024"/>
      <c r="L374" s="3024"/>
      <c r="M374" s="3024"/>
      <c r="N374" s="3024"/>
      <c r="O374" s="3024"/>
      <c r="P374" s="3024"/>
      <c r="Q374" s="3024"/>
      <c r="R374" s="3024"/>
      <c r="S374" s="3024"/>
      <c r="T374" s="3024"/>
      <c r="U374" s="3024"/>
      <c r="V374" s="3024"/>
      <c r="W374" s="3024"/>
      <c r="X374" s="3024"/>
      <c r="Y374" s="3024"/>
      <c r="Z374" s="3024"/>
      <c r="AA374" s="3024"/>
      <c r="AB374" s="3024"/>
      <c r="AC374" s="3024"/>
      <c r="AD374" s="3024"/>
      <c r="AE374" s="3024"/>
      <c r="AF374" s="3024"/>
      <c r="AG374" s="3024"/>
      <c r="AH374" s="3024"/>
      <c r="AI374" s="3024"/>
      <c r="AJ374" s="3024"/>
      <c r="AK374" s="3024"/>
      <c r="AL374" s="3024"/>
      <c r="AM374" s="3024"/>
      <c r="AN374" s="3024"/>
      <c r="AO374" s="3024"/>
      <c r="AP374" s="3024"/>
      <c r="AQ374" s="3024"/>
      <c r="AR374" s="3024"/>
      <c r="AS374" s="3024"/>
      <c r="AT374" s="3024"/>
      <c r="AU374" s="3024"/>
      <c r="AV374" s="3024"/>
      <c r="AW374" s="3024"/>
      <c r="AX374" s="3024"/>
      <c r="AY374" s="3024">
        <f ca="1">(AY360*10^6)/'Global assumptions'!$C$6</f>
        <v>0</v>
      </c>
      <c r="BA374" s="3024">
        <f ca="1">(BA360*10^6)/'Global assumptions'!$C$7</f>
        <v>0</v>
      </c>
      <c r="BB374" s="3024">
        <f ca="1">(BB360*10^6)/'Global assumptions'!$C$8</f>
        <v>0</v>
      </c>
      <c r="BC374" s="3024">
        <f ca="1">(BC360*10^6)/'Global assumptions'!$C$9</f>
        <v>0</v>
      </c>
      <c r="BD374" s="3024">
        <f ca="1">(BD360*10^6)/'Global assumptions'!$C$10</f>
        <v>0</v>
      </c>
      <c r="BE374" s="3024">
        <f ca="1">(BE360*10^6)/'Global assumptions'!$C$11</f>
        <v>0</v>
      </c>
      <c r="BF374" s="3024">
        <f ca="1">(BF360*10^6)/'Global assumptions'!$C$12</f>
        <v>0</v>
      </c>
      <c r="BG374" s="3024">
        <f ca="1">(BG360*10^6)/'Global assumptions'!$C$13</f>
        <v>0</v>
      </c>
      <c r="BH374" s="3024">
        <f ca="1">(BH360*10^6)/'Global assumptions'!$C$14</f>
        <v>0</v>
      </c>
      <c r="BI374" s="3024">
        <f ca="1">(BI360*10^6)/'Global assumptions'!$C$15</f>
        <v>0</v>
      </c>
    </row>
    <row r="375" spans="1:99" s="3020" customFormat="1">
      <c r="A375" s="3012"/>
      <c r="B375" s="3024"/>
      <c r="C375" s="3027" t="s">
        <v>196</v>
      </c>
      <c r="D375" s="3027" t="str">
        <f>INDEX(Workstreams[Workstream], MATCH($C375, Workstreams[Code], 0))</f>
        <v>Lighting and appliances</v>
      </c>
      <c r="E375" s="3027"/>
      <c r="G375" s="3024"/>
      <c r="H375" s="3024"/>
      <c r="I375" s="3024"/>
      <c r="J375" s="3024"/>
      <c r="K375" s="3024"/>
      <c r="L375" s="3024"/>
      <c r="M375" s="3024"/>
      <c r="N375" s="3024"/>
      <c r="O375" s="3024"/>
      <c r="P375" s="3024"/>
      <c r="Q375" s="3024"/>
      <c r="R375" s="3024"/>
      <c r="S375" s="3024"/>
      <c r="T375" s="3024"/>
      <c r="U375" s="3024"/>
      <c r="V375" s="3024"/>
      <c r="W375" s="3024"/>
      <c r="X375" s="3024"/>
      <c r="Y375" s="3024"/>
      <c r="Z375" s="3024"/>
      <c r="AA375" s="3024"/>
      <c r="AB375" s="3024"/>
      <c r="AC375" s="3024"/>
      <c r="AD375" s="3024"/>
      <c r="AE375" s="3024"/>
      <c r="AF375" s="3024"/>
      <c r="AG375" s="3024"/>
      <c r="AH375" s="3024"/>
      <c r="AI375" s="3024"/>
      <c r="AJ375" s="3024"/>
      <c r="AK375" s="3024"/>
      <c r="AL375" s="3024"/>
      <c r="AM375" s="3024"/>
      <c r="AN375" s="3024"/>
      <c r="AO375" s="3024"/>
      <c r="AP375" s="3024"/>
      <c r="AQ375" s="3024"/>
      <c r="AR375" s="3024"/>
      <c r="AS375" s="3024"/>
      <c r="AT375" s="3024"/>
      <c r="AU375" s="3024"/>
      <c r="AV375" s="3024"/>
      <c r="AW375" s="3024"/>
      <c r="AX375" s="3024"/>
      <c r="AY375" s="3024">
        <f ca="1">(AY361*10^6)/'Global assumptions'!$C$6</f>
        <v>1.639879017252045E-3</v>
      </c>
      <c r="BA375" s="3024">
        <f ca="1">(BA361*10^6)/'Global assumptions'!$C$7</f>
        <v>1.507431337760021E-3</v>
      </c>
      <c r="BB375" s="3024">
        <f ca="1">(BB361*10^6)/'Global assumptions'!$C$8</f>
        <v>1.205507870930196E-3</v>
      </c>
      <c r="BC375" s="3024">
        <f ca="1">(BC361*10^6)/'Global assumptions'!$C$9</f>
        <v>9.0494583412001415E-4</v>
      </c>
      <c r="BD375" s="3024">
        <f ca="1">(BD361*10^6)/'Global assumptions'!$C$10</f>
        <v>6.1893660179435323E-4</v>
      </c>
      <c r="BE375" s="3024">
        <f ca="1">(BE361*10^6)/'Global assumptions'!$C$11</f>
        <v>3.3382595187555353E-4</v>
      </c>
      <c r="BF375" s="3024">
        <f ca="1">(BF361*10^6)/'Global assumptions'!$C$12</f>
        <v>2.5799543770821035E-4</v>
      </c>
      <c r="BG375" s="3024">
        <f ca="1">(BG361*10^6)/'Global assumptions'!$C$13</f>
        <v>1.7450426037588364E-4</v>
      </c>
      <c r="BH375" s="3024">
        <f ca="1">(BH361*10^6)/'Global assumptions'!$C$14</f>
        <v>8.9901932570923281E-5</v>
      </c>
      <c r="BI375" s="3024">
        <f ca="1">(BI361*10^6)/'Global assumptions'!$C$15</f>
        <v>0</v>
      </c>
    </row>
    <row r="376" spans="1:99" s="3020" customFormat="1">
      <c r="A376" s="3012"/>
      <c r="B376" s="3024"/>
      <c r="C376" s="3027" t="s">
        <v>197</v>
      </c>
      <c r="D376" s="3027" t="str">
        <f>INDEX(Workstreams[Workstream], MATCH($C376, Workstreams[Code], 0))</f>
        <v>Industry</v>
      </c>
      <c r="E376" s="3027"/>
      <c r="G376" s="3024"/>
      <c r="H376" s="3024"/>
      <c r="I376" s="3024"/>
      <c r="J376" s="3024"/>
      <c r="K376" s="3024"/>
      <c r="L376" s="3024"/>
      <c r="M376" s="3024"/>
      <c r="N376" s="3024"/>
      <c r="O376" s="3024"/>
      <c r="P376" s="3024"/>
      <c r="Q376" s="3024"/>
      <c r="R376" s="3024"/>
      <c r="S376" s="3024"/>
      <c r="T376" s="3024"/>
      <c r="U376" s="3024"/>
      <c r="V376" s="3024"/>
      <c r="W376" s="3024"/>
      <c r="X376" s="3024"/>
      <c r="Y376" s="3024"/>
      <c r="Z376" s="3024"/>
      <c r="AA376" s="3024"/>
      <c r="AB376" s="3024"/>
      <c r="AC376" s="3024"/>
      <c r="AD376" s="3024"/>
      <c r="AE376" s="3024"/>
      <c r="AF376" s="3024"/>
      <c r="AG376" s="3024"/>
      <c r="AH376" s="3024"/>
      <c r="AI376" s="3024"/>
      <c r="AJ376" s="3024"/>
      <c r="AK376" s="3024"/>
      <c r="AL376" s="3024"/>
      <c r="AM376" s="3024"/>
      <c r="AN376" s="3024"/>
      <c r="AO376" s="3024"/>
      <c r="AP376" s="3024"/>
      <c r="AQ376" s="3024"/>
      <c r="AR376" s="3024"/>
      <c r="AS376" s="3024"/>
      <c r="AT376" s="3024"/>
      <c r="AU376" s="3024"/>
      <c r="AV376" s="3024"/>
      <c r="AW376" s="3024"/>
      <c r="AX376" s="3024"/>
      <c r="AY376" s="3024">
        <f ca="1">(AY362*10^6)/'Global assumptions'!$C$6</f>
        <v>0.53976712376974345</v>
      </c>
      <c r="BA376" s="3024">
        <f ca="1">(BA362*10^6)/'Global assumptions'!$C$7</f>
        <v>0.80524021199931717</v>
      </c>
      <c r="BB376" s="3024">
        <f ca="1">(BB362*10^6)/'Global assumptions'!$C$8</f>
        <v>1.0401477604330305</v>
      </c>
      <c r="BC376" s="3024">
        <f ca="1">(BC362*10^6)/'Global assumptions'!$C$9</f>
        <v>1.390745010190839</v>
      </c>
      <c r="BD376" s="3024">
        <f ca="1">(BD362*10^6)/'Global assumptions'!$C$10</f>
        <v>1.7779882461424896</v>
      </c>
      <c r="BE376" s="3024">
        <f ca="1">(BE362*10^6)/'Global assumptions'!$C$11</f>
        <v>2.1626267540963697</v>
      </c>
      <c r="BF376" s="3024">
        <f ca="1">(BF362*10^6)/'Global assumptions'!$C$12</f>
        <v>2.5758648793227428</v>
      </c>
      <c r="BG376" s="3024">
        <f ca="1">(BG362*10^6)/'Global assumptions'!$C$13</f>
        <v>2.918870951790884</v>
      </c>
      <c r="BH376" s="3024">
        <f ca="1">(BH362*10^6)/'Global assumptions'!$C$14</f>
        <v>3.2387740328772501</v>
      </c>
      <c r="BI376" s="3024">
        <f ca="1">(BI362*10^6)/'Global assumptions'!$C$15</f>
        <v>3.5282333428632566</v>
      </c>
    </row>
    <row r="377" spans="1:99" s="3020" customFormat="1">
      <c r="A377" s="3012"/>
      <c r="B377" s="3024"/>
      <c r="C377" s="3027" t="s">
        <v>198</v>
      </c>
      <c r="D377" s="3027" t="str">
        <f>INDEX(Workstreams[Workstream], MATCH($C377, Workstreams[Code], 0))</f>
        <v>Transport</v>
      </c>
      <c r="E377" s="3027"/>
      <c r="G377" s="3024"/>
      <c r="H377" s="3024"/>
      <c r="I377" s="3024"/>
      <c r="J377" s="3024"/>
      <c r="K377" s="3024"/>
      <c r="L377" s="3024"/>
      <c r="M377" s="3024"/>
      <c r="N377" s="3024"/>
      <c r="O377" s="3024"/>
      <c r="P377" s="3024"/>
      <c r="Q377" s="3024"/>
      <c r="R377" s="3024"/>
      <c r="S377" s="3024"/>
      <c r="T377" s="3024"/>
      <c r="U377" s="3024"/>
      <c r="V377" s="3024"/>
      <c r="W377" s="3024"/>
      <c r="X377" s="3024"/>
      <c r="Y377" s="3024"/>
      <c r="Z377" s="3024"/>
      <c r="AA377" s="3024"/>
      <c r="AB377" s="3024"/>
      <c r="AC377" s="3024"/>
      <c r="AD377" s="3024"/>
      <c r="AE377" s="3024"/>
      <c r="AF377" s="3024"/>
      <c r="AG377" s="3024"/>
      <c r="AH377" s="3024"/>
      <c r="AI377" s="3024"/>
      <c r="AJ377" s="3024"/>
      <c r="AK377" s="3024"/>
      <c r="AL377" s="3024"/>
      <c r="AM377" s="3024"/>
      <c r="AN377" s="3024"/>
      <c r="AO377" s="3024"/>
      <c r="AP377" s="3024"/>
      <c r="AQ377" s="3024"/>
      <c r="AR377" s="3024"/>
      <c r="AS377" s="3024"/>
      <c r="AT377" s="3024"/>
      <c r="AU377" s="3024"/>
      <c r="AV377" s="3024"/>
      <c r="AW377" s="3024"/>
      <c r="AX377" s="3024"/>
      <c r="AY377" s="3024">
        <f ca="1">(AY363*10^6)/'Global assumptions'!$C$6</f>
        <v>0.18233183146503737</v>
      </c>
      <c r="BA377" s="3024">
        <f ca="1">(BA363*10^6)/'Global assumptions'!$C$7</f>
        <v>0.1823318314650374</v>
      </c>
      <c r="BB377" s="3024">
        <f ca="1">(BB363*10^6)/'Global assumptions'!$C$8</f>
        <v>0.25721526211505163</v>
      </c>
      <c r="BC377" s="3024">
        <f ca="1">(BC363*10^6)/'Global assumptions'!$C$9</f>
        <v>0.34528830154053319</v>
      </c>
      <c r="BD377" s="3024">
        <f ca="1">(BD363*10^6)/'Global assumptions'!$C$10</f>
        <v>0.44686040108075276</v>
      </c>
      <c r="BE377" s="3024">
        <f ca="1">(BE363*10^6)/'Global assumptions'!$C$11</f>
        <v>0.56128165117861384</v>
      </c>
      <c r="BF377" s="3024">
        <f ca="1">(BF363*10^6)/'Global assumptions'!$C$12</f>
        <v>0.69396687183221173</v>
      </c>
      <c r="BG377" s="3024">
        <f ca="1">(BG363*10^6)/'Global assumptions'!$C$13</f>
        <v>0.80648118767924148</v>
      </c>
      <c r="BH377" s="3024">
        <f ca="1">(BH363*10^6)/'Global assumptions'!$C$14</f>
        <v>0.93583873476594071</v>
      </c>
      <c r="BI377" s="3024">
        <f ca="1">(BI363*10^6)/'Global assumptions'!$C$15</f>
        <v>1.0543627819164929</v>
      </c>
    </row>
    <row r="378" spans="1:99" s="3020" customFormat="1">
      <c r="A378" s="3012"/>
      <c r="B378" s="3024"/>
      <c r="C378" s="3027" t="s">
        <v>199</v>
      </c>
      <c r="D378" s="3027" t="str">
        <f>INDEX(Workstreams[Workstream], MATCH($C378, Workstreams[Code], 0))</f>
        <v>Cooking</v>
      </c>
      <c r="E378" s="3027"/>
      <c r="G378" s="3024"/>
      <c r="H378" s="3024"/>
      <c r="I378" s="3024"/>
      <c r="J378" s="3024"/>
      <c r="K378" s="3024"/>
      <c r="L378" s="3024"/>
      <c r="M378" s="3024"/>
      <c r="N378" s="3024"/>
      <c r="O378" s="3024"/>
      <c r="P378" s="3024"/>
      <c r="Q378" s="3024"/>
      <c r="R378" s="3024"/>
      <c r="S378" s="3024"/>
      <c r="T378" s="3024"/>
      <c r="U378" s="3024"/>
      <c r="V378" s="3024"/>
      <c r="W378" s="3024"/>
      <c r="X378" s="3024"/>
      <c r="Y378" s="3024"/>
      <c r="Z378" s="3024"/>
      <c r="AA378" s="3024"/>
      <c r="AB378" s="3024"/>
      <c r="AC378" s="3024"/>
      <c r="AD378" s="3024"/>
      <c r="AE378" s="3024"/>
      <c r="AF378" s="3024"/>
      <c r="AG378" s="3024"/>
      <c r="AH378" s="3024"/>
      <c r="AI378" s="3024"/>
      <c r="AJ378" s="3024"/>
      <c r="AK378" s="3024"/>
      <c r="AL378" s="3024"/>
      <c r="AM378" s="3024"/>
      <c r="AN378" s="3024"/>
      <c r="AO378" s="3024"/>
      <c r="AP378" s="3024"/>
      <c r="AQ378" s="3024"/>
      <c r="AR378" s="3024"/>
      <c r="AS378" s="3024"/>
      <c r="AT378" s="3024"/>
      <c r="AU378" s="3024"/>
      <c r="AV378" s="3024"/>
      <c r="AW378" s="3024"/>
      <c r="AX378" s="3024"/>
      <c r="AY378" s="3024">
        <f ca="1">(AY364*10^6)/'Global assumptions'!$C$6</f>
        <v>8.8033945236082479E-3</v>
      </c>
      <c r="BA378" s="3024">
        <f ca="1">(BA364*10^6)/'Global assumptions'!$C$7</f>
        <v>1.3373016671749947E-2</v>
      </c>
      <c r="BB378" s="3024">
        <f ca="1">(BB364*10^6)/'Global assumptions'!$C$8</f>
        <v>1.8738597846006011E-2</v>
      </c>
      <c r="BC378" s="3024">
        <f ca="1">(BC364*10^6)/'Global assumptions'!$C$9</f>
        <v>2.5971141494073972E-2</v>
      </c>
      <c r="BD378" s="3024">
        <f ca="1">(BD364*10^6)/'Global assumptions'!$C$10</f>
        <v>3.6293475903969016E-2</v>
      </c>
      <c r="BE378" s="3024">
        <f ca="1">(BE364*10^6)/'Global assumptions'!$C$11</f>
        <v>0.12738289308793005</v>
      </c>
      <c r="BF378" s="3024">
        <f ca="1">(BF364*10^6)/'Global assumptions'!$C$12</f>
        <v>6.4742182652936353E-2</v>
      </c>
      <c r="BG378" s="3024">
        <f ca="1">(BG364*10^6)/'Global assumptions'!$C$13</f>
        <v>8.3036919050451463E-2</v>
      </c>
      <c r="BH378" s="3024">
        <f ca="1">(BH364*10^6)/'Global assumptions'!$C$14</f>
        <v>0.10810735141228947</v>
      </c>
      <c r="BI378" s="3024">
        <f ca="1">(BI364*10^6)/'Global assumptions'!$C$15</f>
        <v>0.14010245478353142</v>
      </c>
    </row>
    <row r="379" spans="1:99" s="3020" customFormat="1">
      <c r="A379" s="3012"/>
      <c r="B379" s="3024"/>
      <c r="C379" s="3027" t="s">
        <v>194</v>
      </c>
      <c r="D379" s="3027" t="str">
        <f>INDEX(Workstreams[Workstream], MATCH($C379, Workstreams[Code], 0))</f>
        <v>Agriculture</v>
      </c>
      <c r="E379" s="3027"/>
      <c r="G379" s="3024"/>
      <c r="H379" s="3024"/>
      <c r="I379" s="3024"/>
      <c r="J379" s="3024"/>
      <c r="K379" s="3024"/>
      <c r="L379" s="3024"/>
      <c r="M379" s="3024"/>
      <c r="N379" s="3024"/>
      <c r="O379" s="3024"/>
      <c r="P379" s="3024"/>
      <c r="Q379" s="3024"/>
      <c r="R379" s="3024"/>
      <c r="S379" s="3024"/>
      <c r="T379" s="3024"/>
      <c r="U379" s="3024"/>
      <c r="V379" s="3024"/>
      <c r="W379" s="3024"/>
      <c r="X379" s="3024"/>
      <c r="Y379" s="3024"/>
      <c r="Z379" s="3024"/>
      <c r="AA379" s="3024"/>
      <c r="AB379" s="3024"/>
      <c r="AC379" s="3024"/>
      <c r="AD379" s="3024"/>
      <c r="AE379" s="3024"/>
      <c r="AF379" s="3024"/>
      <c r="AG379" s="3024"/>
      <c r="AH379" s="3024"/>
      <c r="AI379" s="3024"/>
      <c r="AJ379" s="3024"/>
      <c r="AK379" s="3024"/>
      <c r="AL379" s="3024"/>
      <c r="AM379" s="3024"/>
      <c r="AN379" s="3024"/>
      <c r="AO379" s="3024"/>
      <c r="AP379" s="3024"/>
      <c r="AQ379" s="3024"/>
      <c r="AR379" s="3024"/>
      <c r="AS379" s="3024"/>
      <c r="AT379" s="3024"/>
      <c r="AU379" s="3024"/>
      <c r="AV379" s="3024"/>
      <c r="AW379" s="3024"/>
      <c r="AX379" s="3024"/>
      <c r="AY379" s="3024">
        <f ca="1">(AY365*10^6)/'Global assumptions'!$C$6</f>
        <v>1.7170999056361311E-2</v>
      </c>
      <c r="BA379" s="3024">
        <f ca="1">(BA365*10^6)/'Global assumptions'!$C$7</f>
        <v>2.223452500722467E-2</v>
      </c>
      <c r="BB379" s="3024">
        <f ca="1">(BB365*10^6)/'Global assumptions'!$C$8</f>
        <v>2.8766133763110963E-2</v>
      </c>
      <c r="BC379" s="3024">
        <f ca="1">(BC365*10^6)/'Global assumptions'!$C$9</f>
        <v>3.6857324652340144E-2</v>
      </c>
      <c r="BD379" s="3024">
        <f ca="1">(BD365*10^6)/'Global assumptions'!$C$10</f>
        <v>4.6912983398219296E-2</v>
      </c>
      <c r="BE379" s="3024">
        <f ca="1">(BE365*10^6)/'Global assumptions'!$C$11</f>
        <v>5.5872488513873601E-2</v>
      </c>
      <c r="BF379" s="3024">
        <f ca="1">(BF365*10^6)/'Global assumptions'!$C$12</f>
        <v>5.7524182172931315E-2</v>
      </c>
      <c r="BG379" s="3024">
        <f ca="1">(BG365*10^6)/'Global assumptions'!$C$13</f>
        <v>5.9472185002727183E-2</v>
      </c>
      <c r="BH379" s="3024">
        <f ca="1">(BH365*10^6)/'Global assumptions'!$C$14</f>
        <v>6.0920592392045489E-2</v>
      </c>
      <c r="BI379" s="3024">
        <f ca="1">(BI365*10^6)/'Global assumptions'!$C$15</f>
        <v>6.2322204638195017E-2</v>
      </c>
    </row>
    <row r="380" spans="1:99" s="3020" customFormat="1">
      <c r="A380" s="3012"/>
      <c r="B380" s="3024"/>
      <c r="C380" s="3027" t="s">
        <v>330</v>
      </c>
      <c r="D380" s="3027" t="str">
        <f>INDEX(Workstreams[Workstream], MATCH($C380, Workstreams[Code], 0))</f>
        <v>Telecom</v>
      </c>
      <c r="E380" s="3027"/>
      <c r="G380" s="3024"/>
      <c r="H380" s="3024"/>
      <c r="I380" s="3024"/>
      <c r="J380" s="3024"/>
      <c r="K380" s="3024"/>
      <c r="L380" s="3024"/>
      <c r="M380" s="3024"/>
      <c r="N380" s="3024"/>
      <c r="O380" s="3024"/>
      <c r="P380" s="3024"/>
      <c r="Q380" s="3024"/>
      <c r="R380" s="3024"/>
      <c r="S380" s="3024"/>
      <c r="T380" s="3024"/>
      <c r="U380" s="3024"/>
      <c r="V380" s="3024"/>
      <c r="W380" s="3024"/>
      <c r="X380" s="3024"/>
      <c r="Y380" s="3024"/>
      <c r="Z380" s="3024"/>
      <c r="AA380" s="3024"/>
      <c r="AB380" s="3024"/>
      <c r="AC380" s="3024"/>
      <c r="AD380" s="3024"/>
      <c r="AE380" s="3024"/>
      <c r="AF380" s="3024"/>
      <c r="AG380" s="3024"/>
      <c r="AH380" s="3024"/>
      <c r="AI380" s="3024"/>
      <c r="AJ380" s="3024"/>
      <c r="AK380" s="3024"/>
      <c r="AL380" s="3024"/>
      <c r="AM380" s="3024"/>
      <c r="AN380" s="3024"/>
      <c r="AO380" s="3024"/>
      <c r="AP380" s="3024"/>
      <c r="AQ380" s="3024"/>
      <c r="AR380" s="3024"/>
      <c r="AS380" s="3024"/>
      <c r="AT380" s="3024"/>
      <c r="AU380" s="3024"/>
      <c r="AV380" s="3024"/>
      <c r="AW380" s="3024"/>
      <c r="AX380" s="3024"/>
      <c r="AY380" s="3024">
        <f ca="1">(AY366*10^6)/'Global assumptions'!$C$6</f>
        <v>2.5269896517672373E-3</v>
      </c>
      <c r="BA380" s="3024">
        <f ca="1">(BA366*10^6)/'Global assumptions'!$C$7</f>
        <v>1.5045233105185971E-2</v>
      </c>
      <c r="BB380" s="3024">
        <f ca="1">(BB366*10^6)/'Global assumptions'!$C$8</f>
        <v>1.637149599505721E-2</v>
      </c>
      <c r="BC380" s="3024">
        <f ca="1">(BC366*10^6)/'Global assumptions'!$C$9</f>
        <v>1.8122886146168131E-2</v>
      </c>
      <c r="BD380" s="3024">
        <f ca="1">(BD366*10^6)/'Global assumptions'!$C$10</f>
        <v>2.223672423324442E-2</v>
      </c>
      <c r="BE380" s="3024">
        <f ca="1">(BE366*10^6)/'Global assumptions'!$C$11</f>
        <v>2.3770803145630705E-2</v>
      </c>
      <c r="BF380" s="3024">
        <f ca="1">(BF366*10^6)/'Global assumptions'!$C$12</f>
        <v>2.2277745789037382E-2</v>
      </c>
      <c r="BG380" s="3024">
        <f ca="1">(BG366*10^6)/'Global assumptions'!$C$13</f>
        <v>2.183127452647737E-2</v>
      </c>
      <c r="BH380" s="3024">
        <f ca="1">(BH366*10^6)/'Global assumptions'!$C$14</f>
        <v>2.4446867685524603E-2</v>
      </c>
      <c r="BI380" s="3024">
        <f ca="1">(BI366*10^6)/'Global assumptions'!$C$15</f>
        <v>2.9985576644896497E-2</v>
      </c>
    </row>
    <row r="381" spans="1:99" s="3020" customFormat="1">
      <c r="A381" s="3012"/>
      <c r="B381" s="3024"/>
      <c r="C381" s="3027" t="s">
        <v>190</v>
      </c>
      <c r="D381" s="3027" t="s">
        <v>492</v>
      </c>
      <c r="E381" s="3027"/>
      <c r="G381" s="3024"/>
      <c r="H381" s="3024"/>
      <c r="I381" s="3024"/>
      <c r="J381" s="3024"/>
      <c r="K381" s="3024"/>
      <c r="L381" s="3024"/>
      <c r="M381" s="3024"/>
      <c r="N381" s="3024"/>
      <c r="O381" s="3024"/>
      <c r="P381" s="3024"/>
      <c r="Q381" s="3024"/>
      <c r="R381" s="3024"/>
      <c r="S381" s="3024"/>
      <c r="T381" s="3024"/>
      <c r="U381" s="3024"/>
      <c r="V381" s="3024"/>
      <c r="W381" s="3024"/>
      <c r="X381" s="3024"/>
      <c r="Y381" s="3024"/>
      <c r="Z381" s="3024"/>
      <c r="AA381" s="3024"/>
      <c r="AB381" s="3024"/>
      <c r="AC381" s="3024"/>
      <c r="AD381" s="3024"/>
      <c r="AE381" s="3024"/>
      <c r="AF381" s="3024"/>
      <c r="AG381" s="3024"/>
      <c r="AH381" s="3024"/>
      <c r="AI381" s="3024"/>
      <c r="AJ381" s="3024"/>
      <c r="AK381" s="3024"/>
      <c r="AL381" s="3024"/>
      <c r="AM381" s="3024"/>
      <c r="AN381" s="3024"/>
      <c r="AO381" s="3024"/>
      <c r="AP381" s="3024"/>
      <c r="AQ381" s="3024"/>
      <c r="AR381" s="3024"/>
      <c r="AS381" s="3024"/>
      <c r="AT381" s="3024"/>
      <c r="AU381" s="3024"/>
      <c r="AV381" s="3024"/>
      <c r="AW381" s="3024"/>
      <c r="AX381" s="3024"/>
      <c r="AY381" s="3024">
        <f ca="1">(AY367*10^6)/'Global assumptions'!C6</f>
        <v>-0.2581473391527398</v>
      </c>
      <c r="BA381" s="3024">
        <f ca="1">(BA367*10^6)/'Global assumptions'!C7</f>
        <v>-0.26131460002703422</v>
      </c>
      <c r="BB381" s="3024">
        <f ca="1">(BB367*10^6)/'Global assumptions'!C8</f>
        <v>-0.24467313095417595</v>
      </c>
      <c r="BC381" s="3024">
        <f ca="1">(BC367*10^6)/'Global assumptions'!C9</f>
        <v>-0.22800516806774759</v>
      </c>
      <c r="BD381" s="3024">
        <f ca="1">(BD367*10^6)/'Global assumptions'!C10</f>
        <v>-0.21650917896230293</v>
      </c>
      <c r="BE381" s="3024">
        <f ca="1">(BE367*10^6)/'Global assumptions'!C11</f>
        <v>-0.20485344380459916</v>
      </c>
      <c r="BF381" s="3024">
        <f ca="1">(BF367*10^6)/'Global assumptions'!C12</f>
        <v>-0.19721441336909304</v>
      </c>
      <c r="BG381" s="3024">
        <f ca="1">(BG367*10^6)/'Global assumptions'!C13</f>
        <v>-0.18855617489897428</v>
      </c>
      <c r="BH381" s="3024">
        <f ca="1">(BH367*10^6)/'Global assumptions'!C14</f>
        <v>-0.18314561568517554</v>
      </c>
      <c r="BI381" s="3024">
        <f ca="1">(BI367*10^6)/'Global assumptions'!C15</f>
        <v>-0.17738636133202226</v>
      </c>
    </row>
    <row r="382" spans="1:99" s="3020" customFormat="1">
      <c r="A382" s="3012"/>
      <c r="B382" s="3024"/>
      <c r="C382" s="1333"/>
      <c r="D382" s="3027" t="s">
        <v>103</v>
      </c>
      <c r="E382" s="3027"/>
      <c r="G382" s="3024"/>
      <c r="H382" s="3024"/>
      <c r="I382" s="3024"/>
      <c r="J382" s="3024"/>
      <c r="K382" s="3024"/>
      <c r="L382" s="3024"/>
      <c r="M382" s="3024"/>
      <c r="N382" s="3024"/>
      <c r="O382" s="3024"/>
      <c r="P382" s="3024"/>
      <c r="Q382" s="3024"/>
      <c r="R382" s="3024"/>
      <c r="S382" s="3024"/>
      <c r="T382" s="3024"/>
      <c r="U382" s="3024"/>
      <c r="V382" s="3024"/>
      <c r="W382" s="3024"/>
      <c r="X382" s="3024"/>
      <c r="Y382" s="3024"/>
      <c r="Z382" s="3024"/>
      <c r="AA382" s="3024"/>
      <c r="AB382" s="3024"/>
      <c r="AC382" s="3024"/>
      <c r="AD382" s="3024"/>
      <c r="AE382" s="3024"/>
      <c r="AF382" s="3024"/>
      <c r="AG382" s="3024"/>
      <c r="AH382" s="3024"/>
      <c r="AI382" s="3024"/>
      <c r="AJ382" s="3024"/>
      <c r="AK382" s="3024"/>
      <c r="AL382" s="3024"/>
      <c r="AM382" s="3024"/>
      <c r="AN382" s="3024"/>
      <c r="AO382" s="3024"/>
      <c r="AP382" s="3024"/>
      <c r="AQ382" s="3024"/>
      <c r="AR382" s="3024"/>
      <c r="AS382" s="3024"/>
      <c r="AT382" s="3024"/>
      <c r="AU382" s="3024"/>
      <c r="AV382" s="3024"/>
      <c r="AW382" s="3024"/>
      <c r="AX382" s="3024"/>
      <c r="AY382" s="3024">
        <f ca="1">SUM(AY374:AY380)</f>
        <v>0.75224021748376968</v>
      </c>
      <c r="BA382" s="3024">
        <f ca="1">SUM(BA374:BA380)</f>
        <v>1.0397322495862751</v>
      </c>
      <c r="BB382" s="3024">
        <f ca="1">SUM(BB375:BB380)</f>
        <v>1.3624447580231862</v>
      </c>
      <c r="BC382" s="3024">
        <f t="shared" ref="BC382:BI382" ca="1" si="119">SUM(BC375:BC380)</f>
        <v>1.8178896098580744</v>
      </c>
      <c r="BD382" s="3024">
        <f t="shared" ca="1" si="119"/>
        <v>2.3309107673604692</v>
      </c>
      <c r="BE382" s="3024">
        <f t="shared" ca="1" si="119"/>
        <v>2.9312684159742939</v>
      </c>
      <c r="BF382" s="3024">
        <f t="shared" ca="1" si="119"/>
        <v>3.4146338572075678</v>
      </c>
      <c r="BG382" s="3024">
        <f t="shared" ca="1" si="119"/>
        <v>3.8898670223101575</v>
      </c>
      <c r="BH382" s="3024">
        <f t="shared" ca="1" si="119"/>
        <v>4.3681774810656213</v>
      </c>
      <c r="BI382" s="3024">
        <f t="shared" ca="1" si="119"/>
        <v>4.8150063608463727</v>
      </c>
    </row>
    <row r="383" spans="1:99" s="3020" customFormat="1">
      <c r="A383" s="3012"/>
      <c r="B383" s="3024"/>
      <c r="C383" s="3024"/>
      <c r="D383" s="3024"/>
      <c r="E383" s="3024"/>
      <c r="F383" s="3024"/>
      <c r="G383" s="3024"/>
      <c r="H383" s="3024"/>
      <c r="I383" s="3024"/>
      <c r="J383" s="3024"/>
      <c r="K383" s="3024"/>
      <c r="L383" s="3024"/>
      <c r="M383" s="3024"/>
      <c r="N383" s="3024"/>
      <c r="O383" s="3024"/>
      <c r="P383" s="3024"/>
      <c r="Q383" s="3024"/>
      <c r="R383" s="3024"/>
      <c r="S383" s="3024"/>
      <c r="T383" s="3024"/>
      <c r="U383" s="3024"/>
      <c r="V383" s="3024"/>
      <c r="W383" s="3024"/>
      <c r="X383" s="3024"/>
      <c r="Y383" s="3024"/>
      <c r="Z383" s="3024"/>
      <c r="AA383" s="3024"/>
      <c r="AB383" s="3024"/>
      <c r="AC383" s="3024"/>
      <c r="AD383" s="3024"/>
      <c r="AE383" s="3024"/>
      <c r="AF383" s="3024"/>
      <c r="AG383" s="3024"/>
      <c r="AH383" s="3024"/>
      <c r="AI383" s="3024"/>
      <c r="AJ383" s="3024"/>
      <c r="AK383" s="3024"/>
      <c r="AL383" s="3024"/>
      <c r="AM383" s="3024"/>
      <c r="AN383" s="3024"/>
      <c r="AO383" s="3024"/>
      <c r="AP383" s="3024"/>
      <c r="AQ383" s="3024"/>
      <c r="AR383" s="3024"/>
      <c r="AS383" s="3024"/>
      <c r="AT383" s="3024"/>
      <c r="AU383" s="3024"/>
      <c r="AV383" s="3024"/>
      <c r="AW383" s="3024"/>
      <c r="AX383" s="3024"/>
      <c r="AY383" s="3024"/>
      <c r="BA383" s="3024"/>
      <c r="BB383" s="3024"/>
      <c r="BC383" s="3024"/>
      <c r="BD383" s="3024"/>
      <c r="BE383" s="3024"/>
      <c r="BF383" s="3024"/>
      <c r="BG383" s="3024"/>
      <c r="BH383" s="3024"/>
      <c r="BI383" s="3024"/>
      <c r="CR383" s="3020">
        <v>2020</v>
      </c>
      <c r="CS383" s="3020">
        <v>2025</v>
      </c>
      <c r="CT383" s="3020">
        <v>2030</v>
      </c>
      <c r="CU383" s="3020">
        <v>2035</v>
      </c>
    </row>
    <row r="384" spans="1:99" s="3020" customFormat="1">
      <c r="A384" s="3012"/>
      <c r="B384" s="3024"/>
      <c r="C384" s="3024"/>
      <c r="D384" s="3024"/>
      <c r="E384" s="3024"/>
      <c r="F384" s="3024"/>
      <c r="G384" s="3024"/>
      <c r="H384" s="3024"/>
      <c r="I384" s="3024"/>
      <c r="J384" s="3024"/>
      <c r="K384" s="3024"/>
      <c r="L384" s="3024"/>
      <c r="M384" s="3024"/>
      <c r="N384" s="3024"/>
      <c r="O384" s="3024"/>
      <c r="P384" s="3024"/>
      <c r="Q384" s="3024"/>
      <c r="R384" s="3024"/>
      <c r="S384" s="3024"/>
      <c r="T384" s="3024"/>
      <c r="U384" s="3024"/>
      <c r="V384" s="3024"/>
      <c r="W384" s="3024"/>
      <c r="X384" s="3024"/>
      <c r="Y384" s="3024"/>
      <c r="Z384" s="3024"/>
      <c r="AA384" s="3024"/>
      <c r="AB384" s="3024"/>
      <c r="AC384" s="3024"/>
      <c r="AD384" s="3024"/>
      <c r="AE384" s="3024"/>
      <c r="AF384" s="3024"/>
      <c r="AG384" s="3024"/>
      <c r="AH384" s="3024"/>
      <c r="AI384" s="3024"/>
      <c r="AJ384" s="3024"/>
      <c r="AK384" s="3024"/>
      <c r="AL384" s="3024"/>
      <c r="AM384" s="3024"/>
      <c r="AN384" s="3024"/>
      <c r="AO384" s="3024"/>
      <c r="AP384" s="3024"/>
      <c r="AQ384" s="3024"/>
      <c r="AR384" s="3024"/>
      <c r="AS384" s="3024"/>
      <c r="AT384" s="3024"/>
      <c r="AU384" s="3024"/>
      <c r="AV384" s="3024"/>
      <c r="AW384" s="3024"/>
      <c r="AX384" s="3024"/>
      <c r="AY384" s="3024"/>
      <c r="BA384" s="3024"/>
      <c r="BB384" s="3024"/>
      <c r="BC384" s="3024"/>
      <c r="BD384" s="3024"/>
      <c r="BE384" s="3024"/>
      <c r="BF384" s="3024"/>
      <c r="BG384" s="3024"/>
      <c r="BH384" s="3024"/>
      <c r="BI384" s="3024"/>
      <c r="CR384" s="3020">
        <v>120</v>
      </c>
      <c r="CS384" s="3020">
        <v>127</v>
      </c>
      <c r="CT384" s="3020">
        <v>136</v>
      </c>
      <c r="CU384" s="3020">
        <v>145</v>
      </c>
    </row>
    <row r="385" spans="1:99" s="3020" customFormat="1">
      <c r="A385" s="3012"/>
      <c r="B385" s="3024"/>
      <c r="C385" s="3024"/>
      <c r="D385" s="3024"/>
      <c r="E385" s="3024"/>
      <c r="F385" s="3024"/>
      <c r="G385" s="3024"/>
      <c r="H385" s="3024"/>
      <c r="I385" s="3024"/>
      <c r="J385" s="3024"/>
      <c r="K385" s="3024"/>
      <c r="L385" s="3024"/>
      <c r="M385" s="3024"/>
      <c r="N385" s="3024"/>
      <c r="O385" s="3024"/>
      <c r="P385" s="3024"/>
      <c r="Q385" s="3024"/>
      <c r="R385" s="3024"/>
      <c r="S385" s="3024"/>
      <c r="T385" s="3024"/>
      <c r="U385" s="3024"/>
      <c r="V385" s="3024"/>
      <c r="W385" s="3024"/>
      <c r="X385" s="3024"/>
      <c r="Y385" s="3024"/>
      <c r="Z385" s="3024"/>
      <c r="AA385" s="3024"/>
      <c r="AB385" s="3024"/>
      <c r="AC385" s="3024"/>
      <c r="AD385" s="3024"/>
      <c r="AE385" s="3024"/>
      <c r="AF385" s="3024"/>
      <c r="AG385" s="3024"/>
      <c r="AH385" s="3024"/>
      <c r="AI385" s="3024"/>
      <c r="AJ385" s="3024"/>
      <c r="AK385" s="3024"/>
      <c r="AL385" s="3024"/>
      <c r="AM385" s="3024"/>
      <c r="AN385" s="3024"/>
      <c r="AO385" s="3024"/>
      <c r="AP385" s="3024"/>
      <c r="AQ385" s="3024"/>
      <c r="AR385" s="3024"/>
      <c r="AS385" s="3024"/>
      <c r="AT385" s="3024"/>
      <c r="AU385" s="3024"/>
      <c r="AV385" s="3024"/>
      <c r="AW385" s="3024"/>
      <c r="AX385" s="3024"/>
      <c r="AY385" s="3024"/>
      <c r="BA385" s="3024"/>
      <c r="BB385" s="3024"/>
      <c r="BC385" s="3024"/>
      <c r="BD385" s="3024"/>
      <c r="BE385" s="3024"/>
      <c r="BF385" s="3024"/>
      <c r="BG385" s="3024"/>
      <c r="BH385" s="3024"/>
      <c r="BI385" s="3024"/>
      <c r="CR385" s="3020">
        <v>5.2</v>
      </c>
      <c r="CS385" s="3020">
        <v>5.8</v>
      </c>
      <c r="CT385" s="3020">
        <v>6.2</v>
      </c>
      <c r="CU385" s="3020">
        <v>6.9</v>
      </c>
    </row>
    <row r="386" spans="1:99" s="3020" customFormat="1">
      <c r="A386" s="3012"/>
      <c r="B386" s="3024"/>
      <c r="C386" s="3024"/>
      <c r="D386" s="3024"/>
      <c r="E386" s="3024"/>
      <c r="F386" s="3024"/>
      <c r="G386" s="3024"/>
      <c r="H386" s="3024"/>
      <c r="I386" s="3024"/>
      <c r="J386" s="3024"/>
      <c r="K386" s="3024"/>
      <c r="L386" s="3024"/>
      <c r="M386" s="3024"/>
      <c r="N386" s="3024"/>
      <c r="O386" s="3024"/>
      <c r="P386" s="3024"/>
      <c r="Q386" s="3024"/>
      <c r="R386" s="3024"/>
      <c r="S386" s="3024"/>
      <c r="T386" s="3024"/>
      <c r="U386" s="3024"/>
      <c r="V386" s="3024"/>
      <c r="W386" s="3024"/>
      <c r="X386" s="3024"/>
      <c r="Y386" s="3024"/>
      <c r="Z386" s="3024"/>
      <c r="AA386" s="3024"/>
      <c r="AB386" s="3024"/>
      <c r="AC386" s="3024"/>
      <c r="AD386" s="3024"/>
      <c r="AE386" s="3024"/>
      <c r="AF386" s="3024"/>
      <c r="AG386" s="3024"/>
      <c r="AH386" s="3024"/>
      <c r="AI386" s="3024"/>
      <c r="AJ386" s="3024"/>
      <c r="AK386" s="3024"/>
      <c r="AL386" s="3024"/>
      <c r="AM386" s="3024"/>
      <c r="AN386" s="3024"/>
      <c r="AO386" s="3024"/>
      <c r="AP386" s="3024"/>
      <c r="AQ386" s="3024"/>
      <c r="AR386" s="3024"/>
      <c r="AS386" s="3024"/>
      <c r="AT386" s="3024"/>
      <c r="AU386" s="3024"/>
      <c r="AV386" s="3024"/>
      <c r="AW386" s="3024"/>
      <c r="AX386" s="3024"/>
      <c r="AY386" s="3024"/>
      <c r="BA386" s="3024"/>
      <c r="BB386" s="3024"/>
      <c r="BC386" s="3024"/>
      <c r="BD386" s="3024"/>
      <c r="BE386" s="3024"/>
      <c r="BF386" s="3024"/>
      <c r="BG386" s="3024"/>
      <c r="BH386" s="3024"/>
      <c r="BI386" s="3024"/>
      <c r="CR386" s="3020">
        <v>12.4</v>
      </c>
      <c r="CS386" s="3020">
        <v>12.9</v>
      </c>
      <c r="CT386" s="3020">
        <v>13.4</v>
      </c>
      <c r="CU386" s="3020">
        <v>14</v>
      </c>
    </row>
    <row r="387" spans="1:99" s="3020" customFormat="1">
      <c r="A387" s="3012"/>
    </row>
    <row r="388" spans="1:99" s="3020" customFormat="1">
      <c r="A388" s="3012"/>
      <c r="BA388" s="3146"/>
      <c r="BB388" s="3146"/>
      <c r="BC388" s="3146"/>
      <c r="BD388" s="3146"/>
      <c r="CR388" s="3020">
        <v>112</v>
      </c>
      <c r="CS388" s="3020">
        <v>116</v>
      </c>
      <c r="CT388" s="3020">
        <v>118</v>
      </c>
      <c r="CU388" s="3020">
        <v>120</v>
      </c>
    </row>
    <row r="389" spans="1:99" s="3035" customFormat="1">
      <c r="A389" s="3012"/>
      <c r="B389" s="3034" t="s">
        <v>2422</v>
      </c>
    </row>
    <row r="390" spans="1:99" s="3036" customFormat="1">
      <c r="A390" s="3012"/>
      <c r="B390" s="3036" t="s">
        <v>2423</v>
      </c>
    </row>
    <row r="391" spans="1:99" s="3036" customFormat="1">
      <c r="A391" s="3012"/>
    </row>
    <row r="392" spans="1:99" s="3036" customFormat="1">
      <c r="A392" s="3012"/>
      <c r="AY392" s="3037">
        <v>2007</v>
      </c>
      <c r="BA392" s="3037">
        <v>2012</v>
      </c>
      <c r="BB392" s="3037">
        <v>2017</v>
      </c>
      <c r="BC392" s="3037">
        <v>2022</v>
      </c>
      <c r="BD392" s="3037">
        <v>2027</v>
      </c>
      <c r="BE392" s="3037">
        <v>2032</v>
      </c>
      <c r="BF392" s="3037">
        <v>2037</v>
      </c>
      <c r="BG392" s="3037">
        <v>2042</v>
      </c>
      <c r="BH392" s="3037">
        <v>2047</v>
      </c>
      <c r="BI392" s="3037"/>
    </row>
    <row r="393" spans="1:99" s="3036" customFormat="1">
      <c r="A393" s="3012"/>
    </row>
    <row r="394" spans="1:99" s="3036" customFormat="1">
      <c r="A394" s="3012"/>
      <c r="D394" s="3036" t="str">
        <f>"Coal Imports in "&amp;preferences.energyunits</f>
        <v>Coal Imports in TWh</v>
      </c>
      <c r="E394" s="3038"/>
      <c r="AY394" s="3039">
        <f ca="1">AY69</f>
        <v>312.87744559290513</v>
      </c>
      <c r="AZ394" s="3039"/>
      <c r="BA394" s="3039">
        <f t="shared" ref="BA394:BH394" ca="1" si="120">BA69</f>
        <v>533.85548221406225</v>
      </c>
      <c r="BB394" s="3039">
        <f t="shared" ca="1" si="120"/>
        <v>1349.5453480108031</v>
      </c>
      <c r="BC394" s="3039">
        <f t="shared" ca="1" si="120"/>
        <v>3068.214410803027</v>
      </c>
      <c r="BD394" s="3039">
        <f t="shared" ca="1" si="120"/>
        <v>5462.9307882709118</v>
      </c>
      <c r="BE394" s="3039">
        <f t="shared" ca="1" si="120"/>
        <v>8849.3886004507167</v>
      </c>
      <c r="BF394" s="3039">
        <f t="shared" ca="1" si="120"/>
        <v>11988.489821833136</v>
      </c>
      <c r="BG394" s="3039">
        <f t="shared" ca="1" si="120"/>
        <v>16113.370591179753</v>
      </c>
      <c r="BH394" s="3039">
        <f t="shared" ca="1" si="120"/>
        <v>19769.818192917424</v>
      </c>
      <c r="BI394" s="3039"/>
      <c r="BK394" s="3036">
        <v>46.5364</v>
      </c>
    </row>
    <row r="395" spans="1:99" s="3036" customFormat="1">
      <c r="A395" s="3012"/>
      <c r="D395" s="3036" t="str">
        <f>"Cost of Coal Imports in " &amp;Preferences.moneyunits&amp;"/"&amp;preferences.energyunits</f>
        <v>Cost of Coal Imports in INR Cr/TWh</v>
      </c>
      <c r="E395" s="3038"/>
      <c r="AY395" s="3036">
        <f>99*(USD2012_/unit.tce)</f>
        <v>127.74193548387096</v>
      </c>
      <c r="AZ395" s="3036">
        <f>0*(USD2012_/unit.tce)</f>
        <v>0</v>
      </c>
      <c r="BA395" s="3036">
        <f>99*(USD2012_/unit.tce)</f>
        <v>127.74193548387096</v>
      </c>
      <c r="BB395" s="3036">
        <f>99*(USD2012_/unit.tce)</f>
        <v>127.74193548387096</v>
      </c>
      <c r="BC395" s="3036">
        <f>112*(USD2012_/unit.tce)</f>
        <v>144.51612903225805</v>
      </c>
      <c r="BD395" s="3036">
        <f>116*(USD2012_/unit.tce)</f>
        <v>149.67741935483872</v>
      </c>
      <c r="BE395" s="3036">
        <f>118*(USD2012_/unit.tce)</f>
        <v>152.25806451612902</v>
      </c>
      <c r="BF395" s="3036">
        <f>120*(USD2012_/unit.tce)</f>
        <v>154.83870967741936</v>
      </c>
      <c r="BG395" s="3036">
        <f>120*(USD2012_/unit.tce)</f>
        <v>154.83870967741936</v>
      </c>
      <c r="BH395" s="3036">
        <f>120*(USD2012_/unit.tce)</f>
        <v>154.83870967741936</v>
      </c>
    </row>
    <row r="396" spans="1:99" s="3036" customFormat="1">
      <c r="A396" s="3012"/>
      <c r="D396" s="3036" t="str">
        <f>"Total Cost of Coal Imports "&amp;Preferences.moneyunits</f>
        <v>Total Cost of Coal Imports INR Cr</v>
      </c>
      <c r="E396" s="3038"/>
      <c r="AY396" s="3039">
        <f ca="1">AY394*AY395</f>
        <v>39967.570469287231</v>
      </c>
      <c r="AZ396" s="3039"/>
      <c r="BA396" s="3039">
        <f t="shared" ref="BA396:BH396" ca="1" si="121">BA394*BA395</f>
        <v>68195.73256669956</v>
      </c>
      <c r="BB396" s="3039">
        <f t="shared" ca="1" si="121"/>
        <v>172393.53477815419</v>
      </c>
      <c r="BC396" s="3039">
        <f t="shared" ca="1" si="121"/>
        <v>443406.46969024389</v>
      </c>
      <c r="BD396" s="3039">
        <f t="shared" ca="1" si="121"/>
        <v>817677.38250248495</v>
      </c>
      <c r="BE396" s="3039">
        <f t="shared" ca="1" si="121"/>
        <v>1347390.780455722</v>
      </c>
      <c r="BF396" s="3039">
        <f t="shared" ca="1" si="121"/>
        <v>1856282.2949935179</v>
      </c>
      <c r="BG396" s="3039">
        <f t="shared" ca="1" si="121"/>
        <v>2494973.5108923488</v>
      </c>
      <c r="BH396" s="3039">
        <f t="shared" ca="1" si="121"/>
        <v>3061133.1395485047</v>
      </c>
      <c r="BI396" s="3039"/>
    </row>
    <row r="397" spans="1:99" s="3036" customFormat="1">
      <c r="A397" s="3012"/>
      <c r="E397" s="3038"/>
      <c r="AY397" s="3039"/>
      <c r="AZ397" s="3039"/>
      <c r="BA397" s="3039"/>
      <c r="BB397" s="3039"/>
      <c r="BC397" s="3039"/>
      <c r="BD397" s="3039"/>
      <c r="BE397" s="3039"/>
      <c r="BF397" s="3039"/>
      <c r="BG397" s="3039"/>
      <c r="BH397" s="3039"/>
      <c r="BI397" s="3039"/>
    </row>
    <row r="398" spans="1:99" s="3036" customFormat="1">
      <c r="A398" s="3012"/>
      <c r="D398" s="3036" t="str">
        <f>"Oil Imports in "&amp;preferences.energyunits</f>
        <v>Oil Imports in TWh</v>
      </c>
      <c r="E398" s="3038"/>
      <c r="AY398" s="3039">
        <f ca="1">AY73</f>
        <v>1217.3455995924837</v>
      </c>
      <c r="AZ398" s="3039"/>
      <c r="BA398" s="3039">
        <f t="shared" ref="BA398:BH398" ca="1" si="122">BA73</f>
        <v>1466.5905800259968</v>
      </c>
      <c r="BB398" s="3039">
        <f t="shared" ca="1" si="122"/>
        <v>2100.3206137516681</v>
      </c>
      <c r="BC398" s="3039">
        <f t="shared" ca="1" si="122"/>
        <v>3054.2541317150194</v>
      </c>
      <c r="BD398" s="3039">
        <f t="shared" ca="1" si="122"/>
        <v>4102.7795788608364</v>
      </c>
      <c r="BE398" s="3039">
        <f t="shared" ca="1" si="122"/>
        <v>5330.667265334645</v>
      </c>
      <c r="BF398" s="3039">
        <f t="shared" ca="1" si="122"/>
        <v>6703.2930240172882</v>
      </c>
      <c r="BG398" s="3039">
        <f t="shared" ca="1" si="122"/>
        <v>8096.4219235944875</v>
      </c>
      <c r="BH398" s="3039">
        <f t="shared" ca="1" si="122"/>
        <v>9663.2311319982509</v>
      </c>
      <c r="BI398" s="3039"/>
    </row>
    <row r="399" spans="1:99" s="3036" customFormat="1">
      <c r="A399" s="3012"/>
      <c r="D399" s="3036" t="str">
        <f>"Cost of Oil Imports in " &amp;Preferences.moneyunits&amp;"/"&amp;preferences.energyunits</f>
        <v>Cost of Oil Imports in INR Cr/TWh</v>
      </c>
      <c r="E399" s="3038"/>
      <c r="AY399" s="3036">
        <f>109*(USD2012_/Unit.boe)</f>
        <v>401.67055644269749</v>
      </c>
      <c r="AZ399" s="3036">
        <f>0*(USD2012_/Unit.boe)</f>
        <v>0</v>
      </c>
      <c r="BA399" s="3036">
        <f>109*(USD2012_/Unit.boe)</f>
        <v>401.67055644269749</v>
      </c>
      <c r="BB399" s="3036">
        <f>109*(USD2012_/Unit.boe)</f>
        <v>401.67055644269749</v>
      </c>
      <c r="BC399" s="3036">
        <f>120*(USD2012_/Unit.boe)</f>
        <v>442.20611718462112</v>
      </c>
      <c r="BD399" s="3036">
        <f>127*(USD2012_/Unit.boe)</f>
        <v>468.00147402039067</v>
      </c>
      <c r="BE399" s="3036">
        <f>136*(USD2012_/Unit.boe)</f>
        <v>501.16693280923721</v>
      </c>
      <c r="BF399" s="3036">
        <f>145*(USD2012_/Unit.boe)</f>
        <v>534.33239159808386</v>
      </c>
      <c r="BG399" s="3036">
        <f>145*(USD2012_/Unit.boe)</f>
        <v>534.33239159808386</v>
      </c>
      <c r="BH399" s="3036">
        <f>145*(USD2012_/Unit.boe)</f>
        <v>534.33239159808386</v>
      </c>
    </row>
    <row r="400" spans="1:99" s="3036" customFormat="1">
      <c r="A400" s="3012"/>
      <c r="D400" s="3036" t="str">
        <f>"Total Cost of Oil Imports "&amp;Preferences.moneyunits</f>
        <v>Total Cost of Oil Imports INR Cr</v>
      </c>
      <c r="E400" s="3038"/>
      <c r="AY400" s="3039">
        <f ca="1">AY398*AY399</f>
        <v>488971.88437138213</v>
      </c>
      <c r="AZ400" s="3039"/>
      <c r="BA400" s="3039">
        <f t="shared" ref="BA400:BH400" ca="1" si="123">BA398*BA399</f>
        <v>589086.25435266062</v>
      </c>
      <c r="BB400" s="3039">
        <f t="shared" ca="1" si="123"/>
        <v>843636.94963370042</v>
      </c>
      <c r="BC400" s="3039">
        <f t="shared" ca="1" si="123"/>
        <v>1350609.8604807851</v>
      </c>
      <c r="BD400" s="3039">
        <f t="shared" ca="1" si="123"/>
        <v>1920106.8904876292</v>
      </c>
      <c r="BE400" s="3039">
        <f t="shared" ca="1" si="123"/>
        <v>2671554.1631943681</v>
      </c>
      <c r="BF400" s="3039">
        <f t="shared" ca="1" si="123"/>
        <v>3581786.5931059094</v>
      </c>
      <c r="BG400" s="3039">
        <f t="shared" ca="1" si="123"/>
        <v>4326180.4898214014</v>
      </c>
      <c r="BH400" s="3039">
        <f t="shared" ca="1" si="123"/>
        <v>5163377.401325685</v>
      </c>
      <c r="BI400" s="3039"/>
    </row>
    <row r="401" spans="1:64" s="3036" customFormat="1">
      <c r="A401" s="3012"/>
      <c r="E401" s="3038"/>
      <c r="AY401" s="3039"/>
      <c r="AZ401" s="3039"/>
      <c r="BA401" s="3039"/>
      <c r="BB401" s="3039"/>
      <c r="BC401" s="3039"/>
      <c r="BD401" s="3039"/>
      <c r="BE401" s="3039"/>
      <c r="BF401" s="3039"/>
      <c r="BG401" s="3039"/>
      <c r="BH401" s="3039"/>
      <c r="BI401" s="3039"/>
    </row>
    <row r="402" spans="1:64" s="3036" customFormat="1">
      <c r="A402" s="3012"/>
      <c r="D402" s="3036" t="str">
        <f>"Gas Imports in "&amp;preferences.energyunits</f>
        <v>Gas Imports in TWh</v>
      </c>
      <c r="E402" s="3038"/>
      <c r="AY402" s="3039">
        <f ca="1">AY75</f>
        <v>153.83385468740386</v>
      </c>
      <c r="AZ402" s="3039"/>
      <c r="BA402" s="3039">
        <f t="shared" ref="BA402:BH402" ca="1" si="124">BA75</f>
        <v>158.80496962180251</v>
      </c>
      <c r="BB402" s="3039">
        <f t="shared" ca="1" si="124"/>
        <v>447.28146847936694</v>
      </c>
      <c r="BC402" s="3039">
        <f t="shared" ca="1" si="124"/>
        <v>580.82834753994018</v>
      </c>
      <c r="BD402" s="3039">
        <f t="shared" ca="1" si="124"/>
        <v>719.79234346908368</v>
      </c>
      <c r="BE402" s="3039">
        <f t="shared" ca="1" si="124"/>
        <v>883.00958491906431</v>
      </c>
      <c r="BF402" s="3039">
        <f t="shared" ca="1" si="124"/>
        <v>1091.1358234381285</v>
      </c>
      <c r="BG402" s="3039">
        <f t="shared" ca="1" si="124"/>
        <v>1323.7322738925393</v>
      </c>
      <c r="BH402" s="3039">
        <f t="shared" ca="1" si="124"/>
        <v>1577.3126958590992</v>
      </c>
      <c r="BI402" s="3039"/>
    </row>
    <row r="403" spans="1:64" s="3036" customFormat="1">
      <c r="A403" s="3012"/>
      <c r="D403" s="3036" t="str">
        <f>"Cost of Gas Imports in " &amp;Preferences.moneyunits&amp;"/"&amp;preferences.energyunits</f>
        <v>Cost of Gas Imports in INR Cr/TWh</v>
      </c>
      <c r="E403" s="3038"/>
      <c r="AY403" s="3036">
        <f>10.4*(USD2012_/unit.mmbtu)</f>
        <v>212.92890995260666</v>
      </c>
      <c r="AZ403" s="3036">
        <f>0*(USD2012_/unit.mmbtu)</f>
        <v>0</v>
      </c>
      <c r="BA403" s="3036">
        <f>10.4*(USD2012_/unit.mmbtu)</f>
        <v>212.92890995260666</v>
      </c>
      <c r="BB403" s="3036">
        <f>10.4*(USD2012_/unit.mmbtu)</f>
        <v>212.92890995260666</v>
      </c>
      <c r="BC403" s="3036">
        <f>10.8*(USD2012_/unit.mmbtu)</f>
        <v>221.11848341232232</v>
      </c>
      <c r="BD403" s="3036">
        <f>11.3*(USD2012_/unit.mmbtu)</f>
        <v>231.35545023696685</v>
      </c>
      <c r="BE403" s="3036">
        <f>11.8*(USD2012_/unit.mmbtu)</f>
        <v>241.5924170616114</v>
      </c>
      <c r="BF403" s="3036">
        <f>12.5*(USD2012_/unit.mmbtu)</f>
        <v>255.92417061611377</v>
      </c>
      <c r="BG403" s="3036">
        <f>12.5*(USD2012_/unit.mmbtu)</f>
        <v>255.92417061611377</v>
      </c>
      <c r="BH403" s="3036">
        <f>12.5*(USD2012_/unit.mmbtu)</f>
        <v>255.92417061611377</v>
      </c>
    </row>
    <row r="404" spans="1:64" s="3036" customFormat="1">
      <c r="A404" s="3012"/>
      <c r="C404" s="3039"/>
      <c r="D404" s="3036" t="str">
        <f>"Total Cost of Gas Imports "&amp;Preferences.moneyunits</f>
        <v>Total Cost of Gas Imports INR Cr</v>
      </c>
      <c r="E404" s="3038"/>
      <c r="G404" s="3039"/>
      <c r="H404" s="3039"/>
      <c r="I404" s="3039"/>
      <c r="J404" s="3039"/>
      <c r="K404" s="3039"/>
      <c r="L404" s="3039"/>
      <c r="M404" s="3039"/>
      <c r="N404" s="3039"/>
      <c r="O404" s="3039"/>
      <c r="P404" s="3039"/>
      <c r="Q404" s="3039"/>
      <c r="R404" s="3039"/>
      <c r="S404" s="3039"/>
      <c r="T404" s="3039"/>
      <c r="U404" s="3039"/>
      <c r="V404" s="3039"/>
      <c r="W404" s="3039"/>
      <c r="X404" s="3039"/>
      <c r="Y404" s="3039"/>
      <c r="Z404" s="3039"/>
      <c r="AA404" s="3039"/>
      <c r="AB404" s="3039"/>
      <c r="AC404" s="3039"/>
      <c r="AD404" s="3039"/>
      <c r="AE404" s="3039"/>
      <c r="AF404" s="3039"/>
      <c r="AG404" s="3039"/>
      <c r="AH404" s="3039"/>
      <c r="AI404" s="3039"/>
      <c r="AJ404" s="3039"/>
      <c r="AK404" s="3039"/>
      <c r="AL404" s="3039"/>
      <c r="AM404" s="3039"/>
      <c r="AN404" s="3039"/>
      <c r="AO404" s="3039"/>
      <c r="AP404" s="3039"/>
      <c r="AQ404" s="3039"/>
      <c r="AR404" s="3039"/>
      <c r="AS404" s="3039"/>
      <c r="AT404" s="3039"/>
      <c r="AU404" s="3039"/>
      <c r="AV404" s="3039"/>
      <c r="AW404" s="3039"/>
      <c r="AY404" s="3039">
        <f ca="1">AY402*AY403</f>
        <v>32755.674992396594</v>
      </c>
      <c r="AZ404" s="3039"/>
      <c r="BA404" s="3039">
        <f t="shared" ref="BA404:BH404" ca="1" si="125">BA402*BA403</f>
        <v>33814.169076627222</v>
      </c>
      <c r="BB404" s="3039">
        <f t="shared" ca="1" si="125"/>
        <v>95239.155525312803</v>
      </c>
      <c r="BC404" s="3039">
        <f t="shared" ca="1" si="125"/>
        <v>128431.88333091684</v>
      </c>
      <c r="BD404" s="3039">
        <f t="shared" ca="1" si="125"/>
        <v>166527.88170041132</v>
      </c>
      <c r="BE404" s="3039">
        <f t="shared" ca="1" si="125"/>
        <v>213328.41990916696</v>
      </c>
      <c r="BF404" s="3039">
        <f t="shared" ca="1" si="125"/>
        <v>279248.03064293339</v>
      </c>
      <c r="BG404" s="3039">
        <f t="shared" ca="1" si="125"/>
        <v>338775.08431373048</v>
      </c>
      <c r="BH404" s="3039">
        <f t="shared" ca="1" si="125"/>
        <v>403672.4434900065</v>
      </c>
      <c r="BI404" s="3039"/>
      <c r="BJ404" s="3039"/>
      <c r="BK404" s="3039"/>
      <c r="BL404" s="3039"/>
    </row>
    <row r="405" spans="1:64" s="3036" customFormat="1">
      <c r="A405" s="3012"/>
      <c r="C405" s="3039"/>
      <c r="D405" s="3039"/>
      <c r="G405" s="3039"/>
      <c r="H405" s="3039"/>
      <c r="I405" s="3039"/>
      <c r="J405" s="3039"/>
      <c r="K405" s="3039"/>
      <c r="L405" s="3039"/>
      <c r="M405" s="3039"/>
      <c r="N405" s="3039"/>
      <c r="O405" s="3039"/>
      <c r="P405" s="3039"/>
      <c r="Q405" s="3039"/>
      <c r="R405" s="3039"/>
      <c r="S405" s="3039"/>
      <c r="T405" s="3039"/>
      <c r="U405" s="3039"/>
      <c r="V405" s="3039"/>
      <c r="W405" s="3039"/>
      <c r="X405" s="3039"/>
      <c r="Y405" s="3039"/>
      <c r="Z405" s="3039"/>
      <c r="AA405" s="3039"/>
      <c r="AB405" s="3039"/>
      <c r="AC405" s="3039"/>
      <c r="AD405" s="3039"/>
      <c r="AE405" s="3039"/>
      <c r="AF405" s="3039"/>
      <c r="AG405" s="3039"/>
      <c r="AH405" s="3039"/>
      <c r="AI405" s="3039"/>
      <c r="AJ405" s="3039"/>
      <c r="AK405" s="3039"/>
      <c r="AL405" s="3039"/>
      <c r="AM405" s="3039"/>
      <c r="AN405" s="3039"/>
      <c r="AO405" s="3039"/>
      <c r="AP405" s="3039"/>
      <c r="AQ405" s="3039"/>
      <c r="AR405" s="3039"/>
      <c r="AS405" s="3039"/>
      <c r="AT405" s="3039"/>
      <c r="AU405" s="3039"/>
      <c r="AV405" s="3039"/>
      <c r="AW405" s="3039"/>
      <c r="AY405" s="3045"/>
      <c r="AZ405" s="3039"/>
      <c r="BA405" s="3041"/>
      <c r="BB405" s="3102"/>
      <c r="BC405" s="3039"/>
      <c r="BD405" s="3039"/>
      <c r="BE405" s="3039"/>
      <c r="BF405" s="3045"/>
      <c r="BG405" s="3043"/>
      <c r="BH405" s="3043"/>
      <c r="BI405" s="3039"/>
      <c r="BJ405" s="3039"/>
      <c r="BK405" s="3039"/>
      <c r="BL405" s="3039"/>
    </row>
    <row r="406" spans="1:64" s="3036" customFormat="1">
      <c r="A406" s="3012"/>
      <c r="C406" s="3039"/>
      <c r="D406" s="3039"/>
      <c r="G406" s="3039"/>
      <c r="H406" s="3039"/>
      <c r="I406" s="3039"/>
      <c r="J406" s="3039"/>
      <c r="K406" s="3039"/>
      <c r="L406" s="3039"/>
      <c r="M406" s="3039"/>
      <c r="N406" s="3039"/>
      <c r="O406" s="3039"/>
      <c r="P406" s="3039"/>
      <c r="Q406" s="3039"/>
      <c r="R406" s="3039"/>
      <c r="S406" s="3039"/>
      <c r="T406" s="3039"/>
      <c r="U406" s="3039"/>
      <c r="V406" s="3039"/>
      <c r="W406" s="3039"/>
      <c r="X406" s="3039"/>
      <c r="Y406" s="3039"/>
      <c r="Z406" s="3039"/>
      <c r="AA406" s="3039"/>
      <c r="AB406" s="3039"/>
      <c r="AC406" s="3039"/>
      <c r="AD406" s="3039"/>
      <c r="AE406" s="3039"/>
      <c r="AF406" s="3039"/>
      <c r="AG406" s="3039"/>
      <c r="AH406" s="3039"/>
      <c r="AI406" s="3039"/>
      <c r="AJ406" s="3039"/>
      <c r="AK406" s="3039"/>
      <c r="AL406" s="3039"/>
      <c r="AM406" s="3039"/>
      <c r="AN406" s="3039"/>
      <c r="AO406" s="3039"/>
      <c r="AP406" s="3039"/>
      <c r="AQ406" s="3039"/>
      <c r="AR406" s="3039"/>
      <c r="AS406" s="3039"/>
      <c r="AT406" s="3039"/>
      <c r="AU406" s="3039"/>
      <c r="AV406" s="3039"/>
      <c r="AW406" s="3039"/>
      <c r="AY406" s="3045"/>
      <c r="AZ406" s="3039"/>
      <c r="BA406" s="3041"/>
      <c r="BB406" s="3102"/>
      <c r="BC406" s="3039"/>
      <c r="BD406" s="3039"/>
      <c r="BE406" s="3039"/>
      <c r="BF406" s="3045"/>
      <c r="BG406" s="3043"/>
      <c r="BH406" s="3043"/>
      <c r="BI406" s="3039"/>
      <c r="BJ406" s="3039"/>
      <c r="BK406" s="3039"/>
      <c r="BL406" s="3039"/>
    </row>
    <row r="407" spans="1:64" s="3036" customFormat="1">
      <c r="A407" s="3012"/>
      <c r="D407" s="3036" t="str">
        <f>"Total Cost of Coal Imports "&amp;Preferences.moneyunits</f>
        <v>Total Cost of Coal Imports INR Cr</v>
      </c>
      <c r="E407" s="3038"/>
      <c r="AY407" s="3039">
        <f ca="1">AY396</f>
        <v>39967.570469287231</v>
      </c>
      <c r="AZ407" s="3039"/>
      <c r="BA407" s="3039">
        <f t="shared" ref="BA407:BH407" ca="1" si="126">BA396</f>
        <v>68195.73256669956</v>
      </c>
      <c r="BB407" s="3039">
        <f t="shared" ca="1" si="126"/>
        <v>172393.53477815419</v>
      </c>
      <c r="BC407" s="3039">
        <f t="shared" ca="1" si="126"/>
        <v>443406.46969024389</v>
      </c>
      <c r="BD407" s="3039">
        <f t="shared" ca="1" si="126"/>
        <v>817677.38250248495</v>
      </c>
      <c r="BE407" s="3039">
        <f t="shared" ca="1" si="126"/>
        <v>1347390.780455722</v>
      </c>
      <c r="BF407" s="3039">
        <f t="shared" ca="1" si="126"/>
        <v>1856282.2949935179</v>
      </c>
      <c r="BG407" s="3039">
        <f t="shared" ca="1" si="126"/>
        <v>2494973.5108923488</v>
      </c>
      <c r="BH407" s="3039">
        <f t="shared" ca="1" si="126"/>
        <v>3061133.1395485047</v>
      </c>
      <c r="BI407" s="3039"/>
    </row>
    <row r="408" spans="1:64" s="3036" customFormat="1">
      <c r="A408" s="3012"/>
      <c r="C408" s="3039"/>
      <c r="D408" s="3036" t="str">
        <f>"Total Cost of Oil Imports "&amp;Preferences.moneyunits</f>
        <v>Total Cost of Oil Imports INR Cr</v>
      </c>
      <c r="E408" s="3038"/>
      <c r="G408" s="3039"/>
      <c r="H408" s="3039"/>
      <c r="I408" s="3039"/>
      <c r="J408" s="3039"/>
      <c r="K408" s="3039"/>
      <c r="L408" s="3039"/>
      <c r="M408" s="3039"/>
      <c r="N408" s="3039"/>
      <c r="O408" s="3039"/>
      <c r="P408" s="3039"/>
      <c r="Q408" s="3039"/>
      <c r="R408" s="3039"/>
      <c r="S408" s="3039"/>
      <c r="T408" s="3039"/>
      <c r="U408" s="3039"/>
      <c r="V408" s="3039"/>
      <c r="W408" s="3039"/>
      <c r="X408" s="3039"/>
      <c r="Y408" s="3039"/>
      <c r="Z408" s="3039"/>
      <c r="AA408" s="3039"/>
      <c r="AB408" s="3039"/>
      <c r="AC408" s="3039"/>
      <c r="AD408" s="3039"/>
      <c r="AE408" s="3039"/>
      <c r="AF408" s="3039"/>
      <c r="AG408" s="3039"/>
      <c r="AH408" s="3039"/>
      <c r="AI408" s="3039"/>
      <c r="AJ408" s="3039"/>
      <c r="AK408" s="3039"/>
      <c r="AL408" s="3039"/>
      <c r="AM408" s="3039"/>
      <c r="AN408" s="3039"/>
      <c r="AO408" s="3039"/>
      <c r="AP408" s="3039"/>
      <c r="AQ408" s="3039"/>
      <c r="AR408" s="3039"/>
      <c r="AS408" s="3039"/>
      <c r="AT408" s="3039"/>
      <c r="AU408" s="3039"/>
      <c r="AV408" s="3039"/>
      <c r="AW408" s="3039"/>
      <c r="AY408" s="3045">
        <f ca="1">AY400</f>
        <v>488971.88437138213</v>
      </c>
      <c r="AZ408" s="3039"/>
      <c r="BA408" s="3045">
        <f t="shared" ref="BA408:BH408" ca="1" si="127">BA400</f>
        <v>589086.25435266062</v>
      </c>
      <c r="BB408" s="3045">
        <f t="shared" ca="1" si="127"/>
        <v>843636.94963370042</v>
      </c>
      <c r="BC408" s="3045">
        <f t="shared" ca="1" si="127"/>
        <v>1350609.8604807851</v>
      </c>
      <c r="BD408" s="3045">
        <f t="shared" ca="1" si="127"/>
        <v>1920106.8904876292</v>
      </c>
      <c r="BE408" s="3045">
        <f t="shared" ca="1" si="127"/>
        <v>2671554.1631943681</v>
      </c>
      <c r="BF408" s="3045">
        <f t="shared" ca="1" si="127"/>
        <v>3581786.5931059094</v>
      </c>
      <c r="BG408" s="3045">
        <f t="shared" ca="1" si="127"/>
        <v>4326180.4898214014</v>
      </c>
      <c r="BH408" s="3045">
        <f t="shared" ca="1" si="127"/>
        <v>5163377.401325685</v>
      </c>
      <c r="BI408" s="3045"/>
      <c r="BJ408" s="3039"/>
      <c r="BK408" s="3039"/>
      <c r="BL408" s="3039"/>
    </row>
    <row r="409" spans="1:64" s="3036" customFormat="1">
      <c r="A409" s="3012"/>
      <c r="C409" s="3039"/>
      <c r="D409" s="3036" t="str">
        <f>"Total Cost of Gas Imports "&amp;Preferences.moneyunits</f>
        <v>Total Cost of Gas Imports INR Cr</v>
      </c>
      <c r="E409" s="3038"/>
      <c r="G409" s="3039"/>
      <c r="H409" s="3039"/>
      <c r="I409" s="3039"/>
      <c r="J409" s="3039"/>
      <c r="K409" s="3039"/>
      <c r="L409" s="3039"/>
      <c r="M409" s="3039"/>
      <c r="N409" s="3039"/>
      <c r="O409" s="3039"/>
      <c r="P409" s="3039"/>
      <c r="Q409" s="3039"/>
      <c r="R409" s="3039"/>
      <c r="S409" s="3039"/>
      <c r="T409" s="3039"/>
      <c r="U409" s="3039"/>
      <c r="V409" s="3039"/>
      <c r="W409" s="3039"/>
      <c r="X409" s="3039"/>
      <c r="Y409" s="3039"/>
      <c r="Z409" s="3039"/>
      <c r="AA409" s="3039"/>
      <c r="AB409" s="3039"/>
      <c r="AC409" s="3039"/>
      <c r="AD409" s="3039"/>
      <c r="AE409" s="3039"/>
      <c r="AF409" s="3039"/>
      <c r="AG409" s="3039"/>
      <c r="AH409" s="3039"/>
      <c r="AI409" s="3039"/>
      <c r="AJ409" s="3039"/>
      <c r="AK409" s="3039"/>
      <c r="AL409" s="3039"/>
      <c r="AM409" s="3039"/>
      <c r="AN409" s="3039"/>
      <c r="AO409" s="3039"/>
      <c r="AP409" s="3039"/>
      <c r="AQ409" s="3039"/>
      <c r="AR409" s="3039"/>
      <c r="AS409" s="3039"/>
      <c r="AT409" s="3039"/>
      <c r="AU409" s="3039"/>
      <c r="AV409" s="3039"/>
      <c r="AW409" s="3039"/>
      <c r="AY409" s="3045">
        <f ca="1">AY404</f>
        <v>32755.674992396594</v>
      </c>
      <c r="AZ409" s="3039"/>
      <c r="BA409" s="3045">
        <f t="shared" ref="BA409:BH409" ca="1" si="128">BA404</f>
        <v>33814.169076627222</v>
      </c>
      <c r="BB409" s="3045">
        <f t="shared" ca="1" si="128"/>
        <v>95239.155525312803</v>
      </c>
      <c r="BC409" s="3045">
        <f t="shared" ca="1" si="128"/>
        <v>128431.88333091684</v>
      </c>
      <c r="BD409" s="3045">
        <f t="shared" ca="1" si="128"/>
        <v>166527.88170041132</v>
      </c>
      <c r="BE409" s="3045">
        <f t="shared" ca="1" si="128"/>
        <v>213328.41990916696</v>
      </c>
      <c r="BF409" s="3045">
        <f t="shared" ca="1" si="128"/>
        <v>279248.03064293339</v>
      </c>
      <c r="BG409" s="3045">
        <f t="shared" ca="1" si="128"/>
        <v>338775.08431373048</v>
      </c>
      <c r="BH409" s="3045">
        <f t="shared" ca="1" si="128"/>
        <v>403672.4434900065</v>
      </c>
      <c r="BI409" s="3045"/>
      <c r="BJ409" s="3039"/>
      <c r="BK409" s="3039"/>
      <c r="BL409" s="3039"/>
    </row>
    <row r="410" spans="1:64" s="3036" customFormat="1">
      <c r="A410" s="3012"/>
      <c r="C410" s="3039"/>
      <c r="D410" s="3036" t="str">
        <f>"Total  Import Bill "&amp;Preferences.moneyunits</f>
        <v>Total  Import Bill INR Cr</v>
      </c>
      <c r="F410" s="3039"/>
      <c r="G410" s="3039"/>
      <c r="H410" s="3039"/>
      <c r="I410" s="3039"/>
      <c r="J410" s="3039"/>
      <c r="K410" s="3039"/>
      <c r="L410" s="3039"/>
      <c r="M410" s="3039"/>
      <c r="N410" s="3039"/>
      <c r="O410" s="3039"/>
      <c r="P410" s="3039"/>
      <c r="Q410" s="3039"/>
      <c r="R410" s="3039"/>
      <c r="S410" s="3039"/>
      <c r="T410" s="3039"/>
      <c r="U410" s="3039"/>
      <c r="V410" s="3039"/>
      <c r="W410" s="3039"/>
      <c r="X410" s="3039"/>
      <c r="Y410" s="3039"/>
      <c r="Z410" s="3039"/>
      <c r="AA410" s="3039"/>
      <c r="AB410" s="3039"/>
      <c r="AC410" s="3039"/>
      <c r="AD410" s="3039"/>
      <c r="AE410" s="3039"/>
      <c r="AF410" s="3039"/>
      <c r="AG410" s="3039"/>
      <c r="AH410" s="3039"/>
      <c r="AI410" s="3039"/>
      <c r="AJ410" s="3039"/>
      <c r="AK410" s="3039"/>
      <c r="AL410" s="3039"/>
      <c r="AM410" s="3039"/>
      <c r="AN410" s="3039"/>
      <c r="AO410" s="3039"/>
      <c r="AP410" s="3039"/>
      <c r="AQ410" s="3039"/>
      <c r="AR410" s="3039"/>
      <c r="AS410" s="3039"/>
      <c r="AT410" s="3039"/>
      <c r="AU410" s="3039"/>
      <c r="AV410" s="3039"/>
      <c r="AW410" s="3039"/>
      <c r="AY410" s="3045">
        <f ca="1">SUM(AY407:AY409)</f>
        <v>561695.12983306602</v>
      </c>
      <c r="AZ410" s="3045"/>
      <c r="BA410" s="3045">
        <f t="shared" ref="BA410:BH410" ca="1" si="129">SUM(BA407:BA409)</f>
        <v>691096.15599598747</v>
      </c>
      <c r="BB410" s="3045">
        <f t="shared" ca="1" si="129"/>
        <v>1111269.6399371675</v>
      </c>
      <c r="BC410" s="3045">
        <f t="shared" ca="1" si="129"/>
        <v>1922448.2135019458</v>
      </c>
      <c r="BD410" s="3045">
        <f t="shared" ca="1" si="129"/>
        <v>2904312.1546905255</v>
      </c>
      <c r="BE410" s="3045">
        <f t="shared" ca="1" si="129"/>
        <v>4232273.3635592572</v>
      </c>
      <c r="BF410" s="3045">
        <f t="shared" ca="1" si="129"/>
        <v>5717316.9187423605</v>
      </c>
      <c r="BG410" s="3045">
        <f t="shared" ca="1" si="129"/>
        <v>7159929.0850274814</v>
      </c>
      <c r="BH410" s="3045">
        <f t="shared" ca="1" si="129"/>
        <v>8628182.9843641967</v>
      </c>
      <c r="BI410" s="3045"/>
      <c r="BJ410" s="3039"/>
      <c r="BK410" s="3039"/>
      <c r="BL410" s="3039"/>
    </row>
    <row r="411" spans="1:64" s="3036" customFormat="1">
      <c r="A411" s="3012"/>
      <c r="C411" s="3039"/>
      <c r="D411" s="3037" t="str">
        <f>"GDP  "&amp;Preferences.moneyunits</f>
        <v>GDP  INR Cr</v>
      </c>
      <c r="F411" s="3039"/>
      <c r="G411" s="3039"/>
      <c r="H411" s="3039"/>
      <c r="I411" s="3039"/>
      <c r="J411" s="3039"/>
      <c r="K411" s="3039"/>
      <c r="L411" s="3039"/>
      <c r="M411" s="3039"/>
      <c r="N411" s="3039"/>
      <c r="O411" s="3039"/>
      <c r="P411" s="3039"/>
      <c r="Q411" s="3039"/>
      <c r="R411" s="3039"/>
      <c r="S411" s="3039"/>
      <c r="T411" s="3039"/>
      <c r="U411" s="3039"/>
      <c r="V411" s="3039"/>
      <c r="W411" s="3039"/>
      <c r="X411" s="3039"/>
      <c r="Y411" s="3039"/>
      <c r="Z411" s="3039"/>
      <c r="AA411" s="3039"/>
      <c r="AB411" s="3039"/>
      <c r="AC411" s="3039"/>
      <c r="AD411" s="3039"/>
      <c r="AE411" s="3039"/>
      <c r="AF411" s="3039"/>
      <c r="AG411" s="3039"/>
      <c r="AH411" s="3039"/>
      <c r="AI411" s="3039"/>
      <c r="AJ411" s="3039"/>
      <c r="AK411" s="3039"/>
      <c r="AL411" s="3039"/>
      <c r="AM411" s="3039"/>
      <c r="AN411" s="3039"/>
      <c r="AO411" s="3039"/>
      <c r="AP411" s="3039"/>
      <c r="AQ411" s="3039"/>
      <c r="AR411" s="3039"/>
      <c r="AS411" s="3039"/>
      <c r="AT411" s="3039"/>
      <c r="AU411" s="3039"/>
      <c r="AV411" s="3039"/>
      <c r="AW411" s="3039"/>
      <c r="AY411" s="3187">
        <f>INDEX(Global.Assumptions[GDP*],MATCH(AY392,Global.Assumptions[Year]),0)</f>
        <v>2834838</v>
      </c>
      <c r="BA411" s="3187">
        <f>INDEX(Global.Assumptions[GDP*],MATCH(BA392,Global.Assumptions[Year]),0)</f>
        <v>4170367</v>
      </c>
      <c r="BB411" s="3187">
        <f>INDEX(Global.Assumptions[GDP*],MATCH(BB392,Global.Assumptions[Year]),0)</f>
        <v>6416626.56692445</v>
      </c>
      <c r="BC411" s="3187">
        <f>INDEX(Global.Assumptions[GDP*],MATCH(BC392,Global.Assumptions[Year]),0)</f>
        <v>9872775.3455177099</v>
      </c>
      <c r="BD411" s="3187">
        <f>INDEX(Global.Assumptions[GDP*],MATCH(BD392,Global.Assumptions[Year]),0)</f>
        <v>14506346.011107996</v>
      </c>
      <c r="BE411" s="3187">
        <f>INDEX(Global.Assumptions[GDP*],MATCH(BE392,Global.Assumptions[Year]),0)</f>
        <v>20345900.704012565</v>
      </c>
      <c r="BF411" s="3187">
        <f>INDEX(Global.Assumptions[GDP*],MATCH(BF392,Global.Assumptions[Year]),0)</f>
        <v>28536178.245063175</v>
      </c>
      <c r="BG411" s="3187">
        <f>INDEX(Global.Assumptions[GDP*],MATCH(BG392,Global.Assumptions[Year]),0)</f>
        <v>38187843.614496239</v>
      </c>
      <c r="BH411" s="3187">
        <f>INDEX(Global.Assumptions[GDP*],MATCH(BH392,Global.Assumptions[Year]),0)</f>
        <v>51103949.078307718</v>
      </c>
      <c r="BI411" s="3187"/>
      <c r="BJ411" s="3039"/>
      <c r="BK411" s="3039"/>
      <c r="BL411" s="3039"/>
    </row>
    <row r="412" spans="1:64" s="3036" customFormat="1">
      <c r="A412" s="3012"/>
      <c r="C412" s="3039"/>
      <c r="D412" s="3193" t="s">
        <v>2466</v>
      </c>
      <c r="F412" s="3039"/>
      <c r="G412" s="3039"/>
      <c r="H412" s="3039"/>
      <c r="I412" s="3039"/>
      <c r="J412" s="3039"/>
      <c r="K412" s="3039"/>
      <c r="L412" s="3039"/>
      <c r="M412" s="3039"/>
      <c r="N412" s="3039"/>
      <c r="O412" s="3039"/>
      <c r="P412" s="3039"/>
      <c r="Q412" s="3039"/>
      <c r="R412" s="3039"/>
      <c r="S412" s="3039"/>
      <c r="T412" s="3039"/>
      <c r="U412" s="3039"/>
      <c r="V412" s="3039"/>
      <c r="W412" s="3039"/>
      <c r="X412" s="3039"/>
      <c r="Y412" s="3039"/>
      <c r="Z412" s="3039"/>
      <c r="AA412" s="3039"/>
      <c r="AB412" s="3039"/>
      <c r="AC412" s="3039"/>
      <c r="AD412" s="3039"/>
      <c r="AE412" s="3039"/>
      <c r="AF412" s="3039"/>
      <c r="AG412" s="3039"/>
      <c r="AH412" s="3039"/>
      <c r="AI412" s="3039"/>
      <c r="AJ412" s="3039"/>
      <c r="AK412" s="3039"/>
      <c r="AL412" s="3039"/>
      <c r="AM412" s="3039"/>
      <c r="AN412" s="3039"/>
      <c r="AO412" s="3039"/>
      <c r="AP412" s="3039"/>
      <c r="AQ412" s="3039"/>
      <c r="AR412" s="3039"/>
      <c r="AS412" s="3039"/>
      <c r="AT412" s="3039"/>
      <c r="AU412" s="3039"/>
      <c r="AV412" s="3039"/>
      <c r="AW412" s="3039"/>
      <c r="AY412" s="3194">
        <f ca="1">AY410/AY411</f>
        <v>0.19814011588424665</v>
      </c>
      <c r="BA412" s="3195">
        <f ca="1">BA410/BA411</f>
        <v>0.16571590845505624</v>
      </c>
      <c r="BB412" s="3195">
        <f t="shared" ref="BB412:BH412" ca="1" si="130">BB410/BB411</f>
        <v>0.17318596124408867</v>
      </c>
      <c r="BC412" s="3195">
        <f t="shared" ca="1" si="130"/>
        <v>0.19472216739690598</v>
      </c>
      <c r="BD412" s="3195">
        <f t="shared" ca="1" si="130"/>
        <v>0.20020976698519366</v>
      </c>
      <c r="BE412" s="3195">
        <f t="shared" ca="1" si="130"/>
        <v>0.20801602372533842</v>
      </c>
      <c r="BF412" s="3195">
        <f t="shared" ca="1" si="130"/>
        <v>0.20035328030415109</v>
      </c>
      <c r="BG412" s="3195">
        <f t="shared" ca="1" si="130"/>
        <v>0.18749236425356963</v>
      </c>
      <c r="BH412" s="3195">
        <f t="shared" ca="1" si="130"/>
        <v>0.1688359342081967</v>
      </c>
      <c r="BI412" s="3194"/>
      <c r="BJ412" s="3039"/>
      <c r="BK412" s="3039"/>
      <c r="BL412" s="3039"/>
    </row>
    <row r="413" spans="1:64" s="3036" customFormat="1">
      <c r="A413" s="3012"/>
      <c r="C413" s="3039"/>
      <c r="D413" s="3043"/>
      <c r="F413" s="3039"/>
      <c r="G413" s="3039"/>
      <c r="H413" s="3039"/>
      <c r="I413" s="3039"/>
      <c r="J413" s="3039"/>
      <c r="K413" s="3039"/>
      <c r="L413" s="3039"/>
      <c r="M413" s="3039"/>
      <c r="N413" s="3039"/>
      <c r="O413" s="3039"/>
      <c r="P413" s="3039"/>
      <c r="Q413" s="3039"/>
      <c r="R413" s="3039"/>
      <c r="S413" s="3039"/>
      <c r="T413" s="3039"/>
      <c r="U413" s="3039"/>
      <c r="V413" s="3039"/>
      <c r="W413" s="3039"/>
      <c r="X413" s="3039"/>
      <c r="Y413" s="3039"/>
      <c r="Z413" s="3039"/>
      <c r="AA413" s="3039"/>
      <c r="AB413" s="3039"/>
      <c r="AC413" s="3039"/>
      <c r="AD413" s="3039"/>
      <c r="AE413" s="3039"/>
      <c r="AF413" s="3039"/>
      <c r="AG413" s="3039"/>
      <c r="AH413" s="3039"/>
      <c r="AI413" s="3039"/>
      <c r="AJ413" s="3039"/>
      <c r="AK413" s="3039"/>
      <c r="AL413" s="3039"/>
      <c r="AM413" s="3039"/>
      <c r="AN413" s="3039"/>
      <c r="AO413" s="3039"/>
      <c r="AP413" s="3039"/>
      <c r="AQ413" s="3039"/>
      <c r="AR413" s="3039"/>
      <c r="AS413" s="3039"/>
      <c r="AT413" s="3039"/>
      <c r="AU413" s="3039"/>
      <c r="AV413" s="3039"/>
      <c r="AW413" s="3039"/>
      <c r="AY413" s="3040"/>
      <c r="BA413" s="3041"/>
      <c r="BB413" s="3042"/>
      <c r="BF413" s="3040"/>
      <c r="BG413" s="3043"/>
      <c r="BH413" s="3043"/>
      <c r="BI413" s="3039"/>
      <c r="BJ413" s="3039"/>
      <c r="BK413" s="3039"/>
      <c r="BL413" s="3039"/>
    </row>
    <row r="414" spans="1:64" s="3036" customFormat="1">
      <c r="A414" s="3012"/>
      <c r="C414" s="3039"/>
      <c r="D414" s="3043"/>
      <c r="F414" s="3039"/>
      <c r="G414" s="3039"/>
      <c r="H414" s="3039"/>
      <c r="I414" s="3039"/>
      <c r="J414" s="3039"/>
      <c r="K414" s="3039"/>
      <c r="L414" s="3039"/>
      <c r="M414" s="3039"/>
      <c r="N414" s="3039"/>
      <c r="O414" s="3039"/>
      <c r="P414" s="3039"/>
      <c r="Q414" s="3039"/>
      <c r="R414" s="3039"/>
      <c r="S414" s="3039"/>
      <c r="T414" s="3039"/>
      <c r="U414" s="3039"/>
      <c r="V414" s="3039"/>
      <c r="W414" s="3039"/>
      <c r="X414" s="3039"/>
      <c r="Y414" s="3039"/>
      <c r="Z414" s="3039"/>
      <c r="AA414" s="3039"/>
      <c r="AB414" s="3039"/>
      <c r="AC414" s="3039"/>
      <c r="AD414" s="3039"/>
      <c r="AE414" s="3039"/>
      <c r="AF414" s="3039"/>
      <c r="AG414" s="3039"/>
      <c r="AH414" s="3039"/>
      <c r="AI414" s="3039"/>
      <c r="AJ414" s="3039"/>
      <c r="AK414" s="3039"/>
      <c r="AL414" s="3039"/>
      <c r="AM414" s="3039"/>
      <c r="AN414" s="3039"/>
      <c r="AO414" s="3039"/>
      <c r="AP414" s="3039"/>
      <c r="AQ414" s="3039"/>
      <c r="AR414" s="3039"/>
      <c r="AS414" s="3039"/>
      <c r="AT414" s="3039"/>
      <c r="AU414" s="3039"/>
      <c r="AV414" s="3039"/>
      <c r="AW414" s="3039"/>
      <c r="AY414" s="3040"/>
      <c r="BA414" s="3041"/>
      <c r="BB414" s="3042"/>
      <c r="BF414" s="3045"/>
      <c r="BG414" s="3043"/>
      <c r="BH414" s="3043"/>
      <c r="BI414" s="3039"/>
      <c r="BJ414" s="3039"/>
      <c r="BK414" s="3039"/>
      <c r="BL414" s="3039"/>
    </row>
    <row r="415" spans="1:64" s="3020" customFormat="1">
      <c r="A415" s="3012"/>
      <c r="C415" s="3046"/>
      <c r="D415" s="3047"/>
      <c r="F415" s="3046"/>
      <c r="G415" s="3046"/>
      <c r="H415" s="3046"/>
      <c r="I415" s="3046"/>
      <c r="J415" s="3046"/>
      <c r="K415" s="3046"/>
      <c r="L415" s="3046"/>
      <c r="M415" s="3046"/>
      <c r="N415" s="3046"/>
      <c r="O415" s="3046"/>
      <c r="P415" s="3046"/>
      <c r="Q415" s="3046"/>
      <c r="R415" s="3046"/>
      <c r="S415" s="3046"/>
      <c r="T415" s="3046"/>
      <c r="U415" s="3046"/>
      <c r="V415" s="3046"/>
      <c r="W415" s="3046"/>
      <c r="X415" s="3046"/>
      <c r="Y415" s="3046"/>
      <c r="Z415" s="3046"/>
      <c r="AA415" s="3046"/>
      <c r="AB415" s="3046"/>
      <c r="AC415" s="3046"/>
      <c r="AD415" s="3046"/>
      <c r="AE415" s="3046"/>
      <c r="AF415" s="3046"/>
      <c r="AG415" s="3046"/>
      <c r="AH415" s="3046"/>
      <c r="AI415" s="3046"/>
      <c r="AJ415" s="3046"/>
      <c r="AK415" s="3046"/>
      <c r="AL415" s="3046"/>
      <c r="AM415" s="3046"/>
      <c r="AN415" s="3046"/>
      <c r="AO415" s="3046"/>
      <c r="AP415" s="3046"/>
      <c r="AQ415" s="3046"/>
      <c r="AR415" s="3046"/>
      <c r="AS415" s="3046"/>
      <c r="AT415" s="3046"/>
      <c r="AU415" s="3046"/>
      <c r="AV415" s="3046"/>
      <c r="AW415" s="3046"/>
      <c r="AY415" s="3048"/>
      <c r="BA415" s="3049"/>
      <c r="BB415" s="3050"/>
      <c r="BF415" s="3051"/>
      <c r="BG415" s="3052"/>
      <c r="BH415" s="3052"/>
      <c r="BI415" s="3053"/>
      <c r="BJ415" s="3053"/>
      <c r="BK415" s="3053"/>
      <c r="BL415" s="3053"/>
    </row>
    <row r="416" spans="1:64" s="3020" customFormat="1">
      <c r="A416" s="3012"/>
      <c r="C416" s="3046"/>
      <c r="D416" s="3047"/>
      <c r="F416" s="3046"/>
      <c r="G416" s="3046"/>
      <c r="H416" s="3046"/>
      <c r="I416" s="3046"/>
      <c r="J416" s="3046"/>
      <c r="K416" s="3046"/>
      <c r="L416" s="3046"/>
      <c r="M416" s="3046"/>
      <c r="N416" s="3046"/>
      <c r="O416" s="3046"/>
      <c r="P416" s="3046"/>
      <c r="Q416" s="3046"/>
      <c r="R416" s="3046"/>
      <c r="S416" s="3046"/>
      <c r="T416" s="3046"/>
      <c r="U416" s="3046"/>
      <c r="V416" s="3046"/>
      <c r="W416" s="3046"/>
      <c r="X416" s="3046"/>
      <c r="Y416" s="3046"/>
      <c r="Z416" s="3046"/>
      <c r="AA416" s="3046"/>
      <c r="AB416" s="3046"/>
      <c r="AC416" s="3046"/>
      <c r="AD416" s="3046"/>
      <c r="AE416" s="3046"/>
      <c r="AF416" s="3046"/>
      <c r="AG416" s="3046"/>
      <c r="AH416" s="3046"/>
      <c r="AI416" s="3046"/>
      <c r="AJ416" s="3046"/>
      <c r="AK416" s="3046"/>
      <c r="AL416" s="3046"/>
      <c r="AM416" s="3046"/>
      <c r="AN416" s="3046"/>
      <c r="AO416" s="3046"/>
      <c r="AP416" s="3046"/>
      <c r="AQ416" s="3046"/>
      <c r="AR416" s="3046"/>
      <c r="AS416" s="3046"/>
      <c r="AT416" s="3046"/>
      <c r="AU416" s="3046"/>
      <c r="AV416" s="3046"/>
      <c r="AW416" s="3046"/>
      <c r="AY416" s="3048"/>
      <c r="BA416" s="3049"/>
      <c r="BB416" s="3050"/>
      <c r="BF416" s="3054"/>
      <c r="BG416" s="3055"/>
      <c r="BH416" s="3055"/>
      <c r="BI416" s="3056"/>
      <c r="BJ416" s="3056"/>
      <c r="BK416" s="3056"/>
      <c r="BL416" s="3056"/>
    </row>
    <row r="417" spans="1:64" s="3020" customFormat="1" ht="52.5">
      <c r="A417" s="3012"/>
      <c r="C417" s="3046"/>
      <c r="D417" s="3422" t="s">
        <v>831</v>
      </c>
      <c r="E417" s="3422"/>
      <c r="F417" s="3201" t="s">
        <v>2471</v>
      </c>
      <c r="G417" s="3202"/>
      <c r="H417" s="3202"/>
      <c r="I417" s="3202"/>
      <c r="J417" s="3202"/>
      <c r="K417" s="3202"/>
      <c r="L417" s="3202"/>
      <c r="M417" s="3202"/>
      <c r="N417" s="3202"/>
      <c r="O417" s="3202"/>
      <c r="P417" s="3202"/>
      <c r="Q417" s="3202"/>
      <c r="R417" s="3202"/>
      <c r="S417" s="3202"/>
      <c r="T417" s="3202"/>
      <c r="U417" s="3202"/>
      <c r="V417" s="3202"/>
      <c r="W417" s="3202"/>
      <c r="X417" s="3202"/>
      <c r="Y417" s="3202"/>
      <c r="Z417" s="3202"/>
      <c r="AA417" s="3202"/>
      <c r="AB417" s="3202"/>
      <c r="AC417" s="3202"/>
      <c r="AD417" s="3202"/>
      <c r="AE417" s="3202"/>
      <c r="AF417" s="3202"/>
      <c r="AG417" s="3202"/>
      <c r="AH417" s="3202"/>
      <c r="AI417" s="3202"/>
      <c r="AJ417" s="3202"/>
      <c r="AK417" s="3202"/>
      <c r="AL417" s="3202"/>
      <c r="AM417" s="3202"/>
      <c r="AN417" s="3202"/>
      <c r="AO417" s="3202"/>
      <c r="AP417" s="3202"/>
      <c r="AQ417" s="3202"/>
      <c r="AR417" s="3202"/>
      <c r="AS417" s="3202"/>
      <c r="AT417" s="3202"/>
      <c r="AU417" s="3202"/>
      <c r="AV417" s="3202"/>
      <c r="AW417" s="3202"/>
      <c r="AX417" s="3203" t="s">
        <v>2472</v>
      </c>
      <c r="AY417" s="3204" t="s">
        <v>2464</v>
      </c>
      <c r="AZ417" s="3204" t="s">
        <v>2465</v>
      </c>
      <c r="BA417" s="3205" t="s">
        <v>2477</v>
      </c>
      <c r="BB417" s="3206" t="s">
        <v>2478</v>
      </c>
      <c r="BC417" s="3204" t="s">
        <v>2474</v>
      </c>
      <c r="BD417" s="3204" t="s">
        <v>2463</v>
      </c>
      <c r="BE417" s="3204" t="s">
        <v>2468</v>
      </c>
      <c r="BF417" s="3203" t="s">
        <v>2469</v>
      </c>
      <c r="BG417" s="3207" t="s">
        <v>2470</v>
      </c>
      <c r="BH417" s="3047"/>
      <c r="BI417" s="3046"/>
      <c r="BJ417" s="3046"/>
      <c r="BK417" s="3046"/>
      <c r="BL417" s="3046"/>
    </row>
    <row r="418" spans="1:64" s="3020" customFormat="1">
      <c r="A418" s="3012"/>
      <c r="C418" s="3046"/>
      <c r="D418" s="3208" t="s">
        <v>59</v>
      </c>
      <c r="E418" s="140" t="s">
        <v>58</v>
      </c>
      <c r="F418" s="3046"/>
      <c r="G418" s="3046"/>
      <c r="H418" s="3046"/>
      <c r="I418" s="3046"/>
      <c r="J418" s="3046"/>
      <c r="K418" s="3046"/>
      <c r="L418" s="3046"/>
      <c r="M418" s="3046"/>
      <c r="N418" s="3046"/>
      <c r="O418" s="3046"/>
      <c r="P418" s="3046"/>
      <c r="Q418" s="3046"/>
      <c r="R418" s="3046"/>
      <c r="S418" s="3046"/>
      <c r="T418" s="3046"/>
      <c r="U418" s="3046"/>
      <c r="V418" s="3046"/>
      <c r="W418" s="3046"/>
      <c r="X418" s="3046"/>
      <c r="Y418" s="3046"/>
      <c r="Z418" s="3046"/>
      <c r="AA418" s="3046"/>
      <c r="AB418" s="3046"/>
      <c r="AC418" s="3046"/>
      <c r="AD418" s="3046"/>
      <c r="AE418" s="3046"/>
      <c r="AF418" s="3046"/>
      <c r="AG418" s="3046"/>
      <c r="AH418" s="3046"/>
      <c r="AI418" s="3046"/>
      <c r="AJ418" s="3046"/>
      <c r="AK418" s="3046"/>
      <c r="AL418" s="3046"/>
      <c r="AM418" s="3046"/>
      <c r="AN418" s="3046"/>
      <c r="AO418" s="3046"/>
      <c r="AP418" s="3046"/>
      <c r="AQ418" s="3046"/>
      <c r="AR418" s="3046"/>
      <c r="AS418" s="3046"/>
      <c r="AT418" s="3046"/>
      <c r="AU418" s="3046"/>
      <c r="AV418" s="3046"/>
      <c r="AW418" s="3046"/>
      <c r="AX418" s="3048"/>
      <c r="BA418" s="3049"/>
      <c r="BB418" s="3050"/>
      <c r="BF418" s="3048"/>
      <c r="BG418" s="3047"/>
      <c r="BH418" s="3047"/>
      <c r="BI418" s="3046"/>
      <c r="BJ418" s="3046"/>
      <c r="BK418" s="3046"/>
      <c r="BL418" s="3046"/>
    </row>
    <row r="419" spans="1:64" s="3020" customFormat="1">
      <c r="A419" s="3012"/>
      <c r="C419" s="3046"/>
      <c r="D419" s="3047" t="s">
        <v>2475</v>
      </c>
      <c r="E419" s="3020" t="s">
        <v>2476</v>
      </c>
      <c r="F419" s="3046">
        <f ca="1">BA21</f>
        <v>4904.5677325703546</v>
      </c>
      <c r="G419" s="3046"/>
      <c r="H419" s="3046"/>
      <c r="I419" s="3046"/>
      <c r="J419" s="3046"/>
      <c r="K419" s="3046"/>
      <c r="L419" s="3046"/>
      <c r="M419" s="3046"/>
      <c r="N419" s="3046"/>
      <c r="O419" s="3046"/>
      <c r="P419" s="3046"/>
      <c r="Q419" s="3046"/>
      <c r="R419" s="3046"/>
      <c r="S419" s="3046"/>
      <c r="T419" s="3046"/>
      <c r="U419" s="3046"/>
      <c r="V419" s="3046"/>
      <c r="W419" s="3046"/>
      <c r="X419" s="3046"/>
      <c r="Y419" s="3046"/>
      <c r="Z419" s="3046"/>
      <c r="AA419" s="3046"/>
      <c r="AB419" s="3046"/>
      <c r="AC419" s="3046"/>
      <c r="AD419" s="3046"/>
      <c r="AE419" s="3046"/>
      <c r="AF419" s="3046"/>
      <c r="AG419" s="3046"/>
      <c r="AH419" s="3046"/>
      <c r="AI419" s="3046"/>
      <c r="AJ419" s="3046"/>
      <c r="AK419" s="3046"/>
      <c r="AL419" s="3046"/>
      <c r="AM419" s="3046"/>
      <c r="AN419" s="3046"/>
      <c r="AO419" s="3046"/>
      <c r="AP419" s="3046"/>
      <c r="AQ419" s="3046"/>
      <c r="AR419" s="3046"/>
      <c r="AS419" s="3046"/>
      <c r="AT419" s="3046"/>
      <c r="AU419" s="3046"/>
      <c r="AV419" s="3046"/>
      <c r="AW419" s="3046"/>
      <c r="AX419" s="3058">
        <f ca="1">BH21</f>
        <v>23679.361325251186</v>
      </c>
      <c r="AY419" s="3190">
        <f ca="1">BA23</f>
        <v>4033.5351145964114</v>
      </c>
      <c r="AZ419" s="3190">
        <f ca="1">BH23</f>
        <v>13894.929070806482</v>
      </c>
      <c r="BA419" s="3192">
        <f ca="1">BH189</f>
        <v>4.6611470686127421E-2</v>
      </c>
      <c r="BB419" s="3192">
        <f ca="1">F105</f>
        <v>7.2624835133099129E-3</v>
      </c>
      <c r="BC419" s="3192">
        <v>0.13700000000000001</v>
      </c>
      <c r="BD419" s="3192">
        <f ca="1">BH412</f>
        <v>0.1688359342081967</v>
      </c>
      <c r="BE419" s="3197">
        <f ca="1">BA253</f>
        <v>1.4253081226256636</v>
      </c>
      <c r="BF419" s="3197">
        <f ca="1">BH253</f>
        <v>7.6173188825732678</v>
      </c>
      <c r="BG419" s="3199">
        <f ca="1">'Land Use'!K42</f>
        <v>2.3993440101455427E-3</v>
      </c>
      <c r="BH419" s="3058"/>
      <c r="BI419" s="3058"/>
      <c r="BJ419" s="3046"/>
      <c r="BK419" s="3046"/>
      <c r="BL419" s="3046"/>
    </row>
    <row r="420" spans="1:64" s="3020" customFormat="1">
      <c r="A420" s="3012"/>
      <c r="C420" s="3046"/>
      <c r="D420" s="3047"/>
      <c r="F420" s="3046"/>
      <c r="G420" s="3046"/>
      <c r="H420" s="3046"/>
      <c r="I420" s="3046"/>
      <c r="J420" s="3046"/>
      <c r="K420" s="3046"/>
      <c r="L420" s="3046"/>
      <c r="M420" s="3046"/>
      <c r="N420" s="3046"/>
      <c r="O420" s="3046"/>
      <c r="P420" s="3046"/>
      <c r="Q420" s="3046"/>
      <c r="R420" s="3046"/>
      <c r="S420" s="3046"/>
      <c r="T420" s="3046"/>
      <c r="U420" s="3046"/>
      <c r="V420" s="3046"/>
      <c r="W420" s="3046"/>
      <c r="X420" s="3046"/>
      <c r="Y420" s="3046"/>
      <c r="Z420" s="3046"/>
      <c r="AA420" s="3046"/>
      <c r="AB420" s="3046"/>
      <c r="AC420" s="3046"/>
      <c r="AD420" s="3046"/>
      <c r="AE420" s="3046"/>
      <c r="AF420" s="3046"/>
      <c r="AG420" s="3046"/>
      <c r="AH420" s="3046"/>
      <c r="AI420" s="3046"/>
      <c r="AJ420" s="3046"/>
      <c r="AK420" s="3046"/>
      <c r="AL420" s="3046"/>
      <c r="AM420" s="3046"/>
      <c r="AN420" s="3046"/>
      <c r="AO420" s="3046"/>
      <c r="AP420" s="3046"/>
      <c r="AQ420" s="3046"/>
      <c r="AR420" s="3046"/>
      <c r="AS420" s="3046"/>
      <c r="AT420" s="3046"/>
      <c r="AU420" s="3046"/>
      <c r="AV420" s="3046"/>
      <c r="AW420" s="3046"/>
      <c r="AY420" s="3059"/>
      <c r="BA420" s="3058"/>
      <c r="BB420" s="3058"/>
      <c r="BC420" s="3058"/>
      <c r="BD420" s="3058"/>
      <c r="BE420" s="3058"/>
      <c r="BF420" s="3058"/>
      <c r="BG420" s="3058"/>
      <c r="BH420" s="3058"/>
      <c r="BI420" s="3058"/>
      <c r="BJ420" s="3046"/>
      <c r="BK420" s="3046"/>
      <c r="BL420" s="3046"/>
    </row>
    <row r="421" spans="1:64" s="3020" customFormat="1">
      <c r="A421" s="3012"/>
      <c r="C421" s="3046"/>
      <c r="D421" s="3047"/>
      <c r="F421" s="3046"/>
      <c r="G421" s="3046"/>
      <c r="H421" s="3046"/>
      <c r="I421" s="3046"/>
      <c r="J421" s="3046"/>
      <c r="K421" s="3046"/>
      <c r="L421" s="3046"/>
      <c r="M421" s="3046"/>
      <c r="N421" s="3046"/>
      <c r="O421" s="3046"/>
      <c r="P421" s="3046"/>
      <c r="Q421" s="3046"/>
      <c r="R421" s="3046"/>
      <c r="S421" s="3046"/>
      <c r="T421" s="3046"/>
      <c r="U421" s="3046"/>
      <c r="V421" s="3046"/>
      <c r="W421" s="3046"/>
      <c r="X421" s="3046"/>
      <c r="Y421" s="3046"/>
      <c r="Z421" s="3046"/>
      <c r="AA421" s="3046"/>
      <c r="AB421" s="3046"/>
      <c r="AC421" s="3046"/>
      <c r="AD421" s="3046"/>
      <c r="AE421" s="3046"/>
      <c r="AF421" s="3046"/>
      <c r="AG421" s="3046"/>
      <c r="AH421" s="3046"/>
      <c r="AI421" s="3046"/>
      <c r="AJ421" s="3046"/>
      <c r="AK421" s="3046"/>
      <c r="AL421" s="3046"/>
      <c r="AM421" s="3046"/>
      <c r="AN421" s="3046"/>
      <c r="AO421" s="3046"/>
      <c r="AP421" s="3046"/>
      <c r="AQ421" s="3046"/>
      <c r="AR421" s="3046"/>
      <c r="AS421" s="3046"/>
      <c r="AT421" s="3046"/>
      <c r="AU421" s="3046"/>
      <c r="AV421" s="3046"/>
      <c r="AW421" s="3046"/>
      <c r="AY421" s="3059"/>
      <c r="BA421" s="3058"/>
      <c r="BB421" s="3058"/>
      <c r="BC421" s="3058"/>
      <c r="BD421" s="3058"/>
      <c r="BE421" s="3058"/>
      <c r="BF421" s="3058"/>
      <c r="BG421" s="3058"/>
      <c r="BH421" s="3058"/>
      <c r="BI421" s="3058"/>
      <c r="BJ421" s="3046"/>
      <c r="BK421" s="3046"/>
      <c r="BL421" s="3046"/>
    </row>
    <row r="422" spans="1:64" s="3020" customFormat="1">
      <c r="A422" s="3012"/>
      <c r="C422" s="3046"/>
      <c r="D422" s="3047"/>
      <c r="F422" s="3046"/>
      <c r="G422" s="3046"/>
      <c r="H422" s="3046"/>
      <c r="I422" s="3046"/>
      <c r="J422" s="3046"/>
      <c r="K422" s="3046"/>
      <c r="L422" s="3046"/>
      <c r="M422" s="3046"/>
      <c r="N422" s="3046"/>
      <c r="O422" s="3046"/>
      <c r="P422" s="3046"/>
      <c r="Q422" s="3046"/>
      <c r="R422" s="3046"/>
      <c r="S422" s="3046"/>
      <c r="T422" s="3046"/>
      <c r="U422" s="3046"/>
      <c r="V422" s="3046"/>
      <c r="W422" s="3046"/>
      <c r="X422" s="3046"/>
      <c r="Y422" s="3046"/>
      <c r="Z422" s="3046"/>
      <c r="AA422" s="3046"/>
      <c r="AB422" s="3046"/>
      <c r="AC422" s="3046"/>
      <c r="AD422" s="3046"/>
      <c r="AE422" s="3046"/>
      <c r="AF422" s="3046"/>
      <c r="AG422" s="3046"/>
      <c r="AH422" s="3046"/>
      <c r="AI422" s="3046"/>
      <c r="AJ422" s="3046"/>
      <c r="AK422" s="3046"/>
      <c r="AL422" s="3046"/>
      <c r="AM422" s="3046"/>
      <c r="AN422" s="3046"/>
      <c r="AO422" s="3046"/>
      <c r="AP422" s="3046"/>
      <c r="AQ422" s="3046"/>
      <c r="AR422" s="3046"/>
      <c r="AS422" s="3046"/>
      <c r="AT422" s="3046"/>
      <c r="AU422" s="3046"/>
      <c r="AV422" s="3046"/>
      <c r="AW422" s="3046"/>
      <c r="AY422" s="3059"/>
      <c r="BA422" s="3058"/>
      <c r="BB422" s="3058"/>
      <c r="BC422" s="3058"/>
      <c r="BD422" s="3058"/>
      <c r="BE422" s="3058"/>
      <c r="BF422" s="3058"/>
      <c r="BG422" s="3058"/>
      <c r="BH422" s="3058"/>
      <c r="BI422" s="3058"/>
      <c r="BJ422" s="3046"/>
      <c r="BK422" s="3046"/>
      <c r="BL422" s="3046"/>
    </row>
    <row r="423" spans="1:64" s="3020" customFormat="1">
      <c r="A423" s="3012"/>
      <c r="C423" s="3046"/>
      <c r="D423" s="3047"/>
      <c r="F423" s="3046"/>
      <c r="G423" s="3046"/>
      <c r="H423" s="3046"/>
      <c r="I423" s="3046"/>
      <c r="J423" s="3046"/>
      <c r="K423" s="3046"/>
      <c r="L423" s="3046"/>
      <c r="M423" s="3046"/>
      <c r="N423" s="3046"/>
      <c r="O423" s="3046"/>
      <c r="P423" s="3046"/>
      <c r="Q423" s="3046"/>
      <c r="R423" s="3046"/>
      <c r="S423" s="3046"/>
      <c r="T423" s="3046"/>
      <c r="U423" s="3046"/>
      <c r="V423" s="3046"/>
      <c r="W423" s="3046"/>
      <c r="X423" s="3046"/>
      <c r="Y423" s="3046"/>
      <c r="Z423" s="3046"/>
      <c r="AA423" s="3046"/>
      <c r="AB423" s="3046"/>
      <c r="AC423" s="3046"/>
      <c r="AD423" s="3046"/>
      <c r="AE423" s="3046"/>
      <c r="AF423" s="3046"/>
      <c r="AG423" s="3046"/>
      <c r="AH423" s="3046"/>
      <c r="AI423" s="3046"/>
      <c r="AJ423" s="3046"/>
      <c r="AK423" s="3046"/>
      <c r="AL423" s="3046"/>
      <c r="AM423" s="3046"/>
      <c r="AN423" s="3046"/>
      <c r="AO423" s="3046"/>
      <c r="AP423" s="3046"/>
      <c r="AQ423" s="3046"/>
      <c r="AR423" s="3046"/>
      <c r="AS423" s="3046"/>
      <c r="AT423" s="3046"/>
      <c r="AU423" s="3046"/>
      <c r="AV423" s="3046"/>
      <c r="AW423" s="3046"/>
      <c r="AY423" s="3059"/>
      <c r="BA423" s="3058"/>
      <c r="BB423" s="3058"/>
      <c r="BC423" s="3058"/>
      <c r="BD423" s="3058"/>
      <c r="BE423" s="3058"/>
      <c r="BF423" s="3058"/>
      <c r="BG423" s="3058"/>
      <c r="BH423" s="3058"/>
      <c r="BI423" s="3058"/>
      <c r="BJ423" s="3046"/>
      <c r="BK423" s="3046"/>
      <c r="BL423" s="3046"/>
    </row>
    <row r="424" spans="1:64" s="3020" customFormat="1">
      <c r="A424" s="3012"/>
      <c r="C424" s="3046"/>
      <c r="D424" s="3047"/>
      <c r="F424" s="3046"/>
      <c r="G424" s="3046"/>
      <c r="H424" s="3046"/>
      <c r="I424" s="3046"/>
      <c r="J424" s="3046"/>
      <c r="K424" s="3046"/>
      <c r="L424" s="3046"/>
      <c r="M424" s="3046"/>
      <c r="N424" s="3046"/>
      <c r="O424" s="3046"/>
      <c r="P424" s="3046"/>
      <c r="Q424" s="3046"/>
      <c r="R424" s="3046"/>
      <c r="S424" s="3046"/>
      <c r="T424" s="3046"/>
      <c r="U424" s="3046"/>
      <c r="V424" s="3046"/>
      <c r="W424" s="3046"/>
      <c r="X424" s="3046"/>
      <c r="Y424" s="3046"/>
      <c r="Z424" s="3046"/>
      <c r="AA424" s="3046"/>
      <c r="AB424" s="3046"/>
      <c r="AC424" s="3046"/>
      <c r="AD424" s="3046"/>
      <c r="AE424" s="3046"/>
      <c r="AF424" s="3046"/>
      <c r="AG424" s="3046"/>
      <c r="AH424" s="3046"/>
      <c r="AI424" s="3046"/>
      <c r="AJ424" s="3046"/>
      <c r="AK424" s="3046"/>
      <c r="AL424" s="3046"/>
      <c r="AM424" s="3046"/>
      <c r="AN424" s="3046"/>
      <c r="AO424" s="3046"/>
      <c r="AP424" s="3046"/>
      <c r="AQ424" s="3046"/>
      <c r="AR424" s="3046"/>
      <c r="AS424" s="3046"/>
      <c r="AT424" s="3046"/>
      <c r="AU424" s="3046"/>
      <c r="AV424" s="3046"/>
      <c r="AW424" s="3046"/>
      <c r="AY424" s="3058"/>
      <c r="BA424" s="3058"/>
      <c r="BB424" s="3058"/>
      <c r="BC424" s="3058"/>
      <c r="BD424" s="3058"/>
      <c r="BE424" s="3058"/>
      <c r="BF424" s="3058"/>
      <c r="BG424" s="3058"/>
      <c r="BH424" s="3058"/>
      <c r="BI424" s="3058"/>
      <c r="BJ424" s="3046"/>
      <c r="BK424" s="3046"/>
      <c r="BL424" s="3046"/>
    </row>
    <row r="425" spans="1:64" s="3020" customFormat="1">
      <c r="A425" s="3012"/>
      <c r="C425" s="3046"/>
      <c r="D425" s="3047"/>
      <c r="F425" s="3046"/>
      <c r="G425" s="3046"/>
      <c r="H425" s="3046"/>
      <c r="I425" s="3046"/>
      <c r="J425" s="3046"/>
      <c r="K425" s="3046"/>
      <c r="L425" s="3046"/>
      <c r="M425" s="3046"/>
      <c r="N425" s="3046"/>
      <c r="O425" s="3046"/>
      <c r="P425" s="3046"/>
      <c r="Q425" s="3046"/>
      <c r="R425" s="3046"/>
      <c r="S425" s="3046"/>
      <c r="T425" s="3046"/>
      <c r="U425" s="3046"/>
      <c r="V425" s="3046"/>
      <c r="W425" s="3046"/>
      <c r="X425" s="3046"/>
      <c r="Y425" s="3046"/>
      <c r="Z425" s="3046"/>
      <c r="AA425" s="3046"/>
      <c r="AB425" s="3046"/>
      <c r="AC425" s="3046"/>
      <c r="AD425" s="3046"/>
      <c r="AE425" s="3046"/>
      <c r="AF425" s="3046"/>
      <c r="AG425" s="3046"/>
      <c r="AH425" s="3046"/>
      <c r="AI425" s="3046"/>
      <c r="AJ425" s="3046"/>
      <c r="AK425" s="3046"/>
      <c r="AL425" s="3046"/>
      <c r="AM425" s="3046"/>
      <c r="AN425" s="3046"/>
      <c r="AO425" s="3046"/>
      <c r="AP425" s="3046"/>
      <c r="AQ425" s="3046"/>
      <c r="AR425" s="3046"/>
      <c r="AS425" s="3046"/>
      <c r="AT425" s="3046"/>
      <c r="AU425" s="3046"/>
      <c r="AV425" s="3046"/>
      <c r="AW425" s="3046"/>
      <c r="AY425" s="3058"/>
      <c r="BA425" s="3058"/>
      <c r="BB425" s="3058"/>
      <c r="BC425" s="3058"/>
      <c r="BD425" s="3058"/>
      <c r="BE425" s="3058"/>
      <c r="BF425" s="3058"/>
      <c r="BG425" s="3058"/>
      <c r="BH425" s="3058"/>
      <c r="BI425" s="3058"/>
      <c r="BJ425" s="3046"/>
      <c r="BK425" s="3046"/>
      <c r="BL425" s="3046"/>
    </row>
    <row r="426" spans="1:64" s="3020" customFormat="1">
      <c r="A426" s="3012"/>
      <c r="C426" s="3046"/>
      <c r="D426" s="3047"/>
      <c r="F426" s="3046"/>
      <c r="G426" s="3046"/>
      <c r="H426" s="3046"/>
      <c r="I426" s="3046"/>
      <c r="J426" s="3046"/>
      <c r="K426" s="3046"/>
      <c r="L426" s="3046"/>
      <c r="M426" s="3046"/>
      <c r="N426" s="3046"/>
      <c r="O426" s="3046"/>
      <c r="P426" s="3046"/>
      <c r="Q426" s="3046"/>
      <c r="R426" s="3046"/>
      <c r="S426" s="3046"/>
      <c r="T426" s="3046"/>
      <c r="U426" s="3046"/>
      <c r="V426" s="3046"/>
      <c r="W426" s="3046"/>
      <c r="X426" s="3046"/>
      <c r="Y426" s="3046"/>
      <c r="Z426" s="3046"/>
      <c r="AA426" s="3046"/>
      <c r="AB426" s="3046"/>
      <c r="AC426" s="3046"/>
      <c r="AD426" s="3046"/>
      <c r="AE426" s="3046"/>
      <c r="AF426" s="3046"/>
      <c r="AG426" s="3046"/>
      <c r="AH426" s="3046"/>
      <c r="AI426" s="3046"/>
      <c r="AJ426" s="3046"/>
      <c r="AK426" s="3046"/>
      <c r="AL426" s="3046"/>
      <c r="AM426" s="3046"/>
      <c r="AN426" s="3046"/>
      <c r="AO426" s="3046"/>
      <c r="AP426" s="3046"/>
      <c r="AQ426" s="3046"/>
      <c r="AR426" s="3046"/>
      <c r="AS426" s="3046"/>
      <c r="AT426" s="3046"/>
      <c r="AU426" s="3046"/>
      <c r="AV426" s="3046"/>
      <c r="AW426" s="3046"/>
      <c r="AY426" s="3058"/>
      <c r="BA426" s="3058"/>
      <c r="BB426" s="3058"/>
      <c r="BC426" s="3058"/>
      <c r="BD426" s="3058"/>
      <c r="BE426" s="3058"/>
      <c r="BF426" s="3058"/>
      <c r="BG426" s="3058"/>
      <c r="BH426" s="3058"/>
      <c r="BI426" s="3058"/>
      <c r="BJ426" s="3046"/>
      <c r="BK426" s="3046"/>
      <c r="BL426" s="3046"/>
    </row>
    <row r="427" spans="1:64" s="3020" customFormat="1">
      <c r="A427" s="3012"/>
      <c r="C427" s="3046"/>
      <c r="D427" s="3047"/>
      <c r="F427" s="3046"/>
      <c r="G427" s="3046"/>
      <c r="H427" s="3046"/>
      <c r="I427" s="3046"/>
      <c r="J427" s="3046"/>
      <c r="K427" s="3046"/>
      <c r="L427" s="3046"/>
      <c r="M427" s="3046"/>
      <c r="N427" s="3046"/>
      <c r="O427" s="3046"/>
      <c r="P427" s="3046"/>
      <c r="Q427" s="3046"/>
      <c r="R427" s="3046"/>
      <c r="S427" s="3046"/>
      <c r="T427" s="3046"/>
      <c r="U427" s="3046"/>
      <c r="V427" s="3046"/>
      <c r="W427" s="3046"/>
      <c r="X427" s="3046"/>
      <c r="Y427" s="3046"/>
      <c r="Z427" s="3046"/>
      <c r="AA427" s="3046"/>
      <c r="AB427" s="3046"/>
      <c r="AC427" s="3046"/>
      <c r="AD427" s="3046"/>
      <c r="AE427" s="3046"/>
      <c r="AF427" s="3046"/>
      <c r="AG427" s="3046"/>
      <c r="AH427" s="3046"/>
      <c r="AI427" s="3046"/>
      <c r="AJ427" s="3046"/>
      <c r="AK427" s="3046"/>
      <c r="AL427" s="3046"/>
      <c r="AM427" s="3046"/>
      <c r="AN427" s="3046"/>
      <c r="AO427" s="3046"/>
      <c r="AP427" s="3046"/>
      <c r="AQ427" s="3046"/>
      <c r="AR427" s="3046"/>
      <c r="AS427" s="3046"/>
      <c r="AT427" s="3046"/>
      <c r="AU427" s="3046"/>
      <c r="AV427" s="3046"/>
      <c r="AW427" s="3046"/>
      <c r="AY427" s="3058"/>
      <c r="BA427" s="3058"/>
      <c r="BB427" s="3058"/>
      <c r="BC427" s="3058"/>
      <c r="BD427" s="3058"/>
      <c r="BE427" s="3058"/>
      <c r="BF427" s="3058"/>
      <c r="BG427" s="3058"/>
      <c r="BH427" s="3058"/>
      <c r="BI427" s="3058"/>
      <c r="BJ427" s="3046"/>
      <c r="BK427" s="3046"/>
      <c r="BL427" s="3046"/>
    </row>
    <row r="428" spans="1:64" s="3020" customFormat="1">
      <c r="A428" s="3012"/>
      <c r="C428" s="3046"/>
      <c r="D428" s="3047"/>
      <c r="F428" s="3046"/>
      <c r="G428" s="3046"/>
      <c r="H428" s="3046"/>
      <c r="I428" s="3046"/>
      <c r="J428" s="3046"/>
      <c r="K428" s="3046"/>
      <c r="L428" s="3046"/>
      <c r="M428" s="3046"/>
      <c r="N428" s="3046"/>
      <c r="O428" s="3046"/>
      <c r="P428" s="3046"/>
      <c r="Q428" s="3046"/>
      <c r="R428" s="3046"/>
      <c r="S428" s="3046"/>
      <c r="T428" s="3046"/>
      <c r="U428" s="3046"/>
      <c r="V428" s="3046"/>
      <c r="W428" s="3046"/>
      <c r="X428" s="3046"/>
      <c r="Y428" s="3046"/>
      <c r="Z428" s="3046"/>
      <c r="AA428" s="3046"/>
      <c r="AB428" s="3046"/>
      <c r="AC428" s="3046"/>
      <c r="AD428" s="3046"/>
      <c r="AE428" s="3046"/>
      <c r="AF428" s="3046"/>
      <c r="AG428" s="3046"/>
      <c r="AH428" s="3046"/>
      <c r="AI428" s="3046"/>
      <c r="AJ428" s="3046"/>
      <c r="AK428" s="3046"/>
      <c r="AL428" s="3046"/>
      <c r="AM428" s="3046"/>
      <c r="AN428" s="3046"/>
      <c r="AO428" s="3046"/>
      <c r="AP428" s="3046"/>
      <c r="AQ428" s="3046"/>
      <c r="AR428" s="3046"/>
      <c r="AS428" s="3046"/>
      <c r="AT428" s="3046"/>
      <c r="AU428" s="3046"/>
      <c r="AV428" s="3046"/>
      <c r="AW428" s="3046"/>
      <c r="AY428" s="3058"/>
      <c r="BA428" s="3058"/>
      <c r="BB428" s="3058"/>
      <c r="BC428" s="3058"/>
      <c r="BD428" s="3058"/>
      <c r="BE428" s="3058"/>
      <c r="BF428" s="3058"/>
      <c r="BG428" s="3058"/>
      <c r="BH428" s="3058"/>
      <c r="BI428" s="3058"/>
      <c r="BJ428" s="3046"/>
      <c r="BK428" s="3046"/>
      <c r="BL428" s="3046"/>
    </row>
    <row r="429" spans="1:64" s="3020" customFormat="1">
      <c r="A429" s="3012"/>
      <c r="C429" s="3046"/>
      <c r="D429" s="3047"/>
      <c r="F429" s="3046"/>
      <c r="G429" s="3046"/>
      <c r="H429" s="3046"/>
      <c r="I429" s="3046"/>
      <c r="J429" s="3046"/>
      <c r="K429" s="3046"/>
      <c r="L429" s="3046"/>
      <c r="M429" s="3046"/>
      <c r="N429" s="3046"/>
      <c r="O429" s="3046"/>
      <c r="P429" s="3046"/>
      <c r="Q429" s="3046"/>
      <c r="R429" s="3046"/>
      <c r="S429" s="3046"/>
      <c r="T429" s="3046"/>
      <c r="U429" s="3046"/>
      <c r="V429" s="3046"/>
      <c r="W429" s="3046"/>
      <c r="X429" s="3046"/>
      <c r="Y429" s="3046"/>
      <c r="Z429" s="3046"/>
      <c r="AA429" s="3046"/>
      <c r="AB429" s="3046"/>
      <c r="AC429" s="3046"/>
      <c r="AD429" s="3046"/>
      <c r="AE429" s="3046"/>
      <c r="AF429" s="3046"/>
      <c r="AG429" s="3046"/>
      <c r="AH429" s="3046"/>
      <c r="AI429" s="3046"/>
      <c r="AJ429" s="3046"/>
      <c r="AK429" s="3046"/>
      <c r="AL429" s="3046"/>
      <c r="AM429" s="3046"/>
      <c r="AN429" s="3046"/>
      <c r="AO429" s="3046"/>
      <c r="AP429" s="3046"/>
      <c r="AQ429" s="3046"/>
      <c r="AR429" s="3046"/>
      <c r="AS429" s="3046"/>
      <c r="AT429" s="3046"/>
      <c r="AU429" s="3046"/>
      <c r="AV429" s="3046"/>
      <c r="AW429" s="3046"/>
      <c r="AY429" s="3058"/>
      <c r="BA429" s="3058"/>
      <c r="BB429" s="3058"/>
      <c r="BC429" s="3058"/>
      <c r="BD429" s="3058"/>
      <c r="BE429" s="3058"/>
      <c r="BF429" s="3058"/>
      <c r="BG429" s="3058"/>
      <c r="BH429" s="3058"/>
      <c r="BI429" s="3058"/>
      <c r="BJ429" s="3046"/>
      <c r="BK429" s="3046"/>
      <c r="BL429" s="3046"/>
    </row>
    <row r="430" spans="1:64" s="3020" customFormat="1">
      <c r="A430" s="3012"/>
      <c r="C430" s="3046"/>
      <c r="D430" s="3047"/>
      <c r="F430" s="3046"/>
      <c r="G430" s="3046"/>
      <c r="H430" s="3046"/>
      <c r="I430" s="3046"/>
      <c r="J430" s="3046"/>
      <c r="K430" s="3046"/>
      <c r="L430" s="3046"/>
      <c r="M430" s="3046"/>
      <c r="N430" s="3046"/>
      <c r="O430" s="3046"/>
      <c r="P430" s="3046"/>
      <c r="Q430" s="3046"/>
      <c r="R430" s="3046"/>
      <c r="S430" s="3046"/>
      <c r="T430" s="3046"/>
      <c r="U430" s="3046"/>
      <c r="V430" s="3046"/>
      <c r="W430" s="3046"/>
      <c r="X430" s="3046"/>
      <c r="Y430" s="3046"/>
      <c r="Z430" s="3046"/>
      <c r="AA430" s="3046"/>
      <c r="AB430" s="3046"/>
      <c r="AC430" s="3046"/>
      <c r="AD430" s="3046"/>
      <c r="AE430" s="3046"/>
      <c r="AF430" s="3046"/>
      <c r="AG430" s="3046"/>
      <c r="AH430" s="3046"/>
      <c r="AI430" s="3046"/>
      <c r="AJ430" s="3046"/>
      <c r="AK430" s="3046"/>
      <c r="AL430" s="3046"/>
      <c r="AM430" s="3046"/>
      <c r="AN430" s="3046"/>
      <c r="AO430" s="3046"/>
      <c r="AP430" s="3046"/>
      <c r="AQ430" s="3046"/>
      <c r="AR430" s="3046"/>
      <c r="AS430" s="3046"/>
      <c r="AT430" s="3046"/>
      <c r="AU430" s="3046"/>
      <c r="AV430" s="3046"/>
      <c r="AW430" s="3046"/>
      <c r="AY430" s="3058"/>
      <c r="BA430" s="3058"/>
      <c r="BB430" s="3058"/>
      <c r="BC430" s="3058"/>
      <c r="BD430" s="3058"/>
      <c r="BE430" s="3058"/>
      <c r="BF430" s="3058"/>
      <c r="BG430" s="3058"/>
      <c r="BH430" s="3058"/>
      <c r="BI430" s="3058"/>
      <c r="BJ430" s="3046"/>
      <c r="BK430" s="3046"/>
      <c r="BL430" s="3046"/>
    </row>
    <row r="431" spans="1:64" s="3020" customFormat="1">
      <c r="A431" s="3012"/>
      <c r="C431" s="3046"/>
      <c r="D431" s="3047"/>
      <c r="F431" s="3046"/>
      <c r="G431" s="3046"/>
      <c r="H431" s="3046"/>
      <c r="I431" s="3046"/>
      <c r="J431" s="3046"/>
      <c r="K431" s="3046"/>
      <c r="L431" s="3046"/>
      <c r="M431" s="3046"/>
      <c r="N431" s="3046"/>
      <c r="O431" s="3046"/>
      <c r="P431" s="3046"/>
      <c r="Q431" s="3046"/>
      <c r="R431" s="3046"/>
      <c r="S431" s="3046"/>
      <c r="T431" s="3046"/>
      <c r="U431" s="3046"/>
      <c r="V431" s="3046"/>
      <c r="W431" s="3046"/>
      <c r="X431" s="3046"/>
      <c r="Y431" s="3046"/>
      <c r="Z431" s="3046"/>
      <c r="AA431" s="3046"/>
      <c r="AB431" s="3046"/>
      <c r="AC431" s="3046"/>
      <c r="AD431" s="3046"/>
      <c r="AE431" s="3046"/>
      <c r="AF431" s="3046"/>
      <c r="AG431" s="3046"/>
      <c r="AH431" s="3046"/>
      <c r="AI431" s="3046"/>
      <c r="AJ431" s="3046"/>
      <c r="AK431" s="3046"/>
      <c r="AL431" s="3046"/>
      <c r="AM431" s="3046"/>
      <c r="AN431" s="3046"/>
      <c r="AO431" s="3046"/>
      <c r="AP431" s="3046"/>
      <c r="AQ431" s="3046"/>
      <c r="AR431" s="3046"/>
      <c r="AS431" s="3046"/>
      <c r="AT431" s="3046"/>
      <c r="AU431" s="3046"/>
      <c r="AV431" s="3046"/>
      <c r="AW431" s="3046"/>
      <c r="AY431" s="3058"/>
      <c r="BA431" s="3058"/>
      <c r="BB431" s="3058"/>
      <c r="BC431" s="3058"/>
      <c r="BD431" s="3058"/>
      <c r="BE431" s="3058"/>
      <c r="BF431" s="3058"/>
      <c r="BG431" s="3058"/>
      <c r="BH431" s="3058"/>
      <c r="BI431" s="3058"/>
      <c r="BJ431" s="3053"/>
      <c r="BK431" s="3053"/>
      <c r="BL431" s="3053"/>
    </row>
    <row r="432" spans="1:64" s="3020" customFormat="1">
      <c r="A432" s="3012"/>
      <c r="C432" s="3046"/>
      <c r="D432" s="3047"/>
      <c r="F432" s="3046"/>
      <c r="G432" s="3046"/>
      <c r="H432" s="3046"/>
      <c r="I432" s="3046"/>
      <c r="J432" s="3046"/>
      <c r="K432" s="3046"/>
      <c r="L432" s="3046"/>
      <c r="M432" s="3046"/>
      <c r="N432" s="3046"/>
      <c r="O432" s="3046"/>
      <c r="P432" s="3046"/>
      <c r="Q432" s="3046"/>
      <c r="R432" s="3046"/>
      <c r="S432" s="3046"/>
      <c r="T432" s="3046"/>
      <c r="U432" s="3046"/>
      <c r="V432" s="3046"/>
      <c r="W432" s="3046"/>
      <c r="X432" s="3046"/>
      <c r="Y432" s="3046"/>
      <c r="Z432" s="3046"/>
      <c r="AA432" s="3046"/>
      <c r="AB432" s="3046"/>
      <c r="AC432" s="3046"/>
      <c r="AD432" s="3046"/>
      <c r="AE432" s="3046"/>
      <c r="AF432" s="3046"/>
      <c r="AG432" s="3046"/>
      <c r="AH432" s="3046"/>
      <c r="AI432" s="3046"/>
      <c r="AJ432" s="3046"/>
      <c r="AK432" s="3046"/>
      <c r="AL432" s="3046"/>
      <c r="AM432" s="3046"/>
      <c r="AN432" s="3046"/>
      <c r="AO432" s="3046"/>
      <c r="AP432" s="3046"/>
      <c r="AQ432" s="3046"/>
      <c r="AR432" s="3046"/>
      <c r="AS432" s="3046"/>
      <c r="AT432" s="3046"/>
      <c r="AU432" s="3046"/>
      <c r="AV432" s="3046"/>
      <c r="AW432" s="3046"/>
      <c r="AY432" s="3058"/>
      <c r="BA432" s="3058"/>
      <c r="BB432" s="3058"/>
      <c r="BC432" s="3058"/>
      <c r="BD432" s="3058"/>
      <c r="BE432" s="3058"/>
      <c r="BF432" s="3058"/>
      <c r="BG432" s="3058"/>
      <c r="BH432" s="3058"/>
      <c r="BI432" s="3058"/>
      <c r="BJ432" s="3046"/>
      <c r="BK432" s="3046"/>
      <c r="BL432" s="3046"/>
    </row>
    <row r="433" spans="1:66" s="3020" customFormat="1">
      <c r="A433" s="3012"/>
      <c r="C433" s="3046"/>
      <c r="D433" s="3047"/>
      <c r="F433" s="3046"/>
      <c r="G433" s="3046"/>
      <c r="H433" s="3046"/>
      <c r="I433" s="3046"/>
      <c r="J433" s="3046"/>
      <c r="K433" s="3046"/>
      <c r="L433" s="3046"/>
      <c r="M433" s="3046"/>
      <c r="N433" s="3046"/>
      <c r="O433" s="3046"/>
      <c r="P433" s="3046"/>
      <c r="Q433" s="3046"/>
      <c r="R433" s="3046"/>
      <c r="S433" s="3046"/>
      <c r="T433" s="3046"/>
      <c r="U433" s="3046"/>
      <c r="V433" s="3046"/>
      <c r="W433" s="3046"/>
      <c r="X433" s="3046"/>
      <c r="Y433" s="3046"/>
      <c r="Z433" s="3046"/>
      <c r="AA433" s="3046"/>
      <c r="AB433" s="3046"/>
      <c r="AC433" s="3046"/>
      <c r="AD433" s="3046"/>
      <c r="AE433" s="3046"/>
      <c r="AF433" s="3046"/>
      <c r="AG433" s="3046"/>
      <c r="AH433" s="3046"/>
      <c r="AI433" s="3046"/>
      <c r="AJ433" s="3046"/>
      <c r="AK433" s="3046"/>
      <c r="AL433" s="3046"/>
      <c r="AM433" s="3046"/>
      <c r="AN433" s="3046"/>
      <c r="AO433" s="3046"/>
      <c r="AP433" s="3046"/>
      <c r="AQ433" s="3046"/>
      <c r="AR433" s="3046"/>
      <c r="AS433" s="3046"/>
      <c r="AT433" s="3046"/>
      <c r="AU433" s="3046"/>
      <c r="AV433" s="3046"/>
      <c r="AW433" s="3046"/>
      <c r="AY433" s="3058"/>
      <c r="BA433" s="3058"/>
      <c r="BB433" s="3058"/>
      <c r="BC433" s="3058"/>
      <c r="BD433" s="3058"/>
      <c r="BE433" s="3058"/>
      <c r="BF433" s="3058"/>
      <c r="BG433" s="3058"/>
      <c r="BH433" s="3058"/>
      <c r="BI433" s="3058"/>
      <c r="BJ433" s="3046"/>
      <c r="BK433" s="3046"/>
      <c r="BL433" s="3046"/>
    </row>
    <row r="434" spans="1:66">
      <c r="C434" s="359"/>
      <c r="D434" s="260"/>
      <c r="F434" s="359"/>
      <c r="G434" s="359"/>
      <c r="H434" s="359"/>
      <c r="I434" s="359"/>
      <c r="J434" s="359"/>
      <c r="K434" s="359"/>
      <c r="L434" s="359"/>
      <c r="M434" s="359"/>
      <c r="N434" s="359"/>
      <c r="O434" s="359"/>
      <c r="P434" s="359"/>
      <c r="Q434" s="359"/>
      <c r="R434" s="359"/>
      <c r="S434" s="359"/>
      <c r="T434" s="359"/>
      <c r="U434" s="359"/>
      <c r="V434" s="359"/>
      <c r="W434" s="359"/>
      <c r="X434" s="359"/>
      <c r="Y434" s="359"/>
      <c r="Z434" s="359"/>
      <c r="AA434" s="359"/>
      <c r="AB434" s="359"/>
      <c r="AC434" s="359"/>
      <c r="AD434" s="359"/>
      <c r="AE434" s="359"/>
      <c r="AF434" s="359"/>
      <c r="AG434" s="359"/>
      <c r="AH434" s="359"/>
      <c r="AI434" s="359"/>
      <c r="AJ434" s="359"/>
      <c r="AK434" s="359"/>
      <c r="AL434" s="359"/>
      <c r="AM434" s="359"/>
      <c r="AN434" s="359"/>
      <c r="AO434" s="359"/>
      <c r="AP434" s="359"/>
      <c r="AQ434" s="359"/>
      <c r="AR434" s="359"/>
      <c r="AS434" s="359"/>
      <c r="AT434" s="359"/>
      <c r="AU434" s="359"/>
      <c r="AV434" s="359"/>
      <c r="AW434" s="359"/>
      <c r="AY434" s="962"/>
      <c r="BA434" s="962"/>
      <c r="BB434" s="1303"/>
      <c r="BC434" s="1307"/>
      <c r="BG434" s="962"/>
      <c r="BH434" s="260"/>
      <c r="BI434" s="260"/>
      <c r="BK434" s="359"/>
      <c r="BL434" s="359"/>
      <c r="BM434" s="359"/>
    </row>
    <row r="435" spans="1:66">
      <c r="C435" s="359"/>
      <c r="D435" s="260"/>
      <c r="F435" s="359"/>
      <c r="G435" s="359"/>
      <c r="H435" s="359"/>
      <c r="I435" s="359"/>
      <c r="J435" s="359"/>
      <c r="K435" s="359"/>
      <c r="L435" s="359"/>
      <c r="M435" s="359"/>
      <c r="N435" s="359"/>
      <c r="O435" s="359"/>
      <c r="P435" s="359"/>
      <c r="Q435" s="359"/>
      <c r="R435" s="359"/>
      <c r="S435" s="359"/>
      <c r="T435" s="359"/>
      <c r="U435" s="359"/>
      <c r="V435" s="359"/>
      <c r="W435" s="359"/>
      <c r="X435" s="359"/>
      <c r="Y435" s="359"/>
      <c r="Z435" s="359"/>
      <c r="AA435" s="359"/>
      <c r="AB435" s="359"/>
      <c r="AC435" s="359"/>
      <c r="AD435" s="359"/>
      <c r="AE435" s="359"/>
      <c r="AF435" s="359"/>
      <c r="AG435" s="359"/>
      <c r="AH435" s="359"/>
      <c r="AI435" s="359"/>
      <c r="AJ435" s="359"/>
      <c r="AK435" s="359"/>
      <c r="AL435" s="359"/>
      <c r="AM435" s="359"/>
      <c r="AN435" s="359"/>
      <c r="AO435" s="359"/>
      <c r="AP435" s="359"/>
      <c r="AQ435" s="359"/>
      <c r="AR435" s="359"/>
      <c r="AS435" s="359"/>
      <c r="AT435" s="359"/>
      <c r="AU435" s="359"/>
      <c r="AV435" s="359"/>
      <c r="AW435" s="359"/>
      <c r="AY435" s="962"/>
      <c r="BA435" s="962"/>
      <c r="BB435" s="1303"/>
      <c r="BC435" s="1307"/>
      <c r="BG435" s="962"/>
      <c r="BH435" s="260"/>
      <c r="BI435" s="260"/>
      <c r="BK435" s="359"/>
      <c r="BL435" s="359"/>
      <c r="BM435" s="359"/>
    </row>
    <row r="436" spans="1:66">
      <c r="C436" s="359"/>
      <c r="D436" s="260"/>
      <c r="F436" s="359"/>
      <c r="G436" s="359"/>
      <c r="H436" s="359"/>
      <c r="I436" s="359"/>
      <c r="J436" s="359"/>
      <c r="K436" s="359"/>
      <c r="L436" s="359"/>
      <c r="M436" s="359"/>
      <c r="N436" s="359"/>
      <c r="O436" s="359"/>
      <c r="P436" s="359"/>
      <c r="Q436" s="359"/>
      <c r="R436" s="359"/>
      <c r="S436" s="359"/>
      <c r="T436" s="359"/>
      <c r="U436" s="359"/>
      <c r="V436" s="359"/>
      <c r="W436" s="359"/>
      <c r="X436" s="359"/>
      <c r="Y436" s="359"/>
      <c r="Z436" s="359"/>
      <c r="AA436" s="359"/>
      <c r="AB436" s="359"/>
      <c r="AC436" s="359"/>
      <c r="AD436" s="359"/>
      <c r="AE436" s="359"/>
      <c r="AF436" s="359"/>
      <c r="AG436" s="359"/>
      <c r="AH436" s="359"/>
      <c r="AI436" s="359"/>
      <c r="AJ436" s="359"/>
      <c r="AK436" s="359"/>
      <c r="AL436" s="359"/>
      <c r="AM436" s="359"/>
      <c r="AN436" s="359"/>
      <c r="AO436" s="359"/>
      <c r="AP436" s="359"/>
      <c r="AQ436" s="359"/>
      <c r="AR436" s="359"/>
      <c r="AS436" s="359"/>
      <c r="AT436" s="359"/>
      <c r="AU436" s="359"/>
      <c r="AV436" s="359"/>
      <c r="AW436" s="359"/>
      <c r="AY436" s="962"/>
      <c r="BA436" s="962"/>
      <c r="BB436" s="1303"/>
      <c r="BC436" s="1307"/>
      <c r="BG436" s="962"/>
      <c r="BH436" s="260"/>
      <c r="BI436" s="260"/>
      <c r="BK436" s="359"/>
      <c r="BL436" s="359"/>
      <c r="BM436" s="359"/>
    </row>
    <row r="437" spans="1:66">
      <c r="C437" s="359"/>
      <c r="D437" s="260"/>
      <c r="F437" s="359"/>
      <c r="G437" s="359"/>
      <c r="H437" s="359"/>
      <c r="I437" s="359"/>
      <c r="J437" s="359"/>
      <c r="K437" s="359"/>
      <c r="L437" s="359"/>
      <c r="M437" s="359"/>
      <c r="N437" s="359"/>
      <c r="O437" s="359"/>
      <c r="P437" s="359"/>
      <c r="Q437" s="359"/>
      <c r="R437" s="359"/>
      <c r="S437" s="359"/>
      <c r="T437" s="359"/>
      <c r="U437" s="359"/>
      <c r="V437" s="359"/>
      <c r="W437" s="359"/>
      <c r="X437" s="359"/>
      <c r="Y437" s="359"/>
      <c r="Z437" s="359"/>
      <c r="AA437" s="359"/>
      <c r="AB437" s="359"/>
      <c r="AC437" s="359"/>
      <c r="AD437" s="359"/>
      <c r="AE437" s="359"/>
      <c r="AF437" s="359"/>
      <c r="AG437" s="359"/>
      <c r="AH437" s="359"/>
      <c r="AI437" s="359"/>
      <c r="AJ437" s="359"/>
      <c r="AK437" s="359"/>
      <c r="AL437" s="359"/>
      <c r="AM437" s="359"/>
      <c r="AN437" s="359"/>
      <c r="AO437" s="359"/>
      <c r="AP437" s="359"/>
      <c r="AQ437" s="359"/>
      <c r="AR437" s="359"/>
      <c r="AS437" s="359"/>
      <c r="AT437" s="359"/>
      <c r="AU437" s="359"/>
      <c r="AV437" s="359"/>
      <c r="AW437" s="359"/>
      <c r="AY437" s="1304"/>
      <c r="BA437" s="1304"/>
      <c r="BB437" s="1304"/>
      <c r="BC437" s="1304"/>
      <c r="BD437" s="1304"/>
      <c r="BE437" s="1304"/>
      <c r="BF437" s="1304"/>
      <c r="BG437" s="1304"/>
      <c r="BH437" s="1304"/>
      <c r="BI437" s="1304"/>
      <c r="BK437" s="359"/>
      <c r="BL437" s="359"/>
      <c r="BM437" s="359"/>
    </row>
    <row r="438" spans="1:66" ht="25.5" customHeight="1">
      <c r="C438" s="359"/>
      <c r="D438" s="3423" t="s">
        <v>831</v>
      </c>
      <c r="E438" s="3424"/>
      <c r="F438" s="3427" t="s">
        <v>2503</v>
      </c>
      <c r="G438" s="3427"/>
      <c r="H438" s="3427"/>
      <c r="I438" s="3427"/>
      <c r="J438" s="3427"/>
      <c r="K438" s="3427"/>
      <c r="L438" s="3427"/>
      <c r="M438" s="3427"/>
      <c r="N438" s="3427"/>
      <c r="O438" s="3427"/>
      <c r="P438" s="3427"/>
      <c r="Q438" s="3427"/>
      <c r="R438" s="3427"/>
      <c r="S438" s="3427"/>
      <c r="T438" s="3427"/>
      <c r="U438" s="3427"/>
      <c r="V438" s="3427"/>
      <c r="W438" s="3427"/>
      <c r="X438" s="3427"/>
      <c r="Y438" s="3427"/>
      <c r="Z438" s="3427"/>
      <c r="AA438" s="3427"/>
      <c r="AB438" s="3427"/>
      <c r="AC438" s="3427"/>
      <c r="AD438" s="3427"/>
      <c r="AE438" s="3427"/>
      <c r="AF438" s="3427"/>
      <c r="AG438" s="3427"/>
      <c r="AH438" s="3427"/>
      <c r="AI438" s="3427"/>
      <c r="AJ438" s="3427"/>
      <c r="AK438" s="3427"/>
      <c r="AL438" s="3427"/>
      <c r="AM438" s="3427"/>
      <c r="AN438" s="3427"/>
      <c r="AO438" s="3427"/>
      <c r="AP438" s="3427"/>
      <c r="AQ438" s="3427"/>
      <c r="AR438" s="3427"/>
      <c r="AS438" s="3427"/>
      <c r="AT438" s="3427"/>
      <c r="AU438" s="3427"/>
      <c r="AV438" s="3427"/>
      <c r="AW438" s="3427"/>
      <c r="AX438" s="3427"/>
      <c r="AY438" s="3427"/>
      <c r="AZ438" s="3428"/>
      <c r="BA438" s="3419" t="s">
        <v>524</v>
      </c>
      <c r="BB438" s="3420"/>
      <c r="BC438" s="3420"/>
      <c r="BD438" s="3420"/>
      <c r="BE438" s="3420"/>
      <c r="BF438" s="3421"/>
      <c r="BG438" s="1304"/>
      <c r="BH438" s="1304"/>
      <c r="BI438" s="1304"/>
      <c r="BJ438" s="242"/>
      <c r="BK438" s="1305"/>
      <c r="BL438" s="1305"/>
      <c r="BM438" s="1305"/>
      <c r="BN438" s="242"/>
    </row>
    <row r="439" spans="1:66" ht="48.75" customHeight="1">
      <c r="C439" s="359"/>
      <c r="D439" s="3425"/>
      <c r="E439" s="3426"/>
      <c r="F439" s="3289" t="s">
        <v>2504</v>
      </c>
      <c r="G439" s="3272"/>
      <c r="H439" s="3272"/>
      <c r="I439" s="3272"/>
      <c r="J439" s="3272"/>
      <c r="K439" s="3272"/>
      <c r="L439" s="3272"/>
      <c r="M439" s="3272"/>
      <c r="N439" s="3272"/>
      <c r="O439" s="3272"/>
      <c r="P439" s="3272"/>
      <c r="Q439" s="3272"/>
      <c r="R439" s="3272"/>
      <c r="S439" s="3272"/>
      <c r="T439" s="3272"/>
      <c r="U439" s="3272"/>
      <c r="V439" s="3272"/>
      <c r="W439" s="3272"/>
      <c r="X439" s="3272"/>
      <c r="Y439" s="3272"/>
      <c r="Z439" s="3272"/>
      <c r="AA439" s="3272"/>
      <c r="AB439" s="3272"/>
      <c r="AC439" s="3272"/>
      <c r="AD439" s="3272"/>
      <c r="AE439" s="3272"/>
      <c r="AF439" s="3272"/>
      <c r="AG439" s="3272"/>
      <c r="AH439" s="3272"/>
      <c r="AI439" s="3272"/>
      <c r="AJ439" s="3272"/>
      <c r="AK439" s="3272"/>
      <c r="AL439" s="3272"/>
      <c r="AM439" s="3272"/>
      <c r="AN439" s="3272"/>
      <c r="AO439" s="3272"/>
      <c r="AP439" s="3272"/>
      <c r="AQ439" s="3272"/>
      <c r="AR439" s="3272"/>
      <c r="AS439" s="3272"/>
      <c r="AT439" s="3272"/>
      <c r="AU439" s="3272"/>
      <c r="AV439" s="3272"/>
      <c r="AW439" s="3272"/>
      <c r="AX439" s="3273" t="s">
        <v>2505</v>
      </c>
      <c r="AY439" s="3273" t="s">
        <v>2518</v>
      </c>
      <c r="AZ439" s="3274" t="s">
        <v>2517</v>
      </c>
      <c r="BA439" s="3275" t="s">
        <v>2462</v>
      </c>
      <c r="BB439" s="3276" t="s">
        <v>2506</v>
      </c>
      <c r="BC439" s="3277" t="s">
        <v>2474</v>
      </c>
      <c r="BD439" s="3277" t="s">
        <v>2463</v>
      </c>
      <c r="BE439" s="3279" t="s">
        <v>2515</v>
      </c>
      <c r="BF439" s="3278" t="s">
        <v>2516</v>
      </c>
      <c r="BG439" s="3198"/>
      <c r="BH439" s="1304"/>
      <c r="BI439" s="1304"/>
      <c r="BJ439" s="242"/>
      <c r="BK439" s="1305"/>
      <c r="BL439" s="1305"/>
      <c r="BM439" s="1305"/>
      <c r="BN439" s="242"/>
    </row>
    <row r="440" spans="1:66">
      <c r="C440" s="359"/>
      <c r="D440" s="3250"/>
      <c r="E440" s="3249"/>
      <c r="F440" s="3290"/>
      <c r="G440" s="3291"/>
      <c r="H440" s="3291"/>
      <c r="I440" s="3291"/>
      <c r="J440" s="3291"/>
      <c r="K440" s="3291"/>
      <c r="L440" s="3291"/>
      <c r="M440" s="3291"/>
      <c r="N440" s="3291"/>
      <c r="O440" s="3291"/>
      <c r="P440" s="3291"/>
      <c r="Q440" s="3291"/>
      <c r="R440" s="3291"/>
      <c r="S440" s="3291"/>
      <c r="T440" s="3291"/>
      <c r="U440" s="3291"/>
      <c r="V440" s="3291"/>
      <c r="W440" s="3291"/>
      <c r="X440" s="3291"/>
      <c r="Y440" s="3291"/>
      <c r="Z440" s="3291"/>
      <c r="AA440" s="3291"/>
      <c r="AB440" s="3291"/>
      <c r="AC440" s="3291"/>
      <c r="AD440" s="3291"/>
      <c r="AE440" s="3291"/>
      <c r="AF440" s="3291"/>
      <c r="AG440" s="3291"/>
      <c r="AH440" s="3291"/>
      <c r="AI440" s="3291"/>
      <c r="AJ440" s="3291"/>
      <c r="AK440" s="3291"/>
      <c r="AL440" s="3291"/>
      <c r="AM440" s="3291"/>
      <c r="AN440" s="3291"/>
      <c r="AO440" s="3291"/>
      <c r="AP440" s="3291"/>
      <c r="AQ440" s="3291"/>
      <c r="AR440" s="3291"/>
      <c r="AS440" s="3291"/>
      <c r="AT440" s="3291"/>
      <c r="AU440" s="3291"/>
      <c r="AV440" s="3291"/>
      <c r="AW440" s="3291"/>
      <c r="AX440" s="3292"/>
      <c r="AY440" s="3293"/>
      <c r="AZ440" s="3294"/>
      <c r="BA440" s="3295"/>
      <c r="BB440" s="3292"/>
      <c r="BC440" s="3293"/>
      <c r="BD440" s="3293"/>
      <c r="BE440" s="3293"/>
      <c r="BF440" s="3296"/>
      <c r="BG440" s="3047"/>
      <c r="BH440" s="1304"/>
      <c r="BI440" s="1304"/>
      <c r="BJ440" s="242"/>
      <c r="BK440" s="1305"/>
      <c r="BL440" s="1305"/>
      <c r="BM440" s="1305"/>
      <c r="BN440" s="242"/>
    </row>
    <row r="441" spans="1:66">
      <c r="C441" s="359"/>
      <c r="D441" s="3250" t="s">
        <v>2492</v>
      </c>
      <c r="E441" s="3249"/>
      <c r="F441" s="3254">
        <v>418.58790095121549</v>
      </c>
      <c r="G441" s="3255"/>
      <c r="H441" s="3255"/>
      <c r="I441" s="3255"/>
      <c r="J441" s="3255"/>
      <c r="K441" s="3255"/>
      <c r="L441" s="3255"/>
      <c r="M441" s="3255"/>
      <c r="N441" s="3255"/>
      <c r="O441" s="3255"/>
      <c r="P441" s="3255"/>
      <c r="Q441" s="3255"/>
      <c r="R441" s="3255"/>
      <c r="S441" s="3255"/>
      <c r="T441" s="3255"/>
      <c r="U441" s="3255"/>
      <c r="V441" s="3255"/>
      <c r="W441" s="3255"/>
      <c r="X441" s="3255"/>
      <c r="Y441" s="3255"/>
      <c r="Z441" s="3255"/>
      <c r="AA441" s="3255"/>
      <c r="AB441" s="3255"/>
      <c r="AC441" s="3255"/>
      <c r="AD441" s="3255"/>
      <c r="AE441" s="3255"/>
      <c r="AF441" s="3255"/>
      <c r="AG441" s="3255"/>
      <c r="AH441" s="3255"/>
      <c r="AI441" s="3255"/>
      <c r="AJ441" s="3255"/>
      <c r="AK441" s="3255"/>
      <c r="AL441" s="3255"/>
      <c r="AM441" s="3255"/>
      <c r="AN441" s="3255"/>
      <c r="AO441" s="3255"/>
      <c r="AP441" s="3255"/>
      <c r="AQ441" s="3255"/>
      <c r="AR441" s="3255"/>
      <c r="AS441" s="3255"/>
      <c r="AT441" s="3255"/>
      <c r="AU441" s="3255"/>
      <c r="AV441" s="3255"/>
      <c r="AW441" s="3255"/>
      <c r="AX441" s="3256">
        <v>2064.9971329583418</v>
      </c>
      <c r="AY441" s="3257">
        <v>344.24827815500197</v>
      </c>
      <c r="AZ441" s="3258">
        <v>1211.7298393211818</v>
      </c>
      <c r="BA441" s="3259">
        <v>4.6576327699375905E-2</v>
      </c>
      <c r="BB441" s="3260">
        <v>6.8537200841576025E-3</v>
      </c>
      <c r="BC441" s="3260">
        <v>0.84538167074490123</v>
      </c>
      <c r="BD441" s="3260">
        <v>8.639407539361782E-2</v>
      </c>
      <c r="BE441" s="3261">
        <v>1.4179146877360698</v>
      </c>
      <c r="BF441" s="3262">
        <v>7.6792457975903252</v>
      </c>
      <c r="BG441" s="3199"/>
      <c r="BH441" s="1304"/>
      <c r="BI441" s="1304"/>
      <c r="BK441" s="359"/>
      <c r="BL441" s="359"/>
      <c r="BM441" s="359"/>
    </row>
    <row r="442" spans="1:66">
      <c r="C442" s="359"/>
      <c r="D442" s="3250" t="s">
        <v>2507</v>
      </c>
      <c r="E442" s="3249"/>
      <c r="F442" s="3254">
        <v>418.58624842443487</v>
      </c>
      <c r="G442" s="3255"/>
      <c r="H442" s="3255"/>
      <c r="I442" s="3255"/>
      <c r="J442" s="3255"/>
      <c r="K442" s="3255"/>
      <c r="L442" s="3255"/>
      <c r="M442" s="3255"/>
      <c r="N442" s="3255"/>
      <c r="O442" s="3255"/>
      <c r="P442" s="3255"/>
      <c r="Q442" s="3255"/>
      <c r="R442" s="3255"/>
      <c r="S442" s="3255"/>
      <c r="T442" s="3255"/>
      <c r="U442" s="3255"/>
      <c r="V442" s="3255"/>
      <c r="W442" s="3255"/>
      <c r="X442" s="3255"/>
      <c r="Y442" s="3255"/>
      <c r="Z442" s="3255"/>
      <c r="AA442" s="3255"/>
      <c r="AB442" s="3255"/>
      <c r="AC442" s="3255"/>
      <c r="AD442" s="3255"/>
      <c r="AE442" s="3255"/>
      <c r="AF442" s="3255"/>
      <c r="AG442" s="3255"/>
      <c r="AH442" s="3255"/>
      <c r="AI442" s="3255"/>
      <c r="AJ442" s="3255"/>
      <c r="AK442" s="3255"/>
      <c r="AL442" s="3255"/>
      <c r="AM442" s="3255"/>
      <c r="AN442" s="3255"/>
      <c r="AO442" s="3255"/>
      <c r="AP442" s="3255"/>
      <c r="AQ442" s="3255"/>
      <c r="AR442" s="3255"/>
      <c r="AS442" s="3255"/>
      <c r="AT442" s="3255"/>
      <c r="AU442" s="3255"/>
      <c r="AV442" s="3255"/>
      <c r="AW442" s="3255"/>
      <c r="AX442" s="3256">
        <v>1666.875384290056</v>
      </c>
      <c r="AY442" s="3257">
        <v>344.24691911070676</v>
      </c>
      <c r="AZ442" s="3258">
        <v>978.11401736942219</v>
      </c>
      <c r="BA442" s="3259">
        <v>0.20548866412488417</v>
      </c>
      <c r="BB442" s="3260">
        <v>2.8650791781565321E-2</v>
      </c>
      <c r="BC442" s="3260">
        <v>0.62715446201524894</v>
      </c>
      <c r="BD442" s="3260">
        <v>5.5585948250436772E-2</v>
      </c>
      <c r="BE442" s="3261">
        <v>1.4153138920738633</v>
      </c>
      <c r="BF442" s="3262">
        <v>5.1081177759917633</v>
      </c>
      <c r="BG442" s="3199"/>
      <c r="BH442" s="1304"/>
      <c r="BI442" s="1304"/>
      <c r="BK442" s="359"/>
      <c r="BL442" s="359"/>
      <c r="BM442" s="359"/>
    </row>
    <row r="443" spans="1:66">
      <c r="C443" s="359"/>
      <c r="D443" s="3251" t="s">
        <v>2508</v>
      </c>
      <c r="E443" s="330"/>
      <c r="F443" s="3254">
        <v>418.58624842443487</v>
      </c>
      <c r="G443" s="3255"/>
      <c r="H443" s="3255"/>
      <c r="I443" s="3255"/>
      <c r="J443" s="3255"/>
      <c r="K443" s="3255"/>
      <c r="L443" s="3255"/>
      <c r="M443" s="3255"/>
      <c r="N443" s="3255"/>
      <c r="O443" s="3255"/>
      <c r="P443" s="3255"/>
      <c r="Q443" s="3255"/>
      <c r="R443" s="3255"/>
      <c r="S443" s="3255"/>
      <c r="T443" s="3255"/>
      <c r="U443" s="3255"/>
      <c r="V443" s="3255"/>
      <c r="W443" s="3255"/>
      <c r="X443" s="3255"/>
      <c r="Y443" s="3255"/>
      <c r="Z443" s="3255"/>
      <c r="AA443" s="3255"/>
      <c r="AB443" s="3255"/>
      <c r="AC443" s="3255"/>
      <c r="AD443" s="3255"/>
      <c r="AE443" s="3255"/>
      <c r="AF443" s="3255"/>
      <c r="AG443" s="3255"/>
      <c r="AH443" s="3255"/>
      <c r="AI443" s="3255"/>
      <c r="AJ443" s="3255"/>
      <c r="AK443" s="3255"/>
      <c r="AL443" s="3255"/>
      <c r="AM443" s="3255"/>
      <c r="AN443" s="3255"/>
      <c r="AO443" s="3255"/>
      <c r="AP443" s="3255"/>
      <c r="AQ443" s="3255"/>
      <c r="AR443" s="3255"/>
      <c r="AS443" s="3255"/>
      <c r="AT443" s="3255"/>
      <c r="AU443" s="3255"/>
      <c r="AV443" s="3255"/>
      <c r="AW443" s="3255"/>
      <c r="AX443" s="3256">
        <v>1666.875384290056</v>
      </c>
      <c r="AY443" s="3257">
        <v>344.24691911070676</v>
      </c>
      <c r="AZ443" s="3258">
        <v>978.11401736942219</v>
      </c>
      <c r="BA443" s="3259">
        <v>0.40481330954795458</v>
      </c>
      <c r="BB443" s="3260">
        <v>0.4027043114752204</v>
      </c>
      <c r="BC443" s="3260">
        <v>0.31770837329700069</v>
      </c>
      <c r="BD443" s="3260">
        <v>3.2452443368432733E-2</v>
      </c>
      <c r="BE443" s="3261">
        <v>1.4156786551496687</v>
      </c>
      <c r="BF443" s="3262">
        <v>4.0726732951492988</v>
      </c>
      <c r="BG443" s="3199"/>
      <c r="BH443" s="260"/>
      <c r="BI443" s="260"/>
      <c r="BK443" s="359"/>
      <c r="BL443" s="359"/>
      <c r="BM443" s="359"/>
    </row>
    <row r="444" spans="1:66">
      <c r="C444" s="359"/>
      <c r="D444" s="3251" t="s">
        <v>2509</v>
      </c>
      <c r="E444" s="330"/>
      <c r="F444" s="3254">
        <v>418.58624842443487</v>
      </c>
      <c r="G444" s="3255"/>
      <c r="H444" s="3255"/>
      <c r="I444" s="3255"/>
      <c r="J444" s="3255"/>
      <c r="K444" s="3255"/>
      <c r="L444" s="3255"/>
      <c r="M444" s="3255"/>
      <c r="N444" s="3255"/>
      <c r="O444" s="3255"/>
      <c r="P444" s="3255"/>
      <c r="Q444" s="3255"/>
      <c r="R444" s="3255"/>
      <c r="S444" s="3255"/>
      <c r="T444" s="3255"/>
      <c r="U444" s="3255"/>
      <c r="V444" s="3255"/>
      <c r="W444" s="3255"/>
      <c r="X444" s="3255"/>
      <c r="Y444" s="3255"/>
      <c r="Z444" s="3255"/>
      <c r="AA444" s="3255"/>
      <c r="AB444" s="3255"/>
      <c r="AC444" s="3255"/>
      <c r="AD444" s="3255"/>
      <c r="AE444" s="3255"/>
      <c r="AF444" s="3255"/>
      <c r="AG444" s="3255"/>
      <c r="AH444" s="3255"/>
      <c r="AI444" s="3255"/>
      <c r="AJ444" s="3255"/>
      <c r="AK444" s="3255"/>
      <c r="AL444" s="3255"/>
      <c r="AM444" s="3255"/>
      <c r="AN444" s="3255"/>
      <c r="AO444" s="3255"/>
      <c r="AP444" s="3255"/>
      <c r="AQ444" s="3255"/>
      <c r="AR444" s="3255"/>
      <c r="AS444" s="3255"/>
      <c r="AT444" s="3255"/>
      <c r="AU444" s="3255"/>
      <c r="AV444" s="3255"/>
      <c r="AW444" s="3255"/>
      <c r="AX444" s="3256">
        <v>1633.8623137150598</v>
      </c>
      <c r="AY444" s="3257">
        <v>344.24691911070676</v>
      </c>
      <c r="AZ444" s="3258">
        <v>958.74211507238113</v>
      </c>
      <c r="BA444" s="3259">
        <v>0.20242630976438858</v>
      </c>
      <c r="BB444" s="3260">
        <v>3.1634628649041971E-2</v>
      </c>
      <c r="BC444" s="3260">
        <v>0.62347808212588074</v>
      </c>
      <c r="BD444" s="3260">
        <v>5.3405291825075911E-2</v>
      </c>
      <c r="BE444" s="3261">
        <v>1.4153138920738633</v>
      </c>
      <c r="BF444" s="3262">
        <v>5.0824540421848701</v>
      </c>
      <c r="BG444" s="3199"/>
      <c r="BH444" s="3047"/>
      <c r="BI444" s="3046"/>
      <c r="BK444" s="359"/>
      <c r="BL444" s="359"/>
      <c r="BM444" s="359"/>
    </row>
    <row r="445" spans="1:66">
      <c r="C445" s="359"/>
      <c r="D445" s="3251" t="s">
        <v>2510</v>
      </c>
      <c r="E445" s="330"/>
      <c r="F445" s="3254">
        <v>418.58624842443487</v>
      </c>
      <c r="G445" s="3255"/>
      <c r="H445" s="3255"/>
      <c r="I445" s="3255"/>
      <c r="J445" s="3255"/>
      <c r="K445" s="3255"/>
      <c r="L445" s="3255"/>
      <c r="M445" s="3255"/>
      <c r="N445" s="3255"/>
      <c r="O445" s="3255"/>
      <c r="P445" s="3255"/>
      <c r="Q445" s="3255"/>
      <c r="R445" s="3255"/>
      <c r="S445" s="3255"/>
      <c r="T445" s="3255"/>
      <c r="U445" s="3255"/>
      <c r="V445" s="3255"/>
      <c r="W445" s="3255"/>
      <c r="X445" s="3255"/>
      <c r="Y445" s="3255"/>
      <c r="Z445" s="3255"/>
      <c r="AA445" s="3255"/>
      <c r="AB445" s="3255"/>
      <c r="AC445" s="3255"/>
      <c r="AD445" s="3255"/>
      <c r="AE445" s="3255"/>
      <c r="AF445" s="3255"/>
      <c r="AG445" s="3255"/>
      <c r="AH445" s="3255"/>
      <c r="AI445" s="3255"/>
      <c r="AJ445" s="3255"/>
      <c r="AK445" s="3255"/>
      <c r="AL445" s="3255"/>
      <c r="AM445" s="3255"/>
      <c r="AN445" s="3255"/>
      <c r="AO445" s="3255"/>
      <c r="AP445" s="3255"/>
      <c r="AQ445" s="3255"/>
      <c r="AR445" s="3255"/>
      <c r="AS445" s="3255"/>
      <c r="AT445" s="3255"/>
      <c r="AU445" s="3255"/>
      <c r="AV445" s="3255"/>
      <c r="AW445" s="3255"/>
      <c r="AX445" s="3256">
        <v>1605.3732342956537</v>
      </c>
      <c r="AY445" s="3257">
        <v>344.24691911070676</v>
      </c>
      <c r="AZ445" s="3258">
        <v>942.02486782960636</v>
      </c>
      <c r="BA445" s="3259">
        <v>0.20585375607030504</v>
      </c>
      <c r="BB445" s="3260">
        <v>3.3339597149391997E-2</v>
      </c>
      <c r="BC445" s="3260">
        <v>0.61616280474805374</v>
      </c>
      <c r="BD445" s="3260">
        <v>5.17226389516455E-2</v>
      </c>
      <c r="BE445" s="3261">
        <v>1.4153138920738633</v>
      </c>
      <c r="BF445" s="3262">
        <v>4.9940069134851557</v>
      </c>
      <c r="BG445" s="3199"/>
      <c r="BH445" s="1304"/>
      <c r="BI445" s="1304"/>
      <c r="BK445" s="359"/>
      <c r="BL445" s="359"/>
      <c r="BM445" s="359"/>
    </row>
    <row r="446" spans="1:66" s="3183" customFormat="1">
      <c r="C446" s="359"/>
      <c r="D446" s="3251" t="s">
        <v>2511</v>
      </c>
      <c r="E446" s="330"/>
      <c r="F446" s="3254">
        <v>418.58624842443487</v>
      </c>
      <c r="G446" s="3255"/>
      <c r="H446" s="3255"/>
      <c r="I446" s="3255"/>
      <c r="J446" s="3255"/>
      <c r="K446" s="3255"/>
      <c r="L446" s="3255"/>
      <c r="M446" s="3255"/>
      <c r="N446" s="3255"/>
      <c r="O446" s="3255"/>
      <c r="P446" s="3255"/>
      <c r="Q446" s="3255"/>
      <c r="R446" s="3255"/>
      <c r="S446" s="3255"/>
      <c r="T446" s="3255"/>
      <c r="U446" s="3255"/>
      <c r="V446" s="3255"/>
      <c r="W446" s="3255"/>
      <c r="X446" s="3255"/>
      <c r="Y446" s="3255"/>
      <c r="Z446" s="3255"/>
      <c r="AA446" s="3255"/>
      <c r="AB446" s="3255"/>
      <c r="AC446" s="3255"/>
      <c r="AD446" s="3255"/>
      <c r="AE446" s="3255"/>
      <c r="AF446" s="3255"/>
      <c r="AG446" s="3255"/>
      <c r="AH446" s="3255"/>
      <c r="AI446" s="3255"/>
      <c r="AJ446" s="3255"/>
      <c r="AK446" s="3255"/>
      <c r="AL446" s="3255"/>
      <c r="AM446" s="3255"/>
      <c r="AN446" s="3255"/>
      <c r="AO446" s="3255"/>
      <c r="AP446" s="3255"/>
      <c r="AQ446" s="3255"/>
      <c r="AR446" s="3255"/>
      <c r="AS446" s="3255"/>
      <c r="AT446" s="3255"/>
      <c r="AU446" s="3255"/>
      <c r="AV446" s="3255"/>
      <c r="AW446" s="3255"/>
      <c r="AX446" s="3256">
        <v>1641.3361447075545</v>
      </c>
      <c r="AY446" s="3257">
        <v>344.24691911070676</v>
      </c>
      <c r="AZ446" s="3258">
        <v>963.12772117473685</v>
      </c>
      <c r="BA446" s="3259">
        <v>0.20490639881182648</v>
      </c>
      <c r="BB446" s="3260">
        <v>3.0679485798540566E-2</v>
      </c>
      <c r="BC446" s="3260">
        <v>0.623161756778569</v>
      </c>
      <c r="BD446" s="3260">
        <v>5.3912853576382661E-2</v>
      </c>
      <c r="BE446" s="3261">
        <v>1.4153138920738633</v>
      </c>
      <c r="BF446" s="3262">
        <v>5.0679905032413872</v>
      </c>
      <c r="BG446" s="3199"/>
      <c r="BH446" s="1304"/>
      <c r="BI446" s="1304"/>
      <c r="BK446" s="359"/>
      <c r="BL446" s="359"/>
      <c r="BM446" s="359"/>
    </row>
    <row r="447" spans="1:66">
      <c r="C447" s="359"/>
      <c r="D447" s="3251" t="s">
        <v>2512</v>
      </c>
      <c r="E447" s="330"/>
      <c r="F447" s="3254">
        <v>418.58624842443487</v>
      </c>
      <c r="G447" s="3255"/>
      <c r="H447" s="3255"/>
      <c r="I447" s="3255"/>
      <c r="J447" s="3255"/>
      <c r="K447" s="3255"/>
      <c r="L447" s="3255"/>
      <c r="M447" s="3255"/>
      <c r="N447" s="3255"/>
      <c r="O447" s="3255"/>
      <c r="P447" s="3255"/>
      <c r="Q447" s="3255"/>
      <c r="R447" s="3255"/>
      <c r="S447" s="3255"/>
      <c r="T447" s="3255"/>
      <c r="U447" s="3255"/>
      <c r="V447" s="3255"/>
      <c r="W447" s="3255"/>
      <c r="X447" s="3255"/>
      <c r="Y447" s="3255"/>
      <c r="Z447" s="3255"/>
      <c r="AA447" s="3255"/>
      <c r="AB447" s="3255"/>
      <c r="AC447" s="3255"/>
      <c r="AD447" s="3255"/>
      <c r="AE447" s="3255"/>
      <c r="AF447" s="3255"/>
      <c r="AG447" s="3255"/>
      <c r="AH447" s="3255"/>
      <c r="AI447" s="3255"/>
      <c r="AJ447" s="3255"/>
      <c r="AK447" s="3255"/>
      <c r="AL447" s="3255"/>
      <c r="AM447" s="3255"/>
      <c r="AN447" s="3255"/>
      <c r="AO447" s="3255"/>
      <c r="AP447" s="3255"/>
      <c r="AQ447" s="3255"/>
      <c r="AR447" s="3255"/>
      <c r="AS447" s="3255"/>
      <c r="AT447" s="3255"/>
      <c r="AU447" s="3255"/>
      <c r="AV447" s="3255"/>
      <c r="AW447" s="3255"/>
      <c r="AX447" s="3256">
        <v>1507.4666416175005</v>
      </c>
      <c r="AY447" s="3257">
        <v>344.24691911070676</v>
      </c>
      <c r="AZ447" s="3258">
        <v>884.57377604798114</v>
      </c>
      <c r="BA447" s="3259">
        <v>0.20395190191994708</v>
      </c>
      <c r="BB447" s="3260">
        <v>4.6700582308729859E-2</v>
      </c>
      <c r="BC447" s="3260">
        <v>0.59913997922179751</v>
      </c>
      <c r="BD447" s="3260">
        <v>4.5392866984671404E-2</v>
      </c>
      <c r="BE447" s="3261">
        <v>1.4153138920738633</v>
      </c>
      <c r="BF447" s="3262">
        <v>4.8377482809706986</v>
      </c>
      <c r="BG447" s="3199"/>
      <c r="BH447" s="1304"/>
      <c r="BI447" s="1304"/>
      <c r="BK447" s="359"/>
      <c r="BL447" s="359"/>
      <c r="BM447" s="359"/>
    </row>
    <row r="448" spans="1:66">
      <c r="C448" s="359"/>
      <c r="D448" s="3251" t="s">
        <v>2513</v>
      </c>
      <c r="E448" s="330"/>
      <c r="F448" s="3254">
        <v>418.58624842443487</v>
      </c>
      <c r="G448" s="3255"/>
      <c r="H448" s="3255"/>
      <c r="I448" s="3255"/>
      <c r="J448" s="3255"/>
      <c r="K448" s="3255"/>
      <c r="L448" s="3255"/>
      <c r="M448" s="3255"/>
      <c r="N448" s="3255"/>
      <c r="O448" s="3255"/>
      <c r="P448" s="3255"/>
      <c r="Q448" s="3255"/>
      <c r="R448" s="3255"/>
      <c r="S448" s="3255"/>
      <c r="T448" s="3255"/>
      <c r="U448" s="3255"/>
      <c r="V448" s="3255"/>
      <c r="W448" s="3255"/>
      <c r="X448" s="3255"/>
      <c r="Y448" s="3255"/>
      <c r="Z448" s="3255"/>
      <c r="AA448" s="3255"/>
      <c r="AB448" s="3255"/>
      <c r="AC448" s="3255"/>
      <c r="AD448" s="3255"/>
      <c r="AE448" s="3255"/>
      <c r="AF448" s="3255"/>
      <c r="AG448" s="3255"/>
      <c r="AH448" s="3255"/>
      <c r="AI448" s="3255"/>
      <c r="AJ448" s="3255"/>
      <c r="AK448" s="3255"/>
      <c r="AL448" s="3255"/>
      <c r="AM448" s="3255"/>
      <c r="AN448" s="3255"/>
      <c r="AO448" s="3255"/>
      <c r="AP448" s="3255"/>
      <c r="AQ448" s="3255"/>
      <c r="AR448" s="3255"/>
      <c r="AS448" s="3255"/>
      <c r="AT448" s="3255"/>
      <c r="AU448" s="3255"/>
      <c r="AV448" s="3255"/>
      <c r="AW448" s="3255"/>
      <c r="AX448" s="3256">
        <v>1550.112270376957</v>
      </c>
      <c r="AY448" s="3257">
        <v>344.24691911070676</v>
      </c>
      <c r="AZ448" s="3258">
        <v>909.59801460971551</v>
      </c>
      <c r="BA448" s="3259">
        <v>0.21945059709186376</v>
      </c>
      <c r="BB448" s="3260">
        <v>2.8650791781565321E-2</v>
      </c>
      <c r="BC448" s="3260">
        <v>0.59742142419677136</v>
      </c>
      <c r="BD448" s="3260">
        <v>5.0867469217646254E-2</v>
      </c>
      <c r="BE448" s="3261">
        <v>1.4153138920738633</v>
      </c>
      <c r="BF448" s="3262">
        <v>4.5436334770068472</v>
      </c>
      <c r="BG448" s="3199"/>
      <c r="BH448" s="1304"/>
      <c r="BI448" s="1304"/>
    </row>
    <row r="449" spans="3:61">
      <c r="C449" s="359"/>
      <c r="D449" s="3251" t="s">
        <v>2514</v>
      </c>
      <c r="E449" s="330"/>
      <c r="F449" s="3254">
        <v>418.58624842443487</v>
      </c>
      <c r="G449" s="3255"/>
      <c r="H449" s="3255"/>
      <c r="I449" s="3255"/>
      <c r="J449" s="3255"/>
      <c r="K449" s="3255"/>
      <c r="L449" s="3255"/>
      <c r="M449" s="3255"/>
      <c r="N449" s="3255"/>
      <c r="O449" s="3255"/>
      <c r="P449" s="3255"/>
      <c r="Q449" s="3255"/>
      <c r="R449" s="3255"/>
      <c r="S449" s="3255"/>
      <c r="T449" s="3255"/>
      <c r="U449" s="3255"/>
      <c r="V449" s="3255"/>
      <c r="W449" s="3255"/>
      <c r="X449" s="3255"/>
      <c r="Y449" s="3255"/>
      <c r="Z449" s="3255"/>
      <c r="AA449" s="3255"/>
      <c r="AB449" s="3255"/>
      <c r="AC449" s="3255"/>
      <c r="AD449" s="3255"/>
      <c r="AE449" s="3255"/>
      <c r="AF449" s="3255"/>
      <c r="AG449" s="3255"/>
      <c r="AH449" s="3255"/>
      <c r="AI449" s="3255"/>
      <c r="AJ449" s="3255"/>
      <c r="AK449" s="3255"/>
      <c r="AL449" s="3255"/>
      <c r="AM449" s="3255"/>
      <c r="AN449" s="3255"/>
      <c r="AO449" s="3255"/>
      <c r="AP449" s="3255"/>
      <c r="AQ449" s="3255"/>
      <c r="AR449" s="3255"/>
      <c r="AS449" s="3255"/>
      <c r="AT449" s="3255"/>
      <c r="AU449" s="3255"/>
      <c r="AV449" s="3255"/>
      <c r="AW449" s="3255"/>
      <c r="AX449" s="3256">
        <v>1485.1240311862603</v>
      </c>
      <c r="AY449" s="3257">
        <v>344.24691911070676</v>
      </c>
      <c r="AZ449" s="3258">
        <v>871.46324561878043</v>
      </c>
      <c r="BA449" s="3259">
        <v>0.26299075288372897</v>
      </c>
      <c r="BB449" s="3260">
        <v>2.8650791781565321E-2</v>
      </c>
      <c r="BC449" s="3260">
        <v>0.55766375990777906</v>
      </c>
      <c r="BD449" s="3260">
        <v>4.7411810492834681E-2</v>
      </c>
      <c r="BE449" s="3261">
        <v>1.4153138920738633</v>
      </c>
      <c r="BF449" s="3262">
        <v>4.0783572135852122</v>
      </c>
      <c r="BG449" s="3199"/>
      <c r="BH449" s="1304"/>
      <c r="BI449" s="1304"/>
    </row>
    <row r="450" spans="3:61">
      <c r="C450" s="359"/>
      <c r="D450" s="3280" t="s">
        <v>2519</v>
      </c>
      <c r="E450" s="330"/>
      <c r="F450" s="3254">
        <v>418.58624842443487</v>
      </c>
      <c r="G450" s="3255"/>
      <c r="H450" s="3255"/>
      <c r="I450" s="3255"/>
      <c r="J450" s="3255"/>
      <c r="K450" s="3255"/>
      <c r="L450" s="3255"/>
      <c r="M450" s="3255"/>
      <c r="N450" s="3255"/>
      <c r="O450" s="3255"/>
      <c r="P450" s="3255"/>
      <c r="Q450" s="3255"/>
      <c r="R450" s="3255"/>
      <c r="S450" s="3255"/>
      <c r="T450" s="3255"/>
      <c r="U450" s="3255"/>
      <c r="V450" s="3255"/>
      <c r="W450" s="3255"/>
      <c r="X450" s="3255"/>
      <c r="Y450" s="3255"/>
      <c r="Z450" s="3255"/>
      <c r="AA450" s="3255"/>
      <c r="AB450" s="3255"/>
      <c r="AC450" s="3255"/>
      <c r="AD450" s="3255"/>
      <c r="AE450" s="3255"/>
      <c r="AF450" s="3255"/>
      <c r="AG450" s="3255"/>
      <c r="AH450" s="3255"/>
      <c r="AI450" s="3255"/>
      <c r="AJ450" s="3255"/>
      <c r="AK450" s="3255"/>
      <c r="AL450" s="3255"/>
      <c r="AM450" s="3255"/>
      <c r="AN450" s="3255"/>
      <c r="AO450" s="3255"/>
      <c r="AP450" s="3255"/>
      <c r="AQ450" s="3255"/>
      <c r="AR450" s="3255"/>
      <c r="AS450" s="3255"/>
      <c r="AT450" s="3255"/>
      <c r="AU450" s="3255"/>
      <c r="AV450" s="3255"/>
      <c r="AW450" s="3255"/>
      <c r="AX450" s="3256">
        <v>1271.2517587327745</v>
      </c>
      <c r="AY450" s="3257">
        <v>344.24691911070676</v>
      </c>
      <c r="AZ450" s="3258">
        <v>745.96408138311438</v>
      </c>
      <c r="BA450" s="3259">
        <v>0.29116803611050818</v>
      </c>
      <c r="BB450" s="3260">
        <v>0.65640509998852925</v>
      </c>
      <c r="BC450" s="3260">
        <v>0.21175891473778893</v>
      </c>
      <c r="BD450" s="3260">
        <v>1.642289369403677E-2</v>
      </c>
      <c r="BE450" s="3261">
        <v>1.4156786551496687</v>
      </c>
      <c r="BF450" s="3262">
        <v>3.3481232065524806</v>
      </c>
      <c r="BG450" s="1304"/>
      <c r="BH450" s="1304"/>
      <c r="BI450" s="1304"/>
    </row>
    <row r="451" spans="3:61">
      <c r="C451" s="359"/>
      <c r="D451" s="3252" t="s">
        <v>2497</v>
      </c>
      <c r="E451" s="3253"/>
      <c r="F451" s="3263">
        <v>418.58624842443487</v>
      </c>
      <c r="G451" s="3264"/>
      <c r="H451" s="3264"/>
      <c r="I451" s="3264"/>
      <c r="J451" s="3264"/>
      <c r="K451" s="3264"/>
      <c r="L451" s="3264"/>
      <c r="M451" s="3264"/>
      <c r="N451" s="3264"/>
      <c r="O451" s="3264"/>
      <c r="P451" s="3264"/>
      <c r="Q451" s="3264"/>
      <c r="R451" s="3264"/>
      <c r="S451" s="3264"/>
      <c r="T451" s="3264"/>
      <c r="U451" s="3264"/>
      <c r="V451" s="3264"/>
      <c r="W451" s="3264"/>
      <c r="X451" s="3264"/>
      <c r="Y451" s="3264"/>
      <c r="Z451" s="3264"/>
      <c r="AA451" s="3264"/>
      <c r="AB451" s="3264"/>
      <c r="AC451" s="3264"/>
      <c r="AD451" s="3264"/>
      <c r="AE451" s="3264"/>
      <c r="AF451" s="3264"/>
      <c r="AG451" s="3264"/>
      <c r="AH451" s="3264"/>
      <c r="AI451" s="3264"/>
      <c r="AJ451" s="3264"/>
      <c r="AK451" s="3264"/>
      <c r="AL451" s="3264"/>
      <c r="AM451" s="3264"/>
      <c r="AN451" s="3264"/>
      <c r="AO451" s="3264"/>
      <c r="AP451" s="3264"/>
      <c r="AQ451" s="3264"/>
      <c r="AR451" s="3264"/>
      <c r="AS451" s="3264"/>
      <c r="AT451" s="3264"/>
      <c r="AU451" s="3264"/>
      <c r="AV451" s="3264"/>
      <c r="AW451" s="3264"/>
      <c r="AX451" s="3265">
        <v>1271.2517587327745</v>
      </c>
      <c r="AY451" s="3266">
        <v>344.24691911070676</v>
      </c>
      <c r="AZ451" s="3267">
        <v>745.96408138311438</v>
      </c>
      <c r="BA451" s="3268">
        <v>0.63535692332063021</v>
      </c>
      <c r="BB451" s="3269">
        <v>0.65640509998852925</v>
      </c>
      <c r="BC451" s="3269">
        <v>0.13700000000000001</v>
      </c>
      <c r="BD451" s="3269">
        <v>1.0336484019866832E-2</v>
      </c>
      <c r="BE451" s="3270">
        <v>1.417908398737135</v>
      </c>
      <c r="BF451" s="3271">
        <v>2.6671701472229681</v>
      </c>
      <c r="BG451" s="1304"/>
      <c r="BH451" s="1304"/>
      <c r="BI451" s="1304"/>
    </row>
    <row r="452" spans="3:61">
      <c r="C452" s="359"/>
      <c r="D452" s="260"/>
      <c r="F452" s="359"/>
      <c r="G452" s="359"/>
      <c r="H452" s="359"/>
      <c r="I452" s="359"/>
      <c r="J452" s="359"/>
      <c r="K452" s="359"/>
      <c r="L452" s="359"/>
      <c r="M452" s="359"/>
      <c r="N452" s="359"/>
      <c r="O452" s="359"/>
      <c r="P452" s="359"/>
      <c r="Q452" s="359"/>
      <c r="R452" s="359"/>
      <c r="S452" s="359"/>
      <c r="T452" s="359"/>
      <c r="U452" s="359"/>
      <c r="V452" s="359"/>
      <c r="W452" s="359"/>
      <c r="X452" s="359"/>
      <c r="Y452" s="359"/>
      <c r="Z452" s="359"/>
      <c r="AA452" s="359"/>
      <c r="AB452" s="359"/>
      <c r="AC452" s="359"/>
      <c r="AD452" s="359"/>
      <c r="AE452" s="359"/>
      <c r="AF452" s="359"/>
      <c r="AG452" s="359"/>
      <c r="AH452" s="359"/>
      <c r="AI452" s="359"/>
      <c r="AJ452" s="359"/>
      <c r="AK452" s="359"/>
      <c r="AL452" s="359"/>
      <c r="AM452" s="359"/>
      <c r="AN452" s="359"/>
      <c r="AO452" s="359"/>
      <c r="AP452" s="359"/>
      <c r="AQ452" s="359"/>
      <c r="AR452" s="359"/>
      <c r="AS452" s="359"/>
      <c r="AT452" s="359"/>
      <c r="AU452" s="359"/>
      <c r="AV452" s="359"/>
      <c r="AW452" s="359"/>
      <c r="AY452" s="962"/>
      <c r="AZ452" s="962"/>
      <c r="BA452" s="1303"/>
      <c r="BB452" s="625"/>
    </row>
    <row r="453" spans="3:61">
      <c r="C453" s="359"/>
      <c r="D453" s="260"/>
      <c r="F453" s="359"/>
      <c r="G453" s="359"/>
      <c r="H453" s="359"/>
      <c r="I453" s="359"/>
      <c r="J453" s="359"/>
      <c r="K453" s="359"/>
      <c r="L453" s="359"/>
      <c r="M453" s="359"/>
      <c r="N453" s="359"/>
      <c r="O453" s="359"/>
      <c r="P453" s="359"/>
      <c r="Q453" s="359"/>
      <c r="R453" s="359"/>
      <c r="S453" s="359"/>
      <c r="T453" s="359"/>
      <c r="U453" s="359"/>
      <c r="V453" s="359"/>
      <c r="W453" s="359"/>
      <c r="X453" s="359"/>
      <c r="Y453" s="359"/>
      <c r="Z453" s="359"/>
      <c r="AA453" s="359"/>
      <c r="AB453" s="359"/>
      <c r="AC453" s="359"/>
      <c r="AD453" s="359"/>
      <c r="AE453" s="359"/>
      <c r="AF453" s="359"/>
      <c r="AG453" s="359"/>
      <c r="AH453" s="359"/>
      <c r="AI453" s="359"/>
      <c r="AJ453" s="359"/>
      <c r="AK453" s="359"/>
      <c r="AL453" s="359"/>
      <c r="AM453" s="359"/>
      <c r="AN453" s="359"/>
      <c r="AO453" s="359"/>
      <c r="AP453" s="359"/>
      <c r="AQ453" s="359"/>
      <c r="AR453" s="359"/>
      <c r="AS453" s="359"/>
      <c r="AT453" s="359"/>
      <c r="AU453" s="359"/>
      <c r="AV453" s="359"/>
      <c r="AW453" s="359"/>
      <c r="AY453" s="962"/>
      <c r="AZ453" s="962"/>
      <c r="BA453" s="1303"/>
      <c r="BB453" s="625"/>
    </row>
    <row r="454" spans="3:61">
      <c r="C454" s="359"/>
      <c r="D454" s="260"/>
      <c r="F454" s="359"/>
      <c r="G454" s="359"/>
      <c r="H454" s="359"/>
      <c r="I454" s="359"/>
      <c r="J454" s="359"/>
      <c r="K454" s="359"/>
      <c r="L454" s="359"/>
      <c r="M454" s="359"/>
      <c r="N454" s="359"/>
      <c r="O454" s="359"/>
      <c r="P454" s="359"/>
      <c r="Q454" s="359"/>
      <c r="R454" s="359"/>
      <c r="S454" s="359"/>
      <c r="T454" s="359"/>
      <c r="U454" s="359"/>
      <c r="V454" s="359"/>
      <c r="W454" s="359"/>
      <c r="X454" s="359"/>
      <c r="Y454" s="359"/>
      <c r="Z454" s="359"/>
      <c r="AA454" s="359"/>
      <c r="AB454" s="359"/>
      <c r="AC454" s="359"/>
      <c r="AD454" s="359"/>
      <c r="AE454" s="359"/>
      <c r="AF454" s="359"/>
      <c r="AG454" s="359"/>
      <c r="AH454" s="359"/>
      <c r="AI454" s="359"/>
      <c r="AJ454" s="359"/>
      <c r="AK454" s="359"/>
      <c r="AL454" s="359"/>
      <c r="AM454" s="359"/>
      <c r="AN454" s="359"/>
      <c r="AO454" s="359"/>
      <c r="AP454" s="359"/>
      <c r="AQ454" s="359"/>
      <c r="AR454" s="359"/>
      <c r="AS454" s="359"/>
      <c r="AT454" s="359"/>
      <c r="AU454" s="359"/>
      <c r="AV454" s="359"/>
      <c r="AW454" s="359"/>
      <c r="AY454" s="1304"/>
      <c r="AZ454" s="1304"/>
      <c r="BA454" s="1303"/>
      <c r="BB454" s="625"/>
    </row>
    <row r="455" spans="3:61">
      <c r="C455" s="359"/>
      <c r="F455" s="359"/>
      <c r="G455" s="359"/>
      <c r="H455" s="359"/>
      <c r="I455" s="359"/>
      <c r="J455" s="359"/>
      <c r="K455" s="359"/>
      <c r="L455" s="359"/>
      <c r="M455" s="359"/>
      <c r="N455" s="359"/>
      <c r="O455" s="359"/>
      <c r="P455" s="359"/>
      <c r="Q455" s="359"/>
      <c r="R455" s="359"/>
      <c r="S455" s="359"/>
      <c r="T455" s="359"/>
      <c r="U455" s="359"/>
      <c r="V455" s="359"/>
      <c r="W455" s="359"/>
      <c r="X455" s="359"/>
      <c r="Y455" s="359"/>
      <c r="Z455" s="359"/>
      <c r="AA455" s="359"/>
      <c r="AB455" s="359"/>
      <c r="AC455" s="359"/>
      <c r="AD455" s="359"/>
      <c r="AE455" s="359"/>
      <c r="AF455" s="359"/>
      <c r="AG455" s="359"/>
      <c r="AH455" s="359"/>
      <c r="AI455" s="359"/>
      <c r="AJ455" s="359"/>
      <c r="AK455" s="359"/>
      <c r="AL455" s="359"/>
      <c r="AM455" s="359"/>
      <c r="AN455" s="359"/>
      <c r="AO455" s="359"/>
      <c r="AP455" s="359"/>
      <c r="AQ455" s="359"/>
      <c r="AR455" s="359"/>
      <c r="AS455" s="359"/>
      <c r="AT455" s="359"/>
      <c r="AU455" s="359"/>
      <c r="AV455" s="359"/>
      <c r="AW455" s="359"/>
      <c r="AY455" s="1304"/>
      <c r="AZ455" s="1304"/>
      <c r="BA455" s="1303"/>
      <c r="BB455" s="625"/>
    </row>
    <row r="456" spans="3:61">
      <c r="C456" s="359"/>
      <c r="D456" s="593"/>
      <c r="F456" s="593"/>
      <c r="G456" s="359"/>
      <c r="H456" s="359"/>
      <c r="I456" s="359"/>
      <c r="J456" s="359"/>
      <c r="K456" s="359"/>
      <c r="L456" s="359"/>
      <c r="M456" s="359"/>
      <c r="N456" s="359"/>
      <c r="O456" s="359"/>
      <c r="P456" s="359"/>
      <c r="Q456" s="359"/>
      <c r="R456" s="359"/>
      <c r="S456" s="359"/>
      <c r="T456" s="359"/>
      <c r="U456" s="359"/>
      <c r="V456" s="359"/>
      <c r="W456" s="359"/>
      <c r="X456" s="359"/>
      <c r="Y456" s="359"/>
      <c r="Z456" s="359"/>
      <c r="AA456" s="359"/>
      <c r="AB456" s="359"/>
      <c r="AC456" s="359"/>
      <c r="AD456" s="359"/>
      <c r="AE456" s="359"/>
      <c r="AF456" s="359"/>
      <c r="AG456" s="359"/>
      <c r="AH456" s="359"/>
      <c r="AI456" s="359"/>
      <c r="AJ456" s="359"/>
      <c r="AK456" s="359"/>
      <c r="AL456" s="359"/>
      <c r="AM456" s="359"/>
      <c r="AN456" s="359"/>
      <c r="AO456" s="359"/>
      <c r="AP456" s="359"/>
      <c r="AQ456" s="359"/>
      <c r="AR456" s="359"/>
      <c r="AS456" s="359"/>
      <c r="AT456" s="359"/>
      <c r="AU456" s="359"/>
      <c r="AV456" s="359"/>
      <c r="AW456" s="359"/>
      <c r="AY456" s="1304"/>
      <c r="AZ456" s="1304"/>
      <c r="BA456" s="1303"/>
      <c r="BB456" s="625"/>
    </row>
    <row r="457" spans="3:61">
      <c r="C457" s="359"/>
      <c r="D457" s="260"/>
      <c r="F457" s="3141"/>
      <c r="G457" s="359"/>
      <c r="H457" s="359"/>
      <c r="I457" s="359"/>
      <c r="J457" s="359"/>
      <c r="K457" s="359"/>
      <c r="L457" s="359"/>
      <c r="M457" s="359"/>
      <c r="N457" s="359"/>
      <c r="O457" s="359"/>
      <c r="P457" s="359"/>
      <c r="Q457" s="359"/>
      <c r="R457" s="359"/>
      <c r="S457" s="359"/>
      <c r="T457" s="359"/>
      <c r="U457" s="359"/>
      <c r="V457" s="359"/>
      <c r="W457" s="359"/>
      <c r="X457" s="359"/>
      <c r="Y457" s="359"/>
      <c r="Z457" s="359"/>
      <c r="AA457" s="359"/>
      <c r="AB457" s="359"/>
      <c r="AC457" s="359"/>
      <c r="AD457" s="359"/>
      <c r="AE457" s="359"/>
      <c r="AF457" s="359"/>
      <c r="AG457" s="359"/>
      <c r="AH457" s="359"/>
      <c r="AI457" s="359"/>
      <c r="AJ457" s="359"/>
      <c r="AK457" s="359"/>
      <c r="AL457" s="359"/>
      <c r="AM457" s="359"/>
      <c r="AN457" s="359"/>
      <c r="AO457" s="359"/>
      <c r="AP457" s="359"/>
      <c r="AQ457" s="359"/>
      <c r="AR457" s="359"/>
      <c r="AS457" s="359"/>
      <c r="AT457" s="359"/>
      <c r="AU457" s="359"/>
      <c r="AV457" s="359"/>
      <c r="AW457" s="359"/>
      <c r="AY457" s="1304"/>
      <c r="AZ457" s="1304"/>
      <c r="BA457" s="1303"/>
      <c r="BB457" s="625"/>
    </row>
    <row r="458" spans="3:61">
      <c r="C458" s="359"/>
      <c r="D458" s="260"/>
      <c r="F458" s="1617"/>
      <c r="G458" s="359"/>
      <c r="H458" s="359"/>
      <c r="I458" s="359"/>
      <c r="J458" s="359"/>
      <c r="K458" s="359"/>
      <c r="L458" s="359"/>
      <c r="M458" s="359"/>
      <c r="N458" s="359"/>
      <c r="O458" s="359"/>
      <c r="P458" s="359"/>
      <c r="Q458" s="359"/>
      <c r="R458" s="359"/>
      <c r="S458" s="359"/>
      <c r="T458" s="359"/>
      <c r="U458" s="359"/>
      <c r="V458" s="359"/>
      <c r="W458" s="359"/>
      <c r="X458" s="359"/>
      <c r="Y458" s="359"/>
      <c r="Z458" s="359"/>
      <c r="AA458" s="359"/>
      <c r="AB458" s="359"/>
      <c r="AC458" s="359"/>
      <c r="AD458" s="359"/>
      <c r="AE458" s="359"/>
      <c r="AF458" s="359"/>
      <c r="AG458" s="359"/>
      <c r="AH458" s="359"/>
      <c r="AI458" s="359"/>
      <c r="AJ458" s="359"/>
      <c r="AK458" s="359"/>
      <c r="AL458" s="359"/>
      <c r="AM458" s="359"/>
      <c r="AN458" s="359"/>
      <c r="AO458" s="359"/>
      <c r="AP458" s="359"/>
      <c r="AQ458" s="359"/>
      <c r="AR458" s="359"/>
      <c r="AS458" s="359"/>
      <c r="AT458" s="359"/>
      <c r="AU458" s="359"/>
      <c r="AV458" s="359"/>
      <c r="AW458" s="359"/>
      <c r="AY458" s="1304"/>
      <c r="AZ458" s="1304"/>
      <c r="BA458" s="1303"/>
      <c r="BB458" s="625"/>
    </row>
    <row r="459" spans="3:61">
      <c r="C459" s="359"/>
      <c r="D459" s="260"/>
      <c r="F459" s="3141"/>
      <c r="G459" s="359"/>
      <c r="H459" s="359"/>
      <c r="I459" s="359"/>
      <c r="J459" s="359"/>
      <c r="K459" s="359"/>
      <c r="L459" s="359"/>
      <c r="M459" s="359"/>
      <c r="N459" s="359"/>
      <c r="O459" s="359"/>
      <c r="P459" s="359"/>
      <c r="Q459" s="359"/>
      <c r="R459" s="359"/>
      <c r="S459" s="359"/>
      <c r="T459" s="359"/>
      <c r="U459" s="359"/>
      <c r="V459" s="359"/>
      <c r="W459" s="359"/>
      <c r="X459" s="359"/>
      <c r="Y459" s="359"/>
      <c r="Z459" s="359"/>
      <c r="AA459" s="359"/>
      <c r="AB459" s="359"/>
      <c r="AC459" s="359"/>
      <c r="AD459" s="359"/>
      <c r="AE459" s="359"/>
      <c r="AF459" s="359"/>
      <c r="AG459" s="359"/>
      <c r="AH459" s="359"/>
      <c r="AI459" s="359"/>
      <c r="AJ459" s="359"/>
      <c r="AK459" s="359"/>
      <c r="AL459" s="359"/>
      <c r="AM459" s="359"/>
      <c r="AN459" s="359"/>
      <c r="AO459" s="359"/>
      <c r="AP459" s="359"/>
      <c r="AQ459" s="359"/>
      <c r="AR459" s="359"/>
      <c r="AS459" s="359"/>
      <c r="AT459" s="359"/>
      <c r="AU459" s="359"/>
      <c r="AV459" s="359"/>
      <c r="AW459" s="359"/>
      <c r="AY459" s="962"/>
      <c r="AZ459" s="962"/>
      <c r="BA459" s="1303"/>
      <c r="BB459" s="625"/>
    </row>
    <row r="460" spans="3:61">
      <c r="C460" s="359"/>
      <c r="D460" s="260"/>
      <c r="F460" s="3141"/>
      <c r="G460" s="359"/>
      <c r="H460" s="359"/>
      <c r="I460" s="359"/>
      <c r="J460" s="359"/>
      <c r="K460" s="359"/>
      <c r="L460" s="359"/>
      <c r="M460" s="359"/>
      <c r="N460" s="359"/>
      <c r="O460" s="359"/>
      <c r="P460" s="359"/>
      <c r="Q460" s="359"/>
      <c r="R460" s="359"/>
      <c r="S460" s="359"/>
      <c r="T460" s="359"/>
      <c r="U460" s="359"/>
      <c r="V460" s="359"/>
      <c r="W460" s="359"/>
      <c r="X460" s="359"/>
      <c r="Y460" s="359"/>
      <c r="Z460" s="359"/>
      <c r="AA460" s="359"/>
      <c r="AB460" s="359"/>
      <c r="AC460" s="359"/>
      <c r="AD460" s="359"/>
      <c r="AE460" s="359"/>
      <c r="AF460" s="359"/>
      <c r="AG460" s="359"/>
      <c r="AH460" s="359"/>
      <c r="AI460" s="359"/>
      <c r="AJ460" s="359"/>
      <c r="AK460" s="359"/>
      <c r="AL460" s="359"/>
      <c r="AM460" s="359"/>
      <c r="AN460" s="359"/>
      <c r="AO460" s="359"/>
      <c r="AP460" s="359"/>
      <c r="AQ460" s="359"/>
      <c r="AR460" s="359"/>
      <c r="AS460" s="359"/>
      <c r="AT460" s="359"/>
      <c r="AU460" s="359"/>
      <c r="AV460" s="359"/>
      <c r="AW460" s="359"/>
      <c r="AY460" s="962"/>
      <c r="AZ460" s="962"/>
      <c r="BA460" s="1303"/>
      <c r="BB460" s="625"/>
    </row>
    <row r="461" spans="3:61">
      <c r="C461" s="359"/>
      <c r="D461" s="260"/>
      <c r="F461" s="3141"/>
      <c r="G461" s="359"/>
      <c r="H461" s="359"/>
      <c r="I461" s="359"/>
      <c r="J461" s="359"/>
      <c r="K461" s="359"/>
      <c r="L461" s="359"/>
      <c r="M461" s="359"/>
      <c r="N461" s="359"/>
      <c r="O461" s="359"/>
      <c r="P461" s="359"/>
      <c r="Q461" s="359"/>
      <c r="R461" s="359"/>
      <c r="S461" s="359"/>
      <c r="T461" s="359"/>
      <c r="U461" s="359"/>
      <c r="V461" s="359"/>
      <c r="W461" s="359"/>
      <c r="X461" s="359"/>
      <c r="Y461" s="359"/>
      <c r="Z461" s="359"/>
      <c r="AA461" s="359"/>
      <c r="AB461" s="359"/>
      <c r="AC461" s="359"/>
      <c r="AD461" s="359"/>
      <c r="AE461" s="359"/>
      <c r="AF461" s="359"/>
      <c r="AG461" s="359"/>
      <c r="AH461" s="359"/>
      <c r="AI461" s="359"/>
      <c r="AJ461" s="359"/>
      <c r="AK461" s="359"/>
      <c r="AL461" s="359"/>
      <c r="AM461" s="359"/>
      <c r="AN461" s="359"/>
      <c r="AO461" s="359"/>
      <c r="AP461" s="359"/>
      <c r="AQ461" s="359"/>
      <c r="AR461" s="359"/>
      <c r="AS461" s="359"/>
      <c r="AT461" s="359"/>
      <c r="AU461" s="359"/>
      <c r="AV461" s="359"/>
      <c r="AW461" s="359"/>
      <c r="AY461" s="962"/>
      <c r="AZ461" s="962"/>
      <c r="BA461" s="1303"/>
      <c r="BB461" s="625"/>
    </row>
    <row r="462" spans="3:61">
      <c r="C462" s="359"/>
      <c r="D462" s="260"/>
      <c r="F462" s="1617"/>
      <c r="G462" s="359"/>
      <c r="H462" s="359"/>
      <c r="I462" s="359"/>
      <c r="J462" s="359"/>
      <c r="K462" s="359"/>
      <c r="L462" s="359"/>
      <c r="M462" s="359"/>
      <c r="N462" s="359"/>
      <c r="O462" s="359"/>
      <c r="P462" s="359"/>
      <c r="Q462" s="359"/>
      <c r="R462" s="359"/>
      <c r="S462" s="359"/>
      <c r="T462" s="359"/>
      <c r="U462" s="359"/>
      <c r="V462" s="359"/>
      <c r="W462" s="359"/>
      <c r="X462" s="359"/>
      <c r="Y462" s="359"/>
      <c r="Z462" s="359"/>
      <c r="AA462" s="359"/>
      <c r="AB462" s="359"/>
      <c r="AC462" s="359"/>
      <c r="AD462" s="359"/>
      <c r="AE462" s="359"/>
      <c r="AF462" s="359"/>
      <c r="AG462" s="359"/>
      <c r="AH462" s="359"/>
      <c r="AI462" s="359"/>
      <c r="AJ462" s="359"/>
      <c r="AK462" s="359"/>
      <c r="AL462" s="359"/>
      <c r="AM462" s="359"/>
      <c r="AN462" s="359"/>
      <c r="AO462" s="359"/>
      <c r="AP462" s="359"/>
      <c r="AQ462" s="359"/>
      <c r="AR462" s="359"/>
      <c r="AS462" s="359"/>
      <c r="AT462" s="359"/>
      <c r="AU462" s="359"/>
      <c r="AV462" s="359"/>
      <c r="AW462" s="359"/>
      <c r="AY462" s="962"/>
      <c r="AZ462" s="962"/>
      <c r="BA462" s="1303"/>
      <c r="BB462" s="625"/>
    </row>
    <row r="463" spans="3:61">
      <c r="C463" s="359"/>
      <c r="D463" s="260"/>
      <c r="F463" s="359"/>
      <c r="G463" s="359"/>
      <c r="H463" s="359"/>
      <c r="I463" s="359"/>
      <c r="J463" s="359"/>
      <c r="K463" s="359"/>
      <c r="L463" s="359"/>
      <c r="M463" s="359"/>
      <c r="N463" s="359"/>
      <c r="O463" s="359"/>
      <c r="P463" s="359"/>
      <c r="Q463" s="359"/>
      <c r="R463" s="359"/>
      <c r="S463" s="359"/>
      <c r="T463" s="359"/>
      <c r="U463" s="359"/>
      <c r="V463" s="359"/>
      <c r="W463" s="359"/>
      <c r="X463" s="359"/>
      <c r="Y463" s="359"/>
      <c r="Z463" s="359"/>
      <c r="AA463" s="359"/>
      <c r="AB463" s="359"/>
      <c r="AC463" s="359"/>
      <c r="AD463" s="359"/>
      <c r="AE463" s="359"/>
      <c r="AF463" s="359"/>
      <c r="AG463" s="359"/>
      <c r="AH463" s="359"/>
      <c r="AI463" s="359"/>
      <c r="AJ463" s="359"/>
      <c r="AK463" s="359"/>
      <c r="AL463" s="359"/>
      <c r="AM463" s="359"/>
      <c r="AN463" s="359"/>
      <c r="AO463" s="359"/>
      <c r="AP463" s="359"/>
      <c r="AQ463" s="359"/>
      <c r="AR463" s="359"/>
      <c r="AS463" s="359"/>
      <c r="AT463" s="359"/>
      <c r="AU463" s="359"/>
      <c r="AV463" s="359"/>
      <c r="AW463" s="359"/>
      <c r="AY463" s="962"/>
      <c r="AZ463" s="962"/>
      <c r="BA463" s="1303"/>
      <c r="BB463" s="625"/>
    </row>
    <row r="464" spans="3:61">
      <c r="C464" s="359"/>
      <c r="D464" s="3139"/>
      <c r="F464" s="359"/>
      <c r="G464" s="359"/>
      <c r="H464" s="359"/>
      <c r="I464" s="359"/>
      <c r="J464" s="359"/>
      <c r="K464" s="359"/>
      <c r="L464" s="359"/>
      <c r="M464" s="359"/>
      <c r="N464" s="359"/>
      <c r="O464" s="359"/>
      <c r="P464" s="359"/>
      <c r="Q464" s="359"/>
      <c r="R464" s="359"/>
      <c r="S464" s="359"/>
      <c r="T464" s="359"/>
      <c r="U464" s="359"/>
      <c r="V464" s="359"/>
      <c r="W464" s="359"/>
      <c r="X464" s="359"/>
      <c r="Y464" s="359"/>
      <c r="Z464" s="359"/>
      <c r="AA464" s="359"/>
      <c r="AB464" s="359"/>
      <c r="AC464" s="359"/>
      <c r="AD464" s="359"/>
      <c r="AE464" s="359"/>
      <c r="AF464" s="359"/>
      <c r="AG464" s="359"/>
      <c r="AH464" s="359"/>
      <c r="AI464" s="359"/>
      <c r="AJ464" s="359"/>
      <c r="AK464" s="359"/>
      <c r="AL464" s="359"/>
      <c r="AM464" s="359"/>
      <c r="AN464" s="359"/>
      <c r="AO464" s="359"/>
      <c r="AP464" s="359"/>
      <c r="AQ464" s="359"/>
      <c r="AR464" s="359"/>
      <c r="AS464" s="359"/>
      <c r="AT464" s="359"/>
      <c r="AU464" s="359"/>
      <c r="AV464" s="359"/>
      <c r="AW464" s="359"/>
      <c r="AY464" s="962"/>
      <c r="AZ464" s="962"/>
      <c r="BA464" s="1303"/>
      <c r="BB464" s="625"/>
    </row>
    <row r="465" spans="3:54">
      <c r="C465" s="359"/>
      <c r="D465" s="3140"/>
      <c r="F465" s="359"/>
      <c r="G465" s="359"/>
      <c r="H465" s="359"/>
      <c r="I465" s="359"/>
      <c r="J465" s="359"/>
      <c r="K465" s="359"/>
      <c r="L465" s="359"/>
      <c r="M465" s="359"/>
      <c r="N465" s="359"/>
      <c r="O465" s="359"/>
      <c r="P465" s="359"/>
      <c r="Q465" s="359"/>
      <c r="R465" s="359"/>
      <c r="S465" s="359"/>
      <c r="T465" s="359"/>
      <c r="U465" s="359"/>
      <c r="V465" s="359"/>
      <c r="W465" s="359"/>
      <c r="X465" s="359"/>
      <c r="Y465" s="359"/>
      <c r="Z465" s="359"/>
      <c r="AA465" s="359"/>
      <c r="AB465" s="359"/>
      <c r="AC465" s="359"/>
      <c r="AD465" s="359"/>
      <c r="AE465" s="359"/>
      <c r="AF465" s="359"/>
      <c r="AG465" s="359"/>
      <c r="AH465" s="359"/>
      <c r="AI465" s="359"/>
      <c r="AJ465" s="359"/>
      <c r="AK465" s="359"/>
      <c r="AL465" s="359"/>
      <c r="AM465" s="359"/>
      <c r="AN465" s="359"/>
      <c r="AO465" s="359"/>
      <c r="AP465" s="359"/>
      <c r="AQ465" s="359"/>
      <c r="AR465" s="359"/>
      <c r="AS465" s="359"/>
      <c r="AT465" s="359"/>
      <c r="AU465" s="359"/>
      <c r="AV465" s="359"/>
      <c r="AW465" s="359"/>
      <c r="AY465" s="962"/>
      <c r="AZ465" s="962"/>
      <c r="BA465" s="1303"/>
      <c r="BB465" s="625"/>
    </row>
    <row r="466" spans="3:54">
      <c r="C466" s="359"/>
      <c r="D466" s="260"/>
      <c r="F466" s="359"/>
      <c r="G466" s="359"/>
      <c r="H466" s="359"/>
      <c r="I466" s="359"/>
      <c r="J466" s="359"/>
      <c r="K466" s="359"/>
      <c r="L466" s="359"/>
      <c r="M466" s="359"/>
      <c r="N466" s="359"/>
      <c r="O466" s="359"/>
      <c r="P466" s="359"/>
      <c r="Q466" s="359"/>
      <c r="R466" s="359"/>
      <c r="S466" s="359"/>
      <c r="T466" s="359"/>
      <c r="U466" s="359"/>
      <c r="V466" s="359"/>
      <c r="W466" s="359"/>
      <c r="X466" s="359"/>
      <c r="Y466" s="359"/>
      <c r="Z466" s="359"/>
      <c r="AA466" s="359"/>
      <c r="AB466" s="359"/>
      <c r="AC466" s="359"/>
      <c r="AD466" s="359"/>
      <c r="AE466" s="359"/>
      <c r="AF466" s="359"/>
      <c r="AG466" s="359"/>
      <c r="AH466" s="359"/>
      <c r="AI466" s="359"/>
      <c r="AJ466" s="359"/>
      <c r="AK466" s="359"/>
      <c r="AL466" s="359"/>
      <c r="AM466" s="359"/>
      <c r="AN466" s="359"/>
      <c r="AO466" s="359"/>
      <c r="AP466" s="359"/>
      <c r="AQ466" s="359"/>
      <c r="AR466" s="359"/>
      <c r="AS466" s="359"/>
      <c r="AT466" s="359"/>
      <c r="AU466" s="359"/>
      <c r="AV466" s="359"/>
      <c r="AW466" s="359"/>
      <c r="AY466" s="962"/>
      <c r="AZ466" s="962"/>
      <c r="BA466" s="1303"/>
      <c r="BB466" s="625"/>
    </row>
    <row r="467" spans="3:54">
      <c r="C467" s="359"/>
      <c r="D467" s="260"/>
      <c r="F467" s="359"/>
      <c r="G467" s="359"/>
      <c r="H467" s="359"/>
      <c r="I467" s="359"/>
      <c r="J467" s="359"/>
      <c r="K467" s="359"/>
      <c r="L467" s="359"/>
      <c r="M467" s="359"/>
      <c r="N467" s="359"/>
      <c r="O467" s="359"/>
      <c r="P467" s="359"/>
      <c r="Q467" s="359"/>
      <c r="R467" s="359"/>
      <c r="S467" s="359"/>
      <c r="T467" s="359"/>
      <c r="U467" s="359"/>
      <c r="V467" s="359"/>
      <c r="W467" s="359"/>
      <c r="X467" s="359"/>
      <c r="Y467" s="359"/>
      <c r="Z467" s="359"/>
      <c r="AA467" s="359"/>
      <c r="AB467" s="359"/>
      <c r="AC467" s="359"/>
      <c r="AD467" s="359"/>
      <c r="AE467" s="359"/>
      <c r="AF467" s="359"/>
      <c r="AG467" s="359"/>
      <c r="AH467" s="359"/>
      <c r="AI467" s="359"/>
      <c r="AJ467" s="359"/>
      <c r="AK467" s="359"/>
      <c r="AL467" s="359"/>
      <c r="AM467" s="359"/>
      <c r="AN467" s="359"/>
      <c r="AO467" s="359"/>
      <c r="AP467" s="359"/>
      <c r="AQ467" s="359"/>
      <c r="AR467" s="359"/>
      <c r="AS467" s="359"/>
      <c r="AT467" s="359"/>
      <c r="AU467" s="359"/>
      <c r="AV467" s="359"/>
      <c r="AW467" s="359"/>
      <c r="AY467" s="962"/>
      <c r="AZ467" s="962"/>
      <c r="BA467" s="1303"/>
      <c r="BB467" s="625"/>
    </row>
    <row r="468" spans="3:54">
      <c r="C468" s="359"/>
      <c r="D468" s="593"/>
      <c r="F468" s="359"/>
      <c r="G468" s="359"/>
      <c r="H468" s="359"/>
      <c r="I468" s="359"/>
      <c r="J468" s="359"/>
      <c r="K468" s="359"/>
      <c r="L468" s="359"/>
      <c r="M468" s="359"/>
      <c r="N468" s="359"/>
      <c r="O468" s="359"/>
      <c r="P468" s="359"/>
      <c r="Q468" s="359"/>
      <c r="R468" s="359"/>
      <c r="S468" s="359"/>
      <c r="T468" s="359"/>
      <c r="U468" s="359"/>
      <c r="V468" s="359"/>
      <c r="W468" s="359"/>
      <c r="X468" s="359"/>
      <c r="Y468" s="359"/>
      <c r="Z468" s="359"/>
      <c r="AA468" s="359"/>
      <c r="AB468" s="359"/>
      <c r="AC468" s="359"/>
      <c r="AD468" s="359"/>
      <c r="AE468" s="359"/>
      <c r="AF468" s="359"/>
      <c r="AG468" s="359"/>
      <c r="AH468" s="359"/>
      <c r="AI468" s="359"/>
      <c r="AJ468" s="359"/>
      <c r="AK468" s="359"/>
      <c r="AL468" s="359"/>
      <c r="AM468" s="359"/>
      <c r="AN468" s="359"/>
      <c r="AO468" s="359"/>
      <c r="AP468" s="359"/>
      <c r="AQ468" s="359"/>
      <c r="AR468" s="359"/>
      <c r="AS468" s="359"/>
      <c r="AT468" s="359"/>
      <c r="AU468" s="359"/>
      <c r="AV468" s="359"/>
      <c r="AW468" s="359"/>
      <c r="AY468" s="962"/>
      <c r="AZ468" s="962"/>
      <c r="BA468" s="1303"/>
      <c r="BB468" s="625"/>
    </row>
    <row r="469" spans="3:54">
      <c r="C469" s="359"/>
      <c r="D469" s="260"/>
      <c r="F469" s="359"/>
      <c r="G469" s="359"/>
      <c r="H469" s="359"/>
      <c r="I469" s="359"/>
      <c r="J469" s="359"/>
      <c r="K469" s="359"/>
      <c r="L469" s="359"/>
      <c r="M469" s="359"/>
      <c r="N469" s="359"/>
      <c r="O469" s="359"/>
      <c r="P469" s="359"/>
      <c r="Q469" s="359"/>
      <c r="R469" s="359"/>
      <c r="S469" s="359"/>
      <c r="T469" s="359"/>
      <c r="U469" s="359"/>
      <c r="V469" s="359"/>
      <c r="W469" s="359"/>
      <c r="X469" s="359"/>
      <c r="Y469" s="359"/>
      <c r="Z469" s="359"/>
      <c r="AA469" s="359"/>
      <c r="AB469" s="359"/>
      <c r="AC469" s="359"/>
      <c r="AD469" s="359"/>
      <c r="AE469" s="359"/>
      <c r="AF469" s="359"/>
      <c r="AG469" s="359"/>
      <c r="AH469" s="359"/>
      <c r="AI469" s="359"/>
      <c r="AJ469" s="359"/>
      <c r="AK469" s="359"/>
      <c r="AL469" s="359"/>
      <c r="AM469" s="359"/>
      <c r="AN469" s="359"/>
      <c r="AO469" s="359"/>
      <c r="AP469" s="359"/>
      <c r="AQ469" s="359"/>
      <c r="AR469" s="359"/>
      <c r="AS469" s="359"/>
      <c r="AT469" s="359"/>
      <c r="AU469" s="359"/>
      <c r="AV469" s="359"/>
      <c r="AW469" s="359"/>
      <c r="AY469" s="962"/>
      <c r="AZ469" s="962"/>
      <c r="BA469" s="1303"/>
      <c r="BB469" s="625"/>
    </row>
    <row r="470" spans="3:54">
      <c r="C470" s="359"/>
      <c r="D470" s="3142"/>
      <c r="F470" s="359"/>
      <c r="G470" s="359"/>
      <c r="H470" s="359"/>
      <c r="I470" s="359"/>
      <c r="J470" s="359"/>
      <c r="K470" s="359"/>
      <c r="L470" s="359"/>
      <c r="M470" s="359"/>
      <c r="N470" s="359"/>
      <c r="O470" s="359"/>
      <c r="P470" s="359"/>
      <c r="Q470" s="359"/>
      <c r="R470" s="359"/>
      <c r="S470" s="359"/>
      <c r="T470" s="359"/>
      <c r="U470" s="359"/>
      <c r="V470" s="359"/>
      <c r="W470" s="359"/>
      <c r="X470" s="359"/>
      <c r="Y470" s="359"/>
      <c r="Z470" s="359"/>
      <c r="AA470" s="359"/>
      <c r="AB470" s="359"/>
      <c r="AC470" s="359"/>
      <c r="AD470" s="359"/>
      <c r="AE470" s="359"/>
      <c r="AF470" s="359"/>
      <c r="AG470" s="359"/>
      <c r="AH470" s="359"/>
      <c r="AI470" s="359"/>
      <c r="AJ470" s="359"/>
      <c r="AK470" s="359"/>
      <c r="AL470" s="359"/>
      <c r="AM470" s="359"/>
      <c r="AN470" s="359"/>
      <c r="AO470" s="359"/>
      <c r="AP470" s="359"/>
      <c r="AQ470" s="359"/>
      <c r="AR470" s="359"/>
      <c r="AS470" s="359"/>
      <c r="AT470" s="359"/>
      <c r="AU470" s="359"/>
      <c r="AV470" s="359"/>
      <c r="AW470" s="359"/>
      <c r="AY470" s="962"/>
      <c r="AZ470" s="962"/>
      <c r="BA470" s="1303"/>
      <c r="BB470" s="625"/>
    </row>
    <row r="471" spans="3:54">
      <c r="C471" s="359"/>
      <c r="D471" s="3143"/>
      <c r="F471" s="359"/>
      <c r="G471" s="359"/>
      <c r="H471" s="359"/>
      <c r="I471" s="359"/>
      <c r="J471" s="359"/>
      <c r="K471" s="359"/>
      <c r="L471" s="359"/>
      <c r="M471" s="359"/>
      <c r="N471" s="359"/>
      <c r="O471" s="359"/>
      <c r="P471" s="359"/>
      <c r="Q471" s="359"/>
      <c r="R471" s="359"/>
      <c r="S471" s="359"/>
      <c r="T471" s="359"/>
      <c r="U471" s="359"/>
      <c r="V471" s="359"/>
      <c r="W471" s="359"/>
      <c r="X471" s="359"/>
      <c r="Y471" s="359"/>
      <c r="Z471" s="359"/>
      <c r="AA471" s="359"/>
      <c r="AB471" s="359"/>
      <c r="AC471" s="359"/>
      <c r="AD471" s="359"/>
      <c r="AE471" s="359"/>
      <c r="AF471" s="359"/>
      <c r="AG471" s="359"/>
      <c r="AH471" s="359"/>
      <c r="AI471" s="359"/>
      <c r="AJ471" s="359"/>
      <c r="AK471" s="359"/>
      <c r="AL471" s="359"/>
      <c r="AM471" s="359"/>
      <c r="AN471" s="359"/>
      <c r="AO471" s="359"/>
      <c r="AP471" s="359"/>
      <c r="AQ471" s="359"/>
      <c r="AR471" s="359"/>
      <c r="AS471" s="359"/>
      <c r="AT471" s="359"/>
      <c r="AU471" s="359"/>
      <c r="AV471" s="359"/>
      <c r="AW471" s="359"/>
      <c r="AY471" s="962"/>
      <c r="AZ471" s="962"/>
      <c r="BA471" s="1303"/>
      <c r="BB471" s="625"/>
    </row>
    <row r="472" spans="3:54">
      <c r="C472" s="359"/>
      <c r="D472" s="3143"/>
      <c r="F472" s="359"/>
      <c r="G472" s="359"/>
      <c r="H472" s="359"/>
      <c r="I472" s="359"/>
      <c r="J472" s="359"/>
      <c r="K472" s="359"/>
      <c r="L472" s="359"/>
      <c r="M472" s="359"/>
      <c r="N472" s="359"/>
      <c r="O472" s="359"/>
      <c r="P472" s="359"/>
      <c r="Q472" s="359"/>
      <c r="R472" s="359"/>
      <c r="S472" s="359"/>
      <c r="T472" s="359"/>
      <c r="U472" s="359"/>
      <c r="V472" s="359"/>
      <c r="W472" s="359"/>
      <c r="X472" s="359"/>
      <c r="Y472" s="359"/>
      <c r="Z472" s="359"/>
      <c r="AA472" s="359"/>
      <c r="AB472" s="359"/>
      <c r="AC472" s="359"/>
      <c r="AD472" s="359"/>
      <c r="AE472" s="359"/>
      <c r="AF472" s="359"/>
      <c r="AG472" s="359"/>
      <c r="AH472" s="359"/>
      <c r="AI472" s="359"/>
      <c r="AJ472" s="359"/>
      <c r="AK472" s="359"/>
      <c r="AL472" s="359"/>
      <c r="AM472" s="359"/>
      <c r="AN472" s="359"/>
      <c r="AO472" s="359"/>
      <c r="AP472" s="359"/>
      <c r="AQ472" s="359"/>
      <c r="AR472" s="359"/>
      <c r="AS472" s="359"/>
      <c r="AT472" s="359"/>
      <c r="AU472" s="359"/>
      <c r="AV472" s="359"/>
      <c r="AW472" s="359"/>
      <c r="AY472" s="962"/>
      <c r="AZ472" s="962"/>
      <c r="BA472" s="1303"/>
      <c r="BB472" s="625"/>
    </row>
    <row r="473" spans="3:54">
      <c r="C473" s="359"/>
      <c r="D473" s="3143"/>
      <c r="F473" s="359"/>
      <c r="G473" s="359"/>
      <c r="H473" s="359"/>
      <c r="I473" s="359"/>
      <c r="J473" s="359"/>
      <c r="K473" s="359"/>
      <c r="L473" s="359"/>
      <c r="M473" s="359"/>
      <c r="N473" s="359"/>
      <c r="O473" s="359"/>
      <c r="P473" s="359"/>
      <c r="Q473" s="359"/>
      <c r="R473" s="359"/>
      <c r="S473" s="359"/>
      <c r="T473" s="359"/>
      <c r="U473" s="359"/>
      <c r="V473" s="359"/>
      <c r="W473" s="359"/>
      <c r="X473" s="359"/>
      <c r="Y473" s="359"/>
      <c r="Z473" s="359"/>
      <c r="AA473" s="359"/>
      <c r="AB473" s="359"/>
      <c r="AC473" s="359"/>
      <c r="AD473" s="359"/>
      <c r="AE473" s="359"/>
      <c r="AF473" s="359"/>
      <c r="AG473" s="359"/>
      <c r="AH473" s="359"/>
      <c r="AI473" s="359"/>
      <c r="AJ473" s="359"/>
      <c r="AK473" s="359"/>
      <c r="AL473" s="359"/>
      <c r="AM473" s="359"/>
      <c r="AN473" s="359"/>
      <c r="AO473" s="359"/>
      <c r="AP473" s="359"/>
      <c r="AQ473" s="359"/>
      <c r="AR473" s="359"/>
      <c r="AS473" s="359"/>
      <c r="AT473" s="359"/>
      <c r="AU473" s="359"/>
      <c r="AV473" s="359"/>
      <c r="AW473" s="359"/>
      <c r="AY473" s="962"/>
      <c r="AZ473" s="962"/>
      <c r="BA473" s="1303"/>
      <c r="BB473" s="625"/>
    </row>
    <row r="474" spans="3:54">
      <c r="C474" s="359"/>
      <c r="D474" s="3143"/>
      <c r="F474" s="359"/>
      <c r="G474" s="359"/>
      <c r="H474" s="359"/>
      <c r="I474" s="359"/>
      <c r="J474" s="359"/>
      <c r="K474" s="359"/>
      <c r="L474" s="359"/>
      <c r="M474" s="359"/>
      <c r="N474" s="359"/>
      <c r="O474" s="359"/>
      <c r="P474" s="359"/>
      <c r="Q474" s="359"/>
      <c r="R474" s="359"/>
      <c r="S474" s="359"/>
      <c r="T474" s="359"/>
      <c r="U474" s="359"/>
      <c r="V474" s="359"/>
      <c r="W474" s="359"/>
      <c r="X474" s="359"/>
      <c r="Y474" s="359"/>
      <c r="Z474" s="359"/>
      <c r="AA474" s="359"/>
      <c r="AB474" s="359"/>
      <c r="AC474" s="359"/>
      <c r="AD474" s="359"/>
      <c r="AE474" s="359"/>
      <c r="AF474" s="359"/>
      <c r="AG474" s="359"/>
      <c r="AH474" s="359"/>
      <c r="AI474" s="359"/>
      <c r="AJ474" s="359"/>
      <c r="AK474" s="359"/>
      <c r="AL474" s="359"/>
      <c r="AM474" s="359"/>
      <c r="AN474" s="359"/>
      <c r="AO474" s="359"/>
      <c r="AP474" s="359"/>
      <c r="AQ474" s="359"/>
      <c r="AR474" s="359"/>
      <c r="AS474" s="359"/>
      <c r="AT474" s="359"/>
      <c r="AU474" s="359"/>
      <c r="AV474" s="359"/>
      <c r="AW474" s="359"/>
      <c r="AY474" s="962"/>
      <c r="AZ474" s="962"/>
      <c r="BA474" s="1303"/>
      <c r="BB474" s="625"/>
    </row>
    <row r="475" spans="3:54">
      <c r="C475" s="359"/>
      <c r="D475" s="3143"/>
      <c r="F475" s="359"/>
      <c r="G475" s="359"/>
      <c r="H475" s="359"/>
      <c r="I475" s="359"/>
      <c r="J475" s="359"/>
      <c r="K475" s="359"/>
      <c r="L475" s="359"/>
      <c r="M475" s="359"/>
      <c r="N475" s="359"/>
      <c r="O475" s="359"/>
      <c r="P475" s="359"/>
      <c r="Q475" s="359"/>
      <c r="R475" s="359"/>
      <c r="S475" s="359"/>
      <c r="T475" s="359"/>
      <c r="U475" s="359"/>
      <c r="V475" s="359"/>
      <c r="W475" s="359"/>
      <c r="X475" s="359"/>
      <c r="Y475" s="359"/>
      <c r="Z475" s="359"/>
      <c r="AA475" s="359"/>
      <c r="AB475" s="359"/>
      <c r="AC475" s="359"/>
      <c r="AD475" s="359"/>
      <c r="AE475" s="359"/>
      <c r="AF475" s="359"/>
      <c r="AG475" s="359"/>
      <c r="AH475" s="359"/>
      <c r="AI475" s="359"/>
      <c r="AJ475" s="359"/>
      <c r="AK475" s="359"/>
      <c r="AL475" s="359"/>
      <c r="AM475" s="359"/>
      <c r="AN475" s="359"/>
      <c r="AO475" s="359"/>
      <c r="AP475" s="359"/>
      <c r="AQ475" s="359"/>
      <c r="AR475" s="359"/>
      <c r="AS475" s="359"/>
      <c r="AT475" s="359"/>
      <c r="AU475" s="359"/>
      <c r="AV475" s="359"/>
      <c r="AW475" s="359"/>
      <c r="AY475" s="962"/>
      <c r="AZ475" s="962"/>
      <c r="BA475" s="1303"/>
      <c r="BB475" s="625"/>
    </row>
    <row r="476" spans="3:54">
      <c r="C476" s="359"/>
      <c r="D476" s="3143"/>
      <c r="F476" s="359"/>
      <c r="G476" s="359"/>
      <c r="H476" s="359"/>
      <c r="I476" s="359"/>
      <c r="J476" s="359"/>
      <c r="K476" s="359"/>
      <c r="L476" s="359"/>
      <c r="M476" s="359"/>
      <c r="N476" s="359"/>
      <c r="O476" s="359"/>
      <c r="P476" s="359"/>
      <c r="Q476" s="359"/>
      <c r="R476" s="359"/>
      <c r="S476" s="359"/>
      <c r="T476" s="359"/>
      <c r="U476" s="359"/>
      <c r="V476" s="359"/>
      <c r="W476" s="359"/>
      <c r="X476" s="359"/>
      <c r="Y476" s="359"/>
      <c r="Z476" s="359"/>
      <c r="AA476" s="359"/>
      <c r="AB476" s="359"/>
      <c r="AC476" s="359"/>
      <c r="AD476" s="359"/>
      <c r="AE476" s="359"/>
      <c r="AF476" s="359"/>
      <c r="AG476" s="359"/>
      <c r="AH476" s="359"/>
      <c r="AI476" s="359"/>
      <c r="AJ476" s="359"/>
      <c r="AK476" s="359"/>
      <c r="AL476" s="359"/>
      <c r="AM476" s="359"/>
      <c r="AN476" s="359"/>
      <c r="AO476" s="359"/>
      <c r="AP476" s="359"/>
      <c r="AQ476" s="359"/>
      <c r="AR476" s="359"/>
      <c r="AS476" s="359"/>
      <c r="AT476" s="359"/>
      <c r="AU476" s="359"/>
      <c r="AV476" s="359"/>
      <c r="AW476" s="359"/>
      <c r="AY476" s="962"/>
      <c r="AZ476" s="962"/>
      <c r="BA476" s="1303"/>
      <c r="BB476" s="625"/>
    </row>
    <row r="477" spans="3:54">
      <c r="C477" s="359"/>
      <c r="D477" s="3143"/>
      <c r="F477" s="359"/>
      <c r="G477" s="359"/>
      <c r="H477" s="359"/>
      <c r="I477" s="359"/>
      <c r="J477" s="359"/>
      <c r="K477" s="359"/>
      <c r="L477" s="359"/>
      <c r="M477" s="359"/>
      <c r="N477" s="359"/>
      <c r="O477" s="359"/>
      <c r="P477" s="359"/>
      <c r="Q477" s="359"/>
      <c r="R477" s="359"/>
      <c r="S477" s="359"/>
      <c r="T477" s="359"/>
      <c r="U477" s="359"/>
      <c r="V477" s="359"/>
      <c r="W477" s="359"/>
      <c r="X477" s="359"/>
      <c r="Y477" s="359"/>
      <c r="Z477" s="359"/>
      <c r="AA477" s="359"/>
      <c r="AB477" s="359"/>
      <c r="AC477" s="359"/>
      <c r="AD477" s="359"/>
      <c r="AE477" s="359"/>
      <c r="AF477" s="359"/>
      <c r="AG477" s="359"/>
      <c r="AH477" s="359"/>
      <c r="AI477" s="359"/>
      <c r="AJ477" s="359"/>
      <c r="AK477" s="359"/>
      <c r="AL477" s="359"/>
      <c r="AM477" s="359"/>
      <c r="AN477" s="359"/>
      <c r="AO477" s="359"/>
      <c r="AP477" s="359"/>
      <c r="AQ477" s="359"/>
      <c r="AR477" s="359"/>
      <c r="AS477" s="359"/>
      <c r="AT477" s="359"/>
      <c r="AU477" s="359"/>
      <c r="AV477" s="359"/>
      <c r="AW477" s="359"/>
      <c r="AY477" s="962"/>
      <c r="AZ477" s="962"/>
      <c r="BA477" s="1303"/>
      <c r="BB477" s="625"/>
    </row>
    <row r="478" spans="3:54">
      <c r="C478" s="359"/>
      <c r="D478" s="3143"/>
      <c r="F478" s="359"/>
      <c r="G478" s="359"/>
      <c r="H478" s="359"/>
      <c r="I478" s="359"/>
      <c r="J478" s="359"/>
      <c r="K478" s="359"/>
      <c r="L478" s="359"/>
      <c r="M478" s="359"/>
      <c r="N478" s="359"/>
      <c r="O478" s="359"/>
      <c r="P478" s="359"/>
      <c r="Q478" s="359"/>
      <c r="R478" s="359"/>
      <c r="S478" s="359"/>
      <c r="T478" s="359"/>
      <c r="U478" s="359"/>
      <c r="V478" s="359"/>
      <c r="W478" s="359"/>
      <c r="X478" s="359"/>
      <c r="Y478" s="359"/>
      <c r="Z478" s="359"/>
      <c r="AA478" s="359"/>
      <c r="AB478" s="359"/>
      <c r="AC478" s="359"/>
      <c r="AD478" s="359"/>
      <c r="AE478" s="359"/>
      <c r="AF478" s="359"/>
      <c r="AG478" s="359"/>
      <c r="AH478" s="359"/>
      <c r="AI478" s="359"/>
      <c r="AJ478" s="359"/>
      <c r="AK478" s="359"/>
      <c r="AL478" s="359"/>
      <c r="AM478" s="359"/>
      <c r="AN478" s="359"/>
      <c r="AO478" s="359"/>
      <c r="AP478" s="359"/>
      <c r="AQ478" s="359"/>
      <c r="AR478" s="359"/>
      <c r="AS478" s="359"/>
      <c r="AT478" s="359"/>
      <c r="AU478" s="359"/>
      <c r="AV478" s="359"/>
      <c r="AW478" s="359"/>
      <c r="AY478" s="962"/>
      <c r="AZ478" s="962"/>
      <c r="BA478" s="1303"/>
      <c r="BB478" s="625"/>
    </row>
    <row r="479" spans="3:54">
      <c r="C479" s="359"/>
      <c r="D479" s="3143"/>
      <c r="F479" s="359"/>
      <c r="G479" s="359"/>
      <c r="H479" s="359"/>
      <c r="I479" s="359"/>
      <c r="J479" s="359"/>
      <c r="K479" s="359"/>
      <c r="L479" s="359"/>
      <c r="M479" s="359"/>
      <c r="N479" s="359"/>
      <c r="O479" s="359"/>
      <c r="P479" s="359"/>
      <c r="Q479" s="359"/>
      <c r="R479" s="359"/>
      <c r="S479" s="359"/>
      <c r="T479" s="359"/>
      <c r="U479" s="359"/>
      <c r="V479" s="359"/>
      <c r="W479" s="359"/>
      <c r="X479" s="359"/>
      <c r="Y479" s="359"/>
      <c r="Z479" s="359"/>
      <c r="AA479" s="359"/>
      <c r="AB479" s="359"/>
      <c r="AC479" s="359"/>
      <c r="AD479" s="359"/>
      <c r="AE479" s="359"/>
      <c r="AF479" s="359"/>
      <c r="AG479" s="359"/>
      <c r="AH479" s="359"/>
      <c r="AI479" s="359"/>
      <c r="AJ479" s="359"/>
      <c r="AK479" s="359"/>
      <c r="AL479" s="359"/>
      <c r="AM479" s="359"/>
      <c r="AN479" s="359"/>
      <c r="AO479" s="359"/>
      <c r="AP479" s="359"/>
      <c r="AQ479" s="359"/>
      <c r="AR479" s="359"/>
      <c r="AS479" s="359"/>
      <c r="AT479" s="359"/>
      <c r="AU479" s="359"/>
      <c r="AV479" s="359"/>
      <c r="AW479" s="359"/>
      <c r="AY479" s="962"/>
      <c r="AZ479" s="962"/>
      <c r="BA479" s="1303"/>
      <c r="BB479" s="625"/>
    </row>
    <row r="480" spans="3:54">
      <c r="C480" s="359"/>
      <c r="D480" s="260"/>
      <c r="F480" s="359"/>
      <c r="G480" s="359"/>
      <c r="H480" s="359"/>
      <c r="I480" s="359"/>
      <c r="J480" s="359"/>
      <c r="K480" s="359"/>
      <c r="L480" s="359"/>
      <c r="M480" s="359"/>
      <c r="N480" s="359"/>
      <c r="O480" s="359"/>
      <c r="P480" s="359"/>
      <c r="Q480" s="359"/>
      <c r="R480" s="359"/>
      <c r="S480" s="359"/>
      <c r="T480" s="359"/>
      <c r="U480" s="359"/>
      <c r="V480" s="359"/>
      <c r="W480" s="359"/>
      <c r="X480" s="359"/>
      <c r="Y480" s="359"/>
      <c r="Z480" s="359"/>
      <c r="AA480" s="359"/>
      <c r="AB480" s="359"/>
      <c r="AC480" s="359"/>
      <c r="AD480" s="359"/>
      <c r="AE480" s="359"/>
      <c r="AF480" s="359"/>
      <c r="AG480" s="359"/>
      <c r="AH480" s="359"/>
      <c r="AI480" s="359"/>
      <c r="AJ480" s="359"/>
      <c r="AK480" s="359"/>
      <c r="AL480" s="359"/>
      <c r="AM480" s="359"/>
      <c r="AN480" s="359"/>
      <c r="AO480" s="359"/>
      <c r="AP480" s="359"/>
      <c r="AQ480" s="359"/>
      <c r="AR480" s="359"/>
      <c r="AS480" s="359"/>
      <c r="AT480" s="359"/>
      <c r="AU480" s="359"/>
      <c r="AV480" s="359"/>
      <c r="AW480" s="359"/>
      <c r="AY480" s="962"/>
      <c r="AZ480" s="962"/>
      <c r="BA480" s="1303"/>
      <c r="BB480" s="625"/>
    </row>
    <row r="481" spans="3:54">
      <c r="C481" s="359"/>
      <c r="D481" s="260"/>
      <c r="F481" s="359"/>
      <c r="G481" s="359"/>
      <c r="H481" s="359"/>
      <c r="I481" s="359"/>
      <c r="J481" s="359"/>
      <c r="K481" s="359"/>
      <c r="L481" s="359"/>
      <c r="M481" s="359"/>
      <c r="N481" s="359"/>
      <c r="O481" s="359"/>
      <c r="P481" s="359"/>
      <c r="Q481" s="359"/>
      <c r="R481" s="359"/>
      <c r="S481" s="359"/>
      <c r="T481" s="359"/>
      <c r="U481" s="359"/>
      <c r="V481" s="359"/>
      <c r="W481" s="359"/>
      <c r="X481" s="359"/>
      <c r="Y481" s="359"/>
      <c r="Z481" s="359"/>
      <c r="AA481" s="359"/>
      <c r="AB481" s="359"/>
      <c r="AC481" s="359"/>
      <c r="AD481" s="359"/>
      <c r="AE481" s="359"/>
      <c r="AF481" s="359"/>
      <c r="AG481" s="359"/>
      <c r="AH481" s="359"/>
      <c r="AI481" s="359"/>
      <c r="AJ481" s="359"/>
      <c r="AK481" s="359"/>
      <c r="AL481" s="359"/>
      <c r="AM481" s="359"/>
      <c r="AN481" s="359"/>
      <c r="AO481" s="359"/>
      <c r="AP481" s="359"/>
      <c r="AQ481" s="359"/>
      <c r="AR481" s="359"/>
      <c r="AS481" s="359"/>
      <c r="AT481" s="359"/>
      <c r="AU481" s="359"/>
      <c r="AV481" s="359"/>
      <c r="AW481" s="359"/>
      <c r="AY481" s="962"/>
      <c r="AZ481" s="962"/>
      <c r="BA481" s="1303"/>
      <c r="BB481" s="625"/>
    </row>
    <row r="482" spans="3:54">
      <c r="C482" s="359"/>
      <c r="D482" s="260"/>
      <c r="F482" s="359"/>
      <c r="G482" s="359"/>
      <c r="H482" s="359"/>
      <c r="I482" s="359"/>
      <c r="J482" s="359"/>
      <c r="K482" s="359"/>
      <c r="L482" s="359"/>
      <c r="M482" s="359"/>
      <c r="N482" s="359"/>
      <c r="O482" s="359"/>
      <c r="P482" s="359"/>
      <c r="Q482" s="359"/>
      <c r="R482" s="359"/>
      <c r="S482" s="359"/>
      <c r="T482" s="359"/>
      <c r="U482" s="359"/>
      <c r="V482" s="359"/>
      <c r="W482" s="359"/>
      <c r="X482" s="359"/>
      <c r="Y482" s="359"/>
      <c r="Z482" s="359"/>
      <c r="AA482" s="359"/>
      <c r="AB482" s="359"/>
      <c r="AC482" s="359"/>
      <c r="AD482" s="359"/>
      <c r="AE482" s="359"/>
      <c r="AF482" s="359"/>
      <c r="AG482" s="359"/>
      <c r="AH482" s="359"/>
      <c r="AI482" s="359"/>
      <c r="AJ482" s="359"/>
      <c r="AK482" s="359"/>
      <c r="AL482" s="359"/>
      <c r="AM482" s="359"/>
      <c r="AN482" s="359"/>
      <c r="AO482" s="359"/>
      <c r="AP482" s="359"/>
      <c r="AQ482" s="359"/>
      <c r="AR482" s="359"/>
      <c r="AS482" s="359"/>
      <c r="AT482" s="359"/>
      <c r="AU482" s="359"/>
      <c r="AV482" s="359"/>
      <c r="AW482" s="359"/>
      <c r="AY482" s="962"/>
      <c r="AZ482" s="962"/>
      <c r="BA482" s="1303"/>
      <c r="BB482" s="625"/>
    </row>
    <row r="483" spans="3:54">
      <c r="C483" s="359"/>
      <c r="D483" s="260"/>
      <c r="F483" s="359"/>
      <c r="G483" s="359"/>
      <c r="H483" s="359"/>
      <c r="I483" s="359"/>
      <c r="J483" s="359"/>
      <c r="K483" s="359"/>
      <c r="L483" s="359"/>
      <c r="M483" s="359"/>
      <c r="N483" s="359"/>
      <c r="O483" s="359"/>
      <c r="P483" s="359"/>
      <c r="Q483" s="359"/>
      <c r="R483" s="359"/>
      <c r="S483" s="359"/>
      <c r="T483" s="359"/>
      <c r="U483" s="359"/>
      <c r="V483" s="359"/>
      <c r="W483" s="359"/>
      <c r="X483" s="359"/>
      <c r="Y483" s="359"/>
      <c r="Z483" s="359"/>
      <c r="AA483" s="359"/>
      <c r="AB483" s="359"/>
      <c r="AC483" s="359"/>
      <c r="AD483" s="359"/>
      <c r="AE483" s="359"/>
      <c r="AF483" s="359"/>
      <c r="AG483" s="359"/>
      <c r="AH483" s="359"/>
      <c r="AI483" s="359"/>
      <c r="AJ483" s="359"/>
      <c r="AK483" s="359"/>
      <c r="AL483" s="359"/>
      <c r="AM483" s="359"/>
      <c r="AN483" s="359"/>
      <c r="AO483" s="359"/>
      <c r="AP483" s="359"/>
      <c r="AQ483" s="359"/>
      <c r="AR483" s="359"/>
      <c r="AS483" s="359"/>
      <c r="AT483" s="359"/>
      <c r="AU483" s="359"/>
      <c r="AV483" s="359"/>
      <c r="AW483" s="359"/>
      <c r="AY483" s="962"/>
      <c r="AZ483" s="962"/>
      <c r="BA483" s="1303"/>
      <c r="BB483" s="625"/>
    </row>
    <row r="484" spans="3:54">
      <c r="C484" s="359"/>
      <c r="D484" s="260"/>
      <c r="F484" s="359"/>
      <c r="G484" s="359"/>
      <c r="H484" s="359"/>
      <c r="I484" s="359"/>
      <c r="J484" s="359"/>
      <c r="K484" s="359"/>
      <c r="L484" s="359"/>
      <c r="M484" s="359"/>
      <c r="N484" s="359"/>
      <c r="O484" s="359"/>
      <c r="P484" s="359"/>
      <c r="Q484" s="359"/>
      <c r="R484" s="359"/>
      <c r="S484" s="359"/>
      <c r="T484" s="359"/>
      <c r="U484" s="359"/>
      <c r="V484" s="359"/>
      <c r="W484" s="359"/>
      <c r="X484" s="359"/>
      <c r="Y484" s="359"/>
      <c r="Z484" s="359"/>
      <c r="AA484" s="359"/>
      <c r="AB484" s="359"/>
      <c r="AC484" s="359"/>
      <c r="AD484" s="359"/>
      <c r="AE484" s="359"/>
      <c r="AF484" s="359"/>
      <c r="AG484" s="359"/>
      <c r="AH484" s="359"/>
      <c r="AI484" s="359"/>
      <c r="AJ484" s="359"/>
      <c r="AK484" s="359"/>
      <c r="AL484" s="359"/>
      <c r="AM484" s="359"/>
      <c r="AN484" s="359"/>
      <c r="AO484" s="359"/>
      <c r="AP484" s="359"/>
      <c r="AQ484" s="359"/>
      <c r="AR484" s="359"/>
      <c r="AS484" s="359"/>
      <c r="AT484" s="359"/>
      <c r="AU484" s="359"/>
      <c r="AV484" s="359"/>
      <c r="AW484" s="359"/>
      <c r="AY484" s="962"/>
      <c r="AZ484" s="962"/>
      <c r="BA484" s="1303"/>
      <c r="BB484" s="625"/>
    </row>
    <row r="485" spans="3:54">
      <c r="C485" s="359"/>
      <c r="D485" s="260"/>
      <c r="F485" s="359"/>
      <c r="G485" s="359"/>
      <c r="H485" s="359"/>
      <c r="I485" s="359"/>
      <c r="J485" s="359"/>
      <c r="K485" s="359"/>
      <c r="L485" s="359"/>
      <c r="M485" s="359"/>
      <c r="N485" s="359"/>
      <c r="O485" s="359"/>
      <c r="P485" s="359"/>
      <c r="Q485" s="359"/>
      <c r="R485" s="359"/>
      <c r="S485" s="359"/>
      <c r="T485" s="359"/>
      <c r="U485" s="359"/>
      <c r="V485" s="359"/>
      <c r="W485" s="359"/>
      <c r="X485" s="359"/>
      <c r="Y485" s="359"/>
      <c r="Z485" s="359"/>
      <c r="AA485" s="359"/>
      <c r="AB485" s="359"/>
      <c r="AC485" s="359"/>
      <c r="AD485" s="359"/>
      <c r="AE485" s="359"/>
      <c r="AF485" s="359"/>
      <c r="AG485" s="359"/>
      <c r="AH485" s="359"/>
      <c r="AI485" s="359"/>
      <c r="AJ485" s="359"/>
      <c r="AK485" s="359"/>
      <c r="AL485" s="359"/>
      <c r="AM485" s="359"/>
      <c r="AN485" s="359"/>
      <c r="AO485" s="359"/>
      <c r="AP485" s="359"/>
      <c r="AQ485" s="359"/>
      <c r="AR485" s="359"/>
      <c r="AS485" s="359"/>
      <c r="AT485" s="359"/>
      <c r="AU485" s="359"/>
      <c r="AV485" s="359"/>
      <c r="AW485" s="359"/>
      <c r="AY485" s="962"/>
      <c r="AZ485" s="962"/>
      <c r="BA485" s="1303"/>
      <c r="BB485" s="625"/>
    </row>
    <row r="486" spans="3:54">
      <c r="C486" s="359"/>
      <c r="D486" s="260"/>
      <c r="F486" s="359"/>
      <c r="G486" s="359"/>
      <c r="H486" s="359"/>
      <c r="I486" s="359"/>
      <c r="J486" s="359"/>
      <c r="K486" s="359"/>
      <c r="L486" s="359"/>
      <c r="M486" s="359"/>
      <c r="N486" s="359"/>
      <c r="O486" s="359"/>
      <c r="P486" s="359"/>
      <c r="Q486" s="359"/>
      <c r="R486" s="359"/>
      <c r="S486" s="359"/>
      <c r="T486" s="359"/>
      <c r="U486" s="359"/>
      <c r="V486" s="359"/>
      <c r="W486" s="359"/>
      <c r="X486" s="359"/>
      <c r="Y486" s="359"/>
      <c r="Z486" s="359"/>
      <c r="AA486" s="359"/>
      <c r="AB486" s="359"/>
      <c r="AC486" s="359"/>
      <c r="AD486" s="359"/>
      <c r="AE486" s="359"/>
      <c r="AF486" s="359"/>
      <c r="AG486" s="359"/>
      <c r="AH486" s="359"/>
      <c r="AI486" s="359"/>
      <c r="AJ486" s="359"/>
      <c r="AK486" s="359"/>
      <c r="AL486" s="359"/>
      <c r="AM486" s="359"/>
      <c r="AN486" s="359"/>
      <c r="AO486" s="359"/>
      <c r="AP486" s="359"/>
      <c r="AQ486" s="359"/>
      <c r="AR486" s="359"/>
      <c r="AS486" s="359"/>
      <c r="AT486" s="359"/>
      <c r="AU486" s="359"/>
      <c r="AV486" s="359"/>
      <c r="AW486" s="359"/>
      <c r="AY486" s="962"/>
      <c r="AZ486" s="962"/>
      <c r="BA486" s="1303"/>
      <c r="BB486" s="625"/>
    </row>
    <row r="487" spans="3:54">
      <c r="C487" s="359"/>
      <c r="D487" s="260"/>
      <c r="F487" s="359"/>
      <c r="G487" s="359"/>
      <c r="H487" s="359"/>
      <c r="I487" s="359"/>
      <c r="J487" s="359"/>
      <c r="K487" s="359"/>
      <c r="L487" s="359"/>
      <c r="M487" s="359"/>
      <c r="N487" s="359"/>
      <c r="O487" s="359"/>
      <c r="P487" s="359"/>
      <c r="Q487" s="359"/>
      <c r="R487" s="359"/>
      <c r="S487" s="359"/>
      <c r="T487" s="359"/>
      <c r="U487" s="359"/>
      <c r="V487" s="359"/>
      <c r="W487" s="359"/>
      <c r="X487" s="359"/>
      <c r="Y487" s="359"/>
      <c r="Z487" s="359"/>
      <c r="AA487" s="359"/>
      <c r="AB487" s="359"/>
      <c r="AC487" s="359"/>
      <c r="AD487" s="359"/>
      <c r="AE487" s="359"/>
      <c r="AF487" s="359"/>
      <c r="AG487" s="359"/>
      <c r="AH487" s="359"/>
      <c r="AI487" s="359"/>
      <c r="AJ487" s="359"/>
      <c r="AK487" s="359"/>
      <c r="AL487" s="359"/>
      <c r="AM487" s="359"/>
      <c r="AN487" s="359"/>
      <c r="AO487" s="359"/>
      <c r="AP487" s="359"/>
      <c r="AQ487" s="359"/>
      <c r="AR487" s="359"/>
      <c r="AS487" s="359"/>
      <c r="AT487" s="359"/>
      <c r="AU487" s="359"/>
      <c r="AV487" s="359"/>
      <c r="AW487" s="359"/>
      <c r="AY487" s="962"/>
      <c r="AZ487" s="962"/>
      <c r="BA487" s="1303"/>
      <c r="BB487" s="625"/>
    </row>
    <row r="488" spans="3:54">
      <c r="C488" s="359"/>
      <c r="D488" s="260"/>
      <c r="F488" s="359"/>
      <c r="G488" s="359"/>
      <c r="H488" s="359"/>
      <c r="I488" s="359"/>
      <c r="J488" s="359"/>
      <c r="K488" s="359"/>
      <c r="L488" s="359"/>
      <c r="M488" s="359"/>
      <c r="N488" s="359"/>
      <c r="O488" s="359"/>
      <c r="P488" s="359"/>
      <c r="Q488" s="359"/>
      <c r="R488" s="359"/>
      <c r="S488" s="359"/>
      <c r="T488" s="359"/>
      <c r="U488" s="359"/>
      <c r="V488" s="359"/>
      <c r="W488" s="359"/>
      <c r="X488" s="359"/>
      <c r="Y488" s="359"/>
      <c r="Z488" s="359"/>
      <c r="AA488" s="359"/>
      <c r="AB488" s="359"/>
      <c r="AC488" s="359"/>
      <c r="AD488" s="359"/>
      <c r="AE488" s="359"/>
      <c r="AF488" s="359"/>
      <c r="AG488" s="359"/>
      <c r="AH488" s="359"/>
      <c r="AI488" s="359"/>
      <c r="AJ488" s="359"/>
      <c r="AK488" s="359"/>
      <c r="AL488" s="359"/>
      <c r="AM488" s="359"/>
      <c r="AN488" s="359"/>
      <c r="AO488" s="359"/>
      <c r="AP488" s="359"/>
      <c r="AQ488" s="359"/>
      <c r="AR488" s="359"/>
      <c r="AS488" s="359"/>
      <c r="AT488" s="359"/>
      <c r="AU488" s="359"/>
      <c r="AV488" s="359"/>
      <c r="AW488" s="359"/>
      <c r="AY488" s="962"/>
      <c r="AZ488" s="962"/>
      <c r="BA488" s="1303"/>
      <c r="BB488" s="625"/>
    </row>
    <row r="489" spans="3:54">
      <c r="AY489" s="962"/>
      <c r="AZ489" s="962"/>
      <c r="BA489" s="1303"/>
      <c r="BB489" s="625"/>
    </row>
    <row r="490" spans="3:54">
      <c r="AY490" s="962"/>
      <c r="AZ490" s="962"/>
    </row>
    <row r="491" spans="3:54">
      <c r="AY491" s="962"/>
      <c r="AZ491" s="962"/>
      <c r="BA491" s="1303"/>
      <c r="BB491" s="625"/>
    </row>
    <row r="492" spans="3:54">
      <c r="AY492" s="962"/>
      <c r="AZ492" s="962"/>
      <c r="BA492" s="1303"/>
      <c r="BB492" s="624"/>
    </row>
    <row r="493" spans="3:54">
      <c r="AY493" s="1306"/>
      <c r="AZ493" s="1306"/>
      <c r="BA493" s="1303"/>
      <c r="BB493" s="625"/>
    </row>
    <row r="494" spans="3:54">
      <c r="AY494" s="1306"/>
      <c r="AZ494" s="1306"/>
      <c r="BA494" s="1303"/>
      <c r="BB494" s="625"/>
    </row>
    <row r="495" spans="3:54">
      <c r="AY495" s="962"/>
      <c r="AZ495" s="962"/>
      <c r="BA495" s="1303"/>
      <c r="BB495" s="625"/>
    </row>
    <row r="496" spans="3:54">
      <c r="AY496" s="962"/>
      <c r="AZ496" s="962"/>
      <c r="BA496" s="1303"/>
    </row>
    <row r="497" spans="51:54">
      <c r="AY497" s="962"/>
      <c r="AZ497" s="962"/>
      <c r="BA497" s="1303"/>
      <c r="BB497" s="625"/>
    </row>
    <row r="498" spans="51:54">
      <c r="AY498" s="962"/>
      <c r="AZ498" s="962"/>
      <c r="BA498" s="1303"/>
    </row>
    <row r="499" spans="51:54">
      <c r="AY499" s="962"/>
      <c r="AZ499" s="962"/>
      <c r="BA499" s="1303"/>
      <c r="BB499" s="625"/>
    </row>
    <row r="500" spans="51:54">
      <c r="AY500" s="962"/>
      <c r="AZ500" s="962"/>
      <c r="BA500" s="1303"/>
      <c r="BB500" s="625"/>
    </row>
    <row r="501" spans="51:54">
      <c r="AY501" s="962"/>
      <c r="AZ501" s="962"/>
      <c r="BA501" s="1303"/>
      <c r="BB501" s="625"/>
    </row>
    <row r="502" spans="51:54">
      <c r="AY502" s="962"/>
      <c r="AZ502" s="962"/>
      <c r="BA502" s="1303"/>
      <c r="BB502" s="625"/>
    </row>
    <row r="503" spans="51:54">
      <c r="AY503" s="962"/>
      <c r="AZ503" s="962"/>
      <c r="BA503" s="1303"/>
      <c r="BB503" s="625"/>
    </row>
    <row r="504" spans="51:54">
      <c r="AY504" s="962"/>
      <c r="AZ504" s="962"/>
      <c r="BA504" s="1303"/>
      <c r="BB504" s="625"/>
    </row>
    <row r="505" spans="51:54">
      <c r="AY505" s="962"/>
      <c r="AZ505" s="962"/>
      <c r="BA505" s="1303"/>
      <c r="BB505" s="624"/>
    </row>
    <row r="506" spans="51:54">
      <c r="AY506" s="962"/>
      <c r="AZ506" s="962"/>
      <c r="BA506" s="1303"/>
      <c r="BB506" s="625"/>
    </row>
    <row r="507" spans="51:54">
      <c r="AY507" s="962"/>
      <c r="AZ507" s="962"/>
      <c r="BA507" s="1303"/>
      <c r="BB507" s="625"/>
    </row>
    <row r="508" spans="51:54">
      <c r="AY508" s="962"/>
      <c r="AZ508" s="962"/>
      <c r="BA508" s="1303"/>
      <c r="BB508" s="625"/>
    </row>
    <row r="509" spans="51:54">
      <c r="AY509" s="962"/>
      <c r="AZ509" s="962"/>
      <c r="BA509" s="1303"/>
      <c r="BB509" s="625"/>
    </row>
    <row r="510" spans="51:54">
      <c r="AY510" s="962"/>
      <c r="AZ510" s="962"/>
      <c r="BA510" s="1303"/>
      <c r="BB510" s="625"/>
    </row>
    <row r="511" spans="51:54">
      <c r="AY511" s="962"/>
      <c r="AZ511" s="962"/>
      <c r="BA511" s="1303"/>
      <c r="BB511" s="625"/>
    </row>
    <row r="512" spans="51:54">
      <c r="AY512" s="962"/>
      <c r="AZ512" s="962"/>
      <c r="BA512" s="1303"/>
    </row>
    <row r="513" spans="51:54">
      <c r="AY513" s="962"/>
      <c r="AZ513" s="962"/>
      <c r="BA513" s="1303"/>
      <c r="BB513" s="625"/>
    </row>
    <row r="514" spans="51:54">
      <c r="AY514" s="962"/>
      <c r="AZ514" s="962"/>
      <c r="BA514" s="1303"/>
      <c r="BB514" s="625"/>
    </row>
    <row r="515" spans="51:54">
      <c r="AY515" s="962"/>
      <c r="AZ515" s="962"/>
      <c r="BA515" s="1303"/>
      <c r="BB515" s="625"/>
    </row>
    <row r="516" spans="51:54">
      <c r="AY516" s="962"/>
      <c r="AZ516" s="962"/>
      <c r="BA516" s="1303"/>
      <c r="BB516" s="625"/>
    </row>
    <row r="517" spans="51:54">
      <c r="AY517" s="962"/>
      <c r="AZ517" s="962"/>
      <c r="BA517" s="1303"/>
      <c r="BB517" s="625"/>
    </row>
    <row r="518" spans="51:54">
      <c r="AY518" s="962"/>
      <c r="AZ518" s="962"/>
      <c r="BA518" s="1303"/>
      <c r="BB518" s="624"/>
    </row>
    <row r="519" spans="51:54">
      <c r="AY519" s="962"/>
      <c r="AZ519" s="962"/>
      <c r="BA519" s="1303"/>
      <c r="BB519" s="625"/>
    </row>
    <row r="520" spans="51:54">
      <c r="AY520" s="1304"/>
      <c r="AZ520" s="1304"/>
      <c r="BA520" s="1303"/>
      <c r="BB520" s="625"/>
    </row>
    <row r="521" spans="51:54">
      <c r="AY521" s="962"/>
      <c r="AZ521" s="962"/>
      <c r="BA521" s="1303"/>
      <c r="BB521" s="625"/>
    </row>
    <row r="522" spans="51:54">
      <c r="AY522" s="1304"/>
      <c r="AZ522" s="1304"/>
      <c r="BA522" s="1303"/>
      <c r="BB522" s="625"/>
    </row>
    <row r="523" spans="51:54">
      <c r="AY523" s="1304"/>
      <c r="AZ523" s="1304"/>
      <c r="BA523" s="1303"/>
      <c r="BB523" s="625"/>
    </row>
    <row r="524" spans="51:54">
      <c r="AY524" s="1304"/>
      <c r="AZ524" s="1304"/>
      <c r="BA524" s="1303"/>
      <c r="BB524" s="625"/>
    </row>
    <row r="525" spans="51:54">
      <c r="AY525" s="1304"/>
      <c r="AZ525" s="1304"/>
      <c r="BA525" s="1303"/>
      <c r="BB525" s="625"/>
    </row>
    <row r="526" spans="51:54">
      <c r="AY526" s="1304"/>
      <c r="AZ526" s="1304"/>
    </row>
    <row r="527" spans="51:54">
      <c r="AY527" s="1304"/>
      <c r="AZ527" s="1304"/>
    </row>
    <row r="528" spans="51:54">
      <c r="AY528" s="962"/>
      <c r="AZ528" s="962"/>
    </row>
    <row r="529" spans="51:52">
      <c r="AY529" s="962"/>
      <c r="AZ529" s="962"/>
    </row>
    <row r="530" spans="51:52">
      <c r="AY530" s="962"/>
      <c r="AZ530" s="962"/>
    </row>
    <row r="531" spans="51:52">
      <c r="AY531" s="962"/>
      <c r="AZ531" s="962"/>
    </row>
    <row r="532" spans="51:52">
      <c r="AY532" s="962"/>
      <c r="AZ532" s="962"/>
    </row>
    <row r="533" spans="51:52">
      <c r="AY533" s="962"/>
      <c r="AZ533" s="962"/>
    </row>
    <row r="534" spans="51:52">
      <c r="AY534" s="1304"/>
      <c r="AZ534" s="1304"/>
    </row>
    <row r="535" spans="51:52">
      <c r="AY535" s="1304"/>
      <c r="AZ535" s="1304"/>
    </row>
    <row r="536" spans="51:52">
      <c r="AY536" s="1304"/>
      <c r="AZ536" s="1304"/>
    </row>
    <row r="537" spans="51:52">
      <c r="AY537" s="1304"/>
      <c r="AZ537" s="1304"/>
    </row>
    <row r="538" spans="51:52">
      <c r="AY538" s="1304"/>
      <c r="AZ538" s="1304"/>
    </row>
    <row r="539" spans="51:52">
      <c r="AY539" s="1304"/>
      <c r="AZ539" s="1304"/>
    </row>
    <row r="540" spans="51:52">
      <c r="AY540" s="962"/>
      <c r="AZ540" s="962"/>
    </row>
    <row r="541" spans="51:52">
      <c r="AY541" s="962"/>
      <c r="AZ541" s="962"/>
    </row>
    <row r="542" spans="51:52">
      <c r="AY542" s="962"/>
      <c r="AZ542" s="962"/>
    </row>
    <row r="543" spans="51:52">
      <c r="AY543" s="962"/>
      <c r="AZ543" s="962"/>
    </row>
    <row r="544" spans="51:52">
      <c r="AY544" s="962"/>
      <c r="AZ544" s="962"/>
    </row>
    <row r="545" spans="51:52">
      <c r="AY545" s="962"/>
      <c r="AZ545" s="962"/>
    </row>
    <row r="546" spans="51:52">
      <c r="AY546" s="962"/>
      <c r="AZ546" s="962"/>
    </row>
    <row r="547" spans="51:52">
      <c r="AY547" s="962"/>
      <c r="AZ547" s="962"/>
    </row>
    <row r="548" spans="51:52">
      <c r="AY548" s="962"/>
      <c r="AZ548" s="962"/>
    </row>
    <row r="549" spans="51:52">
      <c r="AY549" s="962"/>
      <c r="AZ549" s="962"/>
    </row>
    <row r="550" spans="51:52">
      <c r="AY550" s="962"/>
      <c r="AZ550" s="962"/>
    </row>
    <row r="551" spans="51:52">
      <c r="AY551" s="962"/>
      <c r="AZ551" s="962"/>
    </row>
    <row r="552" spans="51:52">
      <c r="AY552" s="962"/>
      <c r="AZ552" s="962"/>
    </row>
    <row r="553" spans="51:52">
      <c r="AY553" s="962"/>
      <c r="AZ553" s="962"/>
    </row>
    <row r="554" spans="51:52">
      <c r="AY554" s="962"/>
      <c r="AZ554" s="962"/>
    </row>
    <row r="555" spans="51:52">
      <c r="AY555" s="962"/>
      <c r="AZ555" s="962"/>
    </row>
    <row r="556" spans="51:52">
      <c r="AY556" s="962"/>
      <c r="AZ556" s="962"/>
    </row>
    <row r="557" spans="51:52">
      <c r="AY557" s="962"/>
      <c r="AZ557" s="962"/>
    </row>
    <row r="558" spans="51:52">
      <c r="AY558" s="962"/>
      <c r="AZ558" s="962"/>
    </row>
    <row r="559" spans="51:52">
      <c r="AY559" s="962"/>
      <c r="AZ559" s="962"/>
    </row>
    <row r="560" spans="51:52">
      <c r="AY560" s="962"/>
      <c r="AZ560" s="962"/>
    </row>
    <row r="561" spans="51:52">
      <c r="AY561" s="962"/>
      <c r="AZ561" s="962"/>
    </row>
    <row r="562" spans="51:52">
      <c r="AY562" s="962"/>
      <c r="AZ562" s="962"/>
    </row>
    <row r="563" spans="51:52">
      <c r="AY563" s="962"/>
      <c r="AZ563" s="962"/>
    </row>
    <row r="564" spans="51:52">
      <c r="AY564" s="962"/>
      <c r="AZ564" s="962"/>
    </row>
    <row r="565" spans="51:52">
      <c r="AY565" s="962"/>
      <c r="AZ565" s="962"/>
    </row>
    <row r="566" spans="51:52">
      <c r="AY566" s="962"/>
      <c r="AZ566" s="962"/>
    </row>
    <row r="567" spans="51:52">
      <c r="AY567" s="962"/>
      <c r="AZ567" s="962"/>
    </row>
    <row r="568" spans="51:52">
      <c r="AY568" s="962"/>
      <c r="AZ568" s="962"/>
    </row>
    <row r="569" spans="51:52">
      <c r="AY569" s="962"/>
      <c r="AZ569" s="962"/>
    </row>
    <row r="570" spans="51:52">
      <c r="AY570" s="962"/>
      <c r="AZ570" s="962"/>
    </row>
    <row r="571" spans="51:52">
      <c r="AY571" s="962"/>
      <c r="AZ571" s="962"/>
    </row>
    <row r="572" spans="51:52">
      <c r="AY572" s="962"/>
      <c r="AZ572" s="962"/>
    </row>
    <row r="573" spans="51:52">
      <c r="AY573" s="962"/>
      <c r="AZ573" s="962"/>
    </row>
    <row r="574" spans="51:52">
      <c r="AY574" s="962"/>
      <c r="AZ574" s="962"/>
    </row>
    <row r="575" spans="51:52">
      <c r="AY575" s="962"/>
      <c r="AZ575" s="962"/>
    </row>
    <row r="576" spans="51:52">
      <c r="AY576" s="962"/>
      <c r="AZ576" s="962"/>
    </row>
    <row r="577" spans="51:52">
      <c r="AY577" s="962"/>
      <c r="AZ577" s="962"/>
    </row>
    <row r="578" spans="51:52">
      <c r="AY578" s="962"/>
      <c r="AZ578" s="962"/>
    </row>
    <row r="579" spans="51:52">
      <c r="AY579" s="962"/>
      <c r="AZ579" s="962"/>
    </row>
  </sheetData>
  <mergeCells count="4">
    <mergeCell ref="BA438:BF438"/>
    <mergeCell ref="D417:E417"/>
    <mergeCell ref="D438:E439"/>
    <mergeCell ref="F438:AZ438"/>
  </mergeCells>
  <pageMargins left="0.70866141732283472" right="0.70866141732283472" top="0.74803149606299213" bottom="0.74803149606299213" header="0.31496062992125984" footer="0.31496062992125984"/>
  <pageSetup paperSize="9" orientation="landscape" r:id="rId1"/>
  <drawing r:id="rId2"/>
</worksheet>
</file>

<file path=xl/worksheets/sheet44.xml><?xml version="1.0" encoding="utf-8"?>
<worksheet xmlns="http://schemas.openxmlformats.org/spreadsheetml/2006/main" xmlns:r="http://schemas.openxmlformats.org/officeDocument/2006/relationships">
  <sheetPr>
    <tabColor theme="9"/>
    <outlinePr summaryBelow="0"/>
    <pageSetUpPr autoPageBreaks="0"/>
  </sheetPr>
  <dimension ref="A1:Z786"/>
  <sheetViews>
    <sheetView showGridLines="0" topLeftCell="A383" workbookViewId="0">
      <selection activeCell="G399" sqref="G399"/>
    </sheetView>
  </sheetViews>
  <sheetFormatPr defaultColWidth="8.85546875" defaultRowHeight="12.75"/>
  <cols>
    <col min="1" max="1" width="7.7109375" style="539" customWidth="1"/>
    <col min="2" max="2" width="8.42578125" style="539" customWidth="1"/>
    <col min="3" max="3" width="20.42578125" style="2959" customWidth="1"/>
    <col min="4" max="4" width="30.7109375" style="2959" customWidth="1"/>
    <col min="5" max="5" width="20.7109375" style="2959" customWidth="1"/>
    <col min="6" max="15" width="17.7109375" style="2959" customWidth="1"/>
    <col min="16" max="16" width="2" style="623" customWidth="1"/>
    <col min="17" max="17" width="10.85546875" style="2959" customWidth="1"/>
    <col min="18" max="16384" width="8.85546875" style="2959"/>
  </cols>
  <sheetData>
    <row r="1" spans="1:16" ht="20.25" customHeight="1">
      <c r="A1" s="1936" t="s">
        <v>197</v>
      </c>
      <c r="B1" s="1937" t="str">
        <f>INDEX(Workstreams[Workstream], MATCH($A1, Workstreams[Code], 0))</f>
        <v>Industry</v>
      </c>
      <c r="C1" s="835"/>
    </row>
    <row r="2" spans="1:16" s="51" customFormat="1" ht="19.5" customHeight="1">
      <c r="A2" s="1938" t="s">
        <v>197</v>
      </c>
      <c r="B2" s="1938" t="str">
        <f>INDEX(Modules[Module], MATCH($A2, Modules[Code], 0))</f>
        <v>Industry</v>
      </c>
      <c r="C2" s="6"/>
      <c r="E2" s="404"/>
      <c r="P2" s="630"/>
    </row>
    <row r="4" spans="1:16" ht="22.5" collapsed="1">
      <c r="A4" s="1939"/>
      <c r="B4" s="1940" t="s">
        <v>412</v>
      </c>
      <c r="C4" s="175"/>
      <c r="D4" s="175"/>
      <c r="E4" s="175"/>
      <c r="F4" s="175"/>
      <c r="G4" s="175"/>
      <c r="H4" s="175"/>
      <c r="I4" s="175"/>
      <c r="J4" s="175"/>
      <c r="K4" s="175"/>
      <c r="L4" s="175"/>
      <c r="M4" s="175"/>
      <c r="N4" s="175"/>
      <c r="O4" s="175"/>
      <c r="P4" s="1941"/>
    </row>
    <row r="5" spans="1:16">
      <c r="B5" s="166"/>
      <c r="C5" s="166"/>
      <c r="D5" s="166"/>
      <c r="E5" s="166"/>
      <c r="F5" s="166"/>
      <c r="G5" s="166"/>
      <c r="H5" s="166"/>
      <c r="I5" s="166"/>
      <c r="J5" s="166"/>
      <c r="K5" s="166"/>
      <c r="L5" s="166"/>
      <c r="M5" s="166"/>
      <c r="N5" s="166"/>
      <c r="O5" s="166"/>
      <c r="P5" s="969"/>
    </row>
    <row r="6" spans="1:16" ht="5.25" customHeight="1">
      <c r="B6" s="166"/>
      <c r="C6" s="165"/>
      <c r="D6" s="166"/>
      <c r="E6" s="167"/>
      <c r="F6" s="166"/>
      <c r="G6" s="166"/>
      <c r="H6" s="166"/>
      <c r="I6" s="166"/>
      <c r="J6" s="166"/>
      <c r="K6" s="166"/>
      <c r="L6" s="166"/>
      <c r="M6" s="166"/>
      <c r="N6" s="166"/>
      <c r="O6" s="166"/>
      <c r="P6" s="969"/>
    </row>
    <row r="7" spans="1:16" ht="15.75">
      <c r="B7" s="1942"/>
      <c r="C7" s="166"/>
      <c r="D7" s="118" t="s">
        <v>274</v>
      </c>
      <c r="E7" s="118" t="s">
        <v>411</v>
      </c>
      <c r="F7" s="166"/>
      <c r="G7" s="166"/>
      <c r="H7" s="166"/>
      <c r="I7" s="166"/>
      <c r="J7" s="166"/>
      <c r="K7" s="166"/>
      <c r="L7" s="166"/>
      <c r="M7" s="166"/>
      <c r="N7" s="166"/>
      <c r="O7" s="166"/>
      <c r="P7" s="969"/>
    </row>
    <row r="8" spans="1:16" ht="15.75">
      <c r="B8" s="1942"/>
      <c r="C8" s="166"/>
      <c r="D8" s="127" t="s">
        <v>414</v>
      </c>
      <c r="E8" s="127">
        <f>XI.scenario</f>
        <v>1</v>
      </c>
      <c r="F8" s="166">
        <f>XI.scenario</f>
        <v>1</v>
      </c>
      <c r="G8" s="166"/>
      <c r="H8" s="166"/>
      <c r="I8" s="166"/>
      <c r="J8" s="166"/>
      <c r="K8" s="166"/>
      <c r="L8" s="166"/>
      <c r="M8" s="166"/>
      <c r="N8" s="166"/>
      <c r="O8" s="166"/>
      <c r="P8" s="969"/>
    </row>
    <row r="9" spans="1:16">
      <c r="B9" s="166"/>
      <c r="C9" s="172"/>
      <c r="D9" s="172" t="s">
        <v>2334</v>
      </c>
      <c r="E9" s="172">
        <v>1</v>
      </c>
      <c r="F9" s="172"/>
      <c r="G9" s="172"/>
      <c r="H9" s="172"/>
      <c r="I9" s="172"/>
      <c r="J9" s="172"/>
      <c r="K9" s="172"/>
      <c r="L9" s="172"/>
      <c r="M9" s="172"/>
      <c r="N9" s="172"/>
      <c r="O9" s="172"/>
      <c r="P9" s="1943"/>
    </row>
    <row r="11" spans="1:16" s="51" customFormat="1" ht="22.5" collapsed="1">
      <c r="A11" s="1944"/>
      <c r="B11" s="1860" t="s">
        <v>413</v>
      </c>
      <c r="C11" s="159"/>
      <c r="D11" s="159"/>
      <c r="E11" s="159"/>
      <c r="F11" s="159"/>
      <c r="G11" s="159"/>
      <c r="H11" s="159"/>
      <c r="I11" s="159"/>
      <c r="J11" s="159"/>
      <c r="K11" s="159"/>
      <c r="L11" s="159"/>
      <c r="M11" s="159"/>
      <c r="N11" s="159"/>
      <c r="O11" s="159"/>
      <c r="P11" s="1945"/>
    </row>
    <row r="12" spans="1:16">
      <c r="B12" s="415"/>
      <c r="C12" s="415"/>
      <c r="D12" s="415"/>
      <c r="E12" s="415"/>
      <c r="F12" s="415"/>
      <c r="G12" s="415"/>
      <c r="H12" s="415"/>
      <c r="I12" s="415"/>
      <c r="J12" s="415"/>
      <c r="K12" s="415"/>
      <c r="L12" s="415"/>
      <c r="M12" s="415"/>
      <c r="N12" s="415"/>
      <c r="O12" s="415"/>
      <c r="P12" s="969"/>
    </row>
    <row r="13" spans="1:16">
      <c r="B13" s="415"/>
      <c r="C13" s="415" t="s">
        <v>2335</v>
      </c>
      <c r="D13" s="415"/>
      <c r="E13" s="415"/>
      <c r="F13" s="415"/>
      <c r="G13" s="415"/>
      <c r="H13" s="415"/>
      <c r="I13" s="415"/>
      <c r="J13" s="415"/>
      <c r="K13" s="415"/>
      <c r="L13" s="415"/>
      <c r="M13" s="415"/>
      <c r="N13" s="415"/>
      <c r="O13" s="415"/>
      <c r="P13" s="969"/>
    </row>
    <row r="14" spans="1:16">
      <c r="B14" s="415"/>
      <c r="C14" s="415"/>
      <c r="D14" s="415"/>
      <c r="E14" s="415"/>
      <c r="F14" s="415"/>
      <c r="G14" s="415"/>
      <c r="H14" s="415"/>
      <c r="I14" s="415"/>
      <c r="J14" s="415"/>
      <c r="K14" s="415"/>
      <c r="L14" s="415"/>
      <c r="M14" s="415"/>
      <c r="N14" s="415"/>
      <c r="O14" s="415"/>
      <c r="P14" s="969"/>
    </row>
    <row r="15" spans="1:16">
      <c r="B15" s="415"/>
      <c r="C15" s="61" t="s">
        <v>411</v>
      </c>
      <c r="D15" s="61" t="s">
        <v>66</v>
      </c>
      <c r="E15" s="61" t="s">
        <v>533</v>
      </c>
      <c r="F15" s="119">
        <v>2007</v>
      </c>
      <c r="G15" s="120">
        <f t="shared" ref="G15:O15" si="0">F15+5</f>
        <v>2012</v>
      </c>
      <c r="H15" s="120">
        <f t="shared" si="0"/>
        <v>2017</v>
      </c>
      <c r="I15" s="120">
        <f t="shared" si="0"/>
        <v>2022</v>
      </c>
      <c r="J15" s="120">
        <f t="shared" si="0"/>
        <v>2027</v>
      </c>
      <c r="K15" s="120">
        <f t="shared" si="0"/>
        <v>2032</v>
      </c>
      <c r="L15" s="120">
        <f t="shared" si="0"/>
        <v>2037</v>
      </c>
      <c r="M15" s="120">
        <f t="shared" si="0"/>
        <v>2042</v>
      </c>
      <c r="N15" s="120">
        <f t="shared" si="0"/>
        <v>2047</v>
      </c>
      <c r="O15" s="120">
        <f t="shared" si="0"/>
        <v>2052</v>
      </c>
      <c r="P15" s="969"/>
    </row>
    <row r="16" spans="1:16">
      <c r="B16" s="415"/>
      <c r="C16" s="413">
        <v>1</v>
      </c>
      <c r="D16" s="414" t="s">
        <v>1628</v>
      </c>
      <c r="E16" s="2991">
        <f>(O16/G16)^(1/40)-1</f>
        <v>0</v>
      </c>
      <c r="F16" s="669">
        <v>1</v>
      </c>
      <c r="G16" s="669">
        <v>1</v>
      </c>
      <c r="H16" s="669">
        <f>G16*(1+$E16)^5</f>
        <v>1</v>
      </c>
      <c r="I16" s="669">
        <f t="shared" ref="I16:N16" si="1">H16*(1+$E16)^5</f>
        <v>1</v>
      </c>
      <c r="J16" s="669">
        <f t="shared" si="1"/>
        <v>1</v>
      </c>
      <c r="K16" s="669">
        <f t="shared" si="1"/>
        <v>1</v>
      </c>
      <c r="L16" s="669">
        <f t="shared" si="1"/>
        <v>1</v>
      </c>
      <c r="M16" s="669">
        <f t="shared" si="1"/>
        <v>1</v>
      </c>
      <c r="N16" s="669">
        <f t="shared" si="1"/>
        <v>1</v>
      </c>
      <c r="O16" s="669">
        <v>1</v>
      </c>
      <c r="P16" s="969"/>
    </row>
    <row r="17" spans="2:16">
      <c r="B17" s="415"/>
      <c r="C17" s="413">
        <v>2</v>
      </c>
      <c r="D17" s="414" t="s">
        <v>811</v>
      </c>
      <c r="E17" s="2991">
        <f t="shared" ref="E17:E19" si="2">(O17/G17)^(1/40)-1</f>
        <v>-7.1662508975560701E-3</v>
      </c>
      <c r="F17" s="669">
        <v>1</v>
      </c>
      <c r="G17" s="669">
        <v>1</v>
      </c>
      <c r="H17" s="669">
        <f t="shared" ref="H17:N19" si="3">G17*(1+$E17)^5</f>
        <v>0.96467862996030906</v>
      </c>
      <c r="I17" s="669">
        <f t="shared" si="3"/>
        <v>0.93060485910209889</v>
      </c>
      <c r="J17" s="669">
        <f t="shared" si="3"/>
        <v>0.89773462051301922</v>
      </c>
      <c r="K17" s="669">
        <f t="shared" si="3"/>
        <v>0.86602540378443738</v>
      </c>
      <c r="L17" s="669">
        <f t="shared" si="3"/>
        <v>0.83543620003359453</v>
      </c>
      <c r="M17" s="669">
        <f t="shared" si="3"/>
        <v>0.80592744886765466</v>
      </c>
      <c r="N17" s="669">
        <f t="shared" si="3"/>
        <v>0.77746098722105617</v>
      </c>
      <c r="O17" s="669">
        <v>0.75</v>
      </c>
      <c r="P17" s="969"/>
    </row>
    <row r="18" spans="2:16">
      <c r="B18" s="415"/>
      <c r="C18" s="413">
        <v>3</v>
      </c>
      <c r="D18" s="414" t="s">
        <v>1018</v>
      </c>
      <c r="E18" s="2991">
        <f t="shared" si="2"/>
        <v>-1.7179401454748944E-2</v>
      </c>
      <c r="F18" s="669">
        <v>1</v>
      </c>
      <c r="G18" s="669">
        <v>1</v>
      </c>
      <c r="H18" s="669">
        <f t="shared" si="3"/>
        <v>0.9170040432046711</v>
      </c>
      <c r="I18" s="669">
        <f t="shared" si="3"/>
        <v>0.84089641525371428</v>
      </c>
      <c r="J18" s="669">
        <f t="shared" si="3"/>
        <v>0.77110541270397004</v>
      </c>
      <c r="K18" s="669">
        <f t="shared" si="3"/>
        <v>0.70710678118654713</v>
      </c>
      <c r="L18" s="669">
        <f t="shared" si="3"/>
        <v>0.64841977732550438</v>
      </c>
      <c r="M18" s="669">
        <f t="shared" si="3"/>
        <v>0.59460355750136007</v>
      </c>
      <c r="N18" s="669">
        <f t="shared" si="3"/>
        <v>0.54525386633262829</v>
      </c>
      <c r="O18" s="669">
        <v>0.5</v>
      </c>
      <c r="P18" s="969"/>
    </row>
    <row r="19" spans="2:16">
      <c r="B19" s="415"/>
      <c r="C19" s="413">
        <v>4</v>
      </c>
      <c r="D19" s="414" t="s">
        <v>1019</v>
      </c>
      <c r="E19" s="2991">
        <f t="shared" si="2"/>
        <v>-3.40636710751544E-2</v>
      </c>
      <c r="F19" s="669">
        <v>1</v>
      </c>
      <c r="G19" s="669">
        <v>1</v>
      </c>
      <c r="H19" s="669">
        <f t="shared" si="3"/>
        <v>0.84089641525371484</v>
      </c>
      <c r="I19" s="669">
        <f t="shared" si="3"/>
        <v>0.70710678118654802</v>
      </c>
      <c r="J19" s="669">
        <f t="shared" si="3"/>
        <v>0.59460355750136118</v>
      </c>
      <c r="K19" s="669">
        <f t="shared" si="3"/>
        <v>0.50000000000000067</v>
      </c>
      <c r="L19" s="669">
        <f t="shared" si="3"/>
        <v>0.42044820762685797</v>
      </c>
      <c r="M19" s="669">
        <f t="shared" si="3"/>
        <v>0.35355339059327445</v>
      </c>
      <c r="N19" s="669">
        <f t="shared" si="3"/>
        <v>0.29730177875068092</v>
      </c>
      <c r="O19" s="669">
        <v>0.25</v>
      </c>
      <c r="P19" s="969"/>
    </row>
    <row r="20" spans="2:16">
      <c r="B20" s="415"/>
      <c r="C20" s="2992"/>
      <c r="D20" s="2993" t="s">
        <v>406</v>
      </c>
      <c r="E20" s="2681"/>
      <c r="F20" s="2994">
        <f>(INDEX(F16:F19,ROUNDDOWN($E$9,0))*(1-MOD($E$9,1)))+(INDEX(F16:F19,ROUNDUP($E$9,0))*MOD($E$9,1))</f>
        <v>1</v>
      </c>
      <c r="G20" s="2994">
        <f t="shared" ref="G20:O20" si="4">(INDEX(G16:G19,ROUNDDOWN($E$9,0))*(1-MOD($E$9,1)))+(INDEX(G16:G19,ROUNDUP($E$9,0))*MOD($E$9,1))</f>
        <v>1</v>
      </c>
      <c r="H20" s="2994">
        <f t="shared" si="4"/>
        <v>1</v>
      </c>
      <c r="I20" s="2994">
        <f t="shared" si="4"/>
        <v>1</v>
      </c>
      <c r="J20" s="2994">
        <f t="shared" si="4"/>
        <v>1</v>
      </c>
      <c r="K20" s="2994">
        <f t="shared" si="4"/>
        <v>1</v>
      </c>
      <c r="L20" s="2994">
        <f t="shared" si="4"/>
        <v>1</v>
      </c>
      <c r="M20" s="2994">
        <f t="shared" si="4"/>
        <v>1</v>
      </c>
      <c r="N20" s="2994">
        <f t="shared" si="4"/>
        <v>1</v>
      </c>
      <c r="O20" s="2994">
        <f t="shared" si="4"/>
        <v>1</v>
      </c>
      <c r="P20" s="969"/>
    </row>
    <row r="21" spans="2:16">
      <c r="B21" s="415"/>
      <c r="C21" s="415"/>
      <c r="D21" s="415"/>
      <c r="E21" s="415"/>
      <c r="F21" s="415"/>
      <c r="G21" s="415"/>
      <c r="H21" s="415"/>
      <c r="I21" s="415"/>
      <c r="J21" s="415"/>
      <c r="K21" s="415"/>
      <c r="L21" s="415"/>
      <c r="M21" s="415"/>
      <c r="N21" s="415"/>
      <c r="O21" s="415"/>
      <c r="P21" s="969"/>
    </row>
    <row r="22" spans="2:16">
      <c r="B22" s="415"/>
      <c r="C22" s="415"/>
      <c r="D22" s="415"/>
      <c r="E22" s="415"/>
      <c r="F22" s="415"/>
      <c r="G22" s="415"/>
      <c r="H22" s="415"/>
      <c r="I22" s="415"/>
      <c r="J22" s="415"/>
      <c r="K22" s="415"/>
      <c r="L22" s="415"/>
      <c r="M22" s="415"/>
      <c r="N22" s="415"/>
      <c r="O22" s="415"/>
      <c r="P22" s="969"/>
    </row>
    <row r="23" spans="2:16">
      <c r="B23" s="415"/>
      <c r="C23" s="415"/>
      <c r="D23" s="415"/>
      <c r="E23" s="415"/>
      <c r="F23" s="415"/>
      <c r="G23" s="415"/>
      <c r="H23" s="415"/>
      <c r="I23" s="415"/>
      <c r="J23" s="415"/>
      <c r="K23" s="415"/>
      <c r="L23" s="415"/>
      <c r="M23" s="415"/>
      <c r="N23" s="415"/>
      <c r="O23" s="415"/>
      <c r="P23" s="969"/>
    </row>
    <row r="24" spans="2:16">
      <c r="B24" s="415"/>
      <c r="C24" s="415"/>
      <c r="D24" s="415"/>
      <c r="E24" s="415"/>
      <c r="F24" s="415"/>
      <c r="G24" s="415"/>
      <c r="H24" s="415"/>
      <c r="I24" s="415"/>
      <c r="J24" s="415"/>
      <c r="K24" s="415"/>
      <c r="L24" s="415"/>
      <c r="M24" s="415"/>
      <c r="N24" s="415"/>
      <c r="O24" s="415"/>
      <c r="P24" s="969"/>
    </row>
    <row r="25" spans="2:16">
      <c r="B25" s="415"/>
      <c r="C25" s="415"/>
      <c r="D25" s="415"/>
      <c r="E25" s="415"/>
      <c r="F25" s="415"/>
      <c r="G25" s="415"/>
      <c r="H25" s="415"/>
      <c r="I25" s="415"/>
      <c r="J25" s="415"/>
      <c r="K25" s="415"/>
      <c r="L25" s="415"/>
      <c r="M25" s="415"/>
      <c r="N25" s="415"/>
      <c r="O25" s="415"/>
      <c r="P25" s="969"/>
    </row>
    <row r="26" spans="2:16">
      <c r="B26" s="415"/>
      <c r="C26" s="416" t="s">
        <v>1626</v>
      </c>
      <c r="D26" s="415"/>
      <c r="E26" s="104"/>
      <c r="F26" s="415"/>
      <c r="G26" s="415"/>
      <c r="H26" s="415"/>
      <c r="I26" s="415"/>
      <c r="J26" s="415"/>
      <c r="K26" s="415"/>
      <c r="L26" s="415"/>
      <c r="M26" s="415"/>
      <c r="N26" s="415"/>
      <c r="O26" s="104"/>
      <c r="P26" s="969"/>
    </row>
    <row r="27" spans="2:16">
      <c r="B27" s="415"/>
      <c r="C27" s="415"/>
      <c r="D27" s="415"/>
      <c r="E27" s="415"/>
      <c r="F27" s="415"/>
      <c r="G27" s="415"/>
      <c r="H27" s="415"/>
      <c r="I27" s="415"/>
      <c r="J27" s="415"/>
      <c r="K27" s="415"/>
      <c r="L27" s="415"/>
      <c r="M27" s="415"/>
      <c r="N27" s="415"/>
      <c r="O27" s="415"/>
      <c r="P27" s="969"/>
    </row>
    <row r="28" spans="2:16">
      <c r="B28" s="415"/>
      <c r="C28" s="61" t="s">
        <v>411</v>
      </c>
      <c r="D28" s="61" t="s">
        <v>66</v>
      </c>
      <c r="E28" s="61" t="s">
        <v>156</v>
      </c>
      <c r="F28" s="119">
        <v>2007</v>
      </c>
      <c r="G28" s="120">
        <f t="shared" ref="G28:O28" si="5">F28+5</f>
        <v>2012</v>
      </c>
      <c r="H28" s="120">
        <f t="shared" si="5"/>
        <v>2017</v>
      </c>
      <c r="I28" s="120">
        <f t="shared" si="5"/>
        <v>2022</v>
      </c>
      <c r="J28" s="120">
        <f t="shared" si="5"/>
        <v>2027</v>
      </c>
      <c r="K28" s="120">
        <f t="shared" si="5"/>
        <v>2032</v>
      </c>
      <c r="L28" s="120">
        <f t="shared" si="5"/>
        <v>2037</v>
      </c>
      <c r="M28" s="120">
        <f t="shared" si="5"/>
        <v>2042</v>
      </c>
      <c r="N28" s="120">
        <f t="shared" si="5"/>
        <v>2047</v>
      </c>
      <c r="O28" s="120">
        <f t="shared" si="5"/>
        <v>2052</v>
      </c>
      <c r="P28" s="969"/>
    </row>
    <row r="29" spans="2:16">
      <c r="B29" s="415"/>
      <c r="C29" s="413">
        <v>1</v>
      </c>
      <c r="D29" s="414" t="s">
        <v>1628</v>
      </c>
      <c r="E29" s="218"/>
      <c r="F29" s="293">
        <v>0</v>
      </c>
      <c r="G29" s="293">
        <v>0.72169766112687461</v>
      </c>
      <c r="H29" s="293">
        <v>0.50997632448928643</v>
      </c>
      <c r="I29" s="293">
        <v>0.37930228344583233</v>
      </c>
      <c r="J29" s="293">
        <v>0.30459018725502168</v>
      </c>
      <c r="K29" s="293">
        <v>0.25455602291568008</v>
      </c>
      <c r="L29" s="293">
        <v>0.22482084035652164</v>
      </c>
      <c r="M29" s="293">
        <v>0.20458733740839499</v>
      </c>
      <c r="N29" s="293">
        <v>0.19232775572518068</v>
      </c>
      <c r="O29" s="293">
        <v>0.18140713368268724</v>
      </c>
      <c r="P29" s="969"/>
    </row>
    <row r="30" spans="2:16">
      <c r="B30" s="415"/>
      <c r="C30" s="413">
        <v>2</v>
      </c>
      <c r="D30" s="414" t="s">
        <v>811</v>
      </c>
      <c r="E30" s="218"/>
      <c r="F30" s="293">
        <v>0</v>
      </c>
      <c r="G30" s="293">
        <v>0.7215241183623835</v>
      </c>
      <c r="H30" s="293">
        <v>0.7215241183623835</v>
      </c>
      <c r="I30" s="293">
        <v>0.7215241183623835</v>
      </c>
      <c r="J30" s="293">
        <v>0.7215241183623835</v>
      </c>
      <c r="K30" s="293">
        <v>0.7215241183623835</v>
      </c>
      <c r="L30" s="293">
        <v>0.72152411836238339</v>
      </c>
      <c r="M30" s="293">
        <v>0.7215241183623835</v>
      </c>
      <c r="N30" s="293">
        <v>0.7215241183623835</v>
      </c>
      <c r="O30" s="293">
        <v>0.7215241183623835</v>
      </c>
      <c r="P30" s="969"/>
    </row>
    <row r="31" spans="2:16">
      <c r="B31" s="415"/>
      <c r="C31" s="413">
        <v>3</v>
      </c>
      <c r="D31" s="414" t="s">
        <v>1018</v>
      </c>
      <c r="E31" s="218"/>
      <c r="F31" s="293">
        <f>F30</f>
        <v>0</v>
      </c>
      <c r="G31" s="293">
        <f t="shared" ref="G31" si="6">G30</f>
        <v>0.7215241183623835</v>
      </c>
      <c r="H31" s="293">
        <v>0.73</v>
      </c>
      <c r="I31" s="293">
        <v>0.74</v>
      </c>
      <c r="J31" s="293">
        <v>0.75</v>
      </c>
      <c r="K31" s="293">
        <v>0.76</v>
      </c>
      <c r="L31" s="293">
        <v>0.77</v>
      </c>
      <c r="M31" s="293">
        <v>0.78</v>
      </c>
      <c r="N31" s="293">
        <v>0.79</v>
      </c>
      <c r="O31" s="293">
        <v>0.8</v>
      </c>
      <c r="P31" s="969"/>
    </row>
    <row r="32" spans="2:16">
      <c r="B32" s="415"/>
      <c r="C32" s="413">
        <v>4</v>
      </c>
      <c r="D32" s="414" t="s">
        <v>1019</v>
      </c>
      <c r="E32" s="218"/>
      <c r="F32" s="293">
        <f>F30</f>
        <v>0</v>
      </c>
      <c r="G32" s="293">
        <f t="shared" ref="G32" si="7">G30</f>
        <v>0.7215241183623835</v>
      </c>
      <c r="H32" s="293">
        <v>0.74</v>
      </c>
      <c r="I32" s="293">
        <v>0.75</v>
      </c>
      <c r="J32" s="293">
        <v>0.77</v>
      </c>
      <c r="K32" s="293">
        <v>0.79</v>
      </c>
      <c r="L32" s="293">
        <v>0.8</v>
      </c>
      <c r="M32" s="293">
        <v>0.82</v>
      </c>
      <c r="N32" s="293">
        <v>0.83</v>
      </c>
      <c r="O32" s="293">
        <v>0.85</v>
      </c>
      <c r="P32" s="969"/>
    </row>
    <row r="33" spans="2:16">
      <c r="B33" s="415"/>
      <c r="C33" s="2992"/>
      <c r="D33" s="2993" t="s">
        <v>406</v>
      </c>
      <c r="E33" s="2681"/>
      <c r="F33" s="2995">
        <f>(INDEX(F29:F32,ROUNDDOWN($E$8,0))*(1-MOD($E$8,1)))+(INDEX(F29:F32,ROUNDUP($E$8,0))*MOD($E$8,1))</f>
        <v>0</v>
      </c>
      <c r="G33" s="2995">
        <f t="shared" ref="G33:O33" si="8">(INDEX(G29:G32,ROUNDDOWN($E$8,0))*(1-MOD($E$8,1)))+(INDEX(G29:G32,ROUNDUP($E$8,0))*MOD($E$8,1))</f>
        <v>0.72169766112687461</v>
      </c>
      <c r="H33" s="2995">
        <f t="shared" si="8"/>
        <v>0.50997632448928643</v>
      </c>
      <c r="I33" s="2995">
        <f t="shared" si="8"/>
        <v>0.37930228344583233</v>
      </c>
      <c r="J33" s="2995">
        <f t="shared" si="8"/>
        <v>0.30459018725502168</v>
      </c>
      <c r="K33" s="2995">
        <f t="shared" si="8"/>
        <v>0.25455602291568008</v>
      </c>
      <c r="L33" s="2995">
        <f t="shared" si="8"/>
        <v>0.22482084035652164</v>
      </c>
      <c r="M33" s="2995">
        <f t="shared" si="8"/>
        <v>0.20458733740839499</v>
      </c>
      <c r="N33" s="2995">
        <f t="shared" si="8"/>
        <v>0.19232775572518068</v>
      </c>
      <c r="O33" s="2995">
        <f t="shared" si="8"/>
        <v>0.18140713368268724</v>
      </c>
      <c r="P33" s="969"/>
    </row>
    <row r="34" spans="2:16">
      <c r="B34" s="415"/>
      <c r="C34" s="415"/>
      <c r="D34" s="415"/>
      <c r="E34" s="415"/>
      <c r="F34" s="415"/>
      <c r="G34" s="415"/>
      <c r="H34" s="415"/>
      <c r="I34" s="415"/>
      <c r="J34" s="415"/>
      <c r="K34" s="415"/>
      <c r="L34" s="415"/>
      <c r="M34" s="415"/>
      <c r="N34" s="415"/>
      <c r="O34" s="415"/>
      <c r="P34" s="969"/>
    </row>
    <row r="35" spans="2:16">
      <c r="B35" s="415"/>
      <c r="C35" s="416" t="s">
        <v>1627</v>
      </c>
      <c r="D35" s="415"/>
      <c r="E35" s="104"/>
      <c r="F35" s="415"/>
      <c r="G35" s="415"/>
      <c r="H35" s="415"/>
      <c r="I35" s="415"/>
      <c r="J35" s="415"/>
      <c r="K35" s="415"/>
      <c r="L35" s="415"/>
      <c r="M35" s="415"/>
      <c r="N35" s="415"/>
      <c r="O35" s="104"/>
      <c r="P35" s="969"/>
    </row>
    <row r="36" spans="2:16">
      <c r="B36" s="415"/>
      <c r="C36" s="415"/>
      <c r="D36" s="415"/>
      <c r="E36" s="415"/>
      <c r="F36" s="415"/>
      <c r="G36" s="415"/>
      <c r="H36" s="415"/>
      <c r="I36" s="415"/>
      <c r="J36" s="415"/>
      <c r="K36" s="415"/>
      <c r="L36" s="415"/>
      <c r="M36" s="415"/>
      <c r="N36" s="415"/>
      <c r="O36" s="415"/>
      <c r="P36" s="969"/>
    </row>
    <row r="37" spans="2:16">
      <c r="B37" s="415"/>
      <c r="C37" s="61" t="s">
        <v>411</v>
      </c>
      <c r="D37" s="61" t="s">
        <v>66</v>
      </c>
      <c r="E37" s="61" t="s">
        <v>156</v>
      </c>
      <c r="F37" s="119">
        <v>2007</v>
      </c>
      <c r="G37" s="120">
        <f t="shared" ref="G37:O37" si="9">F37+5</f>
        <v>2012</v>
      </c>
      <c r="H37" s="120">
        <f t="shared" si="9"/>
        <v>2017</v>
      </c>
      <c r="I37" s="120">
        <f t="shared" si="9"/>
        <v>2022</v>
      </c>
      <c r="J37" s="120">
        <f t="shared" si="9"/>
        <v>2027</v>
      </c>
      <c r="K37" s="120">
        <f t="shared" si="9"/>
        <v>2032</v>
      </c>
      <c r="L37" s="120">
        <f t="shared" si="9"/>
        <v>2037</v>
      </c>
      <c r="M37" s="120">
        <f t="shared" si="9"/>
        <v>2042</v>
      </c>
      <c r="N37" s="120">
        <f t="shared" si="9"/>
        <v>2047</v>
      </c>
      <c r="O37" s="120">
        <f t="shared" si="9"/>
        <v>2052</v>
      </c>
      <c r="P37" s="969"/>
    </row>
    <row r="38" spans="2:16">
      <c r="B38" s="415"/>
      <c r="C38" s="413">
        <v>1</v>
      </c>
      <c r="D38" s="414" t="s">
        <v>1628</v>
      </c>
      <c r="E38" s="218"/>
      <c r="F38" s="293">
        <v>0</v>
      </c>
      <c r="G38" s="293">
        <v>0.75267755786979917</v>
      </c>
      <c r="H38" s="293">
        <v>0.74971117684170852</v>
      </c>
      <c r="I38" s="293">
        <v>0.72684232684868177</v>
      </c>
      <c r="J38" s="293">
        <v>0.70677655819127005</v>
      </c>
      <c r="K38" s="293">
        <v>0.68908904687311734</v>
      </c>
      <c r="L38" s="293">
        <v>0.67361632580944397</v>
      </c>
      <c r="M38" s="293">
        <v>0.66554167090964633</v>
      </c>
      <c r="N38" s="293">
        <v>0.65952600622765545</v>
      </c>
      <c r="O38" s="293">
        <v>0.65635625439364165</v>
      </c>
      <c r="P38" s="969"/>
    </row>
    <row r="39" spans="2:16">
      <c r="B39" s="415"/>
      <c r="C39" s="413">
        <v>2</v>
      </c>
      <c r="D39" s="414" t="s">
        <v>811</v>
      </c>
      <c r="E39" s="218"/>
      <c r="F39" s="293">
        <v>0</v>
      </c>
      <c r="G39" s="293">
        <v>0.75267561489232193</v>
      </c>
      <c r="H39" s="293">
        <v>0.75267561489232193</v>
      </c>
      <c r="I39" s="293">
        <v>0.75</v>
      </c>
      <c r="J39" s="293">
        <v>0.75</v>
      </c>
      <c r="K39" s="293">
        <v>0.75</v>
      </c>
      <c r="L39" s="293">
        <v>0.75</v>
      </c>
      <c r="M39" s="293">
        <v>0.75</v>
      </c>
      <c r="N39" s="293">
        <v>0.75</v>
      </c>
      <c r="O39" s="293">
        <v>0.75</v>
      </c>
      <c r="P39" s="969"/>
    </row>
    <row r="40" spans="2:16">
      <c r="B40" s="415"/>
      <c r="C40" s="413">
        <v>3</v>
      </c>
      <c r="D40" s="414" t="s">
        <v>1018</v>
      </c>
      <c r="E40" s="218"/>
      <c r="F40" s="293">
        <f t="shared" ref="F40" si="10">F39</f>
        <v>0</v>
      </c>
      <c r="G40" s="293">
        <v>0.75</v>
      </c>
      <c r="H40" s="293">
        <v>0.76</v>
      </c>
      <c r="I40" s="293">
        <v>0.76</v>
      </c>
      <c r="J40" s="293">
        <v>0.77</v>
      </c>
      <c r="K40" s="293">
        <v>0.78</v>
      </c>
      <c r="L40" s="293">
        <v>0.78</v>
      </c>
      <c r="M40" s="293">
        <v>0.79</v>
      </c>
      <c r="N40" s="293">
        <v>0.79</v>
      </c>
      <c r="O40" s="293">
        <v>0.8</v>
      </c>
      <c r="P40" s="969"/>
    </row>
    <row r="41" spans="2:16">
      <c r="B41" s="415"/>
      <c r="C41" s="413">
        <v>4</v>
      </c>
      <c r="D41" s="414" t="s">
        <v>1019</v>
      </c>
      <c r="E41" s="218"/>
      <c r="F41" s="293">
        <f>F39</f>
        <v>0</v>
      </c>
      <c r="G41" s="293">
        <f t="shared" ref="G41" si="11">G39</f>
        <v>0.75267561489232193</v>
      </c>
      <c r="H41" s="293">
        <v>0.76</v>
      </c>
      <c r="I41" s="293">
        <v>0.78</v>
      </c>
      <c r="J41" s="293">
        <v>0.79</v>
      </c>
      <c r="K41" s="293">
        <v>0.8</v>
      </c>
      <c r="L41" s="293">
        <v>0.81</v>
      </c>
      <c r="M41" s="293">
        <v>0.83</v>
      </c>
      <c r="N41" s="293">
        <v>0.84</v>
      </c>
      <c r="O41" s="293">
        <v>0.85</v>
      </c>
      <c r="P41" s="969"/>
    </row>
    <row r="42" spans="2:16">
      <c r="B42" s="415"/>
      <c r="C42" s="2992"/>
      <c r="D42" s="2993" t="s">
        <v>406</v>
      </c>
      <c r="E42" s="2681"/>
      <c r="F42" s="2995">
        <f t="shared" ref="F42:O42" si="12">(INDEX(F38:F41,ROUNDDOWN($E$8,0))*(1-MOD($E$8,1)))+(INDEX(F38:F41,ROUNDUP($E$8,0))*MOD($E$8,1))</f>
        <v>0</v>
      </c>
      <c r="G42" s="2995">
        <f t="shared" si="12"/>
        <v>0.75267755786979917</v>
      </c>
      <c r="H42" s="2995">
        <f t="shared" si="12"/>
        <v>0.74971117684170852</v>
      </c>
      <c r="I42" s="2995">
        <f t="shared" si="12"/>
        <v>0.72684232684868177</v>
      </c>
      <c r="J42" s="2995">
        <f t="shared" si="12"/>
        <v>0.70677655819127005</v>
      </c>
      <c r="K42" s="2995">
        <f t="shared" si="12"/>
        <v>0.68908904687311734</v>
      </c>
      <c r="L42" s="2995">
        <f t="shared" si="12"/>
        <v>0.67361632580944397</v>
      </c>
      <c r="M42" s="2995">
        <f t="shared" si="12"/>
        <v>0.66554167090964633</v>
      </c>
      <c r="N42" s="2995">
        <f t="shared" si="12"/>
        <v>0.65952600622765545</v>
      </c>
      <c r="O42" s="2995">
        <f t="shared" si="12"/>
        <v>0.65635625439364165</v>
      </c>
      <c r="P42" s="969"/>
    </row>
    <row r="43" spans="2:16">
      <c r="B43" s="415"/>
      <c r="C43" s="415"/>
      <c r="D43" s="415"/>
      <c r="E43" s="415"/>
      <c r="F43" s="415"/>
      <c r="G43" s="415"/>
      <c r="H43" s="415"/>
      <c r="I43" s="415"/>
      <c r="J43" s="415"/>
      <c r="K43" s="415"/>
      <c r="L43" s="415"/>
      <c r="M43" s="415"/>
      <c r="N43" s="415"/>
      <c r="O43" s="415"/>
      <c r="P43" s="969"/>
    </row>
    <row r="44" spans="2:16">
      <c r="B44" s="415"/>
      <c r="C44" s="416" t="s">
        <v>1629</v>
      </c>
      <c r="D44" s="415"/>
      <c r="E44" s="104"/>
      <c r="F44" s="415"/>
      <c r="G44" s="415"/>
      <c r="H44" s="415"/>
      <c r="I44" s="415"/>
      <c r="J44" s="415"/>
      <c r="K44" s="415"/>
      <c r="L44" s="415"/>
      <c r="M44" s="415"/>
      <c r="N44" s="415"/>
      <c r="O44" s="104"/>
      <c r="P44" s="969"/>
    </row>
    <row r="45" spans="2:16">
      <c r="B45" s="415"/>
      <c r="C45" s="415"/>
      <c r="D45" s="415"/>
      <c r="E45" s="415"/>
      <c r="F45" s="415"/>
      <c r="G45" s="415"/>
      <c r="H45" s="415"/>
      <c r="I45" s="415"/>
      <c r="J45" s="415"/>
      <c r="K45" s="415"/>
      <c r="L45" s="415"/>
      <c r="M45" s="415"/>
      <c r="N45" s="415"/>
      <c r="O45" s="415"/>
      <c r="P45" s="969"/>
    </row>
    <row r="46" spans="2:16">
      <c r="B46" s="415"/>
      <c r="C46" s="61" t="s">
        <v>411</v>
      </c>
      <c r="D46" s="61" t="s">
        <v>66</v>
      </c>
      <c r="E46" s="61" t="s">
        <v>156</v>
      </c>
      <c r="F46" s="119">
        <v>2007</v>
      </c>
      <c r="G46" s="120">
        <f t="shared" ref="G46:O46" si="13">F46+5</f>
        <v>2012</v>
      </c>
      <c r="H46" s="120">
        <f t="shared" si="13"/>
        <v>2017</v>
      </c>
      <c r="I46" s="120">
        <f t="shared" si="13"/>
        <v>2022</v>
      </c>
      <c r="J46" s="120">
        <f t="shared" si="13"/>
        <v>2027</v>
      </c>
      <c r="K46" s="120">
        <f t="shared" si="13"/>
        <v>2032</v>
      </c>
      <c r="L46" s="120">
        <f t="shared" si="13"/>
        <v>2037</v>
      </c>
      <c r="M46" s="120">
        <f t="shared" si="13"/>
        <v>2042</v>
      </c>
      <c r="N46" s="120">
        <f t="shared" si="13"/>
        <v>2047</v>
      </c>
      <c r="O46" s="120">
        <f t="shared" si="13"/>
        <v>2052</v>
      </c>
      <c r="P46" s="969"/>
    </row>
    <row r="47" spans="2:16">
      <c r="B47" s="415"/>
      <c r="C47" s="413">
        <v>1</v>
      </c>
      <c r="D47" s="414" t="s">
        <v>1628</v>
      </c>
      <c r="E47" s="218"/>
      <c r="F47" s="293">
        <v>0</v>
      </c>
      <c r="G47" s="293">
        <v>0.68853842258513731</v>
      </c>
      <c r="H47" s="293">
        <v>0.69</v>
      </c>
      <c r="I47" s="293">
        <v>0.5</v>
      </c>
      <c r="J47" s="293">
        <v>0.38</v>
      </c>
      <c r="K47" s="293">
        <v>0.3</v>
      </c>
      <c r="L47" s="293">
        <v>0.25</v>
      </c>
      <c r="M47" s="293">
        <v>0.21</v>
      </c>
      <c r="N47" s="293">
        <v>0.19</v>
      </c>
      <c r="O47" s="293">
        <v>0.17</v>
      </c>
      <c r="P47" s="969"/>
    </row>
    <row r="48" spans="2:16">
      <c r="B48" s="415"/>
      <c r="C48" s="413">
        <v>2</v>
      </c>
      <c r="D48" s="414" t="s">
        <v>811</v>
      </c>
      <c r="E48" s="218"/>
      <c r="F48" s="293">
        <v>0</v>
      </c>
      <c r="G48" s="293">
        <v>0.68996075452588934</v>
      </c>
      <c r="H48" s="293">
        <v>0.7</v>
      </c>
      <c r="I48" s="293">
        <v>0.7</v>
      </c>
      <c r="J48" s="293">
        <v>0.7</v>
      </c>
      <c r="K48" s="293">
        <v>0.7</v>
      </c>
      <c r="L48" s="293">
        <v>0.7</v>
      </c>
      <c r="M48" s="293">
        <v>0.7</v>
      </c>
      <c r="N48" s="293">
        <v>0.7</v>
      </c>
      <c r="O48" s="293">
        <v>0.7</v>
      </c>
      <c r="P48" s="969"/>
    </row>
    <row r="49" spans="2:16">
      <c r="B49" s="415"/>
      <c r="C49" s="413">
        <v>3</v>
      </c>
      <c r="D49" s="414" t="s">
        <v>1018</v>
      </c>
      <c r="E49" s="218"/>
      <c r="F49" s="293">
        <f t="shared" ref="F49:G49" si="14">F48</f>
        <v>0</v>
      </c>
      <c r="G49" s="293">
        <f t="shared" si="14"/>
        <v>0.68996075452588934</v>
      </c>
      <c r="H49" s="293">
        <v>0.71</v>
      </c>
      <c r="I49" s="293">
        <v>0.73</v>
      </c>
      <c r="J49" s="293">
        <v>0.74</v>
      </c>
      <c r="K49" s="293">
        <v>0.75</v>
      </c>
      <c r="L49" s="293">
        <v>0.76</v>
      </c>
      <c r="M49" s="293">
        <v>0.78</v>
      </c>
      <c r="N49" s="293">
        <v>0.79</v>
      </c>
      <c r="O49" s="293">
        <v>0.8</v>
      </c>
      <c r="P49" s="969"/>
    </row>
    <row r="50" spans="2:16">
      <c r="B50" s="415"/>
      <c r="C50" s="413">
        <v>4</v>
      </c>
      <c r="D50" s="414" t="s">
        <v>1019</v>
      </c>
      <c r="E50" s="218"/>
      <c r="F50" s="293">
        <f>F48</f>
        <v>0</v>
      </c>
      <c r="G50" s="293">
        <f t="shared" ref="G50" si="15">G48</f>
        <v>0.68996075452588934</v>
      </c>
      <c r="H50" s="293">
        <v>0.72</v>
      </c>
      <c r="I50" s="293">
        <v>0.74</v>
      </c>
      <c r="J50" s="293">
        <v>0.76</v>
      </c>
      <c r="K50" s="293">
        <v>0.78</v>
      </c>
      <c r="L50" s="293">
        <v>0.79</v>
      </c>
      <c r="M50" s="293">
        <v>0.81</v>
      </c>
      <c r="N50" s="293">
        <v>0.83</v>
      </c>
      <c r="O50" s="293">
        <v>0.85</v>
      </c>
      <c r="P50" s="969"/>
    </row>
    <row r="51" spans="2:16">
      <c r="B51" s="415"/>
      <c r="C51" s="2992"/>
      <c r="D51" s="2993" t="s">
        <v>406</v>
      </c>
      <c r="E51" s="2681"/>
      <c r="F51" s="2995">
        <f t="shared" ref="F51:O51" si="16">(INDEX(F47:F50,ROUNDDOWN($E$8,0))*(1-MOD($E$8,1)))+(INDEX(F47:F50,ROUNDUP($E$8,0))*MOD($E$8,1))</f>
        <v>0</v>
      </c>
      <c r="G51" s="2995">
        <f t="shared" si="16"/>
        <v>0.68853842258513731</v>
      </c>
      <c r="H51" s="2995">
        <f t="shared" si="16"/>
        <v>0.69</v>
      </c>
      <c r="I51" s="2995">
        <f t="shared" si="16"/>
        <v>0.5</v>
      </c>
      <c r="J51" s="2995">
        <f t="shared" si="16"/>
        <v>0.38</v>
      </c>
      <c r="K51" s="2995">
        <f t="shared" si="16"/>
        <v>0.3</v>
      </c>
      <c r="L51" s="2995">
        <f t="shared" si="16"/>
        <v>0.25</v>
      </c>
      <c r="M51" s="2995">
        <f t="shared" si="16"/>
        <v>0.21</v>
      </c>
      <c r="N51" s="2995">
        <f t="shared" si="16"/>
        <v>0.19</v>
      </c>
      <c r="O51" s="2995">
        <f t="shared" si="16"/>
        <v>0.17</v>
      </c>
      <c r="P51" s="969"/>
    </row>
    <row r="52" spans="2:16">
      <c r="B52" s="415"/>
      <c r="C52" s="415"/>
      <c r="D52" s="415"/>
      <c r="E52" s="415"/>
      <c r="F52" s="415"/>
      <c r="G52" s="415"/>
      <c r="H52" s="415"/>
      <c r="I52" s="415"/>
      <c r="J52" s="415"/>
      <c r="K52" s="415"/>
      <c r="L52" s="415"/>
      <c r="M52" s="415"/>
      <c r="N52" s="415"/>
      <c r="O52" s="415"/>
      <c r="P52" s="969"/>
    </row>
    <row r="53" spans="2:16">
      <c r="B53" s="415"/>
      <c r="C53" s="416" t="s">
        <v>1630</v>
      </c>
      <c r="D53" s="415"/>
      <c r="E53" s="104"/>
      <c r="F53" s="415"/>
      <c r="G53" s="415"/>
      <c r="H53" s="415"/>
      <c r="I53" s="415"/>
      <c r="J53" s="415"/>
      <c r="K53" s="415"/>
      <c r="L53" s="415"/>
      <c r="M53" s="415"/>
      <c r="N53" s="415"/>
      <c r="O53" s="104"/>
      <c r="P53" s="969"/>
    </row>
    <row r="54" spans="2:16">
      <c r="B54" s="415"/>
      <c r="C54" s="415"/>
      <c r="D54" s="415"/>
      <c r="E54" s="415"/>
      <c r="F54" s="415"/>
      <c r="G54" s="415"/>
      <c r="H54" s="415"/>
      <c r="I54" s="415"/>
      <c r="J54" s="415"/>
      <c r="K54" s="415"/>
      <c r="L54" s="415"/>
      <c r="M54" s="415"/>
      <c r="N54" s="415"/>
      <c r="O54" s="415"/>
      <c r="P54" s="969"/>
    </row>
    <row r="55" spans="2:16">
      <c r="B55" s="415"/>
      <c r="C55" s="61" t="s">
        <v>411</v>
      </c>
      <c r="D55" s="61" t="s">
        <v>66</v>
      </c>
      <c r="E55" s="61" t="s">
        <v>156</v>
      </c>
      <c r="F55" s="119">
        <v>2007</v>
      </c>
      <c r="G55" s="120">
        <f t="shared" ref="G55:O55" si="17">F55+5</f>
        <v>2012</v>
      </c>
      <c r="H55" s="120">
        <f t="shared" si="17"/>
        <v>2017</v>
      </c>
      <c r="I55" s="120">
        <f t="shared" si="17"/>
        <v>2022</v>
      </c>
      <c r="J55" s="120">
        <f t="shared" si="17"/>
        <v>2027</v>
      </c>
      <c r="K55" s="120">
        <f t="shared" si="17"/>
        <v>2032</v>
      </c>
      <c r="L55" s="120">
        <f t="shared" si="17"/>
        <v>2037</v>
      </c>
      <c r="M55" s="120">
        <f t="shared" si="17"/>
        <v>2042</v>
      </c>
      <c r="N55" s="120">
        <f t="shared" si="17"/>
        <v>2047</v>
      </c>
      <c r="O55" s="120">
        <f t="shared" si="17"/>
        <v>2052</v>
      </c>
      <c r="P55" s="969"/>
    </row>
    <row r="56" spans="2:16">
      <c r="B56" s="415"/>
      <c r="C56" s="413">
        <v>1</v>
      </c>
      <c r="D56" s="414" t="s">
        <v>1628</v>
      </c>
      <c r="E56" s="218"/>
      <c r="F56" s="293">
        <v>0</v>
      </c>
      <c r="G56" s="293">
        <v>0.56222095883068934</v>
      </c>
      <c r="H56" s="293">
        <v>0.56000000000000005</v>
      </c>
      <c r="I56" s="293">
        <v>0.36</v>
      </c>
      <c r="J56" s="293">
        <v>0.25</v>
      </c>
      <c r="K56" s="293">
        <v>0.19</v>
      </c>
      <c r="L56" s="293">
        <v>0.15</v>
      </c>
      <c r="M56" s="293">
        <v>0.12</v>
      </c>
      <c r="N56" s="293">
        <v>0.11</v>
      </c>
      <c r="O56" s="293">
        <v>0.1</v>
      </c>
      <c r="P56" s="969"/>
    </row>
    <row r="57" spans="2:16">
      <c r="B57" s="415"/>
      <c r="C57" s="413">
        <v>2</v>
      </c>
      <c r="D57" s="414" t="s">
        <v>811</v>
      </c>
      <c r="E57" s="218"/>
      <c r="F57" s="293">
        <v>0</v>
      </c>
      <c r="G57" s="293">
        <v>0.56222095883068934</v>
      </c>
      <c r="H57" s="293">
        <v>0.6</v>
      </c>
      <c r="I57" s="293">
        <v>0.59860313023822798</v>
      </c>
      <c r="J57" s="293">
        <v>0.60399542954494312</v>
      </c>
      <c r="K57" s="293">
        <v>0.60399542954494312</v>
      </c>
      <c r="L57" s="293">
        <v>0.60399542954494312</v>
      </c>
      <c r="M57" s="293">
        <v>0.60399542954494312</v>
      </c>
      <c r="N57" s="293">
        <v>0.60399542954494312</v>
      </c>
      <c r="O57" s="293">
        <v>0.60399542954494312</v>
      </c>
      <c r="P57" s="969"/>
    </row>
    <row r="58" spans="2:16">
      <c r="B58" s="415"/>
      <c r="C58" s="413">
        <v>3</v>
      </c>
      <c r="D58" s="414" t="s">
        <v>1018</v>
      </c>
      <c r="E58" s="218"/>
      <c r="F58" s="293">
        <f t="shared" ref="F58:G58" si="18">F57</f>
        <v>0</v>
      </c>
      <c r="G58" s="293">
        <f t="shared" si="18"/>
        <v>0.56222095883068934</v>
      </c>
      <c r="H58" s="293">
        <v>0.61</v>
      </c>
      <c r="I58" s="293">
        <v>0.61</v>
      </c>
      <c r="J58" s="293">
        <v>0.62</v>
      </c>
      <c r="K58" s="293">
        <v>0.63</v>
      </c>
      <c r="L58" s="293">
        <v>0.63</v>
      </c>
      <c r="M58" s="293">
        <v>0.64</v>
      </c>
      <c r="N58" s="293">
        <v>0.64</v>
      </c>
      <c r="O58" s="293">
        <v>0.65</v>
      </c>
      <c r="P58" s="969"/>
    </row>
    <row r="59" spans="2:16">
      <c r="B59" s="415"/>
      <c r="C59" s="413">
        <v>4</v>
      </c>
      <c r="D59" s="414" t="s">
        <v>1019</v>
      </c>
      <c r="E59" s="218"/>
      <c r="F59" s="293">
        <f>F57</f>
        <v>0</v>
      </c>
      <c r="G59" s="293">
        <f t="shared" ref="G59" si="19">G57</f>
        <v>0.56222095883068934</v>
      </c>
      <c r="H59" s="293">
        <v>0.61</v>
      </c>
      <c r="I59" s="293">
        <v>0.63</v>
      </c>
      <c r="J59" s="293">
        <v>0.64</v>
      </c>
      <c r="K59" s="293">
        <v>0.65</v>
      </c>
      <c r="L59" s="293">
        <v>0.66</v>
      </c>
      <c r="M59" s="293">
        <v>0.68</v>
      </c>
      <c r="N59" s="293">
        <v>0.69</v>
      </c>
      <c r="O59" s="293">
        <v>0.7</v>
      </c>
      <c r="P59" s="969"/>
    </row>
    <row r="60" spans="2:16">
      <c r="B60" s="415"/>
      <c r="C60" s="2992"/>
      <c r="D60" s="2993" t="s">
        <v>406</v>
      </c>
      <c r="E60" s="2681"/>
      <c r="F60" s="2995">
        <f t="shared" ref="F60:O60" si="20">(INDEX(F56:F59,ROUNDDOWN($E$8,0))*(1-MOD($E$8,1)))+(INDEX(F56:F59,ROUNDUP($E$8,0))*MOD($E$8,1))</f>
        <v>0</v>
      </c>
      <c r="G60" s="2995">
        <f t="shared" si="20"/>
        <v>0.56222095883068934</v>
      </c>
      <c r="H60" s="2995">
        <f t="shared" si="20"/>
        <v>0.56000000000000005</v>
      </c>
      <c r="I60" s="2995">
        <f t="shared" si="20"/>
        <v>0.36</v>
      </c>
      <c r="J60" s="2995">
        <f t="shared" si="20"/>
        <v>0.25</v>
      </c>
      <c r="K60" s="2995">
        <f t="shared" si="20"/>
        <v>0.19</v>
      </c>
      <c r="L60" s="2995">
        <f t="shared" si="20"/>
        <v>0.15</v>
      </c>
      <c r="M60" s="2995">
        <f t="shared" si="20"/>
        <v>0.12</v>
      </c>
      <c r="N60" s="2995">
        <f t="shared" si="20"/>
        <v>0.11</v>
      </c>
      <c r="O60" s="2995">
        <f t="shared" si="20"/>
        <v>0.1</v>
      </c>
      <c r="P60" s="969"/>
    </row>
    <row r="61" spans="2:16">
      <c r="B61" s="415"/>
      <c r="C61" s="415"/>
      <c r="D61" s="415"/>
      <c r="E61" s="415"/>
      <c r="F61" s="415"/>
      <c r="G61" s="415"/>
      <c r="H61" s="415"/>
      <c r="I61" s="415"/>
      <c r="J61" s="415"/>
      <c r="K61" s="415"/>
      <c r="L61" s="415"/>
      <c r="M61" s="415"/>
      <c r="N61" s="415"/>
      <c r="O61" s="415"/>
      <c r="P61" s="969"/>
    </row>
    <row r="62" spans="2:16">
      <c r="B62" s="415"/>
      <c r="C62" s="416" t="s">
        <v>1631</v>
      </c>
      <c r="D62" s="415"/>
      <c r="E62" s="104"/>
      <c r="F62" s="415"/>
      <c r="G62" s="415"/>
      <c r="H62" s="415"/>
      <c r="I62" s="415"/>
      <c r="J62" s="415"/>
      <c r="K62" s="415"/>
      <c r="L62" s="415"/>
      <c r="M62" s="415"/>
      <c r="N62" s="415"/>
      <c r="O62" s="104"/>
      <c r="P62" s="969"/>
    </row>
    <row r="63" spans="2:16">
      <c r="B63" s="415"/>
      <c r="C63" s="415"/>
      <c r="D63" s="415"/>
      <c r="E63" s="415"/>
      <c r="F63" s="415"/>
      <c r="G63" s="415"/>
      <c r="H63" s="415"/>
      <c r="I63" s="415"/>
      <c r="J63" s="415"/>
      <c r="K63" s="415"/>
      <c r="L63" s="415"/>
      <c r="M63" s="415"/>
      <c r="N63" s="415"/>
      <c r="O63" s="415"/>
      <c r="P63" s="969"/>
    </row>
    <row r="64" spans="2:16">
      <c r="B64" s="415"/>
      <c r="C64" s="61" t="s">
        <v>411</v>
      </c>
      <c r="D64" s="61" t="s">
        <v>66</v>
      </c>
      <c r="E64" s="61" t="s">
        <v>156</v>
      </c>
      <c r="F64" s="119">
        <v>2007</v>
      </c>
      <c r="G64" s="120">
        <f t="shared" ref="G64:O64" si="21">F64+5</f>
        <v>2012</v>
      </c>
      <c r="H64" s="120">
        <f t="shared" si="21"/>
        <v>2017</v>
      </c>
      <c r="I64" s="120">
        <f t="shared" si="21"/>
        <v>2022</v>
      </c>
      <c r="J64" s="120">
        <f t="shared" si="21"/>
        <v>2027</v>
      </c>
      <c r="K64" s="120">
        <f t="shared" si="21"/>
        <v>2032</v>
      </c>
      <c r="L64" s="120">
        <f t="shared" si="21"/>
        <v>2037</v>
      </c>
      <c r="M64" s="120">
        <f t="shared" si="21"/>
        <v>2042</v>
      </c>
      <c r="N64" s="120">
        <f t="shared" si="21"/>
        <v>2047</v>
      </c>
      <c r="O64" s="120">
        <f t="shared" si="21"/>
        <v>2052</v>
      </c>
      <c r="P64" s="969"/>
    </row>
    <row r="65" spans="2:16">
      <c r="B65" s="415"/>
      <c r="C65" s="413">
        <v>1</v>
      </c>
      <c r="D65" s="414" t="s">
        <v>1628</v>
      </c>
      <c r="E65" s="218"/>
      <c r="F65" s="2644">
        <v>0</v>
      </c>
      <c r="G65" s="293">
        <v>0.28634449541284401</v>
      </c>
      <c r="H65" s="293">
        <v>0.28999999999999998</v>
      </c>
      <c r="I65" s="293">
        <v>0.17</v>
      </c>
      <c r="J65" s="293">
        <v>0.12</v>
      </c>
      <c r="K65" s="293">
        <v>0.1</v>
      </c>
      <c r="L65" s="293">
        <v>0.08</v>
      </c>
      <c r="M65" s="293">
        <v>7.0000000000000007E-2</v>
      </c>
      <c r="N65" s="293">
        <v>0.06</v>
      </c>
      <c r="O65" s="293">
        <v>0.05</v>
      </c>
      <c r="P65" s="969"/>
    </row>
    <row r="66" spans="2:16">
      <c r="B66" s="415"/>
      <c r="C66" s="413">
        <v>2</v>
      </c>
      <c r="D66" s="414" t="s">
        <v>811</v>
      </c>
      <c r="E66" s="218"/>
      <c r="F66" s="2644">
        <v>0</v>
      </c>
      <c r="G66" s="293">
        <v>0.28999999999999998</v>
      </c>
      <c r="H66" s="293">
        <v>0.3</v>
      </c>
      <c r="I66" s="293">
        <v>0.3</v>
      </c>
      <c r="J66" s="293">
        <v>0.3</v>
      </c>
      <c r="K66" s="293">
        <v>0.3</v>
      </c>
      <c r="L66" s="293">
        <v>0.3</v>
      </c>
      <c r="M66" s="293">
        <v>0.3</v>
      </c>
      <c r="N66" s="293">
        <v>0.3</v>
      </c>
      <c r="O66" s="293">
        <v>0.3</v>
      </c>
      <c r="P66" s="969"/>
    </row>
    <row r="67" spans="2:16">
      <c r="B67" s="415"/>
      <c r="C67" s="413">
        <v>3</v>
      </c>
      <c r="D67" s="414" t="s">
        <v>1018</v>
      </c>
      <c r="E67" s="218"/>
      <c r="F67" s="2644">
        <f t="shared" ref="F67" si="22">F66</f>
        <v>0</v>
      </c>
      <c r="G67" s="293">
        <v>0.28999999999999998</v>
      </c>
      <c r="H67" s="293">
        <v>0.31</v>
      </c>
      <c r="I67" s="293">
        <v>0.33</v>
      </c>
      <c r="J67" s="293">
        <v>0.34</v>
      </c>
      <c r="K67" s="293">
        <v>0.35</v>
      </c>
      <c r="L67" s="293">
        <v>0.36</v>
      </c>
      <c r="M67" s="293">
        <v>0.38</v>
      </c>
      <c r="N67" s="293">
        <v>0.39</v>
      </c>
      <c r="O67" s="293">
        <v>0.4</v>
      </c>
      <c r="P67" s="969"/>
    </row>
    <row r="68" spans="2:16">
      <c r="B68" s="415"/>
      <c r="C68" s="413">
        <v>4</v>
      </c>
      <c r="D68" s="414" t="s">
        <v>1019</v>
      </c>
      <c r="E68" s="218"/>
      <c r="F68" s="2644">
        <f>F66</f>
        <v>0</v>
      </c>
      <c r="G68" s="293">
        <f t="shared" ref="G68" si="23">G66</f>
        <v>0.28999999999999998</v>
      </c>
      <c r="H68" s="293">
        <v>0.33</v>
      </c>
      <c r="I68" s="293">
        <v>0.35</v>
      </c>
      <c r="J68" s="293">
        <v>0.38</v>
      </c>
      <c r="K68" s="293">
        <v>0.4</v>
      </c>
      <c r="L68" s="293">
        <v>0.43</v>
      </c>
      <c r="M68" s="293">
        <v>0.45</v>
      </c>
      <c r="N68" s="293">
        <v>0.48</v>
      </c>
      <c r="O68" s="293">
        <v>0.5</v>
      </c>
      <c r="P68" s="969"/>
    </row>
    <row r="69" spans="2:16">
      <c r="B69" s="415"/>
      <c r="C69" s="2992"/>
      <c r="D69" s="2993" t="s">
        <v>406</v>
      </c>
      <c r="E69" s="2681"/>
      <c r="F69" s="2995">
        <f t="shared" ref="F69:O69" si="24">(INDEX(F65:F68,ROUNDDOWN($E$8,0))*(1-MOD($E$8,1)))+(INDEX(F65:F68,ROUNDUP($E$8,0))*MOD($E$8,1))</f>
        <v>0</v>
      </c>
      <c r="G69" s="2995">
        <f t="shared" si="24"/>
        <v>0.28634449541284401</v>
      </c>
      <c r="H69" s="2995">
        <f t="shared" si="24"/>
        <v>0.28999999999999998</v>
      </c>
      <c r="I69" s="2995">
        <f t="shared" si="24"/>
        <v>0.17</v>
      </c>
      <c r="J69" s="2995">
        <f t="shared" si="24"/>
        <v>0.12</v>
      </c>
      <c r="K69" s="2995">
        <f t="shared" si="24"/>
        <v>0.1</v>
      </c>
      <c r="L69" s="2995">
        <f t="shared" si="24"/>
        <v>0.08</v>
      </c>
      <c r="M69" s="2995">
        <f t="shared" si="24"/>
        <v>7.0000000000000007E-2</v>
      </c>
      <c r="N69" s="2995">
        <f t="shared" si="24"/>
        <v>0.06</v>
      </c>
      <c r="O69" s="2995">
        <f t="shared" si="24"/>
        <v>0.05</v>
      </c>
      <c r="P69" s="969"/>
    </row>
    <row r="70" spans="2:16">
      <c r="B70" s="415"/>
      <c r="C70" s="415"/>
      <c r="D70" s="415"/>
      <c r="E70" s="415"/>
      <c r="F70" s="415"/>
      <c r="G70" s="415"/>
      <c r="H70" s="415"/>
      <c r="I70" s="415"/>
      <c r="J70" s="415"/>
      <c r="K70" s="415"/>
      <c r="L70" s="415"/>
      <c r="M70" s="415"/>
      <c r="N70" s="415"/>
      <c r="O70" s="415"/>
      <c r="P70" s="969"/>
    </row>
    <row r="71" spans="2:16">
      <c r="B71" s="415"/>
      <c r="C71" s="416" t="s">
        <v>1632</v>
      </c>
      <c r="D71" s="415"/>
      <c r="E71" s="104"/>
      <c r="F71" s="415"/>
      <c r="G71" s="415"/>
      <c r="H71" s="415"/>
      <c r="I71" s="415"/>
      <c r="J71" s="415"/>
      <c r="K71" s="415"/>
      <c r="L71" s="415"/>
      <c r="M71" s="415"/>
      <c r="N71" s="415"/>
      <c r="O71" s="104"/>
      <c r="P71" s="969"/>
    </row>
    <row r="72" spans="2:16">
      <c r="B72" s="415"/>
      <c r="C72" s="415"/>
      <c r="D72" s="415"/>
      <c r="E72" s="415"/>
      <c r="F72" s="415"/>
      <c r="G72" s="415"/>
      <c r="H72" s="415"/>
      <c r="I72" s="415"/>
      <c r="J72" s="415"/>
      <c r="K72" s="415"/>
      <c r="L72" s="415"/>
      <c r="M72" s="415"/>
      <c r="N72" s="415"/>
      <c r="O72" s="415"/>
      <c r="P72" s="969"/>
    </row>
    <row r="73" spans="2:16">
      <c r="B73" s="415"/>
      <c r="C73" s="61" t="s">
        <v>411</v>
      </c>
      <c r="D73" s="61" t="s">
        <v>66</v>
      </c>
      <c r="E73" s="61" t="s">
        <v>156</v>
      </c>
      <c r="F73" s="119">
        <v>2007</v>
      </c>
      <c r="G73" s="120">
        <f t="shared" ref="G73:O73" si="25">F73+5</f>
        <v>2012</v>
      </c>
      <c r="H73" s="120">
        <f t="shared" si="25"/>
        <v>2017</v>
      </c>
      <c r="I73" s="120">
        <f t="shared" si="25"/>
        <v>2022</v>
      </c>
      <c r="J73" s="120">
        <f t="shared" si="25"/>
        <v>2027</v>
      </c>
      <c r="K73" s="120">
        <f t="shared" si="25"/>
        <v>2032</v>
      </c>
      <c r="L73" s="120">
        <f t="shared" si="25"/>
        <v>2037</v>
      </c>
      <c r="M73" s="120">
        <f t="shared" si="25"/>
        <v>2042</v>
      </c>
      <c r="N73" s="120">
        <f t="shared" si="25"/>
        <v>2047</v>
      </c>
      <c r="O73" s="120">
        <f t="shared" si="25"/>
        <v>2052</v>
      </c>
      <c r="P73" s="969"/>
    </row>
    <row r="74" spans="2:16">
      <c r="B74" s="415"/>
      <c r="C74" s="413">
        <v>1</v>
      </c>
      <c r="D74" s="414" t="s">
        <v>1628</v>
      </c>
      <c r="E74" s="218"/>
      <c r="F74" s="293">
        <v>0</v>
      </c>
      <c r="G74" s="293">
        <v>0.93</v>
      </c>
      <c r="H74" s="293">
        <v>0.93</v>
      </c>
      <c r="I74" s="293">
        <v>0.81</v>
      </c>
      <c r="J74" s="293">
        <v>0.71</v>
      </c>
      <c r="K74" s="293">
        <v>0.64</v>
      </c>
      <c r="L74" s="293">
        <v>0.57999999999999996</v>
      </c>
      <c r="M74" s="293">
        <v>0.54</v>
      </c>
      <c r="N74" s="293">
        <v>0.5</v>
      </c>
      <c r="O74" s="293">
        <v>0.47</v>
      </c>
      <c r="P74" s="969"/>
    </row>
    <row r="75" spans="2:16">
      <c r="B75" s="415"/>
      <c r="C75" s="413">
        <v>2</v>
      </c>
      <c r="D75" s="414" t="s">
        <v>811</v>
      </c>
      <c r="E75" s="218"/>
      <c r="F75" s="293">
        <v>0</v>
      </c>
      <c r="G75" s="293">
        <v>0.92756974681502991</v>
      </c>
      <c r="H75" s="293">
        <v>0.65058990485405588</v>
      </c>
      <c r="I75" s="293">
        <v>0.65058990485405588</v>
      </c>
      <c r="J75" s="293">
        <v>0.65058990485405588</v>
      </c>
      <c r="K75" s="293">
        <v>0.65058990485405588</v>
      </c>
      <c r="L75" s="293">
        <v>0.65058990485405588</v>
      </c>
      <c r="M75" s="293">
        <v>0.65058990485405588</v>
      </c>
      <c r="N75" s="293">
        <v>0.65058990485405588</v>
      </c>
      <c r="O75" s="293">
        <v>0.65058990485405588</v>
      </c>
      <c r="P75" s="969"/>
    </row>
    <row r="76" spans="2:16">
      <c r="B76" s="415"/>
      <c r="C76" s="413">
        <v>3</v>
      </c>
      <c r="D76" s="414" t="s">
        <v>1018</v>
      </c>
      <c r="E76" s="218"/>
      <c r="F76" s="293">
        <f t="shared" ref="F76:G76" si="26">F75</f>
        <v>0</v>
      </c>
      <c r="G76" s="293">
        <f t="shared" si="26"/>
        <v>0.92756974681502991</v>
      </c>
      <c r="H76" s="293">
        <v>0.65</v>
      </c>
      <c r="I76" s="293">
        <v>0.66</v>
      </c>
      <c r="J76" s="293">
        <v>0.66</v>
      </c>
      <c r="K76" s="293">
        <v>0.67</v>
      </c>
      <c r="L76" s="293">
        <v>0.67</v>
      </c>
      <c r="M76" s="293">
        <v>0.67</v>
      </c>
      <c r="N76" s="293">
        <v>0.68</v>
      </c>
      <c r="O76" s="293">
        <v>0.68</v>
      </c>
      <c r="P76" s="969"/>
    </row>
    <row r="77" spans="2:16">
      <c r="B77" s="415"/>
      <c r="C77" s="413">
        <v>4</v>
      </c>
      <c r="D77" s="414" t="s">
        <v>1019</v>
      </c>
      <c r="E77" s="218"/>
      <c r="F77" s="293">
        <f>F75</f>
        <v>0</v>
      </c>
      <c r="G77" s="293">
        <f t="shared" ref="G77" si="27">G75</f>
        <v>0.92756974681502991</v>
      </c>
      <c r="H77" s="293">
        <v>0.66</v>
      </c>
      <c r="I77" s="293">
        <v>0.66</v>
      </c>
      <c r="J77" s="293">
        <v>0.67</v>
      </c>
      <c r="K77" s="293">
        <v>0.68</v>
      </c>
      <c r="L77" s="293">
        <v>0.68</v>
      </c>
      <c r="M77" s="293">
        <v>0.69</v>
      </c>
      <c r="N77" s="293">
        <v>0.69</v>
      </c>
      <c r="O77" s="293">
        <v>0.7</v>
      </c>
      <c r="P77" s="969"/>
    </row>
    <row r="78" spans="2:16">
      <c r="B78" s="415"/>
      <c r="C78" s="2992"/>
      <c r="D78" s="2993" t="s">
        <v>406</v>
      </c>
      <c r="E78" s="2681"/>
      <c r="F78" s="2995">
        <f t="shared" ref="F78:O78" si="28">(INDEX(F74:F77,ROUNDDOWN($E$8,0))*(1-MOD($E$8,1)))+(INDEX(F74:F77,ROUNDUP($E$8,0))*MOD($E$8,1))</f>
        <v>0</v>
      </c>
      <c r="G78" s="2995">
        <f t="shared" si="28"/>
        <v>0.93</v>
      </c>
      <c r="H78" s="2995">
        <f t="shared" si="28"/>
        <v>0.93</v>
      </c>
      <c r="I78" s="2995">
        <f t="shared" si="28"/>
        <v>0.81</v>
      </c>
      <c r="J78" s="2995">
        <f t="shared" si="28"/>
        <v>0.71</v>
      </c>
      <c r="K78" s="2995">
        <f t="shared" si="28"/>
        <v>0.64</v>
      </c>
      <c r="L78" s="2995">
        <f t="shared" si="28"/>
        <v>0.57999999999999996</v>
      </c>
      <c r="M78" s="2995">
        <f t="shared" si="28"/>
        <v>0.54</v>
      </c>
      <c r="N78" s="2995">
        <f t="shared" si="28"/>
        <v>0.5</v>
      </c>
      <c r="O78" s="2995">
        <f t="shared" si="28"/>
        <v>0.47</v>
      </c>
      <c r="P78" s="969"/>
    </row>
    <row r="79" spans="2:16">
      <c r="B79" s="415"/>
      <c r="C79" s="415"/>
      <c r="D79" s="415"/>
      <c r="E79" s="415"/>
      <c r="F79" s="415"/>
      <c r="G79" s="415"/>
      <c r="H79" s="415"/>
      <c r="I79" s="415"/>
      <c r="J79" s="415"/>
      <c r="K79" s="415"/>
      <c r="L79" s="415"/>
      <c r="M79" s="415"/>
      <c r="N79" s="415"/>
      <c r="O79" s="415"/>
      <c r="P79" s="969"/>
    </row>
    <row r="80" spans="2:16">
      <c r="B80" s="415"/>
      <c r="C80" s="416" t="s">
        <v>1633</v>
      </c>
      <c r="D80" s="415"/>
      <c r="E80" s="104"/>
      <c r="F80" s="415"/>
      <c r="G80" s="415"/>
      <c r="H80" s="415"/>
      <c r="I80" s="415"/>
      <c r="J80" s="415"/>
      <c r="K80" s="415"/>
      <c r="L80" s="415"/>
      <c r="M80" s="415"/>
      <c r="N80" s="415"/>
      <c r="O80" s="104"/>
      <c r="P80" s="969"/>
    </row>
    <row r="81" spans="2:17">
      <c r="B81" s="415"/>
      <c r="C81" s="415"/>
      <c r="D81" s="415"/>
      <c r="E81" s="415"/>
      <c r="F81" s="415"/>
      <c r="G81" s="415"/>
      <c r="H81" s="415"/>
      <c r="I81" s="415"/>
      <c r="J81" s="415"/>
      <c r="K81" s="415"/>
      <c r="L81" s="415"/>
      <c r="M81" s="415"/>
      <c r="N81" s="415"/>
      <c r="O81" s="415"/>
      <c r="P81" s="969"/>
    </row>
    <row r="82" spans="2:17">
      <c r="B82" s="415"/>
      <c r="C82" s="61" t="s">
        <v>411</v>
      </c>
      <c r="D82" s="61" t="s">
        <v>66</v>
      </c>
      <c r="E82" s="61" t="s">
        <v>156</v>
      </c>
      <c r="F82" s="119">
        <v>2007</v>
      </c>
      <c r="G82" s="120">
        <f t="shared" ref="G82:O82" si="29">F82+5</f>
        <v>2012</v>
      </c>
      <c r="H82" s="120">
        <f t="shared" si="29"/>
        <v>2017</v>
      </c>
      <c r="I82" s="120">
        <f t="shared" si="29"/>
        <v>2022</v>
      </c>
      <c r="J82" s="120">
        <f t="shared" si="29"/>
        <v>2027</v>
      </c>
      <c r="K82" s="120">
        <f t="shared" si="29"/>
        <v>2032</v>
      </c>
      <c r="L82" s="120">
        <f t="shared" si="29"/>
        <v>2037</v>
      </c>
      <c r="M82" s="120">
        <f t="shared" si="29"/>
        <v>2042</v>
      </c>
      <c r="N82" s="120">
        <f t="shared" si="29"/>
        <v>2047</v>
      </c>
      <c r="O82" s="120">
        <f t="shared" si="29"/>
        <v>2052</v>
      </c>
      <c r="P82" s="969"/>
    </row>
    <row r="83" spans="2:17">
      <c r="B83" s="415"/>
      <c r="C83" s="413">
        <v>1</v>
      </c>
      <c r="D83" s="414" t="s">
        <v>1628</v>
      </c>
      <c r="E83" s="218"/>
      <c r="F83" s="293">
        <v>0</v>
      </c>
      <c r="G83" s="293">
        <v>0.89159918670438476</v>
      </c>
      <c r="H83" s="293">
        <v>0.89</v>
      </c>
      <c r="I83" s="293">
        <v>0.78</v>
      </c>
      <c r="J83" s="293">
        <v>0.7</v>
      </c>
      <c r="K83" s="293">
        <v>0.63</v>
      </c>
      <c r="L83" s="293">
        <v>0.56999999999999995</v>
      </c>
      <c r="M83" s="293">
        <v>0.54</v>
      </c>
      <c r="N83" s="293">
        <v>0.5</v>
      </c>
      <c r="O83" s="293">
        <v>0.48</v>
      </c>
      <c r="P83" s="969"/>
    </row>
    <row r="84" spans="2:17">
      <c r="B84" s="415"/>
      <c r="C84" s="413">
        <v>2</v>
      </c>
      <c r="D84" s="414" t="s">
        <v>811</v>
      </c>
      <c r="E84" s="218"/>
      <c r="F84" s="293">
        <v>0</v>
      </c>
      <c r="G84" s="293">
        <v>0.89159918670438476</v>
      </c>
      <c r="H84" s="293">
        <v>0.8928571428571429</v>
      </c>
      <c r="I84" s="293">
        <v>0.8928571428571429</v>
      </c>
      <c r="J84" s="293">
        <v>0.8928571428571429</v>
      </c>
      <c r="K84" s="293">
        <v>0.8928571428571429</v>
      </c>
      <c r="L84" s="293">
        <v>0.8928571428571429</v>
      </c>
      <c r="M84" s="293">
        <v>0.8928571428571429</v>
      </c>
      <c r="N84" s="293">
        <v>0.8928571428571429</v>
      </c>
      <c r="O84" s="293">
        <v>0.8928571428571429</v>
      </c>
      <c r="P84" s="293"/>
      <c r="Q84" s="293"/>
    </row>
    <row r="85" spans="2:17">
      <c r="B85" s="415"/>
      <c r="C85" s="413">
        <v>3</v>
      </c>
      <c r="D85" s="414" t="s">
        <v>1018</v>
      </c>
      <c r="E85" s="218"/>
      <c r="F85" s="293">
        <f t="shared" ref="F85:G85" si="30">F84</f>
        <v>0</v>
      </c>
      <c r="G85" s="293">
        <f t="shared" si="30"/>
        <v>0.89159918670438476</v>
      </c>
      <c r="H85" s="293">
        <v>0.9</v>
      </c>
      <c r="I85" s="293">
        <v>0.9</v>
      </c>
      <c r="J85" s="293">
        <v>0.91</v>
      </c>
      <c r="K85" s="293">
        <v>0.91</v>
      </c>
      <c r="L85" s="293">
        <v>0.92</v>
      </c>
      <c r="M85" s="293">
        <v>0.92</v>
      </c>
      <c r="N85" s="293">
        <v>0.93</v>
      </c>
      <c r="O85" s="293">
        <v>0.93</v>
      </c>
      <c r="P85" s="969"/>
    </row>
    <row r="86" spans="2:17">
      <c r="B86" s="415"/>
      <c r="C86" s="413">
        <v>4</v>
      </c>
      <c r="D86" s="414" t="s">
        <v>1019</v>
      </c>
      <c r="E86" s="218"/>
      <c r="F86" s="293">
        <f>F84</f>
        <v>0</v>
      </c>
      <c r="G86" s="293">
        <f t="shared" ref="G86" si="31">G84</f>
        <v>0.89159918670438476</v>
      </c>
      <c r="H86" s="293">
        <v>0.9</v>
      </c>
      <c r="I86" s="293">
        <v>0.91</v>
      </c>
      <c r="J86" s="293">
        <v>0.91</v>
      </c>
      <c r="K86" s="293">
        <v>0.92</v>
      </c>
      <c r="L86" s="293">
        <v>0.83</v>
      </c>
      <c r="M86" s="293">
        <v>0.94</v>
      </c>
      <c r="N86" s="293">
        <v>0.94</v>
      </c>
      <c r="O86" s="293">
        <v>0.95</v>
      </c>
      <c r="P86" s="969"/>
    </row>
    <row r="87" spans="2:17">
      <c r="B87" s="415"/>
      <c r="C87" s="2992"/>
      <c r="D87" s="2993" t="s">
        <v>406</v>
      </c>
      <c r="E87" s="2681"/>
      <c r="F87" s="2995">
        <f t="shared" ref="F87:O87" si="32">(INDEX(F83:F86,ROUNDDOWN($E$8,0))*(1-MOD($E$8,1)))+(INDEX(F83:F86,ROUNDUP($E$8,0))*MOD($E$8,1))</f>
        <v>0</v>
      </c>
      <c r="G87" s="2995">
        <f t="shared" si="32"/>
        <v>0.89159918670438476</v>
      </c>
      <c r="H87" s="2995">
        <f t="shared" si="32"/>
        <v>0.89</v>
      </c>
      <c r="I87" s="2995">
        <f t="shared" si="32"/>
        <v>0.78</v>
      </c>
      <c r="J87" s="2995">
        <f t="shared" si="32"/>
        <v>0.7</v>
      </c>
      <c r="K87" s="2995">
        <f t="shared" si="32"/>
        <v>0.63</v>
      </c>
      <c r="L87" s="2995">
        <f t="shared" si="32"/>
        <v>0.56999999999999995</v>
      </c>
      <c r="M87" s="2995">
        <f t="shared" si="32"/>
        <v>0.54</v>
      </c>
      <c r="N87" s="2995">
        <f t="shared" si="32"/>
        <v>0.5</v>
      </c>
      <c r="O87" s="2995">
        <f t="shared" si="32"/>
        <v>0.48</v>
      </c>
      <c r="P87" s="969"/>
    </row>
    <row r="88" spans="2:17">
      <c r="B88" s="415"/>
      <c r="C88" s="415"/>
      <c r="D88" s="415"/>
      <c r="E88" s="415"/>
      <c r="F88" s="415"/>
      <c r="G88" s="415"/>
      <c r="H88" s="415"/>
      <c r="I88" s="415"/>
      <c r="J88" s="415"/>
      <c r="K88" s="415"/>
      <c r="L88" s="415"/>
      <c r="M88" s="415"/>
      <c r="N88" s="415"/>
      <c r="O88" s="415"/>
      <c r="P88" s="969"/>
    </row>
    <row r="89" spans="2:17">
      <c r="B89" s="415"/>
      <c r="C89" s="416" t="s">
        <v>1634</v>
      </c>
      <c r="D89" s="415"/>
      <c r="E89" s="104"/>
      <c r="F89" s="415"/>
      <c r="G89" s="415"/>
      <c r="H89" s="415"/>
      <c r="I89" s="415"/>
      <c r="J89" s="415"/>
      <c r="K89" s="415"/>
      <c r="L89" s="415"/>
      <c r="M89" s="415"/>
      <c r="N89" s="415"/>
      <c r="O89" s="104"/>
      <c r="P89" s="969"/>
    </row>
    <row r="90" spans="2:17">
      <c r="B90" s="415"/>
      <c r="C90" s="415"/>
      <c r="D90" s="415"/>
      <c r="E90" s="415"/>
      <c r="F90" s="415"/>
      <c r="G90" s="415"/>
      <c r="H90" s="415"/>
      <c r="I90" s="415"/>
      <c r="J90" s="415"/>
      <c r="K90" s="415"/>
      <c r="L90" s="415"/>
      <c r="M90" s="415"/>
      <c r="N90" s="415"/>
      <c r="O90" s="415"/>
      <c r="P90" s="969"/>
    </row>
    <row r="91" spans="2:17">
      <c r="B91" s="415"/>
      <c r="C91" s="61" t="s">
        <v>411</v>
      </c>
      <c r="D91" s="61" t="s">
        <v>66</v>
      </c>
      <c r="E91" s="61" t="s">
        <v>156</v>
      </c>
      <c r="F91" s="119">
        <v>2007</v>
      </c>
      <c r="G91" s="120">
        <f t="shared" ref="G91:O91" si="33">F91+5</f>
        <v>2012</v>
      </c>
      <c r="H91" s="120">
        <f t="shared" si="33"/>
        <v>2017</v>
      </c>
      <c r="I91" s="120">
        <f t="shared" si="33"/>
        <v>2022</v>
      </c>
      <c r="J91" s="120">
        <f t="shared" si="33"/>
        <v>2027</v>
      </c>
      <c r="K91" s="120">
        <f t="shared" si="33"/>
        <v>2032</v>
      </c>
      <c r="L91" s="120">
        <f t="shared" si="33"/>
        <v>2037</v>
      </c>
      <c r="M91" s="120">
        <f t="shared" si="33"/>
        <v>2042</v>
      </c>
      <c r="N91" s="120">
        <f t="shared" si="33"/>
        <v>2047</v>
      </c>
      <c r="O91" s="120">
        <f t="shared" si="33"/>
        <v>2052</v>
      </c>
      <c r="P91" s="969"/>
    </row>
    <row r="92" spans="2:17">
      <c r="B92" s="415"/>
      <c r="C92" s="413">
        <v>1</v>
      </c>
      <c r="D92" s="414" t="s">
        <v>1628</v>
      </c>
      <c r="E92" s="218"/>
      <c r="F92" s="293">
        <v>0</v>
      </c>
      <c r="G92" s="293">
        <v>0</v>
      </c>
      <c r="H92" s="293">
        <v>0</v>
      </c>
      <c r="I92" s="293">
        <v>0</v>
      </c>
      <c r="J92" s="293">
        <v>0</v>
      </c>
      <c r="K92" s="293">
        <v>0</v>
      </c>
      <c r="L92" s="293">
        <v>0</v>
      </c>
      <c r="M92" s="293">
        <v>0</v>
      </c>
      <c r="N92" s="293">
        <v>0</v>
      </c>
      <c r="O92" s="293">
        <v>0</v>
      </c>
      <c r="P92" s="969"/>
    </row>
    <row r="93" spans="2:17">
      <c r="B93" s="415"/>
      <c r="C93" s="413">
        <v>2</v>
      </c>
      <c r="D93" s="414" t="s">
        <v>811</v>
      </c>
      <c r="E93" s="218"/>
      <c r="F93" s="293">
        <v>0</v>
      </c>
      <c r="G93" s="293">
        <v>0</v>
      </c>
      <c r="H93" s="293">
        <v>0</v>
      </c>
      <c r="I93" s="293">
        <v>0</v>
      </c>
      <c r="J93" s="293">
        <v>0</v>
      </c>
      <c r="K93" s="293">
        <v>0</v>
      </c>
      <c r="L93" s="293">
        <v>0</v>
      </c>
      <c r="M93" s="293">
        <v>0</v>
      </c>
      <c r="N93" s="293">
        <v>0</v>
      </c>
      <c r="O93" s="293">
        <v>0</v>
      </c>
      <c r="P93" s="969"/>
    </row>
    <row r="94" spans="2:17">
      <c r="B94" s="415"/>
      <c r="C94" s="413">
        <v>3</v>
      </c>
      <c r="D94" s="414" t="s">
        <v>1018</v>
      </c>
      <c r="E94" s="218"/>
      <c r="F94" s="293">
        <f t="shared" ref="F94:O94" si="34">F93</f>
        <v>0</v>
      </c>
      <c r="G94" s="293">
        <f t="shared" si="34"/>
        <v>0</v>
      </c>
      <c r="H94" s="293">
        <f t="shared" si="34"/>
        <v>0</v>
      </c>
      <c r="I94" s="293">
        <f t="shared" si="34"/>
        <v>0</v>
      </c>
      <c r="J94" s="293">
        <f t="shared" si="34"/>
        <v>0</v>
      </c>
      <c r="K94" s="293">
        <f t="shared" si="34"/>
        <v>0</v>
      </c>
      <c r="L94" s="293">
        <f t="shared" si="34"/>
        <v>0</v>
      </c>
      <c r="M94" s="293">
        <f t="shared" si="34"/>
        <v>0</v>
      </c>
      <c r="N94" s="293">
        <f t="shared" si="34"/>
        <v>0</v>
      </c>
      <c r="O94" s="293">
        <f t="shared" si="34"/>
        <v>0</v>
      </c>
      <c r="P94" s="969"/>
    </row>
    <row r="95" spans="2:17">
      <c r="B95" s="415"/>
      <c r="C95" s="413">
        <v>4</v>
      </c>
      <c r="D95" s="414" t="s">
        <v>1019</v>
      </c>
      <c r="E95" s="218"/>
      <c r="F95" s="293">
        <f>F93</f>
        <v>0</v>
      </c>
      <c r="G95" s="293">
        <f t="shared" ref="G95:O95" si="35">G93</f>
        <v>0</v>
      </c>
      <c r="H95" s="293">
        <f t="shared" si="35"/>
        <v>0</v>
      </c>
      <c r="I95" s="293">
        <f t="shared" si="35"/>
        <v>0</v>
      </c>
      <c r="J95" s="293">
        <f t="shared" si="35"/>
        <v>0</v>
      </c>
      <c r="K95" s="293">
        <f t="shared" si="35"/>
        <v>0</v>
      </c>
      <c r="L95" s="293">
        <f t="shared" si="35"/>
        <v>0</v>
      </c>
      <c r="M95" s="293">
        <f t="shared" si="35"/>
        <v>0</v>
      </c>
      <c r="N95" s="293">
        <f t="shared" si="35"/>
        <v>0</v>
      </c>
      <c r="O95" s="293">
        <f t="shared" si="35"/>
        <v>0</v>
      </c>
      <c r="P95" s="969"/>
    </row>
    <row r="96" spans="2:17">
      <c r="B96" s="415"/>
      <c r="C96" s="2992"/>
      <c r="D96" s="2993" t="s">
        <v>406</v>
      </c>
      <c r="E96" s="2681"/>
      <c r="F96" s="2995">
        <f t="shared" ref="F96:O96" si="36">(INDEX(F92:F95,ROUNDDOWN($E$8,0))*(1-MOD($E$8,1)))+(INDEX(F92:F95,ROUNDUP($E$8,0))*MOD($E$8,1))</f>
        <v>0</v>
      </c>
      <c r="G96" s="2995">
        <f t="shared" si="36"/>
        <v>0</v>
      </c>
      <c r="H96" s="2995">
        <f t="shared" si="36"/>
        <v>0</v>
      </c>
      <c r="I96" s="2995">
        <f t="shared" si="36"/>
        <v>0</v>
      </c>
      <c r="J96" s="2995">
        <f t="shared" si="36"/>
        <v>0</v>
      </c>
      <c r="K96" s="2995">
        <f t="shared" si="36"/>
        <v>0</v>
      </c>
      <c r="L96" s="2995">
        <f t="shared" si="36"/>
        <v>0</v>
      </c>
      <c r="M96" s="2995">
        <f t="shared" si="36"/>
        <v>0</v>
      </c>
      <c r="N96" s="2995">
        <f t="shared" si="36"/>
        <v>0</v>
      </c>
      <c r="O96" s="2995">
        <f t="shared" si="36"/>
        <v>0</v>
      </c>
      <c r="P96" s="969"/>
    </row>
    <row r="97" spans="2:16">
      <c r="B97" s="415"/>
      <c r="C97" s="415"/>
      <c r="D97" s="415"/>
      <c r="E97" s="415"/>
      <c r="F97" s="415"/>
      <c r="G97" s="415"/>
      <c r="H97" s="415"/>
      <c r="I97" s="415"/>
      <c r="J97" s="415"/>
      <c r="K97" s="415"/>
      <c r="L97" s="415"/>
      <c r="M97" s="415"/>
      <c r="N97" s="415"/>
      <c r="O97" s="415"/>
      <c r="P97" s="969"/>
    </row>
    <row r="98" spans="2:16" ht="20.25" customHeight="1">
      <c r="B98" s="415"/>
      <c r="C98" s="2996" t="s">
        <v>2336</v>
      </c>
      <c r="D98" s="2997"/>
      <c r="E98" s="2997"/>
      <c r="F98" s="415"/>
      <c r="G98" s="415"/>
      <c r="H98" s="415"/>
      <c r="I98" s="415"/>
      <c r="J98" s="415"/>
      <c r="K98" s="415"/>
      <c r="L98" s="415"/>
      <c r="M98" s="415"/>
      <c r="N98" s="415"/>
      <c r="O98" s="415"/>
      <c r="P98" s="969"/>
    </row>
    <row r="99" spans="2:16">
      <c r="B99" s="415"/>
      <c r="C99" s="416" t="s">
        <v>2337</v>
      </c>
      <c r="D99" s="415"/>
      <c r="E99" s="104"/>
      <c r="F99" s="415"/>
      <c r="G99" s="415"/>
      <c r="H99" s="415"/>
      <c r="I99" s="415"/>
      <c r="J99" s="415"/>
      <c r="K99" s="415"/>
      <c r="L99" s="415"/>
      <c r="M99" s="415"/>
      <c r="N99" s="415"/>
      <c r="O99" s="104"/>
      <c r="P99" s="969"/>
    </row>
    <row r="100" spans="2:16">
      <c r="B100" s="415"/>
      <c r="C100" s="415"/>
      <c r="D100" s="415"/>
      <c r="E100" s="415"/>
      <c r="F100" s="415"/>
      <c r="G100" s="415"/>
      <c r="H100" s="415"/>
      <c r="I100" s="415"/>
      <c r="J100" s="415"/>
      <c r="K100" s="415"/>
      <c r="L100" s="415"/>
      <c r="M100" s="415"/>
      <c r="N100" s="415"/>
      <c r="O100" s="415" t="str">
        <f>preferences.energyunits&amp;"/MT of Production"</f>
        <v>TWh/MT of Production</v>
      </c>
      <c r="P100" s="969"/>
    </row>
    <row r="101" spans="2:16">
      <c r="B101" s="415"/>
      <c r="C101" s="61" t="s">
        <v>411</v>
      </c>
      <c r="D101" s="61" t="s">
        <v>66</v>
      </c>
      <c r="E101" s="61" t="s">
        <v>156</v>
      </c>
      <c r="F101" s="119">
        <v>2007</v>
      </c>
      <c r="G101" s="120">
        <f t="shared" ref="G101:O101" si="37">F101+5</f>
        <v>2012</v>
      </c>
      <c r="H101" s="120">
        <f t="shared" si="37"/>
        <v>2017</v>
      </c>
      <c r="I101" s="120">
        <f t="shared" si="37"/>
        <v>2022</v>
      </c>
      <c r="J101" s="120">
        <f t="shared" si="37"/>
        <v>2027</v>
      </c>
      <c r="K101" s="120">
        <f t="shared" si="37"/>
        <v>2032</v>
      </c>
      <c r="L101" s="120">
        <f t="shared" si="37"/>
        <v>2037</v>
      </c>
      <c r="M101" s="120">
        <f t="shared" si="37"/>
        <v>2042</v>
      </c>
      <c r="N101" s="120">
        <f t="shared" si="37"/>
        <v>2047</v>
      </c>
      <c r="O101" s="120">
        <f t="shared" si="37"/>
        <v>2052</v>
      </c>
      <c r="P101" s="969"/>
    </row>
    <row r="102" spans="2:16">
      <c r="B102" s="415"/>
      <c r="C102" s="413">
        <v>1</v>
      </c>
      <c r="D102" s="414" t="s">
        <v>1628</v>
      </c>
      <c r="E102" s="218"/>
      <c r="F102" s="669">
        <f>0*(Unit.Mtoe)</f>
        <v>0</v>
      </c>
      <c r="G102" s="669">
        <f>0.0858345514907137*(Unit.Mtoe)</f>
        <v>0.99825583383700045</v>
      </c>
      <c r="H102" s="669">
        <f t="shared" ref="H102:O102" si="38">0.0812530638364156*(Unit.Mtoe)</f>
        <v>0.94497313241751357</v>
      </c>
      <c r="I102" s="669">
        <f t="shared" si="38"/>
        <v>0.94497313241751357</v>
      </c>
      <c r="J102" s="669">
        <f t="shared" si="38"/>
        <v>0.94497313241751357</v>
      </c>
      <c r="K102" s="669">
        <f t="shared" si="38"/>
        <v>0.94497313241751357</v>
      </c>
      <c r="L102" s="669">
        <f t="shared" si="38"/>
        <v>0.94497313241751357</v>
      </c>
      <c r="M102" s="669">
        <f t="shared" si="38"/>
        <v>0.94497313241751357</v>
      </c>
      <c r="N102" s="669">
        <f t="shared" si="38"/>
        <v>0.94497313241751357</v>
      </c>
      <c r="O102" s="669">
        <f t="shared" si="38"/>
        <v>0.94497313241751357</v>
      </c>
      <c r="P102" s="969"/>
    </row>
    <row r="103" spans="2:16">
      <c r="B103" s="415"/>
      <c r="C103" s="413">
        <v>2</v>
      </c>
      <c r="D103" s="414" t="s">
        <v>811</v>
      </c>
      <c r="E103" s="218"/>
      <c r="F103" s="669">
        <f>0*(Unit.Mtoe)</f>
        <v>0</v>
      </c>
      <c r="G103" s="669">
        <f>0.0858345514907137*(Unit.Mtoe)</f>
        <v>0.99825583383700045</v>
      </c>
      <c r="H103" s="669">
        <f>0.0812530638364156*(Unit.Mtoe)</f>
        <v>0.94497313241751357</v>
      </c>
      <c r="I103" s="669">
        <f>0.0810740547169276*(Unit.Mtoe)</f>
        <v>0.94289125635786797</v>
      </c>
      <c r="J103" s="669">
        <f>0.0808950455974397*(Unit.Mtoe)</f>
        <v>0.9408093802982237</v>
      </c>
      <c r="K103" s="669">
        <f>0.0807160364779518*(Unit.Mtoe)</f>
        <v>0.93872750423857942</v>
      </c>
      <c r="L103" s="669">
        <f>0.0805370273584638*(Unit.Mtoe)</f>
        <v>0.93664562817893404</v>
      </c>
      <c r="M103" s="669">
        <f>0.0803580182389759*(Unit.Mtoe)</f>
        <v>0.93456375211928977</v>
      </c>
      <c r="N103" s="669">
        <f>0.0801790091194879*(Unit.Mtoe)</f>
        <v>0.93248187605964439</v>
      </c>
      <c r="O103" s="669">
        <f>0.08*(Unit.Mtoe)</f>
        <v>0.93040000000000012</v>
      </c>
      <c r="P103" s="969"/>
    </row>
    <row r="104" spans="2:16">
      <c r="B104" s="415"/>
      <c r="C104" s="413">
        <v>3</v>
      </c>
      <c r="D104" s="414" t="s">
        <v>1018</v>
      </c>
      <c r="E104" s="218"/>
      <c r="F104" s="669">
        <f>(F103)*(Unit.Mtoe)</f>
        <v>0</v>
      </c>
      <c r="G104" s="669">
        <f>0.0858345514907137*(Unit.Mtoe)</f>
        <v>0.99825583383700045</v>
      </c>
      <c r="H104" s="669">
        <f>0.0812530638364156*(Unit.Mtoe)</f>
        <v>0.94497313241751357</v>
      </c>
      <c r="I104" s="669">
        <f>0.0810740547169276*(Unit.Mtoe)</f>
        <v>0.94289125635786797</v>
      </c>
      <c r="J104" s="669">
        <f>0.0808950455974397*(Unit.Mtoe)</f>
        <v>0.9408093802982237</v>
      </c>
      <c r="K104" s="669">
        <f>0.0807160364779518*(Unit.Mtoe)</f>
        <v>0.93872750423857942</v>
      </c>
      <c r="L104" s="669">
        <f>0.0805370273584638*(Unit.Mtoe)</f>
        <v>0.93664562817893404</v>
      </c>
      <c r="M104" s="669">
        <f>0.0803580182389759*(Unit.Mtoe)</f>
        <v>0.93456375211928977</v>
      </c>
      <c r="N104" s="669">
        <f>0.0801790091194879*(Unit.Mtoe)</f>
        <v>0.93248187605964439</v>
      </c>
      <c r="O104" s="669">
        <f>0.08*(Unit.Mtoe)</f>
        <v>0.93040000000000012</v>
      </c>
      <c r="P104" s="969"/>
    </row>
    <row r="105" spans="2:16">
      <c r="B105" s="415"/>
      <c r="C105" s="413">
        <v>4</v>
      </c>
      <c r="D105" s="414" t="s">
        <v>1019</v>
      </c>
      <c r="E105" s="218"/>
      <c r="F105" s="669">
        <f>(F103)*(Unit.Mtoe)</f>
        <v>0</v>
      </c>
      <c r="G105" s="669">
        <f>0.0858345514907137*(Unit.Mtoe)</f>
        <v>0.99825583383700045</v>
      </c>
      <c r="H105" s="669">
        <f>0.0812530638364156*(Unit.Mtoe)</f>
        <v>0.94497313241751357</v>
      </c>
      <c r="I105" s="669">
        <f>0.0810740547169276*(Unit.Mtoe)</f>
        <v>0.94289125635786797</v>
      </c>
      <c r="J105" s="669">
        <f>0.0808950455974397*(Unit.Mtoe)</f>
        <v>0.9408093802982237</v>
      </c>
      <c r="K105" s="669">
        <f>0.0807160364779518*(Unit.Mtoe)</f>
        <v>0.93872750423857942</v>
      </c>
      <c r="L105" s="669">
        <f>0.0805370273584638*(Unit.Mtoe)</f>
        <v>0.93664562817893404</v>
      </c>
      <c r="M105" s="669">
        <f>0.0803580182389759*(Unit.Mtoe)</f>
        <v>0.93456375211928977</v>
      </c>
      <c r="N105" s="669">
        <f>0.0801790091194879*(Unit.Mtoe)</f>
        <v>0.93248187605964439</v>
      </c>
      <c r="O105" s="669">
        <f>0.08*(Unit.Mtoe)</f>
        <v>0.93040000000000012</v>
      </c>
      <c r="P105" s="969"/>
    </row>
    <row r="106" spans="2:16">
      <c r="B106" s="415"/>
      <c r="C106" s="2992"/>
      <c r="D106" s="2993" t="s">
        <v>406</v>
      </c>
      <c r="E106" s="2681"/>
      <c r="F106" s="2998">
        <f>(INDEX(F102:F105,ROUNDDOWN($E$8,0))*(1-MOD($E$8,1)))+(INDEX(F102:F105,ROUNDUP($E$8,0))*MOD($E$8,1))</f>
        <v>0</v>
      </c>
      <c r="G106" s="2998">
        <f t="shared" ref="G106:O106" si="39">(INDEX(G102:G105,ROUNDDOWN($E$8,0))*(1-MOD($E$8,1)))+(INDEX(G102:G105,ROUNDUP($E$8,0))*MOD($E$8,1))</f>
        <v>0.99825583383700045</v>
      </c>
      <c r="H106" s="2998">
        <f t="shared" si="39"/>
        <v>0.94497313241751357</v>
      </c>
      <c r="I106" s="2998">
        <f t="shared" si="39"/>
        <v>0.94497313241751357</v>
      </c>
      <c r="J106" s="2998">
        <f t="shared" si="39"/>
        <v>0.94497313241751357</v>
      </c>
      <c r="K106" s="2998">
        <f t="shared" si="39"/>
        <v>0.94497313241751357</v>
      </c>
      <c r="L106" s="2998">
        <f t="shared" si="39"/>
        <v>0.94497313241751357</v>
      </c>
      <c r="M106" s="2998">
        <f t="shared" si="39"/>
        <v>0.94497313241751357</v>
      </c>
      <c r="N106" s="2998">
        <f t="shared" si="39"/>
        <v>0.94497313241751357</v>
      </c>
      <c r="O106" s="2998">
        <f t="shared" si="39"/>
        <v>0.94497313241751357</v>
      </c>
      <c r="P106" s="969"/>
    </row>
    <row r="107" spans="2:16">
      <c r="B107" s="415"/>
      <c r="C107" s="415"/>
      <c r="D107" s="415"/>
      <c r="E107" s="415"/>
      <c r="F107" s="669"/>
      <c r="G107" s="669"/>
      <c r="H107" s="669"/>
      <c r="I107" s="669"/>
      <c r="J107" s="669"/>
      <c r="K107" s="669"/>
      <c r="L107" s="669"/>
      <c r="M107" s="669"/>
      <c r="N107" s="669"/>
      <c r="O107" s="669"/>
      <c r="P107" s="969"/>
    </row>
    <row r="108" spans="2:16">
      <c r="B108" s="415"/>
      <c r="C108" s="416" t="s">
        <v>2338</v>
      </c>
      <c r="D108" s="415"/>
      <c r="E108" s="104"/>
      <c r="F108" s="669"/>
      <c r="G108" s="669"/>
      <c r="H108" s="669"/>
      <c r="I108" s="669"/>
      <c r="J108" s="669"/>
      <c r="K108" s="669"/>
      <c r="L108" s="669"/>
      <c r="M108" s="669"/>
      <c r="N108" s="669"/>
      <c r="O108" s="2999"/>
      <c r="P108" s="969"/>
    </row>
    <row r="109" spans="2:16">
      <c r="B109" s="415"/>
      <c r="C109" s="415"/>
      <c r="D109" s="415"/>
      <c r="E109" s="415"/>
      <c r="F109" s="669"/>
      <c r="G109" s="669"/>
      <c r="H109" s="669"/>
      <c r="I109" s="669"/>
      <c r="J109" s="669"/>
      <c r="K109" s="669"/>
      <c r="L109" s="669"/>
      <c r="M109" s="669"/>
      <c r="N109" s="669"/>
      <c r="O109" s="415" t="str">
        <f>preferences.energyunits&amp;"/MT of Production"</f>
        <v>TWh/MT of Production</v>
      </c>
      <c r="P109" s="969"/>
    </row>
    <row r="110" spans="2:16">
      <c r="B110" s="415"/>
      <c r="C110" s="61" t="s">
        <v>411</v>
      </c>
      <c r="D110" s="61" t="s">
        <v>66</v>
      </c>
      <c r="E110" s="61" t="s">
        <v>156</v>
      </c>
      <c r="F110" s="3000">
        <v>2007</v>
      </c>
      <c r="G110" s="3001">
        <f t="shared" ref="G110:O110" si="40">F110+5</f>
        <v>2012</v>
      </c>
      <c r="H110" s="3001">
        <f t="shared" si="40"/>
        <v>2017</v>
      </c>
      <c r="I110" s="3001">
        <f t="shared" si="40"/>
        <v>2022</v>
      </c>
      <c r="J110" s="3001">
        <f t="shared" si="40"/>
        <v>2027</v>
      </c>
      <c r="K110" s="3001">
        <f t="shared" si="40"/>
        <v>2032</v>
      </c>
      <c r="L110" s="3001">
        <f t="shared" si="40"/>
        <v>2037</v>
      </c>
      <c r="M110" s="3001">
        <f t="shared" si="40"/>
        <v>2042</v>
      </c>
      <c r="N110" s="3001">
        <f t="shared" si="40"/>
        <v>2047</v>
      </c>
      <c r="O110" s="3001">
        <f t="shared" si="40"/>
        <v>2052</v>
      </c>
      <c r="P110" s="969"/>
    </row>
    <row r="111" spans="2:16">
      <c r="B111" s="415"/>
      <c r="C111" s="413">
        <v>1</v>
      </c>
      <c r="D111" s="414" t="s">
        <v>1628</v>
      </c>
      <c r="E111" s="218"/>
      <c r="F111" s="669">
        <f>0.0936815*(Unit.Mtoe)</f>
        <v>1.089515845</v>
      </c>
      <c r="G111" s="669">
        <f>0.09*(Unit.Mtoe)</f>
        <v>1.0467</v>
      </c>
      <c r="H111" s="669">
        <f>0.0898099130528937*(Unit.Mtoe)</f>
        <v>1.0444892888051538</v>
      </c>
      <c r="I111" s="669">
        <f>0.0896198261057873*(Unit.Mtoe)</f>
        <v>1.0422785776103063</v>
      </c>
      <c r="J111" s="669">
        <f>0.0894297391586809*(Unit.Mtoe)</f>
        <v>1.0400678664154588</v>
      </c>
      <c r="K111" s="669">
        <f>0.0892396522115746*(Unit.Mtoe)</f>
        <v>1.0378571552206126</v>
      </c>
      <c r="L111" s="669">
        <f>0.0890495652644682*(Unit.Mtoe)</f>
        <v>1.0356464440257651</v>
      </c>
      <c r="M111" s="669">
        <f>0.0888594783173619*(Unit.Mtoe)</f>
        <v>1.0334357328309189</v>
      </c>
      <c r="N111" s="669">
        <f>0.0886693913702555*(Unit.Mtoe)</f>
        <v>1.0312250216360714</v>
      </c>
      <c r="O111" s="669">
        <f>0.0884793044231492*(Unit.Mtoe)</f>
        <v>1.0290143104412253</v>
      </c>
      <c r="P111" s="969"/>
    </row>
    <row r="112" spans="2:16">
      <c r="B112" s="415"/>
      <c r="C112" s="413">
        <v>2</v>
      </c>
      <c r="D112" s="414" t="s">
        <v>811</v>
      </c>
      <c r="E112" s="218"/>
      <c r="F112" s="669">
        <f>0.0936815*(Unit.Mtoe)</f>
        <v>1.089515845</v>
      </c>
      <c r="G112" s="669">
        <f>0.09*(Unit.Mtoe)</f>
        <v>1.0467</v>
      </c>
      <c r="H112" s="669">
        <f>0.0842573776068607*(Unit.Mtoe)</f>
        <v>0.97991330156779</v>
      </c>
      <c r="I112" s="669">
        <f>0.08352124330806*(Unit.Mtoe)</f>
        <v>0.97135205967273786</v>
      </c>
      <c r="J112" s="669">
        <f>0.0827915404188435*(Unit.Mtoe)</f>
        <v>0.96286561507114998</v>
      </c>
      <c r="K112" s="669">
        <f>0.082068212749696*(Unit.Mtoe)</f>
        <v>0.95445331427896452</v>
      </c>
      <c r="L112" s="669">
        <f>0.0813512046020155*(Unit.Mtoe)</f>
        <v>0.94611450952144038</v>
      </c>
      <c r="M112" s="669">
        <f t="shared" ref="M112:O114" si="41">0.0806404607638235*(Unit.Mtoe)</f>
        <v>0.93784855868326744</v>
      </c>
      <c r="N112" s="669">
        <f t="shared" si="41"/>
        <v>0.93784855868326744</v>
      </c>
      <c r="O112" s="669">
        <f t="shared" si="41"/>
        <v>0.93784855868326744</v>
      </c>
      <c r="P112" s="969"/>
    </row>
    <row r="113" spans="2:16">
      <c r="B113" s="415"/>
      <c r="C113" s="413">
        <v>3</v>
      </c>
      <c r="D113" s="414" t="s">
        <v>1018</v>
      </c>
      <c r="E113" s="218"/>
      <c r="F113" s="669">
        <f>0.0936815*(Unit.Mtoe)</f>
        <v>1.089515845</v>
      </c>
      <c r="G113" s="669">
        <f>0.09*(Unit.Mtoe)</f>
        <v>1.0467</v>
      </c>
      <c r="H113" s="669">
        <f>0.0842573776068607*(Unit.Mtoe)</f>
        <v>0.97991330156779</v>
      </c>
      <c r="I113" s="669">
        <f>0.08352124330806*(Unit.Mtoe)</f>
        <v>0.97135205967273786</v>
      </c>
      <c r="J113" s="669">
        <f>0.0827915404188435*(Unit.Mtoe)</f>
        <v>0.96286561507114998</v>
      </c>
      <c r="K113" s="669">
        <f>0.082068212749696*(Unit.Mtoe)</f>
        <v>0.95445331427896452</v>
      </c>
      <c r="L113" s="669">
        <f>0.0813512046020155*(Unit.Mtoe)</f>
        <v>0.94611450952144038</v>
      </c>
      <c r="M113" s="669">
        <f t="shared" si="41"/>
        <v>0.93784855868326744</v>
      </c>
      <c r="N113" s="669">
        <f t="shared" si="41"/>
        <v>0.93784855868326744</v>
      </c>
      <c r="O113" s="669">
        <f t="shared" si="41"/>
        <v>0.93784855868326744</v>
      </c>
      <c r="P113" s="969"/>
    </row>
    <row r="114" spans="2:16">
      <c r="B114" s="415"/>
      <c r="C114" s="413">
        <v>4</v>
      </c>
      <c r="D114" s="414" t="s">
        <v>1019</v>
      </c>
      <c r="E114" s="218"/>
      <c r="F114" s="669">
        <f>0.0936815*(Unit.Mtoe)</f>
        <v>1.089515845</v>
      </c>
      <c r="G114" s="669">
        <f>G113</f>
        <v>1.0467</v>
      </c>
      <c r="H114" s="669">
        <f>0.0842573776068607*(Unit.Mtoe)</f>
        <v>0.97991330156779</v>
      </c>
      <c r="I114" s="669">
        <f>0.08352124330806*(Unit.Mtoe)</f>
        <v>0.97135205967273786</v>
      </c>
      <c r="J114" s="669">
        <f>0.0827915404188435*(Unit.Mtoe)</f>
        <v>0.96286561507114998</v>
      </c>
      <c r="K114" s="669">
        <f>0.082068212749696*(Unit.Mtoe)</f>
        <v>0.95445331427896452</v>
      </c>
      <c r="L114" s="669">
        <f>0.0813512046020155*(Unit.Mtoe)</f>
        <v>0.94611450952144038</v>
      </c>
      <c r="M114" s="669">
        <f t="shared" si="41"/>
        <v>0.93784855868326744</v>
      </c>
      <c r="N114" s="669">
        <f t="shared" si="41"/>
        <v>0.93784855868326744</v>
      </c>
      <c r="O114" s="669">
        <f t="shared" si="41"/>
        <v>0.93784855868326744</v>
      </c>
      <c r="P114" s="969"/>
    </row>
    <row r="115" spans="2:16">
      <c r="B115" s="415"/>
      <c r="C115" s="2992"/>
      <c r="D115" s="2993" t="s">
        <v>406</v>
      </c>
      <c r="E115" s="2681"/>
      <c r="F115" s="2998">
        <f t="shared" ref="F115:O115" si="42">(INDEX(F111:F114,ROUNDDOWN($E$8,0))*(1-MOD($E$8,1)))+(INDEX(F111:F114,ROUNDUP($E$8,0))*MOD($E$8,1))</f>
        <v>1.089515845</v>
      </c>
      <c r="G115" s="2998">
        <f t="shared" si="42"/>
        <v>1.0467</v>
      </c>
      <c r="H115" s="2998">
        <f t="shared" si="42"/>
        <v>1.0444892888051538</v>
      </c>
      <c r="I115" s="2998">
        <f t="shared" si="42"/>
        <v>1.0422785776103063</v>
      </c>
      <c r="J115" s="2998">
        <f t="shared" si="42"/>
        <v>1.0400678664154588</v>
      </c>
      <c r="K115" s="2998">
        <f t="shared" si="42"/>
        <v>1.0378571552206126</v>
      </c>
      <c r="L115" s="2998">
        <f t="shared" si="42"/>
        <v>1.0356464440257651</v>
      </c>
      <c r="M115" s="2998">
        <f t="shared" si="42"/>
        <v>1.0334357328309189</v>
      </c>
      <c r="N115" s="2998">
        <f t="shared" si="42"/>
        <v>1.0312250216360714</v>
      </c>
      <c r="O115" s="2998">
        <f t="shared" si="42"/>
        <v>1.0290143104412253</v>
      </c>
      <c r="P115" s="969"/>
    </row>
    <row r="116" spans="2:16">
      <c r="B116" s="415"/>
      <c r="C116" s="415"/>
      <c r="D116" s="415"/>
      <c r="E116" s="415"/>
      <c r="F116" s="669"/>
      <c r="G116" s="669"/>
      <c r="H116" s="669"/>
      <c r="I116" s="669"/>
      <c r="J116" s="669"/>
      <c r="K116" s="669"/>
      <c r="L116" s="669"/>
      <c r="M116" s="669"/>
      <c r="N116" s="669"/>
      <c r="O116" s="669"/>
      <c r="P116" s="969"/>
    </row>
    <row r="117" spans="2:16">
      <c r="B117" s="415"/>
      <c r="C117" s="416" t="s">
        <v>2339</v>
      </c>
      <c r="D117" s="415"/>
      <c r="E117" s="104"/>
      <c r="F117" s="669"/>
      <c r="G117" s="669"/>
      <c r="H117" s="669"/>
      <c r="I117" s="669"/>
      <c r="J117" s="669"/>
      <c r="K117" s="669"/>
      <c r="L117" s="669"/>
      <c r="M117" s="669"/>
      <c r="N117" s="669"/>
      <c r="O117" s="2999"/>
      <c r="P117" s="969"/>
    </row>
    <row r="118" spans="2:16">
      <c r="B118" s="415"/>
      <c r="C118" s="415"/>
      <c r="D118" s="415"/>
      <c r="E118" s="415"/>
      <c r="F118" s="669"/>
      <c r="G118" s="669"/>
      <c r="H118" s="669"/>
      <c r="I118" s="669"/>
      <c r="J118" s="669"/>
      <c r="K118" s="669"/>
      <c r="L118" s="669"/>
      <c r="M118" s="669"/>
      <c r="N118" s="669"/>
      <c r="O118" s="415" t="str">
        <f>preferences.energyunits&amp;"/MT of Production"</f>
        <v>TWh/MT of Production</v>
      </c>
      <c r="P118" s="969"/>
    </row>
    <row r="119" spans="2:16">
      <c r="B119" s="415"/>
      <c r="C119" s="61" t="s">
        <v>411</v>
      </c>
      <c r="D119" s="61" t="s">
        <v>66</v>
      </c>
      <c r="E119" s="61" t="s">
        <v>156</v>
      </c>
      <c r="F119" s="3000">
        <v>2007</v>
      </c>
      <c r="G119" s="3001">
        <f t="shared" ref="G119:O119" si="43">F119+5</f>
        <v>2012</v>
      </c>
      <c r="H119" s="3001">
        <f t="shared" si="43"/>
        <v>2017</v>
      </c>
      <c r="I119" s="3001">
        <f t="shared" si="43"/>
        <v>2022</v>
      </c>
      <c r="J119" s="3001">
        <f t="shared" si="43"/>
        <v>2027</v>
      </c>
      <c r="K119" s="3001">
        <f t="shared" si="43"/>
        <v>2032</v>
      </c>
      <c r="L119" s="3001">
        <f t="shared" si="43"/>
        <v>2037</v>
      </c>
      <c r="M119" s="3001">
        <f t="shared" si="43"/>
        <v>2042</v>
      </c>
      <c r="N119" s="3001">
        <f t="shared" si="43"/>
        <v>2047</v>
      </c>
      <c r="O119" s="3001">
        <f t="shared" si="43"/>
        <v>2052</v>
      </c>
      <c r="P119" s="969"/>
    </row>
    <row r="120" spans="2:16">
      <c r="B120" s="415"/>
      <c r="C120" s="413">
        <v>1</v>
      </c>
      <c r="D120" s="414" t="s">
        <v>1628</v>
      </c>
      <c r="E120" s="218"/>
      <c r="F120" s="669">
        <f>0*(Unit.Mtoe)</f>
        <v>0</v>
      </c>
      <c r="G120" s="669">
        <f>0.545883107514645*(Unit.Mtoe)</f>
        <v>6.3486205403953218</v>
      </c>
      <c r="H120" s="669">
        <f t="shared" ref="H120:O120" si="44">0.506597925182617*(Unit.Mtoe)</f>
        <v>5.8917338698738364</v>
      </c>
      <c r="I120" s="669">
        <f t="shared" si="44"/>
        <v>5.8917338698738364</v>
      </c>
      <c r="J120" s="669">
        <f t="shared" si="44"/>
        <v>5.8917338698738364</v>
      </c>
      <c r="K120" s="669">
        <f t="shared" si="44"/>
        <v>5.8917338698738364</v>
      </c>
      <c r="L120" s="669">
        <f t="shared" si="44"/>
        <v>5.8917338698738364</v>
      </c>
      <c r="M120" s="669">
        <f t="shared" si="44"/>
        <v>5.8917338698738364</v>
      </c>
      <c r="N120" s="669">
        <f t="shared" si="44"/>
        <v>5.8917338698738364</v>
      </c>
      <c r="O120" s="669">
        <f t="shared" si="44"/>
        <v>5.8917338698738364</v>
      </c>
      <c r="P120" s="969"/>
    </row>
    <row r="121" spans="2:16">
      <c r="B121" s="415"/>
      <c r="C121" s="413">
        <v>2</v>
      </c>
      <c r="D121" s="414" t="s">
        <v>811</v>
      </c>
      <c r="E121" s="218"/>
      <c r="F121" s="669">
        <f>0*(Unit.Mtoe)</f>
        <v>0</v>
      </c>
      <c r="G121" s="669">
        <f>0.545883107514645*(Unit.Mtoe)</f>
        <v>6.3486205403953218</v>
      </c>
      <c r="H121" s="669">
        <f>0.506597925182617*(Unit.Mtoe)</f>
        <v>5.8917338698738364</v>
      </c>
      <c r="I121" s="669">
        <f t="shared" ref="I121:O121" si="45">0.5*(Unit.Mtoe)</f>
        <v>5.8150000000000004</v>
      </c>
      <c r="J121" s="669">
        <f t="shared" si="45"/>
        <v>5.8150000000000004</v>
      </c>
      <c r="K121" s="669">
        <f t="shared" si="45"/>
        <v>5.8150000000000004</v>
      </c>
      <c r="L121" s="669">
        <f t="shared" si="45"/>
        <v>5.8150000000000004</v>
      </c>
      <c r="M121" s="669">
        <f t="shared" si="45"/>
        <v>5.8150000000000004</v>
      </c>
      <c r="N121" s="669">
        <f t="shared" si="45"/>
        <v>5.8150000000000004</v>
      </c>
      <c r="O121" s="669">
        <f t="shared" si="45"/>
        <v>5.8150000000000004</v>
      </c>
      <c r="P121" s="969"/>
    </row>
    <row r="122" spans="2:16">
      <c r="B122" s="415"/>
      <c r="C122" s="413">
        <v>3</v>
      </c>
      <c r="D122" s="414" t="s">
        <v>1018</v>
      </c>
      <c r="E122" s="218"/>
      <c r="F122" s="669">
        <f>(F121)*(Unit.Mtoe)</f>
        <v>0</v>
      </c>
      <c r="G122" s="669">
        <f>0.545883107514645*(Unit.Mtoe)</f>
        <v>6.3486205403953218</v>
      </c>
      <c r="H122" s="669">
        <f>0.506597925182617*(Unit.Mtoe)</f>
        <v>5.8917338698738364</v>
      </c>
      <c r="I122" s="669">
        <f>0.470139951697347*(Unit.Mtoe)</f>
        <v>5.4677276382401461</v>
      </c>
      <c r="J122" s="669">
        <f>0.436305723325469*(Unit.Mtoe)</f>
        <v>5.0742355622752049</v>
      </c>
      <c r="K122" s="669">
        <f>0.404906418863774*(Unit.Mtoe)</f>
        <v>4.7090616513856922</v>
      </c>
      <c r="L122" s="669">
        <f>0.37576680587063*(Unit.Mtoe)</f>
        <v>4.3701679522754269</v>
      </c>
      <c r="M122" s="669">
        <f>0.348724262733214*(Unit.Mtoe)</f>
        <v>4.055663175587279</v>
      </c>
      <c r="N122" s="669">
        <f>0.323627871112946*(Unit.Mtoe)</f>
        <v>3.7637921410435622</v>
      </c>
      <c r="O122" s="669">
        <f>0.300337573704252*(Unit.Mtoe)</f>
        <v>3.4929259821804512</v>
      </c>
      <c r="P122" s="969"/>
    </row>
    <row r="123" spans="2:16">
      <c r="B123" s="415"/>
      <c r="C123" s="413">
        <v>4</v>
      </c>
      <c r="D123" s="414" t="s">
        <v>1019</v>
      </c>
      <c r="E123" s="218"/>
      <c r="F123" s="669">
        <f>(F121)*(Unit.Mtoe)</f>
        <v>0</v>
      </c>
      <c r="G123" s="669">
        <f>0.545883107514645*(Unit.Mtoe)</f>
        <v>6.3486205403953218</v>
      </c>
      <c r="H123" s="669">
        <f>0.506597925182617*(Unit.Mtoe)</f>
        <v>5.8917338698738364</v>
      </c>
      <c r="I123" s="669">
        <f>0.470139951697347*(Unit.Mtoe)</f>
        <v>5.4677276382401461</v>
      </c>
      <c r="J123" s="669">
        <f>0.436305723325469*(Unit.Mtoe)</f>
        <v>5.0742355622752049</v>
      </c>
      <c r="K123" s="669">
        <f>0.404906418863774*(Unit.Mtoe)</f>
        <v>4.7090616513856922</v>
      </c>
      <c r="L123" s="669">
        <f>0.37576680587063*(Unit.Mtoe)</f>
        <v>4.3701679522754269</v>
      </c>
      <c r="M123" s="669">
        <f>0.348724262733214*(Unit.Mtoe)</f>
        <v>4.055663175587279</v>
      </c>
      <c r="N123" s="669">
        <f>0.323627871112946*(Unit.Mtoe)</f>
        <v>3.7637921410435622</v>
      </c>
      <c r="O123" s="669">
        <f>0.300337573704252*(Unit.Mtoe)</f>
        <v>3.4929259821804512</v>
      </c>
      <c r="P123" s="969"/>
    </row>
    <row r="124" spans="2:16">
      <c r="B124" s="415"/>
      <c r="C124" s="2992"/>
      <c r="D124" s="2993" t="s">
        <v>406</v>
      </c>
      <c r="E124" s="2681"/>
      <c r="F124" s="2998">
        <f t="shared" ref="F124:O124" si="46">(INDEX(F120:F123,ROUNDDOWN($E$8,0))*(1-MOD($E$8,1)))+(INDEX(F120:F123,ROUNDUP($E$8,0))*MOD($E$8,1))</f>
        <v>0</v>
      </c>
      <c r="G124" s="2998">
        <f t="shared" si="46"/>
        <v>6.3486205403953218</v>
      </c>
      <c r="H124" s="2998">
        <f t="shared" si="46"/>
        <v>5.8917338698738364</v>
      </c>
      <c r="I124" s="2998">
        <f t="shared" si="46"/>
        <v>5.8917338698738364</v>
      </c>
      <c r="J124" s="2998">
        <f t="shared" si="46"/>
        <v>5.8917338698738364</v>
      </c>
      <c r="K124" s="2998">
        <f t="shared" si="46"/>
        <v>5.8917338698738364</v>
      </c>
      <c r="L124" s="2998">
        <f t="shared" si="46"/>
        <v>5.8917338698738364</v>
      </c>
      <c r="M124" s="2998">
        <f t="shared" si="46"/>
        <v>5.8917338698738364</v>
      </c>
      <c r="N124" s="2998">
        <f t="shared" si="46"/>
        <v>5.8917338698738364</v>
      </c>
      <c r="O124" s="2998">
        <f t="shared" si="46"/>
        <v>5.8917338698738364</v>
      </c>
      <c r="P124" s="969"/>
    </row>
    <row r="125" spans="2:16">
      <c r="B125" s="415"/>
      <c r="C125" s="415"/>
      <c r="D125" s="415"/>
      <c r="E125" s="415"/>
      <c r="F125" s="669"/>
      <c r="G125" s="669"/>
      <c r="H125" s="669"/>
      <c r="I125" s="669"/>
      <c r="J125" s="669"/>
      <c r="K125" s="669"/>
      <c r="L125" s="669"/>
      <c r="M125" s="669"/>
      <c r="N125" s="669"/>
      <c r="O125" s="669"/>
      <c r="P125" s="969"/>
    </row>
    <row r="126" spans="2:16">
      <c r="B126" s="415"/>
      <c r="C126" s="416" t="s">
        <v>2340</v>
      </c>
      <c r="D126" s="415"/>
      <c r="E126" s="104"/>
      <c r="F126" s="669"/>
      <c r="G126" s="669"/>
      <c r="H126" s="669"/>
      <c r="I126" s="669"/>
      <c r="J126" s="669"/>
      <c r="K126" s="669"/>
      <c r="L126" s="669"/>
      <c r="M126" s="669"/>
      <c r="N126" s="669"/>
      <c r="O126" s="2999"/>
      <c r="P126" s="969"/>
    </row>
    <row r="127" spans="2:16">
      <c r="B127" s="415"/>
      <c r="C127" s="415"/>
      <c r="D127" s="415"/>
      <c r="E127" s="415"/>
      <c r="F127" s="669"/>
      <c r="G127" s="669"/>
      <c r="H127" s="669"/>
      <c r="I127" s="669"/>
      <c r="J127" s="669"/>
      <c r="K127" s="669"/>
      <c r="L127" s="669"/>
      <c r="M127" s="669"/>
      <c r="N127" s="669"/>
      <c r="O127" s="415" t="str">
        <f>preferences.energyunits&amp;"/MT of Production"</f>
        <v>TWh/MT of Production</v>
      </c>
      <c r="P127" s="969"/>
    </row>
    <row r="128" spans="2:16">
      <c r="B128" s="415"/>
      <c r="C128" s="61" t="s">
        <v>411</v>
      </c>
      <c r="D128" s="61" t="s">
        <v>66</v>
      </c>
      <c r="E128" s="61" t="s">
        <v>156</v>
      </c>
      <c r="F128" s="3000">
        <v>2007</v>
      </c>
      <c r="G128" s="3001">
        <f t="shared" ref="G128:O128" si="47">F128+5</f>
        <v>2012</v>
      </c>
      <c r="H128" s="3001">
        <f t="shared" si="47"/>
        <v>2017</v>
      </c>
      <c r="I128" s="3001">
        <f t="shared" si="47"/>
        <v>2022</v>
      </c>
      <c r="J128" s="3001">
        <f t="shared" si="47"/>
        <v>2027</v>
      </c>
      <c r="K128" s="3001">
        <f t="shared" si="47"/>
        <v>2032</v>
      </c>
      <c r="L128" s="3001">
        <f t="shared" si="47"/>
        <v>2037</v>
      </c>
      <c r="M128" s="3001">
        <f t="shared" si="47"/>
        <v>2042</v>
      </c>
      <c r="N128" s="3001">
        <f t="shared" si="47"/>
        <v>2047</v>
      </c>
      <c r="O128" s="3001">
        <f t="shared" si="47"/>
        <v>2052</v>
      </c>
      <c r="P128" s="969"/>
    </row>
    <row r="129" spans="2:16">
      <c r="B129" s="415"/>
      <c r="C129" s="413">
        <v>1</v>
      </c>
      <c r="D129" s="414" t="s">
        <v>1628</v>
      </c>
      <c r="E129" s="218"/>
      <c r="F129" s="669">
        <f>0.621*(Unit.Mtoe)</f>
        <v>7.2222300000000006</v>
      </c>
      <c r="G129" s="669">
        <f>0.55664*(Unit.Mtoe)</f>
        <v>6.4737232000000011</v>
      </c>
      <c r="H129" s="669">
        <f>0.555464333352919*(Unit.Mtoe)</f>
        <v>6.4600501968944481</v>
      </c>
      <c r="I129" s="669">
        <f>0.554288666705838*(Unit.Mtoe)</f>
        <v>6.4463771937888961</v>
      </c>
      <c r="J129" s="669">
        <f>0.553113000058757*(Unit.Mtoe)</f>
        <v>6.432704190683344</v>
      </c>
      <c r="K129" s="669">
        <f>0.551937333411676*(Unit.Mtoe)</f>
        <v>6.4190311875777919</v>
      </c>
      <c r="L129" s="669">
        <f>0.550761666764595*(Unit.Mtoe)</f>
        <v>6.4053581844722407</v>
      </c>
      <c r="M129" s="669">
        <f>0.549586000117515*(Unit.Mtoe)</f>
        <v>6.3916851813667002</v>
      </c>
      <c r="N129" s="669">
        <f>0.548410333470434*(Unit.Mtoe)</f>
        <v>6.3780121782611481</v>
      </c>
      <c r="O129" s="669">
        <f>0.547234666823353*(Unit.Mtoe)</f>
        <v>6.364339175155596</v>
      </c>
      <c r="P129" s="969"/>
    </row>
    <row r="130" spans="2:16">
      <c r="B130" s="415"/>
      <c r="C130" s="413">
        <v>2</v>
      </c>
      <c r="D130" s="414" t="s">
        <v>811</v>
      </c>
      <c r="E130" s="218"/>
      <c r="F130" s="669">
        <f>0.621*(Unit.Mtoe)</f>
        <v>7.2222300000000006</v>
      </c>
      <c r="G130" s="669">
        <f>0.55664*(Unit.Mtoe)</f>
        <v>6.4737232000000011</v>
      </c>
      <c r="H130" s="669">
        <f>0.546041854018713*(Unit.Mtoe)</f>
        <v>6.3504667622376321</v>
      </c>
      <c r="I130" s="669">
        <f>0.542112193345807*(Unit.Mtoe)</f>
        <v>6.3047648086117354</v>
      </c>
      <c r="J130" s="669">
        <f>0.538210812983082*(Unit.Mtoe)</f>
        <v>6.2593917549932447</v>
      </c>
      <c r="K130" s="669">
        <f>0.534337509407638*(Unit.Mtoe)</f>
        <v>6.214345234410831</v>
      </c>
      <c r="L130" s="669">
        <f>0.530492080561252*(Unit.Mtoe)</f>
        <v>6.1696228969273612</v>
      </c>
      <c r="M130" s="669">
        <f>0.526674325839837*(Unit.Mtoe)</f>
        <v>6.1252224095173045</v>
      </c>
      <c r="N130" s="669">
        <f>0.5*(Unit.Mtoe)</f>
        <v>5.8150000000000004</v>
      </c>
      <c r="O130" s="669">
        <f>0.5*(Unit.Mtoe)</f>
        <v>5.8150000000000004</v>
      </c>
      <c r="P130" s="969"/>
    </row>
    <row r="131" spans="2:16">
      <c r="B131" s="415"/>
      <c r="C131" s="413">
        <v>3</v>
      </c>
      <c r="D131" s="414" t="s">
        <v>1018</v>
      </c>
      <c r="E131" s="218"/>
      <c r="F131" s="669">
        <f>0.621*(Unit.Mtoe)</f>
        <v>7.2222300000000006</v>
      </c>
      <c r="G131" s="669">
        <f>0.55664*(Unit.Mtoe)</f>
        <v>6.4737232000000011</v>
      </c>
      <c r="H131" s="669">
        <f>0.542083708037426*(Unit.Mtoe)</f>
        <v>6.3044335244752645</v>
      </c>
      <c r="I131" s="669">
        <f>0.534281357308374*(Unit.Mtoe)</f>
        <v>6.2136921854963898</v>
      </c>
      <c r="J131" s="669">
        <f>0.526591307827258*(Unit.Mtoe)</f>
        <v>6.1242569100310114</v>
      </c>
      <c r="K131" s="669">
        <f>0.519011943213233*(Unit.Mtoe)</f>
        <v>6.0361088995698999</v>
      </c>
      <c r="L131" s="669">
        <f>0.511541670350435*(Unit.Mtoe)</f>
        <v>5.9492296261755593</v>
      </c>
      <c r="M131" s="669">
        <f>0.504178919053132*(Unit.Mtoe)</f>
        <v>5.8636008285879253</v>
      </c>
      <c r="N131" s="669">
        <f>0.5*(Unit.Mtoe)</f>
        <v>5.8150000000000004</v>
      </c>
      <c r="O131" s="669">
        <f>0.5*(Unit.Mtoe)</f>
        <v>5.8150000000000004</v>
      </c>
      <c r="P131" s="969"/>
    </row>
    <row r="132" spans="2:16">
      <c r="B132" s="415"/>
      <c r="C132" s="413">
        <v>4</v>
      </c>
      <c r="D132" s="414" t="s">
        <v>1019</v>
      </c>
      <c r="E132" s="218"/>
      <c r="F132" s="669">
        <f>0.621*(Unit.Mtoe)</f>
        <v>7.2222300000000006</v>
      </c>
      <c r="G132" s="669">
        <f>G131</f>
        <v>6.4737232000000011</v>
      </c>
      <c r="H132" s="669">
        <f>0.506597925182617*(Unit.Mtoe)</f>
        <v>5.8917338698738364</v>
      </c>
      <c r="I132" s="669">
        <f>0.470139951697347*(Unit.Mtoe)</f>
        <v>5.4677276382401461</v>
      </c>
      <c r="J132" s="669">
        <f>0.436305723325469*(Unit.Mtoe)</f>
        <v>5.0742355622752049</v>
      </c>
      <c r="K132" s="669">
        <f>0.404906418863774*(Unit.Mtoe)</f>
        <v>4.7090616513856922</v>
      </c>
      <c r="L132" s="669">
        <f>0.37576680587063*(Unit.Mtoe)</f>
        <v>4.3701679522754269</v>
      </c>
      <c r="M132" s="669">
        <f>0.348724262733214*(Unit.Mtoe)</f>
        <v>4.055663175587279</v>
      </c>
      <c r="N132" s="669">
        <f>0.323627871112946*(Unit.Mtoe)</f>
        <v>3.7637921410435622</v>
      </c>
      <c r="O132" s="669">
        <f>0.300337573704252*(Unit.Mtoe)</f>
        <v>3.4929259821804512</v>
      </c>
      <c r="P132" s="969"/>
    </row>
    <row r="133" spans="2:16">
      <c r="B133" s="415"/>
      <c r="C133" s="2992"/>
      <c r="D133" s="2993" t="s">
        <v>406</v>
      </c>
      <c r="E133" s="2681"/>
      <c r="F133" s="2998">
        <f t="shared" ref="F133:O133" si="48">(INDEX(F129:F132,ROUNDDOWN($E$8,0))*(1-MOD($E$8,1)))+(INDEX(F129:F132,ROUNDUP($E$8,0))*MOD($E$8,1))</f>
        <v>7.2222300000000006</v>
      </c>
      <c r="G133" s="2998">
        <f t="shared" si="48"/>
        <v>6.4737232000000011</v>
      </c>
      <c r="H133" s="2998">
        <f t="shared" si="48"/>
        <v>6.4600501968944481</v>
      </c>
      <c r="I133" s="2998">
        <f t="shared" si="48"/>
        <v>6.4463771937888961</v>
      </c>
      <c r="J133" s="2998">
        <f t="shared" si="48"/>
        <v>6.432704190683344</v>
      </c>
      <c r="K133" s="2998">
        <f t="shared" si="48"/>
        <v>6.4190311875777919</v>
      </c>
      <c r="L133" s="2998">
        <f t="shared" si="48"/>
        <v>6.4053581844722407</v>
      </c>
      <c r="M133" s="2998">
        <f t="shared" si="48"/>
        <v>6.3916851813667002</v>
      </c>
      <c r="N133" s="2998">
        <f t="shared" si="48"/>
        <v>6.3780121782611481</v>
      </c>
      <c r="O133" s="2998">
        <f t="shared" si="48"/>
        <v>6.364339175155596</v>
      </c>
      <c r="P133" s="969"/>
    </row>
    <row r="134" spans="2:16">
      <c r="B134" s="415"/>
      <c r="C134" s="415"/>
      <c r="D134" s="415"/>
      <c r="E134" s="415"/>
      <c r="F134" s="669"/>
      <c r="G134" s="669"/>
      <c r="H134" s="669"/>
      <c r="I134" s="669"/>
      <c r="J134" s="669"/>
      <c r="K134" s="669"/>
      <c r="L134" s="669"/>
      <c r="M134" s="669"/>
      <c r="N134" s="669"/>
      <c r="O134" s="669"/>
      <c r="P134" s="969"/>
    </row>
    <row r="135" spans="2:16">
      <c r="B135" s="415"/>
      <c r="C135" s="416" t="s">
        <v>2341</v>
      </c>
      <c r="D135" s="415"/>
      <c r="E135" s="104"/>
      <c r="F135" s="669"/>
      <c r="G135" s="669"/>
      <c r="H135" s="669"/>
      <c r="I135" s="669"/>
      <c r="J135" s="669"/>
      <c r="K135" s="669"/>
      <c r="L135" s="669"/>
      <c r="M135" s="669"/>
      <c r="N135" s="669"/>
      <c r="O135" s="2999"/>
      <c r="P135" s="969"/>
    </row>
    <row r="136" spans="2:16">
      <c r="B136" s="415"/>
      <c r="C136" s="415"/>
      <c r="D136" s="415"/>
      <c r="E136" s="415"/>
      <c r="F136" s="669"/>
      <c r="G136" s="669"/>
      <c r="H136" s="669"/>
      <c r="I136" s="669"/>
      <c r="J136" s="669"/>
      <c r="K136" s="669"/>
      <c r="L136" s="669"/>
      <c r="M136" s="669"/>
      <c r="N136" s="669"/>
      <c r="O136" s="415" t="str">
        <f>preferences.energyunits&amp;"/MT of Production"</f>
        <v>TWh/MT of Production</v>
      </c>
      <c r="P136" s="969"/>
    </row>
    <row r="137" spans="2:16">
      <c r="B137" s="415"/>
      <c r="C137" s="61" t="s">
        <v>411</v>
      </c>
      <c r="D137" s="61" t="s">
        <v>66</v>
      </c>
      <c r="E137" s="61" t="s">
        <v>156</v>
      </c>
      <c r="F137" s="3000">
        <v>2007</v>
      </c>
      <c r="G137" s="3001">
        <f t="shared" ref="G137:O137" si="49">F137+5</f>
        <v>2012</v>
      </c>
      <c r="H137" s="3001">
        <f t="shared" si="49"/>
        <v>2017</v>
      </c>
      <c r="I137" s="3001">
        <f t="shared" si="49"/>
        <v>2022</v>
      </c>
      <c r="J137" s="3001">
        <f t="shared" si="49"/>
        <v>2027</v>
      </c>
      <c r="K137" s="3001">
        <f t="shared" si="49"/>
        <v>2032</v>
      </c>
      <c r="L137" s="3001">
        <f t="shared" si="49"/>
        <v>2037</v>
      </c>
      <c r="M137" s="3001">
        <f t="shared" si="49"/>
        <v>2042</v>
      </c>
      <c r="N137" s="3001">
        <f t="shared" si="49"/>
        <v>2047</v>
      </c>
      <c r="O137" s="3001">
        <f t="shared" si="49"/>
        <v>2052</v>
      </c>
      <c r="P137" s="969"/>
    </row>
    <row r="138" spans="2:16">
      <c r="B138" s="415"/>
      <c r="C138" s="413">
        <v>1</v>
      </c>
      <c r="D138" s="414" t="s">
        <v>1628</v>
      </c>
      <c r="E138" s="218"/>
      <c r="F138" s="669">
        <f>0*(Unit.Mtoe)</f>
        <v>0</v>
      </c>
      <c r="G138" s="669">
        <f>1.70614039216624*(Unit.Mtoe)</f>
        <v>19.842412760893371</v>
      </c>
      <c r="H138" s="669">
        <f t="shared" ref="H138:O138" si="50">1.52032332473534*(Unit.Mtoe)</f>
        <v>17.681360266672005</v>
      </c>
      <c r="I138" s="669">
        <f t="shared" si="50"/>
        <v>17.681360266672005</v>
      </c>
      <c r="J138" s="669">
        <f t="shared" si="50"/>
        <v>17.681360266672005</v>
      </c>
      <c r="K138" s="669">
        <f t="shared" si="50"/>
        <v>17.681360266672005</v>
      </c>
      <c r="L138" s="669">
        <f t="shared" si="50"/>
        <v>17.681360266672005</v>
      </c>
      <c r="M138" s="669">
        <f t="shared" si="50"/>
        <v>17.681360266672005</v>
      </c>
      <c r="N138" s="669">
        <f t="shared" si="50"/>
        <v>17.681360266672005</v>
      </c>
      <c r="O138" s="669">
        <f t="shared" si="50"/>
        <v>17.681360266672005</v>
      </c>
      <c r="P138" s="969"/>
    </row>
    <row r="139" spans="2:16">
      <c r="B139" s="415"/>
      <c r="C139" s="413">
        <v>2</v>
      </c>
      <c r="D139" s="414" t="s">
        <v>811</v>
      </c>
      <c r="E139" s="218"/>
      <c r="F139" s="669">
        <f>0*(Unit.Mtoe)</f>
        <v>0</v>
      </c>
      <c r="G139" s="669">
        <f>1.70614039216624*(Unit.Mtoe)</f>
        <v>19.842412760893371</v>
      </c>
      <c r="H139" s="669">
        <f>1.52032332473534*(Unit.Mtoe)</f>
        <v>17.681360266672005</v>
      </c>
      <c r="I139" s="669">
        <f>1.35474373758869*(Unit.Mtoe)</f>
        <v>15.755669668156465</v>
      </c>
      <c r="J139" s="669">
        <f>1.20719755112307*(Unit.Mtoe)</f>
        <v>14.039707519561304</v>
      </c>
      <c r="K139" s="669">
        <f>1.0757207337466*(Unit.Mtoe)</f>
        <v>12.510632133472958</v>
      </c>
      <c r="L139" s="669">
        <f>0.958563158064563*(Unit.Mtoe)</f>
        <v>11.148089528290869</v>
      </c>
      <c r="M139" s="669">
        <f>0.854165304408041*(Unit.Mtoe)</f>
        <v>9.9339424902655171</v>
      </c>
      <c r="N139" s="669">
        <f>0.761137501599388*(Unit.Mtoe)</f>
        <v>8.8520291436008822</v>
      </c>
      <c r="O139" s="669">
        <f>0.678241428621887*(Unit.Mtoe)</f>
        <v>7.8879478148725459</v>
      </c>
      <c r="P139" s="969">
        <v>12.805961195496405</v>
      </c>
    </row>
    <row r="140" spans="2:16">
      <c r="B140" s="415"/>
      <c r="C140" s="413">
        <v>3</v>
      </c>
      <c r="D140" s="414" t="s">
        <v>1018</v>
      </c>
      <c r="E140" s="218"/>
      <c r="F140" s="669">
        <f>(F139)*(Unit.Mtoe)</f>
        <v>0</v>
      </c>
      <c r="G140" s="669">
        <f>1.70614039216624*(Unit.Mtoe)</f>
        <v>19.842412760893371</v>
      </c>
      <c r="H140" s="669">
        <f>1.52032332473534*(Unit.Mtoe)</f>
        <v>17.681360266672005</v>
      </c>
      <c r="I140" s="669">
        <f>1.35474373758869*(Unit.Mtoe)</f>
        <v>15.755669668156465</v>
      </c>
      <c r="J140" s="669">
        <f>1.20719755112307*(Unit.Mtoe)</f>
        <v>14.039707519561304</v>
      </c>
      <c r="K140" s="669">
        <f>1.0757207337466*(Unit.Mtoe)</f>
        <v>12.510632133472958</v>
      </c>
      <c r="L140" s="669">
        <f>0.958563158064563*(Unit.Mtoe)</f>
        <v>11.148089528290869</v>
      </c>
      <c r="M140" s="669">
        <f>0.854165304408041*(Unit.Mtoe)</f>
        <v>9.9339424902655171</v>
      </c>
      <c r="N140" s="669">
        <f>0.761137501599388*(Unit.Mtoe)</f>
        <v>8.8520291436008822</v>
      </c>
      <c r="O140" s="669">
        <f>0.678241428621887*(Unit.Mtoe)</f>
        <v>7.8879478148725459</v>
      </c>
      <c r="P140" s="969"/>
    </row>
    <row r="141" spans="2:16">
      <c r="B141" s="415"/>
      <c r="C141" s="413">
        <v>4</v>
      </c>
      <c r="D141" s="414" t="s">
        <v>1019</v>
      </c>
      <c r="E141" s="218"/>
      <c r="F141" s="669">
        <f>(F139)*(Unit.Mtoe)</f>
        <v>0</v>
      </c>
      <c r="G141" s="669">
        <f>1.70614039216624*(Unit.Mtoe)</f>
        <v>19.842412760893371</v>
      </c>
      <c r="H141" s="669">
        <f>1.52032332473534*(Unit.Mtoe)</f>
        <v>17.681360266672005</v>
      </c>
      <c r="I141" s="669">
        <f>1.35474373758869*(Unit.Mtoe)</f>
        <v>15.755669668156465</v>
      </c>
      <c r="J141" s="669">
        <f>1.20719755112307*(Unit.Mtoe)</f>
        <v>14.039707519561304</v>
      </c>
      <c r="K141" s="669">
        <f>1.0757207337466*(Unit.Mtoe)</f>
        <v>12.510632133472958</v>
      </c>
      <c r="L141" s="669">
        <f>0.958563158064563*(Unit.Mtoe)</f>
        <v>11.148089528290869</v>
      </c>
      <c r="M141" s="669">
        <f>0.854165304408041*(Unit.Mtoe)</f>
        <v>9.9339424902655171</v>
      </c>
      <c r="N141" s="669">
        <f>0.761137501599388*(Unit.Mtoe)</f>
        <v>8.8520291436008822</v>
      </c>
      <c r="O141" s="669">
        <f>0.678241428621887*(Unit.Mtoe)</f>
        <v>7.8879478148725459</v>
      </c>
      <c r="P141" s="969"/>
    </row>
    <row r="142" spans="2:16">
      <c r="B142" s="415"/>
      <c r="C142" s="2992"/>
      <c r="D142" s="2993" t="s">
        <v>406</v>
      </c>
      <c r="E142" s="2681"/>
      <c r="F142" s="2998">
        <f t="shared" ref="F142:O142" si="51">(INDEX(F138:F141,ROUNDDOWN($E$8,0))*(1-MOD($E$8,1)))+(INDEX(F138:F141,ROUNDUP($E$8,0))*MOD($E$8,1))</f>
        <v>0</v>
      </c>
      <c r="G142" s="2998">
        <f t="shared" si="51"/>
        <v>19.842412760893371</v>
      </c>
      <c r="H142" s="2998">
        <f t="shared" si="51"/>
        <v>17.681360266672005</v>
      </c>
      <c r="I142" s="2998">
        <f t="shared" si="51"/>
        <v>17.681360266672005</v>
      </c>
      <c r="J142" s="2998">
        <f t="shared" si="51"/>
        <v>17.681360266672005</v>
      </c>
      <c r="K142" s="2998">
        <f t="shared" si="51"/>
        <v>17.681360266672005</v>
      </c>
      <c r="L142" s="2998">
        <f t="shared" si="51"/>
        <v>17.681360266672005</v>
      </c>
      <c r="M142" s="2998">
        <f t="shared" si="51"/>
        <v>17.681360266672005</v>
      </c>
      <c r="N142" s="2998">
        <f t="shared" si="51"/>
        <v>17.681360266672005</v>
      </c>
      <c r="O142" s="2998">
        <f t="shared" si="51"/>
        <v>17.681360266672005</v>
      </c>
      <c r="P142" s="969"/>
    </row>
    <row r="143" spans="2:16">
      <c r="B143" s="415"/>
      <c r="C143" s="415"/>
      <c r="D143" s="415"/>
      <c r="E143" s="415"/>
      <c r="F143" s="669"/>
      <c r="G143" s="669"/>
      <c r="H143" s="669"/>
      <c r="I143" s="669"/>
      <c r="J143" s="669"/>
      <c r="K143" s="669"/>
      <c r="L143" s="669"/>
      <c r="M143" s="669"/>
      <c r="N143" s="669"/>
      <c r="O143" s="669"/>
      <c r="P143" s="969"/>
    </row>
    <row r="144" spans="2:16">
      <c r="B144" s="415"/>
      <c r="C144" s="416" t="s">
        <v>2342</v>
      </c>
      <c r="D144" s="415"/>
      <c r="E144" s="104"/>
      <c r="F144" s="669"/>
      <c r="G144" s="669"/>
      <c r="H144" s="669"/>
      <c r="I144" s="669"/>
      <c r="J144" s="669"/>
      <c r="K144" s="669"/>
      <c r="L144" s="669"/>
      <c r="M144" s="669"/>
      <c r="N144" s="669"/>
      <c r="O144" s="2999"/>
      <c r="P144" s="969"/>
    </row>
    <row r="145" spans="2:16">
      <c r="B145" s="415"/>
      <c r="C145" s="415"/>
      <c r="D145" s="415"/>
      <c r="E145" s="415"/>
      <c r="F145" s="669"/>
      <c r="G145" s="669"/>
      <c r="H145" s="669"/>
      <c r="I145" s="669"/>
      <c r="J145" s="669"/>
      <c r="K145" s="669"/>
      <c r="L145" s="669"/>
      <c r="M145" s="669"/>
      <c r="N145" s="669"/>
      <c r="O145" s="415" t="str">
        <f>preferences.energyunits&amp;"/MT of Production"</f>
        <v>TWh/MT of Production</v>
      </c>
      <c r="P145" s="969"/>
    </row>
    <row r="146" spans="2:16">
      <c r="B146" s="415"/>
      <c r="C146" s="61" t="s">
        <v>411</v>
      </c>
      <c r="D146" s="61" t="s">
        <v>66</v>
      </c>
      <c r="E146" s="61" t="s">
        <v>156</v>
      </c>
      <c r="F146" s="3000">
        <v>2007</v>
      </c>
      <c r="G146" s="3001">
        <f t="shared" ref="G146:O146" si="52">F146+5</f>
        <v>2012</v>
      </c>
      <c r="H146" s="3001">
        <f t="shared" si="52"/>
        <v>2017</v>
      </c>
      <c r="I146" s="3001">
        <f t="shared" si="52"/>
        <v>2022</v>
      </c>
      <c r="J146" s="3001">
        <f t="shared" si="52"/>
        <v>2027</v>
      </c>
      <c r="K146" s="3001">
        <f t="shared" si="52"/>
        <v>2032</v>
      </c>
      <c r="L146" s="3001">
        <f t="shared" si="52"/>
        <v>2037</v>
      </c>
      <c r="M146" s="3001">
        <f t="shared" si="52"/>
        <v>2042</v>
      </c>
      <c r="N146" s="3001">
        <f t="shared" si="52"/>
        <v>2047</v>
      </c>
      <c r="O146" s="3001">
        <f t="shared" si="52"/>
        <v>2052</v>
      </c>
      <c r="P146" s="969"/>
    </row>
    <row r="147" spans="2:16">
      <c r="B147" s="415"/>
      <c r="C147" s="413">
        <v>1</v>
      </c>
      <c r="D147" s="414" t="s">
        <v>1628</v>
      </c>
      <c r="E147" s="218"/>
      <c r="F147" s="669">
        <f t="shared" ref="F147:G149" si="53">1.73772165477797*(Unit.Mtoe)</f>
        <v>20.209702845067792</v>
      </c>
      <c r="G147" s="669">
        <f t="shared" si="53"/>
        <v>20.209702845067792</v>
      </c>
      <c r="H147" s="669">
        <f>1.73405145250822*(Unit.Mtoe)</f>
        <v>20.167018392670599</v>
      </c>
      <c r="I147" s="669">
        <f>1.73038125023847*(Unit.Mtoe)</f>
        <v>20.124333940273406</v>
      </c>
      <c r="J147" s="669">
        <f>1.72671104796872*(Unit.Mtoe)</f>
        <v>20.081649487876216</v>
      </c>
      <c r="K147" s="669">
        <f>1.72304084569897*(Unit.Mtoe)</f>
        <v>20.038965035479023</v>
      </c>
      <c r="L147" s="669">
        <f>1.71937064342923*(Unit.Mtoe)</f>
        <v>19.996280583081944</v>
      </c>
      <c r="M147" s="669">
        <f>1.71570044115948*(Unit.Mtoe)</f>
        <v>19.953596130684755</v>
      </c>
      <c r="N147" s="669">
        <f>1.71203023888973*(Unit.Mtoe)</f>
        <v>19.910911678287562</v>
      </c>
      <c r="O147" s="669">
        <f>1.70836003661998*(Unit.Mtoe)</f>
        <v>19.868227225890369</v>
      </c>
      <c r="P147" s="969"/>
    </row>
    <row r="148" spans="2:16">
      <c r="B148" s="415"/>
      <c r="C148" s="413">
        <v>2</v>
      </c>
      <c r="D148" s="414" t="s">
        <v>811</v>
      </c>
      <c r="E148" s="218"/>
      <c r="F148" s="669">
        <f t="shared" si="53"/>
        <v>20.209702845067792</v>
      </c>
      <c r="G148" s="669">
        <f t="shared" si="53"/>
        <v>20.209702845067792</v>
      </c>
      <c r="H148" s="669">
        <f>1.71879599406537*(Unit.Mtoe)</f>
        <v>19.989597410980256</v>
      </c>
      <c r="I148" s="669">
        <f>1.70007645418485*(Unit.Mtoe)</f>
        <v>19.771889162169806</v>
      </c>
      <c r="J148" s="669">
        <f>1.68156079025851*(Unit.Mtoe)</f>
        <v>19.55655199070647</v>
      </c>
      <c r="K148" s="669">
        <f>1.66324678185761*(Unit.Mtoe)</f>
        <v>19.343560073004006</v>
      </c>
      <c r="L148" s="669">
        <f>1.64513223273623*(Unit.Mtoe)</f>
        <v>19.132887866722356</v>
      </c>
      <c r="M148" s="669">
        <f>1.62721497056796*(Unit.Mtoe)</f>
        <v>18.924510107705377</v>
      </c>
      <c r="N148" s="669">
        <f>1.60949284668537*(Unit.Mtoe)</f>
        <v>18.718401806950855</v>
      </c>
      <c r="O148" s="669">
        <f>1.60949284668537*(Unit.Mtoe)</f>
        <v>18.718401806950855</v>
      </c>
      <c r="P148" s="969"/>
    </row>
    <row r="149" spans="2:16">
      <c r="B149" s="415"/>
      <c r="C149" s="413">
        <v>3</v>
      </c>
      <c r="D149" s="414" t="s">
        <v>1018</v>
      </c>
      <c r="E149" s="218"/>
      <c r="F149" s="669">
        <f t="shared" si="53"/>
        <v>20.209702845067792</v>
      </c>
      <c r="G149" s="669">
        <f t="shared" si="53"/>
        <v>20.209702845067792</v>
      </c>
      <c r="H149" s="669">
        <f>1.69987033335277*(Unit.Mtoe)</f>
        <v>19.769491976892716</v>
      </c>
      <c r="I149" s="669">
        <f>1.66284349525589*(Unit.Mtoe)</f>
        <v>19.338869849826001</v>
      </c>
      <c r="J149" s="669">
        <f>1.62662318146417*(Unit.Mtoe)</f>
        <v>18.9176276004283</v>
      </c>
      <c r="K149" s="669">
        <f>1.59119182414063*(Unit.Mtoe)</f>
        <v>18.505560914755527</v>
      </c>
      <c r="L149" s="669">
        <f>1.55653223811367*(Unit.Mtoe)</f>
        <v>18.102469929261982</v>
      </c>
      <c r="M149" s="669">
        <f>1.52262761254171*(Unit.Mtoe)</f>
        <v>17.708159133860089</v>
      </c>
      <c r="N149" s="669">
        <f>1.48946150275955*(Unit.Mtoe)</f>
        <v>17.322437277093567</v>
      </c>
      <c r="O149" s="669">
        <f>1.45701782230222*(Unit.Mtoe)</f>
        <v>16.945117273374819</v>
      </c>
      <c r="P149" s="969"/>
    </row>
    <row r="150" spans="2:16">
      <c r="B150" s="415"/>
      <c r="C150" s="413">
        <v>4</v>
      </c>
      <c r="D150" s="414" t="s">
        <v>1019</v>
      </c>
      <c r="E150" s="218"/>
      <c r="F150" s="669">
        <f>1.73772165477797*(Unit.Mtoe)</f>
        <v>20.209702845067792</v>
      </c>
      <c r="G150" s="669">
        <f>G149</f>
        <v>20.209702845067792</v>
      </c>
      <c r="H150" s="669">
        <f>1.64309335121497*(Unit.Mtoe)</f>
        <v>19.109175674630102</v>
      </c>
      <c r="I150" s="669">
        <f>1.553618068454*(Unit.Mtoe)</f>
        <v>18.068578136120021</v>
      </c>
      <c r="J150" s="669">
        <f>1.46901519675795*(Unit.Mtoe)</f>
        <v>17.084646738294957</v>
      </c>
      <c r="K150" s="669">
        <f>1.38901940710128*(Unit.Mtoe)</f>
        <v>16.154295704587888</v>
      </c>
      <c r="L150" s="669">
        <f>1.31337981905294*(Unit.Mtoe)</f>
        <v>15.274607295585692</v>
      </c>
      <c r="M150" s="669">
        <f>1.24185921397264*(Unit.Mtoe)</f>
        <v>14.442822658501806</v>
      </c>
      <c r="N150" s="669">
        <f>1.24185921397264*(Unit.Mtoe)</f>
        <v>14.442822658501806</v>
      </c>
      <c r="O150" s="669">
        <f>1.24185921397264*(Unit.Mtoe)</f>
        <v>14.442822658501806</v>
      </c>
      <c r="P150" s="969"/>
    </row>
    <row r="151" spans="2:16">
      <c r="B151" s="415"/>
      <c r="C151" s="2992"/>
      <c r="D151" s="2993" t="s">
        <v>406</v>
      </c>
      <c r="E151" s="2681"/>
      <c r="F151" s="2998">
        <f t="shared" ref="F151:O151" si="54">(INDEX(F147:F150,ROUNDDOWN($E$8,0))*(1-MOD($E$8,1)))+(INDEX(F147:F150,ROUNDUP($E$8,0))*MOD($E$8,1))</f>
        <v>20.209702845067792</v>
      </c>
      <c r="G151" s="2998">
        <f t="shared" si="54"/>
        <v>20.209702845067792</v>
      </c>
      <c r="H151" s="2998">
        <f t="shared" si="54"/>
        <v>20.167018392670599</v>
      </c>
      <c r="I151" s="2998">
        <f t="shared" si="54"/>
        <v>20.124333940273406</v>
      </c>
      <c r="J151" s="2998">
        <f t="shared" si="54"/>
        <v>20.081649487876216</v>
      </c>
      <c r="K151" s="2998">
        <f t="shared" si="54"/>
        <v>20.038965035479023</v>
      </c>
      <c r="L151" s="2998">
        <f t="shared" si="54"/>
        <v>19.996280583081944</v>
      </c>
      <c r="M151" s="2998">
        <f t="shared" si="54"/>
        <v>19.953596130684755</v>
      </c>
      <c r="N151" s="2998">
        <f t="shared" si="54"/>
        <v>19.910911678287562</v>
      </c>
      <c r="O151" s="2998">
        <f t="shared" si="54"/>
        <v>19.868227225890369</v>
      </c>
      <c r="P151" s="969"/>
    </row>
    <row r="152" spans="2:16">
      <c r="B152" s="415"/>
      <c r="C152" s="415"/>
      <c r="D152" s="415"/>
      <c r="E152" s="415"/>
      <c r="F152" s="669"/>
      <c r="G152" s="669"/>
      <c r="H152" s="669"/>
      <c r="I152" s="669"/>
      <c r="J152" s="669"/>
      <c r="K152" s="669"/>
      <c r="L152" s="669"/>
      <c r="M152" s="669"/>
      <c r="N152" s="669"/>
      <c r="O152" s="669"/>
      <c r="P152" s="969"/>
    </row>
    <row r="153" spans="2:16">
      <c r="B153" s="415"/>
      <c r="C153" s="416" t="s">
        <v>2343</v>
      </c>
      <c r="D153" s="415"/>
      <c r="E153" s="104"/>
      <c r="F153" s="669"/>
      <c r="G153" s="669"/>
      <c r="H153" s="669"/>
      <c r="I153" s="669"/>
      <c r="J153" s="669"/>
      <c r="K153" s="669"/>
      <c r="L153" s="669"/>
      <c r="M153" s="669"/>
      <c r="N153" s="669"/>
      <c r="O153" s="2999"/>
      <c r="P153" s="969"/>
    </row>
    <row r="154" spans="2:16">
      <c r="B154" s="415"/>
      <c r="C154" s="415"/>
      <c r="D154" s="415"/>
      <c r="E154" s="415"/>
      <c r="F154" s="669"/>
      <c r="G154" s="669"/>
      <c r="H154" s="669"/>
      <c r="I154" s="669"/>
      <c r="J154" s="669"/>
      <c r="K154" s="669"/>
      <c r="L154" s="669"/>
      <c r="M154" s="669"/>
      <c r="N154" s="669"/>
      <c r="O154" s="415" t="str">
        <f>preferences.energyunits&amp;"/MT of Production"</f>
        <v>TWh/MT of Production</v>
      </c>
      <c r="P154" s="969"/>
    </row>
    <row r="155" spans="2:16">
      <c r="B155" s="415"/>
      <c r="C155" s="61" t="s">
        <v>411</v>
      </c>
      <c r="D155" s="61" t="s">
        <v>66</v>
      </c>
      <c r="E155" s="61" t="s">
        <v>156</v>
      </c>
      <c r="F155" s="3000">
        <v>2007</v>
      </c>
      <c r="G155" s="3001">
        <f t="shared" ref="G155:O155" si="55">F155+5</f>
        <v>2012</v>
      </c>
      <c r="H155" s="3001">
        <f t="shared" si="55"/>
        <v>2017</v>
      </c>
      <c r="I155" s="3001">
        <f t="shared" si="55"/>
        <v>2022</v>
      </c>
      <c r="J155" s="3001">
        <f t="shared" si="55"/>
        <v>2027</v>
      </c>
      <c r="K155" s="3001">
        <f t="shared" si="55"/>
        <v>2032</v>
      </c>
      <c r="L155" s="3001">
        <f t="shared" si="55"/>
        <v>2037</v>
      </c>
      <c r="M155" s="3001">
        <f t="shared" si="55"/>
        <v>2042</v>
      </c>
      <c r="N155" s="3001">
        <f t="shared" si="55"/>
        <v>2047</v>
      </c>
      <c r="O155" s="3001">
        <f t="shared" si="55"/>
        <v>2052</v>
      </c>
      <c r="P155" s="969"/>
    </row>
    <row r="156" spans="2:16">
      <c r="B156" s="415"/>
      <c r="C156" s="413">
        <v>1</v>
      </c>
      <c r="D156" s="414" t="s">
        <v>1628</v>
      </c>
      <c r="E156" s="218"/>
      <c r="F156" s="669">
        <f>0*(Unit.Mtoe)</f>
        <v>0</v>
      </c>
      <c r="G156" s="669">
        <f>0.63022340364588*(Unit.Mtoe)</f>
        <v>7.3294981844015856</v>
      </c>
      <c r="H156" s="669">
        <f t="shared" ref="H156:O156" si="56">0.576028887240024*(Unit.Mtoe)</f>
        <v>6.6992159586014797</v>
      </c>
      <c r="I156" s="669">
        <f t="shared" si="56"/>
        <v>6.6992159586014797</v>
      </c>
      <c r="J156" s="669">
        <f t="shared" si="56"/>
        <v>6.6992159586014797</v>
      </c>
      <c r="K156" s="669">
        <f t="shared" si="56"/>
        <v>6.6992159586014797</v>
      </c>
      <c r="L156" s="669">
        <f t="shared" si="56"/>
        <v>6.6992159586014797</v>
      </c>
      <c r="M156" s="669">
        <f t="shared" si="56"/>
        <v>6.6992159586014797</v>
      </c>
      <c r="N156" s="669">
        <f t="shared" si="56"/>
        <v>6.6992159586014797</v>
      </c>
      <c r="O156" s="669">
        <f t="shared" si="56"/>
        <v>6.6992159586014797</v>
      </c>
      <c r="P156" s="969">
        <v>0.63272533696376465</v>
      </c>
    </row>
    <row r="157" spans="2:16">
      <c r="B157" s="415"/>
      <c r="C157" s="413">
        <v>2</v>
      </c>
      <c r="D157" s="414" t="s">
        <v>811</v>
      </c>
      <c r="E157" s="218"/>
      <c r="F157" s="669">
        <f>0*(Unit.Mtoe)</f>
        <v>0</v>
      </c>
      <c r="G157" s="669">
        <f>0.63022340364588*(Unit.Mtoe)</f>
        <v>7.3294981844015856</v>
      </c>
      <c r="H157" s="669">
        <f>0.576028887240024*(Unit.Mtoe)</f>
        <v>6.6992159586014797</v>
      </c>
      <c r="I157" s="669">
        <f>0.526494695397607*(Unit.Mtoe)</f>
        <v>6.123133307474169</v>
      </c>
      <c r="J157" s="669">
        <f>0.481220074934045*(Unit.Mtoe)</f>
        <v>5.5965894714829441</v>
      </c>
      <c r="K157" s="669">
        <f>0.439838734452291*(Unit.Mtoe)</f>
        <v>5.1153244816801449</v>
      </c>
      <c r="L157" s="669">
        <f>0.402015880885909*(Unit.Mtoe)</f>
        <v>4.6754446947031223</v>
      </c>
      <c r="M157" s="669">
        <f>0.367445510877359*(Unit.Mtoe)</f>
        <v>4.2733912915036854</v>
      </c>
      <c r="N157" s="669">
        <f>0.335847935077571*(Unit.Mtoe)</f>
        <v>3.905911484952151</v>
      </c>
      <c r="O157" s="669">
        <f>0.306967515337302*(Unit.Mtoe)</f>
        <v>3.5700322033728225</v>
      </c>
      <c r="P157" s="969">
        <v>0.59727440183095015</v>
      </c>
    </row>
    <row r="158" spans="2:16">
      <c r="B158" s="415"/>
      <c r="C158" s="413">
        <v>3</v>
      </c>
      <c r="D158" s="414" t="s">
        <v>1018</v>
      </c>
      <c r="E158" s="218"/>
      <c r="F158" s="669">
        <f>(F157)*(Unit.Mtoe)</f>
        <v>0</v>
      </c>
      <c r="G158" s="669">
        <f>0.63022340364588*(Unit.Mtoe)</f>
        <v>7.3294981844015856</v>
      </c>
      <c r="H158" s="669">
        <f>0.576028887240024*(Unit.Mtoe)</f>
        <v>6.6992159586014797</v>
      </c>
      <c r="I158" s="669">
        <f>0.526494695397607*(Unit.Mtoe)</f>
        <v>6.123133307474169</v>
      </c>
      <c r="J158" s="669">
        <f>0.481220074934045*(Unit.Mtoe)</f>
        <v>5.5965894714829441</v>
      </c>
      <c r="K158" s="669">
        <f>0.439838734452291*(Unit.Mtoe)</f>
        <v>5.1153244816801449</v>
      </c>
      <c r="L158" s="669">
        <f>0.402015880885909*(Unit.Mtoe)</f>
        <v>4.6754446947031223</v>
      </c>
      <c r="M158" s="669">
        <f>0.367445510877359*(Unit.Mtoe)</f>
        <v>4.2733912915036854</v>
      </c>
      <c r="N158" s="669">
        <f>0.335847935077571*(Unit.Mtoe)</f>
        <v>3.905911484952151</v>
      </c>
      <c r="O158" s="669">
        <f>0.306967515337302*(Unit.Mtoe)</f>
        <v>3.5700322033728225</v>
      </c>
      <c r="P158" s="969"/>
    </row>
    <row r="159" spans="2:16">
      <c r="B159" s="415"/>
      <c r="C159" s="413">
        <v>4</v>
      </c>
      <c r="D159" s="414" t="s">
        <v>1019</v>
      </c>
      <c r="E159" s="218"/>
      <c r="F159" s="669">
        <f>(F157)*(Unit.Mtoe)</f>
        <v>0</v>
      </c>
      <c r="G159" s="669">
        <f>0.63022340364588*(Unit.Mtoe)</f>
        <v>7.3294981844015856</v>
      </c>
      <c r="H159" s="669">
        <f>0.576028887240024*(Unit.Mtoe)</f>
        <v>6.6992159586014797</v>
      </c>
      <c r="I159" s="669">
        <f>0.526494695397607*(Unit.Mtoe)</f>
        <v>6.123133307474169</v>
      </c>
      <c r="J159" s="669">
        <f>0.481220074934045*(Unit.Mtoe)</f>
        <v>5.5965894714829441</v>
      </c>
      <c r="K159" s="669">
        <f>0.439838734452291*(Unit.Mtoe)</f>
        <v>5.1153244816801449</v>
      </c>
      <c r="L159" s="669">
        <f>0.402015880885909*(Unit.Mtoe)</f>
        <v>4.6754446947031223</v>
      </c>
      <c r="M159" s="669">
        <f>0.367445510877359*(Unit.Mtoe)</f>
        <v>4.2733912915036854</v>
      </c>
      <c r="N159" s="669">
        <f>0.335847935077571*(Unit.Mtoe)</f>
        <v>3.905911484952151</v>
      </c>
      <c r="O159" s="669">
        <f>0.306967515337302*(Unit.Mtoe)</f>
        <v>3.5700322033728225</v>
      </c>
      <c r="P159" s="969"/>
    </row>
    <row r="160" spans="2:16">
      <c r="B160" s="415"/>
      <c r="C160" s="2992"/>
      <c r="D160" s="2993" t="s">
        <v>406</v>
      </c>
      <c r="E160" s="2681"/>
      <c r="F160" s="2998">
        <f t="shared" ref="F160:O160" si="57">(INDEX(F156:F159,ROUNDDOWN($E$8,0))*(1-MOD($E$8,1)))+(INDEX(F156:F159,ROUNDUP($E$8,0))*MOD($E$8,1))</f>
        <v>0</v>
      </c>
      <c r="G160" s="2998">
        <f t="shared" si="57"/>
        <v>7.3294981844015856</v>
      </c>
      <c r="H160" s="2998">
        <f t="shared" si="57"/>
        <v>6.6992159586014797</v>
      </c>
      <c r="I160" s="2998">
        <f t="shared" si="57"/>
        <v>6.6992159586014797</v>
      </c>
      <c r="J160" s="2998">
        <f t="shared" si="57"/>
        <v>6.6992159586014797</v>
      </c>
      <c r="K160" s="2998">
        <f t="shared" si="57"/>
        <v>6.6992159586014797</v>
      </c>
      <c r="L160" s="2998">
        <f t="shared" si="57"/>
        <v>6.6992159586014797</v>
      </c>
      <c r="M160" s="2998">
        <f t="shared" si="57"/>
        <v>6.6992159586014797</v>
      </c>
      <c r="N160" s="2998">
        <f t="shared" si="57"/>
        <v>6.6992159586014797</v>
      </c>
      <c r="O160" s="2998">
        <f t="shared" si="57"/>
        <v>6.6992159586014797</v>
      </c>
      <c r="P160" s="969"/>
    </row>
    <row r="161" spans="2:16">
      <c r="B161" s="415"/>
      <c r="C161" s="415"/>
      <c r="D161" s="415"/>
      <c r="E161" s="415"/>
      <c r="F161" s="669"/>
      <c r="G161" s="669"/>
      <c r="H161" s="669"/>
      <c r="I161" s="669"/>
      <c r="J161" s="669"/>
      <c r="K161" s="669"/>
      <c r="L161" s="669"/>
      <c r="M161" s="669"/>
      <c r="N161" s="669"/>
      <c r="O161" s="669"/>
      <c r="P161" s="969"/>
    </row>
    <row r="162" spans="2:16">
      <c r="B162" s="415"/>
      <c r="C162" s="416" t="s">
        <v>2344</v>
      </c>
      <c r="D162" s="415"/>
      <c r="E162" s="104"/>
      <c r="F162" s="669"/>
      <c r="G162" s="669"/>
      <c r="H162" s="669"/>
      <c r="I162" s="669"/>
      <c r="J162" s="669"/>
      <c r="K162" s="669"/>
      <c r="L162" s="669"/>
      <c r="M162" s="669"/>
      <c r="N162" s="669"/>
      <c r="O162" s="2999"/>
      <c r="P162" s="969"/>
    </row>
    <row r="163" spans="2:16">
      <c r="B163" s="415"/>
      <c r="C163" s="415"/>
      <c r="D163" s="415"/>
      <c r="E163" s="415"/>
      <c r="F163" s="669"/>
      <c r="G163" s="669"/>
      <c r="H163" s="669"/>
      <c r="I163" s="669"/>
      <c r="J163" s="669"/>
      <c r="K163" s="669"/>
      <c r="L163" s="669"/>
      <c r="M163" s="669"/>
      <c r="N163" s="669"/>
      <c r="O163" s="415" t="str">
        <f>preferences.energyunits&amp;"/MT of Production"</f>
        <v>TWh/MT of Production</v>
      </c>
      <c r="P163" s="969"/>
    </row>
    <row r="164" spans="2:16">
      <c r="B164" s="415"/>
      <c r="C164" s="61" t="s">
        <v>411</v>
      </c>
      <c r="D164" s="61" t="s">
        <v>66</v>
      </c>
      <c r="E164" s="61" t="s">
        <v>156</v>
      </c>
      <c r="F164" s="3000">
        <v>2007</v>
      </c>
      <c r="G164" s="3001">
        <f t="shared" ref="G164:O164" si="58">F164+5</f>
        <v>2012</v>
      </c>
      <c r="H164" s="3001">
        <f t="shared" si="58"/>
        <v>2017</v>
      </c>
      <c r="I164" s="3001">
        <f t="shared" si="58"/>
        <v>2022</v>
      </c>
      <c r="J164" s="3001">
        <f t="shared" si="58"/>
        <v>2027</v>
      </c>
      <c r="K164" s="3001">
        <f t="shared" si="58"/>
        <v>2032</v>
      </c>
      <c r="L164" s="3001">
        <f t="shared" si="58"/>
        <v>2037</v>
      </c>
      <c r="M164" s="3001">
        <f t="shared" si="58"/>
        <v>2042</v>
      </c>
      <c r="N164" s="3001">
        <f t="shared" si="58"/>
        <v>2047</v>
      </c>
      <c r="O164" s="3001">
        <f t="shared" si="58"/>
        <v>2052</v>
      </c>
      <c r="P164" s="969"/>
    </row>
    <row r="165" spans="2:16">
      <c r="B165" s="415"/>
      <c r="C165" s="413">
        <v>1</v>
      </c>
      <c r="D165" s="414" t="s">
        <v>1628</v>
      </c>
      <c r="E165" s="218"/>
      <c r="F165" s="669">
        <f t="shared" ref="F165:G167" si="59">0.6436*(Unit.Mtoe)</f>
        <v>7.4850680000000001</v>
      </c>
      <c r="G165" s="669">
        <f t="shared" si="59"/>
        <v>7.4850680000000001</v>
      </c>
      <c r="H165" s="669">
        <f>0.642240667120471*(Unit.Mtoe)</f>
        <v>7.4692589586110785</v>
      </c>
      <c r="I165" s="669">
        <f>0.640881334240941*(Unit.Mtoe)</f>
        <v>7.4534499172221436</v>
      </c>
      <c r="J165" s="669">
        <f>0.639522001361412*(Unit.Mtoe)</f>
        <v>7.437640875833222</v>
      </c>
      <c r="K165" s="669">
        <f>0.638162668481882*(Unit.Mtoe)</f>
        <v>7.421831834444288</v>
      </c>
      <c r="L165" s="669">
        <f>0.636803335602353*(Unit.Mtoe)</f>
        <v>7.4060227930553664</v>
      </c>
      <c r="M165" s="669">
        <f>0.635444002722823*(Unit.Mtoe)</f>
        <v>7.3902137516664315</v>
      </c>
      <c r="N165" s="669">
        <f>0.634084669843294*(Unit.Mtoe)</f>
        <v>7.3744047102775099</v>
      </c>
      <c r="O165" s="669">
        <f>0.632725336963765*(Unit.Mtoe)</f>
        <v>7.3585956688885874</v>
      </c>
      <c r="P165" s="969"/>
    </row>
    <row r="166" spans="2:16">
      <c r="B166" s="415"/>
      <c r="C166" s="413">
        <v>2</v>
      </c>
      <c r="D166" s="414" t="s">
        <v>811</v>
      </c>
      <c r="E166" s="218"/>
      <c r="F166" s="669">
        <f t="shared" si="59"/>
        <v>7.4850680000000001</v>
      </c>
      <c r="G166" s="669">
        <f t="shared" si="59"/>
        <v>7.4850680000000001</v>
      </c>
      <c r="H166" s="669">
        <f>0.634496476916107*(Unit.Mtoe)</f>
        <v>7.379194026534325</v>
      </c>
      <c r="I166" s="669">
        <f>0.629040280029612*(Unit.Mtoe)</f>
        <v>7.3157384567443877</v>
      </c>
      <c r="J166" s="669">
        <f>0.623631002370485*(Unit.Mtoe)</f>
        <v>7.2528285575687406</v>
      </c>
      <c r="K166" s="669">
        <f>0.618268240468333*(Unit.Mtoe)</f>
        <v>7.1904596366467128</v>
      </c>
      <c r="L166" s="669">
        <f>0.612951594322309*(Unit.Mtoe)</f>
        <v>7.1286270419684534</v>
      </c>
      <c r="M166" s="669">
        <f>0.607680667371274*(Unit.Mtoe)</f>
        <v>7.0673261615279177</v>
      </c>
      <c r="N166" s="669">
        <f>0.602455066464222*(Unit.Mtoe)</f>
        <v>7.0065524229789018</v>
      </c>
      <c r="O166" s="669">
        <f>0.59727440183095*(Unit.Mtoe)</f>
        <v>6.9463012932939492</v>
      </c>
      <c r="P166" s="969"/>
    </row>
    <row r="167" spans="2:16">
      <c r="B167" s="415"/>
      <c r="C167" s="413">
        <v>3</v>
      </c>
      <c r="D167" s="414" t="s">
        <v>1018</v>
      </c>
      <c r="E167" s="218"/>
      <c r="F167" s="669">
        <f t="shared" si="59"/>
        <v>7.4850680000000001</v>
      </c>
      <c r="G167" s="669">
        <f t="shared" si="59"/>
        <v>7.4850680000000001</v>
      </c>
      <c r="H167" s="669">
        <f>0.628992953832214*(Unit.Mtoe)</f>
        <v>7.3151880530686491</v>
      </c>
      <c r="I167" s="669">
        <f>0.618175212454021*(Unit.Mtoe)</f>
        <v>7.1893777208402643</v>
      </c>
      <c r="J167" s="669">
        <f>0.607543520105174*(Unit.Mtoe)</f>
        <v>7.0657311388231738</v>
      </c>
      <c r="K167" s="669">
        <f>0.597094677019647*(Unit.Mtoe)</f>
        <v>6.9442110937384953</v>
      </c>
      <c r="L167" s="669">
        <f>0.586825538462625*(Unit.Mtoe)</f>
        <v>6.8247810123203285</v>
      </c>
      <c r="M167" s="669">
        <f>0.57673301378404*(Unit.Mtoe)</f>
        <v>6.7074049503083852</v>
      </c>
      <c r="N167" s="669">
        <f>0.566814065488404*(Unit.Mtoe)</f>
        <v>6.5920475816301387</v>
      </c>
      <c r="O167" s="669">
        <f>0.55706570832062*(Unit.Mtoe)</f>
        <v>6.478674187768811</v>
      </c>
      <c r="P167" s="969"/>
    </row>
    <row r="168" spans="2:16">
      <c r="B168" s="415"/>
      <c r="C168" s="413">
        <v>4</v>
      </c>
      <c r="D168" s="414" t="s">
        <v>1019</v>
      </c>
      <c r="E168" s="218"/>
      <c r="F168" s="669">
        <f>0.6436*(Unit.Mtoe)</f>
        <v>7.4850680000000001</v>
      </c>
      <c r="G168" s="669">
        <f>G167</f>
        <v>7.4850680000000001</v>
      </c>
      <c r="H168" s="669">
        <f>0.612482384580535*(Unit.Mtoe)</f>
        <v>7.123170132671623</v>
      </c>
      <c r="I168" s="669">
        <f>0.586147924096028*(Unit.Mtoe)</f>
        <v>6.8169003572368059</v>
      </c>
      <c r="J168" s="669">
        <f>0.560945747292603*(Unit.Mtoe)</f>
        <v>6.5237990410129738</v>
      </c>
      <c r="K168" s="669">
        <f>0.536827170190755*(Unit.Mtoe)</f>
        <v>6.2432999893184808</v>
      </c>
      <c r="L168" s="669">
        <f>0.51374560204071*(Unit.Mtoe)</f>
        <v>5.9748613517334572</v>
      </c>
      <c r="M168" s="669">
        <f>0.491656455321338*(Unit.Mtoe)</f>
        <v>5.7179645753871613</v>
      </c>
      <c r="N168" s="669">
        <f>0.48*(Unit.Mtoe)</f>
        <v>5.5823999999999998</v>
      </c>
      <c r="O168" s="669">
        <f>0.48*(Unit.Mtoe)</f>
        <v>5.5823999999999998</v>
      </c>
      <c r="P168" s="969"/>
    </row>
    <row r="169" spans="2:16">
      <c r="B169" s="415"/>
      <c r="C169" s="2992"/>
      <c r="D169" s="2993" t="s">
        <v>406</v>
      </c>
      <c r="E169" s="2681"/>
      <c r="F169" s="2998">
        <f t="shared" ref="F169:O169" si="60">(INDEX(F165:F168,ROUNDDOWN($E$8,0))*(1-MOD($E$8,1)))+(INDEX(F165:F168,ROUNDUP($E$8,0))*MOD($E$8,1))</f>
        <v>7.4850680000000001</v>
      </c>
      <c r="G169" s="2998">
        <f t="shared" si="60"/>
        <v>7.4850680000000001</v>
      </c>
      <c r="H169" s="2998">
        <f t="shared" si="60"/>
        <v>7.4692589586110785</v>
      </c>
      <c r="I169" s="2998">
        <f t="shared" si="60"/>
        <v>7.4534499172221436</v>
      </c>
      <c r="J169" s="2998">
        <f t="shared" si="60"/>
        <v>7.437640875833222</v>
      </c>
      <c r="K169" s="2998">
        <f t="shared" si="60"/>
        <v>7.421831834444288</v>
      </c>
      <c r="L169" s="2998">
        <f t="shared" si="60"/>
        <v>7.4060227930553664</v>
      </c>
      <c r="M169" s="2998">
        <f t="shared" si="60"/>
        <v>7.3902137516664315</v>
      </c>
      <c r="N169" s="2998">
        <f t="shared" si="60"/>
        <v>7.3744047102775099</v>
      </c>
      <c r="O169" s="2998">
        <f t="shared" si="60"/>
        <v>7.3585956688885874</v>
      </c>
      <c r="P169" s="969"/>
    </row>
    <row r="170" spans="2:16">
      <c r="B170" s="415"/>
      <c r="C170" s="415"/>
      <c r="D170" s="415"/>
      <c r="E170" s="415"/>
      <c r="F170" s="669"/>
      <c r="G170" s="669"/>
      <c r="H170" s="669"/>
      <c r="I170" s="669"/>
      <c r="J170" s="669"/>
      <c r="K170" s="669"/>
      <c r="L170" s="669"/>
      <c r="M170" s="669"/>
      <c r="N170" s="669"/>
      <c r="O170" s="669"/>
      <c r="P170" s="969"/>
    </row>
    <row r="171" spans="2:16">
      <c r="B171" s="415"/>
      <c r="C171" s="416" t="s">
        <v>2345</v>
      </c>
      <c r="D171" s="415"/>
      <c r="E171" s="104"/>
      <c r="F171" s="669"/>
      <c r="G171" s="669"/>
      <c r="H171" s="669"/>
      <c r="I171" s="669"/>
      <c r="J171" s="669"/>
      <c r="K171" s="669"/>
      <c r="L171" s="669"/>
      <c r="M171" s="669"/>
      <c r="N171" s="669"/>
      <c r="O171" s="2999"/>
      <c r="P171" s="969"/>
    </row>
    <row r="172" spans="2:16">
      <c r="B172" s="415"/>
      <c r="C172" s="415"/>
      <c r="D172" s="415"/>
      <c r="E172" s="415"/>
      <c r="F172" s="669"/>
      <c r="G172" s="669"/>
      <c r="H172" s="669"/>
      <c r="I172" s="669"/>
      <c r="J172" s="669"/>
      <c r="K172" s="669"/>
      <c r="L172" s="669"/>
      <c r="M172" s="669"/>
      <c r="N172" s="669"/>
      <c r="O172" s="415" t="str">
        <f>preferences.energyunits&amp;"/MT of Production"</f>
        <v>TWh/MT of Production</v>
      </c>
      <c r="P172" s="969"/>
    </row>
    <row r="173" spans="2:16">
      <c r="B173" s="415"/>
      <c r="C173" s="61" t="s">
        <v>411</v>
      </c>
      <c r="D173" s="61" t="s">
        <v>66</v>
      </c>
      <c r="E173" s="61" t="s">
        <v>156</v>
      </c>
      <c r="F173" s="3000">
        <v>2007</v>
      </c>
      <c r="G173" s="3001">
        <f t="shared" ref="G173:O173" si="61">F173+5</f>
        <v>2012</v>
      </c>
      <c r="H173" s="3001">
        <f t="shared" si="61"/>
        <v>2017</v>
      </c>
      <c r="I173" s="3001">
        <f t="shared" si="61"/>
        <v>2022</v>
      </c>
      <c r="J173" s="3001">
        <f t="shared" si="61"/>
        <v>2027</v>
      </c>
      <c r="K173" s="3001">
        <f t="shared" si="61"/>
        <v>2032</v>
      </c>
      <c r="L173" s="3001">
        <f t="shared" si="61"/>
        <v>2037</v>
      </c>
      <c r="M173" s="3001">
        <f t="shared" si="61"/>
        <v>2042</v>
      </c>
      <c r="N173" s="3001">
        <f t="shared" si="61"/>
        <v>2047</v>
      </c>
      <c r="O173" s="3001">
        <f t="shared" si="61"/>
        <v>2052</v>
      </c>
      <c r="P173" s="969"/>
    </row>
    <row r="174" spans="2:16">
      <c r="B174" s="415"/>
      <c r="C174" s="413">
        <v>1</v>
      </c>
      <c r="D174" s="414" t="s">
        <v>1628</v>
      </c>
      <c r="E174" s="218"/>
      <c r="F174" s="669">
        <f>0*(Unit.Mtoe)</f>
        <v>0</v>
      </c>
      <c r="G174" s="669">
        <f>0.670424249997197*(Unit.Mtoe)</f>
        <v>7.7970340274674008</v>
      </c>
      <c r="H174" s="669">
        <f t="shared" ref="H174:O174" si="62">0.608603169236038*(Unit.Mtoe)</f>
        <v>7.0780548582151219</v>
      </c>
      <c r="I174" s="669">
        <f t="shared" si="62"/>
        <v>7.0780548582151219</v>
      </c>
      <c r="J174" s="669">
        <f t="shared" si="62"/>
        <v>7.0780548582151219</v>
      </c>
      <c r="K174" s="669">
        <f t="shared" si="62"/>
        <v>7.0780548582151219</v>
      </c>
      <c r="L174" s="669">
        <f t="shared" si="62"/>
        <v>7.0780548582151219</v>
      </c>
      <c r="M174" s="669">
        <f t="shared" si="62"/>
        <v>7.0780548582151219</v>
      </c>
      <c r="N174" s="669">
        <f t="shared" si="62"/>
        <v>7.0780548582151219</v>
      </c>
      <c r="O174" s="669">
        <f t="shared" si="62"/>
        <v>7.0780548582151219</v>
      </c>
      <c r="P174" s="969"/>
    </row>
    <row r="175" spans="2:16">
      <c r="B175" s="415"/>
      <c r="C175" s="413">
        <v>2</v>
      </c>
      <c r="D175" s="414" t="s">
        <v>811</v>
      </c>
      <c r="E175" s="218"/>
      <c r="F175" s="669">
        <f>0*(Unit.Mtoe)</f>
        <v>0</v>
      </c>
      <c r="G175" s="669">
        <f>0.670424249997197*(Unit.Mtoe)</f>
        <v>7.7970340274674008</v>
      </c>
      <c r="H175" s="669">
        <f>0.608603169236038*(Unit.Mtoe)</f>
        <v>7.0780548582151219</v>
      </c>
      <c r="I175" s="669">
        <f>0.552482726580517*(Unit.Mtoe)</f>
        <v>6.425374110131413</v>
      </c>
      <c r="J175" s="669">
        <f>0.501537255471406*(Unit.Mtoe)</f>
        <v>5.8328782811324524</v>
      </c>
      <c r="K175" s="669">
        <f>0.45528956205137*(Unit.Mtoe)</f>
        <v>5.2950176066574333</v>
      </c>
      <c r="L175" s="669">
        <f>0.413306455405976*(Unit.Mtoe)</f>
        <v>4.8067540763715009</v>
      </c>
      <c r="M175" s="669">
        <f>0.375194689969586*(Unit.Mtoe)</f>
        <v>4.3635142443462858</v>
      </c>
      <c r="N175" s="669">
        <f>0.340597282089628*(Unit.Mtoe)</f>
        <v>3.9611463907023734</v>
      </c>
      <c r="O175" s="669">
        <f>0.30919016624741*(Unit.Mtoe)</f>
        <v>3.5958816334573789</v>
      </c>
      <c r="P175" s="969"/>
    </row>
    <row r="176" spans="2:16">
      <c r="B176" s="415"/>
      <c r="C176" s="413">
        <v>3</v>
      </c>
      <c r="D176" s="414" t="s">
        <v>1018</v>
      </c>
      <c r="E176" s="218"/>
      <c r="F176" s="669">
        <f>(F175)*(Unit.Mtoe)</f>
        <v>0</v>
      </c>
      <c r="G176" s="669">
        <f>0.670424249997197*(Unit.Mtoe)</f>
        <v>7.7970340274674008</v>
      </c>
      <c r="H176" s="669">
        <f>0.608603169236038*(Unit.Mtoe)</f>
        <v>7.0780548582151219</v>
      </c>
      <c r="I176" s="669">
        <f>0.552482726580517*(Unit.Mtoe)</f>
        <v>6.425374110131413</v>
      </c>
      <c r="J176" s="669">
        <f>0.501537255471406*(Unit.Mtoe)</f>
        <v>5.8328782811324524</v>
      </c>
      <c r="K176" s="669">
        <f>0.45528956205137*(Unit.Mtoe)</f>
        <v>5.2950176066574333</v>
      </c>
      <c r="L176" s="669">
        <f>0.413306455405976*(Unit.Mtoe)</f>
        <v>4.8067540763715009</v>
      </c>
      <c r="M176" s="669">
        <f>0.375194689969586*(Unit.Mtoe)</f>
        <v>4.3635142443462858</v>
      </c>
      <c r="N176" s="669">
        <f>0.340597282089628*(Unit.Mtoe)</f>
        <v>3.9611463907023734</v>
      </c>
      <c r="O176" s="669">
        <f>0.30919016624741*(Unit.Mtoe)</f>
        <v>3.5958816334573789</v>
      </c>
      <c r="P176" s="969"/>
    </row>
    <row r="177" spans="2:16">
      <c r="B177" s="415"/>
      <c r="C177" s="413">
        <v>4</v>
      </c>
      <c r="D177" s="414" t="s">
        <v>1019</v>
      </c>
      <c r="E177" s="218"/>
      <c r="F177" s="669">
        <f>(F175)*(Unit.Mtoe)</f>
        <v>0</v>
      </c>
      <c r="G177" s="669">
        <f>0.670424249997197*(Unit.Mtoe)</f>
        <v>7.7970340274674008</v>
      </c>
      <c r="H177" s="669">
        <f>0.608603169236038*(Unit.Mtoe)</f>
        <v>7.0780548582151219</v>
      </c>
      <c r="I177" s="669">
        <f>0.552482726580517*(Unit.Mtoe)</f>
        <v>6.425374110131413</v>
      </c>
      <c r="J177" s="669">
        <f>0.501537255471406*(Unit.Mtoe)</f>
        <v>5.8328782811324524</v>
      </c>
      <c r="K177" s="669">
        <f>0.45528956205137*(Unit.Mtoe)</f>
        <v>5.2950176066574333</v>
      </c>
      <c r="L177" s="669">
        <f>0.413306455405976*(Unit.Mtoe)</f>
        <v>4.8067540763715009</v>
      </c>
      <c r="M177" s="669">
        <f>0.375194689969586*(Unit.Mtoe)</f>
        <v>4.3635142443462858</v>
      </c>
      <c r="N177" s="669">
        <f>0.340597282089628*(Unit.Mtoe)</f>
        <v>3.9611463907023734</v>
      </c>
      <c r="O177" s="669">
        <f>0.30919016624741*(Unit.Mtoe)</f>
        <v>3.5958816334573789</v>
      </c>
      <c r="P177" s="969"/>
    </row>
    <row r="178" spans="2:16">
      <c r="B178" s="415"/>
      <c r="C178" s="2992"/>
      <c r="D178" s="2993" t="s">
        <v>406</v>
      </c>
      <c r="E178" s="2681"/>
      <c r="F178" s="2998">
        <f t="shared" ref="F178:O178" si="63">(INDEX(F174:F177,ROUNDDOWN($E$8,0))*(1-MOD($E$8,1)))+(INDEX(F174:F177,ROUNDUP($E$8,0))*MOD($E$8,1))</f>
        <v>0</v>
      </c>
      <c r="G178" s="2998">
        <f t="shared" si="63"/>
        <v>7.7970340274674008</v>
      </c>
      <c r="H178" s="2998">
        <f t="shared" si="63"/>
        <v>7.0780548582151219</v>
      </c>
      <c r="I178" s="2998">
        <f t="shared" si="63"/>
        <v>7.0780548582151219</v>
      </c>
      <c r="J178" s="2998">
        <f t="shared" si="63"/>
        <v>7.0780548582151219</v>
      </c>
      <c r="K178" s="2998">
        <f t="shared" si="63"/>
        <v>7.0780548582151219</v>
      </c>
      <c r="L178" s="2998">
        <f t="shared" si="63"/>
        <v>7.0780548582151219</v>
      </c>
      <c r="M178" s="2998">
        <f t="shared" si="63"/>
        <v>7.0780548582151219</v>
      </c>
      <c r="N178" s="2998">
        <f t="shared" si="63"/>
        <v>7.0780548582151219</v>
      </c>
      <c r="O178" s="2998">
        <f t="shared" si="63"/>
        <v>7.0780548582151219</v>
      </c>
      <c r="P178" s="969"/>
    </row>
    <row r="179" spans="2:16">
      <c r="B179" s="415"/>
      <c r="C179" s="415"/>
      <c r="D179" s="415"/>
      <c r="E179" s="415"/>
      <c r="F179" s="669"/>
      <c r="G179" s="669"/>
      <c r="H179" s="669"/>
      <c r="I179" s="669"/>
      <c r="J179" s="669"/>
      <c r="K179" s="669"/>
      <c r="L179" s="669"/>
      <c r="M179" s="669"/>
      <c r="N179" s="669"/>
      <c r="O179" s="669"/>
      <c r="P179" s="969"/>
    </row>
    <row r="180" spans="2:16">
      <c r="B180" s="415"/>
      <c r="C180" s="416" t="s">
        <v>2346</v>
      </c>
      <c r="D180" s="415"/>
      <c r="E180" s="104"/>
      <c r="F180" s="669"/>
      <c r="G180" s="669"/>
      <c r="H180" s="669"/>
      <c r="I180" s="669"/>
      <c r="J180" s="669"/>
      <c r="K180" s="669"/>
      <c r="L180" s="669"/>
      <c r="M180" s="669"/>
      <c r="N180" s="669"/>
      <c r="O180" s="2999"/>
      <c r="P180" s="969"/>
    </row>
    <row r="181" spans="2:16">
      <c r="B181" s="415"/>
      <c r="C181" s="415"/>
      <c r="D181" s="415"/>
      <c r="E181" s="415"/>
      <c r="F181" s="669"/>
      <c r="G181" s="669"/>
      <c r="H181" s="669"/>
      <c r="I181" s="669"/>
      <c r="J181" s="669"/>
      <c r="K181" s="669"/>
      <c r="L181" s="669"/>
      <c r="M181" s="669"/>
      <c r="N181" s="669"/>
      <c r="O181" s="415" t="str">
        <f>preferences.energyunits&amp;"/MT of Production"</f>
        <v>TWh/MT of Production</v>
      </c>
      <c r="P181" s="969"/>
    </row>
    <row r="182" spans="2:16">
      <c r="B182" s="415"/>
      <c r="C182" s="61" t="s">
        <v>411</v>
      </c>
      <c r="D182" s="61" t="s">
        <v>66</v>
      </c>
      <c r="E182" s="61" t="s">
        <v>156</v>
      </c>
      <c r="F182" s="3000">
        <v>2007</v>
      </c>
      <c r="G182" s="3001">
        <f t="shared" ref="G182:O182" si="64">F182+5</f>
        <v>2012</v>
      </c>
      <c r="H182" s="3001">
        <f t="shared" si="64"/>
        <v>2017</v>
      </c>
      <c r="I182" s="3001">
        <f t="shared" si="64"/>
        <v>2022</v>
      </c>
      <c r="J182" s="3001">
        <f t="shared" si="64"/>
        <v>2027</v>
      </c>
      <c r="K182" s="3001">
        <f t="shared" si="64"/>
        <v>2032</v>
      </c>
      <c r="L182" s="3001">
        <f t="shared" si="64"/>
        <v>2037</v>
      </c>
      <c r="M182" s="3001">
        <f t="shared" si="64"/>
        <v>2042</v>
      </c>
      <c r="N182" s="3001">
        <f t="shared" si="64"/>
        <v>2047</v>
      </c>
      <c r="O182" s="3001">
        <f t="shared" si="64"/>
        <v>2052</v>
      </c>
      <c r="P182" s="969"/>
    </row>
    <row r="183" spans="2:16">
      <c r="B183" s="415"/>
      <c r="C183" s="413">
        <v>1</v>
      </c>
      <c r="D183" s="414" t="s">
        <v>1628</v>
      </c>
      <c r="E183" s="218"/>
      <c r="F183" s="669">
        <f>0.7380906*(Unit.Mtoe)</f>
        <v>8.5839936780000006</v>
      </c>
      <c r="G183" s="669">
        <f>0.7108171*(Unit.Mtoe)</f>
        <v>8.2668028729999996</v>
      </c>
      <c r="H183" s="669">
        <f>0.709315799416778*(Unit.Mtoe)</f>
        <v>8.2493427472171295</v>
      </c>
      <c r="I183" s="669">
        <f>0.707814498833556*(Unit.Mtoe)</f>
        <v>8.2318826214342558</v>
      </c>
      <c r="J183" s="669">
        <f>0.706313198250333*(Unit.Mtoe)</f>
        <v>8.2144224956513732</v>
      </c>
      <c r="K183" s="669">
        <f>0.704811897667111*(Unit.Mtoe)</f>
        <v>8.1969623698685012</v>
      </c>
      <c r="L183" s="669">
        <f>0.703310597083889*(Unit.Mtoe)</f>
        <v>8.1795022440856293</v>
      </c>
      <c r="M183" s="669">
        <f>0.701809296500667*(Unit.Mtoe)</f>
        <v>8.1620421183027574</v>
      </c>
      <c r="N183" s="669">
        <f>0.700307995917445*(Unit.Mtoe)</f>
        <v>8.1445819925198855</v>
      </c>
      <c r="O183" s="669">
        <f>0.698806695334223*(Unit.Mtoe)</f>
        <v>8.1271218667370135</v>
      </c>
      <c r="P183" s="969"/>
    </row>
    <row r="184" spans="2:16">
      <c r="B184" s="415"/>
      <c r="C184" s="413">
        <v>2</v>
      </c>
      <c r="D184" s="414" t="s">
        <v>811</v>
      </c>
      <c r="E184" s="218"/>
      <c r="F184" s="669">
        <f>0.7380906*(Unit.Mtoe)</f>
        <v>8.5839936780000006</v>
      </c>
      <c r="G184" s="669">
        <f>0.7108171*(Unit.Mtoe)</f>
        <v>8.2668028729999996</v>
      </c>
      <c r="H184" s="669">
        <f>0.679150341168473*(Unit.Mtoe)</f>
        <v>7.8985184677893407</v>
      </c>
      <c r="I184" s="669">
        <f>0.672887768164808*(Unit.Mtoe)</f>
        <v>7.8256847437567174</v>
      </c>
      <c r="J184" s="669">
        <f>0.666682943524428*(Unit.Mtoe)</f>
        <v>7.7535226331890987</v>
      </c>
      <c r="K184" s="669">
        <f>0.660535334738814*(Unit.Mtoe)</f>
        <v>7.6820259430124072</v>
      </c>
      <c r="L184" s="669">
        <f>0.654444414209812*(Unit.Mtoe)</f>
        <v>7.611188537260114</v>
      </c>
      <c r="M184" s="669">
        <f>0.648409659204348*(Unit.Mtoe)</f>
        <v>7.5410043365465675</v>
      </c>
      <c r="N184" s="669">
        <f>0.642430551809567*(Unit.Mtoe)</f>
        <v>7.4714673175452644</v>
      </c>
      <c r="O184" s="669">
        <f>0.636506578888387*(Unit.Mtoe)</f>
        <v>7.4025715124719413</v>
      </c>
      <c r="P184" s="969"/>
    </row>
    <row r="185" spans="2:16">
      <c r="B185" s="415"/>
      <c r="C185" s="413">
        <v>3</v>
      </c>
      <c r="D185" s="414" t="s">
        <v>1018</v>
      </c>
      <c r="E185" s="218"/>
      <c r="F185" s="669">
        <f>0.7380906*(Unit.Mtoe)</f>
        <v>8.5839936780000006</v>
      </c>
      <c r="G185" s="669">
        <f>0.7108171*(Unit.Mtoe)</f>
        <v>8.2668028729999996</v>
      </c>
      <c r="H185" s="669">
        <f>0.672829482336945*(Unit.Mtoe)</f>
        <v>7.8250068795786705</v>
      </c>
      <c r="I185" s="669">
        <f>0.660420907985342*(Unit.Mtoe)</f>
        <v>7.6806951598695283</v>
      </c>
      <c r="J185" s="669">
        <f>0.648241177228559*(Unit.Mtoe)</f>
        <v>7.5390448911681416</v>
      </c>
      <c r="K185" s="669">
        <f>0.636286069646957*(Unit.Mtoe)</f>
        <v>7.4000069899941101</v>
      </c>
      <c r="L185" s="669">
        <f>0.624551442655464*(Unit.Mtoe)</f>
        <v>7.2635332780830471</v>
      </c>
      <c r="M185" s="669">
        <f>0.613033230068117*(Unit.Mtoe)</f>
        <v>7.1295764656922014</v>
      </c>
      <c r="N185" s="669">
        <f>0.601727440689086*(Unit.Mtoe)</f>
        <v>6.9980901352140705</v>
      </c>
      <c r="O185" s="669">
        <f>0.590630156929675*(Unit.Mtoe)</f>
        <v>6.8690287250921207</v>
      </c>
      <c r="P185" s="969"/>
    </row>
    <row r="186" spans="2:16">
      <c r="B186" s="415"/>
      <c r="C186" s="413">
        <v>4</v>
      </c>
      <c r="D186" s="414" t="s">
        <v>1019</v>
      </c>
      <c r="E186" s="218"/>
      <c r="F186" s="669">
        <f>0.7380906*(Unit.Mtoe)</f>
        <v>8.5839936780000006</v>
      </c>
      <c r="G186" s="669">
        <f>G185</f>
        <v>8.2668028729999996</v>
      </c>
      <c r="H186" s="669">
        <f>0.653866905842364*(Unit.Mtoe)</f>
        <v>7.6044721149466934</v>
      </c>
      <c r="I186" s="669">
        <f>0.623719757381297*(Unit.Mtoe)</f>
        <v>7.2538607783444853</v>
      </c>
      <c r="J186" s="669">
        <f>0.594962571544447*(Unit.Mtoe)</f>
        <v>6.919414707061919</v>
      </c>
      <c r="K186" s="669">
        <f>0.567531262798179*(Unit.Mtoe)</f>
        <v>6.600388586342822</v>
      </c>
      <c r="L186" s="669">
        <f>0.558775576188943*(Unit.Mtoe)</f>
        <v>6.4985599510774081</v>
      </c>
      <c r="M186" s="669">
        <f>0.558775576188943*(Unit.Mtoe)</f>
        <v>6.4985599510774081</v>
      </c>
      <c r="N186" s="669">
        <f>0.558775576188943*(Unit.Mtoe)</f>
        <v>6.4985599510774081</v>
      </c>
      <c r="O186" s="669">
        <f>0.558775576188943*(Unit.Mtoe)</f>
        <v>6.4985599510774081</v>
      </c>
      <c r="P186" s="969"/>
    </row>
    <row r="187" spans="2:16">
      <c r="B187" s="415"/>
      <c r="C187" s="2992"/>
      <c r="D187" s="2993" t="s">
        <v>406</v>
      </c>
      <c r="E187" s="2681"/>
      <c r="F187" s="2998">
        <f t="shared" ref="F187:O187" si="65">(INDEX(F183:F186,ROUNDDOWN($E$8,0))*(1-MOD($E$8,1)))+(INDEX(F183:F186,ROUNDUP($E$8,0))*MOD($E$8,1))</f>
        <v>8.5839936780000006</v>
      </c>
      <c r="G187" s="2998">
        <f t="shared" si="65"/>
        <v>8.2668028729999996</v>
      </c>
      <c r="H187" s="2998">
        <f t="shared" si="65"/>
        <v>8.2493427472171295</v>
      </c>
      <c r="I187" s="2998">
        <f t="shared" si="65"/>
        <v>8.2318826214342558</v>
      </c>
      <c r="J187" s="2998">
        <f t="shared" si="65"/>
        <v>8.2144224956513732</v>
      </c>
      <c r="K187" s="2998">
        <f t="shared" si="65"/>
        <v>8.1969623698685012</v>
      </c>
      <c r="L187" s="2998">
        <f t="shared" si="65"/>
        <v>8.1795022440856293</v>
      </c>
      <c r="M187" s="2998">
        <f t="shared" si="65"/>
        <v>8.1620421183027574</v>
      </c>
      <c r="N187" s="2998">
        <f t="shared" si="65"/>
        <v>8.1445819925198855</v>
      </c>
      <c r="O187" s="2998">
        <f t="shared" si="65"/>
        <v>8.1271218667370135</v>
      </c>
      <c r="P187" s="969"/>
    </row>
    <row r="188" spans="2:16">
      <c r="B188" s="415"/>
      <c r="C188" s="415"/>
      <c r="D188" s="415"/>
      <c r="E188" s="415"/>
      <c r="F188" s="669"/>
      <c r="G188" s="669"/>
      <c r="H188" s="669"/>
      <c r="I188" s="669"/>
      <c r="J188" s="669"/>
      <c r="K188" s="669"/>
      <c r="L188" s="669"/>
      <c r="M188" s="669"/>
      <c r="N188" s="669"/>
      <c r="O188" s="669"/>
      <c r="P188" s="969"/>
    </row>
    <row r="189" spans="2:16">
      <c r="B189" s="415"/>
      <c r="C189" s="416" t="s">
        <v>2347</v>
      </c>
      <c r="D189" s="415"/>
      <c r="E189" s="104"/>
      <c r="F189" s="669"/>
      <c r="G189" s="669"/>
      <c r="H189" s="669"/>
      <c r="I189" s="669"/>
      <c r="J189" s="669"/>
      <c r="K189" s="669"/>
      <c r="L189" s="669"/>
      <c r="M189" s="669"/>
      <c r="N189" s="669"/>
      <c r="O189" s="2999"/>
      <c r="P189" s="969"/>
    </row>
    <row r="190" spans="2:16">
      <c r="B190" s="415"/>
      <c r="C190" s="415"/>
      <c r="D190" s="415"/>
      <c r="E190" s="415"/>
      <c r="F190" s="669"/>
      <c r="G190" s="669"/>
      <c r="H190" s="669"/>
      <c r="I190" s="669"/>
      <c r="J190" s="669"/>
      <c r="K190" s="669"/>
      <c r="L190" s="669"/>
      <c r="M190" s="669"/>
      <c r="N190" s="669"/>
      <c r="O190" s="415" t="str">
        <f>preferences.energyunits&amp;"/MT of Production"</f>
        <v>TWh/MT of Production</v>
      </c>
      <c r="P190" s="969"/>
    </row>
    <row r="191" spans="2:16">
      <c r="B191" s="415"/>
      <c r="C191" s="61" t="s">
        <v>411</v>
      </c>
      <c r="D191" s="61" t="s">
        <v>66</v>
      </c>
      <c r="E191" s="61" t="s">
        <v>156</v>
      </c>
      <c r="F191" s="3000">
        <v>2007</v>
      </c>
      <c r="G191" s="3001">
        <f t="shared" ref="G191:O191" si="66">F191+5</f>
        <v>2012</v>
      </c>
      <c r="H191" s="3001">
        <f t="shared" si="66"/>
        <v>2017</v>
      </c>
      <c r="I191" s="3001">
        <f t="shared" si="66"/>
        <v>2022</v>
      </c>
      <c r="J191" s="3001">
        <f t="shared" si="66"/>
        <v>2027</v>
      </c>
      <c r="K191" s="3001">
        <f t="shared" si="66"/>
        <v>2032</v>
      </c>
      <c r="L191" s="3001">
        <f t="shared" si="66"/>
        <v>2037</v>
      </c>
      <c r="M191" s="3001">
        <f t="shared" si="66"/>
        <v>2042</v>
      </c>
      <c r="N191" s="3001">
        <f t="shared" si="66"/>
        <v>2047</v>
      </c>
      <c r="O191" s="3001">
        <f t="shared" si="66"/>
        <v>2052</v>
      </c>
      <c r="P191" s="969"/>
    </row>
    <row r="192" spans="2:16">
      <c r="B192" s="415"/>
      <c r="C192" s="413">
        <v>1</v>
      </c>
      <c r="D192" s="414" t="s">
        <v>1628</v>
      </c>
      <c r="E192" s="218"/>
      <c r="F192" s="669">
        <f>0*(Unit.Mtoe)</f>
        <v>0</v>
      </c>
      <c r="G192" s="669">
        <f>0.36*(Unit.Mtoe)</f>
        <v>4.1867999999999999</v>
      </c>
      <c r="H192" s="669">
        <f>0.34*(Unit.Mtoe)</f>
        <v>3.9542000000000006</v>
      </c>
      <c r="I192" s="669">
        <f>0.339281893755376*(Unit.Mtoe)</f>
        <v>3.9458484243750229</v>
      </c>
      <c r="J192" s="669">
        <f>0.338563787510752*(Unit.Mtoe)</f>
        <v>3.9374968487500461</v>
      </c>
      <c r="K192" s="669">
        <f>0.337845681266128*(Unit.Mtoe)</f>
        <v>3.9291452731250689</v>
      </c>
      <c r="L192" s="669">
        <f>0.337127575021504*(Unit.Mtoe)</f>
        <v>3.9207936975000917</v>
      </c>
      <c r="M192" s="669">
        <f>0.33640946877688*(Unit.Mtoe)</f>
        <v>3.9124421218751144</v>
      </c>
      <c r="N192" s="669">
        <f>0.335691362532256*(Unit.Mtoe)</f>
        <v>3.9040905462501376</v>
      </c>
      <c r="O192" s="669">
        <f>0.334973256287632*(Unit.Mtoe)</f>
        <v>3.8957389706251608</v>
      </c>
      <c r="P192" s="969">
        <v>0.33425515004300804</v>
      </c>
    </row>
    <row r="193" spans="2:16">
      <c r="B193" s="415"/>
      <c r="C193" s="413">
        <v>2</v>
      </c>
      <c r="D193" s="414" t="s">
        <v>811</v>
      </c>
      <c r="E193" s="218"/>
      <c r="F193" s="669">
        <f>0*(Unit.Mtoe)</f>
        <v>0</v>
      </c>
      <c r="G193" s="669">
        <f>0.36*(Unit.Mtoe)</f>
        <v>4.1867999999999999</v>
      </c>
      <c r="H193" s="669">
        <f>0.34*(Unit.Mtoe)</f>
        <v>3.9542000000000006</v>
      </c>
      <c r="I193" s="669">
        <f>0.329750021523908*(Unit.Mtoe)</f>
        <v>3.8349927503230501</v>
      </c>
      <c r="J193" s="669">
        <f>0.3265317618469*(Unit.Mtoe)</f>
        <v>3.7975643902794474</v>
      </c>
      <c r="K193" s="669">
        <f>0.323344911403168*(Unit.Mtoe)</f>
        <v>3.7605013196188444</v>
      </c>
      <c r="L193" s="669">
        <f>0.320189163648171*(Unit.Mtoe)</f>
        <v>3.7237999732282292</v>
      </c>
      <c r="M193" s="669">
        <f t="shared" ref="M193:O195" si="67">0.307295657404735*(Unit.Mtoe)</f>
        <v>3.5738484956170686</v>
      </c>
      <c r="N193" s="669">
        <f t="shared" si="67"/>
        <v>3.5738484956170686</v>
      </c>
      <c r="O193" s="669">
        <f t="shared" si="67"/>
        <v>3.5738484956170686</v>
      </c>
      <c r="P193" s="969">
        <v>0.30729565740473519</v>
      </c>
    </row>
    <row r="194" spans="2:16">
      <c r="B194" s="415"/>
      <c r="C194" s="413">
        <v>3</v>
      </c>
      <c r="D194" s="414" t="s">
        <v>1018</v>
      </c>
      <c r="E194" s="218"/>
      <c r="F194" s="669">
        <f>(F193)*(Unit.Mtoe)</f>
        <v>0</v>
      </c>
      <c r="G194" s="669">
        <f>0.36*(Unit.Mtoe)</f>
        <v>4.1867999999999999</v>
      </c>
      <c r="H194" s="669">
        <f>0.34*(Unit.Mtoe)</f>
        <v>3.9542000000000006</v>
      </c>
      <c r="I194" s="669">
        <f>0.326500043047816*(Unit.Mtoe)</f>
        <v>3.7971955006461</v>
      </c>
      <c r="J194" s="669">
        <f>0.320126961291969*(Unit.Mtoe)</f>
        <v>3.7230765598255995</v>
      </c>
      <c r="K194" s="669">
        <f>0.313878278205989*(Unit.Mtoe)</f>
        <v>3.6504043755356523</v>
      </c>
      <c r="L194" s="669">
        <f>0.307751565603694*(Unit.Mtoe)</f>
        <v>3.5791507079709612</v>
      </c>
      <c r="M194" s="669">
        <f t="shared" si="67"/>
        <v>3.5738484956170686</v>
      </c>
      <c r="N194" s="669">
        <f t="shared" si="67"/>
        <v>3.5738484956170686</v>
      </c>
      <c r="O194" s="669">
        <f t="shared" si="67"/>
        <v>3.5738484956170686</v>
      </c>
      <c r="P194" s="969">
        <v>0.30729565740473519</v>
      </c>
    </row>
    <row r="195" spans="2:16">
      <c r="B195" s="415"/>
      <c r="C195" s="413">
        <v>4</v>
      </c>
      <c r="D195" s="414" t="s">
        <v>1019</v>
      </c>
      <c r="E195" s="218"/>
      <c r="F195" s="669">
        <f>(F193)*(Unit.Mtoe)</f>
        <v>0</v>
      </c>
      <c r="G195" s="669">
        <f>0.36*(Unit.Mtoe)</f>
        <v>4.1867999999999999</v>
      </c>
      <c r="H195" s="669">
        <f>0.326500043047816*(Unit.Mtoe)</f>
        <v>3.7971955006461</v>
      </c>
      <c r="I195" s="669">
        <f>0.31675010761954*(Unit.Mtoe)</f>
        <v>3.6838037516152502</v>
      </c>
      <c r="J195" s="669">
        <f>0.307295657404735*(Unit.Mtoe)</f>
        <v>3.5738484956170686</v>
      </c>
      <c r="K195" s="669">
        <f>0.307295657404735*(Unit.Mtoe)</f>
        <v>3.5738484956170686</v>
      </c>
      <c r="L195" s="669">
        <f>0.307295657404735*(Unit.Mtoe)</f>
        <v>3.5738484956170686</v>
      </c>
      <c r="M195" s="669">
        <f t="shared" si="67"/>
        <v>3.5738484956170686</v>
      </c>
      <c r="N195" s="669">
        <f t="shared" si="67"/>
        <v>3.5738484956170686</v>
      </c>
      <c r="O195" s="669">
        <f t="shared" si="67"/>
        <v>3.5738484956170686</v>
      </c>
      <c r="P195" s="969">
        <v>0.30729565740473519</v>
      </c>
    </row>
    <row r="196" spans="2:16">
      <c r="B196" s="415"/>
      <c r="C196" s="2992"/>
      <c r="D196" s="2993" t="s">
        <v>406</v>
      </c>
      <c r="E196" s="2681"/>
      <c r="F196" s="2998">
        <f t="shared" ref="F196:O196" si="68">(INDEX(F192:F195,ROUNDDOWN($E$8,0))*(1-MOD($E$8,1)))+(INDEX(F192:F195,ROUNDUP($E$8,0))*MOD($E$8,1))</f>
        <v>0</v>
      </c>
      <c r="G196" s="2998">
        <f t="shared" si="68"/>
        <v>4.1867999999999999</v>
      </c>
      <c r="H196" s="2998">
        <f t="shared" si="68"/>
        <v>3.9542000000000006</v>
      </c>
      <c r="I196" s="2998">
        <f t="shared" si="68"/>
        <v>3.9458484243750229</v>
      </c>
      <c r="J196" s="2998">
        <f t="shared" si="68"/>
        <v>3.9374968487500461</v>
      </c>
      <c r="K196" s="2998">
        <f t="shared" si="68"/>
        <v>3.9291452731250689</v>
      </c>
      <c r="L196" s="2998">
        <f t="shared" si="68"/>
        <v>3.9207936975000917</v>
      </c>
      <c r="M196" s="2998">
        <f t="shared" si="68"/>
        <v>3.9124421218751144</v>
      </c>
      <c r="N196" s="2998">
        <f t="shared" si="68"/>
        <v>3.9040905462501376</v>
      </c>
      <c r="O196" s="2998">
        <f t="shared" si="68"/>
        <v>3.8957389706251608</v>
      </c>
      <c r="P196" s="969"/>
    </row>
    <row r="197" spans="2:16">
      <c r="B197" s="415"/>
      <c r="C197" s="415"/>
      <c r="D197" s="415"/>
      <c r="E197" s="415"/>
      <c r="F197" s="669"/>
      <c r="G197" s="669"/>
      <c r="H197" s="669"/>
      <c r="I197" s="669"/>
      <c r="J197" s="669"/>
      <c r="K197" s="669"/>
      <c r="L197" s="669"/>
      <c r="M197" s="669"/>
      <c r="N197" s="669"/>
      <c r="O197" s="669"/>
      <c r="P197" s="969"/>
    </row>
    <row r="198" spans="2:16">
      <c r="B198" s="415"/>
      <c r="C198" s="416" t="s">
        <v>2348</v>
      </c>
      <c r="D198" s="415"/>
      <c r="E198" s="104"/>
      <c r="F198" s="669"/>
      <c r="G198" s="669"/>
      <c r="H198" s="669"/>
      <c r="I198" s="669"/>
      <c r="J198" s="669"/>
      <c r="K198" s="669"/>
      <c r="L198" s="669"/>
      <c r="M198" s="669"/>
      <c r="N198" s="669"/>
      <c r="O198" s="2999"/>
      <c r="P198" s="969"/>
    </row>
    <row r="199" spans="2:16">
      <c r="B199" s="415"/>
      <c r="C199" s="415"/>
      <c r="D199" s="415"/>
      <c r="E199" s="415"/>
      <c r="F199" s="669"/>
      <c r="G199" s="669"/>
      <c r="H199" s="669"/>
      <c r="I199" s="669"/>
      <c r="J199" s="669"/>
      <c r="K199" s="669"/>
      <c r="L199" s="669"/>
      <c r="M199" s="669"/>
      <c r="N199" s="669"/>
      <c r="O199" s="415" t="str">
        <f>preferences.energyunits&amp;"/MT of Production"</f>
        <v>TWh/MT of Production</v>
      </c>
      <c r="P199" s="969"/>
    </row>
    <row r="200" spans="2:16">
      <c r="B200" s="415"/>
      <c r="C200" s="61" t="s">
        <v>411</v>
      </c>
      <c r="D200" s="61" t="s">
        <v>66</v>
      </c>
      <c r="E200" s="61" t="s">
        <v>156</v>
      </c>
      <c r="F200" s="3000">
        <v>2007</v>
      </c>
      <c r="G200" s="3001">
        <f t="shared" ref="G200:O200" si="69">F200+5</f>
        <v>2012</v>
      </c>
      <c r="H200" s="3001">
        <f t="shared" si="69"/>
        <v>2017</v>
      </c>
      <c r="I200" s="3001">
        <f t="shared" si="69"/>
        <v>2022</v>
      </c>
      <c r="J200" s="3001">
        <f t="shared" si="69"/>
        <v>2027</v>
      </c>
      <c r="K200" s="3001">
        <f t="shared" si="69"/>
        <v>2032</v>
      </c>
      <c r="L200" s="3001">
        <f t="shared" si="69"/>
        <v>2037</v>
      </c>
      <c r="M200" s="3001">
        <f t="shared" si="69"/>
        <v>2042</v>
      </c>
      <c r="N200" s="3001">
        <f t="shared" si="69"/>
        <v>2047</v>
      </c>
      <c r="O200" s="3001">
        <f t="shared" si="69"/>
        <v>2052</v>
      </c>
      <c r="P200" s="969"/>
    </row>
    <row r="201" spans="2:16">
      <c r="B201" s="415"/>
      <c r="C201" s="413">
        <v>1</v>
      </c>
      <c r="D201" s="414" t="s">
        <v>1628</v>
      </c>
      <c r="E201" s="218"/>
      <c r="F201" s="669">
        <f>0.36*(Unit.Mtoe)</f>
        <v>4.1867999999999999</v>
      </c>
      <c r="G201" s="669">
        <f>0.34*(Unit.Mtoe)</f>
        <v>3.9542000000000006</v>
      </c>
      <c r="H201" s="669">
        <f>0.339281893755376*(Unit.Mtoe)</f>
        <v>3.9458484243750229</v>
      </c>
      <c r="I201" s="669">
        <f>0.338563787510752*(Unit.Mtoe)</f>
        <v>3.9374968487500461</v>
      </c>
      <c r="J201" s="669">
        <f>0.337845681266128*(Unit.Mtoe)</f>
        <v>3.9291452731250689</v>
      </c>
      <c r="K201" s="669">
        <f>0.337127575021504*(Unit.Mtoe)</f>
        <v>3.9207936975000917</v>
      </c>
      <c r="L201" s="669">
        <f>0.33640946877688*(Unit.Mtoe)</f>
        <v>3.9124421218751144</v>
      </c>
      <c r="M201" s="669">
        <f>0.335691362532256*(Unit.Mtoe)</f>
        <v>3.9040905462501376</v>
      </c>
      <c r="N201" s="669">
        <f>0.334973256287632*(Unit.Mtoe)</f>
        <v>3.8957389706251608</v>
      </c>
      <c r="O201" s="669">
        <f>0.334255150043008*(Unit.Mtoe)</f>
        <v>3.8873873950001832</v>
      </c>
      <c r="P201" s="969"/>
    </row>
    <row r="202" spans="2:16">
      <c r="B202" s="415"/>
      <c r="C202" s="413">
        <v>2</v>
      </c>
      <c r="D202" s="414" t="s">
        <v>811</v>
      </c>
      <c r="E202" s="218"/>
      <c r="F202" s="669">
        <f>0.36*(Unit.Mtoe)</f>
        <v>4.1867999999999999</v>
      </c>
      <c r="G202" s="669">
        <f>0.34*(Unit.Mtoe)</f>
        <v>3.9542000000000006</v>
      </c>
      <c r="H202" s="669">
        <f>0.329750021523908*(Unit.Mtoe)</f>
        <v>3.8349927503230501</v>
      </c>
      <c r="I202" s="669">
        <f>0.3265317618469*(Unit.Mtoe)</f>
        <v>3.7975643902794474</v>
      </c>
      <c r="J202" s="669">
        <f>0.323344911403168*(Unit.Mtoe)</f>
        <v>3.7605013196188444</v>
      </c>
      <c r="K202" s="669">
        <f>0.320189163648171*(Unit.Mtoe)</f>
        <v>3.7237999732282292</v>
      </c>
      <c r="L202" s="669">
        <f t="shared" ref="L202:O204" si="70">0.307295657404735*(Unit.Mtoe)</f>
        <v>3.5738484956170686</v>
      </c>
      <c r="M202" s="669">
        <f t="shared" si="70"/>
        <v>3.5738484956170686</v>
      </c>
      <c r="N202" s="669">
        <f t="shared" si="70"/>
        <v>3.5738484956170686</v>
      </c>
      <c r="O202" s="669">
        <f t="shared" si="70"/>
        <v>3.5738484956170686</v>
      </c>
      <c r="P202" s="969"/>
    </row>
    <row r="203" spans="2:16">
      <c r="B203" s="415"/>
      <c r="C203" s="413">
        <v>3</v>
      </c>
      <c r="D203" s="414" t="s">
        <v>1018</v>
      </c>
      <c r="E203" s="218"/>
      <c r="F203" s="669">
        <f>0.36*(Unit.Mtoe)</f>
        <v>4.1867999999999999</v>
      </c>
      <c r="G203" s="669">
        <f>0.34*(Unit.Mtoe)</f>
        <v>3.9542000000000006</v>
      </c>
      <c r="H203" s="669">
        <f>0.326500043047816*(Unit.Mtoe)</f>
        <v>3.7971955006461</v>
      </c>
      <c r="I203" s="669">
        <f>0.320126961291969*(Unit.Mtoe)</f>
        <v>3.7230765598255995</v>
      </c>
      <c r="J203" s="669">
        <f>0.313878278205989*(Unit.Mtoe)</f>
        <v>3.6504043755356523</v>
      </c>
      <c r="K203" s="669">
        <f>0.307751565603694*(Unit.Mtoe)</f>
        <v>3.5791507079709612</v>
      </c>
      <c r="L203" s="669">
        <f t="shared" si="70"/>
        <v>3.5738484956170686</v>
      </c>
      <c r="M203" s="669">
        <f t="shared" si="70"/>
        <v>3.5738484956170686</v>
      </c>
      <c r="N203" s="669">
        <f t="shared" si="70"/>
        <v>3.5738484956170686</v>
      </c>
      <c r="O203" s="669">
        <f t="shared" si="70"/>
        <v>3.5738484956170686</v>
      </c>
      <c r="P203" s="969"/>
    </row>
    <row r="204" spans="2:16">
      <c r="B204" s="415"/>
      <c r="C204" s="413">
        <v>4</v>
      </c>
      <c r="D204" s="414" t="s">
        <v>1019</v>
      </c>
      <c r="E204" s="218"/>
      <c r="F204" s="669">
        <f>0.36*(Unit.Mtoe)</f>
        <v>4.1867999999999999</v>
      </c>
      <c r="G204" s="669">
        <f>G203</f>
        <v>3.9542000000000006</v>
      </c>
      <c r="H204" s="669">
        <f>0.31675010761954*(Unit.Mtoe)</f>
        <v>3.6838037516152502</v>
      </c>
      <c r="I204" s="669">
        <f>0.307295657404735*(Unit.Mtoe)</f>
        <v>3.5738484956170686</v>
      </c>
      <c r="J204" s="669">
        <f>0.307295657404735*(Unit.Mtoe)</f>
        <v>3.5738484956170686</v>
      </c>
      <c r="K204" s="669">
        <f>0.307295657404735*(Unit.Mtoe)</f>
        <v>3.5738484956170686</v>
      </c>
      <c r="L204" s="669">
        <f t="shared" si="70"/>
        <v>3.5738484956170686</v>
      </c>
      <c r="M204" s="669">
        <f t="shared" si="70"/>
        <v>3.5738484956170686</v>
      </c>
      <c r="N204" s="669">
        <f t="shared" si="70"/>
        <v>3.5738484956170686</v>
      </c>
      <c r="O204" s="669">
        <f t="shared" si="70"/>
        <v>3.5738484956170686</v>
      </c>
      <c r="P204" s="969"/>
    </row>
    <row r="205" spans="2:16">
      <c r="B205" s="415"/>
      <c r="C205" s="2992"/>
      <c r="D205" s="2993" t="s">
        <v>406</v>
      </c>
      <c r="E205" s="2681"/>
      <c r="F205" s="2998">
        <f t="shared" ref="F205:O205" si="71">(INDEX(F201:F204,ROUNDDOWN($E$8,0))*(1-MOD($E$8,1)))+(INDEX(F201:F204,ROUNDUP($E$8,0))*MOD($E$8,1))</f>
        <v>4.1867999999999999</v>
      </c>
      <c r="G205" s="2998">
        <f t="shared" si="71"/>
        <v>3.9542000000000006</v>
      </c>
      <c r="H205" s="2998">
        <f t="shared" si="71"/>
        <v>3.9458484243750229</v>
      </c>
      <c r="I205" s="2998">
        <f t="shared" si="71"/>
        <v>3.9374968487500461</v>
      </c>
      <c r="J205" s="2998">
        <f t="shared" si="71"/>
        <v>3.9291452731250689</v>
      </c>
      <c r="K205" s="2998">
        <f t="shared" si="71"/>
        <v>3.9207936975000917</v>
      </c>
      <c r="L205" s="2998">
        <f t="shared" si="71"/>
        <v>3.9124421218751144</v>
      </c>
      <c r="M205" s="2998">
        <f t="shared" si="71"/>
        <v>3.9040905462501376</v>
      </c>
      <c r="N205" s="2998">
        <f t="shared" si="71"/>
        <v>3.8957389706251608</v>
      </c>
      <c r="O205" s="2998">
        <f t="shared" si="71"/>
        <v>3.8873873950001832</v>
      </c>
      <c r="P205" s="969"/>
    </row>
    <row r="206" spans="2:16">
      <c r="B206" s="415"/>
      <c r="C206" s="415"/>
      <c r="D206" s="415"/>
      <c r="E206" s="415"/>
      <c r="F206" s="669"/>
      <c r="G206" s="669"/>
      <c r="H206" s="669"/>
      <c r="I206" s="669"/>
      <c r="J206" s="669"/>
      <c r="K206" s="669"/>
      <c r="L206" s="669"/>
      <c r="M206" s="669"/>
      <c r="N206" s="669"/>
      <c r="O206" s="669"/>
      <c r="P206" s="969"/>
    </row>
    <row r="207" spans="2:16">
      <c r="B207" s="415"/>
      <c r="C207" s="416" t="s">
        <v>2349</v>
      </c>
      <c r="D207" s="415"/>
      <c r="E207" s="104"/>
      <c r="F207" s="669"/>
      <c r="G207" s="669"/>
      <c r="H207" s="669"/>
      <c r="I207" s="669"/>
      <c r="J207" s="669"/>
      <c r="K207" s="669"/>
      <c r="L207" s="669"/>
      <c r="M207" s="669"/>
      <c r="N207" s="669"/>
      <c r="O207" s="2999"/>
      <c r="P207" s="969"/>
    </row>
    <row r="208" spans="2:16">
      <c r="B208" s="415"/>
      <c r="C208" s="415"/>
      <c r="D208" s="415"/>
      <c r="E208" s="415"/>
      <c r="F208" s="669"/>
      <c r="G208" s="669"/>
      <c r="H208" s="669"/>
      <c r="I208" s="669"/>
      <c r="J208" s="669"/>
      <c r="K208" s="669"/>
      <c r="L208" s="669"/>
      <c r="M208" s="669"/>
      <c r="N208" s="669"/>
      <c r="O208" s="415" t="str">
        <f>preferences.energyunits&amp;"/MT of Production"</f>
        <v>TWh/MT of Production</v>
      </c>
      <c r="P208" s="969"/>
    </row>
    <row r="209" spans="2:16">
      <c r="B209" s="415"/>
      <c r="C209" s="61" t="s">
        <v>411</v>
      </c>
      <c r="D209" s="61" t="s">
        <v>66</v>
      </c>
      <c r="E209" s="61" t="s">
        <v>156</v>
      </c>
      <c r="F209" s="3000">
        <v>2007</v>
      </c>
      <c r="G209" s="3001">
        <f t="shared" ref="G209:O209" si="72">F209+5</f>
        <v>2012</v>
      </c>
      <c r="H209" s="3001">
        <f t="shared" si="72"/>
        <v>2017</v>
      </c>
      <c r="I209" s="3001">
        <f t="shared" si="72"/>
        <v>2022</v>
      </c>
      <c r="J209" s="3001">
        <f t="shared" si="72"/>
        <v>2027</v>
      </c>
      <c r="K209" s="3001">
        <f t="shared" si="72"/>
        <v>2032</v>
      </c>
      <c r="L209" s="3001">
        <f t="shared" si="72"/>
        <v>2037</v>
      </c>
      <c r="M209" s="3001">
        <f t="shared" si="72"/>
        <v>2042</v>
      </c>
      <c r="N209" s="3001">
        <f t="shared" si="72"/>
        <v>2047</v>
      </c>
      <c r="O209" s="3001">
        <f t="shared" si="72"/>
        <v>2052</v>
      </c>
      <c r="P209" s="969"/>
    </row>
    <row r="210" spans="2:16">
      <c r="B210" s="415"/>
      <c r="C210" s="413">
        <v>1</v>
      </c>
      <c r="D210" s="414" t="s">
        <v>1628</v>
      </c>
      <c r="E210" s="218"/>
      <c r="F210" s="669">
        <f>0*(Unit.Mtoe)</f>
        <v>0</v>
      </c>
      <c r="G210" s="669">
        <f>0.33*(Unit.Mtoe)</f>
        <v>3.8379000000000003</v>
      </c>
      <c r="H210" s="669">
        <f t="shared" ref="H210:O210" si="73">0.31*(Unit.Mtoe)</f>
        <v>3.6053000000000002</v>
      </c>
      <c r="I210" s="669">
        <f t="shared" si="73"/>
        <v>3.6053000000000002</v>
      </c>
      <c r="J210" s="669">
        <f t="shared" si="73"/>
        <v>3.6053000000000002</v>
      </c>
      <c r="K210" s="669">
        <f t="shared" si="73"/>
        <v>3.6053000000000002</v>
      </c>
      <c r="L210" s="669">
        <f t="shared" si="73"/>
        <v>3.6053000000000002</v>
      </c>
      <c r="M210" s="669">
        <f t="shared" si="73"/>
        <v>3.6053000000000002</v>
      </c>
      <c r="N210" s="669">
        <f t="shared" si="73"/>
        <v>3.6053000000000002</v>
      </c>
      <c r="O210" s="669">
        <f t="shared" si="73"/>
        <v>3.6053000000000002</v>
      </c>
      <c r="P210" s="969"/>
    </row>
    <row r="211" spans="2:16">
      <c r="B211" s="415"/>
      <c r="C211" s="413">
        <v>2</v>
      </c>
      <c r="D211" s="414" t="s">
        <v>811</v>
      </c>
      <c r="E211" s="218"/>
      <c r="F211" s="669">
        <f>0*(Unit.Mtoe)</f>
        <v>0</v>
      </c>
      <c r="G211" s="669">
        <f>0.33*(Unit.Mtoe)</f>
        <v>3.8379000000000003</v>
      </c>
      <c r="H211" s="669">
        <f>0.269594190333311*(Unit.Mtoe)</f>
        <v>3.1353804335764073</v>
      </c>
      <c r="I211" s="669">
        <f>0.234454927295075*(Unit.Mtoe)</f>
        <v>2.7267108044417223</v>
      </c>
      <c r="J211" s="669">
        <f t="shared" ref="J211:O211" si="74">0.22*(Unit.Mtoe)</f>
        <v>2.5586000000000002</v>
      </c>
      <c r="K211" s="669">
        <f t="shared" si="74"/>
        <v>2.5586000000000002</v>
      </c>
      <c r="L211" s="669">
        <f t="shared" si="74"/>
        <v>2.5586000000000002</v>
      </c>
      <c r="M211" s="669">
        <f t="shared" si="74"/>
        <v>2.5586000000000002</v>
      </c>
      <c r="N211" s="669">
        <f t="shared" si="74"/>
        <v>2.5586000000000002</v>
      </c>
      <c r="O211" s="669">
        <f t="shared" si="74"/>
        <v>2.5586000000000002</v>
      </c>
      <c r="P211" s="969"/>
    </row>
    <row r="212" spans="2:16">
      <c r="B212" s="415"/>
      <c r="C212" s="413">
        <v>3</v>
      </c>
      <c r="D212" s="414" t="s">
        <v>1018</v>
      </c>
      <c r="E212" s="218"/>
      <c r="F212" s="669">
        <f>(F211)*(Unit.Mtoe)</f>
        <v>0</v>
      </c>
      <c r="G212" s="669">
        <f>G211</f>
        <v>3.8379000000000003</v>
      </c>
      <c r="H212" s="669">
        <f>0.269594190333311*(Unit.Mtoe)</f>
        <v>3.1353804335764073</v>
      </c>
      <c r="I212" s="669">
        <f>0.234454927295075*(Unit.Mtoe)</f>
        <v>2.7267108044417223</v>
      </c>
      <c r="J212" s="669">
        <f>0.203895762237971*(Unit.Mtoe)</f>
        <v>2.3713077148276032</v>
      </c>
      <c r="K212" s="669">
        <f>0.177319719138513*(Unit.Mtoe)</f>
        <v>2.0622283335809062</v>
      </c>
      <c r="L212" s="669">
        <f>0.154207632617024*(Unit.Mtoe)</f>
        <v>1.7934347673359892</v>
      </c>
      <c r="M212" s="669">
        <f>0.134108005995495*(Unit.Mtoe)</f>
        <v>1.5596761097276068</v>
      </c>
      <c r="N212" s="669">
        <f>0.116628191269581*(Unit.Mtoe)</f>
        <v>1.3563858644652271</v>
      </c>
      <c r="O212" s="669">
        <f>0.101426718694714*(Unit.Mtoe)</f>
        <v>1.1795927384195237</v>
      </c>
      <c r="P212" s="969"/>
    </row>
    <row r="213" spans="2:16">
      <c r="B213" s="415"/>
      <c r="C213" s="413">
        <v>4</v>
      </c>
      <c r="D213" s="414" t="s">
        <v>1019</v>
      </c>
      <c r="E213" s="218"/>
      <c r="F213" s="669">
        <f>(F211)*(Unit.Mtoe)</f>
        <v>0</v>
      </c>
      <c r="G213" s="669">
        <f>G212</f>
        <v>3.8379000000000003</v>
      </c>
      <c r="H213" s="669">
        <f>0.269594190333311*(Unit.Mtoe)</f>
        <v>3.1353804335764073</v>
      </c>
      <c r="I213" s="669">
        <f>0.234454927295075*(Unit.Mtoe)</f>
        <v>2.7267108044417223</v>
      </c>
      <c r="J213" s="669">
        <f>0.203895762237971*(Unit.Mtoe)</f>
        <v>2.3713077148276032</v>
      </c>
      <c r="K213" s="669">
        <f>0.177319719138513*(Unit.Mtoe)</f>
        <v>2.0622283335809062</v>
      </c>
      <c r="L213" s="669">
        <f>0.154207632617024*(Unit.Mtoe)</f>
        <v>1.7934347673359892</v>
      </c>
      <c r="M213" s="669">
        <f>0.134108005995495*(Unit.Mtoe)</f>
        <v>1.5596761097276068</v>
      </c>
      <c r="N213" s="669">
        <f>0.116628191269581*(Unit.Mtoe)</f>
        <v>1.3563858644652271</v>
      </c>
      <c r="O213" s="669">
        <f>0.101426718694714*(Unit.Mtoe)</f>
        <v>1.1795927384195237</v>
      </c>
      <c r="P213" s="969"/>
    </row>
    <row r="214" spans="2:16">
      <c r="B214" s="415"/>
      <c r="C214" s="2992"/>
      <c r="D214" s="2993" t="s">
        <v>406</v>
      </c>
      <c r="E214" s="2681"/>
      <c r="F214" s="2998">
        <f t="shared" ref="F214:O214" si="75">(INDEX(F210:F213,ROUNDDOWN($E$8,0))*(1-MOD($E$8,1)))+(INDEX(F210:F213,ROUNDUP($E$8,0))*MOD($E$8,1))</f>
        <v>0</v>
      </c>
      <c r="G214" s="2998">
        <f t="shared" si="75"/>
        <v>3.8379000000000003</v>
      </c>
      <c r="H214" s="2998">
        <f t="shared" si="75"/>
        <v>3.6053000000000002</v>
      </c>
      <c r="I214" s="2998">
        <f t="shared" si="75"/>
        <v>3.6053000000000002</v>
      </c>
      <c r="J214" s="2998">
        <f t="shared" si="75"/>
        <v>3.6053000000000002</v>
      </c>
      <c r="K214" s="2998">
        <f t="shared" si="75"/>
        <v>3.6053000000000002</v>
      </c>
      <c r="L214" s="2998">
        <f t="shared" si="75"/>
        <v>3.6053000000000002</v>
      </c>
      <c r="M214" s="2998">
        <f t="shared" si="75"/>
        <v>3.6053000000000002</v>
      </c>
      <c r="N214" s="2998">
        <f t="shared" si="75"/>
        <v>3.6053000000000002</v>
      </c>
      <c r="O214" s="2998">
        <f t="shared" si="75"/>
        <v>3.6053000000000002</v>
      </c>
      <c r="P214" s="969"/>
    </row>
    <row r="215" spans="2:16">
      <c r="B215" s="415"/>
      <c r="C215" s="415"/>
      <c r="D215" s="415"/>
      <c r="E215" s="415"/>
      <c r="F215" s="669"/>
      <c r="G215" s="669"/>
      <c r="H215" s="669"/>
      <c r="I215" s="669"/>
      <c r="J215" s="669"/>
      <c r="K215" s="669"/>
      <c r="L215" s="669"/>
      <c r="M215" s="669"/>
      <c r="N215" s="669"/>
      <c r="O215" s="669"/>
      <c r="P215" s="969"/>
    </row>
    <row r="216" spans="2:16">
      <c r="B216" s="415"/>
      <c r="C216" s="416" t="s">
        <v>2350</v>
      </c>
      <c r="D216" s="415"/>
      <c r="E216" s="104"/>
      <c r="F216" s="669"/>
      <c r="G216" s="669"/>
      <c r="H216" s="669"/>
      <c r="I216" s="669"/>
      <c r="J216" s="669"/>
      <c r="K216" s="669"/>
      <c r="L216" s="669"/>
      <c r="M216" s="669"/>
      <c r="N216" s="669"/>
      <c r="O216" s="2999"/>
      <c r="P216" s="969"/>
    </row>
    <row r="217" spans="2:16">
      <c r="B217" s="415"/>
      <c r="C217" s="415"/>
      <c r="D217" s="415"/>
      <c r="E217" s="415"/>
      <c r="F217" s="669"/>
      <c r="G217" s="669"/>
      <c r="H217" s="669"/>
      <c r="I217" s="669"/>
      <c r="J217" s="669"/>
      <c r="K217" s="669"/>
      <c r="L217" s="669"/>
      <c r="M217" s="669"/>
      <c r="N217" s="669"/>
      <c r="O217" s="415" t="str">
        <f>preferences.energyunits&amp;"/MT of Production"</f>
        <v>TWh/MT of Production</v>
      </c>
      <c r="P217" s="969"/>
    </row>
    <row r="218" spans="2:16">
      <c r="B218" s="415"/>
      <c r="C218" s="61" t="s">
        <v>411</v>
      </c>
      <c r="D218" s="61" t="s">
        <v>66</v>
      </c>
      <c r="E218" s="61" t="s">
        <v>156</v>
      </c>
      <c r="F218" s="3000">
        <v>2007</v>
      </c>
      <c r="G218" s="3001">
        <f t="shared" ref="G218:O218" si="76">F218+5</f>
        <v>2012</v>
      </c>
      <c r="H218" s="3001">
        <f t="shared" si="76"/>
        <v>2017</v>
      </c>
      <c r="I218" s="3001">
        <f t="shared" si="76"/>
        <v>2022</v>
      </c>
      <c r="J218" s="3001">
        <f t="shared" si="76"/>
        <v>2027</v>
      </c>
      <c r="K218" s="3001">
        <f t="shared" si="76"/>
        <v>2032</v>
      </c>
      <c r="L218" s="3001">
        <f t="shared" si="76"/>
        <v>2037</v>
      </c>
      <c r="M218" s="3001">
        <f t="shared" si="76"/>
        <v>2042</v>
      </c>
      <c r="N218" s="3001">
        <f t="shared" si="76"/>
        <v>2047</v>
      </c>
      <c r="O218" s="3001">
        <f t="shared" si="76"/>
        <v>2052</v>
      </c>
      <c r="P218" s="969"/>
    </row>
    <row r="219" spans="2:16">
      <c r="B219" s="415"/>
      <c r="C219" s="413">
        <v>1</v>
      </c>
      <c r="D219" s="414" t="s">
        <v>1628</v>
      </c>
      <c r="E219" s="218"/>
      <c r="F219" s="669">
        <f>0.311723774598419*(Unit.Mtoe)</f>
        <v>3.6253474985796132</v>
      </c>
      <c r="G219" s="669">
        <f>0.310369*(Unit.Mtoe)</f>
        <v>3.6095914700000002</v>
      </c>
      <c r="H219" s="669">
        <f>0.309713476714595*(Unit.Mtoe)</f>
        <v>3.6019677341907399</v>
      </c>
      <c r="I219" s="669">
        <f>0.30905795342919*(Unit.Mtoe)</f>
        <v>3.59434399838148</v>
      </c>
      <c r="J219" s="669">
        <f>0.308402430143785*(Unit.Mtoe)</f>
        <v>3.5867202625722197</v>
      </c>
      <c r="K219" s="669">
        <f>0.30774690685838*(Unit.Mtoe)</f>
        <v>3.5790965267629598</v>
      </c>
      <c r="L219" s="669">
        <f>0.307091383572975*(Unit.Mtoe)</f>
        <v>3.5714727909536994</v>
      </c>
      <c r="M219" s="669">
        <f>0.30643586028757*(Unit.Mtoe)</f>
        <v>3.5638490551444395</v>
      </c>
      <c r="N219" s="669">
        <f>0.305780337002165*(Unit.Mtoe)</f>
        <v>3.5562253193351792</v>
      </c>
      <c r="O219" s="669">
        <f>0.30512481371676*(Unit.Mtoe)</f>
        <v>3.5486015835259188</v>
      </c>
      <c r="P219" s="969"/>
    </row>
    <row r="220" spans="2:16">
      <c r="B220" s="415"/>
      <c r="C220" s="413">
        <v>2</v>
      </c>
      <c r="D220" s="414" t="s">
        <v>811</v>
      </c>
      <c r="E220" s="218"/>
      <c r="F220" s="669">
        <f>0.311723774598419*(Unit.Mtoe)</f>
        <v>3.6253474985796132</v>
      </c>
      <c r="G220" s="669">
        <f>0.310369*(Unit.Mtoe)</f>
        <v>3.6095914700000002</v>
      </c>
      <c r="H220" s="669">
        <f>0.305959419033331*(Unit.Mtoe)</f>
        <v>3.5583080433576399</v>
      </c>
      <c r="I220" s="669">
        <f>0.301971503532947*(Unit.Mtoe)</f>
        <v>3.5119285860881737</v>
      </c>
      <c r="J220" s="669">
        <f>0.2980355670502*(Unit.Mtoe)</f>
        <v>3.4661536447938266</v>
      </c>
      <c r="K220" s="669">
        <f>0.294150932083705*(Unit.Mtoe)</f>
        <v>3.4209753401334897</v>
      </c>
      <c r="L220" s="669">
        <f>0.29031692996272*(Unit.Mtoe)</f>
        <v>3.3763858954664339</v>
      </c>
      <c r="M220" s="669">
        <f>0.286532900732045*(Unit.Mtoe)</f>
        <v>3.3323776355136836</v>
      </c>
      <c r="N220" s="669">
        <f>0.282798193038425*(Unit.Mtoe)</f>
        <v>3.2889429850368832</v>
      </c>
      <c r="O220" s="669">
        <f>0.279112164018426*(Unit.Mtoe)</f>
        <v>3.2460744675342945</v>
      </c>
      <c r="P220" s="969"/>
    </row>
    <row r="221" spans="2:16">
      <c r="B221" s="415"/>
      <c r="C221" s="413">
        <v>3</v>
      </c>
      <c r="D221" s="414" t="s">
        <v>1018</v>
      </c>
      <c r="E221" s="218"/>
      <c r="F221" s="669">
        <f>0.311723774598419*(Unit.Mtoe)</f>
        <v>3.6253474985796132</v>
      </c>
      <c r="G221" s="669">
        <f>0.310369*(Unit.Mtoe)</f>
        <v>3.6095914700000002</v>
      </c>
      <c r="H221" s="669">
        <f>0.301918838066662*(Unit.Mtoe)</f>
        <v>3.5113160867152788</v>
      </c>
      <c r="I221" s="669">
        <f>0.294048337998462*(Unit.Mtoe)</f>
        <v>3.419782170922113</v>
      </c>
      <c r="J221" s="669">
        <f>0.286383008206222*(Unit.Mtoe)</f>
        <v>3.330634385438362</v>
      </c>
      <c r="K221" s="669">
        <f>0.278917500256961*(Unit.Mtoe)</f>
        <v>3.2438105279884564</v>
      </c>
      <c r="L221" s="669">
        <f>0.271646605142064*(Unit.Mtoe)</f>
        <v>3.1592500178022047</v>
      </c>
      <c r="M221" s="669">
        <f>0.264565249642726*(Unit.Mtoe)</f>
        <v>3.0768938533449033</v>
      </c>
      <c r="N221" s="669">
        <f>0.257668492790156*(Unit.Mtoe)</f>
        <v>2.9966845711495149</v>
      </c>
      <c r="O221" s="669">
        <f>0.250951522418039*(Unit.Mtoe)</f>
        <v>2.9185662057217936</v>
      </c>
      <c r="P221" s="969"/>
    </row>
    <row r="222" spans="2:16">
      <c r="B222" s="415"/>
      <c r="C222" s="413">
        <v>4</v>
      </c>
      <c r="D222" s="414" t="s">
        <v>1019</v>
      </c>
      <c r="E222" s="218"/>
      <c r="F222" s="669">
        <f>0.311723774598419*(Unit.Mtoe)</f>
        <v>3.6253474985796132</v>
      </c>
      <c r="G222" s="669">
        <f>G221</f>
        <v>3.6095914700000002</v>
      </c>
      <c r="H222" s="669">
        <f>0.289797095166655*(Unit.Mtoe)</f>
        <v>3.3703402167881982</v>
      </c>
      <c r="I222" s="669">
        <f>0.270910826990424*(Unit.Mtoe)</f>
        <v>3.1506929178986316</v>
      </c>
      <c r="J222" s="669">
        <f>0.253255389390391*(Unit.Mtoe)</f>
        <v>2.9453601786102475</v>
      </c>
      <c r="K222" s="669">
        <f>0.236750568324631*(Unit.Mtoe)</f>
        <v>2.7534091096154589</v>
      </c>
      <c r="L222" s="669">
        <f>0.221321377353332*(Unit.Mtoe)</f>
        <v>2.5739676186192511</v>
      </c>
      <c r="M222" s="669">
        <f>0.221321377353332*(Unit.Mtoe)</f>
        <v>2.5739676186192511</v>
      </c>
      <c r="N222" s="669">
        <f>0.221321377353332*(Unit.Mtoe)</f>
        <v>2.5739676186192511</v>
      </c>
      <c r="O222" s="669">
        <f>0.221321377353332*(Unit.Mtoe)</f>
        <v>2.5739676186192511</v>
      </c>
      <c r="P222" s="969"/>
    </row>
    <row r="223" spans="2:16">
      <c r="B223" s="415"/>
      <c r="C223" s="2992"/>
      <c r="D223" s="2993" t="s">
        <v>406</v>
      </c>
      <c r="E223" s="2681"/>
      <c r="F223" s="2998">
        <f t="shared" ref="F223:O223" si="77">(INDEX(F219:F222,ROUNDDOWN($E$8,0))*(1-MOD($E$8,1)))+(INDEX(F219:F222,ROUNDUP($E$8,0))*MOD($E$8,1))</f>
        <v>3.6253474985796132</v>
      </c>
      <c r="G223" s="2998">
        <f t="shared" si="77"/>
        <v>3.6095914700000002</v>
      </c>
      <c r="H223" s="2998">
        <f t="shared" si="77"/>
        <v>3.6019677341907399</v>
      </c>
      <c r="I223" s="2998">
        <f t="shared" si="77"/>
        <v>3.59434399838148</v>
      </c>
      <c r="J223" s="2998">
        <f t="shared" si="77"/>
        <v>3.5867202625722197</v>
      </c>
      <c r="K223" s="2998">
        <f t="shared" si="77"/>
        <v>3.5790965267629598</v>
      </c>
      <c r="L223" s="2998">
        <f t="shared" si="77"/>
        <v>3.5714727909536994</v>
      </c>
      <c r="M223" s="2998">
        <f t="shared" si="77"/>
        <v>3.5638490551444395</v>
      </c>
      <c r="N223" s="2998">
        <f t="shared" si="77"/>
        <v>3.5562253193351792</v>
      </c>
      <c r="O223" s="2998">
        <f t="shared" si="77"/>
        <v>3.5486015835259188</v>
      </c>
      <c r="P223" s="969"/>
    </row>
    <row r="224" spans="2:16">
      <c r="B224" s="415"/>
      <c r="C224" s="415"/>
      <c r="D224" s="415"/>
      <c r="E224" s="415"/>
      <c r="F224" s="415"/>
      <c r="G224" s="415"/>
      <c r="H224" s="415"/>
      <c r="I224" s="415"/>
      <c r="J224" s="415"/>
      <c r="K224" s="415"/>
      <c r="L224" s="415"/>
      <c r="M224" s="415"/>
      <c r="N224" s="415"/>
      <c r="O224" s="415"/>
      <c r="P224" s="969"/>
    </row>
    <row r="225" spans="2:16">
      <c r="B225" s="415"/>
      <c r="C225" s="416" t="s">
        <v>2351</v>
      </c>
      <c r="D225" s="415"/>
      <c r="E225" s="104"/>
      <c r="F225" s="669"/>
      <c r="G225" s="669"/>
      <c r="H225" s="669"/>
      <c r="I225" s="669"/>
      <c r="J225" s="669"/>
      <c r="K225" s="669"/>
      <c r="L225" s="669"/>
      <c r="M225" s="669"/>
      <c r="N225" s="669"/>
      <c r="O225" s="2999"/>
      <c r="P225" s="969"/>
    </row>
    <row r="226" spans="2:16">
      <c r="B226" s="415"/>
      <c r="C226" s="415"/>
      <c r="D226" s="415"/>
      <c r="E226" s="415"/>
      <c r="F226" s="669"/>
      <c r="G226" s="669">
        <f>Unit.Mtoe/INRm</f>
        <v>116.76706827309238</v>
      </c>
      <c r="H226" s="669"/>
      <c r="I226" s="669"/>
      <c r="J226" s="669"/>
      <c r="K226" s="669"/>
      <c r="L226" s="669"/>
      <c r="M226" s="669"/>
      <c r="N226" s="669"/>
      <c r="O226" s="415" t="str">
        <f>preferences.energyunits&amp;"/"&amp;Preferences.moneyunits</f>
        <v>TWh/INR Cr</v>
      </c>
      <c r="P226" s="969"/>
    </row>
    <row r="227" spans="2:16">
      <c r="B227" s="415"/>
      <c r="C227" s="61" t="s">
        <v>411</v>
      </c>
      <c r="D227" s="61" t="s">
        <v>66</v>
      </c>
      <c r="E227" s="61" t="s">
        <v>156</v>
      </c>
      <c r="F227" s="3000">
        <v>2007</v>
      </c>
      <c r="G227" s="3001">
        <f t="shared" ref="G227:O227" si="78">F227+5</f>
        <v>2012</v>
      </c>
      <c r="H227" s="3001">
        <f t="shared" si="78"/>
        <v>2017</v>
      </c>
      <c r="I227" s="3001">
        <f t="shared" si="78"/>
        <v>2022</v>
      </c>
      <c r="J227" s="3001">
        <f t="shared" si="78"/>
        <v>2027</v>
      </c>
      <c r="K227" s="3001">
        <f t="shared" si="78"/>
        <v>2032</v>
      </c>
      <c r="L227" s="3001">
        <f t="shared" si="78"/>
        <v>2037</v>
      </c>
      <c r="M227" s="3001">
        <f t="shared" si="78"/>
        <v>2042</v>
      </c>
      <c r="N227" s="3001">
        <f t="shared" si="78"/>
        <v>2047</v>
      </c>
      <c r="O227" s="3001">
        <f t="shared" si="78"/>
        <v>2052</v>
      </c>
      <c r="P227" s="969"/>
    </row>
    <row r="228" spans="2:16">
      <c r="B228" s="415"/>
      <c r="C228" s="413">
        <v>1</v>
      </c>
      <c r="D228" s="414" t="s">
        <v>1628</v>
      </c>
      <c r="E228" s="218"/>
      <c r="F228" s="3149">
        <f>0.0199944147641549*(Unit.Mtoe/INRm)</f>
        <v>2.3346891938466015</v>
      </c>
      <c r="G228" s="669">
        <f>0.0102366199478233*(Unit.Mtoe/INRm)</f>
        <v>1.1953001003331825</v>
      </c>
      <c r="H228" s="669">
        <f>0.00806271763901811*(Unit.Mtoe/INRm)</f>
        <v>0.94145990102189381</v>
      </c>
      <c r="I228" s="669">
        <f>0.0063806691174625*(Unit.Mtoe/INRm)</f>
        <v>0.74505202646675583</v>
      </c>
      <c r="J228" s="669">
        <f>0.00514741683747425*(Unit.Mtoe/INRm)</f>
        <v>0.60104877329142092</v>
      </c>
      <c r="K228" s="669">
        <f>0.00422122921160662*(Unit.Mtoe/INRm)</f>
        <v>0.49290055954804213</v>
      </c>
      <c r="L228" s="669">
        <f>0.00328608749634008*(Unit.Mtoe/INRm)</f>
        <v>0.38370680303649735</v>
      </c>
      <c r="M228" s="669">
        <f>0.0025893759538838*(Unit.Mtoe/INRm)</f>
        <v>0.3023538387918534</v>
      </c>
      <c r="N228" s="669">
        <f>0.00206532508663126*(Unit.Mtoe/INRm)</f>
        <v>0.24116195539680277</v>
      </c>
      <c r="O228" s="669">
        <f>0.00169159117543498*(Unit.Mtoe/INRm)</f>
        <v>0.1975221422721769</v>
      </c>
      <c r="P228" s="969"/>
    </row>
    <row r="229" spans="2:16">
      <c r="B229" s="415"/>
      <c r="C229" s="413">
        <v>2</v>
      </c>
      <c r="D229" s="414" t="s">
        <v>811</v>
      </c>
      <c r="E229" s="218"/>
      <c r="F229" s="669">
        <f>0.0199944147641549*(Unit.Mtoe/INRm)</f>
        <v>2.3346891938466015</v>
      </c>
      <c r="G229" s="669">
        <f>0.0102366199478233*(Unit.Mtoe/INRm)</f>
        <v>1.1953001003331825</v>
      </c>
      <c r="H229" s="669">
        <f>0.00796296423073861*(Unit.Mtoe/INRm)</f>
        <v>0.92981198798684783</v>
      </c>
      <c r="I229" s="669">
        <f>0.00622501237898969*(Unit.Mtoe/INRm)</f>
        <v>0.7268764454583343</v>
      </c>
      <c r="J229" s="669">
        <f>0.00496482921346902*(Unit.Mtoe/INRm)</f>
        <v>0.57972855173338056</v>
      </c>
      <c r="K229" s="669">
        <f>0.0040282051453889*(Unit.Mtoe/INRm)</f>
        <v>0.47036170522964765</v>
      </c>
      <c r="L229" s="669">
        <f>0.00309550934437682*(Unit.Mtoe/INRm)</f>
        <v>0.36145355095484355</v>
      </c>
      <c r="M229" s="669">
        <f>0.0024090704483942*(Unit.Mtoe/INRm)</f>
        <v>0.28130009352233482</v>
      </c>
      <c r="N229" s="669">
        <f>0.00189875736626147*(Unit.Mtoe/INRm)</f>
        <v>0.22171233102029014</v>
      </c>
      <c r="O229" s="669">
        <f>0.00153854331294802*(Unit.Mtoe/INRm)</f>
        <v>0.17965119206411118</v>
      </c>
      <c r="P229" s="969"/>
    </row>
    <row r="230" spans="2:16">
      <c r="B230" s="415"/>
      <c r="C230" s="413">
        <v>3</v>
      </c>
      <c r="D230" s="414" t="s">
        <v>1018</v>
      </c>
      <c r="E230" s="218"/>
      <c r="F230" s="669">
        <f>0.0199944147641549*(Unit.Mtoe/INRm)</f>
        <v>2.3346891938466015</v>
      </c>
      <c r="G230" s="669">
        <f>0.0102366199478233*(Unit.Mtoe/INRm)</f>
        <v>1.1953001003331825</v>
      </c>
      <c r="H230" s="669">
        <f>0.00552325514620005*(Unit.Mtoe/INRm)</f>
        <v>0.64493431074605001</v>
      </c>
      <c r="I230" s="669">
        <f>0.00514674450031853*(Unit.Mtoe/INRm)</f>
        <v>0.60097026645285645</v>
      </c>
      <c r="J230" s="669">
        <f>0.00453813302923539*(Unit.Mtoe/INRm)</f>
        <v>0.52990448925710432</v>
      </c>
      <c r="K230" s="669">
        <f>0.00390680098950303*(Unit.Mtoe/INRm)</f>
        <v>0.45618569787068519</v>
      </c>
      <c r="L230" s="669">
        <f>0.00297675235472316*(Unit.Mtoe/INRm)</f>
        <v>0.34758664543604773</v>
      </c>
      <c r="M230" s="669">
        <f>0.0021947511171333*(Unit.Mtoe/INRm)</f>
        <v>0.25627465353674983</v>
      </c>
      <c r="N230" s="669">
        <f>0.00158674670654617*(Unit.Mtoe/INRm)</f>
        <v>0.18527976101538113</v>
      </c>
      <c r="O230" s="669">
        <f>0.00118665864691354*(Unit.Mtoe/INRm)</f>
        <v>0.13856265124100875</v>
      </c>
      <c r="P230" s="969"/>
    </row>
    <row r="231" spans="2:16">
      <c r="B231" s="415"/>
      <c r="C231" s="413">
        <v>4</v>
      </c>
      <c r="D231" s="414" t="s">
        <v>1019</v>
      </c>
      <c r="E231" s="218"/>
      <c r="F231" s="669">
        <f>0.0199944147641549*(Unit.Mtoe/INRm)</f>
        <v>2.3346891938466015</v>
      </c>
      <c r="G231" s="669">
        <f>0.0102366199478233*(Unit.Mtoe/INRm)</f>
        <v>1.1953001003331825</v>
      </c>
      <c r="H231" s="669">
        <f>0.00546012785740241*(Unit.Mtoe/INRm)</f>
        <v>0.6375631223051208</v>
      </c>
      <c r="I231" s="669">
        <f>0.00503114689534542*(Unit.Mtoe/INRm)</f>
        <v>0.58747227302075544</v>
      </c>
      <c r="J231" s="669">
        <f>0.00438270265699183*(Unit.Mtoe/INRm)</f>
        <v>0.51175534036962844</v>
      </c>
      <c r="K231" s="669">
        <f>0.00374138992008077*(Unit.Mtoe/INRm)</f>
        <v>0.43687113223433094</v>
      </c>
      <c r="L231" s="669">
        <f>0.00282767282974866*(Unit.Mtoe/INRm)</f>
        <v>0.33017906636523009</v>
      </c>
      <c r="M231" s="669">
        <f>0.00207061111985641*(Unit.Mtoe/INRm)</f>
        <v>0.24177918999929768</v>
      </c>
      <c r="N231" s="669">
        <f>0.00149453524068693*(Unit.Mtoe/INRm)</f>
        <v>0.17451249848583331</v>
      </c>
      <c r="O231" s="669">
        <f>0.00112544816326738*(Unit.Mtoe/INRm)</f>
        <v>0.13141528251806855</v>
      </c>
      <c r="P231" s="969"/>
    </row>
    <row r="232" spans="2:16">
      <c r="B232" s="415"/>
      <c r="C232" s="2992"/>
      <c r="D232" s="2993" t="s">
        <v>406</v>
      </c>
      <c r="E232" s="2681"/>
      <c r="F232" s="2998">
        <f t="shared" ref="F232:O232" si="79">(INDEX(F228:F231,ROUNDDOWN($E$8,0))*(1-MOD($E$8,1)))+(INDEX(F228:F231,ROUNDUP($E$8,0))*MOD($E$8,1))</f>
        <v>2.3346891938466015</v>
      </c>
      <c r="G232" s="2998">
        <f t="shared" si="79"/>
        <v>1.1953001003331825</v>
      </c>
      <c r="H232" s="2998">
        <f t="shared" si="79"/>
        <v>0.94145990102189381</v>
      </c>
      <c r="I232" s="2998">
        <f t="shared" si="79"/>
        <v>0.74505202646675583</v>
      </c>
      <c r="J232" s="2998">
        <f t="shared" si="79"/>
        <v>0.60104877329142092</v>
      </c>
      <c r="K232" s="2998">
        <f t="shared" si="79"/>
        <v>0.49290055954804213</v>
      </c>
      <c r="L232" s="2998">
        <f t="shared" si="79"/>
        <v>0.38370680303649735</v>
      </c>
      <c r="M232" s="2998">
        <f t="shared" si="79"/>
        <v>0.3023538387918534</v>
      </c>
      <c r="N232" s="2998">
        <f t="shared" si="79"/>
        <v>0.24116195539680277</v>
      </c>
      <c r="O232" s="2998">
        <f t="shared" si="79"/>
        <v>0.1975221422721769</v>
      </c>
      <c r="P232" s="969"/>
    </row>
    <row r="233" spans="2:16">
      <c r="B233" s="415"/>
      <c r="C233" s="415"/>
      <c r="D233" s="415"/>
      <c r="E233" s="415"/>
      <c r="F233" s="415"/>
      <c r="G233" s="415"/>
      <c r="H233" s="415"/>
      <c r="I233" s="415"/>
      <c r="J233" s="415"/>
      <c r="K233" s="415"/>
      <c r="L233" s="415"/>
      <c r="M233" s="415"/>
      <c r="N233" s="415"/>
      <c r="O233" s="415"/>
      <c r="P233" s="969"/>
    </row>
    <row r="234" spans="2:16">
      <c r="B234" s="415"/>
      <c r="C234" s="415"/>
      <c r="D234" s="415"/>
      <c r="E234" s="415"/>
      <c r="F234" s="415"/>
      <c r="G234" s="415"/>
      <c r="H234" s="415"/>
      <c r="I234" s="415"/>
      <c r="J234" s="415"/>
      <c r="K234" s="415"/>
      <c r="L234" s="415"/>
      <c r="M234" s="415"/>
      <c r="N234" s="415"/>
      <c r="O234" s="415"/>
      <c r="P234" s="969"/>
    </row>
    <row r="235" spans="2:16">
      <c r="B235" s="415"/>
      <c r="C235" s="415"/>
      <c r="D235" s="415"/>
      <c r="E235" s="415"/>
      <c r="F235" s="415"/>
      <c r="G235" s="415"/>
      <c r="H235" s="415"/>
      <c r="I235" s="415"/>
      <c r="J235" s="415"/>
      <c r="K235" s="415"/>
      <c r="L235" s="415"/>
      <c r="M235" s="415"/>
      <c r="N235" s="415"/>
      <c r="O235" s="415"/>
      <c r="P235" s="969"/>
    </row>
    <row r="236" spans="2:16">
      <c r="B236" s="415"/>
      <c r="C236" s="415"/>
      <c r="D236" s="415"/>
      <c r="E236" s="415"/>
      <c r="F236" s="415"/>
      <c r="G236" s="415"/>
      <c r="H236" s="415"/>
      <c r="I236" s="415"/>
      <c r="J236" s="415"/>
      <c r="K236" s="415"/>
      <c r="L236" s="415"/>
      <c r="M236" s="415"/>
      <c r="N236" s="415"/>
      <c r="O236" s="415"/>
      <c r="P236" s="969"/>
    </row>
    <row r="237" spans="2:16">
      <c r="B237" s="415"/>
      <c r="C237" s="415"/>
      <c r="D237" s="415"/>
      <c r="E237" s="415"/>
      <c r="F237" s="415"/>
      <c r="G237" s="415"/>
      <c r="H237" s="415"/>
      <c r="I237" s="415"/>
      <c r="J237" s="415"/>
      <c r="K237" s="415"/>
      <c r="L237" s="415"/>
      <c r="M237" s="415"/>
      <c r="N237" s="415"/>
      <c r="O237" s="415"/>
      <c r="P237" s="969"/>
    </row>
    <row r="238" spans="2:16">
      <c r="B238" s="415"/>
      <c r="C238" s="415"/>
      <c r="D238" s="415"/>
      <c r="E238" s="415"/>
      <c r="F238" s="415"/>
      <c r="G238" s="415"/>
      <c r="H238" s="415"/>
      <c r="I238" s="415"/>
      <c r="J238" s="415"/>
      <c r="K238" s="415"/>
      <c r="L238" s="415"/>
      <c r="M238" s="415"/>
      <c r="N238" s="415"/>
      <c r="O238" s="415"/>
      <c r="P238" s="969"/>
    </row>
    <row r="239" spans="2:16">
      <c r="B239" s="415"/>
      <c r="C239" s="415"/>
      <c r="D239" s="415"/>
      <c r="E239" s="415"/>
      <c r="F239" s="415"/>
      <c r="G239" s="415"/>
      <c r="H239" s="415"/>
      <c r="I239" s="415"/>
      <c r="J239" s="415"/>
      <c r="K239" s="415"/>
      <c r="L239" s="415"/>
      <c r="M239" s="415"/>
      <c r="N239" s="415"/>
      <c r="O239" s="415"/>
      <c r="P239" s="969"/>
    </row>
    <row r="240" spans="2:16" ht="9.75" hidden="1" customHeight="1">
      <c r="B240" s="415"/>
      <c r="C240" s="415"/>
      <c r="D240" s="415"/>
      <c r="E240" s="415"/>
      <c r="F240" s="415"/>
      <c r="G240" s="415"/>
      <c r="H240" s="415"/>
      <c r="I240" s="415"/>
      <c r="J240" s="415"/>
      <c r="K240" s="415"/>
      <c r="L240" s="415"/>
      <c r="M240" s="415"/>
      <c r="N240" s="415"/>
      <c r="O240" s="415"/>
      <c r="P240" s="969"/>
    </row>
    <row r="241" spans="1:16" hidden="1">
      <c r="B241" s="415"/>
      <c r="C241" s="415"/>
      <c r="D241" s="415"/>
      <c r="E241" s="415"/>
      <c r="F241" s="415"/>
      <c r="G241" s="415"/>
      <c r="H241" s="415"/>
      <c r="I241" s="415"/>
      <c r="J241" s="415"/>
      <c r="K241" s="415"/>
      <c r="L241" s="415"/>
      <c r="M241" s="415"/>
      <c r="N241" s="415"/>
      <c r="O241" s="415"/>
      <c r="P241" s="969"/>
    </row>
    <row r="242" spans="1:16" hidden="1">
      <c r="B242" s="415"/>
      <c r="C242" s="415"/>
      <c r="D242" s="415"/>
      <c r="E242" s="415"/>
      <c r="F242" s="415"/>
      <c r="G242" s="415"/>
      <c r="H242" s="415"/>
      <c r="I242" s="415"/>
      <c r="J242" s="415"/>
      <c r="K242" s="415"/>
      <c r="L242" s="415"/>
      <c r="M242" s="415"/>
      <c r="N242" s="415"/>
      <c r="O242" s="415"/>
      <c r="P242" s="969"/>
    </row>
    <row r="243" spans="1:16" hidden="1">
      <c r="B243" s="415"/>
      <c r="C243" s="415"/>
      <c r="D243" s="415"/>
      <c r="E243" s="415"/>
      <c r="F243" s="415"/>
      <c r="G243" s="415"/>
      <c r="H243" s="415"/>
      <c r="I243" s="415"/>
      <c r="J243" s="415"/>
      <c r="K243" s="415"/>
      <c r="L243" s="415"/>
      <c r="M243" s="415"/>
      <c r="N243" s="415"/>
      <c r="O243" s="415"/>
      <c r="P243" s="969"/>
    </row>
    <row r="244" spans="1:16" hidden="1">
      <c r="B244" s="415"/>
      <c r="C244" s="416" t="s">
        <v>1610</v>
      </c>
      <c r="D244" s="415"/>
      <c r="E244" s="104"/>
      <c r="F244" s="415"/>
      <c r="G244" s="415"/>
      <c r="H244" s="415"/>
      <c r="I244" s="415"/>
      <c r="J244" s="415"/>
      <c r="K244" s="415"/>
      <c r="L244" s="415"/>
      <c r="M244" s="415"/>
      <c r="N244" s="415"/>
      <c r="O244" s="104" t="str">
        <f>preferences.energyunits</f>
        <v>TWh</v>
      </c>
      <c r="P244" s="969"/>
    </row>
    <row r="245" spans="1:16" ht="5.25" hidden="1" customHeight="1">
      <c r="B245" s="415"/>
      <c r="C245" s="415"/>
      <c r="D245" s="415"/>
      <c r="E245" s="415"/>
      <c r="F245" s="415"/>
      <c r="G245" s="415"/>
      <c r="H245" s="415"/>
      <c r="I245" s="415"/>
      <c r="J245" s="415"/>
      <c r="K245" s="415"/>
      <c r="L245" s="415"/>
      <c r="M245" s="415"/>
      <c r="N245" s="415"/>
      <c r="O245" s="415"/>
      <c r="P245" s="969"/>
    </row>
    <row r="246" spans="1:16" hidden="1">
      <c r="B246" s="415"/>
      <c r="C246" s="61" t="s">
        <v>411</v>
      </c>
      <c r="D246" s="61" t="s">
        <v>66</v>
      </c>
      <c r="E246" s="61" t="s">
        <v>156</v>
      </c>
      <c r="F246" s="119">
        <v>2007</v>
      </c>
      <c r="G246" s="120">
        <f t="shared" ref="G246:O246" si="80">F246+5</f>
        <v>2012</v>
      </c>
      <c r="H246" s="120">
        <f t="shared" si="80"/>
        <v>2017</v>
      </c>
      <c r="I246" s="120">
        <f t="shared" si="80"/>
        <v>2022</v>
      </c>
      <c r="J246" s="120">
        <f t="shared" si="80"/>
        <v>2027</v>
      </c>
      <c r="K246" s="120">
        <f t="shared" si="80"/>
        <v>2032</v>
      </c>
      <c r="L246" s="120">
        <f t="shared" si="80"/>
        <v>2037</v>
      </c>
      <c r="M246" s="120">
        <f t="shared" si="80"/>
        <v>2042</v>
      </c>
      <c r="N246" s="120">
        <f t="shared" si="80"/>
        <v>2047</v>
      </c>
      <c r="O246" s="120">
        <f t="shared" si="80"/>
        <v>2052</v>
      </c>
      <c r="P246" s="969"/>
    </row>
    <row r="247" spans="1:16" ht="15.75" hidden="1">
      <c r="B247" s="316"/>
      <c r="C247" s="413">
        <v>1</v>
      </c>
      <c r="D247" s="414"/>
      <c r="E247" s="218"/>
      <c r="F247" s="535">
        <f>15.176403*(Unit.Mtoe)</f>
        <v>176.50156689000002</v>
      </c>
      <c r="G247" s="535">
        <f>21.46137183*(Unit.Mtoe)</f>
        <v>249.59575438290003</v>
      </c>
      <c r="H247" s="535">
        <f>29.8634494547741*(Unit.Mtoe)</f>
        <v>347.31191715902281</v>
      </c>
      <c r="I247" s="535">
        <f>40.6882725266446*(Unit.Mtoe)</f>
        <v>473.20460948487676</v>
      </c>
      <c r="J247" s="535">
        <f>51.0505809197165*(Unit.Mtoe)</f>
        <v>593.71825609630298</v>
      </c>
      <c r="K247" s="535">
        <f>61.3909090970355*(Unit.Mtoe)</f>
        <v>713.97627279852293</v>
      </c>
      <c r="L247" s="535">
        <f>69.7165489807031*(Unit.Mtoe)</f>
        <v>810.80346464557704</v>
      </c>
      <c r="M247" s="535">
        <f>76.7654711717676*(Unit.Mtoe)</f>
        <v>892.78242972765725</v>
      </c>
      <c r="N247" s="535">
        <f>81.7580150935265*(Unit.Mtoe)</f>
        <v>950.8457155377132</v>
      </c>
      <c r="O247" s="535">
        <f>86.7735586723382*(Unit.Mtoe)</f>
        <v>1009.1764873592933</v>
      </c>
      <c r="P247" s="969"/>
    </row>
    <row r="248" spans="1:16" ht="15.75" hidden="1">
      <c r="B248" s="316"/>
      <c r="C248" s="413">
        <v>2</v>
      </c>
      <c r="D248" s="414"/>
      <c r="E248" s="218"/>
      <c r="F248" s="535">
        <f>15.176403*(Unit.Mtoe)</f>
        <v>176.50156689000002</v>
      </c>
      <c r="G248" s="535">
        <f>21.46137183*(Unit.Mtoe)</f>
        <v>249.59575438290003</v>
      </c>
      <c r="H248" s="535">
        <f>28.6607325896792*(Unit.Mtoe)</f>
        <v>333.32432001796911</v>
      </c>
      <c r="I248" s="535">
        <f>38.3774382961088*(Unit.Mtoe)</f>
        <v>446.32960738374538</v>
      </c>
      <c r="J248" s="535">
        <f>47.5961673059064*(Unit.Mtoe)</f>
        <v>553.54342576769147</v>
      </c>
      <c r="K248" s="535">
        <f>56.7196120451404*(Unit.Mtoe)</f>
        <v>659.64908808498296</v>
      </c>
      <c r="L248" s="535">
        <f>63.9603838889575*(Unit.Mtoe)</f>
        <v>743.85926462857583</v>
      </c>
      <c r="M248" s="535">
        <f>70.0006565266665*(Unit.Mtoe)</f>
        <v>814.10763540513153</v>
      </c>
      <c r="N248" s="535">
        <f>74.3434069354356*(Unit.Mtoe)</f>
        <v>864.61382265911607</v>
      </c>
      <c r="O248" s="535">
        <f>78.6923479373866*(Unit.Mtoe)</f>
        <v>915.1920065118062</v>
      </c>
      <c r="P248" s="969"/>
    </row>
    <row r="249" spans="1:16" ht="15.75" hidden="1">
      <c r="B249" s="316"/>
      <c r="C249" s="413">
        <v>3</v>
      </c>
      <c r="D249" s="414"/>
      <c r="E249" s="218"/>
      <c r="F249" s="535">
        <f>15.176403*(Unit.Mtoe)</f>
        <v>176.50156689000002</v>
      </c>
      <c r="G249" s="535">
        <f>21.46137183*(Unit.Mtoe)</f>
        <v>249.59575438290003</v>
      </c>
      <c r="H249" s="535">
        <f>28.6502439365959*(Unit.Mtoe)</f>
        <v>333.20233698261035</v>
      </c>
      <c r="I249" s="535">
        <f>38.3544643062478*(Unit.Mtoe)</f>
        <v>446.06241988166192</v>
      </c>
      <c r="J249" s="535">
        <f>47.5629104295882*(Unit.Mtoe)</f>
        <v>553.1566482961108</v>
      </c>
      <c r="K249" s="535">
        <f>56.6817822166671*(Unit.Mtoe)</f>
        <v>659.20912717983845</v>
      </c>
      <c r="L249" s="535">
        <f>63.9281452391747*(Unit.Mtoe)</f>
        <v>743.48432913160173</v>
      </c>
      <c r="M249" s="535">
        <f>69.9859087336882*(Unit.Mtoe)</f>
        <v>813.93611857279393</v>
      </c>
      <c r="N249" s="535">
        <f>74.3135044889801*(Unit.Mtoe)</f>
        <v>864.26605720683858</v>
      </c>
      <c r="O249" s="535">
        <f>78.6420612992848*(Unit.Mtoe)</f>
        <v>914.60717291068238</v>
      </c>
      <c r="P249" s="969"/>
    </row>
    <row r="250" spans="1:16" ht="15.75" hidden="1">
      <c r="B250" s="316"/>
      <c r="C250" s="413">
        <v>4</v>
      </c>
      <c r="D250" s="414"/>
      <c r="E250" s="218"/>
      <c r="F250" s="535">
        <f>15.176403*(Unit.Mtoe)</f>
        <v>176.50156689000002</v>
      </c>
      <c r="G250" s="535">
        <f>21.5*(Unit.Mtoe)</f>
        <v>250.04500000000002</v>
      </c>
      <c r="H250" s="535">
        <f>28.6436885284189*(Unit.Mtoe)</f>
        <v>333.12609758551184</v>
      </c>
      <c r="I250" s="535">
        <f>38.3401055625847*(Unit.Mtoe)</f>
        <v>445.89542769286004</v>
      </c>
      <c r="J250" s="535">
        <f>47.5421248818893*(Unit.Mtoe)</f>
        <v>552.91491237637263</v>
      </c>
      <c r="K250" s="535">
        <f>56.6581385738714*(Unit.Mtoe)</f>
        <v>658.9341516141244</v>
      </c>
      <c r="L250" s="535">
        <f>63.9079960830605*(Unit.Mtoe)</f>
        <v>743.24999444599371</v>
      </c>
      <c r="M250" s="535">
        <f>69.9766913630767*(Unit.Mtoe)</f>
        <v>813.82892055258208</v>
      </c>
      <c r="N250" s="535">
        <f>74.2948154599455*(Unit.Mtoe)</f>
        <v>864.04870379916622</v>
      </c>
      <c r="O250" s="535">
        <f>78.6106321504712*(Unit.Mtoe)</f>
        <v>914.24165190998019</v>
      </c>
      <c r="P250" s="969"/>
    </row>
    <row r="251" spans="1:16" s="241" customFormat="1" ht="15.75" hidden="1">
      <c r="A251" s="539"/>
      <c r="B251" s="316"/>
      <c r="C251" s="2992"/>
      <c r="D251" s="2993" t="s">
        <v>406</v>
      </c>
      <c r="E251" s="2681"/>
      <c r="F251" s="2715">
        <f t="shared" ref="F251:O251" si="81">(INDEX(F$247:F$250,ROUNDDOWN($E$8,0))*(1-MOD($E$8,1)))+(INDEX(F$247:F$250,ROUNDUP($E$8,0))*MOD($E$8,1))</f>
        <v>176.50156689000002</v>
      </c>
      <c r="G251" s="2715">
        <f t="shared" si="81"/>
        <v>249.59575438290003</v>
      </c>
      <c r="H251" s="2715">
        <f t="shared" si="81"/>
        <v>347.31191715902281</v>
      </c>
      <c r="I251" s="2715">
        <f t="shared" si="81"/>
        <v>473.20460948487676</v>
      </c>
      <c r="J251" s="2715">
        <f t="shared" si="81"/>
        <v>593.71825609630298</v>
      </c>
      <c r="K251" s="2715">
        <f t="shared" si="81"/>
        <v>713.97627279852293</v>
      </c>
      <c r="L251" s="2715">
        <f t="shared" si="81"/>
        <v>810.80346464557704</v>
      </c>
      <c r="M251" s="2715">
        <f t="shared" si="81"/>
        <v>892.78242972765725</v>
      </c>
      <c r="N251" s="2715">
        <f t="shared" si="81"/>
        <v>950.8457155377132</v>
      </c>
      <c r="O251" s="2715">
        <f t="shared" si="81"/>
        <v>1009.1764873592933</v>
      </c>
      <c r="P251" s="1946"/>
    </row>
    <row r="252" spans="1:16" ht="15.75" hidden="1">
      <c r="B252" s="316"/>
      <c r="C252" s="413"/>
      <c r="D252" s="414"/>
      <c r="E252" s="414"/>
      <c r="F252" s="2708"/>
      <c r="G252" s="2709"/>
      <c r="H252" s="2709"/>
      <c r="I252" s="2709"/>
      <c r="J252" s="2709"/>
      <c r="K252" s="2709"/>
      <c r="L252" s="2709"/>
      <c r="M252" s="2709"/>
      <c r="N252" s="2709"/>
      <c r="O252" s="2709"/>
      <c r="P252" s="969"/>
    </row>
    <row r="253" spans="1:16" ht="15.75" hidden="1">
      <c r="B253" s="316"/>
      <c r="C253" s="416" t="s">
        <v>1603</v>
      </c>
      <c r="D253" s="415"/>
      <c r="E253" s="104"/>
      <c r="F253" s="535"/>
      <c r="G253" s="535"/>
      <c r="H253" s="535"/>
      <c r="I253" s="535"/>
      <c r="J253" s="535"/>
      <c r="K253" s="535"/>
      <c r="L253" s="535"/>
      <c r="M253" s="535"/>
      <c r="N253" s="535"/>
      <c r="O253" s="2710" t="str">
        <f>preferences.energyunits</f>
        <v>TWh</v>
      </c>
      <c r="P253" s="969"/>
    </row>
    <row r="254" spans="1:16" ht="5.25" hidden="1" customHeight="1">
      <c r="B254" s="316"/>
      <c r="C254" s="415"/>
      <c r="D254" s="415"/>
      <c r="E254" s="415"/>
      <c r="F254" s="535"/>
      <c r="G254" s="535"/>
      <c r="H254" s="535"/>
      <c r="I254" s="535"/>
      <c r="J254" s="535"/>
      <c r="K254" s="535"/>
      <c r="L254" s="535"/>
      <c r="M254" s="535"/>
      <c r="N254" s="535"/>
      <c r="O254" s="535"/>
      <c r="P254" s="969"/>
    </row>
    <row r="255" spans="1:16" ht="15.75" hidden="1">
      <c r="B255" s="316"/>
      <c r="C255" s="61" t="s">
        <v>411</v>
      </c>
      <c r="D255" s="61" t="s">
        <v>66</v>
      </c>
      <c r="E255" s="61" t="s">
        <v>156</v>
      </c>
      <c r="F255" s="2316">
        <v>2007</v>
      </c>
      <c r="G255" s="2870">
        <f t="shared" ref="G255:O255" si="82">F255+5</f>
        <v>2012</v>
      </c>
      <c r="H255" s="2870">
        <f t="shared" si="82"/>
        <v>2017</v>
      </c>
      <c r="I255" s="2870">
        <f t="shared" si="82"/>
        <v>2022</v>
      </c>
      <c r="J255" s="2870">
        <f t="shared" si="82"/>
        <v>2027</v>
      </c>
      <c r="K255" s="2870">
        <f t="shared" si="82"/>
        <v>2032</v>
      </c>
      <c r="L255" s="2870">
        <f t="shared" si="82"/>
        <v>2037</v>
      </c>
      <c r="M255" s="2870">
        <f t="shared" si="82"/>
        <v>2042</v>
      </c>
      <c r="N255" s="2870">
        <f t="shared" si="82"/>
        <v>2047</v>
      </c>
      <c r="O255" s="2870">
        <f t="shared" si="82"/>
        <v>2052</v>
      </c>
      <c r="P255" s="969"/>
    </row>
    <row r="256" spans="1:16" ht="15.75" hidden="1">
      <c r="B256" s="316"/>
      <c r="C256" s="413">
        <v>1</v>
      </c>
      <c r="D256" s="414" t="s">
        <v>1628</v>
      </c>
      <c r="E256" s="218"/>
      <c r="F256" s="535">
        <f>7.0374204*(Unit.Mtoe)</f>
        <v>81.845199252000015</v>
      </c>
      <c r="G256" s="535">
        <f>6.6684245118368*(Unit.Mtoe)</f>
        <v>77.553777072661987</v>
      </c>
      <c r="H256" s="535">
        <f>6.333928697297*(Unit.Mtoe)</f>
        <v>73.663590749564108</v>
      </c>
      <c r="I256" s="535">
        <f>6.547678457297*(Unit.Mtoe)</f>
        <v>76.149500458364116</v>
      </c>
      <c r="J256" s="535">
        <f>6.74662159329699*(Unit.Mtoe)</f>
        <v>78.463209130044007</v>
      </c>
      <c r="K256" s="535">
        <f>6.931593065297*(Unit.Mtoe)</f>
        <v>80.61442734940411</v>
      </c>
      <c r="L256" s="535">
        <f>7.10136826529699*(Unit.Mtoe)</f>
        <v>82.588912925403989</v>
      </c>
      <c r="M256" s="535">
        <f>7.193102537297*(Unit.Mtoe)</f>
        <v>83.655782508764119</v>
      </c>
      <c r="N256" s="535">
        <f>7.262905193297*(Unit.Mtoe)</f>
        <v>84.467587398044117</v>
      </c>
      <c r="O256" s="535">
        <f>7.300200073297*(Unit.Mtoe)</f>
        <v>84.901326852444114</v>
      </c>
      <c r="P256" s="969"/>
    </row>
    <row r="257" spans="1:16" ht="15.75" hidden="1">
      <c r="B257" s="316"/>
      <c r="C257" s="413">
        <v>2</v>
      </c>
      <c r="D257" s="414" t="s">
        <v>811</v>
      </c>
      <c r="E257" s="218"/>
      <c r="F257" s="535">
        <f>7.0374204*(Unit.Mtoe)</f>
        <v>81.845199252000015</v>
      </c>
      <c r="G257" s="535">
        <f>6.6684245118368*(Unit.Mtoe)</f>
        <v>77.553777072661987</v>
      </c>
      <c r="H257" s="535">
        <f>6.30322602704276*(Unit.Mtoe)</f>
        <v>73.306518694507304</v>
      </c>
      <c r="I257" s="535">
        <f>6.42688444209309*(Unit.Mtoe)</f>
        <v>74.744666061542645</v>
      </c>
      <c r="J257" s="535">
        <f>6.59672025149007*(Unit.Mtoe)</f>
        <v>76.719856524829524</v>
      </c>
      <c r="K257" s="535">
        <f>6.7531867962296*(Unit.Mtoe)</f>
        <v>78.539562440150249</v>
      </c>
      <c r="L257" s="535">
        <f>6.89524653177393*(Unit.Mtoe)</f>
        <v>80.191717164530814</v>
      </c>
      <c r="M257" s="535">
        <f>6.96578099162781*(Unit.Mtoe)</f>
        <v>81.012032932631428</v>
      </c>
      <c r="N257" s="535">
        <f>6.9368*(Unit.Mtoe)</f>
        <v>80.674984000000009</v>
      </c>
      <c r="O257" s="535">
        <f>6.9703*(Unit.Mtoe)</f>
        <v>81.064588999999998</v>
      </c>
      <c r="P257" s="969"/>
    </row>
    <row r="258" spans="1:16" ht="15.75" hidden="1">
      <c r="B258" s="316"/>
      <c r="C258" s="413">
        <v>3</v>
      </c>
      <c r="D258" s="414" t="s">
        <v>1018</v>
      </c>
      <c r="E258" s="218"/>
      <c r="F258" s="535">
        <f>7.0374204*(Unit.Mtoe)</f>
        <v>81.845199252000015</v>
      </c>
      <c r="G258" s="535">
        <f>6.6684245118368*(Unit.Mtoe)</f>
        <v>77.553777072661987</v>
      </c>
      <c r="H258" s="535">
        <f>6.28844219764076*(Unit.Mtoe)</f>
        <v>73.134582758562033</v>
      </c>
      <c r="I258" s="535">
        <f>6.11022182672608*(Unit.Mtoe)</f>
        <v>71.061879844824318</v>
      </c>
      <c r="J258" s="535">
        <f>5.91875320977003*(Unit.Mtoe)</f>
        <v>68.835099829625463</v>
      </c>
      <c r="K258" s="535">
        <f>5.71741562100815*(Unit.Mtoe)</f>
        <v>66.49354367232479</v>
      </c>
      <c r="L258" s="535">
        <f>5.50762802021389*(Unit.Mtoe)</f>
        <v>64.053713875087539</v>
      </c>
      <c r="M258" s="535">
        <f>5.24849052143749*(Unit.Mtoe)</f>
        <v>61.039944764318015</v>
      </c>
      <c r="N258" s="535">
        <f>4.99456013343385*(Unit.Mtoe)</f>
        <v>58.086734351835673</v>
      </c>
      <c r="O258" s="535">
        <f>4.7435687839852*(Unit.Mtoe)</f>
        <v>55.16770495774788</v>
      </c>
      <c r="P258" s="969"/>
    </row>
    <row r="259" spans="1:16" ht="15.75" hidden="1">
      <c r="B259" s="316"/>
      <c r="C259" s="411">
        <v>4</v>
      </c>
      <c r="D259" s="414" t="s">
        <v>1019</v>
      </c>
      <c r="E259" s="218"/>
      <c r="F259" s="535">
        <f>7.0374204*(Unit.Mtoe)</f>
        <v>81.845199252000015</v>
      </c>
      <c r="G259" s="535">
        <f>6.7*(Unit.Mtoe)</f>
        <v>77.921000000000006</v>
      </c>
      <c r="H259" s="535">
        <f>6.18287569747629*(Unit.Mtoe)</f>
        <v>71.906844361649263</v>
      </c>
      <c r="I259" s="535">
        <f>5.91845080993239*(Unit.Mtoe)</f>
        <v>68.831582919513693</v>
      </c>
      <c r="J259" s="535">
        <f>5.64845752474385*(Unit.Mtoe)</f>
        <v>65.691561012770975</v>
      </c>
      <c r="K259" s="535">
        <f>5.37650939224074*(Unit.Mtoe)</f>
        <v>62.528804231759807</v>
      </c>
      <c r="L259" s="535">
        <f>5.10419083086311*(Unit.Mtoe)</f>
        <v>59.361739362937975</v>
      </c>
      <c r="M259" s="535">
        <f>4.79433090890877*(Unit.Mtoe)</f>
        <v>55.758068470608997</v>
      </c>
      <c r="N259" s="535">
        <f>4.48988363267257*(Unit.Mtoe)</f>
        <v>52.217346647981998</v>
      </c>
      <c r="O259" s="535">
        <f>4.1868859799815*(Unit.Mtoe)</f>
        <v>48.693483947184845</v>
      </c>
      <c r="P259" s="969"/>
    </row>
    <row r="260" spans="1:16" s="241" customFormat="1" ht="15.75" hidden="1">
      <c r="A260" s="539"/>
      <c r="B260" s="316"/>
      <c r="C260" s="111"/>
      <c r="D260" s="816" t="s">
        <v>406</v>
      </c>
      <c r="E260" s="2681"/>
      <c r="F260" s="2715">
        <f t="shared" ref="F260:O260" si="83">(INDEX(F$256:F$259,ROUNDDOWN($E$8,0))*(1-MOD($E$8,1)))+(INDEX(F$256:F$259,ROUNDUP($E$8,0))*MOD($E$8,1))</f>
        <v>81.845199252000015</v>
      </c>
      <c r="G260" s="2715">
        <f t="shared" si="83"/>
        <v>77.553777072661987</v>
      </c>
      <c r="H260" s="2715">
        <f t="shared" si="83"/>
        <v>73.663590749564108</v>
      </c>
      <c r="I260" s="2715">
        <f t="shared" si="83"/>
        <v>76.149500458364116</v>
      </c>
      <c r="J260" s="2715">
        <f t="shared" si="83"/>
        <v>78.463209130044007</v>
      </c>
      <c r="K260" s="2715">
        <f t="shared" si="83"/>
        <v>80.61442734940411</v>
      </c>
      <c r="L260" s="2715">
        <f t="shared" si="83"/>
        <v>82.588912925403989</v>
      </c>
      <c r="M260" s="2715">
        <f t="shared" si="83"/>
        <v>83.655782508764119</v>
      </c>
      <c r="N260" s="2715">
        <f t="shared" si="83"/>
        <v>84.467587398044117</v>
      </c>
      <c r="O260" s="2715">
        <f t="shared" si="83"/>
        <v>84.901326852444114</v>
      </c>
      <c r="P260" s="1946"/>
    </row>
    <row r="261" spans="1:16" ht="15.75" hidden="1">
      <c r="B261" s="316"/>
      <c r="C261" s="413"/>
      <c r="D261" s="414"/>
      <c r="E261" s="414"/>
      <c r="F261" s="2708"/>
      <c r="G261" s="2709"/>
      <c r="H261" s="2709"/>
      <c r="I261" s="2709"/>
      <c r="J261" s="2709"/>
      <c r="K261" s="2709"/>
      <c r="L261" s="2709"/>
      <c r="M261" s="2709"/>
      <c r="N261" s="2709"/>
      <c r="O261" s="2709"/>
      <c r="P261" s="969"/>
    </row>
    <row r="262" spans="1:16" ht="15.75" hidden="1">
      <c r="B262" s="316"/>
      <c r="C262" s="416" t="s">
        <v>1604</v>
      </c>
      <c r="D262" s="415"/>
      <c r="E262" s="104"/>
      <c r="F262" s="535"/>
      <c r="G262" s="535"/>
      <c r="H262" s="535"/>
      <c r="I262" s="535"/>
      <c r="J262" s="535"/>
      <c r="K262" s="535"/>
      <c r="L262" s="535"/>
      <c r="M262" s="535"/>
      <c r="N262" s="535"/>
      <c r="O262" s="2710" t="str">
        <f>preferences.energyunits</f>
        <v>TWh</v>
      </c>
      <c r="P262" s="969"/>
    </row>
    <row r="263" spans="1:16" ht="15.75" hidden="1">
      <c r="B263" s="316"/>
      <c r="C263" s="415"/>
      <c r="D263" s="415"/>
      <c r="E263" s="415"/>
      <c r="F263" s="535"/>
      <c r="G263" s="535"/>
      <c r="H263" s="535"/>
      <c r="I263" s="535"/>
      <c r="J263" s="535"/>
      <c r="K263" s="535"/>
      <c r="L263" s="535"/>
      <c r="M263" s="535"/>
      <c r="N263" s="535"/>
      <c r="O263" s="535"/>
      <c r="P263" s="969"/>
    </row>
    <row r="264" spans="1:16" ht="15.75" hidden="1">
      <c r="B264" s="316"/>
      <c r="C264" s="61" t="s">
        <v>411</v>
      </c>
      <c r="D264" s="61" t="s">
        <v>66</v>
      </c>
      <c r="E264" s="61" t="s">
        <v>156</v>
      </c>
      <c r="F264" s="2316">
        <v>2007</v>
      </c>
      <c r="G264" s="2870">
        <f t="shared" ref="G264:O264" si="84">F264+5</f>
        <v>2012</v>
      </c>
      <c r="H264" s="2870">
        <f t="shared" si="84"/>
        <v>2017</v>
      </c>
      <c r="I264" s="2870">
        <f t="shared" si="84"/>
        <v>2022</v>
      </c>
      <c r="J264" s="2870">
        <f t="shared" si="84"/>
        <v>2027</v>
      </c>
      <c r="K264" s="2870">
        <f t="shared" si="84"/>
        <v>2032</v>
      </c>
      <c r="L264" s="2870">
        <f t="shared" si="84"/>
        <v>2037</v>
      </c>
      <c r="M264" s="2870">
        <f t="shared" si="84"/>
        <v>2042</v>
      </c>
      <c r="N264" s="2870">
        <f t="shared" si="84"/>
        <v>2047</v>
      </c>
      <c r="O264" s="2870">
        <f t="shared" si="84"/>
        <v>2052</v>
      </c>
      <c r="P264" s="969"/>
    </row>
    <row r="265" spans="1:16" ht="15.75" hidden="1">
      <c r="B265" s="316"/>
      <c r="C265" s="413">
        <v>1</v>
      </c>
      <c r="D265" s="414" t="s">
        <v>1628</v>
      </c>
      <c r="E265" s="251"/>
      <c r="F265" s="535">
        <f>1.94103508838699*(Unit.Mtoe)</f>
        <v>22.574238077940695</v>
      </c>
      <c r="G265" s="535">
        <f>2.71082909397144*(Unit.Mtoe)</f>
        <v>31.526942362887848</v>
      </c>
      <c r="H265" s="535">
        <f>3.52919588341603*(Unit.Mtoe)</f>
        <v>41.044548124128433</v>
      </c>
      <c r="I265" s="535">
        <f>4.99183620024265*(Unit.Mtoe)</f>
        <v>58.055055008822023</v>
      </c>
      <c r="J265" s="535">
        <f>6.63450448050426*(Unit.Mtoe)</f>
        <v>77.15928710826455</v>
      </c>
      <c r="K265" s="535">
        <f>8.56233288431494*(Unit.Mtoe)</f>
        <v>99.579931444582769</v>
      </c>
      <c r="L265" s="535">
        <f>10.4851218953268*(Unit.Mtoe)</f>
        <v>121.9419676426507</v>
      </c>
      <c r="M265" s="535">
        <f>12.2659390471432*(Unit.Mtoe)</f>
        <v>142.65287111827544</v>
      </c>
      <c r="N265" s="535">
        <f>13.7829700517644*(Unit.Mtoe)</f>
        <v>160.29594170201997</v>
      </c>
      <c r="O265" s="535">
        <f>15.3576934153242*(Unit.Mtoe)</f>
        <v>178.60997442022045</v>
      </c>
      <c r="P265" s="969"/>
    </row>
    <row r="266" spans="1:16" ht="15.75" hidden="1">
      <c r="B266" s="316"/>
      <c r="C266" s="413">
        <v>2</v>
      </c>
      <c r="D266" s="414" t="s">
        <v>811</v>
      </c>
      <c r="E266" s="218"/>
      <c r="F266" s="535">
        <f>1.94103508838699*(Unit.Mtoe)</f>
        <v>22.574238077940695</v>
      </c>
      <c r="G266" s="535">
        <f>2.71082909397144*(Unit.Mtoe)</f>
        <v>31.526942362887848</v>
      </c>
      <c r="H266" s="535">
        <f>3.51172420103775*(Unit.Mtoe)</f>
        <v>40.841352458069039</v>
      </c>
      <c r="I266" s="535">
        <f>4.46909381684323*(Unit.Mtoe)</f>
        <v>51.975561089886774</v>
      </c>
      <c r="J266" s="535">
        <f>5.41125125537886*(Unit.Mtoe)</f>
        <v>62.932852100056152</v>
      </c>
      <c r="K266" s="535">
        <f>6.40912858384257*(Unit.Mtoe)</f>
        <v>74.538165430089094</v>
      </c>
      <c r="L266" s="535">
        <f>7.25003857961756*(Unit.Mtoe)</f>
        <v>84.317948680952227</v>
      </c>
      <c r="M266" s="535">
        <f>7.87462452095825*(Unit.Mtoe)</f>
        <v>91.581883178744448</v>
      </c>
      <c r="N266" s="535">
        <f>8.25058488798443*(Unit.Mtoe)</f>
        <v>95.954302247258937</v>
      </c>
      <c r="O266" s="535">
        <f>8.59950812322539*(Unit.Mtoe)</f>
        <v>100.01227947311128</v>
      </c>
      <c r="P266" s="969"/>
    </row>
    <row r="267" spans="1:16" ht="15.75" hidden="1">
      <c r="B267" s="316"/>
      <c r="C267" s="413">
        <v>3</v>
      </c>
      <c r="D267" s="414" t="s">
        <v>1018</v>
      </c>
      <c r="E267" s="218"/>
      <c r="F267" s="535">
        <f>1.94103508838699*(Unit.Mtoe)</f>
        <v>22.574238077940695</v>
      </c>
      <c r="G267" s="535">
        <f>2.71082909397144*(Unit.Mtoe)</f>
        <v>31.526942362887848</v>
      </c>
      <c r="H267" s="535">
        <f>3.49411509981373*(Unit.Mtoe)</f>
        <v>40.636558610833681</v>
      </c>
      <c r="I267" s="535">
        <f>4.41125940336761*(Unit.Mtoe)</f>
        <v>51.302946861165303</v>
      </c>
      <c r="J267" s="535">
        <f>5.28209662478548*(Unit.Mtoe)</f>
        <v>61.430783746255138</v>
      </c>
      <c r="K267" s="535">
        <f>6.16652948168189*(Unit.Mtoe)</f>
        <v>71.716737871960376</v>
      </c>
      <c r="L267" s="535">
        <f>6.85188597730721*(Unit.Mtoe)</f>
        <v>79.687433916082853</v>
      </c>
      <c r="M267" s="535">
        <f>7.28362988176322*(Unit.Mtoe)</f>
        <v>84.70861552490625</v>
      </c>
      <c r="N267" s="535">
        <f>7.44036524922036*(Unit.Mtoe)</f>
        <v>86.531447848432791</v>
      </c>
      <c r="O267" s="535">
        <f>7.5307400684301*(Unit.Mtoe)</f>
        <v>87.582506995842067</v>
      </c>
      <c r="P267" s="969"/>
    </row>
    <row r="268" spans="1:16" ht="15.75" hidden="1">
      <c r="B268" s="316"/>
      <c r="C268" s="413">
        <v>4</v>
      </c>
      <c r="D268" s="414" t="s">
        <v>1019</v>
      </c>
      <c r="E268" s="218"/>
      <c r="F268" s="535">
        <f>1.94103508838699*(Unit.Mtoe)</f>
        <v>22.574238077940695</v>
      </c>
      <c r="G268" s="535">
        <f>2.69228951673738*(Unit.Mtoe)</f>
        <v>31.311327079655733</v>
      </c>
      <c r="H268" s="535">
        <f>3.45612590290079*(Unit.Mtoe)</f>
        <v>40.194744250736186</v>
      </c>
      <c r="I268" s="535">
        <f>4.31159291041144*(Unit.Mtoe)</f>
        <v>50.143825548085047</v>
      </c>
      <c r="J268" s="535">
        <f>5.09651836188829*(Unit.Mtoe)</f>
        <v>59.272508548760811</v>
      </c>
      <c r="K268" s="535">
        <f>5.86769325813899*(Unit.Mtoe)</f>
        <v>68.241272592156463</v>
      </c>
      <c r="L268" s="535">
        <f>6.42332920846509*(Unit.Mtoe)</f>
        <v>74.70331869444901</v>
      </c>
      <c r="M268" s="535">
        <f>6.7201832942289*(Unit.Mtoe)</f>
        <v>78.155731711882112</v>
      </c>
      <c r="N268" s="535">
        <f>6.84209334688345*(Unit.Mtoe)</f>
        <v>79.573545624254535</v>
      </c>
      <c r="O268" s="535">
        <f>6.88771155548431*(Unit.Mtoe)</f>
        <v>80.104085390282521</v>
      </c>
      <c r="P268" s="969"/>
    </row>
    <row r="269" spans="1:16" s="241" customFormat="1" ht="15.75" hidden="1">
      <c r="A269" s="539"/>
      <c r="B269" s="316"/>
      <c r="C269" s="2992"/>
      <c r="D269" s="2993" t="s">
        <v>406</v>
      </c>
      <c r="E269" s="2681"/>
      <c r="F269" s="3002">
        <f t="shared" ref="F269:O269" si="85">(INDEX(F$265:F$268,ROUNDDOWN($E$8,0))*(1-MOD($E$8,1)))+(INDEX(F$265:F$268,ROUNDUP($E$8,0))*MOD($E$8,1))</f>
        <v>22.574238077940695</v>
      </c>
      <c r="G269" s="3002">
        <f t="shared" si="85"/>
        <v>31.526942362887848</v>
      </c>
      <c r="H269" s="3002">
        <f t="shared" si="85"/>
        <v>41.044548124128433</v>
      </c>
      <c r="I269" s="3002">
        <f t="shared" si="85"/>
        <v>58.055055008822023</v>
      </c>
      <c r="J269" s="3002">
        <f t="shared" si="85"/>
        <v>77.15928710826455</v>
      </c>
      <c r="K269" s="3002">
        <f t="shared" si="85"/>
        <v>99.579931444582769</v>
      </c>
      <c r="L269" s="3002">
        <f t="shared" si="85"/>
        <v>121.9419676426507</v>
      </c>
      <c r="M269" s="3002">
        <f t="shared" si="85"/>
        <v>142.65287111827544</v>
      </c>
      <c r="N269" s="3002">
        <f t="shared" si="85"/>
        <v>160.29594170201997</v>
      </c>
      <c r="O269" s="3002">
        <f t="shared" si="85"/>
        <v>178.60997442022045</v>
      </c>
      <c r="P269" s="1946"/>
    </row>
    <row r="270" spans="1:16" hidden="1">
      <c r="B270" s="239"/>
      <c r="C270" s="413"/>
      <c r="D270" s="414"/>
      <c r="E270" s="414"/>
      <c r="F270" s="2708"/>
      <c r="G270" s="2713"/>
      <c r="H270" s="2713"/>
      <c r="I270" s="2713"/>
      <c r="J270" s="2713"/>
      <c r="K270" s="2713"/>
      <c r="L270" s="2713"/>
      <c r="M270" s="2713"/>
      <c r="N270" s="2713"/>
      <c r="O270" s="2713"/>
      <c r="P270" s="969"/>
    </row>
    <row r="271" spans="1:16" hidden="1">
      <c r="B271" s="239"/>
      <c r="C271" s="416" t="s">
        <v>1605</v>
      </c>
      <c r="D271" s="415"/>
      <c r="E271" s="104"/>
      <c r="F271" s="535"/>
      <c r="G271" s="535"/>
      <c r="H271" s="535"/>
      <c r="I271" s="535"/>
      <c r="J271" s="535"/>
      <c r="K271" s="535"/>
      <c r="L271" s="535"/>
      <c r="M271" s="535"/>
      <c r="N271" s="535"/>
      <c r="O271" s="2710" t="str">
        <f>preferences.energyunits</f>
        <v>TWh</v>
      </c>
      <c r="P271" s="969"/>
    </row>
    <row r="272" spans="1:16" hidden="1">
      <c r="B272" s="239"/>
      <c r="C272" s="415"/>
      <c r="D272" s="415"/>
      <c r="E272" s="415"/>
      <c r="F272" s="535"/>
      <c r="G272" s="535"/>
      <c r="H272" s="535"/>
      <c r="I272" s="535"/>
      <c r="J272" s="535"/>
      <c r="K272" s="535"/>
      <c r="L272" s="535"/>
      <c r="M272" s="535"/>
      <c r="N272" s="535"/>
      <c r="O272" s="535"/>
      <c r="P272" s="969"/>
    </row>
    <row r="273" spans="1:16" ht="15.75" hidden="1">
      <c r="B273" s="316"/>
      <c r="C273" s="61" t="s">
        <v>411</v>
      </c>
      <c r="D273" s="61" t="s">
        <v>66</v>
      </c>
      <c r="E273" s="61" t="s">
        <v>156</v>
      </c>
      <c r="F273" s="2316">
        <v>2007</v>
      </c>
      <c r="G273" s="2870">
        <f t="shared" ref="G273:O273" si="86">F273+5</f>
        <v>2012</v>
      </c>
      <c r="H273" s="2870">
        <f t="shared" si="86"/>
        <v>2017</v>
      </c>
      <c r="I273" s="2870">
        <f t="shared" si="86"/>
        <v>2022</v>
      </c>
      <c r="J273" s="2870">
        <f t="shared" si="86"/>
        <v>2027</v>
      </c>
      <c r="K273" s="2870">
        <f t="shared" si="86"/>
        <v>2032</v>
      </c>
      <c r="L273" s="2870">
        <f t="shared" si="86"/>
        <v>2037</v>
      </c>
      <c r="M273" s="2870">
        <f t="shared" si="86"/>
        <v>2042</v>
      </c>
      <c r="N273" s="2870">
        <f t="shared" si="86"/>
        <v>2047</v>
      </c>
      <c r="O273" s="2870">
        <f t="shared" si="86"/>
        <v>2052</v>
      </c>
      <c r="P273" s="969"/>
    </row>
    <row r="274" spans="1:16" ht="15.75" hidden="1">
      <c r="B274" s="316"/>
      <c r="C274" s="413">
        <v>1</v>
      </c>
      <c r="D274" s="414" t="s">
        <v>1628</v>
      </c>
      <c r="E274" s="218"/>
      <c r="F274" s="535">
        <f>28.81281352*(Unit.Mtoe)</f>
        <v>335.0930212376</v>
      </c>
      <c r="G274" s="535">
        <f>50.7945019088*(Unit.Mtoe)</f>
        <v>590.74005719934405</v>
      </c>
      <c r="H274" s="535">
        <f>77.7058755250953*(Unit.Mtoe)</f>
        <v>903.71933235685833</v>
      </c>
      <c r="I274" s="535">
        <f>122.903071685095*(Unit.Mtoe)</f>
        <v>1429.3627236976549</v>
      </c>
      <c r="J274" s="535">
        <f>178.416017365095*(Unit.Mtoe)</f>
        <v>2074.9782819560551</v>
      </c>
      <c r="K274" s="535">
        <f>245.000492045095*(Unit.Mtoe)</f>
        <v>2849.3557224844549</v>
      </c>
      <c r="L274" s="535">
        <f>311.438032845095*(Unit.Mtoe)</f>
        <v>3622.0243219884551</v>
      </c>
      <c r="M274" s="535">
        <f>369.471316125095*(Unit.Mtoe)</f>
        <v>4296.9514065348549</v>
      </c>
      <c r="N274" s="535">
        <f>416.332282645095*(Unit.Mtoe)</f>
        <v>4841.9444471624556</v>
      </c>
      <c r="O274" s="535">
        <f>461.685230005095*(Unit.Mtoe)</f>
        <v>5369.3992249592548</v>
      </c>
      <c r="P274" s="969"/>
    </row>
    <row r="275" spans="1:16" ht="15.75" hidden="1">
      <c r="B275" s="316"/>
      <c r="C275" s="413">
        <v>2</v>
      </c>
      <c r="D275" s="414" t="s">
        <v>811</v>
      </c>
      <c r="E275" s="218"/>
      <c r="F275" s="535">
        <f>28.81281352*(Unit.Mtoe)</f>
        <v>335.0930212376</v>
      </c>
      <c r="G275" s="535">
        <f>50.7945019088*(Unit.Mtoe)</f>
        <v>590.74005719934405</v>
      </c>
      <c r="H275" s="535">
        <f>76.911476685449*(Unit.Mtoe)</f>
        <v>894.48047385177199</v>
      </c>
      <c r="I275" s="535">
        <f>112.671917175538*(Unit.Mtoe)</f>
        <v>1310.374396751507</v>
      </c>
      <c r="J275" s="535">
        <f>153.269602168761*(Unit.Mtoe)</f>
        <v>1782.5254732226906</v>
      </c>
      <c r="K275" s="535">
        <f>198.475650577461*(Unit.Mtoe)</f>
        <v>2308.2718162158717</v>
      </c>
      <c r="L275" s="535">
        <f>239.048315128764*(Unit.Mtoe)</f>
        <v>2780.1319049475255</v>
      </c>
      <c r="M275" s="535">
        <f>269.615104382164*(Unit.Mtoe)</f>
        <v>3135.6236639645676</v>
      </c>
      <c r="N275" s="535">
        <f>289.590264170773*(Unit.Mtoe)</f>
        <v>3367.9347723060905</v>
      </c>
      <c r="O275" s="535">
        <f>306.707656206782*(Unit.Mtoe)</f>
        <v>3567.010041684875</v>
      </c>
      <c r="P275" s="969"/>
    </row>
    <row r="276" spans="1:16" ht="15.75" hidden="1">
      <c r="B276" s="316"/>
      <c r="C276" s="413">
        <v>3</v>
      </c>
      <c r="D276" s="414" t="s">
        <v>1018</v>
      </c>
      <c r="E276" s="218"/>
      <c r="F276" s="535">
        <f>28.81281352*(Unit.Mtoe)</f>
        <v>335.0930212376</v>
      </c>
      <c r="G276" s="535">
        <f>50.7945019088*(Unit.Mtoe)</f>
        <v>590.74005719934405</v>
      </c>
      <c r="H276" s="535">
        <f>76.5865382228342*(Unit.Mtoe)</f>
        <v>890.70143953156185</v>
      </c>
      <c r="I276" s="535">
        <f>111.581549166274*(Unit.Mtoe)</f>
        <v>1297.6934168037667</v>
      </c>
      <c r="J276" s="535">
        <f>150.762436147102*(Unit.Mtoe)</f>
        <v>1753.3671323907963</v>
      </c>
      <c r="K276" s="535">
        <f>193.661075324302*(Unit.Mtoe)</f>
        <v>2252.2783060216325</v>
      </c>
      <c r="L276" s="535">
        <f>231.073787090946*(Unit.Mtoe)</f>
        <v>2687.3881438677022</v>
      </c>
      <c r="M276" s="535">
        <f>257.849987764684*(Unit.Mtoe)</f>
        <v>2998.7953577032749</v>
      </c>
      <c r="N276" s="535">
        <f>273.646978013525*(Unit.Mtoe)</f>
        <v>3182.5143542972955</v>
      </c>
      <c r="O276" s="535">
        <f>285.983291193138*(Unit.Mtoe)</f>
        <v>3325.9856765761947</v>
      </c>
      <c r="P276" s="969"/>
    </row>
    <row r="277" spans="1:16" ht="15.75" hidden="1">
      <c r="B277" s="316"/>
      <c r="C277" s="413">
        <v>4</v>
      </c>
      <c r="D277" s="414" t="s">
        <v>1019</v>
      </c>
      <c r="E277" s="218"/>
      <c r="F277" s="535">
        <f>28.81281352*(Unit.Mtoe)</f>
        <v>335.0930212376</v>
      </c>
      <c r="G277" s="535">
        <f>50.8*(Unit.Mtoe)</f>
        <v>590.80399999999997</v>
      </c>
      <c r="H277" s="535">
        <f>75.7231520744571*(Unit.Mtoe)</f>
        <v>880.66025862593619</v>
      </c>
      <c r="I277" s="535">
        <f>108.969558034682*(Unit.Mtoe)</f>
        <v>1267.3159599433518</v>
      </c>
      <c r="J277" s="535">
        <f>145.277305561265*(Unit.Mtoe)</f>
        <v>1689.5750636775119</v>
      </c>
      <c r="K277" s="535">
        <f>183.94519908764*(Unit.Mtoe)</f>
        <v>2139.2826653892535</v>
      </c>
      <c r="L277" s="535">
        <f>216.113414311393*(Unit.Mtoe)</f>
        <v>2513.3990084415009</v>
      </c>
      <c r="M277" s="535">
        <f>237.202687226871*(Unit.Mtoe)</f>
        <v>2758.6672524485098</v>
      </c>
      <c r="N277" s="535">
        <f>249.278897151899*(Unit.Mtoe)</f>
        <v>2899.1135738765856</v>
      </c>
      <c r="O277" s="535">
        <f>260.158201045974*(Unit.Mtoe)</f>
        <v>3025.6398781646781</v>
      </c>
      <c r="P277" s="969"/>
    </row>
    <row r="278" spans="1:16" s="241" customFormat="1" ht="15.75" hidden="1">
      <c r="A278" s="539"/>
      <c r="B278" s="316"/>
      <c r="C278" s="2992"/>
      <c r="D278" s="2993" t="s">
        <v>406</v>
      </c>
      <c r="E278" s="2681"/>
      <c r="F278" s="3002">
        <f t="shared" ref="F278:O278" si="87">(INDEX(F$274:F$277,ROUNDDOWN($E$8,0))*(1-MOD($E$8,1)))+(INDEX(F$274:F$277,ROUNDUP($E$8,0))*MOD($E$8,1))</f>
        <v>335.0930212376</v>
      </c>
      <c r="G278" s="3002">
        <f t="shared" si="87"/>
        <v>590.74005719934405</v>
      </c>
      <c r="H278" s="3002">
        <f t="shared" si="87"/>
        <v>903.71933235685833</v>
      </c>
      <c r="I278" s="3002">
        <f t="shared" si="87"/>
        <v>1429.3627236976549</v>
      </c>
      <c r="J278" s="3002">
        <f t="shared" si="87"/>
        <v>2074.9782819560551</v>
      </c>
      <c r="K278" s="3002">
        <f t="shared" si="87"/>
        <v>2849.3557224844549</v>
      </c>
      <c r="L278" s="3002">
        <f t="shared" si="87"/>
        <v>3622.0243219884551</v>
      </c>
      <c r="M278" s="3002">
        <f t="shared" si="87"/>
        <v>4296.9514065348549</v>
      </c>
      <c r="N278" s="3002">
        <f t="shared" si="87"/>
        <v>4841.9444471624556</v>
      </c>
      <c r="O278" s="3002">
        <f t="shared" si="87"/>
        <v>5369.3992249592548</v>
      </c>
      <c r="P278" s="1946"/>
    </row>
    <row r="279" spans="1:16" ht="15.75" hidden="1">
      <c r="B279" s="316"/>
      <c r="C279" s="413"/>
      <c r="D279" s="414"/>
      <c r="E279" s="414"/>
      <c r="F279" s="2708"/>
      <c r="G279" s="2709"/>
      <c r="H279" s="2709"/>
      <c r="I279" s="2709"/>
      <c r="J279" s="2709"/>
      <c r="K279" s="2709"/>
      <c r="L279" s="2709"/>
      <c r="M279" s="2709"/>
      <c r="N279" s="2709"/>
      <c r="O279" s="2709"/>
      <c r="P279" s="969"/>
    </row>
    <row r="280" spans="1:16" ht="15.75" hidden="1">
      <c r="B280" s="316"/>
      <c r="C280" s="416" t="s">
        <v>1606</v>
      </c>
      <c r="D280" s="415"/>
      <c r="E280" s="104"/>
      <c r="F280" s="535">
        <f>Unit.TWh</f>
        <v>1</v>
      </c>
      <c r="G280" s="535"/>
      <c r="H280" s="535"/>
      <c r="I280" s="535"/>
      <c r="J280" s="535"/>
      <c r="K280" s="535"/>
      <c r="L280" s="535"/>
      <c r="M280" s="535"/>
      <c r="N280" s="535"/>
      <c r="O280" s="2710" t="str">
        <f>preferences.energyunits</f>
        <v>TWh</v>
      </c>
      <c r="P280" s="969"/>
    </row>
    <row r="281" spans="1:16" ht="5.25" hidden="1" customHeight="1">
      <c r="B281" s="316"/>
      <c r="C281" s="415"/>
      <c r="D281" s="415"/>
      <c r="E281" s="415"/>
      <c r="F281" s="535"/>
      <c r="G281" s="535"/>
      <c r="H281" s="535"/>
      <c r="I281" s="535"/>
      <c r="J281" s="535"/>
      <c r="K281" s="535"/>
      <c r="L281" s="535"/>
      <c r="M281" s="535"/>
      <c r="N281" s="535"/>
      <c r="O281" s="535"/>
      <c r="P281" s="969"/>
    </row>
    <row r="282" spans="1:16" ht="15.75" hidden="1">
      <c r="B282" s="316"/>
      <c r="C282" s="61" t="s">
        <v>411</v>
      </c>
      <c r="D282" s="61" t="s">
        <v>66</v>
      </c>
      <c r="E282" s="61" t="s">
        <v>156</v>
      </c>
      <c r="F282" s="2711">
        <v>2007</v>
      </c>
      <c r="G282" s="2712">
        <f t="shared" ref="G282:O282" si="88">F282+5</f>
        <v>2012</v>
      </c>
      <c r="H282" s="2712">
        <f t="shared" si="88"/>
        <v>2017</v>
      </c>
      <c r="I282" s="2712">
        <f t="shared" si="88"/>
        <v>2022</v>
      </c>
      <c r="J282" s="2712">
        <f t="shared" si="88"/>
        <v>2027</v>
      </c>
      <c r="K282" s="2712">
        <f t="shared" si="88"/>
        <v>2032</v>
      </c>
      <c r="L282" s="2712">
        <f t="shared" si="88"/>
        <v>2037</v>
      </c>
      <c r="M282" s="2712">
        <f t="shared" si="88"/>
        <v>2042</v>
      </c>
      <c r="N282" s="2712">
        <f t="shared" si="88"/>
        <v>2047</v>
      </c>
      <c r="O282" s="2712">
        <f t="shared" si="88"/>
        <v>2052</v>
      </c>
      <c r="P282" s="969"/>
    </row>
    <row r="283" spans="1:16" ht="15.75" hidden="1">
      <c r="B283" s="316"/>
      <c r="C283" s="413">
        <v>1</v>
      </c>
      <c r="D283" s="414" t="s">
        <v>1628</v>
      </c>
      <c r="E283" s="218"/>
      <c r="F283" s="535">
        <f>4.5230191968*(Unit.Mtoe)</f>
        <v>52.602713258784</v>
      </c>
      <c r="G283" s="535">
        <f>7.6218340442495*(Unit.Mtoe)</f>
        <v>88.641929934621686</v>
      </c>
      <c r="H283" s="535">
        <f>11.0208176728152*(Unit.Mtoe)</f>
        <v>128.17210953484079</v>
      </c>
      <c r="I283" s="535">
        <f>19.4297839658152*(Unit.Mtoe)</f>
        <v>225.96838752243079</v>
      </c>
      <c r="J283" s="535">
        <f>27.7463440358152*(Unit.Mtoe)</f>
        <v>322.68998113653078</v>
      </c>
      <c r="K283" s="535">
        <f>33.8238302408152*(Unit.Mtoe)</f>
        <v>393.37114570068076</v>
      </c>
      <c r="L283" s="535">
        <f>41.3011783180422*(Unit.Mtoe)</f>
        <v>480.33270383883081</v>
      </c>
      <c r="M283" s="535">
        <f>48.7785263952692*(Unit.Mtoe)</f>
        <v>567.29426197698092</v>
      </c>
      <c r="N283" s="535">
        <f>56.2558744724962*(Unit.Mtoe)</f>
        <v>654.25582011513086</v>
      </c>
      <c r="O283" s="535">
        <f>63.7332225497232*(Unit.Mtoe)</f>
        <v>741.21737825328091</v>
      </c>
      <c r="P283" s="969"/>
    </row>
    <row r="284" spans="1:16" ht="15.75" hidden="1">
      <c r="B284" s="316"/>
      <c r="C284" s="413">
        <v>2</v>
      </c>
      <c r="D284" s="414" t="s">
        <v>811</v>
      </c>
      <c r="E284" s="218"/>
      <c r="F284" s="535">
        <f>4.5230191968*(Unit.Mtoe)</f>
        <v>52.602713258784</v>
      </c>
      <c r="G284" s="535">
        <f>7.6218340442495*(Unit.Mtoe)</f>
        <v>88.641929934621686</v>
      </c>
      <c r="H284" s="535">
        <f>10.63963668565*(Unit.Mtoe)</f>
        <v>123.73897465410951</v>
      </c>
      <c r="I284" s="535">
        <f>17.8294551593066*(Unit.Mtoe)</f>
        <v>207.35656350273578</v>
      </c>
      <c r="J284" s="535">
        <f>24.5004277132083*(Unit.Mtoe)</f>
        <v>284.93997430461252</v>
      </c>
      <c r="K284" s="535">
        <f>28.899897341497*(Unit.Mtoe)</f>
        <v>336.10580608161013</v>
      </c>
      <c r="L284" s="535">
        <f>34.2098281465335*(Unit.Mtoe)</f>
        <v>397.86030134418468</v>
      </c>
      <c r="M284" s="535">
        <f>39.248271999874*(Unit.Mtoe)</f>
        <v>456.45740335853463</v>
      </c>
      <c r="N284" s="535">
        <f>44.044545308738*(Unit.Mtoe)</f>
        <v>512.23806194062297</v>
      </c>
      <c r="O284" s="535">
        <f>48.6243352594593*(Unit.Mtoe)</f>
        <v>565.50101906751172</v>
      </c>
      <c r="P284" s="969"/>
    </row>
    <row r="285" spans="1:16" ht="15.75" hidden="1">
      <c r="B285" s="316"/>
      <c r="C285" s="413">
        <v>3</v>
      </c>
      <c r="D285" s="414" t="s">
        <v>1018</v>
      </c>
      <c r="E285" s="218"/>
      <c r="F285" s="535">
        <f>4.5230191968*(Unit.Mtoe)</f>
        <v>52.602713258784</v>
      </c>
      <c r="G285" s="535">
        <f>7.6218340442495*(Unit.Mtoe)</f>
        <v>88.641929934621686</v>
      </c>
      <c r="H285" s="535">
        <f>10.5551091410004*(Unit.Mtoe)</f>
        <v>122.75591930983467</v>
      </c>
      <c r="I285" s="535">
        <f>17.5095479728057*(Unit.Mtoe)</f>
        <v>203.63604292373029</v>
      </c>
      <c r="J285" s="535">
        <f>23.7695255643301*(Unit.Mtoe)</f>
        <v>276.43958231315906</v>
      </c>
      <c r="K285" s="535">
        <f>27.6442243384452*(Unit.Mtoe)</f>
        <v>321.50232905611767</v>
      </c>
      <c r="L285" s="535">
        <f>32.2041534465402*(Unit.Mtoe)</f>
        <v>374.5343045832625</v>
      </c>
      <c r="M285" s="535">
        <f>36.2964753019749*(Unit.Mtoe)</f>
        <v>422.12800776196815</v>
      </c>
      <c r="N285" s="535">
        <f>39.9471118130766*(Unit.Mtoe)</f>
        <v>464.58491038608094</v>
      </c>
      <c r="O285" s="535">
        <f>43.1814276356411*(Unit.Mtoe)</f>
        <v>502.20000340250601</v>
      </c>
      <c r="P285" s="969"/>
    </row>
    <row r="286" spans="1:16" ht="15.75" hidden="1">
      <c r="B286" s="316"/>
      <c r="C286" s="411">
        <v>4</v>
      </c>
      <c r="D286" s="414" t="s">
        <v>1019</v>
      </c>
      <c r="E286" s="218"/>
      <c r="F286" s="535">
        <f>4.5230191968*(Unit.Mtoe)</f>
        <v>52.602713258784</v>
      </c>
      <c r="G286" s="535">
        <f>7.6*(Unit.Mtoe)</f>
        <v>88.388000000000005</v>
      </c>
      <c r="H286" s="535">
        <f>10.3351556156706*(Unit.Mtoe)</f>
        <v>120.19785981024907</v>
      </c>
      <c r="I286" s="535">
        <f>16.7660303048287*(Unit.Mtoe)</f>
        <v>194.98893244515779</v>
      </c>
      <c r="J286" s="535">
        <f>22.2291446972771*(Unit.Mtoe)</f>
        <v>258.52495282933268</v>
      </c>
      <c r="K286" s="535">
        <f>25.2171186055987*(Unit.Mtoe)</f>
        <v>293.27508938311291</v>
      </c>
      <c r="L286" s="535">
        <f>29.2055089362919*(Unit.Mtoe)</f>
        <v>339.66006892907478</v>
      </c>
      <c r="M286" s="535">
        <f>32.9928158845057*(Unit.Mtoe)</f>
        <v>383.70644873680135</v>
      </c>
      <c r="N286" s="535">
        <f>36.3239339346326*(Unit.Mtoe)</f>
        <v>422.44735165977715</v>
      </c>
      <c r="O286" s="535">
        <f>39.2005791203024*(Unit.Mtoe)</f>
        <v>455.90273516911697</v>
      </c>
      <c r="P286" s="969"/>
    </row>
    <row r="287" spans="1:16" s="241" customFormat="1" ht="15.75" hidden="1">
      <c r="A287" s="539"/>
      <c r="B287" s="316"/>
      <c r="C287" s="111"/>
      <c r="D287" s="2993" t="s">
        <v>406</v>
      </c>
      <c r="E287" s="2681"/>
      <c r="F287" s="2715">
        <f t="shared" ref="F287:O287" si="89">(INDEX(F$283:F$286,ROUNDDOWN($E$8,0))*(1-MOD($E$8,1)))+(INDEX(F$283:F$286,ROUNDUP($E$8,0))*MOD($E$8,1))</f>
        <v>52.602713258784</v>
      </c>
      <c r="G287" s="2715">
        <f t="shared" si="89"/>
        <v>88.641929934621686</v>
      </c>
      <c r="H287" s="2715">
        <f t="shared" si="89"/>
        <v>128.17210953484079</v>
      </c>
      <c r="I287" s="2715">
        <f t="shared" si="89"/>
        <v>225.96838752243079</v>
      </c>
      <c r="J287" s="2715">
        <f t="shared" si="89"/>
        <v>322.68998113653078</v>
      </c>
      <c r="K287" s="2715">
        <f t="shared" si="89"/>
        <v>393.37114570068076</v>
      </c>
      <c r="L287" s="2715">
        <f t="shared" si="89"/>
        <v>480.33270383883081</v>
      </c>
      <c r="M287" s="2715">
        <f t="shared" si="89"/>
        <v>567.29426197698092</v>
      </c>
      <c r="N287" s="2715">
        <f t="shared" si="89"/>
        <v>654.25582011513086</v>
      </c>
      <c r="O287" s="2715">
        <f t="shared" si="89"/>
        <v>741.21737825328091</v>
      </c>
      <c r="P287" s="1946"/>
    </row>
    <row r="288" spans="1:16" hidden="1">
      <c r="B288" s="239"/>
      <c r="C288" s="413"/>
      <c r="D288" s="414"/>
      <c r="E288" s="414"/>
      <c r="F288" s="2708"/>
      <c r="G288" s="2713"/>
      <c r="H288" s="2713"/>
      <c r="I288" s="2713"/>
      <c r="J288" s="2713"/>
      <c r="K288" s="2713"/>
      <c r="L288" s="2713"/>
      <c r="M288" s="2713"/>
      <c r="N288" s="2713"/>
      <c r="O288" s="2713"/>
      <c r="P288" s="969"/>
    </row>
    <row r="289" spans="1:16" hidden="1">
      <c r="B289" s="239"/>
      <c r="C289" s="416" t="s">
        <v>1607</v>
      </c>
      <c r="D289" s="415"/>
      <c r="E289" s="104"/>
      <c r="F289" s="535"/>
      <c r="G289" s="535"/>
      <c r="H289" s="535"/>
      <c r="I289" s="535"/>
      <c r="J289" s="535"/>
      <c r="K289" s="535"/>
      <c r="L289" s="535"/>
      <c r="M289" s="535"/>
      <c r="N289" s="535"/>
      <c r="O289" s="2710" t="str">
        <f>preferences.energyunits</f>
        <v>TWh</v>
      </c>
      <c r="P289" s="969"/>
    </row>
    <row r="290" spans="1:16" ht="5.25" hidden="1" customHeight="1">
      <c r="B290" s="239"/>
      <c r="C290" s="415"/>
      <c r="D290" s="415"/>
      <c r="E290" s="415"/>
      <c r="F290" s="535"/>
      <c r="G290" s="535"/>
      <c r="H290" s="535"/>
      <c r="I290" s="535"/>
      <c r="J290" s="535"/>
      <c r="K290" s="535"/>
      <c r="L290" s="535"/>
      <c r="M290" s="535"/>
      <c r="N290" s="535"/>
      <c r="O290" s="535"/>
      <c r="P290" s="969"/>
    </row>
    <row r="291" spans="1:16" ht="15.75" hidden="1">
      <c r="B291" s="316"/>
      <c r="C291" s="61" t="s">
        <v>411</v>
      </c>
      <c r="D291" s="61" t="s">
        <v>66</v>
      </c>
      <c r="E291" s="61" t="s">
        <v>156</v>
      </c>
      <c r="F291" s="2711">
        <v>2007</v>
      </c>
      <c r="G291" s="2712">
        <f t="shared" ref="G291:O291" si="90">F291+5</f>
        <v>2012</v>
      </c>
      <c r="H291" s="2712">
        <f t="shared" si="90"/>
        <v>2017</v>
      </c>
      <c r="I291" s="2712">
        <f t="shared" si="90"/>
        <v>2022</v>
      </c>
      <c r="J291" s="2712">
        <f t="shared" si="90"/>
        <v>2027</v>
      </c>
      <c r="K291" s="2712">
        <f t="shared" si="90"/>
        <v>2032</v>
      </c>
      <c r="L291" s="2712">
        <f t="shared" si="90"/>
        <v>2037</v>
      </c>
      <c r="M291" s="2712">
        <f t="shared" si="90"/>
        <v>2042</v>
      </c>
      <c r="N291" s="2712">
        <f t="shared" si="90"/>
        <v>2047</v>
      </c>
      <c r="O291" s="2712">
        <f t="shared" si="90"/>
        <v>2052</v>
      </c>
      <c r="P291" s="969"/>
    </row>
    <row r="292" spans="1:16" ht="15.75" hidden="1">
      <c r="B292" s="316"/>
      <c r="C292" s="413">
        <v>1</v>
      </c>
      <c r="D292" s="414" t="s">
        <v>1628</v>
      </c>
      <c r="E292" s="218"/>
      <c r="F292" s="535">
        <f>1.01664*(Unit.Mtoe)</f>
        <v>11.8235232</v>
      </c>
      <c r="G292" s="535">
        <f>1.18123436665705*(Unit.Mtoe)</f>
        <v>13.737755684221492</v>
      </c>
      <c r="H292" s="535">
        <f>1.34683663550186*(Unit.Mtoe)</f>
        <v>15.663710070886632</v>
      </c>
      <c r="I292" s="535">
        <f>1.54570263550186*(Unit.Mtoe)</f>
        <v>17.976521650886632</v>
      </c>
      <c r="J292" s="535">
        <f>1.75113063550186*(Unit.Mtoe)</f>
        <v>20.365649290886633</v>
      </c>
      <c r="K292" s="535">
        <f>1.94734463550186*(Unit.Mtoe)</f>
        <v>22.647618110886633</v>
      </c>
      <c r="L292" s="535">
        <f>2.15250063550186*(Unit.Mtoe)</f>
        <v>25.033582390886632</v>
      </c>
      <c r="M292" s="535">
        <f>2.31087263550186*(Unit.Mtoe)</f>
        <v>26.875448750886633</v>
      </c>
      <c r="N292" s="535">
        <f>2.46921063550186*(Unit.Mtoe)</f>
        <v>28.716919690886634</v>
      </c>
      <c r="O292" s="535">
        <f>2.62397863550186*(Unit.Mtoe)</f>
        <v>30.516871530886636</v>
      </c>
      <c r="P292" s="969"/>
    </row>
    <row r="293" spans="1:16" ht="15.75" hidden="1">
      <c r="B293" s="316"/>
      <c r="C293" s="413">
        <v>2</v>
      </c>
      <c r="D293" s="414" t="s">
        <v>811</v>
      </c>
      <c r="E293" s="218"/>
      <c r="F293" s="535">
        <f>1.01664*(Unit.Mtoe)</f>
        <v>11.8235232</v>
      </c>
      <c r="G293" s="535">
        <f>1.18123436665705*(Unit.Mtoe)</f>
        <v>13.737755684221492</v>
      </c>
      <c r="H293" s="535">
        <f>1.32571696028349*(Unit.Mtoe)</f>
        <v>15.418088248096989</v>
      </c>
      <c r="I293" s="535">
        <f>1.42154313201188*(Unit.Mtoe)</f>
        <v>16.532546625298167</v>
      </c>
      <c r="J293" s="535">
        <f>1.50697003457912*(Unit.Mtoe)</f>
        <v>17.526061502155166</v>
      </c>
      <c r="K293" s="535">
        <f>1.57061656348951*(Unit.Mtoe)</f>
        <v>18.266270633383002</v>
      </c>
      <c r="L293" s="535">
        <f>1.60872610544046*(Unit.Mtoe)</f>
        <v>18.70948460627255</v>
      </c>
      <c r="M293" s="535">
        <f>1.63033686367342*(Unit.Mtoe)</f>
        <v>18.960817724521874</v>
      </c>
      <c r="N293" s="535">
        <f>1.6485755950884*(Unit.Mtoe)</f>
        <v>19.172934170878094</v>
      </c>
      <c r="O293" s="535">
        <f>1.66211050787389*(Unit.Mtoe)</f>
        <v>19.330345206573341</v>
      </c>
      <c r="P293" s="969"/>
    </row>
    <row r="294" spans="1:16" ht="15.75" hidden="1">
      <c r="B294" s="316"/>
      <c r="C294" s="413">
        <v>3</v>
      </c>
      <c r="D294" s="414" t="s">
        <v>1018</v>
      </c>
      <c r="E294" s="218"/>
      <c r="F294" s="535">
        <f>1.01664*(Unit.Mtoe)</f>
        <v>11.8235232</v>
      </c>
      <c r="G294" s="535">
        <f>1.18123436665705*(Unit.Mtoe)</f>
        <v>13.737755684221492</v>
      </c>
      <c r="H294" s="535">
        <f>1.32158481434517*(Unit.Mtoe)</f>
        <v>15.370031390834329</v>
      </c>
      <c r="I294" s="535">
        <f>1.41126388402681*(Unit.Mtoe)</f>
        <v>16.412998971231801</v>
      </c>
      <c r="J294" s="535">
        <f>1.48833207299918*(Unit.Mtoe)</f>
        <v>17.309302008980463</v>
      </c>
      <c r="K294" s="535">
        <f>1.54149051186731*(Unit.Mtoe)</f>
        <v>17.927534653016814</v>
      </c>
      <c r="L294" s="535">
        <f>1.59963672973636*(Unit.Mtoe)</f>
        <v>18.60377516683387</v>
      </c>
      <c r="M294" s="535">
        <f>1.61522288963283*(Unit.Mtoe)</f>
        <v>18.785042206429814</v>
      </c>
      <c r="N294" s="535">
        <f>1.62589984464167*(Unit.Mtoe)</f>
        <v>18.909215193182622</v>
      </c>
      <c r="O294" s="535">
        <f>1.63036400740782*(Unit.Mtoe)</f>
        <v>18.96113340615295</v>
      </c>
      <c r="P294" s="969"/>
    </row>
    <row r="295" spans="1:16" ht="15.75" hidden="1">
      <c r="B295" s="316"/>
      <c r="C295" s="411">
        <v>4</v>
      </c>
      <c r="D295" s="414" t="s">
        <v>1019</v>
      </c>
      <c r="E295" s="218"/>
      <c r="F295" s="535">
        <f>1.01664*(Unit.Mtoe)</f>
        <v>11.8235232</v>
      </c>
      <c r="G295" s="535">
        <f>1.17825762614909*(Unit.Mtoe)</f>
        <v>13.703136192113918</v>
      </c>
      <c r="H295" s="535">
        <f>1.30874012184513*(Unit.Mtoe)</f>
        <v>15.220647617058862</v>
      </c>
      <c r="I295" s="535">
        <f>1.3917171837414*(Unit.Mtoe)</f>
        <v>16.185670846912483</v>
      </c>
      <c r="J295" s="535">
        <f>1.47605097600896*(Unit.Mtoe)</f>
        <v>17.166472850984206</v>
      </c>
      <c r="K295" s="535">
        <f>1.5376524357234*(Unit.Mtoe)</f>
        <v>17.882897827463143</v>
      </c>
      <c r="L295" s="535">
        <f>1.59357714593364*(Unit.Mtoe)</f>
        <v>18.533302207208237</v>
      </c>
      <c r="M295" s="535">
        <f>1.60514690693911*(Unit.Mtoe)</f>
        <v>18.667858527701849</v>
      </c>
      <c r="N295" s="535">
        <f>1.61078267767719*(Unit.Mtoe)</f>
        <v>18.733402541385722</v>
      </c>
      <c r="O295" s="535">
        <f>1.60919967376377*(Unit.Mtoe)</f>
        <v>18.714992205872644</v>
      </c>
      <c r="P295" s="969"/>
    </row>
    <row r="296" spans="1:16" s="241" customFormat="1" ht="15.75" hidden="1">
      <c r="A296" s="539"/>
      <c r="B296" s="316"/>
      <c r="C296" s="111"/>
      <c r="D296" s="2993" t="s">
        <v>406</v>
      </c>
      <c r="E296" s="2681"/>
      <c r="F296" s="2715">
        <f t="shared" ref="F296:O296" si="91">(INDEX(F$292:F$295,ROUNDDOWN($E$8,0))*(1-MOD($E$8,1)))+(INDEX(F$292:F$295,ROUNDUP($E$8,0))*MOD($E$8,1))</f>
        <v>11.8235232</v>
      </c>
      <c r="G296" s="2715">
        <f t="shared" si="91"/>
        <v>13.737755684221492</v>
      </c>
      <c r="H296" s="2715">
        <f t="shared" si="91"/>
        <v>15.663710070886632</v>
      </c>
      <c r="I296" s="2715">
        <f t="shared" si="91"/>
        <v>17.976521650886632</v>
      </c>
      <c r="J296" s="2715">
        <f t="shared" si="91"/>
        <v>20.365649290886633</v>
      </c>
      <c r="K296" s="2715">
        <f t="shared" si="91"/>
        <v>22.647618110886633</v>
      </c>
      <c r="L296" s="2715">
        <f t="shared" si="91"/>
        <v>25.033582390886632</v>
      </c>
      <c r="M296" s="2715">
        <f t="shared" si="91"/>
        <v>26.875448750886633</v>
      </c>
      <c r="N296" s="2715">
        <f t="shared" si="91"/>
        <v>28.716919690886634</v>
      </c>
      <c r="O296" s="2715">
        <f t="shared" si="91"/>
        <v>30.516871530886636</v>
      </c>
      <c r="P296" s="1946"/>
    </row>
    <row r="297" spans="1:16" ht="15.75" hidden="1">
      <c r="B297" s="316"/>
      <c r="C297" s="413"/>
      <c r="D297" s="414"/>
      <c r="E297" s="414"/>
      <c r="F297" s="2714"/>
      <c r="G297" s="2713"/>
      <c r="H297" s="2713"/>
      <c r="I297" s="2713"/>
      <c r="J297" s="2713"/>
      <c r="K297" s="2713"/>
      <c r="L297" s="2713"/>
      <c r="M297" s="2713"/>
      <c r="N297" s="2713"/>
      <c r="O297" s="2713"/>
      <c r="P297" s="969"/>
    </row>
    <row r="298" spans="1:16" hidden="1">
      <c r="B298" s="239"/>
      <c r="C298" s="416" t="s">
        <v>1608</v>
      </c>
      <c r="D298" s="415"/>
      <c r="E298" s="104"/>
      <c r="F298" s="535"/>
      <c r="G298" s="535"/>
      <c r="H298" s="535"/>
      <c r="I298" s="535">
        <f>Unit.TWh</f>
        <v>1</v>
      </c>
      <c r="J298" s="535"/>
      <c r="K298" s="535"/>
      <c r="L298" s="535"/>
      <c r="M298" s="535"/>
      <c r="N298" s="535"/>
      <c r="O298" s="2710" t="str">
        <f>preferences.energyunits</f>
        <v>TWh</v>
      </c>
      <c r="P298" s="969"/>
    </row>
    <row r="299" spans="1:16" ht="5.25" hidden="1" customHeight="1">
      <c r="B299" s="239"/>
      <c r="C299" s="415"/>
      <c r="D299" s="415"/>
      <c r="E299" s="415"/>
      <c r="F299" s="535"/>
      <c r="G299" s="535"/>
      <c r="H299" s="535"/>
      <c r="I299" s="535"/>
      <c r="J299" s="535"/>
      <c r="K299" s="535"/>
      <c r="L299" s="535"/>
      <c r="M299" s="535"/>
      <c r="N299" s="535"/>
      <c r="O299" s="535"/>
      <c r="P299" s="969"/>
    </row>
    <row r="300" spans="1:16" ht="15.75" hidden="1">
      <c r="B300" s="316"/>
      <c r="C300" s="61" t="s">
        <v>411</v>
      </c>
      <c r="D300" s="61" t="s">
        <v>66</v>
      </c>
      <c r="E300" s="61" t="s">
        <v>156</v>
      </c>
      <c r="F300" s="2711">
        <v>2007</v>
      </c>
      <c r="G300" s="2712">
        <f t="shared" ref="G300:O300" si="92">F300+5</f>
        <v>2012</v>
      </c>
      <c r="H300" s="2712">
        <f t="shared" si="92"/>
        <v>2017</v>
      </c>
      <c r="I300" s="2712">
        <f t="shared" si="92"/>
        <v>2022</v>
      </c>
      <c r="J300" s="2712">
        <f t="shared" si="92"/>
        <v>2027</v>
      </c>
      <c r="K300" s="2712">
        <f t="shared" si="92"/>
        <v>2032</v>
      </c>
      <c r="L300" s="2712">
        <f t="shared" si="92"/>
        <v>2037</v>
      </c>
      <c r="M300" s="2712">
        <f t="shared" si="92"/>
        <v>2042</v>
      </c>
      <c r="N300" s="2712">
        <f t="shared" si="92"/>
        <v>2047</v>
      </c>
      <c r="O300" s="2712">
        <f t="shared" si="92"/>
        <v>2052</v>
      </c>
      <c r="P300" s="969"/>
    </row>
    <row r="301" spans="1:16" ht="15.75" hidden="1">
      <c r="B301" s="316"/>
      <c r="C301" s="413">
        <v>1</v>
      </c>
      <c r="D301" s="414" t="s">
        <v>1628</v>
      </c>
      <c r="E301" s="218"/>
      <c r="F301" s="535">
        <f>0.586352420019627*(Unit.Mtoe)</f>
        <v>6.8192786448282616</v>
      </c>
      <c r="G301" s="535">
        <f>0.7418334456*(Unit.Mtoe)</f>
        <v>8.6275229723280003</v>
      </c>
      <c r="H301" s="535">
        <f>0.8221008329*(Unit.Mtoe)</f>
        <v>9.5610326866270015</v>
      </c>
      <c r="I301" s="535">
        <f>0.9404134957*(Unit.Mtoe)</f>
        <v>10.937008954991001</v>
      </c>
      <c r="J301" s="535">
        <f>1.0558086899*(Unit.Mtoe)</f>
        <v>12.279055063537003</v>
      </c>
      <c r="K301" s="535">
        <f>1.1685967845*(Unit.Mtoe)</f>
        <v>13.590780603735002</v>
      </c>
      <c r="L301" s="535">
        <f>1.2799261448*(Unit.Mtoe)</f>
        <v>14.885541064024002</v>
      </c>
      <c r="M301" s="535">
        <f>1.3717022581*(Unit.Mtoe)</f>
        <v>15.952897261703001</v>
      </c>
      <c r="N301" s="535">
        <f>1.4585435043*(Unit.Mtoe)</f>
        <v>16.962860955008999</v>
      </c>
      <c r="O301" s="535">
        <f>1.5451054184*(Unit.Mtoe)</f>
        <v>17.969576015992001</v>
      </c>
      <c r="P301" s="969"/>
    </row>
    <row r="302" spans="1:16" ht="15.75" hidden="1">
      <c r="B302" s="316"/>
      <c r="C302" s="413">
        <v>2</v>
      </c>
      <c r="D302" s="414" t="s">
        <v>811</v>
      </c>
      <c r="E302" s="218"/>
      <c r="F302" s="535">
        <f>0.586352420019627*(Unit.Mtoe)</f>
        <v>6.8192786448282616</v>
      </c>
      <c r="G302" s="535">
        <f>0.7418334456*(Unit.Mtoe)</f>
        <v>8.6275229723280003</v>
      </c>
      <c r="H302" s="535">
        <f>0.725462819534114*(Unit.Mtoe)</f>
        <v>8.4371325911817454</v>
      </c>
      <c r="I302" s="535">
        <f>0.733578973466068*(Unit.Mtoe)</f>
        <v>8.5315234614103712</v>
      </c>
      <c r="J302" s="535">
        <f>0.778236788073702*(Unit.Mtoe)</f>
        <v>9.0508938452971552</v>
      </c>
      <c r="K302" s="535">
        <f>0.859694078330054*(Unit.Mtoe)</f>
        <v>9.9982421309785288</v>
      </c>
      <c r="L302" s="535">
        <f>0.939793456236487*(Unit.Mtoe)</f>
        <v>10.929797896030346</v>
      </c>
      <c r="M302" s="535">
        <f>1.00529386102171*(Unit.Mtoe)</f>
        <v>11.691567603682488</v>
      </c>
      <c r="N302" s="535">
        <f>1.06696586296358*(Unit.Mtoe)</f>
        <v>12.408812986266437</v>
      </c>
      <c r="O302" s="535">
        <f>1.12823079602114*(Unit.Mtoe)</f>
        <v>13.121324157725859</v>
      </c>
      <c r="P302" s="969"/>
    </row>
    <row r="303" spans="1:16" ht="15.75" hidden="1">
      <c r="B303" s="316"/>
      <c r="C303" s="413">
        <v>3</v>
      </c>
      <c r="D303" s="414" t="s">
        <v>1018</v>
      </c>
      <c r="E303" s="218"/>
      <c r="F303" s="535">
        <f>0.586352420019627*(Unit.Mtoe)</f>
        <v>6.8192786448282616</v>
      </c>
      <c r="G303" s="535">
        <f>0.7014334456*(Unit.Mtoe)</f>
        <v>8.1576709723280008</v>
      </c>
      <c r="H303" s="535">
        <f>0.723855718860431*(Unit.Mtoe)</f>
        <v>8.4184420103468121</v>
      </c>
      <c r="I303" s="535">
        <f>0.729128393098628*(Unit.Mtoe)</f>
        <v>8.4797632117370441</v>
      </c>
      <c r="J303" s="535">
        <f>0.72086293948963*(Unit.Mtoe)</f>
        <v>8.3836359862643981</v>
      </c>
      <c r="K303" s="535">
        <f>0.702594541246806*(Unit.Mtoe)</f>
        <v>8.1711745147003541</v>
      </c>
      <c r="L303" s="535">
        <f>0.677562647193796*(Unit.Mtoe)</f>
        <v>7.8800535868638484</v>
      </c>
      <c r="M303" s="535">
        <f>0.639233974858916*(Unit.Mtoe)</f>
        <v>7.4342911276091934</v>
      </c>
      <c r="N303" s="535">
        <f>0.598149058923578*(Unit.Mtoe)</f>
        <v>6.956473555281212</v>
      </c>
      <c r="O303" s="535">
        <f>0.557352488478076*(Unit.Mtoe)</f>
        <v>6.4820094410000237</v>
      </c>
      <c r="P303" s="969"/>
    </row>
    <row r="304" spans="1:16" ht="15.75" hidden="1">
      <c r="B304" s="316"/>
      <c r="C304" s="411">
        <v>4</v>
      </c>
      <c r="D304" s="414" t="s">
        <v>1019</v>
      </c>
      <c r="E304" s="414"/>
      <c r="F304" s="535">
        <f>0.586352420019627*(Unit.Mtoe)</f>
        <v>6.8192786448282616</v>
      </c>
      <c r="G304" s="535">
        <f>0.699385126347359*(Unit.Mtoe)</f>
        <v>8.1338490194197863</v>
      </c>
      <c r="H304" s="535">
        <f>0.720346882389557*(Unit.Mtoe)</f>
        <v>8.377634242190549</v>
      </c>
      <c r="I304" s="535">
        <f>0.72155843149713*(Unit.Mtoe)</f>
        <v>8.3917245583116227</v>
      </c>
      <c r="J304" s="535">
        <f>0.708887868443171*(Unit.Mtoe)</f>
        <v>8.2443659099940785</v>
      </c>
      <c r="K304" s="535">
        <f>0.686055536892581*(Unit.Mtoe)</f>
        <v>7.9788258940607175</v>
      </c>
      <c r="L304" s="535">
        <f>0.656448113574915*(Unit.Mtoe)</f>
        <v>7.6344915608762616</v>
      </c>
      <c r="M304" s="535">
        <f>0.618149252591514*(Unit.Mtoe)</f>
        <v>7.1890758076393082</v>
      </c>
      <c r="N304" s="535">
        <f>0.576715658214997*(Unit.Mtoe)</f>
        <v>6.7072031050404162</v>
      </c>
      <c r="O304" s="535">
        <f>0.53507699270246*(Unit.Mtoe)</f>
        <v>6.2229454251296099</v>
      </c>
      <c r="P304" s="969"/>
    </row>
    <row r="305" spans="1:17" s="241" customFormat="1" ht="15.75" hidden="1">
      <c r="A305" s="539"/>
      <c r="B305" s="316"/>
      <c r="C305" s="111"/>
      <c r="D305" s="816" t="s">
        <v>406</v>
      </c>
      <c r="E305" s="2666"/>
      <c r="F305" s="2715">
        <f t="shared" ref="F305:O305" si="93">(INDEX(F$301:F$304,ROUNDDOWN($E$8,0))*(1-MOD($E$8,1)))+(INDEX(F$301:F$304,ROUNDUP($E$8,0))*MOD($E$8,1))</f>
        <v>6.8192786448282616</v>
      </c>
      <c r="G305" s="2715">
        <f t="shared" si="93"/>
        <v>8.6275229723280003</v>
      </c>
      <c r="H305" s="2715">
        <f t="shared" si="93"/>
        <v>9.5610326866270015</v>
      </c>
      <c r="I305" s="2715">
        <f t="shared" si="93"/>
        <v>10.937008954991001</v>
      </c>
      <c r="J305" s="2715">
        <f t="shared" si="93"/>
        <v>12.279055063537003</v>
      </c>
      <c r="K305" s="2715">
        <f t="shared" si="93"/>
        <v>13.590780603735002</v>
      </c>
      <c r="L305" s="2715">
        <f t="shared" si="93"/>
        <v>14.885541064024002</v>
      </c>
      <c r="M305" s="2715">
        <f t="shared" si="93"/>
        <v>15.952897261703001</v>
      </c>
      <c r="N305" s="2715">
        <f t="shared" si="93"/>
        <v>16.962860955008999</v>
      </c>
      <c r="O305" s="2715">
        <f t="shared" si="93"/>
        <v>17.969576015992001</v>
      </c>
      <c r="P305" s="1946"/>
    </row>
    <row r="306" spans="1:17" hidden="1">
      <c r="A306" s="539">
        <f>5.67*10^12*Unit.calorie</f>
        <v>6.5898000000000007E-3</v>
      </c>
      <c r="B306" s="239"/>
      <c r="C306" s="413"/>
      <c r="D306" s="414"/>
      <c r="E306" s="414"/>
      <c r="F306" s="2708"/>
      <c r="G306" s="2713"/>
      <c r="H306" s="2713"/>
      <c r="I306" s="2713"/>
      <c r="J306" s="2713"/>
      <c r="K306" s="2713"/>
      <c r="L306" s="2713"/>
      <c r="M306" s="2713"/>
      <c r="N306" s="2713"/>
      <c r="O306" s="2713"/>
      <c r="P306" s="969"/>
    </row>
    <row r="307" spans="1:17" hidden="1">
      <c r="B307" s="239"/>
      <c r="C307" s="416" t="s">
        <v>1609</v>
      </c>
      <c r="D307" s="415"/>
      <c r="E307" s="104"/>
      <c r="F307" s="535"/>
      <c r="G307" s="535"/>
      <c r="H307" s="535"/>
      <c r="I307" s="535"/>
      <c r="J307" s="535"/>
      <c r="K307" s="535"/>
      <c r="L307" s="535"/>
      <c r="M307" s="535"/>
      <c r="N307" s="535"/>
      <c r="O307" s="2710" t="str">
        <f>preferences.energyunits</f>
        <v>TWh</v>
      </c>
      <c r="P307" s="969"/>
    </row>
    <row r="308" spans="1:17" ht="5.25" hidden="1" customHeight="1">
      <c r="B308" s="239"/>
      <c r="C308" s="415"/>
      <c r="D308" s="415"/>
      <c r="E308" s="415"/>
      <c r="F308" s="535"/>
      <c r="G308" s="535"/>
      <c r="H308" s="535"/>
      <c r="I308" s="535"/>
      <c r="J308" s="535"/>
      <c r="K308" s="535"/>
      <c r="L308" s="535"/>
      <c r="M308" s="535"/>
      <c r="N308" s="535"/>
      <c r="O308" s="535"/>
      <c r="P308" s="969"/>
    </row>
    <row r="309" spans="1:17" ht="15.75" hidden="1">
      <c r="B309" s="316"/>
      <c r="C309" s="61" t="s">
        <v>411</v>
      </c>
      <c r="D309" s="61" t="s">
        <v>66</v>
      </c>
      <c r="E309" s="61" t="s">
        <v>156</v>
      </c>
      <c r="F309" s="2711">
        <v>2007</v>
      </c>
      <c r="G309" s="2712">
        <f t="shared" ref="G309:O309" si="94">F309+5</f>
        <v>2012</v>
      </c>
      <c r="H309" s="2712">
        <f t="shared" si="94"/>
        <v>2017</v>
      </c>
      <c r="I309" s="2712">
        <f t="shared" si="94"/>
        <v>2022</v>
      </c>
      <c r="J309" s="2712">
        <f t="shared" si="94"/>
        <v>2027</v>
      </c>
      <c r="K309" s="2712">
        <f t="shared" si="94"/>
        <v>2032</v>
      </c>
      <c r="L309" s="2712">
        <f t="shared" si="94"/>
        <v>2037</v>
      </c>
      <c r="M309" s="2712">
        <f t="shared" si="94"/>
        <v>2042</v>
      </c>
      <c r="N309" s="2712">
        <f t="shared" si="94"/>
        <v>2047</v>
      </c>
      <c r="O309" s="2712">
        <f t="shared" si="94"/>
        <v>2052</v>
      </c>
      <c r="P309" s="969"/>
    </row>
    <row r="310" spans="1:17" ht="15.75" hidden="1">
      <c r="B310" s="316"/>
      <c r="C310" s="413">
        <v>1</v>
      </c>
      <c r="D310" s="414" t="s">
        <v>1628</v>
      </c>
      <c r="E310" s="218"/>
      <c r="F310" s="2716">
        <f>SUM(F247,F256,F265,F274,F283,F292,F301)</f>
        <v>687.25954056115302</v>
      </c>
      <c r="G310" s="2716">
        <f t="shared" ref="G310:O310" si="95">SUM(G247,G256,G265,G274,G283,G292,G301)</f>
        <v>1060.423739608965</v>
      </c>
      <c r="H310" s="2716">
        <f t="shared" si="95"/>
        <v>1519.136240681928</v>
      </c>
      <c r="I310" s="2716">
        <f t="shared" si="95"/>
        <v>2291.6538067780266</v>
      </c>
      <c r="J310" s="2716">
        <f t="shared" si="95"/>
        <v>3179.6537197816206</v>
      </c>
      <c r="K310" s="2716">
        <f t="shared" si="95"/>
        <v>4173.1358984922672</v>
      </c>
      <c r="L310" s="2716">
        <f t="shared" si="95"/>
        <v>5157.6104944958279</v>
      </c>
      <c r="M310" s="2716">
        <f t="shared" si="95"/>
        <v>6026.1650978791222</v>
      </c>
      <c r="N310" s="2716">
        <f t="shared" si="95"/>
        <v>6737.4892925612585</v>
      </c>
      <c r="O310" s="2716">
        <f t="shared" si="95"/>
        <v>7431.7908393913722</v>
      </c>
      <c r="P310" s="969"/>
    </row>
    <row r="311" spans="1:17" ht="15.75" hidden="1">
      <c r="B311" s="316"/>
      <c r="C311" s="413">
        <v>2</v>
      </c>
      <c r="D311" s="414" t="s">
        <v>811</v>
      </c>
      <c r="E311" s="218"/>
      <c r="F311" s="2716">
        <f t="shared" ref="F311:O313" si="96">SUM(F248,F257,F266,F275,F284,F293,F302)</f>
        <v>687.25954056115302</v>
      </c>
      <c r="G311" s="2716">
        <f t="shared" si="96"/>
        <v>1060.423739608965</v>
      </c>
      <c r="H311" s="2716">
        <f t="shared" si="96"/>
        <v>1489.5468605157059</v>
      </c>
      <c r="I311" s="2716">
        <f t="shared" si="96"/>
        <v>2115.8448648761259</v>
      </c>
      <c r="J311" s="2716">
        <f t="shared" si="96"/>
        <v>2787.2385372673325</v>
      </c>
      <c r="K311" s="2716">
        <f t="shared" si="96"/>
        <v>3485.3689510170661</v>
      </c>
      <c r="L311" s="2716">
        <f t="shared" si="96"/>
        <v>4116.0004192680717</v>
      </c>
      <c r="M311" s="2716">
        <f t="shared" si="96"/>
        <v>4609.4350041678144</v>
      </c>
      <c r="N311" s="2716">
        <f t="shared" si="96"/>
        <v>4952.9976903102333</v>
      </c>
      <c r="O311" s="2716">
        <f t="shared" si="96"/>
        <v>5261.2316051016032</v>
      </c>
      <c r="P311" s="969"/>
    </row>
    <row r="312" spans="1:17" ht="15.75" hidden="1">
      <c r="B312" s="316"/>
      <c r="C312" s="413">
        <v>3</v>
      </c>
      <c r="D312" s="414" t="s">
        <v>1018</v>
      </c>
      <c r="E312" s="218"/>
      <c r="F312" s="2716">
        <f t="shared" si="96"/>
        <v>687.25954056115302</v>
      </c>
      <c r="G312" s="2716">
        <f t="shared" si="96"/>
        <v>1059.953887608965</v>
      </c>
      <c r="H312" s="2716">
        <f t="shared" si="96"/>
        <v>1484.2193105945837</v>
      </c>
      <c r="I312" s="2716">
        <f t="shared" si="96"/>
        <v>2094.6494684981176</v>
      </c>
      <c r="J312" s="2716">
        <f t="shared" si="96"/>
        <v>2738.9221845711913</v>
      </c>
      <c r="K312" s="2716">
        <f t="shared" si="96"/>
        <v>3397.2987529695906</v>
      </c>
      <c r="L312" s="2716">
        <f t="shared" si="96"/>
        <v>3975.6317541274343</v>
      </c>
      <c r="M312" s="2716">
        <f t="shared" si="96"/>
        <v>4406.8273776613005</v>
      </c>
      <c r="N312" s="2716">
        <f t="shared" si="96"/>
        <v>4681.8491928389476</v>
      </c>
      <c r="O312" s="2716">
        <f t="shared" si="96"/>
        <v>4910.9862076901254</v>
      </c>
      <c r="P312" s="969"/>
    </row>
    <row r="313" spans="1:17" ht="15.75" hidden="1">
      <c r="B313" s="316"/>
      <c r="C313" s="111">
        <v>4</v>
      </c>
      <c r="D313" s="414" t="s">
        <v>1019</v>
      </c>
      <c r="E313" s="112"/>
      <c r="F313" s="2717">
        <f t="shared" si="96"/>
        <v>687.25954056115302</v>
      </c>
      <c r="G313" s="2717">
        <f t="shared" si="96"/>
        <v>1060.3063122911894</v>
      </c>
      <c r="H313" s="2717">
        <f t="shared" si="96"/>
        <v>1469.6840864933322</v>
      </c>
      <c r="I313" s="2717">
        <f t="shared" si="96"/>
        <v>2051.7531239541927</v>
      </c>
      <c r="J313" s="2717">
        <f t="shared" si="96"/>
        <v>2651.389837205727</v>
      </c>
      <c r="K313" s="2717">
        <f t="shared" si="96"/>
        <v>3248.1237069319309</v>
      </c>
      <c r="L313" s="2717">
        <f t="shared" si="96"/>
        <v>3756.5419236420407</v>
      </c>
      <c r="M313" s="2717">
        <f t="shared" si="96"/>
        <v>4115.9733562557267</v>
      </c>
      <c r="N313" s="2717">
        <f t="shared" si="96"/>
        <v>4342.8411272541916</v>
      </c>
      <c r="O313" s="2717">
        <f t="shared" si="96"/>
        <v>4549.5197722122439</v>
      </c>
      <c r="P313" s="969"/>
    </row>
    <row r="314" spans="1:17" s="241" customFormat="1" ht="15.75" hidden="1">
      <c r="A314" s="539"/>
      <c r="B314" s="316"/>
      <c r="C314" s="111"/>
      <c r="D314" s="816" t="s">
        <v>406</v>
      </c>
      <c r="E314" s="112"/>
      <c r="F314" s="2717">
        <f t="shared" ref="F314:O314" si="97">(INDEX(F$310:F$313,ROUNDDOWN($E$8,0))*(1-MOD($E$8,1)))+(INDEX(F$310:F$313,ROUNDUP($E$8,0))*MOD($E$8,1))</f>
        <v>687.25954056115302</v>
      </c>
      <c r="G314" s="2717">
        <f t="shared" si="97"/>
        <v>1060.423739608965</v>
      </c>
      <c r="H314" s="2717">
        <f t="shared" si="97"/>
        <v>1519.136240681928</v>
      </c>
      <c r="I314" s="2717">
        <f t="shared" si="97"/>
        <v>2291.6538067780266</v>
      </c>
      <c r="J314" s="2717">
        <f t="shared" si="97"/>
        <v>3179.6537197816206</v>
      </c>
      <c r="K314" s="2717">
        <f t="shared" si="97"/>
        <v>4173.1358984922672</v>
      </c>
      <c r="L314" s="2717">
        <f t="shared" si="97"/>
        <v>5157.6104944958279</v>
      </c>
      <c r="M314" s="2717">
        <f t="shared" si="97"/>
        <v>6026.1650978791222</v>
      </c>
      <c r="N314" s="2717">
        <f t="shared" si="97"/>
        <v>6737.4892925612585</v>
      </c>
      <c r="O314" s="2717">
        <f t="shared" si="97"/>
        <v>7431.7908393913722</v>
      </c>
      <c r="P314" s="1946"/>
    </row>
    <row r="315" spans="1:17" s="539" customFormat="1" ht="15.75" hidden="1">
      <c r="B315" s="316"/>
      <c r="C315" s="413"/>
      <c r="D315" s="417"/>
      <c r="E315" s="414"/>
      <c r="F315" s="2716"/>
      <c r="G315" s="2716"/>
      <c r="H315" s="2716"/>
      <c r="I315" s="2716"/>
      <c r="J315" s="2716"/>
      <c r="K315" s="2716"/>
      <c r="L315" s="2716"/>
      <c r="M315" s="2716"/>
      <c r="N315" s="2716"/>
      <c r="O315" s="2716"/>
      <c r="P315" s="969"/>
    </row>
    <row r="316" spans="1:17" s="539" customFormat="1" ht="15.75" hidden="1">
      <c r="B316" s="316"/>
      <c r="C316" s="416" t="s">
        <v>1345</v>
      </c>
      <c r="D316" s="415"/>
      <c r="E316" s="104"/>
      <c r="F316" s="535">
        <f>Unit.Mtoe</f>
        <v>11.63</v>
      </c>
      <c r="G316" s="535"/>
      <c r="H316" s="535"/>
      <c r="I316" s="535"/>
      <c r="J316" s="535"/>
      <c r="K316" s="535"/>
      <c r="L316" s="535"/>
      <c r="M316" s="535"/>
      <c r="N316" s="535"/>
      <c r="O316" s="2710" t="str">
        <f>preferences.energyunits</f>
        <v>TWh</v>
      </c>
      <c r="P316" s="969"/>
    </row>
    <row r="317" spans="1:17" s="539" customFormat="1" ht="15.75" hidden="1">
      <c r="B317" s="316"/>
      <c r="C317" s="415"/>
      <c r="D317" s="415"/>
      <c r="E317" s="415"/>
      <c r="F317" s="535"/>
      <c r="G317" s="535"/>
      <c r="H317" s="535"/>
      <c r="I317" s="535"/>
      <c r="J317" s="535"/>
      <c r="K317" s="535"/>
      <c r="L317" s="535"/>
      <c r="M317" s="535"/>
      <c r="N317" s="535"/>
      <c r="O317" s="535"/>
      <c r="P317" s="969"/>
    </row>
    <row r="318" spans="1:17" s="539" customFormat="1" ht="15.75" hidden="1">
      <c r="B318" s="316"/>
      <c r="C318" s="61" t="s">
        <v>411</v>
      </c>
      <c r="D318" s="61" t="s">
        <v>66</v>
      </c>
      <c r="E318" s="61" t="s">
        <v>156</v>
      </c>
      <c r="F318" s="2711">
        <v>2007</v>
      </c>
      <c r="G318" s="2712">
        <f t="shared" ref="G318:O318" si="98">F318+5</f>
        <v>2012</v>
      </c>
      <c r="H318" s="2712">
        <f t="shared" si="98"/>
        <v>2017</v>
      </c>
      <c r="I318" s="2712">
        <f t="shared" si="98"/>
        <v>2022</v>
      </c>
      <c r="J318" s="2712">
        <f t="shared" si="98"/>
        <v>2027</v>
      </c>
      <c r="K318" s="2712">
        <f t="shared" si="98"/>
        <v>2032</v>
      </c>
      <c r="L318" s="2712">
        <f t="shared" si="98"/>
        <v>2037</v>
      </c>
      <c r="M318" s="2712">
        <f t="shared" si="98"/>
        <v>2042</v>
      </c>
      <c r="N318" s="2712">
        <f t="shared" si="98"/>
        <v>2047</v>
      </c>
      <c r="O318" s="2712">
        <f t="shared" si="98"/>
        <v>2052</v>
      </c>
      <c r="P318" s="969"/>
    </row>
    <row r="319" spans="1:17" s="539" customFormat="1" ht="15.75" hidden="1">
      <c r="B319" s="316"/>
      <c r="C319" s="413">
        <v>1</v>
      </c>
      <c r="D319" s="414" t="s">
        <v>1628</v>
      </c>
      <c r="E319" s="218"/>
      <c r="F319" s="535">
        <f>44.195230513095*(Unit.Mtoe)</f>
        <v>513.99053086729486</v>
      </c>
      <c r="G319" s="535">
        <f>60.6069996247745*(Unit.Mtoe)</f>
        <v>704.85940563612746</v>
      </c>
      <c r="H319" s="535">
        <f>74.8846516869797*(Unit.Mtoe)</f>
        <v>870.90849911957389</v>
      </c>
      <c r="I319" s="535">
        <f>92.1770507005948*(Unit.Mtoe)</f>
        <v>1072.0190996479178</v>
      </c>
      <c r="J319" s="535">
        <f>111.725070572608*(Unit.Mtoe)</f>
        <v>1299.3625707594313</v>
      </c>
      <c r="K319" s="535">
        <f>133.618685199834*(Unit.Mtoe)</f>
        <v>1553.9853088740697</v>
      </c>
      <c r="L319" s="535">
        <f>166.632475140494*(Unit.Mtoe)</f>
        <v>1937.9356858839453</v>
      </c>
      <c r="M319" s="535">
        <f>205.815353733202*(Unit.Mtoe)</f>
        <v>2393.6325639171391</v>
      </c>
      <c r="N319" s="535">
        <f>251.756371555862*(Unit.Mtoe)</f>
        <v>2927.9266011946752</v>
      </c>
      <c r="O319" s="535">
        <f>301.399316381341*(Unit.Mtoe)</f>
        <v>3505.274049514996</v>
      </c>
      <c r="P319" s="969"/>
      <c r="Q319" s="539">
        <f>N319/M319</f>
        <v>1.2232147261579585</v>
      </c>
    </row>
    <row r="320" spans="1:17" s="539" customFormat="1" ht="15.75" hidden="1">
      <c r="B320" s="316"/>
      <c r="C320" s="413">
        <v>2</v>
      </c>
      <c r="D320" s="414" t="s">
        <v>811</v>
      </c>
      <c r="E320" s="218"/>
      <c r="F320" s="535">
        <f>44.195230513095*(Unit.Mtoe)</f>
        <v>513.99053086729486</v>
      </c>
      <c r="G320" s="535">
        <f>60.6069996247745*(Unit.Mtoe)</f>
        <v>704.85940563612746</v>
      </c>
      <c r="H320" s="535">
        <f>73.9581651636951*(Unit.Mtoe)</f>
        <v>860.13346085377407</v>
      </c>
      <c r="I320" s="535">
        <f>89.9283869930802*(Unit.Mtoe)</f>
        <v>1045.8671407295228</v>
      </c>
      <c r="J320" s="535">
        <f>107.761992426468*(Unit.Mtoe)</f>
        <v>1253.2719719198228</v>
      </c>
      <c r="K320" s="535">
        <f>127.508706175473*(Unit.Mtoe)</f>
        <v>1482.926252820751</v>
      </c>
      <c r="L320" s="535">
        <f>156.968548295969*(Unit.Mtoe)</f>
        <v>1825.5442166821194</v>
      </c>
      <c r="M320" s="535">
        <f>191.483853768229*(Unit.Mtoe)</f>
        <v>2226.9572193245035</v>
      </c>
      <c r="N320" s="535">
        <f>231.452311352426*(Unit.Mtoe)</f>
        <v>2691.7903810287144</v>
      </c>
      <c r="O320" s="535">
        <f>274.130008171966*(Unit.Mtoe)</f>
        <v>3188.1319950399647</v>
      </c>
      <c r="P320" s="969"/>
      <c r="Q320" s="539">
        <f>N320/M320</f>
        <v>1.2087301712267322</v>
      </c>
    </row>
    <row r="321" spans="2:17" s="539" customFormat="1" ht="15.75" hidden="1">
      <c r="B321" s="316"/>
      <c r="C321" s="413">
        <v>3</v>
      </c>
      <c r="D321" s="414" t="s">
        <v>1018</v>
      </c>
      <c r="E321" s="218"/>
      <c r="F321" s="535">
        <f>44.195230513095*(Unit.Mtoe)</f>
        <v>513.99053086729486</v>
      </c>
      <c r="G321" s="535">
        <f>60.6069996247745*(Unit.Mtoe)</f>
        <v>704.85940563612746</v>
      </c>
      <c r="H321" s="535">
        <f>51.2987129550376*(Unit.Mtoe)</f>
        <v>596.60403166708738</v>
      </c>
      <c r="I321" s="535">
        <f>74.3514073548349*(Unit.Mtoe)</f>
        <v>864.70686753672999</v>
      </c>
      <c r="J321" s="535">
        <f>98.5005195747845*(Unit.Mtoe)</f>
        <v>1145.5610426547439</v>
      </c>
      <c r="K321" s="535">
        <f>123.665782023744*(Unit.Mtoe)</f>
        <v>1438.2330449361427</v>
      </c>
      <c r="L321" s="535">
        <f>150.946562835063*(Unit.Mtoe)</f>
        <v>1755.5085257717826</v>
      </c>
      <c r="M321" s="535">
        <f>174.4487805456*(Unit.Mtoe)</f>
        <v>2028.8393177453279</v>
      </c>
      <c r="N321" s="535">
        <f>193.419232644802*(Unit.Mtoe)</f>
        <v>2249.4656756590475</v>
      </c>
      <c r="O321" s="535">
        <f>211.432945590874*(Unit.Mtoe)</f>
        <v>2458.965157221865</v>
      </c>
      <c r="P321" s="969"/>
      <c r="Q321" s="539">
        <f>N321/M321</f>
        <v>1.108745111544321</v>
      </c>
    </row>
    <row r="322" spans="2:17" s="539" customFormat="1" ht="15.75" hidden="1">
      <c r="B322" s="316"/>
      <c r="C322" s="411">
        <v>4</v>
      </c>
      <c r="D322" s="414" t="s">
        <v>1019</v>
      </c>
      <c r="E322" s="414"/>
      <c r="F322" s="535">
        <f>44.195230513095*(Unit.Mtoe)</f>
        <v>513.99053086729486</v>
      </c>
      <c r="G322" s="535">
        <f>60.6069996247745*(Unit.Mtoe)</f>
        <v>704.85940563612746</v>
      </c>
      <c r="H322" s="535">
        <f>50.7124013359034*(Unit.Mtoe)</f>
        <v>589.78522753655659</v>
      </c>
      <c r="I322" s="535">
        <f>72.6814498475082*(Unit.Mtoe)</f>
        <v>845.2852617265205</v>
      </c>
      <c r="J322" s="535">
        <f>95.1268916257879*(Unit.Mtoe)</f>
        <v>1106.3257496079134</v>
      </c>
      <c r="K322" s="535">
        <f>118.429864117906*(Unit.Mtoe)</f>
        <v>1377.3393196912471</v>
      </c>
      <c r="L322" s="535">
        <f>143.386967946936*(Unit.Mtoe)</f>
        <v>1667.5904372228658</v>
      </c>
      <c r="M322" s="535">
        <f>164.581570102999*(Unit.Mtoe)</f>
        <v>1914.0836602978784</v>
      </c>
      <c r="N322" s="535">
        <f>182.17895661715*(Unit.Mtoe)</f>
        <v>2118.7412654574546</v>
      </c>
      <c r="O322" s="535">
        <f>200.526765543217*(Unit.Mtoe)</f>
        <v>2332.1262832676139</v>
      </c>
      <c r="P322" s="969"/>
      <c r="Q322" s="539">
        <f>N322/M322</f>
        <v>1.1069219749400747</v>
      </c>
    </row>
    <row r="323" spans="2:17" s="539" customFormat="1" ht="15.75" hidden="1">
      <c r="B323" s="316"/>
      <c r="C323" s="111"/>
      <c r="D323" s="2993" t="s">
        <v>406</v>
      </c>
      <c r="E323" s="2666"/>
      <c r="F323" s="2715">
        <f>(INDEX(F$319:F$322,ROUNDDOWN($E$8,0))*(1-MOD($E$8,1)))+(INDEX(F$319:F$322,ROUNDUP($E$8,0))*MOD($E$8,1))</f>
        <v>513.99053086729486</v>
      </c>
      <c r="G323" s="2715">
        <f t="shared" ref="G323:O323" si="99">(INDEX(G$319:G$322,ROUNDDOWN($E$8,0))*(1-MOD($E$8,1)))+(INDEX(G$319:G$322,ROUNDUP($E$8,0))*MOD($E$8,1))</f>
        <v>704.85940563612746</v>
      </c>
      <c r="H323" s="2715">
        <f t="shared" si="99"/>
        <v>870.90849911957389</v>
      </c>
      <c r="I323" s="2715">
        <f t="shared" si="99"/>
        <v>1072.0190996479178</v>
      </c>
      <c r="J323" s="2715">
        <f t="shared" si="99"/>
        <v>1299.3625707594313</v>
      </c>
      <c r="K323" s="2715">
        <f t="shared" si="99"/>
        <v>1553.9853088740697</v>
      </c>
      <c r="L323" s="2715">
        <f t="shared" si="99"/>
        <v>1937.9356858839453</v>
      </c>
      <c r="M323" s="2715">
        <f t="shared" si="99"/>
        <v>2393.6325639171391</v>
      </c>
      <c r="N323" s="2715">
        <f t="shared" si="99"/>
        <v>2927.9266011946752</v>
      </c>
      <c r="O323" s="2715">
        <f t="shared" si="99"/>
        <v>3505.274049514996</v>
      </c>
      <c r="P323" s="969"/>
    </row>
    <row r="324" spans="2:17" s="539" customFormat="1" ht="15.75" hidden="1">
      <c r="B324" s="316"/>
      <c r="C324" s="413"/>
      <c r="D324" s="417"/>
      <c r="E324" s="414"/>
      <c r="F324" s="2714"/>
      <c r="G324" s="2714"/>
      <c r="H324" s="2714"/>
      <c r="I324" s="2714"/>
      <c r="J324" s="2714"/>
      <c r="K324" s="2714"/>
      <c r="L324" s="2714"/>
      <c r="M324" s="2714"/>
      <c r="N324" s="2714"/>
      <c r="O324" s="2714"/>
      <c r="P324" s="969"/>
    </row>
    <row r="325" spans="2:17" s="539" customFormat="1" ht="15.75" hidden="1">
      <c r="B325" s="316"/>
      <c r="C325" s="413"/>
      <c r="D325" s="417"/>
      <c r="E325" s="414"/>
      <c r="F325" s="2714"/>
      <c r="G325" s="2714"/>
      <c r="H325" s="2714"/>
      <c r="I325" s="2714"/>
      <c r="J325" s="2714"/>
      <c r="K325" s="2714"/>
      <c r="L325" s="2714"/>
      <c r="M325" s="2714"/>
      <c r="N325" s="2714"/>
      <c r="O325" s="2714"/>
      <c r="P325" s="969"/>
    </row>
    <row r="326" spans="2:17" s="539" customFormat="1" ht="15.75" hidden="1">
      <c r="B326" s="316"/>
      <c r="C326" s="413"/>
      <c r="D326" s="417"/>
      <c r="E326" s="414"/>
      <c r="F326" s="2714"/>
      <c r="G326" s="2714"/>
      <c r="H326" s="2714"/>
      <c r="I326" s="2714"/>
      <c r="J326" s="2714"/>
      <c r="K326" s="2714"/>
      <c r="L326" s="2714"/>
      <c r="M326" s="2714"/>
      <c r="N326" s="2714"/>
      <c r="O326" s="2714"/>
      <c r="P326" s="969"/>
    </row>
    <row r="327" spans="2:17" s="539" customFormat="1" ht="15.75" hidden="1">
      <c r="B327" s="316"/>
      <c r="C327" s="413"/>
      <c r="D327" s="417"/>
      <c r="E327" s="414"/>
      <c r="F327" s="2714"/>
      <c r="G327" s="2714"/>
      <c r="H327" s="2714"/>
      <c r="I327" s="2714"/>
      <c r="J327" s="2714"/>
      <c r="K327" s="2714"/>
      <c r="L327" s="2714"/>
      <c r="M327" s="2714"/>
      <c r="N327" s="2714"/>
      <c r="O327" s="2714"/>
      <c r="P327" s="969"/>
    </row>
    <row r="328" spans="2:17" s="539" customFormat="1" ht="15.75" hidden="1">
      <c r="B328" s="316"/>
      <c r="C328" s="413"/>
      <c r="D328" s="417"/>
      <c r="E328" s="414"/>
      <c r="F328" s="2714"/>
      <c r="G328" s="2714"/>
      <c r="H328" s="2714"/>
      <c r="I328" s="2714"/>
      <c r="J328" s="2714"/>
      <c r="K328" s="2714"/>
      <c r="L328" s="2714"/>
      <c r="M328" s="2714"/>
      <c r="N328" s="2714"/>
      <c r="O328" s="2714"/>
      <c r="P328" s="969"/>
    </row>
    <row r="329" spans="2:17" s="539" customFormat="1" ht="15.75" hidden="1">
      <c r="B329" s="316"/>
      <c r="C329" s="413"/>
      <c r="D329" s="135"/>
      <c r="E329" s="414"/>
      <c r="F329" s="2716"/>
      <c r="G329" s="2716"/>
      <c r="H329" s="2716"/>
      <c r="I329" s="2716"/>
      <c r="J329" s="2716"/>
      <c r="K329" s="2716"/>
      <c r="L329" s="2716"/>
      <c r="M329" s="2716"/>
      <c r="N329" s="2716"/>
      <c r="O329" s="2716"/>
      <c r="P329" s="969"/>
    </row>
    <row r="330" spans="2:17" s="539" customFormat="1" ht="15.75" hidden="1">
      <c r="B330" s="316"/>
      <c r="C330" s="413"/>
      <c r="D330" s="135"/>
      <c r="E330" s="414"/>
      <c r="F330" s="2716"/>
      <c r="G330" s="2716"/>
      <c r="H330" s="2716"/>
      <c r="I330" s="2716"/>
      <c r="J330" s="2716"/>
      <c r="K330" s="2716"/>
      <c r="L330" s="2716"/>
      <c r="M330" s="2716"/>
      <c r="N330" s="2716"/>
      <c r="O330" s="2716"/>
      <c r="P330" s="969"/>
    </row>
    <row r="331" spans="2:17" s="539" customFormat="1" ht="15.75" hidden="1">
      <c r="B331" s="316"/>
      <c r="C331" s="416" t="s">
        <v>1611</v>
      </c>
      <c r="D331" s="415"/>
      <c r="E331" s="104"/>
      <c r="F331" s="535"/>
      <c r="G331" s="535"/>
      <c r="H331" s="535"/>
      <c r="I331" s="535"/>
      <c r="J331" s="535"/>
      <c r="K331" s="535"/>
      <c r="L331" s="535"/>
      <c r="M331" s="535"/>
      <c r="N331" s="535"/>
      <c r="O331" s="2710"/>
      <c r="P331" s="969"/>
    </row>
    <row r="332" spans="2:17" s="539" customFormat="1" ht="15.75" hidden="1">
      <c r="B332" s="316"/>
      <c r="C332" s="415"/>
      <c r="D332" s="415"/>
      <c r="E332" s="415"/>
      <c r="F332" s="535"/>
      <c r="G332" s="535"/>
      <c r="H332" s="535"/>
      <c r="I332" s="535"/>
      <c r="J332" s="535"/>
      <c r="K332" s="535"/>
      <c r="L332" s="535"/>
      <c r="M332" s="535"/>
      <c r="N332" s="535"/>
      <c r="O332" s="535"/>
      <c r="P332" s="969"/>
    </row>
    <row r="333" spans="2:17" s="539" customFormat="1" ht="15.75" hidden="1">
      <c r="B333" s="316"/>
      <c r="C333" s="61" t="s">
        <v>411</v>
      </c>
      <c r="D333" s="61" t="s">
        <v>66</v>
      </c>
      <c r="E333" s="61" t="s">
        <v>156</v>
      </c>
      <c r="F333" s="2711">
        <v>2007</v>
      </c>
      <c r="G333" s="2712">
        <f t="shared" ref="G333:O333" si="100">F333+5</f>
        <v>2012</v>
      </c>
      <c r="H333" s="2712">
        <f t="shared" si="100"/>
        <v>2017</v>
      </c>
      <c r="I333" s="2712">
        <f t="shared" si="100"/>
        <v>2022</v>
      </c>
      <c r="J333" s="2712">
        <f t="shared" si="100"/>
        <v>2027</v>
      </c>
      <c r="K333" s="2712">
        <f t="shared" si="100"/>
        <v>2032</v>
      </c>
      <c r="L333" s="2712">
        <f t="shared" si="100"/>
        <v>2037</v>
      </c>
      <c r="M333" s="2712">
        <f t="shared" si="100"/>
        <v>2042</v>
      </c>
      <c r="N333" s="2712">
        <f t="shared" si="100"/>
        <v>2047</v>
      </c>
      <c r="O333" s="2712">
        <f t="shared" si="100"/>
        <v>2052</v>
      </c>
      <c r="P333" s="969"/>
    </row>
    <row r="334" spans="2:17" s="539" customFormat="1" ht="15.75" hidden="1">
      <c r="B334" s="316"/>
      <c r="C334" s="413">
        <v>1</v>
      </c>
      <c r="D334" s="414" t="s">
        <v>1628</v>
      </c>
      <c r="E334" s="218"/>
      <c r="F334" s="2716">
        <f t="shared" ref="F334:O334" si="101">F310+F319+F$401</f>
        <v>1454.6045653962983</v>
      </c>
      <c r="G334" s="2716">
        <f t="shared" si="101"/>
        <v>2058.6360501200925</v>
      </c>
      <c r="H334" s="2716">
        <f t="shared" si="101"/>
        <v>2916.7216164677843</v>
      </c>
      <c r="I334" s="2716">
        <f t="shared" si="101"/>
        <v>3965.6677437941389</v>
      </c>
      <c r="J334" s="2716">
        <f t="shared" si="101"/>
        <v>5128.4377646972107</v>
      </c>
      <c r="K334" s="2716">
        <f t="shared" si="101"/>
        <v>6426.6421417757902</v>
      </c>
      <c r="L334" s="2716">
        <f t="shared" si="101"/>
        <v>7844.8235868865349</v>
      </c>
      <c r="M334" s="2716">
        <f t="shared" si="101"/>
        <v>9212.3685817951209</v>
      </c>
      <c r="N334" s="2716">
        <f t="shared" si="101"/>
        <v>10497.025198106994</v>
      </c>
      <c r="O334" s="2716">
        <f t="shared" si="101"/>
        <v>11807.217873397367</v>
      </c>
      <c r="P334" s="969"/>
    </row>
    <row r="335" spans="2:17" s="539" customFormat="1" ht="15.75" hidden="1">
      <c r="B335" s="316"/>
      <c r="C335" s="413">
        <v>2</v>
      </c>
      <c r="D335" s="414" t="s">
        <v>811</v>
      </c>
      <c r="E335" s="218"/>
      <c r="F335" s="2716">
        <f t="shared" ref="F335:O335" si="102">F311+F320+F$401</f>
        <v>1454.6045653962983</v>
      </c>
      <c r="G335" s="2716">
        <f t="shared" si="102"/>
        <v>2058.6360501200925</v>
      </c>
      <c r="H335" s="2716">
        <f t="shared" si="102"/>
        <v>2876.3571980357624</v>
      </c>
      <c r="I335" s="2716">
        <f t="shared" si="102"/>
        <v>3763.7068429738433</v>
      </c>
      <c r="J335" s="2716">
        <f t="shared" si="102"/>
        <v>4689.9319833433146</v>
      </c>
      <c r="K335" s="2716">
        <f t="shared" si="102"/>
        <v>5667.8161382472699</v>
      </c>
      <c r="L335" s="2716">
        <f t="shared" si="102"/>
        <v>6690.8220424569527</v>
      </c>
      <c r="M335" s="2716">
        <f t="shared" si="102"/>
        <v>7628.9631434911771</v>
      </c>
      <c r="N335" s="2716">
        <f t="shared" si="102"/>
        <v>8476.3973756900086</v>
      </c>
      <c r="O335" s="2716">
        <f t="shared" si="102"/>
        <v>9319.5165846325672</v>
      </c>
      <c r="P335" s="969"/>
    </row>
    <row r="336" spans="2:17" s="539" customFormat="1" ht="15.75" hidden="1">
      <c r="B336" s="316"/>
      <c r="C336" s="413">
        <v>3</v>
      </c>
      <c r="D336" s="414" t="s">
        <v>1018</v>
      </c>
      <c r="E336" s="218"/>
      <c r="F336" s="2716">
        <f t="shared" ref="F336:O336" si="103">F312+F321+F$401</f>
        <v>1454.6045653962983</v>
      </c>
      <c r="G336" s="2716">
        <f t="shared" si="103"/>
        <v>2058.1661981200928</v>
      </c>
      <c r="H336" s="2716">
        <f t="shared" si="103"/>
        <v>2607.5002189279535</v>
      </c>
      <c r="I336" s="2716">
        <f t="shared" si="103"/>
        <v>3561.3511734030421</v>
      </c>
      <c r="J336" s="2716">
        <f t="shared" si="103"/>
        <v>4533.9047013820946</v>
      </c>
      <c r="K336" s="2716">
        <f t="shared" si="103"/>
        <v>5535.0527323151864</v>
      </c>
      <c r="L336" s="2716">
        <f t="shared" si="103"/>
        <v>6480.4176864059782</v>
      </c>
      <c r="M336" s="2716">
        <f t="shared" si="103"/>
        <v>7228.2376154054891</v>
      </c>
      <c r="N336" s="2716">
        <f t="shared" si="103"/>
        <v>7762.9241728490551</v>
      </c>
      <c r="O336" s="2716">
        <f t="shared" si="103"/>
        <v>8240.1043494029891</v>
      </c>
      <c r="P336" s="969"/>
    </row>
    <row r="337" spans="1:19" s="539" customFormat="1" ht="15.75" hidden="1">
      <c r="B337" s="316"/>
      <c r="C337" s="411">
        <v>4</v>
      </c>
      <c r="D337" s="414" t="s">
        <v>1019</v>
      </c>
      <c r="E337" s="414"/>
      <c r="F337" s="2716">
        <f t="shared" ref="F337:O337" si="104">F313+F322+F$401</f>
        <v>1454.6045653962983</v>
      </c>
      <c r="G337" s="2716">
        <f t="shared" si="104"/>
        <v>2058.5186228023172</v>
      </c>
      <c r="H337" s="2716">
        <f t="shared" si="104"/>
        <v>2586.1461906961708</v>
      </c>
      <c r="I337" s="2716">
        <f t="shared" si="104"/>
        <v>3499.0332230489075</v>
      </c>
      <c r="J337" s="2716">
        <f t="shared" si="104"/>
        <v>4407.1370609697997</v>
      </c>
      <c r="K337" s="2716">
        <f t="shared" si="104"/>
        <v>5324.9839610326308</v>
      </c>
      <c r="L337" s="2716">
        <f t="shared" si="104"/>
        <v>6173.4097673716678</v>
      </c>
      <c r="M337" s="2716">
        <f t="shared" si="104"/>
        <v>6822.6279365524642</v>
      </c>
      <c r="N337" s="2716">
        <f t="shared" si="104"/>
        <v>7293.1916970627062</v>
      </c>
      <c r="O337" s="2716">
        <f t="shared" si="104"/>
        <v>7751.7990399708551</v>
      </c>
      <c r="P337" s="969"/>
    </row>
    <row r="338" spans="1:19" ht="15.75" hidden="1">
      <c r="B338" s="316"/>
      <c r="C338" s="111"/>
      <c r="D338" s="2993" t="s">
        <v>406</v>
      </c>
      <c r="E338" s="2666"/>
      <c r="F338" s="2715">
        <f>(INDEX(F$334:F$337,ROUNDDOWN($E$8,0))*(1-MOD($E$8,1)))+(INDEX(F$334:F$337,ROUNDUP($E$8,0))*MOD($E$8,1))</f>
        <v>1454.6045653962983</v>
      </c>
      <c r="G338" s="2715">
        <f t="shared" ref="G338:O338" si="105">(INDEX(G$334:G$337,ROUNDDOWN($E$8,0))*(1-MOD($E$8,1)))+(INDEX(G$334:G$337,ROUNDUP($E$8,0))*MOD($E$8,1))</f>
        <v>2058.6360501200925</v>
      </c>
      <c r="H338" s="2715">
        <f t="shared" si="105"/>
        <v>2916.7216164677843</v>
      </c>
      <c r="I338" s="2715">
        <f t="shared" si="105"/>
        <v>3965.6677437941389</v>
      </c>
      <c r="J338" s="2715">
        <f t="shared" si="105"/>
        <v>5128.4377646972107</v>
      </c>
      <c r="K338" s="2715">
        <f t="shared" si="105"/>
        <v>6426.6421417757902</v>
      </c>
      <c r="L338" s="2715">
        <f t="shared" si="105"/>
        <v>7844.8235868865349</v>
      </c>
      <c r="M338" s="2715">
        <f t="shared" si="105"/>
        <v>9212.3685817951209</v>
      </c>
      <c r="N338" s="2715">
        <f t="shared" si="105"/>
        <v>10497.025198106994</v>
      </c>
      <c r="O338" s="2715">
        <f t="shared" si="105"/>
        <v>11807.217873397367</v>
      </c>
      <c r="P338" s="969"/>
    </row>
    <row r="340" spans="1:19" s="51" customFormat="1" ht="22.5" collapsed="1">
      <c r="A340" s="1944"/>
      <c r="B340" s="1860" t="s">
        <v>900</v>
      </c>
      <c r="C340" s="159"/>
      <c r="D340" s="159"/>
      <c r="E340" s="159"/>
      <c r="F340" s="159"/>
      <c r="G340" s="159"/>
      <c r="H340" s="159"/>
      <c r="I340" s="159"/>
      <c r="J340" s="159"/>
      <c r="K340" s="159"/>
      <c r="L340" s="159"/>
      <c r="M340" s="159"/>
      <c r="N340" s="159"/>
      <c r="O340" s="159"/>
      <c r="P340" s="1945"/>
      <c r="R340" s="2959"/>
      <c r="S340" s="2959"/>
    </row>
    <row r="341" spans="1:19">
      <c r="B341" s="415"/>
      <c r="C341" s="415"/>
      <c r="D341" s="415"/>
      <c r="E341" s="415"/>
      <c r="F341" s="535"/>
      <c r="G341" s="415"/>
      <c r="H341" s="415"/>
      <c r="I341" s="415"/>
      <c r="J341" s="415"/>
      <c r="K341" s="415"/>
      <c r="L341" s="415"/>
      <c r="M341" s="415"/>
      <c r="N341" s="415"/>
      <c r="O341" s="415"/>
      <c r="P341" s="969"/>
    </row>
    <row r="342" spans="1:19">
      <c r="B342" s="415"/>
      <c r="C342" s="416" t="s">
        <v>2352</v>
      </c>
      <c r="D342" s="415"/>
      <c r="E342" s="415"/>
      <c r="F342" s="415"/>
      <c r="G342" s="415"/>
      <c r="H342" s="415"/>
      <c r="I342" s="415"/>
      <c r="J342" s="415"/>
      <c r="K342" s="415"/>
      <c r="L342" s="415"/>
      <c r="M342" s="415"/>
      <c r="N342" s="415"/>
      <c r="O342" s="415"/>
      <c r="P342" s="969"/>
    </row>
    <row r="343" spans="1:19">
      <c r="B343" s="415"/>
      <c r="C343" s="415"/>
      <c r="D343" s="415"/>
      <c r="E343" s="415"/>
      <c r="F343" s="415"/>
      <c r="G343" s="416" t="s">
        <v>1622</v>
      </c>
      <c r="H343" s="415"/>
      <c r="I343" s="415"/>
      <c r="J343" s="415"/>
      <c r="K343" s="415"/>
      <c r="L343" s="415"/>
      <c r="M343" s="415"/>
      <c r="N343" s="415"/>
      <c r="O343" s="415"/>
      <c r="P343" s="969"/>
    </row>
    <row r="344" spans="1:19">
      <c r="B344" s="415"/>
      <c r="C344" s="924" t="s">
        <v>64</v>
      </c>
      <c r="D344" s="924" t="s">
        <v>33</v>
      </c>
      <c r="E344" s="924" t="s">
        <v>156</v>
      </c>
      <c r="F344" s="1433">
        <v>2007</v>
      </c>
      <c r="G344" s="922">
        <f>F344+5</f>
        <v>2012</v>
      </c>
      <c r="H344" s="415"/>
      <c r="I344" s="415"/>
      <c r="J344" s="415"/>
      <c r="K344" s="415"/>
      <c r="L344" s="415"/>
      <c r="M344" s="415"/>
      <c r="N344" s="415"/>
      <c r="O344" s="415"/>
      <c r="P344" s="969"/>
    </row>
    <row r="345" spans="1:19" ht="14.25">
      <c r="B345" s="415"/>
      <c r="C345" s="413"/>
      <c r="D345" s="1964" t="s">
        <v>1602</v>
      </c>
      <c r="E345" s="218"/>
      <c r="F345" s="1967">
        <v>162</v>
      </c>
      <c r="G345" s="1967">
        <v>246.7</v>
      </c>
      <c r="H345" s="415"/>
      <c r="I345" s="415"/>
      <c r="J345" s="415"/>
      <c r="K345" s="415"/>
      <c r="L345" s="415"/>
      <c r="M345" s="415"/>
      <c r="N345" s="415"/>
      <c r="O345" s="415"/>
      <c r="P345" s="969"/>
    </row>
    <row r="346" spans="1:19" ht="14.25">
      <c r="B346" s="415"/>
      <c r="C346" s="413"/>
      <c r="D346" s="1964" t="s">
        <v>1623</v>
      </c>
      <c r="E346" s="218"/>
      <c r="F346" s="1967">
        <v>11.3324</v>
      </c>
      <c r="G346" s="1967">
        <v>12.156599999999999</v>
      </c>
      <c r="H346" s="415"/>
      <c r="I346" s="415"/>
      <c r="J346" s="415"/>
      <c r="K346" s="415"/>
      <c r="L346" s="415"/>
      <c r="M346" s="415"/>
      <c r="N346" s="415"/>
      <c r="O346" s="415"/>
      <c r="P346" s="969"/>
    </row>
    <row r="347" spans="1:19" ht="14.25">
      <c r="B347" s="415"/>
      <c r="C347" s="413"/>
      <c r="D347" s="1964" t="s">
        <v>1604</v>
      </c>
      <c r="E347" s="218"/>
      <c r="F347" s="1967">
        <v>1.117</v>
      </c>
      <c r="G347" s="1967">
        <v>1.5798000000000001</v>
      </c>
      <c r="H347" s="415"/>
      <c r="I347" s="415"/>
      <c r="J347" s="415"/>
      <c r="K347" s="415"/>
      <c r="L347" s="415"/>
      <c r="M347" s="415"/>
      <c r="N347" s="415"/>
      <c r="O347" s="415"/>
      <c r="P347" s="969"/>
    </row>
    <row r="348" spans="1:19" ht="14.25">
      <c r="B348" s="415"/>
      <c r="C348" s="413"/>
      <c r="D348" s="1964" t="s">
        <v>1624</v>
      </c>
      <c r="E348" s="218"/>
      <c r="F348" s="1967">
        <v>44.7682</v>
      </c>
      <c r="G348" s="1967">
        <v>79.855599999999995</v>
      </c>
      <c r="H348" s="415"/>
      <c r="I348" s="415"/>
      <c r="J348" s="415"/>
      <c r="K348" s="415"/>
      <c r="L348" s="415"/>
      <c r="M348" s="415"/>
      <c r="N348" s="415"/>
      <c r="O348" s="415"/>
      <c r="P348" s="969"/>
    </row>
    <row r="349" spans="1:19" ht="14.25">
      <c r="B349" s="415"/>
      <c r="C349" s="413"/>
      <c r="D349" s="1965" t="s">
        <v>1625</v>
      </c>
      <c r="E349" s="414"/>
      <c r="F349" s="1968">
        <v>6.1280000000000001</v>
      </c>
      <c r="G349" s="1968">
        <v>10.9</v>
      </c>
      <c r="H349" s="415"/>
      <c r="I349" s="415"/>
      <c r="J349" s="415"/>
      <c r="K349" s="415"/>
      <c r="L349" s="415"/>
      <c r="M349" s="415"/>
      <c r="N349" s="415"/>
      <c r="O349" s="415"/>
      <c r="P349" s="969"/>
    </row>
    <row r="350" spans="1:19" ht="14.25">
      <c r="B350" s="415"/>
      <c r="C350" s="126"/>
      <c r="D350" s="1965" t="s">
        <v>1607</v>
      </c>
      <c r="E350" s="218"/>
      <c r="F350" s="926">
        <v>2.8239999999999998</v>
      </c>
      <c r="G350" s="926">
        <v>3.1004999999999998</v>
      </c>
      <c r="H350" s="415"/>
      <c r="I350" s="415"/>
      <c r="J350" s="415"/>
      <c r="K350" s="415"/>
      <c r="L350" s="415"/>
      <c r="M350" s="415"/>
      <c r="N350" s="415"/>
      <c r="O350" s="415"/>
      <c r="P350" s="969"/>
    </row>
    <row r="351" spans="1:19" ht="14.25">
      <c r="B351" s="415"/>
      <c r="C351" s="415"/>
      <c r="D351" s="1966" t="s">
        <v>1608</v>
      </c>
      <c r="E351" s="415"/>
      <c r="F351" s="535">
        <v>1.881</v>
      </c>
      <c r="G351" s="535">
        <v>2.2624</v>
      </c>
      <c r="H351" s="415"/>
      <c r="I351" s="415"/>
      <c r="J351" s="415"/>
      <c r="K351" s="415"/>
      <c r="L351" s="415"/>
      <c r="M351" s="415"/>
      <c r="N351" s="415"/>
      <c r="O351" s="415"/>
      <c r="P351" s="969"/>
    </row>
    <row r="352" spans="1:19" ht="14.25">
      <c r="B352" s="415"/>
      <c r="C352" s="817"/>
      <c r="D352" s="3003" t="s">
        <v>1345</v>
      </c>
      <c r="E352" s="1361"/>
      <c r="F352" s="442">
        <f>2210.3788*INRm</f>
        <v>220.15372847999998</v>
      </c>
      <c r="G352" s="3004">
        <f>5920.6066*INRm</f>
        <v>589.69241735999992</v>
      </c>
      <c r="H352" s="415"/>
      <c r="I352" s="415"/>
      <c r="J352" s="415"/>
      <c r="K352" s="415"/>
      <c r="L352" s="415"/>
      <c r="M352" s="415"/>
      <c r="N352" s="415"/>
      <c r="O352" s="415"/>
      <c r="P352" s="969"/>
    </row>
    <row r="353" spans="2:16" ht="15.75">
      <c r="B353" s="415"/>
      <c r="C353" s="1947"/>
      <c r="D353" s="415"/>
      <c r="E353" s="415"/>
      <c r="F353" s="415"/>
      <c r="G353" s="415"/>
      <c r="H353" s="415"/>
      <c r="I353" s="415"/>
      <c r="J353" s="415"/>
      <c r="K353" s="415"/>
      <c r="L353" s="415"/>
      <c r="M353" s="415"/>
      <c r="N353" s="415"/>
      <c r="O353" s="415"/>
      <c r="P353" s="969"/>
    </row>
    <row r="354" spans="2:16">
      <c r="B354" s="415"/>
      <c r="C354" s="416" t="s">
        <v>2353</v>
      </c>
      <c r="D354" s="415"/>
      <c r="E354" s="415"/>
      <c r="F354" s="415"/>
      <c r="G354" s="415"/>
      <c r="H354" s="415"/>
      <c r="I354" s="415"/>
      <c r="J354" s="415"/>
      <c r="K354" s="415"/>
      <c r="L354" s="415"/>
      <c r="M354" s="415"/>
      <c r="N354" s="415"/>
      <c r="O354" s="415" t="s">
        <v>2354</v>
      </c>
      <c r="P354" s="969"/>
    </row>
    <row r="355" spans="2:16">
      <c r="B355" s="415"/>
      <c r="C355" s="415"/>
      <c r="D355" s="415"/>
      <c r="E355" s="415"/>
      <c r="F355" s="415"/>
      <c r="G355" s="415"/>
      <c r="H355" s="415"/>
      <c r="I355" s="415"/>
      <c r="J355" s="415"/>
      <c r="K355" s="415"/>
      <c r="L355" s="415"/>
      <c r="M355" s="415"/>
      <c r="N355" s="415"/>
      <c r="O355" s="415"/>
      <c r="P355" s="969"/>
    </row>
    <row r="356" spans="2:16">
      <c r="B356" s="415"/>
      <c r="C356" s="924" t="s">
        <v>64</v>
      </c>
      <c r="D356" s="924" t="s">
        <v>33</v>
      </c>
      <c r="E356" s="924" t="s">
        <v>156</v>
      </c>
      <c r="F356" s="1433">
        <v>2007</v>
      </c>
      <c r="G356" s="922">
        <f>F356+5</f>
        <v>2012</v>
      </c>
      <c r="H356" s="922">
        <f t="shared" ref="H356:O356" si="106">G356+5</f>
        <v>2017</v>
      </c>
      <c r="I356" s="922">
        <f t="shared" si="106"/>
        <v>2022</v>
      </c>
      <c r="J356" s="922">
        <f t="shared" si="106"/>
        <v>2027</v>
      </c>
      <c r="K356" s="922">
        <f t="shared" si="106"/>
        <v>2032</v>
      </c>
      <c r="L356" s="922">
        <f t="shared" si="106"/>
        <v>2037</v>
      </c>
      <c r="M356" s="922">
        <f t="shared" si="106"/>
        <v>2042</v>
      </c>
      <c r="N356" s="922">
        <f t="shared" si="106"/>
        <v>2047</v>
      </c>
      <c r="O356" s="922">
        <f t="shared" si="106"/>
        <v>2052</v>
      </c>
      <c r="P356" s="969"/>
    </row>
    <row r="357" spans="2:16" ht="14.25">
      <c r="B357" s="415"/>
      <c r="C357" s="413"/>
      <c r="D357" s="1964" t="s">
        <v>1602</v>
      </c>
      <c r="E357" s="218"/>
      <c r="F357" s="1967"/>
      <c r="G357" s="3005">
        <v>8.7754345615542961E-2</v>
      </c>
      <c r="H357" s="3005">
        <v>7.191674827731398E-2</v>
      </c>
      <c r="I357" s="3005">
        <v>6.0993959760549332E-2</v>
      </c>
      <c r="J357" s="3005">
        <v>4.4849910530806891E-2</v>
      </c>
      <c r="K357" s="3005">
        <v>3.6541050190853186E-2</v>
      </c>
      <c r="L357" s="3005">
        <v>2.5154593590760665E-2</v>
      </c>
      <c r="M357" s="3005">
        <v>1.9040778470942099E-2</v>
      </c>
      <c r="N357" s="3005">
        <v>1.2435482393868602E-2</v>
      </c>
      <c r="O357" s="3005">
        <v>1.1760034837751343E-2</v>
      </c>
      <c r="P357" s="969"/>
    </row>
    <row r="358" spans="2:16" ht="14.25">
      <c r="B358" s="415"/>
      <c r="C358" s="413"/>
      <c r="D358" s="1964" t="s">
        <v>1623</v>
      </c>
      <c r="E358" s="218"/>
      <c r="F358" s="1967"/>
      <c r="G358" s="3005">
        <v>1.4140312165231483E-2</v>
      </c>
      <c r="H358" s="3005">
        <f>(I358+G358)/2</f>
        <v>1.0177618856118786E-2</v>
      </c>
      <c r="I358" s="3005">
        <v>6.2149255470060893E-3</v>
      </c>
      <c r="J358" s="3005">
        <v>5.614703356259465E-3</v>
      </c>
      <c r="K358" s="3005">
        <v>5.0816822459835986E-3</v>
      </c>
      <c r="L358" s="3005">
        <v>4.5522911621653783E-3</v>
      </c>
      <c r="M358" s="3005">
        <v>2.4148004393180766E-3</v>
      </c>
      <c r="N358" s="3005">
        <v>1.81761930873936E-3</v>
      </c>
      <c r="O358" s="3005">
        <v>9.6400282677278071E-4</v>
      </c>
      <c r="P358" s="969"/>
    </row>
    <row r="359" spans="2:16" ht="14.25">
      <c r="B359" s="415"/>
      <c r="C359" s="413"/>
      <c r="D359" s="1964" t="s">
        <v>1604</v>
      </c>
      <c r="E359" s="218"/>
      <c r="F359" s="1967"/>
      <c r="G359" s="3005">
        <v>7.179021371069827E-2</v>
      </c>
      <c r="H359" s="3005">
        <v>7.0679914876768946E-2</v>
      </c>
      <c r="I359" s="3005">
        <v>6.6330539548706602E-2</v>
      </c>
      <c r="J359" s="3005">
        <v>5.5243333461652666E-2</v>
      </c>
      <c r="K359" s="3005">
        <v>5.0064260125215698E-2</v>
      </c>
      <c r="L359" s="3005">
        <v>3.9913505386423243E-2</v>
      </c>
      <c r="M359" s="3005">
        <v>3.094608444076119E-2</v>
      </c>
      <c r="N359" s="3005">
        <v>2.2998614640917792E-2</v>
      </c>
      <c r="O359" s="3005">
        <v>2.1376890543241878E-2</v>
      </c>
      <c r="P359" s="969"/>
    </row>
    <row r="360" spans="2:16" ht="14.25">
      <c r="B360" s="415"/>
      <c r="C360" s="413"/>
      <c r="D360" s="1964" t="s">
        <v>1624</v>
      </c>
      <c r="E360" s="218"/>
      <c r="F360" s="1967"/>
      <c r="G360" s="3005">
        <v>0.12270885709060053</v>
      </c>
      <c r="H360" s="3005">
        <v>9.9490546026737681E-2</v>
      </c>
      <c r="I360" s="3005">
        <v>9.1227770952552856E-2</v>
      </c>
      <c r="J360" s="3005">
        <v>7.4823102850064771E-2</v>
      </c>
      <c r="K360" s="3005">
        <v>6.3938463704133586E-2</v>
      </c>
      <c r="L360" s="3005">
        <v>4.8283361679300585E-2</v>
      </c>
      <c r="M360" s="3005">
        <v>3.4263742379074147E-2</v>
      </c>
      <c r="N360" s="3005">
        <v>2.3869166092346239E-2</v>
      </c>
      <c r="O360" s="3005">
        <v>2.0662999283092232E-2</v>
      </c>
      <c r="P360" s="969"/>
    </row>
    <row r="361" spans="2:16" ht="14.25">
      <c r="B361" s="415"/>
      <c r="C361" s="413"/>
      <c r="D361" s="1965" t="s">
        <v>1625</v>
      </c>
      <c r="E361" s="414"/>
      <c r="F361" s="1968"/>
      <c r="G361" s="3006">
        <v>0.12207412654696825</v>
      </c>
      <c r="H361" s="3006">
        <v>8.2073358241792072E-2</v>
      </c>
      <c r="I361" s="3006">
        <v>0.11606529165753221</v>
      </c>
      <c r="J361" s="3006">
        <v>7.232515780381199E-2</v>
      </c>
      <c r="K361" s="3006">
        <v>3.9779766781576464E-2</v>
      </c>
      <c r="L361" s="3006">
        <v>4.0233278869314493E-2</v>
      </c>
      <c r="M361" s="3006">
        <v>3.3480593020245086E-2</v>
      </c>
      <c r="N361" s="3006">
        <v>2.8671890448518811E-2</v>
      </c>
      <c r="O361" s="3006">
        <v>2.5072478620687288E-2</v>
      </c>
      <c r="P361" s="969"/>
    </row>
    <row r="362" spans="2:16" ht="14.25">
      <c r="B362" s="415"/>
      <c r="C362" s="126"/>
      <c r="D362" s="1965" t="s">
        <v>1607</v>
      </c>
      <c r="E362" s="218"/>
      <c r="F362" s="926"/>
      <c r="G362" s="919">
        <v>1.8857410704307576E-2</v>
      </c>
      <c r="H362" s="919">
        <v>4.6462492021417834E-2</v>
      </c>
      <c r="I362" s="919">
        <v>2.8404860499918749E-2</v>
      </c>
      <c r="J362" s="919">
        <v>2.5648638996466966E-2</v>
      </c>
      <c r="K362" s="919">
        <v>2.1753252136767598E-2</v>
      </c>
      <c r="L362" s="919">
        <v>2.0476558234997277E-2</v>
      </c>
      <c r="M362" s="919">
        <v>1.4456531596900302E-2</v>
      </c>
      <c r="N362" s="919">
        <v>1.3478847921005954E-2</v>
      </c>
      <c r="O362" s="919">
        <v>1.2349689455845025E-2</v>
      </c>
      <c r="P362" s="969"/>
    </row>
    <row r="363" spans="2:16" ht="14.25">
      <c r="B363" s="415"/>
      <c r="C363" s="415"/>
      <c r="D363" s="1966" t="s">
        <v>1608</v>
      </c>
      <c r="E363" s="415"/>
      <c r="F363" s="535"/>
      <c r="G363" s="600">
        <v>3.7614708354176241E-2</v>
      </c>
      <c r="H363" s="600">
        <v>3.2256731477935618E-2</v>
      </c>
      <c r="I363" s="600">
        <v>2.7228717640167988E-2</v>
      </c>
      <c r="J363" s="600">
        <v>2.3397766172827961E-2</v>
      </c>
      <c r="K363" s="600">
        <v>2.0490485305855621E-2</v>
      </c>
      <c r="L363" s="600">
        <v>1.8353125772663459E-2</v>
      </c>
      <c r="M363" s="600">
        <v>1.3937124459644679E-2</v>
      </c>
      <c r="N363" s="600">
        <v>1.2345170044447684E-2</v>
      </c>
      <c r="O363" s="600">
        <v>1.1590710885324151E-2</v>
      </c>
      <c r="P363" s="969"/>
    </row>
    <row r="364" spans="2:16" ht="14.25">
      <c r="B364" s="415"/>
      <c r="C364" s="817"/>
      <c r="D364" s="1966" t="s">
        <v>1345</v>
      </c>
      <c r="E364" s="1361"/>
      <c r="F364" s="442"/>
      <c r="G364" s="3007">
        <v>0.21781102000592201</v>
      </c>
      <c r="H364" s="3008">
        <v>9.4231043612784005E-2</v>
      </c>
      <c r="I364" s="3008">
        <v>9.236818826852744E-2</v>
      </c>
      <c r="J364" s="3008">
        <v>8.4828142030745513E-2</v>
      </c>
      <c r="K364" s="3008">
        <v>7.8383891869633793E-2</v>
      </c>
      <c r="L364" s="3008">
        <v>9.8829860183956342E-2</v>
      </c>
      <c r="M364" s="3008">
        <v>9.4058204583882032E-2</v>
      </c>
      <c r="N364" s="3008">
        <v>8.9285890463184803E-2</v>
      </c>
      <c r="O364" s="3008">
        <v>7.8874579449463855E-2</v>
      </c>
      <c r="P364" s="969"/>
    </row>
    <row r="365" spans="2:16" ht="15.75">
      <c r="B365" s="415"/>
      <c r="C365" s="1947"/>
      <c r="D365" s="415"/>
      <c r="E365" s="415"/>
      <c r="F365" s="415"/>
      <c r="G365" s="415"/>
      <c r="H365" s="415"/>
      <c r="I365" s="415"/>
      <c r="J365" s="415"/>
      <c r="K365" s="415"/>
      <c r="L365" s="415"/>
      <c r="M365" s="415"/>
      <c r="N365" s="415"/>
      <c r="O365" s="415"/>
      <c r="P365" s="969"/>
    </row>
    <row r="366" spans="2:16" ht="15.75">
      <c r="B366" s="1860" t="s">
        <v>270</v>
      </c>
      <c r="C366" s="159"/>
      <c r="D366" s="159"/>
      <c r="E366" s="159"/>
      <c r="F366" s="159"/>
      <c r="G366" s="159"/>
      <c r="H366" s="159"/>
      <c r="I366" s="159"/>
      <c r="J366" s="159"/>
      <c r="K366" s="159"/>
      <c r="L366" s="159"/>
      <c r="M366" s="159"/>
      <c r="N366" s="159"/>
      <c r="O366" s="159"/>
      <c r="P366" s="969"/>
    </row>
    <row r="367" spans="2:16" ht="15.75">
      <c r="B367" s="415"/>
      <c r="C367" s="1947"/>
      <c r="D367" s="415"/>
      <c r="E367" s="415"/>
      <c r="F367" s="415"/>
      <c r="G367" s="415"/>
      <c r="H367" s="415"/>
      <c r="I367" s="415"/>
      <c r="J367" s="415"/>
      <c r="K367" s="415"/>
      <c r="L367" s="415"/>
      <c r="M367" s="415"/>
      <c r="N367" s="415"/>
      <c r="O367" s="415"/>
      <c r="P367" s="969"/>
    </row>
    <row r="368" spans="2:16">
      <c r="B368" s="415"/>
      <c r="C368" s="416" t="s">
        <v>2355</v>
      </c>
      <c r="D368" s="415"/>
      <c r="E368" s="415"/>
      <c r="F368" s="415"/>
      <c r="G368" s="415"/>
      <c r="H368" s="415"/>
      <c r="I368" s="415"/>
      <c r="J368" s="415"/>
      <c r="K368" s="415"/>
      <c r="L368" s="415"/>
      <c r="M368" s="415"/>
      <c r="N368" s="415"/>
      <c r="O368" s="415" t="s">
        <v>2354</v>
      </c>
      <c r="P368" s="969"/>
    </row>
    <row r="369" spans="1:16">
      <c r="B369" s="415"/>
      <c r="C369" s="415"/>
      <c r="D369" s="415"/>
      <c r="E369" s="415"/>
      <c r="F369" s="415"/>
      <c r="G369" s="415"/>
      <c r="H369" s="415"/>
      <c r="I369" s="415"/>
      <c r="J369" s="415"/>
      <c r="K369" s="415"/>
      <c r="L369" s="415"/>
      <c r="M369" s="415"/>
      <c r="N369" s="415"/>
      <c r="O369" s="415"/>
      <c r="P369" s="969"/>
    </row>
    <row r="370" spans="1:16">
      <c r="B370" s="415"/>
      <c r="C370" s="924" t="s">
        <v>64</v>
      </c>
      <c r="D370" s="924" t="s">
        <v>33</v>
      </c>
      <c r="E370" s="924" t="s">
        <v>156</v>
      </c>
      <c r="F370" s="1433">
        <v>2007</v>
      </c>
      <c r="G370" s="922">
        <f>F370+5</f>
        <v>2012</v>
      </c>
      <c r="H370" s="922">
        <f t="shared" ref="H370:O370" si="107">G370+5</f>
        <v>2017</v>
      </c>
      <c r="I370" s="922">
        <f t="shared" si="107"/>
        <v>2022</v>
      </c>
      <c r="J370" s="922">
        <f t="shared" si="107"/>
        <v>2027</v>
      </c>
      <c r="K370" s="922">
        <f t="shared" si="107"/>
        <v>2032</v>
      </c>
      <c r="L370" s="922">
        <f t="shared" si="107"/>
        <v>2037</v>
      </c>
      <c r="M370" s="922">
        <f t="shared" si="107"/>
        <v>2042</v>
      </c>
      <c r="N370" s="922">
        <f t="shared" si="107"/>
        <v>2047</v>
      </c>
      <c r="O370" s="922">
        <f t="shared" si="107"/>
        <v>2052</v>
      </c>
      <c r="P370" s="969"/>
    </row>
    <row r="371" spans="1:16" ht="14.25">
      <c r="B371" s="415"/>
      <c r="C371" s="413"/>
      <c r="D371" s="1964" t="s">
        <v>1602</v>
      </c>
      <c r="E371" s="218"/>
      <c r="F371" s="1967"/>
      <c r="G371" s="3005">
        <f>G357*G$20</f>
        <v>8.7754345615542961E-2</v>
      </c>
      <c r="H371" s="3005">
        <f t="shared" ref="H371:O371" si="108">H357*H$20</f>
        <v>7.191674827731398E-2</v>
      </c>
      <c r="I371" s="3005">
        <f t="shared" si="108"/>
        <v>6.0993959760549332E-2</v>
      </c>
      <c r="J371" s="3005">
        <f t="shared" si="108"/>
        <v>4.4849910530806891E-2</v>
      </c>
      <c r="K371" s="3005">
        <f t="shared" si="108"/>
        <v>3.6541050190853186E-2</v>
      </c>
      <c r="L371" s="3005">
        <f t="shared" si="108"/>
        <v>2.5154593590760665E-2</v>
      </c>
      <c r="M371" s="3005">
        <f t="shared" si="108"/>
        <v>1.9040778470942099E-2</v>
      </c>
      <c r="N371" s="3005">
        <f t="shared" si="108"/>
        <v>1.2435482393868602E-2</v>
      </c>
      <c r="O371" s="3005">
        <f t="shared" si="108"/>
        <v>1.1760034837751343E-2</v>
      </c>
      <c r="P371" s="969"/>
    </row>
    <row r="372" spans="1:16" ht="14.25">
      <c r="B372" s="415"/>
      <c r="C372" s="413"/>
      <c r="D372" s="1964" t="s">
        <v>1623</v>
      </c>
      <c r="E372" s="218"/>
      <c r="F372" s="1967"/>
      <c r="G372" s="3005">
        <f t="shared" ref="G372:O378" si="109">G358*G$20</f>
        <v>1.4140312165231483E-2</v>
      </c>
      <c r="H372" s="3005">
        <f t="shared" si="109"/>
        <v>1.0177618856118786E-2</v>
      </c>
      <c r="I372" s="3005">
        <f t="shared" si="109"/>
        <v>6.2149255470060893E-3</v>
      </c>
      <c r="J372" s="3005">
        <f t="shared" si="109"/>
        <v>5.614703356259465E-3</v>
      </c>
      <c r="K372" s="3005">
        <f t="shared" si="109"/>
        <v>5.0816822459835986E-3</v>
      </c>
      <c r="L372" s="3005">
        <f t="shared" si="109"/>
        <v>4.5522911621653783E-3</v>
      </c>
      <c r="M372" s="3005">
        <f t="shared" si="109"/>
        <v>2.4148004393180766E-3</v>
      </c>
      <c r="N372" s="3005">
        <f t="shared" si="109"/>
        <v>1.81761930873936E-3</v>
      </c>
      <c r="O372" s="3005">
        <f t="shared" si="109"/>
        <v>9.6400282677278071E-4</v>
      </c>
      <c r="P372" s="969"/>
    </row>
    <row r="373" spans="1:16" ht="14.25">
      <c r="B373" s="415"/>
      <c r="C373" s="413"/>
      <c r="D373" s="1964" t="s">
        <v>1604</v>
      </c>
      <c r="E373" s="218"/>
      <c r="F373" s="1967"/>
      <c r="G373" s="3005">
        <f t="shared" si="109"/>
        <v>7.179021371069827E-2</v>
      </c>
      <c r="H373" s="3005">
        <f t="shared" si="109"/>
        <v>7.0679914876768946E-2</v>
      </c>
      <c r="I373" s="3005">
        <f t="shared" si="109"/>
        <v>6.6330539548706602E-2</v>
      </c>
      <c r="J373" s="3005">
        <f t="shared" si="109"/>
        <v>5.5243333461652666E-2</v>
      </c>
      <c r="K373" s="3005">
        <f t="shared" si="109"/>
        <v>5.0064260125215698E-2</v>
      </c>
      <c r="L373" s="3005">
        <f t="shared" si="109"/>
        <v>3.9913505386423243E-2</v>
      </c>
      <c r="M373" s="3005">
        <f t="shared" si="109"/>
        <v>3.094608444076119E-2</v>
      </c>
      <c r="N373" s="3005">
        <f t="shared" si="109"/>
        <v>2.2998614640917792E-2</v>
      </c>
      <c r="O373" s="3005">
        <f t="shared" si="109"/>
        <v>2.1376890543241878E-2</v>
      </c>
      <c r="P373" s="969"/>
    </row>
    <row r="374" spans="1:16" ht="14.25">
      <c r="B374" s="415"/>
      <c r="C374" s="413"/>
      <c r="D374" s="1964" t="s">
        <v>1624</v>
      </c>
      <c r="E374" s="218"/>
      <c r="F374" s="1967"/>
      <c r="G374" s="3005">
        <f t="shared" si="109"/>
        <v>0.12270885709060053</v>
      </c>
      <c r="H374" s="3005">
        <f t="shared" si="109"/>
        <v>9.9490546026737681E-2</v>
      </c>
      <c r="I374" s="3005">
        <f t="shared" si="109"/>
        <v>9.1227770952552856E-2</v>
      </c>
      <c r="J374" s="3005">
        <f t="shared" si="109"/>
        <v>7.4823102850064771E-2</v>
      </c>
      <c r="K374" s="3005">
        <f t="shared" si="109"/>
        <v>6.3938463704133586E-2</v>
      </c>
      <c r="L374" s="3005">
        <f t="shared" si="109"/>
        <v>4.8283361679300585E-2</v>
      </c>
      <c r="M374" s="3005">
        <f t="shared" si="109"/>
        <v>3.4263742379074147E-2</v>
      </c>
      <c r="N374" s="3005">
        <f t="shared" si="109"/>
        <v>2.3869166092346239E-2</v>
      </c>
      <c r="O374" s="3005">
        <f t="shared" si="109"/>
        <v>2.0662999283092232E-2</v>
      </c>
      <c r="P374" s="969"/>
    </row>
    <row r="375" spans="1:16" ht="14.25">
      <c r="B375" s="415"/>
      <c r="C375" s="413"/>
      <c r="D375" s="1965" t="s">
        <v>1625</v>
      </c>
      <c r="E375" s="414"/>
      <c r="F375" s="1968"/>
      <c r="G375" s="3005">
        <f t="shared" si="109"/>
        <v>0.12207412654696825</v>
      </c>
      <c r="H375" s="3005">
        <f t="shared" si="109"/>
        <v>8.2073358241792072E-2</v>
      </c>
      <c r="I375" s="3005">
        <f t="shared" si="109"/>
        <v>0.11606529165753221</v>
      </c>
      <c r="J375" s="3005">
        <f t="shared" si="109"/>
        <v>7.232515780381199E-2</v>
      </c>
      <c r="K375" s="3005">
        <f t="shared" si="109"/>
        <v>3.9779766781576464E-2</v>
      </c>
      <c r="L375" s="3005">
        <f t="shared" si="109"/>
        <v>4.0233278869314493E-2</v>
      </c>
      <c r="M375" s="3005">
        <f t="shared" si="109"/>
        <v>3.3480593020245086E-2</v>
      </c>
      <c r="N375" s="3005">
        <f t="shared" si="109"/>
        <v>2.8671890448518811E-2</v>
      </c>
      <c r="O375" s="3005">
        <f t="shared" si="109"/>
        <v>2.5072478620687288E-2</v>
      </c>
      <c r="P375" s="969"/>
    </row>
    <row r="376" spans="1:16" ht="14.25">
      <c r="B376" s="415"/>
      <c r="C376" s="126"/>
      <c r="D376" s="1965" t="s">
        <v>1607</v>
      </c>
      <c r="E376" s="218"/>
      <c r="F376" s="926"/>
      <c r="G376" s="3005">
        <f t="shared" si="109"/>
        <v>1.8857410704307576E-2</v>
      </c>
      <c r="H376" s="3005">
        <f t="shared" si="109"/>
        <v>4.6462492021417834E-2</v>
      </c>
      <c r="I376" s="3005">
        <f t="shared" si="109"/>
        <v>2.8404860499918749E-2</v>
      </c>
      <c r="J376" s="3005">
        <f t="shared" si="109"/>
        <v>2.5648638996466966E-2</v>
      </c>
      <c r="K376" s="3005">
        <f t="shared" si="109"/>
        <v>2.1753252136767598E-2</v>
      </c>
      <c r="L376" s="3005">
        <f t="shared" si="109"/>
        <v>2.0476558234997277E-2</v>
      </c>
      <c r="M376" s="3005">
        <f t="shared" si="109"/>
        <v>1.4456531596900302E-2</v>
      </c>
      <c r="N376" s="3005">
        <f t="shared" si="109"/>
        <v>1.3478847921005954E-2</v>
      </c>
      <c r="O376" s="3005">
        <f t="shared" si="109"/>
        <v>1.2349689455845025E-2</v>
      </c>
      <c r="P376" s="969"/>
    </row>
    <row r="377" spans="1:16" ht="14.25">
      <c r="B377" s="415"/>
      <c r="C377" s="415"/>
      <c r="D377" s="1966" t="s">
        <v>1608</v>
      </c>
      <c r="E377" s="415"/>
      <c r="F377" s="535"/>
      <c r="G377" s="3005">
        <f t="shared" si="109"/>
        <v>3.7614708354176241E-2</v>
      </c>
      <c r="H377" s="3005">
        <f t="shared" si="109"/>
        <v>3.2256731477935618E-2</v>
      </c>
      <c r="I377" s="3005">
        <f t="shared" si="109"/>
        <v>2.7228717640167988E-2</v>
      </c>
      <c r="J377" s="3005">
        <f t="shared" si="109"/>
        <v>2.3397766172827961E-2</v>
      </c>
      <c r="K377" s="3005">
        <f t="shared" si="109"/>
        <v>2.0490485305855621E-2</v>
      </c>
      <c r="L377" s="3005">
        <f t="shared" si="109"/>
        <v>1.8353125772663459E-2</v>
      </c>
      <c r="M377" s="3005">
        <f t="shared" si="109"/>
        <v>1.3937124459644679E-2</v>
      </c>
      <c r="N377" s="3005">
        <f t="shared" si="109"/>
        <v>1.2345170044447684E-2</v>
      </c>
      <c r="O377" s="3005">
        <f t="shared" si="109"/>
        <v>1.1590710885324151E-2</v>
      </c>
      <c r="P377" s="969"/>
    </row>
    <row r="378" spans="1:16" ht="14.25">
      <c r="B378" s="415"/>
      <c r="C378" s="817"/>
      <c r="D378" s="3003" t="s">
        <v>1345</v>
      </c>
      <c r="E378" s="1361"/>
      <c r="F378" s="442"/>
      <c r="G378" s="3009">
        <f t="shared" si="109"/>
        <v>0.21781102000592201</v>
      </c>
      <c r="H378" s="3009">
        <f t="shared" si="109"/>
        <v>9.4231043612784005E-2</v>
      </c>
      <c r="I378" s="3009">
        <f t="shared" si="109"/>
        <v>9.236818826852744E-2</v>
      </c>
      <c r="J378" s="3009">
        <f t="shared" si="109"/>
        <v>8.4828142030745513E-2</v>
      </c>
      <c r="K378" s="3009">
        <f t="shared" si="109"/>
        <v>7.8383891869633793E-2</v>
      </c>
      <c r="L378" s="3009">
        <f t="shared" si="109"/>
        <v>9.8829860183956342E-2</v>
      </c>
      <c r="M378" s="3009">
        <f t="shared" si="109"/>
        <v>9.4058204583882032E-2</v>
      </c>
      <c r="N378" s="3009">
        <f t="shared" si="109"/>
        <v>8.9285890463184803E-2</v>
      </c>
      <c r="O378" s="3009">
        <f t="shared" si="109"/>
        <v>7.8874579449463855E-2</v>
      </c>
      <c r="P378" s="969"/>
    </row>
    <row r="379" spans="1:16" ht="15.75">
      <c r="B379" s="415"/>
      <c r="C379" s="1947"/>
      <c r="D379" s="415"/>
      <c r="E379" s="415"/>
      <c r="F379" s="415"/>
      <c r="G379" s="415"/>
      <c r="H379" s="415"/>
      <c r="I379" s="415"/>
      <c r="J379" s="415"/>
      <c r="K379" s="415"/>
      <c r="L379" s="415"/>
      <c r="M379" s="415"/>
      <c r="N379" s="415"/>
      <c r="O379" s="415"/>
      <c r="P379" s="969"/>
    </row>
    <row r="380" spans="1:16" ht="15.75">
      <c r="B380" s="415"/>
      <c r="C380" s="1947"/>
      <c r="D380" s="415"/>
      <c r="E380" s="415"/>
      <c r="F380" s="415"/>
      <c r="G380" s="415"/>
      <c r="H380" s="415"/>
      <c r="I380" s="415"/>
      <c r="J380" s="415"/>
      <c r="K380" s="415"/>
      <c r="L380" s="415"/>
      <c r="M380" s="415"/>
      <c r="N380" s="415"/>
      <c r="O380" s="415"/>
      <c r="P380" s="969"/>
    </row>
    <row r="381" spans="1:16" ht="15.75">
      <c r="B381" s="415"/>
      <c r="C381" s="1947"/>
      <c r="D381" s="415"/>
      <c r="E381" s="415"/>
      <c r="F381" s="415"/>
      <c r="G381" s="415"/>
      <c r="H381" s="415"/>
      <c r="I381" s="415"/>
      <c r="J381" s="415"/>
      <c r="K381" s="415"/>
      <c r="L381" s="415"/>
      <c r="M381" s="415"/>
      <c r="N381" s="415"/>
      <c r="O381" s="415"/>
      <c r="P381" s="969"/>
    </row>
    <row r="382" spans="1:16">
      <c r="B382" s="415"/>
      <c r="C382" s="416" t="s">
        <v>2356</v>
      </c>
      <c r="D382" s="415"/>
      <c r="E382" s="415"/>
      <c r="F382" s="415"/>
      <c r="G382" s="415"/>
      <c r="H382" s="415"/>
      <c r="I382" s="415"/>
      <c r="J382" s="415"/>
      <c r="K382" s="415"/>
      <c r="L382" s="415"/>
      <c r="M382" s="415"/>
      <c r="N382" s="415"/>
      <c r="O382" s="415" t="s">
        <v>1622</v>
      </c>
      <c r="P382" s="969"/>
    </row>
    <row r="383" spans="1:16">
      <c r="A383" s="1948"/>
      <c r="B383" s="416"/>
      <c r="C383" s="415"/>
      <c r="D383" s="415"/>
      <c r="E383" s="415"/>
      <c r="F383" s="415"/>
      <c r="G383" s="415"/>
      <c r="H383" s="415"/>
      <c r="I383" s="415"/>
      <c r="J383" s="415"/>
      <c r="K383" s="415"/>
      <c r="L383" s="415"/>
      <c r="M383" s="415"/>
      <c r="N383" s="415"/>
      <c r="O383" s="415"/>
      <c r="P383" s="969"/>
    </row>
    <row r="384" spans="1:16" ht="16.5" customHeight="1">
      <c r="A384" s="1948"/>
      <c r="B384" s="316"/>
      <c r="C384" s="924" t="s">
        <v>64</v>
      </c>
      <c r="D384" s="924" t="s">
        <v>33</v>
      </c>
      <c r="E384" s="924" t="s">
        <v>156</v>
      </c>
      <c r="F384" s="1433">
        <v>2007</v>
      </c>
      <c r="G384" s="922">
        <f>F384+5</f>
        <v>2012</v>
      </c>
      <c r="H384" s="922">
        <f t="shared" ref="H384:O384" si="110">G384+5</f>
        <v>2017</v>
      </c>
      <c r="I384" s="922">
        <f t="shared" si="110"/>
        <v>2022</v>
      </c>
      <c r="J384" s="922">
        <f t="shared" si="110"/>
        <v>2027</v>
      </c>
      <c r="K384" s="922">
        <f t="shared" si="110"/>
        <v>2032</v>
      </c>
      <c r="L384" s="922">
        <f t="shared" si="110"/>
        <v>2037</v>
      </c>
      <c r="M384" s="922">
        <f t="shared" si="110"/>
        <v>2042</v>
      </c>
      <c r="N384" s="922">
        <f t="shared" si="110"/>
        <v>2047</v>
      </c>
      <c r="O384" s="922">
        <f t="shared" si="110"/>
        <v>2052</v>
      </c>
      <c r="P384" s="969"/>
    </row>
    <row r="385" spans="1:26" ht="15.75">
      <c r="A385" s="1948"/>
      <c r="B385" s="316"/>
      <c r="C385" s="413"/>
      <c r="D385" s="1964" t="s">
        <v>1602</v>
      </c>
      <c r="E385" s="218"/>
      <c r="F385" s="1967">
        <f>F345</f>
        <v>162</v>
      </c>
      <c r="G385" s="1967">
        <f t="shared" ref="G385:G392" si="111">G345</f>
        <v>246.7</v>
      </c>
      <c r="H385" s="1967">
        <f>G385*(1+H371)^5</f>
        <v>349.11976193855685</v>
      </c>
      <c r="I385" s="1967">
        <f t="shared" ref="I385:O385" si="112">H385*(1+I371)^5</f>
        <v>469.39557384822854</v>
      </c>
      <c r="J385" s="1967">
        <f t="shared" si="112"/>
        <v>584.53233377125025</v>
      </c>
      <c r="K385" s="1967">
        <f t="shared" si="112"/>
        <v>699.42486907479497</v>
      </c>
      <c r="L385" s="1967">
        <f t="shared" si="112"/>
        <v>791.9319788933235</v>
      </c>
      <c r="M385" s="1967">
        <f t="shared" si="112"/>
        <v>870.25333657181818</v>
      </c>
      <c r="N385" s="1967">
        <f t="shared" si="112"/>
        <v>925.72604681358359</v>
      </c>
      <c r="O385" s="1967">
        <f t="shared" si="112"/>
        <v>981.45430880038111</v>
      </c>
      <c r="P385" s="969"/>
      <c r="Q385" s="495">
        <v>162</v>
      </c>
      <c r="R385" s="495">
        <v>246.7</v>
      </c>
      <c r="S385" s="495">
        <v>349.11976193855685</v>
      </c>
      <c r="T385" s="495">
        <v>469.39557384822871</v>
      </c>
      <c r="U385" s="495">
        <v>584.53233377125036</v>
      </c>
      <c r="V385" s="495">
        <v>699.42486907479463</v>
      </c>
      <c r="W385" s="495">
        <v>791.93197889332271</v>
      </c>
      <c r="X385" s="495">
        <v>870.2533365718175</v>
      </c>
      <c r="Y385" s="495">
        <v>925.72604681358303</v>
      </c>
      <c r="Z385" s="495">
        <v>981.4543088003802</v>
      </c>
    </row>
    <row r="386" spans="1:26" ht="15.75">
      <c r="A386" s="1948"/>
      <c r="B386" s="316"/>
      <c r="C386" s="413"/>
      <c r="D386" s="1964" t="s">
        <v>1623</v>
      </c>
      <c r="E386" s="218"/>
      <c r="F386" s="1967">
        <v>11.3324</v>
      </c>
      <c r="G386" s="1967">
        <v>12.156599999999999</v>
      </c>
      <c r="H386" s="1967">
        <v>12.204700000000001</v>
      </c>
      <c r="I386" s="1967">
        <v>12.588699999999999</v>
      </c>
      <c r="J386" s="1967">
        <v>12.946099999999999</v>
      </c>
      <c r="K386" s="1967">
        <v>13.2784</v>
      </c>
      <c r="L386" s="1967">
        <v>13.583399999999999</v>
      </c>
      <c r="M386" s="1967">
        <v>13.748200000000001</v>
      </c>
      <c r="N386" s="1967">
        <v>13.8736</v>
      </c>
      <c r="O386" s="1967">
        <v>13.9406</v>
      </c>
      <c r="P386" s="969"/>
      <c r="Q386" s="495">
        <v>11.3324</v>
      </c>
      <c r="R386" s="495">
        <v>12.156599999999999</v>
      </c>
      <c r="S386" s="495">
        <v>12.204700000000001</v>
      </c>
      <c r="T386" s="495">
        <v>12.588699999999999</v>
      </c>
      <c r="U386" s="495">
        <v>12.946099999999999</v>
      </c>
      <c r="V386" s="495">
        <v>13.2784</v>
      </c>
      <c r="W386" s="495">
        <v>13.583399999999999</v>
      </c>
      <c r="X386" s="495">
        <v>13.748200000000001</v>
      </c>
      <c r="Y386" s="495">
        <v>13.8736</v>
      </c>
      <c r="Z386" s="495">
        <v>13.9406</v>
      </c>
    </row>
    <row r="387" spans="1:26" ht="15.75">
      <c r="A387" s="1948"/>
      <c r="B387" s="316"/>
      <c r="C387" s="413"/>
      <c r="D387" s="1964" t="s">
        <v>1604</v>
      </c>
      <c r="E387" s="218"/>
      <c r="F387" s="1967">
        <f t="shared" ref="F387:F392" si="113">F347</f>
        <v>1.117</v>
      </c>
      <c r="G387" s="1967">
        <f t="shared" si="111"/>
        <v>1.5798000000000001</v>
      </c>
      <c r="H387" s="1967">
        <f t="shared" ref="H387:O392" si="114">G387*(1+H373)^5</f>
        <v>2.2228000000000003</v>
      </c>
      <c r="I387" s="1967">
        <f t="shared" si="114"/>
        <v>3.0645000000000011</v>
      </c>
      <c r="J387" s="1967">
        <f t="shared" si="114"/>
        <v>4.0098000000000011</v>
      </c>
      <c r="K387" s="1967">
        <f t="shared" si="114"/>
        <v>5.1192000000000002</v>
      </c>
      <c r="L387" s="1967">
        <f t="shared" si="114"/>
        <v>6.2257000000000016</v>
      </c>
      <c r="M387" s="1967">
        <f t="shared" si="114"/>
        <v>7.2505000000000051</v>
      </c>
      <c r="N387" s="1967">
        <f t="shared" si="114"/>
        <v>8.1235000000000017</v>
      </c>
      <c r="O387" s="1967">
        <f t="shared" si="114"/>
        <v>9.0296999999999983</v>
      </c>
      <c r="P387" s="969"/>
      <c r="Q387" s="495">
        <v>1.117</v>
      </c>
      <c r="R387" s="495">
        <v>1.5798000000000001</v>
      </c>
      <c r="S387" s="495">
        <v>2.2227999999999999</v>
      </c>
      <c r="T387" s="495">
        <v>3.0644999999999998</v>
      </c>
      <c r="U387" s="495">
        <v>4.0098000000000003</v>
      </c>
      <c r="V387" s="495">
        <v>5.1192000000000002</v>
      </c>
      <c r="W387" s="495">
        <v>6.2256999999999998</v>
      </c>
      <c r="X387" s="495">
        <v>7.2504999999999997</v>
      </c>
      <c r="Y387" s="495">
        <v>8.1234999999999999</v>
      </c>
      <c r="Z387" s="495">
        <v>9.0297000000000001</v>
      </c>
    </row>
    <row r="388" spans="1:26" ht="15.75">
      <c r="A388" s="1948"/>
      <c r="B388" s="316"/>
      <c r="C388" s="413"/>
      <c r="D388" s="1964" t="s">
        <v>1624</v>
      </c>
      <c r="E388" s="218"/>
      <c r="F388" s="1967">
        <f t="shared" si="113"/>
        <v>44.7682</v>
      </c>
      <c r="G388" s="1967">
        <f t="shared" si="111"/>
        <v>79.855599999999995</v>
      </c>
      <c r="H388" s="1967">
        <f t="shared" si="114"/>
        <v>128.31070000000008</v>
      </c>
      <c r="I388" s="1967">
        <f t="shared" si="114"/>
        <v>198.53630000000013</v>
      </c>
      <c r="J388" s="1967">
        <f t="shared" si="114"/>
        <v>284.79010000000028</v>
      </c>
      <c r="K388" s="1967">
        <f t="shared" si="114"/>
        <v>388.24640000000034</v>
      </c>
      <c r="L388" s="1967">
        <f t="shared" si="114"/>
        <v>491.47440000000023</v>
      </c>
      <c r="M388" s="1967">
        <f t="shared" si="114"/>
        <v>581.64420000000018</v>
      </c>
      <c r="N388" s="1967">
        <f t="shared" si="114"/>
        <v>654.45489999999995</v>
      </c>
      <c r="O388" s="1967">
        <f t="shared" si="114"/>
        <v>724.92250000000001</v>
      </c>
      <c r="P388" s="969"/>
      <c r="Q388" s="495">
        <v>44.7682</v>
      </c>
      <c r="R388" s="495">
        <v>79.855599999999995</v>
      </c>
      <c r="S388" s="495">
        <v>128.3107</v>
      </c>
      <c r="T388" s="495">
        <v>198.53630000000001</v>
      </c>
      <c r="U388" s="495">
        <v>284.7901</v>
      </c>
      <c r="V388" s="495">
        <v>388.24639999999999</v>
      </c>
      <c r="W388" s="495">
        <v>491.4744</v>
      </c>
      <c r="X388" s="495">
        <v>581.64419999999996</v>
      </c>
      <c r="Y388" s="495">
        <v>654.45489999999995</v>
      </c>
      <c r="Z388" s="495">
        <v>724.92250000000001</v>
      </c>
    </row>
    <row r="389" spans="1:26" ht="15.75">
      <c r="A389" s="1948"/>
      <c r="B389" s="316"/>
      <c r="C389" s="413"/>
      <c r="D389" s="1965" t="s">
        <v>1625</v>
      </c>
      <c r="E389" s="414"/>
      <c r="F389" s="1967">
        <f t="shared" si="113"/>
        <v>6.1280000000000001</v>
      </c>
      <c r="G389" s="1967">
        <f t="shared" si="111"/>
        <v>10.9</v>
      </c>
      <c r="H389" s="1967">
        <f t="shared" si="114"/>
        <v>16.169999999999995</v>
      </c>
      <c r="I389" s="1967">
        <f t="shared" si="114"/>
        <v>27.999999999999993</v>
      </c>
      <c r="J389" s="1967">
        <f t="shared" si="114"/>
        <v>39.70000000000001</v>
      </c>
      <c r="K389" s="1967">
        <f t="shared" si="114"/>
        <v>48.250000000000021</v>
      </c>
      <c r="L389" s="1967">
        <f t="shared" si="114"/>
        <v>58.769370000000045</v>
      </c>
      <c r="M389" s="1967">
        <f t="shared" si="114"/>
        <v>69.288740000000075</v>
      </c>
      <c r="N389" s="1967">
        <f t="shared" si="114"/>
        <v>79.80811000000007</v>
      </c>
      <c r="O389" s="1967">
        <f t="shared" si="114"/>
        <v>90.327480000000108</v>
      </c>
      <c r="P389" s="969"/>
      <c r="Q389" s="495">
        <v>6.1280000000000001</v>
      </c>
      <c r="R389" s="495">
        <v>10.9</v>
      </c>
      <c r="S389" s="495">
        <v>16.170000000000002</v>
      </c>
      <c r="T389" s="495">
        <v>28</v>
      </c>
      <c r="U389" s="495">
        <v>39.700000000000003</v>
      </c>
      <c r="V389" s="495">
        <v>48.25</v>
      </c>
      <c r="W389" s="495">
        <v>58.769370000000002</v>
      </c>
      <c r="X389" s="495">
        <v>69.288740000000004</v>
      </c>
      <c r="Y389" s="495">
        <v>79.808109999999999</v>
      </c>
      <c r="Z389" s="495">
        <v>90.327479999999994</v>
      </c>
    </row>
    <row r="390" spans="1:26" ht="15.75">
      <c r="A390" s="1948"/>
      <c r="B390" s="316"/>
      <c r="C390" s="126"/>
      <c r="D390" s="1965" t="s">
        <v>1607</v>
      </c>
      <c r="E390" s="218"/>
      <c r="F390" s="1967">
        <f t="shared" si="113"/>
        <v>2.8239999999999998</v>
      </c>
      <c r="G390" s="1967">
        <f t="shared" si="111"/>
        <v>3.1004999999999998</v>
      </c>
      <c r="H390" s="1967">
        <f t="shared" si="114"/>
        <v>3.8909000000000002</v>
      </c>
      <c r="I390" s="1967">
        <f t="shared" si="114"/>
        <v>4.4758000000000013</v>
      </c>
      <c r="J390" s="1967">
        <f t="shared" si="114"/>
        <v>5.0800000000000018</v>
      </c>
      <c r="K390" s="1967">
        <f t="shared" si="114"/>
        <v>5.6571000000000007</v>
      </c>
      <c r="L390" s="1967">
        <f t="shared" si="114"/>
        <v>6.2604999999999986</v>
      </c>
      <c r="M390" s="1967">
        <f t="shared" si="114"/>
        <v>6.7262999999999975</v>
      </c>
      <c r="N390" s="1967">
        <f t="shared" si="114"/>
        <v>7.1919999999999975</v>
      </c>
      <c r="O390" s="1967">
        <f t="shared" si="114"/>
        <v>7.6471999999999936</v>
      </c>
      <c r="P390" s="969"/>
      <c r="Q390" s="495">
        <v>2.8239999999999998</v>
      </c>
      <c r="R390" s="495">
        <v>3.1004999999999998</v>
      </c>
      <c r="S390" s="495">
        <v>3.8908999999999998</v>
      </c>
      <c r="T390" s="495">
        <v>4.4757999999999996</v>
      </c>
      <c r="U390" s="495">
        <v>5.08</v>
      </c>
      <c r="V390" s="495">
        <v>5.6570999999999998</v>
      </c>
      <c r="W390" s="495">
        <v>6.2605000000000004</v>
      </c>
      <c r="X390" s="495">
        <v>6.7263000000000002</v>
      </c>
      <c r="Y390" s="495">
        <v>7.1920000000000002</v>
      </c>
      <c r="Z390" s="495">
        <v>7.6471999999999998</v>
      </c>
    </row>
    <row r="391" spans="1:26" ht="14.25">
      <c r="B391" s="415"/>
      <c r="C391" s="415"/>
      <c r="D391" s="1966" t="s">
        <v>1608</v>
      </c>
      <c r="E391" s="415"/>
      <c r="F391" s="1967">
        <f t="shared" si="113"/>
        <v>1.881</v>
      </c>
      <c r="G391" s="1967">
        <f t="shared" si="111"/>
        <v>2.2624</v>
      </c>
      <c r="H391" s="1967">
        <f t="shared" si="114"/>
        <v>2.6516000000000006</v>
      </c>
      <c r="I391" s="1967">
        <f t="shared" si="114"/>
        <v>3.0328000000000008</v>
      </c>
      <c r="J391" s="1967">
        <f t="shared" si="114"/>
        <v>3.4045999999999994</v>
      </c>
      <c r="K391" s="1967">
        <f t="shared" si="114"/>
        <v>3.7680000000000011</v>
      </c>
      <c r="L391" s="1967">
        <f t="shared" si="114"/>
        <v>4.1266999999999996</v>
      </c>
      <c r="M391" s="1967">
        <f t="shared" si="114"/>
        <v>4.4223999999999979</v>
      </c>
      <c r="N391" s="1967">
        <f t="shared" si="114"/>
        <v>4.7021999999999977</v>
      </c>
      <c r="O391" s="1967">
        <f t="shared" si="114"/>
        <v>4.9810999999999943</v>
      </c>
      <c r="P391" s="969"/>
      <c r="Q391" s="495">
        <v>1.881</v>
      </c>
      <c r="R391" s="495">
        <v>2.2624</v>
      </c>
      <c r="S391" s="495">
        <v>2.6516000000000002</v>
      </c>
      <c r="T391" s="495">
        <v>3.0327999999999999</v>
      </c>
      <c r="U391" s="495">
        <v>3.4045999999999998</v>
      </c>
      <c r="V391" s="495">
        <v>3.7679999999999998</v>
      </c>
      <c r="W391" s="495">
        <v>4.1266999999999996</v>
      </c>
      <c r="X391" s="495">
        <v>4.4223999999999997</v>
      </c>
      <c r="Y391" s="495">
        <v>4.7022000000000004</v>
      </c>
      <c r="Z391" s="495">
        <v>4.9810999999999996</v>
      </c>
    </row>
    <row r="392" spans="1:26" ht="14.25">
      <c r="B392" s="415"/>
      <c r="C392" s="817"/>
      <c r="D392" s="3003" t="s">
        <v>1345</v>
      </c>
      <c r="E392" s="1361"/>
      <c r="F392" s="3010">
        <f t="shared" si="113"/>
        <v>220.15372847999998</v>
      </c>
      <c r="G392" s="3010">
        <f t="shared" si="111"/>
        <v>589.69241735999992</v>
      </c>
      <c r="H392" s="3010">
        <f t="shared" si="114"/>
        <v>925.06170276000034</v>
      </c>
      <c r="I392" s="3010">
        <f t="shared" si="114"/>
        <v>1438.8513306</v>
      </c>
      <c r="J392" s="3010">
        <f t="shared" si="114"/>
        <v>2161.8255098399991</v>
      </c>
      <c r="K392" s="3010">
        <f t="shared" si="114"/>
        <v>3152.7359398799995</v>
      </c>
      <c r="L392" s="3010">
        <f t="shared" si="114"/>
        <v>5050.5637912799994</v>
      </c>
      <c r="M392" s="3010">
        <f t="shared" si="114"/>
        <v>7916.6600744399984</v>
      </c>
      <c r="N392" s="3010">
        <f t="shared" si="114"/>
        <v>12140.914168560001</v>
      </c>
      <c r="O392" s="3010">
        <f t="shared" si="114"/>
        <v>17746.233456120004</v>
      </c>
      <c r="P392" s="969"/>
      <c r="Q392" s="495">
        <v>2210.3788</v>
      </c>
      <c r="R392" s="495">
        <v>5920.6066000000001</v>
      </c>
      <c r="S392" s="495">
        <v>9287.7680999999993</v>
      </c>
      <c r="T392" s="495">
        <v>14446.298500000001</v>
      </c>
      <c r="U392" s="495">
        <v>21705.075399999998</v>
      </c>
      <c r="V392" s="495">
        <v>31653.975299999998</v>
      </c>
      <c r="W392" s="495">
        <v>50708.471799999999</v>
      </c>
      <c r="X392" s="495">
        <v>79484.5389</v>
      </c>
      <c r="Y392" s="495">
        <v>121896.7286</v>
      </c>
      <c r="Z392" s="495">
        <v>178175.03470000002</v>
      </c>
    </row>
    <row r="393" spans="1:26" ht="5.25" customHeight="1">
      <c r="B393" s="415"/>
      <c r="C393" s="415"/>
      <c r="D393" s="415"/>
      <c r="E393" s="415"/>
      <c r="F393" s="415"/>
      <c r="G393" s="415"/>
      <c r="H393" s="415"/>
      <c r="I393" s="415"/>
      <c r="J393" s="415"/>
      <c r="K393" s="415"/>
      <c r="L393" s="415"/>
      <c r="M393" s="415"/>
      <c r="N393" s="415"/>
      <c r="O393" s="415"/>
      <c r="P393" s="969"/>
    </row>
    <row r="394" spans="1:26" ht="15.75">
      <c r="B394" s="316"/>
      <c r="C394" s="412"/>
      <c r="D394" s="412"/>
      <c r="E394" s="412"/>
      <c r="F394" s="3011"/>
      <c r="G394" s="3011"/>
      <c r="H394" s="3011"/>
      <c r="I394" s="3011"/>
      <c r="J394" s="3011"/>
      <c r="K394" s="3011"/>
      <c r="L394" s="3011"/>
      <c r="M394" s="3011"/>
      <c r="N394" s="3011"/>
      <c r="O394" s="3011"/>
      <c r="P394" s="969"/>
      <c r="Q394" s="2915"/>
      <c r="R394" s="2915"/>
      <c r="S394" s="2915"/>
      <c r="T394" s="2915"/>
      <c r="U394" s="2915"/>
      <c r="V394" s="2915"/>
      <c r="W394" s="2915"/>
      <c r="X394" s="2915"/>
      <c r="Y394" s="2915"/>
    </row>
    <row r="395" spans="1:26" ht="15.75">
      <c r="B395" s="316"/>
      <c r="C395" s="412"/>
      <c r="D395" s="412"/>
      <c r="E395" s="412"/>
      <c r="F395" s="3011"/>
      <c r="G395" s="3011"/>
      <c r="H395" s="3011"/>
      <c r="I395" s="3011"/>
      <c r="J395" s="3011"/>
      <c r="K395" s="3011"/>
      <c r="L395" s="3011"/>
      <c r="M395" s="3011"/>
      <c r="N395" s="3011"/>
      <c r="O395" s="3011"/>
      <c r="P395" s="969"/>
      <c r="Q395" s="2915"/>
      <c r="R395" s="2915"/>
      <c r="S395" s="2915"/>
      <c r="T395" s="2915"/>
      <c r="U395" s="2915"/>
      <c r="V395" s="2915"/>
      <c r="W395" s="2915"/>
      <c r="X395" s="2915"/>
      <c r="Y395" s="2915"/>
    </row>
    <row r="396" spans="1:26" ht="15.75">
      <c r="B396" s="316"/>
      <c r="C396" s="2909" t="str">
        <f>"Fuel for Non Energy Use in Fertilizer, Petrochemicals &amp; Steel in  " &amp; preferences.energyunits</f>
        <v>Fuel for Non Energy Use in Fertilizer, Petrochemicals &amp; Steel in  TWh</v>
      </c>
      <c r="D396" s="69"/>
      <c r="E396" s="3131" t="s">
        <v>156</v>
      </c>
      <c r="F396" s="601"/>
      <c r="G396" s="601"/>
      <c r="H396" s="601"/>
      <c r="I396" s="601"/>
      <c r="J396" s="601"/>
      <c r="K396" s="601"/>
      <c r="L396" s="601"/>
      <c r="M396" s="601"/>
      <c r="N396" s="601"/>
      <c r="O396" s="601"/>
      <c r="P396" s="969"/>
    </row>
    <row r="397" spans="1:26" ht="15.75">
      <c r="B397" s="316"/>
      <c r="C397" s="779"/>
      <c r="D397" s="69" t="s">
        <v>2404</v>
      </c>
      <c r="E397" s="1949" t="s">
        <v>2403</v>
      </c>
      <c r="F397" s="601">
        <f>$G$397*F386/$G$386</f>
        <v>124.78109009908199</v>
      </c>
      <c r="G397" s="601">
        <f>38.9*0.365*unit.bcm</f>
        <v>133.85635875</v>
      </c>
      <c r="H397" s="601">
        <f>(96.85)*(0.365*unit.bcm)</f>
        <v>333.264481875</v>
      </c>
      <c r="I397" s="601">
        <f>107.85*(0.365*unit.bcm)</f>
        <v>371.11589437499998</v>
      </c>
      <c r="J397" s="601">
        <f>110.05*(0.365*unit.bcm)</f>
        <v>378.686176875</v>
      </c>
      <c r="K397" s="601">
        <f>112.25*(0.365*unit.bcm)</f>
        <v>386.25645937500002</v>
      </c>
      <c r="L397" s="601">
        <f>114.45*(0.365*unit.bcm)</f>
        <v>393.82674187500004</v>
      </c>
      <c r="M397" s="601">
        <f>116.65*(0.365*unit.bcm)</f>
        <v>401.39702437500006</v>
      </c>
      <c r="N397" s="601">
        <f>118.85*(0.365*unit.bcm)</f>
        <v>408.96730687500002</v>
      </c>
      <c r="O397" s="601">
        <f>121.05*(0.365*unit.bcm)</f>
        <v>416.53758937500004</v>
      </c>
      <c r="P397" s="969"/>
    </row>
    <row r="398" spans="1:26" ht="15.75">
      <c r="B398" s="316"/>
      <c r="C398" s="779"/>
      <c r="D398" s="69" t="s">
        <v>2210</v>
      </c>
      <c r="E398" s="1949"/>
      <c r="F398" s="601">
        <f>$G$398*F388/$G$388</f>
        <v>8.3529822352155012</v>
      </c>
      <c r="G398" s="601">
        <f>4.33*0.365*unit.bcm</f>
        <v>14.899692374999999</v>
      </c>
      <c r="H398" s="601">
        <f t="shared" ref="H398:O398" si="115">$G$398*H388/$G$388</f>
        <v>23.940587240230037</v>
      </c>
      <c r="I398" s="601">
        <f t="shared" si="115"/>
        <v>37.043485932992979</v>
      </c>
      <c r="J398" s="601">
        <f t="shared" si="115"/>
        <v>53.136973254793546</v>
      </c>
      <c r="K398" s="601">
        <f t="shared" si="115"/>
        <v>72.440153548419957</v>
      </c>
      <c r="L398" s="601">
        <f t="shared" si="115"/>
        <v>91.700736957554682</v>
      </c>
      <c r="M398" s="601">
        <f t="shared" si="115"/>
        <v>108.5248830602109</v>
      </c>
      <c r="N398" s="601">
        <f t="shared" si="115"/>
        <v>122.11011730312448</v>
      </c>
      <c r="O398" s="601">
        <f t="shared" si="115"/>
        <v>135.25816906661444</v>
      </c>
      <c r="P398" s="969"/>
    </row>
    <row r="399" spans="1:26" ht="15.75">
      <c r="B399" s="316"/>
      <c r="C399" s="779"/>
      <c r="D399" s="414" t="s">
        <v>2211</v>
      </c>
      <c r="E399" s="1461"/>
      <c r="F399" s="601">
        <f>$G$399*F391/$G$391</f>
        <v>11.729855597484971</v>
      </c>
      <c r="G399" s="1959">
        <f>4.1*0.365*unit.bcm</f>
        <v>14.108253749999999</v>
      </c>
      <c r="H399" s="601">
        <f t="shared" ref="H399:O399" si="116">$G$399*H391/$G$391</f>
        <v>16.535292452042082</v>
      </c>
      <c r="I399" s="601">
        <f t="shared" si="116"/>
        <v>18.912443410979495</v>
      </c>
      <c r="J399" s="601">
        <f t="shared" si="116"/>
        <v>21.230976271768913</v>
      </c>
      <c r="K399" s="601">
        <f t="shared" si="116"/>
        <v>23.497127002298448</v>
      </c>
      <c r="L399" s="601">
        <f t="shared" si="116"/>
        <v>25.733968683753975</v>
      </c>
      <c r="M399" s="601">
        <f t="shared" si="116"/>
        <v>27.577944388260242</v>
      </c>
      <c r="N399" s="601">
        <f t="shared" si="116"/>
        <v>29.322768203345991</v>
      </c>
      <c r="O399" s="601">
        <f t="shared" si="116"/>
        <v>31.061979647332443</v>
      </c>
      <c r="P399" s="969"/>
      <c r="Q399" s="1950"/>
    </row>
    <row r="400" spans="1:26" s="3153" customFormat="1" ht="15.75">
      <c r="A400" s="539"/>
      <c r="B400" s="316"/>
      <c r="C400" s="779"/>
      <c r="D400" s="414" t="s">
        <v>2454</v>
      </c>
      <c r="E400" s="1461" t="s">
        <v>2455</v>
      </c>
      <c r="F400" s="601">
        <f>G400*F391/G391</f>
        <v>108.4905660360679</v>
      </c>
      <c r="G400" s="1959">
        <f>11.22*Unit.Mtoe</f>
        <v>130.48860000000002</v>
      </c>
      <c r="H400" s="601">
        <f>G400*H391/G391</f>
        <v>152.93651509900997</v>
      </c>
      <c r="I400" s="601">
        <f t="shared" ref="I400:O400" si="117">H400*I391/H391</f>
        <v>174.92301364922216</v>
      </c>
      <c r="J400" s="601">
        <f t="shared" si="117"/>
        <v>196.36734775459692</v>
      </c>
      <c r="K400" s="601">
        <f t="shared" si="117"/>
        <v>217.32719448373422</v>
      </c>
      <c r="L400" s="601">
        <f t="shared" si="117"/>
        <v>238.01595899045267</v>
      </c>
      <c r="M400" s="601">
        <f t="shared" si="117"/>
        <v>255.07106817538892</v>
      </c>
      <c r="N400" s="601">
        <f t="shared" si="117"/>
        <v>271.20911196958974</v>
      </c>
      <c r="O400" s="601">
        <f t="shared" si="117"/>
        <v>287.29524640205062</v>
      </c>
      <c r="P400" s="969"/>
      <c r="Q400" s="1950"/>
    </row>
    <row r="401" spans="1:17" ht="15.75">
      <c r="B401" s="316"/>
      <c r="C401" s="413"/>
      <c r="D401" s="417" t="s">
        <v>2212</v>
      </c>
      <c r="E401" s="218"/>
      <c r="F401" s="2910">
        <f>SUM(F397:F400)</f>
        <v>253.35449396785037</v>
      </c>
      <c r="G401" s="2910">
        <f t="shared" ref="G401:O401" si="118">SUM(G397:G400)</f>
        <v>293.35290487500004</v>
      </c>
      <c r="H401" s="2910">
        <f t="shared" si="118"/>
        <v>526.67687666628217</v>
      </c>
      <c r="I401" s="2910">
        <f t="shared" si="118"/>
        <v>601.99483736819457</v>
      </c>
      <c r="J401" s="2910">
        <f t="shared" si="118"/>
        <v>649.42147415615932</v>
      </c>
      <c r="K401" s="2910">
        <f t="shared" si="118"/>
        <v>699.52093440945259</v>
      </c>
      <c r="L401" s="2910">
        <f t="shared" si="118"/>
        <v>749.27740650676139</v>
      </c>
      <c r="M401" s="2910">
        <f t="shared" si="118"/>
        <v>792.57091999886006</v>
      </c>
      <c r="N401" s="2910">
        <f t="shared" si="118"/>
        <v>831.60930435106025</v>
      </c>
      <c r="O401" s="2910">
        <f t="shared" si="118"/>
        <v>870.1529844909976</v>
      </c>
      <c r="P401" s="969"/>
      <c r="Q401" s="1950"/>
    </row>
    <row r="402" spans="1:17">
      <c r="B402" s="415"/>
      <c r="C402" s="415"/>
      <c r="D402" s="415"/>
      <c r="E402" s="415"/>
      <c r="F402" s="415"/>
      <c r="G402" s="415"/>
      <c r="H402" s="415"/>
      <c r="I402" s="415"/>
      <c r="J402" s="415"/>
      <c r="K402" s="415"/>
      <c r="L402" s="415"/>
      <c r="M402" s="415"/>
      <c r="N402" s="415"/>
      <c r="O402" s="415"/>
      <c r="P402" s="969"/>
    </row>
    <row r="403" spans="1:17">
      <c r="B403" s="415"/>
      <c r="C403" s="779" t="s">
        <v>94</v>
      </c>
      <c r="D403" s="414" t="s">
        <v>2405</v>
      </c>
      <c r="E403" s="1461"/>
      <c r="F403" s="1958"/>
      <c r="G403" s="1959"/>
      <c r="H403" s="1960"/>
      <c r="I403" s="1959"/>
      <c r="J403" s="1960"/>
      <c r="K403" s="1959"/>
      <c r="L403" s="1960"/>
      <c r="M403" s="1959"/>
      <c r="N403" s="1960"/>
      <c r="O403" s="1959"/>
      <c r="P403" s="969"/>
    </row>
    <row r="404" spans="1:17" ht="19.5" customHeight="1">
      <c r="B404" s="1961" t="s">
        <v>270</v>
      </c>
      <c r="C404" s="159"/>
      <c r="D404" s="159"/>
      <c r="E404" s="159"/>
      <c r="F404" s="159"/>
      <c r="G404" s="159"/>
      <c r="H404" s="159"/>
      <c r="I404" s="159"/>
      <c r="J404" s="159"/>
      <c r="K404" s="159"/>
      <c r="L404" s="159"/>
      <c r="M404" s="159"/>
      <c r="N404" s="159"/>
      <c r="O404" s="159"/>
      <c r="P404" s="969"/>
    </row>
    <row r="405" spans="1:17" s="410" customFormat="1" ht="15.75">
      <c r="A405" s="1948"/>
      <c r="B405" s="1951"/>
      <c r="C405" s="248"/>
      <c r="D405" s="414"/>
      <c r="E405" s="218"/>
      <c r="F405" s="246"/>
      <c r="G405" s="247"/>
      <c r="H405" s="247"/>
      <c r="I405" s="247"/>
      <c r="J405" s="247"/>
      <c r="K405" s="123"/>
      <c r="L405" s="123"/>
      <c r="M405" s="123"/>
      <c r="N405" s="123"/>
      <c r="O405" s="123"/>
      <c r="P405" s="1952"/>
    </row>
    <row r="406" spans="1:17">
      <c r="B406" s="415"/>
      <c r="C406" s="416"/>
      <c r="D406" s="415"/>
      <c r="E406" s="104"/>
      <c r="F406" s="104"/>
      <c r="G406" s="1957"/>
      <c r="H406" s="415"/>
      <c r="I406" s="415"/>
      <c r="J406" s="415"/>
      <c r="K406" s="415"/>
      <c r="L406" s="415"/>
      <c r="M406" s="415"/>
      <c r="N406" s="415"/>
      <c r="O406" s="104"/>
      <c r="P406" s="969"/>
    </row>
    <row r="407" spans="1:17" ht="5.25" customHeight="1">
      <c r="B407" s="415"/>
      <c r="C407" s="415"/>
      <c r="D407" s="415"/>
      <c r="E407" s="415"/>
      <c r="F407" s="415"/>
      <c r="G407" s="415"/>
      <c r="H407" s="415"/>
      <c r="I407" s="415"/>
      <c r="J407" s="415"/>
      <c r="K407" s="415"/>
      <c r="L407" s="415"/>
      <c r="M407" s="415"/>
      <c r="N407" s="415"/>
      <c r="O407" s="415"/>
      <c r="P407" s="969"/>
    </row>
    <row r="408" spans="1:17">
      <c r="B408" s="415"/>
      <c r="C408" s="416" t="s">
        <v>1612</v>
      </c>
      <c r="D408" s="415"/>
      <c r="E408" s="415"/>
      <c r="F408" s="415"/>
      <c r="G408" s="415"/>
      <c r="H408" s="415"/>
      <c r="I408" s="415"/>
      <c r="J408" s="415"/>
      <c r="K408" s="415"/>
      <c r="L408" s="415"/>
      <c r="M408" s="415"/>
      <c r="N408" s="415"/>
      <c r="O408" s="415"/>
      <c r="P408" s="969"/>
    </row>
    <row r="409" spans="1:17">
      <c r="B409" s="415"/>
      <c r="C409" s="415"/>
      <c r="D409" s="415"/>
      <c r="E409" s="415"/>
      <c r="F409" s="415"/>
      <c r="G409" s="415"/>
      <c r="H409" s="415"/>
      <c r="I409" s="415"/>
      <c r="J409" s="415"/>
      <c r="K409" s="415"/>
      <c r="L409" s="415"/>
      <c r="M409" s="415"/>
      <c r="N409" s="415"/>
      <c r="O409" s="415"/>
      <c r="P409" s="969"/>
    </row>
    <row r="410" spans="1:17">
      <c r="B410" s="415"/>
      <c r="C410" s="61" t="s">
        <v>64</v>
      </c>
      <c r="D410" s="61" t="s">
        <v>65</v>
      </c>
      <c r="E410" s="61" t="s">
        <v>156</v>
      </c>
      <c r="F410" s="238">
        <v>2007</v>
      </c>
      <c r="G410" s="119">
        <f>F410+5</f>
        <v>2012</v>
      </c>
      <c r="H410" s="119">
        <f t="shared" ref="H410:O410" si="119">G410+5</f>
        <v>2017</v>
      </c>
      <c r="I410" s="119">
        <f t="shared" si="119"/>
        <v>2022</v>
      </c>
      <c r="J410" s="119">
        <f t="shared" si="119"/>
        <v>2027</v>
      </c>
      <c r="K410" s="119">
        <f t="shared" si="119"/>
        <v>2032</v>
      </c>
      <c r="L410" s="119">
        <f t="shared" si="119"/>
        <v>2037</v>
      </c>
      <c r="M410" s="119">
        <f t="shared" si="119"/>
        <v>2042</v>
      </c>
      <c r="N410" s="119">
        <f t="shared" si="119"/>
        <v>2047</v>
      </c>
      <c r="O410" s="119">
        <f t="shared" si="119"/>
        <v>2052</v>
      </c>
      <c r="P410" s="969"/>
    </row>
    <row r="411" spans="1:17" ht="14.25">
      <c r="B411" s="415"/>
      <c r="C411" s="413" t="s">
        <v>34</v>
      </c>
      <c r="D411" s="414" t="str">
        <f>INDEX(Vectors[Description], MATCH($C411, Vectors[Code], 0))</f>
        <v>Electricity (delivered to end user)</v>
      </c>
      <c r="E411" s="218"/>
      <c r="F411" s="1962">
        <v>0.03</v>
      </c>
      <c r="G411" s="1962">
        <f>F411</f>
        <v>0.03</v>
      </c>
      <c r="H411" s="1962">
        <f t="shared" ref="H411:O411" si="120">G411</f>
        <v>0.03</v>
      </c>
      <c r="I411" s="1962">
        <f t="shared" si="120"/>
        <v>0.03</v>
      </c>
      <c r="J411" s="1962">
        <f t="shared" si="120"/>
        <v>0.03</v>
      </c>
      <c r="K411" s="1962">
        <f t="shared" si="120"/>
        <v>0.03</v>
      </c>
      <c r="L411" s="1962">
        <f t="shared" si="120"/>
        <v>0.03</v>
      </c>
      <c r="M411" s="1962">
        <f t="shared" si="120"/>
        <v>0.03</v>
      </c>
      <c r="N411" s="1962">
        <f t="shared" si="120"/>
        <v>0.03</v>
      </c>
      <c r="O411" s="1962">
        <f t="shared" si="120"/>
        <v>0.03</v>
      </c>
      <c r="P411" s="969"/>
    </row>
    <row r="412" spans="1:17" ht="14.25">
      <c r="B412" s="415"/>
      <c r="C412" s="413" t="s">
        <v>36</v>
      </c>
      <c r="D412" s="414" t="str">
        <f>INDEX(Vectors[Description], MATCH($C412, Vectors[Code], 0))</f>
        <v>Solid hydrocarbons</v>
      </c>
      <c r="E412" s="218"/>
      <c r="F412" s="1962">
        <v>0.92</v>
      </c>
      <c r="G412" s="1962">
        <f t="shared" ref="G412:O414" si="121">F412</f>
        <v>0.92</v>
      </c>
      <c r="H412" s="1962">
        <f t="shared" si="121"/>
        <v>0.92</v>
      </c>
      <c r="I412" s="1962">
        <f t="shared" si="121"/>
        <v>0.92</v>
      </c>
      <c r="J412" s="1962">
        <f t="shared" si="121"/>
        <v>0.92</v>
      </c>
      <c r="K412" s="1962">
        <f t="shared" si="121"/>
        <v>0.92</v>
      </c>
      <c r="L412" s="1962">
        <f t="shared" si="121"/>
        <v>0.92</v>
      </c>
      <c r="M412" s="1962">
        <f t="shared" si="121"/>
        <v>0.92</v>
      </c>
      <c r="N412" s="1962">
        <f t="shared" si="121"/>
        <v>0.92</v>
      </c>
      <c r="O412" s="1962">
        <f t="shared" si="121"/>
        <v>0.92</v>
      </c>
      <c r="P412" s="969"/>
    </row>
    <row r="413" spans="1:17" ht="14.25">
      <c r="B413" s="415"/>
      <c r="C413" s="413" t="s">
        <v>38</v>
      </c>
      <c r="D413" s="414" t="str">
        <f>INDEX(Vectors[Description], MATCH($C413, Vectors[Code], 0))</f>
        <v>Liquid hydrocarbons</v>
      </c>
      <c r="E413" s="218"/>
      <c r="F413" s="1962">
        <v>0.05</v>
      </c>
      <c r="G413" s="1962">
        <f t="shared" si="121"/>
        <v>0.05</v>
      </c>
      <c r="H413" s="1962">
        <f t="shared" si="121"/>
        <v>0.05</v>
      </c>
      <c r="I413" s="1962">
        <f t="shared" si="121"/>
        <v>0.05</v>
      </c>
      <c r="J413" s="1962">
        <f t="shared" si="121"/>
        <v>0.05</v>
      </c>
      <c r="K413" s="1962">
        <f t="shared" si="121"/>
        <v>0.05</v>
      </c>
      <c r="L413" s="1962">
        <f t="shared" si="121"/>
        <v>0.05</v>
      </c>
      <c r="M413" s="1962">
        <f t="shared" si="121"/>
        <v>0.05</v>
      </c>
      <c r="N413" s="1962">
        <f t="shared" si="121"/>
        <v>0.05</v>
      </c>
      <c r="O413" s="1962">
        <f t="shared" si="121"/>
        <v>0.05</v>
      </c>
      <c r="P413" s="969"/>
    </row>
    <row r="414" spans="1:17" ht="14.25">
      <c r="B414" s="415"/>
      <c r="C414" s="413" t="s">
        <v>39</v>
      </c>
      <c r="D414" s="414" t="str">
        <f>INDEX(Vectors[Description], MATCH($C414, Vectors[Code], 0))</f>
        <v>Gaseous hydrocarbons</v>
      </c>
      <c r="E414" s="218"/>
      <c r="F414" s="1962">
        <v>0</v>
      </c>
      <c r="G414" s="1962">
        <f t="shared" si="121"/>
        <v>0</v>
      </c>
      <c r="H414" s="1962">
        <f t="shared" si="121"/>
        <v>0</v>
      </c>
      <c r="I414" s="1962">
        <f t="shared" si="121"/>
        <v>0</v>
      </c>
      <c r="J414" s="1962">
        <f t="shared" si="121"/>
        <v>0</v>
      </c>
      <c r="K414" s="1962">
        <f t="shared" si="121"/>
        <v>0</v>
      </c>
      <c r="L414" s="1962">
        <f t="shared" si="121"/>
        <v>0</v>
      </c>
      <c r="M414" s="1962">
        <f t="shared" si="121"/>
        <v>0</v>
      </c>
      <c r="N414" s="1962">
        <f t="shared" si="121"/>
        <v>0</v>
      </c>
      <c r="O414" s="1962">
        <f t="shared" si="121"/>
        <v>0</v>
      </c>
      <c r="P414" s="969"/>
    </row>
    <row r="415" spans="1:17">
      <c r="B415" s="415"/>
      <c r="C415" s="411" t="s">
        <v>253</v>
      </c>
      <c r="D415" s="414" t="str">
        <f>INDEX(Vectors[Description], MATCH($C415, Vectors[Code], 0))</f>
        <v xml:space="preserve"> Gaseous Biomass Hydrocarbons</v>
      </c>
      <c r="E415" s="65"/>
      <c r="F415" s="1963">
        <f>100%-SUM(F411:F414)</f>
        <v>0</v>
      </c>
      <c r="G415" s="1963">
        <f t="shared" ref="G415:O415" si="122">100%-SUM(G411:G414)</f>
        <v>0</v>
      </c>
      <c r="H415" s="1963">
        <f t="shared" si="122"/>
        <v>0</v>
      </c>
      <c r="I415" s="1963">
        <f t="shared" si="122"/>
        <v>0</v>
      </c>
      <c r="J415" s="1963">
        <f t="shared" si="122"/>
        <v>0</v>
      </c>
      <c r="K415" s="1963">
        <f t="shared" si="122"/>
        <v>0</v>
      </c>
      <c r="L415" s="1963">
        <f t="shared" si="122"/>
        <v>0</v>
      </c>
      <c r="M415" s="1963">
        <f t="shared" si="122"/>
        <v>0</v>
      </c>
      <c r="N415" s="1963">
        <f t="shared" si="122"/>
        <v>0</v>
      </c>
      <c r="O415" s="1963">
        <f t="shared" si="122"/>
        <v>0</v>
      </c>
      <c r="P415" s="969"/>
    </row>
    <row r="416" spans="1:17">
      <c r="B416" s="415"/>
      <c r="C416" s="493"/>
      <c r="D416" s="846"/>
      <c r="E416" s="846"/>
      <c r="F416" s="675"/>
      <c r="G416" s="302"/>
      <c r="H416" s="302"/>
      <c r="I416" s="302"/>
      <c r="J416" s="302"/>
      <c r="K416" s="302"/>
      <c r="L416" s="302"/>
      <c r="M416" s="302"/>
      <c r="N416" s="302"/>
      <c r="O416" s="302"/>
      <c r="P416" s="969"/>
    </row>
    <row r="417" spans="1:16">
      <c r="B417" s="415"/>
      <c r="C417" s="416"/>
      <c r="D417" s="415"/>
      <c r="E417" s="104"/>
      <c r="F417" s="415"/>
      <c r="G417" s="841"/>
      <c r="H417" s="247"/>
      <c r="I417" s="247"/>
      <c r="J417" s="842"/>
      <c r="K417" s="255"/>
      <c r="L417" s="255"/>
      <c r="M417" s="255"/>
      <c r="N417" s="255"/>
      <c r="O417" s="842"/>
      <c r="P417" s="969"/>
    </row>
    <row r="418" spans="1:16" ht="13.5" customHeight="1">
      <c r="B418" s="415"/>
      <c r="C418" s="416" t="s">
        <v>1613</v>
      </c>
      <c r="D418" s="415"/>
      <c r="E418" s="415"/>
      <c r="F418" s="415"/>
      <c r="G418" s="415"/>
      <c r="H418" s="415"/>
      <c r="I418" s="415"/>
      <c r="J418" s="415"/>
      <c r="K418" s="415"/>
      <c r="L418" s="415"/>
      <c r="M418" s="415"/>
      <c r="N418" s="415"/>
      <c r="O418" s="415"/>
      <c r="P418" s="969"/>
    </row>
    <row r="419" spans="1:16">
      <c r="B419" s="415"/>
      <c r="C419" s="415"/>
      <c r="D419" s="415"/>
      <c r="E419" s="415"/>
      <c r="F419" s="415"/>
      <c r="G419" s="415"/>
      <c r="H419" s="415"/>
      <c r="I419" s="415"/>
      <c r="J419" s="415"/>
      <c r="K419" s="415"/>
      <c r="L419" s="415"/>
      <c r="M419" s="415"/>
      <c r="N419" s="415"/>
      <c r="O419" s="415"/>
      <c r="P419" s="969"/>
    </row>
    <row r="420" spans="1:16">
      <c r="B420" s="415"/>
      <c r="C420" s="61" t="s">
        <v>64</v>
      </c>
      <c r="D420" s="61" t="s">
        <v>65</v>
      </c>
      <c r="E420" s="61" t="s">
        <v>156</v>
      </c>
      <c r="F420" s="238">
        <v>2007</v>
      </c>
      <c r="G420" s="119">
        <f>F420+5</f>
        <v>2012</v>
      </c>
      <c r="H420" s="119">
        <f t="shared" ref="H420:O420" si="123">G420+5</f>
        <v>2017</v>
      </c>
      <c r="I420" s="119">
        <f t="shared" si="123"/>
        <v>2022</v>
      </c>
      <c r="J420" s="119">
        <f t="shared" si="123"/>
        <v>2027</v>
      </c>
      <c r="K420" s="119">
        <f t="shared" si="123"/>
        <v>2032</v>
      </c>
      <c r="L420" s="119">
        <f t="shared" si="123"/>
        <v>2037</v>
      </c>
      <c r="M420" s="119">
        <f t="shared" si="123"/>
        <v>2042</v>
      </c>
      <c r="N420" s="119">
        <f t="shared" si="123"/>
        <v>2047</v>
      </c>
      <c r="O420" s="119">
        <f t="shared" si="123"/>
        <v>2052</v>
      </c>
      <c r="P420" s="969"/>
    </row>
    <row r="421" spans="1:16" ht="14.25">
      <c r="B421" s="415"/>
      <c r="C421" s="413" t="s">
        <v>34</v>
      </c>
      <c r="D421" s="414" t="str">
        <f>INDEX(Vectors[Description], MATCH($C421, Vectors[Code], 0))</f>
        <v>Electricity (delivered to end user)</v>
      </c>
      <c r="E421" s="218"/>
      <c r="F421" s="1962">
        <v>0.18</v>
      </c>
      <c r="G421" s="1962">
        <f>F421</f>
        <v>0.18</v>
      </c>
      <c r="H421" s="1962">
        <f t="shared" ref="H421:O421" si="124">G421</f>
        <v>0.18</v>
      </c>
      <c r="I421" s="1962">
        <f t="shared" si="124"/>
        <v>0.18</v>
      </c>
      <c r="J421" s="1962">
        <f t="shared" si="124"/>
        <v>0.18</v>
      </c>
      <c r="K421" s="1962">
        <f t="shared" si="124"/>
        <v>0.18</v>
      </c>
      <c r="L421" s="1962">
        <f t="shared" si="124"/>
        <v>0.18</v>
      </c>
      <c r="M421" s="1962">
        <f t="shared" si="124"/>
        <v>0.18</v>
      </c>
      <c r="N421" s="1962">
        <f t="shared" si="124"/>
        <v>0.18</v>
      </c>
      <c r="O421" s="1962">
        <f t="shared" si="124"/>
        <v>0.18</v>
      </c>
      <c r="P421" s="969"/>
    </row>
    <row r="422" spans="1:16" ht="14.25">
      <c r="B422" s="415"/>
      <c r="C422" s="413" t="s">
        <v>36</v>
      </c>
      <c r="D422" s="414" t="str">
        <f>INDEX(Vectors[Description], MATCH($C422, Vectors[Code], 0))</f>
        <v>Solid hydrocarbons</v>
      </c>
      <c r="E422" s="218"/>
      <c r="F422" s="1962">
        <v>0.42</v>
      </c>
      <c r="G422" s="1962">
        <f t="shared" ref="G422:O424" si="125">F422</f>
        <v>0.42</v>
      </c>
      <c r="H422" s="1962">
        <f t="shared" si="125"/>
        <v>0.42</v>
      </c>
      <c r="I422" s="1962">
        <f t="shared" si="125"/>
        <v>0.42</v>
      </c>
      <c r="J422" s="1962">
        <f t="shared" si="125"/>
        <v>0.42</v>
      </c>
      <c r="K422" s="1962">
        <f t="shared" si="125"/>
        <v>0.42</v>
      </c>
      <c r="L422" s="1962">
        <f t="shared" si="125"/>
        <v>0.42</v>
      </c>
      <c r="M422" s="1962">
        <f t="shared" si="125"/>
        <v>0.42</v>
      </c>
      <c r="N422" s="1962">
        <f t="shared" si="125"/>
        <v>0.42</v>
      </c>
      <c r="O422" s="1962">
        <f t="shared" si="125"/>
        <v>0.42</v>
      </c>
      <c r="P422" s="969"/>
    </row>
    <row r="423" spans="1:16" ht="14.25">
      <c r="B423" s="415"/>
      <c r="C423" s="413" t="s">
        <v>38</v>
      </c>
      <c r="D423" s="414" t="str">
        <f>INDEX(Vectors[Description], MATCH($C423, Vectors[Code], 0))</f>
        <v>Liquid hydrocarbons</v>
      </c>
      <c r="E423" s="218"/>
      <c r="F423" s="1962">
        <v>0.4</v>
      </c>
      <c r="G423" s="1962">
        <f t="shared" si="125"/>
        <v>0.4</v>
      </c>
      <c r="H423" s="1962">
        <f t="shared" si="125"/>
        <v>0.4</v>
      </c>
      <c r="I423" s="1962">
        <f t="shared" si="125"/>
        <v>0.4</v>
      </c>
      <c r="J423" s="1962">
        <f t="shared" si="125"/>
        <v>0.4</v>
      </c>
      <c r="K423" s="1962">
        <f t="shared" si="125"/>
        <v>0.4</v>
      </c>
      <c r="L423" s="1962">
        <f t="shared" si="125"/>
        <v>0.4</v>
      </c>
      <c r="M423" s="1962">
        <f t="shared" si="125"/>
        <v>0.4</v>
      </c>
      <c r="N423" s="1962">
        <f t="shared" si="125"/>
        <v>0.4</v>
      </c>
      <c r="O423" s="1962">
        <f t="shared" si="125"/>
        <v>0.4</v>
      </c>
      <c r="P423" s="969"/>
    </row>
    <row r="424" spans="1:16" ht="14.25">
      <c r="B424" s="415"/>
      <c r="C424" s="413" t="s">
        <v>39</v>
      </c>
      <c r="D424" s="414" t="str">
        <f>INDEX(Vectors[Description], MATCH($C424, Vectors[Code], 0))</f>
        <v>Gaseous hydrocarbons</v>
      </c>
      <c r="E424" s="218"/>
      <c r="F424" s="1962">
        <v>0</v>
      </c>
      <c r="G424" s="1962">
        <f t="shared" si="125"/>
        <v>0</v>
      </c>
      <c r="H424" s="1962">
        <f t="shared" si="125"/>
        <v>0</v>
      </c>
      <c r="I424" s="1962">
        <f t="shared" si="125"/>
        <v>0</v>
      </c>
      <c r="J424" s="1962">
        <f t="shared" si="125"/>
        <v>0</v>
      </c>
      <c r="K424" s="1962">
        <f t="shared" si="125"/>
        <v>0</v>
      </c>
      <c r="L424" s="1962">
        <f t="shared" si="125"/>
        <v>0</v>
      </c>
      <c r="M424" s="1962">
        <f t="shared" si="125"/>
        <v>0</v>
      </c>
      <c r="N424" s="1962">
        <f t="shared" si="125"/>
        <v>0</v>
      </c>
      <c r="O424" s="1962">
        <f t="shared" si="125"/>
        <v>0</v>
      </c>
      <c r="P424" s="969"/>
    </row>
    <row r="425" spans="1:16" s="410" customFormat="1" ht="15.75">
      <c r="A425" s="1948"/>
      <c r="B425" s="1951"/>
      <c r="C425" s="411" t="s">
        <v>253</v>
      </c>
      <c r="D425" s="414" t="str">
        <f>INDEX(Vectors[Description], MATCH($C425, Vectors[Code], 0))</f>
        <v xml:space="preserve"> Gaseous Biomass Hydrocarbons</v>
      </c>
      <c r="E425" s="65"/>
      <c r="F425" s="1963">
        <f t="shared" ref="F425:O425" si="126">100%-SUM(F421:F424)</f>
        <v>0</v>
      </c>
      <c r="G425" s="1963">
        <f t="shared" si="126"/>
        <v>0</v>
      </c>
      <c r="H425" s="1963">
        <f t="shared" si="126"/>
        <v>0</v>
      </c>
      <c r="I425" s="1963">
        <f t="shared" si="126"/>
        <v>0</v>
      </c>
      <c r="J425" s="1963">
        <f t="shared" si="126"/>
        <v>0</v>
      </c>
      <c r="K425" s="1963">
        <f t="shared" si="126"/>
        <v>0</v>
      </c>
      <c r="L425" s="1963">
        <f t="shared" si="126"/>
        <v>0</v>
      </c>
      <c r="M425" s="1963">
        <f t="shared" si="126"/>
        <v>0</v>
      </c>
      <c r="N425" s="1963">
        <f t="shared" si="126"/>
        <v>0</v>
      </c>
      <c r="O425" s="1963">
        <f t="shared" si="126"/>
        <v>0</v>
      </c>
      <c r="P425" s="1952"/>
    </row>
    <row r="426" spans="1:16" s="410" customFormat="1" ht="15.75">
      <c r="A426" s="1948"/>
      <c r="B426" s="1951"/>
      <c r="C426" s="413"/>
      <c r="D426" s="414"/>
      <c r="E426" s="414"/>
      <c r="F426" s="1973"/>
      <c r="G426" s="1973"/>
      <c r="H426" s="1973"/>
      <c r="I426" s="1973"/>
      <c r="J426" s="1973"/>
      <c r="K426" s="1973"/>
      <c r="L426" s="1973"/>
      <c r="M426" s="1973"/>
      <c r="N426" s="1973"/>
      <c r="O426" s="1973"/>
      <c r="P426" s="1952"/>
    </row>
    <row r="427" spans="1:16" s="410" customFormat="1" ht="15.75">
      <c r="A427" s="1948"/>
      <c r="B427" s="1951"/>
      <c r="C427" s="416" t="s">
        <v>1645</v>
      </c>
      <c r="D427" s="415"/>
      <c r="E427" s="415"/>
      <c r="F427" s="415"/>
      <c r="G427" s="415"/>
      <c r="H427" s="415"/>
      <c r="I427" s="415"/>
      <c r="J427" s="415"/>
      <c r="K427" s="415"/>
      <c r="L427" s="415"/>
      <c r="M427" s="415"/>
      <c r="N427" s="415"/>
      <c r="O427" s="415"/>
      <c r="P427" s="1952"/>
    </row>
    <row r="428" spans="1:16" s="410" customFormat="1" ht="15.75">
      <c r="A428" s="1948"/>
      <c r="B428" s="1951"/>
      <c r="C428" s="415"/>
      <c r="D428" s="415"/>
      <c r="E428" s="415"/>
      <c r="F428" s="415"/>
      <c r="G428" s="415"/>
      <c r="H428" s="415"/>
      <c r="I428" s="415"/>
      <c r="J428" s="415"/>
      <c r="K428" s="415"/>
      <c r="L428" s="415"/>
      <c r="M428" s="415"/>
      <c r="N428" s="415"/>
      <c r="O428" s="415"/>
      <c r="P428" s="1952"/>
    </row>
    <row r="429" spans="1:16" s="410" customFormat="1" ht="15.75">
      <c r="A429" s="1948"/>
      <c r="B429" s="1951"/>
      <c r="C429" s="61" t="s">
        <v>64</v>
      </c>
      <c r="D429" s="61" t="s">
        <v>65</v>
      </c>
      <c r="E429" s="61" t="s">
        <v>156</v>
      </c>
      <c r="F429" s="238">
        <v>2007</v>
      </c>
      <c r="G429" s="119">
        <f>F429+5</f>
        <v>2012</v>
      </c>
      <c r="H429" s="119">
        <f t="shared" ref="H429:O429" si="127">G429+5</f>
        <v>2017</v>
      </c>
      <c r="I429" s="119">
        <f t="shared" si="127"/>
        <v>2022</v>
      </c>
      <c r="J429" s="119">
        <f t="shared" si="127"/>
        <v>2027</v>
      </c>
      <c r="K429" s="119">
        <f t="shared" si="127"/>
        <v>2032</v>
      </c>
      <c r="L429" s="119">
        <f t="shared" si="127"/>
        <v>2037</v>
      </c>
      <c r="M429" s="119">
        <f t="shared" si="127"/>
        <v>2042</v>
      </c>
      <c r="N429" s="119">
        <f t="shared" si="127"/>
        <v>2047</v>
      </c>
      <c r="O429" s="119">
        <f t="shared" si="127"/>
        <v>2052</v>
      </c>
      <c r="P429" s="1952"/>
    </row>
    <row r="430" spans="1:16" s="410" customFormat="1" ht="15.75">
      <c r="A430" s="1948"/>
      <c r="B430" s="1951"/>
      <c r="C430" s="413" t="s">
        <v>34</v>
      </c>
      <c r="D430" s="414" t="str">
        <f>INDEX(Vectors[Description], MATCH($C430, Vectors[Code], 0))</f>
        <v>Electricity (delivered to end user)</v>
      </c>
      <c r="E430" s="218"/>
      <c r="F430" s="1962">
        <v>0.01</v>
      </c>
      <c r="G430" s="1962">
        <f>F430</f>
        <v>0.01</v>
      </c>
      <c r="H430" s="1962">
        <f t="shared" ref="H430:O430" si="128">G430</f>
        <v>0.01</v>
      </c>
      <c r="I430" s="1962">
        <f t="shared" si="128"/>
        <v>0.01</v>
      </c>
      <c r="J430" s="1962">
        <f t="shared" si="128"/>
        <v>0.01</v>
      </c>
      <c r="K430" s="1962">
        <f t="shared" si="128"/>
        <v>0.01</v>
      </c>
      <c r="L430" s="1962">
        <f t="shared" si="128"/>
        <v>0.01</v>
      </c>
      <c r="M430" s="1962">
        <f t="shared" si="128"/>
        <v>0.01</v>
      </c>
      <c r="N430" s="1962">
        <f t="shared" si="128"/>
        <v>0.01</v>
      </c>
      <c r="O430" s="1962">
        <f t="shared" si="128"/>
        <v>0.01</v>
      </c>
      <c r="P430" s="1952"/>
    </row>
    <row r="431" spans="1:16" s="410" customFormat="1" ht="15.75">
      <c r="A431" s="1948"/>
      <c r="B431" s="1951"/>
      <c r="C431" s="413" t="s">
        <v>36</v>
      </c>
      <c r="D431" s="414" t="str">
        <f>INDEX(Vectors[Description], MATCH($C431, Vectors[Code], 0))</f>
        <v>Solid hydrocarbons</v>
      </c>
      <c r="E431" s="218"/>
      <c r="F431" s="1962">
        <v>0.94</v>
      </c>
      <c r="G431" s="1962">
        <f t="shared" ref="G431:O433" si="129">F431</f>
        <v>0.94</v>
      </c>
      <c r="H431" s="1962">
        <f t="shared" si="129"/>
        <v>0.94</v>
      </c>
      <c r="I431" s="1962">
        <f t="shared" si="129"/>
        <v>0.94</v>
      </c>
      <c r="J431" s="1962">
        <f t="shared" si="129"/>
        <v>0.94</v>
      </c>
      <c r="K431" s="1962">
        <f t="shared" si="129"/>
        <v>0.94</v>
      </c>
      <c r="L431" s="1962">
        <f t="shared" si="129"/>
        <v>0.94</v>
      </c>
      <c r="M431" s="1962">
        <f t="shared" si="129"/>
        <v>0.94</v>
      </c>
      <c r="N431" s="1962">
        <f t="shared" si="129"/>
        <v>0.94</v>
      </c>
      <c r="O431" s="1962">
        <f t="shared" si="129"/>
        <v>0.94</v>
      </c>
      <c r="P431" s="1952"/>
    </row>
    <row r="432" spans="1:16" s="410" customFormat="1" ht="15.75">
      <c r="A432" s="1948"/>
      <c r="B432" s="1951"/>
      <c r="C432" s="413" t="s">
        <v>38</v>
      </c>
      <c r="D432" s="414" t="str">
        <f>INDEX(Vectors[Description], MATCH($C432, Vectors[Code], 0))</f>
        <v>Liquid hydrocarbons</v>
      </c>
      <c r="E432" s="218"/>
      <c r="F432" s="1962">
        <v>0.05</v>
      </c>
      <c r="G432" s="1962">
        <f t="shared" si="129"/>
        <v>0.05</v>
      </c>
      <c r="H432" s="1962">
        <f t="shared" si="129"/>
        <v>0.05</v>
      </c>
      <c r="I432" s="1962">
        <f t="shared" si="129"/>
        <v>0.05</v>
      </c>
      <c r="J432" s="1962">
        <f t="shared" si="129"/>
        <v>0.05</v>
      </c>
      <c r="K432" s="1962">
        <f t="shared" si="129"/>
        <v>0.05</v>
      </c>
      <c r="L432" s="1962">
        <f t="shared" si="129"/>
        <v>0.05</v>
      </c>
      <c r="M432" s="1962">
        <f t="shared" si="129"/>
        <v>0.05</v>
      </c>
      <c r="N432" s="1962">
        <f t="shared" si="129"/>
        <v>0.05</v>
      </c>
      <c r="O432" s="1962">
        <f t="shared" si="129"/>
        <v>0.05</v>
      </c>
      <c r="P432" s="1952"/>
    </row>
    <row r="433" spans="1:16" s="410" customFormat="1" ht="15.75">
      <c r="A433" s="1948"/>
      <c r="B433" s="1951"/>
      <c r="C433" s="413" t="s">
        <v>39</v>
      </c>
      <c r="D433" s="414" t="str">
        <f>INDEX(Vectors[Description], MATCH($C433, Vectors[Code], 0))</f>
        <v>Gaseous hydrocarbons</v>
      </c>
      <c r="E433" s="218"/>
      <c r="F433" s="1962">
        <v>0</v>
      </c>
      <c r="G433" s="1962">
        <f t="shared" si="129"/>
        <v>0</v>
      </c>
      <c r="H433" s="1962">
        <f t="shared" si="129"/>
        <v>0</v>
      </c>
      <c r="I433" s="1962">
        <f t="shared" si="129"/>
        <v>0</v>
      </c>
      <c r="J433" s="1962">
        <f t="shared" si="129"/>
        <v>0</v>
      </c>
      <c r="K433" s="1962">
        <f t="shared" si="129"/>
        <v>0</v>
      </c>
      <c r="L433" s="1962">
        <f t="shared" si="129"/>
        <v>0</v>
      </c>
      <c r="M433" s="1962">
        <f t="shared" si="129"/>
        <v>0</v>
      </c>
      <c r="N433" s="1962">
        <f t="shared" si="129"/>
        <v>0</v>
      </c>
      <c r="O433" s="1962">
        <f t="shared" si="129"/>
        <v>0</v>
      </c>
      <c r="P433" s="1952"/>
    </row>
    <row r="434" spans="1:16" s="410" customFormat="1" ht="15.75">
      <c r="A434" s="1948"/>
      <c r="B434" s="1951"/>
      <c r="C434" s="411" t="s">
        <v>253</v>
      </c>
      <c r="D434" s="414" t="str">
        <f>INDEX(Vectors[Description], MATCH($C434, Vectors[Code], 0))</f>
        <v xml:space="preserve"> Gaseous Biomass Hydrocarbons</v>
      </c>
      <c r="E434" s="65"/>
      <c r="F434" s="1963">
        <f t="shared" ref="F434:O434" si="130">100%-SUM(F430:F433)</f>
        <v>0</v>
      </c>
      <c r="G434" s="1963">
        <f t="shared" si="130"/>
        <v>0</v>
      </c>
      <c r="H434" s="1963">
        <f t="shared" si="130"/>
        <v>0</v>
      </c>
      <c r="I434" s="1963">
        <f t="shared" si="130"/>
        <v>0</v>
      </c>
      <c r="J434" s="1963">
        <f t="shared" si="130"/>
        <v>0</v>
      </c>
      <c r="K434" s="1963">
        <f t="shared" si="130"/>
        <v>0</v>
      </c>
      <c r="L434" s="1963">
        <f t="shared" si="130"/>
        <v>0</v>
      </c>
      <c r="M434" s="1963">
        <f t="shared" si="130"/>
        <v>0</v>
      </c>
      <c r="N434" s="1963">
        <f t="shared" si="130"/>
        <v>0</v>
      </c>
      <c r="O434" s="1963">
        <f t="shared" si="130"/>
        <v>0</v>
      </c>
      <c r="P434" s="1952"/>
    </row>
    <row r="435" spans="1:16">
      <c r="B435" s="415"/>
      <c r="C435" s="416"/>
      <c r="D435" s="415"/>
      <c r="E435" s="104"/>
      <c r="F435" s="104"/>
      <c r="G435" s="1957"/>
      <c r="H435" s="415"/>
      <c r="I435" s="415"/>
      <c r="J435" s="415"/>
      <c r="K435" s="415"/>
      <c r="L435" s="415"/>
      <c r="M435" s="415"/>
      <c r="N435" s="415"/>
      <c r="O435" s="104"/>
      <c r="P435" s="969"/>
    </row>
    <row r="436" spans="1:16" ht="5.25" customHeight="1">
      <c r="B436" s="415"/>
      <c r="C436" s="415"/>
      <c r="D436" s="415"/>
      <c r="E436" s="415"/>
      <c r="F436" s="415"/>
      <c r="G436" s="415"/>
      <c r="H436" s="415"/>
      <c r="I436" s="415"/>
      <c r="J436" s="415"/>
      <c r="K436" s="415"/>
      <c r="L436" s="415"/>
      <c r="M436" s="415"/>
      <c r="N436" s="415"/>
      <c r="O436" s="415"/>
      <c r="P436" s="969"/>
    </row>
    <row r="437" spans="1:16">
      <c r="B437" s="415"/>
      <c r="C437" s="416" t="s">
        <v>1614</v>
      </c>
      <c r="D437" s="415"/>
      <c r="E437" s="415"/>
      <c r="F437" s="415"/>
      <c r="G437" s="415"/>
      <c r="H437" s="415"/>
      <c r="I437" s="415"/>
      <c r="J437" s="415"/>
      <c r="K437" s="415"/>
      <c r="L437" s="415"/>
      <c r="M437" s="415"/>
      <c r="N437" s="415"/>
      <c r="O437" s="415"/>
      <c r="P437" s="969"/>
    </row>
    <row r="438" spans="1:16">
      <c r="B438" s="415"/>
      <c r="C438" s="415"/>
      <c r="D438" s="415"/>
      <c r="E438" s="415"/>
      <c r="F438" s="415"/>
      <c r="G438" s="415"/>
      <c r="H438" s="415"/>
      <c r="I438" s="415"/>
      <c r="J438" s="415"/>
      <c r="K438" s="415"/>
      <c r="L438" s="415"/>
      <c r="M438" s="415"/>
      <c r="N438" s="415"/>
      <c r="O438" s="415"/>
      <c r="P438" s="969"/>
    </row>
    <row r="439" spans="1:16">
      <c r="B439" s="415"/>
      <c r="C439" s="61" t="s">
        <v>64</v>
      </c>
      <c r="D439" s="61" t="s">
        <v>65</v>
      </c>
      <c r="E439" s="61" t="s">
        <v>156</v>
      </c>
      <c r="F439" s="238">
        <v>2007</v>
      </c>
      <c r="G439" s="119">
        <f>F439+5</f>
        <v>2012</v>
      </c>
      <c r="H439" s="119">
        <f t="shared" ref="H439:O439" si="131">G439+5</f>
        <v>2017</v>
      </c>
      <c r="I439" s="119">
        <f t="shared" si="131"/>
        <v>2022</v>
      </c>
      <c r="J439" s="119">
        <f t="shared" si="131"/>
        <v>2027</v>
      </c>
      <c r="K439" s="119">
        <f t="shared" si="131"/>
        <v>2032</v>
      </c>
      <c r="L439" s="119">
        <f t="shared" si="131"/>
        <v>2037</v>
      </c>
      <c r="M439" s="119">
        <f t="shared" si="131"/>
        <v>2042</v>
      </c>
      <c r="N439" s="119">
        <f t="shared" si="131"/>
        <v>2047</v>
      </c>
      <c r="O439" s="119">
        <f t="shared" si="131"/>
        <v>2052</v>
      </c>
      <c r="P439" s="969"/>
    </row>
    <row r="440" spans="1:16" ht="14.25">
      <c r="B440" s="415"/>
      <c r="C440" s="413" t="s">
        <v>34</v>
      </c>
      <c r="D440" s="414" t="str">
        <f>INDEX(Vectors[Description], MATCH($C440, Vectors[Code], 0))</f>
        <v>Electricity (delivered to end user)</v>
      </c>
      <c r="E440" s="218"/>
      <c r="F440" s="1962">
        <v>0.06</v>
      </c>
      <c r="G440" s="1962">
        <v>0.06</v>
      </c>
      <c r="H440" s="1962">
        <v>0.06</v>
      </c>
      <c r="I440" s="1962">
        <v>0.06</v>
      </c>
      <c r="J440" s="1962">
        <v>0.06</v>
      </c>
      <c r="K440" s="1962">
        <v>0.06</v>
      </c>
      <c r="L440" s="1962">
        <v>0.06</v>
      </c>
      <c r="M440" s="1962">
        <v>0.06</v>
      </c>
      <c r="N440" s="1962">
        <v>0.06</v>
      </c>
      <c r="O440" s="1962">
        <v>0.06</v>
      </c>
      <c r="P440" s="969"/>
    </row>
    <row r="441" spans="1:16" ht="14.25">
      <c r="B441" s="415"/>
      <c r="C441" s="413" t="s">
        <v>36</v>
      </c>
      <c r="D441" s="414" t="str">
        <f>INDEX(Vectors[Description], MATCH($C441, Vectors[Code], 0))</f>
        <v>Solid hydrocarbons</v>
      </c>
      <c r="E441" s="218"/>
      <c r="F441" s="1962">
        <v>0.82</v>
      </c>
      <c r="G441" s="1962">
        <v>0.82</v>
      </c>
      <c r="H441" s="1962">
        <v>0.82</v>
      </c>
      <c r="I441" s="1962">
        <v>0.82</v>
      </c>
      <c r="J441" s="1962">
        <v>0.82</v>
      </c>
      <c r="K441" s="1962">
        <v>0.82</v>
      </c>
      <c r="L441" s="1962">
        <v>0.82</v>
      </c>
      <c r="M441" s="1962">
        <v>0.82</v>
      </c>
      <c r="N441" s="1962">
        <v>0.82</v>
      </c>
      <c r="O441" s="1962">
        <v>0.82</v>
      </c>
      <c r="P441" s="969"/>
    </row>
    <row r="442" spans="1:16" ht="14.25">
      <c r="B442" s="415"/>
      <c r="C442" s="413" t="s">
        <v>38</v>
      </c>
      <c r="D442" s="414" t="str">
        <f>INDEX(Vectors[Description], MATCH($C442, Vectors[Code], 0))</f>
        <v>Liquid hydrocarbons</v>
      </c>
      <c r="E442" s="218"/>
      <c r="F442" s="1962">
        <v>0.06</v>
      </c>
      <c r="G442" s="1962">
        <v>0.06</v>
      </c>
      <c r="H442" s="1962">
        <v>0.06</v>
      </c>
      <c r="I442" s="1962">
        <v>0.06</v>
      </c>
      <c r="J442" s="1962">
        <v>0.06</v>
      </c>
      <c r="K442" s="1962">
        <v>0.06</v>
      </c>
      <c r="L442" s="1962">
        <v>0.06</v>
      </c>
      <c r="M442" s="1962">
        <v>0.06</v>
      </c>
      <c r="N442" s="1962">
        <v>0.06</v>
      </c>
      <c r="O442" s="1962">
        <v>0.06</v>
      </c>
      <c r="P442" s="969"/>
    </row>
    <row r="443" spans="1:16" ht="14.25">
      <c r="B443" s="415"/>
      <c r="C443" s="413" t="s">
        <v>39</v>
      </c>
      <c r="D443" s="414" t="str">
        <f>INDEX(Vectors[Description], MATCH($C443, Vectors[Code], 0))</f>
        <v>Gaseous hydrocarbons</v>
      </c>
      <c r="E443" s="218"/>
      <c r="F443" s="1962">
        <v>0.06</v>
      </c>
      <c r="G443" s="1962">
        <v>0.06</v>
      </c>
      <c r="H443" s="1962">
        <v>0.06</v>
      </c>
      <c r="I443" s="1962">
        <v>0.06</v>
      </c>
      <c r="J443" s="1962">
        <v>0.06</v>
      </c>
      <c r="K443" s="1962">
        <v>0.06</v>
      </c>
      <c r="L443" s="1962">
        <v>0.06</v>
      </c>
      <c r="M443" s="1962">
        <v>0.06</v>
      </c>
      <c r="N443" s="1962">
        <v>0.06</v>
      </c>
      <c r="O443" s="1962">
        <v>0.06</v>
      </c>
      <c r="P443" s="969"/>
    </row>
    <row r="444" spans="1:16">
      <c r="B444" s="415"/>
      <c r="C444" s="411" t="s">
        <v>253</v>
      </c>
      <c r="D444" s="414" t="str">
        <f>INDEX(Vectors[Description], MATCH($C444, Vectors[Code], 0))</f>
        <v xml:space="preserve"> Gaseous Biomass Hydrocarbons</v>
      </c>
      <c r="E444" s="65"/>
      <c r="F444" s="1963">
        <f>100%-SUM(F440:F443)</f>
        <v>0</v>
      </c>
      <c r="G444" s="1963">
        <f t="shared" ref="G444:O444" si="132">100%-SUM(G440:G443)</f>
        <v>0</v>
      </c>
      <c r="H444" s="1963">
        <f t="shared" si="132"/>
        <v>0</v>
      </c>
      <c r="I444" s="1963">
        <f t="shared" si="132"/>
        <v>0</v>
      </c>
      <c r="J444" s="1963">
        <f t="shared" si="132"/>
        <v>0</v>
      </c>
      <c r="K444" s="1963">
        <f t="shared" si="132"/>
        <v>0</v>
      </c>
      <c r="L444" s="1963">
        <f t="shared" si="132"/>
        <v>0</v>
      </c>
      <c r="M444" s="1963">
        <f t="shared" si="132"/>
        <v>0</v>
      </c>
      <c r="N444" s="1963">
        <f t="shared" si="132"/>
        <v>0</v>
      </c>
      <c r="O444" s="1963">
        <f t="shared" si="132"/>
        <v>0</v>
      </c>
      <c r="P444" s="969"/>
    </row>
    <row r="445" spans="1:16">
      <c r="B445" s="415"/>
      <c r="C445" s="415"/>
      <c r="D445" s="415"/>
      <c r="E445" s="415"/>
      <c r="F445" s="415"/>
      <c r="G445" s="415"/>
      <c r="H445" s="415"/>
      <c r="I445" s="415"/>
      <c r="J445" s="415"/>
      <c r="K445" s="415"/>
      <c r="L445" s="415"/>
      <c r="M445" s="415"/>
      <c r="N445" s="415"/>
      <c r="O445" s="415"/>
      <c r="P445" s="969"/>
    </row>
    <row r="446" spans="1:16">
      <c r="B446" s="415"/>
      <c r="C446" s="416" t="s">
        <v>1615</v>
      </c>
      <c r="D446" s="415"/>
      <c r="E446" s="415"/>
      <c r="F446" s="415"/>
      <c r="G446" s="415"/>
      <c r="H446" s="415"/>
      <c r="I446" s="415"/>
      <c r="J446" s="415"/>
      <c r="K446" s="415"/>
      <c r="L446" s="415"/>
      <c r="M446" s="415"/>
      <c r="N446" s="415"/>
      <c r="O446" s="415"/>
      <c r="P446" s="969"/>
    </row>
    <row r="447" spans="1:16">
      <c r="B447" s="415"/>
      <c r="C447" s="415"/>
      <c r="D447" s="415"/>
      <c r="E447" s="415"/>
      <c r="F447" s="415"/>
      <c r="G447" s="415"/>
      <c r="H447" s="415"/>
      <c r="I447" s="415"/>
      <c r="J447" s="415"/>
      <c r="K447" s="415"/>
      <c r="L447" s="415"/>
      <c r="M447" s="415"/>
      <c r="N447" s="415"/>
      <c r="O447" s="415"/>
      <c r="P447" s="969"/>
    </row>
    <row r="448" spans="1:16">
      <c r="B448" s="415"/>
      <c r="C448" s="61" t="s">
        <v>64</v>
      </c>
      <c r="D448" s="61" t="s">
        <v>65</v>
      </c>
      <c r="E448" s="61" t="s">
        <v>156</v>
      </c>
      <c r="F448" s="238">
        <v>2007</v>
      </c>
      <c r="G448" s="119">
        <f>F448+5</f>
        <v>2012</v>
      </c>
      <c r="H448" s="119">
        <f t="shared" ref="H448:O448" si="133">G448+5</f>
        <v>2017</v>
      </c>
      <c r="I448" s="119">
        <f t="shared" si="133"/>
        <v>2022</v>
      </c>
      <c r="J448" s="119">
        <f t="shared" si="133"/>
        <v>2027</v>
      </c>
      <c r="K448" s="119">
        <f t="shared" si="133"/>
        <v>2032</v>
      </c>
      <c r="L448" s="119">
        <f t="shared" si="133"/>
        <v>2037</v>
      </c>
      <c r="M448" s="119">
        <f t="shared" si="133"/>
        <v>2042</v>
      </c>
      <c r="N448" s="119">
        <f t="shared" si="133"/>
        <v>2047</v>
      </c>
      <c r="O448" s="119">
        <f t="shared" si="133"/>
        <v>2052</v>
      </c>
      <c r="P448" s="969"/>
    </row>
    <row r="449" spans="1:16" ht="14.25">
      <c r="B449" s="415"/>
      <c r="C449" s="413" t="s">
        <v>34</v>
      </c>
      <c r="D449" s="414" t="str">
        <f>INDEX(Vectors[Description], MATCH($C449, Vectors[Code], 0))</f>
        <v>Electricity (delivered to end user)</v>
      </c>
      <c r="E449" s="218"/>
      <c r="F449" s="1962">
        <v>0.03</v>
      </c>
      <c r="G449" s="1962">
        <f>F449</f>
        <v>0.03</v>
      </c>
      <c r="H449" s="1962">
        <f t="shared" ref="H449:O449" si="134">G449</f>
        <v>0.03</v>
      </c>
      <c r="I449" s="1962">
        <f t="shared" si="134"/>
        <v>0.03</v>
      </c>
      <c r="J449" s="1962">
        <f t="shared" si="134"/>
        <v>0.03</v>
      </c>
      <c r="K449" s="1962">
        <f t="shared" si="134"/>
        <v>0.03</v>
      </c>
      <c r="L449" s="1962">
        <f t="shared" si="134"/>
        <v>0.03</v>
      </c>
      <c r="M449" s="1962">
        <f t="shared" si="134"/>
        <v>0.03</v>
      </c>
      <c r="N449" s="1962">
        <f t="shared" si="134"/>
        <v>0.03</v>
      </c>
      <c r="O449" s="1962">
        <f t="shared" si="134"/>
        <v>0.03</v>
      </c>
      <c r="P449" s="969"/>
    </row>
    <row r="450" spans="1:16" ht="14.25">
      <c r="B450" s="415"/>
      <c r="C450" s="413" t="s">
        <v>36</v>
      </c>
      <c r="D450" s="414" t="str">
        <f>INDEX(Vectors[Description], MATCH($C450, Vectors[Code], 0))</f>
        <v>Solid hydrocarbons</v>
      </c>
      <c r="E450" s="218"/>
      <c r="F450" s="1962">
        <v>0.92</v>
      </c>
      <c r="G450" s="1962">
        <f t="shared" ref="G450:O452" si="135">F450</f>
        <v>0.92</v>
      </c>
      <c r="H450" s="1962">
        <f t="shared" si="135"/>
        <v>0.92</v>
      </c>
      <c r="I450" s="1962">
        <f t="shared" si="135"/>
        <v>0.92</v>
      </c>
      <c r="J450" s="1962">
        <f t="shared" si="135"/>
        <v>0.92</v>
      </c>
      <c r="K450" s="1962">
        <f t="shared" si="135"/>
        <v>0.92</v>
      </c>
      <c r="L450" s="1962">
        <f t="shared" si="135"/>
        <v>0.92</v>
      </c>
      <c r="M450" s="1962">
        <f t="shared" si="135"/>
        <v>0.92</v>
      </c>
      <c r="N450" s="1962">
        <f t="shared" si="135"/>
        <v>0.92</v>
      </c>
      <c r="O450" s="1962">
        <f t="shared" si="135"/>
        <v>0.92</v>
      </c>
      <c r="P450" s="969"/>
    </row>
    <row r="451" spans="1:16" ht="14.25">
      <c r="B451" s="415"/>
      <c r="C451" s="413" t="s">
        <v>38</v>
      </c>
      <c r="D451" s="414" t="str">
        <f>INDEX(Vectors[Description], MATCH($C451, Vectors[Code], 0))</f>
        <v>Liquid hydrocarbons</v>
      </c>
      <c r="E451" s="218"/>
      <c r="F451" s="1962">
        <v>0.04</v>
      </c>
      <c r="G451" s="1962">
        <f t="shared" si="135"/>
        <v>0.04</v>
      </c>
      <c r="H451" s="1962">
        <f t="shared" si="135"/>
        <v>0.04</v>
      </c>
      <c r="I451" s="1962">
        <f t="shared" si="135"/>
        <v>0.04</v>
      </c>
      <c r="J451" s="1962">
        <f t="shared" si="135"/>
        <v>0.04</v>
      </c>
      <c r="K451" s="1962">
        <f t="shared" si="135"/>
        <v>0.04</v>
      </c>
      <c r="L451" s="1962">
        <f t="shared" si="135"/>
        <v>0.04</v>
      </c>
      <c r="M451" s="1962">
        <f t="shared" si="135"/>
        <v>0.04</v>
      </c>
      <c r="N451" s="1962">
        <f t="shared" si="135"/>
        <v>0.04</v>
      </c>
      <c r="O451" s="1962">
        <f t="shared" si="135"/>
        <v>0.04</v>
      </c>
      <c r="P451" s="969"/>
    </row>
    <row r="452" spans="1:16" ht="14.25">
      <c r="B452" s="415"/>
      <c r="C452" s="413" t="s">
        <v>39</v>
      </c>
      <c r="D452" s="414" t="str">
        <f>INDEX(Vectors[Description], MATCH($C452, Vectors[Code], 0))</f>
        <v>Gaseous hydrocarbons</v>
      </c>
      <c r="E452" s="218"/>
      <c r="F452" s="1962">
        <v>0.01</v>
      </c>
      <c r="G452" s="1962">
        <f t="shared" si="135"/>
        <v>0.01</v>
      </c>
      <c r="H452" s="1962">
        <f t="shared" si="135"/>
        <v>0.01</v>
      </c>
      <c r="I452" s="1962">
        <f t="shared" si="135"/>
        <v>0.01</v>
      </c>
      <c r="J452" s="1962">
        <f t="shared" si="135"/>
        <v>0.01</v>
      </c>
      <c r="K452" s="1962">
        <f t="shared" si="135"/>
        <v>0.01</v>
      </c>
      <c r="L452" s="1962">
        <f t="shared" si="135"/>
        <v>0.01</v>
      </c>
      <c r="M452" s="1962">
        <f t="shared" si="135"/>
        <v>0.01</v>
      </c>
      <c r="N452" s="1962">
        <f t="shared" si="135"/>
        <v>0.01</v>
      </c>
      <c r="O452" s="1962">
        <f t="shared" si="135"/>
        <v>0.01</v>
      </c>
      <c r="P452" s="969"/>
    </row>
    <row r="453" spans="1:16">
      <c r="B453" s="415"/>
      <c r="C453" s="411" t="s">
        <v>253</v>
      </c>
      <c r="D453" s="414" t="str">
        <f>INDEX(Vectors[Description], MATCH($C453, Vectors[Code], 0))</f>
        <v xml:space="preserve"> Gaseous Biomass Hydrocarbons</v>
      </c>
      <c r="E453" s="65"/>
      <c r="F453" s="1963">
        <f t="shared" ref="F453:O453" si="136">100%-SUM(F449:F452)</f>
        <v>0</v>
      </c>
      <c r="G453" s="1963">
        <f t="shared" si="136"/>
        <v>0</v>
      </c>
      <c r="H453" s="1963">
        <f t="shared" si="136"/>
        <v>0</v>
      </c>
      <c r="I453" s="1963">
        <f t="shared" si="136"/>
        <v>0</v>
      </c>
      <c r="J453" s="1963">
        <f t="shared" si="136"/>
        <v>0</v>
      </c>
      <c r="K453" s="1963">
        <f t="shared" si="136"/>
        <v>0</v>
      </c>
      <c r="L453" s="1963">
        <f t="shared" si="136"/>
        <v>0</v>
      </c>
      <c r="M453" s="1963">
        <f t="shared" si="136"/>
        <v>0</v>
      </c>
      <c r="N453" s="1963">
        <f t="shared" si="136"/>
        <v>0</v>
      </c>
      <c r="O453" s="1963">
        <f t="shared" si="136"/>
        <v>0</v>
      </c>
      <c r="P453" s="969"/>
    </row>
    <row r="454" spans="1:16">
      <c r="B454" s="415"/>
      <c r="C454" s="415"/>
      <c r="D454" s="415"/>
      <c r="E454" s="415"/>
      <c r="F454" s="415"/>
      <c r="G454" s="415"/>
      <c r="H454" s="415"/>
      <c r="I454" s="415"/>
      <c r="J454" s="415"/>
      <c r="K454" s="415"/>
      <c r="L454" s="415"/>
      <c r="M454" s="415"/>
      <c r="N454" s="415"/>
      <c r="O454" s="415"/>
      <c r="P454" s="969"/>
    </row>
    <row r="455" spans="1:16">
      <c r="B455" s="415"/>
      <c r="C455" s="412"/>
      <c r="D455" s="412"/>
      <c r="E455" s="412"/>
      <c r="F455" s="227"/>
      <c r="G455" s="227"/>
      <c r="H455" s="227"/>
      <c r="I455" s="227"/>
      <c r="J455" s="227"/>
      <c r="K455" s="227"/>
      <c r="L455" s="227"/>
      <c r="M455" s="227"/>
      <c r="N455" s="227"/>
      <c r="O455" s="227"/>
      <c r="P455" s="969"/>
    </row>
    <row r="456" spans="1:16">
      <c r="B456" s="415"/>
      <c r="C456" s="416" t="s">
        <v>1616</v>
      </c>
      <c r="D456" s="415"/>
      <c r="E456" s="415"/>
      <c r="F456" s="415"/>
      <c r="G456" s="415"/>
      <c r="H456" s="415"/>
      <c r="I456" s="415"/>
      <c r="J456" s="415"/>
      <c r="K456" s="415"/>
      <c r="L456" s="415"/>
      <c r="M456" s="415"/>
      <c r="N456" s="415"/>
      <c r="O456" s="415"/>
      <c r="P456" s="969"/>
    </row>
    <row r="457" spans="1:16">
      <c r="B457" s="415"/>
      <c r="C457" s="415"/>
      <c r="D457" s="415"/>
      <c r="E457" s="415"/>
      <c r="F457" s="415"/>
      <c r="G457" s="415"/>
      <c r="H457" s="415"/>
      <c r="I457" s="415"/>
      <c r="J457" s="415"/>
      <c r="K457" s="415"/>
      <c r="L457" s="415"/>
      <c r="M457" s="415"/>
      <c r="N457" s="415"/>
      <c r="O457" s="415"/>
      <c r="P457" s="969"/>
    </row>
    <row r="458" spans="1:16">
      <c r="B458" s="415"/>
      <c r="C458" s="61" t="s">
        <v>64</v>
      </c>
      <c r="D458" s="61" t="s">
        <v>65</v>
      </c>
      <c r="E458" s="61" t="s">
        <v>156</v>
      </c>
      <c r="F458" s="238">
        <v>2007</v>
      </c>
      <c r="G458" s="119">
        <f>F458+5</f>
        <v>2012</v>
      </c>
      <c r="H458" s="119">
        <f t="shared" ref="H458:O458" si="137">G458+5</f>
        <v>2017</v>
      </c>
      <c r="I458" s="119">
        <f t="shared" si="137"/>
        <v>2022</v>
      </c>
      <c r="J458" s="119">
        <f t="shared" si="137"/>
        <v>2027</v>
      </c>
      <c r="K458" s="119">
        <f t="shared" si="137"/>
        <v>2032</v>
      </c>
      <c r="L458" s="119">
        <f t="shared" si="137"/>
        <v>2037</v>
      </c>
      <c r="M458" s="119">
        <f t="shared" si="137"/>
        <v>2042</v>
      </c>
      <c r="N458" s="119">
        <f t="shared" si="137"/>
        <v>2047</v>
      </c>
      <c r="O458" s="119">
        <f t="shared" si="137"/>
        <v>2052</v>
      </c>
      <c r="P458" s="969"/>
    </row>
    <row r="459" spans="1:16" ht="14.25">
      <c r="B459" s="415"/>
      <c r="C459" s="413" t="s">
        <v>34</v>
      </c>
      <c r="D459" s="414" t="str">
        <f>INDEX(Vectors[Description], MATCH($C459, Vectors[Code], 0))</f>
        <v>Electricity (delivered to end user)</v>
      </c>
      <c r="E459" s="218"/>
      <c r="F459" s="1962">
        <v>0.23</v>
      </c>
      <c r="G459" s="1962">
        <f>F459</f>
        <v>0.23</v>
      </c>
      <c r="H459" s="1962">
        <f t="shared" ref="H459:O459" si="138">G459</f>
        <v>0.23</v>
      </c>
      <c r="I459" s="1962">
        <f t="shared" si="138"/>
        <v>0.23</v>
      </c>
      <c r="J459" s="1962">
        <f t="shared" si="138"/>
        <v>0.23</v>
      </c>
      <c r="K459" s="1962">
        <f t="shared" si="138"/>
        <v>0.23</v>
      </c>
      <c r="L459" s="1962">
        <f t="shared" si="138"/>
        <v>0.23</v>
      </c>
      <c r="M459" s="1962">
        <f t="shared" si="138"/>
        <v>0.23</v>
      </c>
      <c r="N459" s="1962">
        <f t="shared" si="138"/>
        <v>0.23</v>
      </c>
      <c r="O459" s="1962">
        <f t="shared" si="138"/>
        <v>0.23</v>
      </c>
      <c r="P459" s="969"/>
    </row>
    <row r="460" spans="1:16" s="410" customFormat="1" ht="14.25">
      <c r="A460" s="1948"/>
      <c r="B460" s="203"/>
      <c r="C460" s="413" t="s">
        <v>36</v>
      </c>
      <c r="D460" s="414" t="str">
        <f>INDEX(Vectors[Description], MATCH($C460, Vectors[Code], 0))</f>
        <v>Solid hydrocarbons</v>
      </c>
      <c r="E460" s="218"/>
      <c r="F460" s="1962">
        <v>0.54</v>
      </c>
      <c r="G460" s="1962">
        <f t="shared" ref="G460:O462" si="139">F460</f>
        <v>0.54</v>
      </c>
      <c r="H460" s="1962">
        <f t="shared" si="139"/>
        <v>0.54</v>
      </c>
      <c r="I460" s="1962">
        <f t="shared" si="139"/>
        <v>0.54</v>
      </c>
      <c r="J460" s="1962">
        <f t="shared" si="139"/>
        <v>0.54</v>
      </c>
      <c r="K460" s="1962">
        <f t="shared" si="139"/>
        <v>0.54</v>
      </c>
      <c r="L460" s="1962">
        <f t="shared" si="139"/>
        <v>0.54</v>
      </c>
      <c r="M460" s="1962">
        <f t="shared" si="139"/>
        <v>0.54</v>
      </c>
      <c r="N460" s="1962">
        <f t="shared" si="139"/>
        <v>0.54</v>
      </c>
      <c r="O460" s="1962">
        <f t="shared" si="139"/>
        <v>0.54</v>
      </c>
      <c r="P460" s="1785"/>
    </row>
    <row r="461" spans="1:16" s="410" customFormat="1" ht="14.25">
      <c r="A461" s="1948"/>
      <c r="B461" s="203"/>
      <c r="C461" s="413" t="s">
        <v>38</v>
      </c>
      <c r="D461" s="414" t="str">
        <f>INDEX(Vectors[Description], MATCH($C461, Vectors[Code], 0))</f>
        <v>Liquid hydrocarbons</v>
      </c>
      <c r="E461" s="218"/>
      <c r="F461" s="1962">
        <v>0.19</v>
      </c>
      <c r="G461" s="1962">
        <f t="shared" si="139"/>
        <v>0.19</v>
      </c>
      <c r="H461" s="1962">
        <f t="shared" si="139"/>
        <v>0.19</v>
      </c>
      <c r="I461" s="1962">
        <f t="shared" si="139"/>
        <v>0.19</v>
      </c>
      <c r="J461" s="1962">
        <f t="shared" si="139"/>
        <v>0.19</v>
      </c>
      <c r="K461" s="1962">
        <f t="shared" si="139"/>
        <v>0.19</v>
      </c>
      <c r="L461" s="1962">
        <f t="shared" si="139"/>
        <v>0.19</v>
      </c>
      <c r="M461" s="1962">
        <f t="shared" si="139"/>
        <v>0.19</v>
      </c>
      <c r="N461" s="1962">
        <f t="shared" si="139"/>
        <v>0.19</v>
      </c>
      <c r="O461" s="1962">
        <f t="shared" si="139"/>
        <v>0.19</v>
      </c>
      <c r="P461" s="1785"/>
    </row>
    <row r="462" spans="1:16" s="410" customFormat="1" ht="14.25">
      <c r="A462" s="539"/>
      <c r="B462" s="415"/>
      <c r="C462" s="413" t="s">
        <v>39</v>
      </c>
      <c r="D462" s="414" t="str">
        <f>INDEX(Vectors[Description], MATCH($C462, Vectors[Code], 0))</f>
        <v>Gaseous hydrocarbons</v>
      </c>
      <c r="E462" s="218"/>
      <c r="F462" s="1962">
        <v>0.04</v>
      </c>
      <c r="G462" s="1962">
        <f t="shared" si="139"/>
        <v>0.04</v>
      </c>
      <c r="H462" s="1962">
        <f t="shared" si="139"/>
        <v>0.04</v>
      </c>
      <c r="I462" s="1962">
        <f t="shared" si="139"/>
        <v>0.04</v>
      </c>
      <c r="J462" s="1962">
        <f t="shared" si="139"/>
        <v>0.04</v>
      </c>
      <c r="K462" s="1962">
        <f t="shared" si="139"/>
        <v>0.04</v>
      </c>
      <c r="L462" s="1962">
        <f t="shared" si="139"/>
        <v>0.04</v>
      </c>
      <c r="M462" s="1962">
        <f t="shared" si="139"/>
        <v>0.04</v>
      </c>
      <c r="N462" s="1962">
        <f t="shared" si="139"/>
        <v>0.04</v>
      </c>
      <c r="O462" s="1962">
        <f t="shared" si="139"/>
        <v>0.04</v>
      </c>
      <c r="P462" s="1785"/>
    </row>
    <row r="463" spans="1:16" s="410" customFormat="1">
      <c r="A463" s="539"/>
      <c r="B463" s="415"/>
      <c r="C463" s="411" t="s">
        <v>253</v>
      </c>
      <c r="D463" s="414" t="str">
        <f>INDEX(Vectors[Description], MATCH($C463, Vectors[Code], 0))</f>
        <v xml:space="preserve"> Gaseous Biomass Hydrocarbons</v>
      </c>
      <c r="E463" s="65"/>
      <c r="F463" s="1963">
        <f t="shared" ref="F463:O463" si="140">100%-SUM(F459:F462)</f>
        <v>0</v>
      </c>
      <c r="G463" s="1963">
        <f t="shared" si="140"/>
        <v>0</v>
      </c>
      <c r="H463" s="1963">
        <f t="shared" si="140"/>
        <v>0</v>
      </c>
      <c r="I463" s="1963">
        <f t="shared" si="140"/>
        <v>0</v>
      </c>
      <c r="J463" s="1963">
        <f t="shared" si="140"/>
        <v>0</v>
      </c>
      <c r="K463" s="1963">
        <f t="shared" si="140"/>
        <v>0</v>
      </c>
      <c r="L463" s="1963">
        <f t="shared" si="140"/>
        <v>0</v>
      </c>
      <c r="M463" s="1963">
        <f t="shared" si="140"/>
        <v>0</v>
      </c>
      <c r="N463" s="1963">
        <f t="shared" si="140"/>
        <v>0</v>
      </c>
      <c r="O463" s="1963">
        <f t="shared" si="140"/>
        <v>0</v>
      </c>
      <c r="P463" s="1785"/>
    </row>
    <row r="464" spans="1:16" s="410" customFormat="1">
      <c r="A464" s="1948"/>
      <c r="B464" s="416"/>
      <c r="C464" s="416"/>
      <c r="D464" s="415"/>
      <c r="E464" s="104"/>
      <c r="F464" s="415"/>
      <c r="G464" s="841"/>
      <c r="H464" s="247"/>
      <c r="I464" s="247"/>
      <c r="J464" s="842"/>
      <c r="K464" s="255"/>
      <c r="L464" s="255"/>
      <c r="M464" s="255"/>
      <c r="N464" s="255"/>
      <c r="O464" s="842"/>
      <c r="P464" s="1785"/>
    </row>
    <row r="465" spans="1:19" s="410" customFormat="1" ht="15.75">
      <c r="A465" s="1948"/>
      <c r="B465" s="316"/>
      <c r="C465" s="416" t="s">
        <v>1617</v>
      </c>
      <c r="D465" s="415"/>
      <c r="E465" s="415"/>
      <c r="F465" s="415"/>
      <c r="G465" s="415"/>
      <c r="H465" s="415"/>
      <c r="I465" s="415"/>
      <c r="J465" s="415"/>
      <c r="K465" s="415"/>
      <c r="L465" s="415"/>
      <c r="M465" s="415"/>
      <c r="N465" s="415"/>
      <c r="O465" s="415"/>
      <c r="P465" s="1785"/>
    </row>
    <row r="466" spans="1:19" s="410" customFormat="1" ht="15.75">
      <c r="A466" s="1948"/>
      <c r="B466" s="316"/>
      <c r="C466" s="415"/>
      <c r="D466" s="415"/>
      <c r="E466" s="415"/>
      <c r="F466" s="415"/>
      <c r="G466" s="415"/>
      <c r="H466" s="415"/>
      <c r="I466" s="415"/>
      <c r="J466" s="415"/>
      <c r="K466" s="415"/>
      <c r="L466" s="415"/>
      <c r="M466" s="415"/>
      <c r="N466" s="415"/>
      <c r="O466" s="415"/>
      <c r="P466" s="1785"/>
    </row>
    <row r="467" spans="1:19" ht="15.75">
      <c r="A467" s="1948"/>
      <c r="B467" s="316"/>
      <c r="C467" s="61" t="s">
        <v>64</v>
      </c>
      <c r="D467" s="61" t="s">
        <v>65</v>
      </c>
      <c r="E467" s="61" t="s">
        <v>156</v>
      </c>
      <c r="F467" s="238">
        <v>2007</v>
      </c>
      <c r="G467" s="119">
        <f>F467+5</f>
        <v>2012</v>
      </c>
      <c r="H467" s="119">
        <f t="shared" ref="H467:O467" si="141">G467+5</f>
        <v>2017</v>
      </c>
      <c r="I467" s="119">
        <f t="shared" si="141"/>
        <v>2022</v>
      </c>
      <c r="J467" s="119">
        <f t="shared" si="141"/>
        <v>2027</v>
      </c>
      <c r="K467" s="119">
        <f t="shared" si="141"/>
        <v>2032</v>
      </c>
      <c r="L467" s="119">
        <f t="shared" si="141"/>
        <v>2037</v>
      </c>
      <c r="M467" s="119">
        <f t="shared" si="141"/>
        <v>2042</v>
      </c>
      <c r="N467" s="119">
        <f t="shared" si="141"/>
        <v>2047</v>
      </c>
      <c r="O467" s="119">
        <f t="shared" si="141"/>
        <v>2052</v>
      </c>
    </row>
    <row r="468" spans="1:19" ht="15.75">
      <c r="A468" s="1948"/>
      <c r="B468" s="316"/>
      <c r="C468" s="413" t="s">
        <v>34</v>
      </c>
      <c r="D468" s="414" t="str">
        <f>INDEX(Vectors[Description], MATCH($C468, Vectors[Code], 0))</f>
        <v>Electricity (delivered to end user)</v>
      </c>
      <c r="E468" s="218"/>
      <c r="F468" s="1962">
        <v>0.56999999999999995</v>
      </c>
      <c r="G468" s="1962">
        <f>F468</f>
        <v>0.56999999999999995</v>
      </c>
      <c r="H468" s="1962">
        <f t="shared" ref="H468:O468" si="142">G468</f>
        <v>0.56999999999999995</v>
      </c>
      <c r="I468" s="1962">
        <f t="shared" si="142"/>
        <v>0.56999999999999995</v>
      </c>
      <c r="J468" s="1962">
        <f t="shared" si="142"/>
        <v>0.56999999999999995</v>
      </c>
      <c r="K468" s="1962">
        <f t="shared" si="142"/>
        <v>0.56999999999999995</v>
      </c>
      <c r="L468" s="1962">
        <f t="shared" si="142"/>
        <v>0.56999999999999995</v>
      </c>
      <c r="M468" s="1962">
        <f t="shared" si="142"/>
        <v>0.56999999999999995</v>
      </c>
      <c r="N468" s="1962">
        <f t="shared" si="142"/>
        <v>0.56999999999999995</v>
      </c>
      <c r="O468" s="1962">
        <f t="shared" si="142"/>
        <v>0.56999999999999995</v>
      </c>
      <c r="P468" s="1945"/>
    </row>
    <row r="469" spans="1:19" ht="15.75">
      <c r="A469" s="1948"/>
      <c r="B469" s="316"/>
      <c r="C469" s="413" t="s">
        <v>36</v>
      </c>
      <c r="D469" s="414" t="str">
        <f>INDEX(Vectors[Description], MATCH($C469, Vectors[Code], 0))</f>
        <v>Solid hydrocarbons</v>
      </c>
      <c r="E469" s="218"/>
      <c r="F469" s="1962">
        <v>0.28000000000000003</v>
      </c>
      <c r="G469" s="1962">
        <f t="shared" ref="G469:O471" si="143">F469</f>
        <v>0.28000000000000003</v>
      </c>
      <c r="H469" s="1962">
        <f t="shared" si="143"/>
        <v>0.28000000000000003</v>
      </c>
      <c r="I469" s="1962">
        <f t="shared" si="143"/>
        <v>0.28000000000000003</v>
      </c>
      <c r="J469" s="1962">
        <f t="shared" si="143"/>
        <v>0.28000000000000003</v>
      </c>
      <c r="K469" s="1962">
        <f t="shared" si="143"/>
        <v>0.28000000000000003</v>
      </c>
      <c r="L469" s="1962">
        <f t="shared" si="143"/>
        <v>0.28000000000000003</v>
      </c>
      <c r="M469" s="1962">
        <f t="shared" si="143"/>
        <v>0.28000000000000003</v>
      </c>
      <c r="N469" s="1962">
        <f t="shared" si="143"/>
        <v>0.28000000000000003</v>
      </c>
      <c r="O469" s="1962">
        <f t="shared" si="143"/>
        <v>0.28000000000000003</v>
      </c>
      <c r="P469" s="624"/>
      <c r="Q469" s="35"/>
    </row>
    <row r="470" spans="1:19" ht="15.75">
      <c r="A470" s="1948"/>
      <c r="B470" s="316"/>
      <c r="C470" s="413" t="s">
        <v>38</v>
      </c>
      <c r="D470" s="414" t="str">
        <f>INDEX(Vectors[Description], MATCH($C470, Vectors[Code], 0))</f>
        <v>Liquid hydrocarbons</v>
      </c>
      <c r="E470" s="218"/>
      <c r="F470" s="1962">
        <v>0.04</v>
      </c>
      <c r="G470" s="1962">
        <f t="shared" si="143"/>
        <v>0.04</v>
      </c>
      <c r="H470" s="1962">
        <f t="shared" si="143"/>
        <v>0.04</v>
      </c>
      <c r="I470" s="1962">
        <f t="shared" si="143"/>
        <v>0.04</v>
      </c>
      <c r="J470" s="1962">
        <f t="shared" si="143"/>
        <v>0.04</v>
      </c>
      <c r="K470" s="1962">
        <f t="shared" si="143"/>
        <v>0.04</v>
      </c>
      <c r="L470" s="1962">
        <f t="shared" si="143"/>
        <v>0.04</v>
      </c>
      <c r="M470" s="1962">
        <f t="shared" si="143"/>
        <v>0.04</v>
      </c>
      <c r="N470" s="1962">
        <f t="shared" si="143"/>
        <v>0.04</v>
      </c>
      <c r="O470" s="1962">
        <f t="shared" si="143"/>
        <v>0.04</v>
      </c>
      <c r="P470" s="624"/>
      <c r="Q470" s="35"/>
    </row>
    <row r="471" spans="1:19" ht="15.75" customHeight="1">
      <c r="A471" s="1948"/>
      <c r="B471" s="316"/>
      <c r="C471" s="413" t="s">
        <v>39</v>
      </c>
      <c r="D471" s="414" t="str">
        <f>INDEX(Vectors[Description], MATCH($C471, Vectors[Code], 0))</f>
        <v>Gaseous hydrocarbons</v>
      </c>
      <c r="E471" s="218"/>
      <c r="F471" s="1962">
        <v>0.11</v>
      </c>
      <c r="G471" s="1962">
        <f t="shared" si="143"/>
        <v>0.11</v>
      </c>
      <c r="H471" s="1962">
        <f t="shared" si="143"/>
        <v>0.11</v>
      </c>
      <c r="I471" s="1962">
        <f t="shared" si="143"/>
        <v>0.11</v>
      </c>
      <c r="J471" s="1962">
        <f t="shared" si="143"/>
        <v>0.11</v>
      </c>
      <c r="K471" s="1962">
        <f t="shared" si="143"/>
        <v>0.11</v>
      </c>
      <c r="L471" s="1962">
        <f t="shared" si="143"/>
        <v>0.11</v>
      </c>
      <c r="M471" s="1962">
        <f t="shared" si="143"/>
        <v>0.11</v>
      </c>
      <c r="N471" s="1962">
        <f t="shared" si="143"/>
        <v>0.11</v>
      </c>
      <c r="O471" s="1962">
        <f t="shared" si="143"/>
        <v>0.11</v>
      </c>
      <c r="P471" s="624"/>
      <c r="Q471" s="35"/>
    </row>
    <row r="472" spans="1:19">
      <c r="B472" s="415"/>
      <c r="C472" s="411" t="s">
        <v>253</v>
      </c>
      <c r="D472" s="414" t="str">
        <f>INDEX(Vectors[Description], MATCH($C472, Vectors[Code], 0))</f>
        <v xml:space="preserve"> Gaseous Biomass Hydrocarbons</v>
      </c>
      <c r="E472" s="65"/>
      <c r="F472" s="1963">
        <f t="shared" ref="F472:O472" si="144">100%-SUM(F468:F471)</f>
        <v>0</v>
      </c>
      <c r="G472" s="1963">
        <f t="shared" si="144"/>
        <v>0</v>
      </c>
      <c r="H472" s="1963">
        <f t="shared" si="144"/>
        <v>0</v>
      </c>
      <c r="I472" s="1963">
        <f t="shared" si="144"/>
        <v>0</v>
      </c>
      <c r="J472" s="1963">
        <f t="shared" si="144"/>
        <v>0</v>
      </c>
      <c r="K472" s="1963">
        <f t="shared" si="144"/>
        <v>0</v>
      </c>
      <c r="L472" s="1963">
        <f t="shared" si="144"/>
        <v>0</v>
      </c>
      <c r="M472" s="1963">
        <f t="shared" si="144"/>
        <v>0</v>
      </c>
      <c r="N472" s="1963">
        <f t="shared" si="144"/>
        <v>0</v>
      </c>
      <c r="O472" s="1963">
        <f t="shared" si="144"/>
        <v>0</v>
      </c>
      <c r="P472" s="624"/>
      <c r="Q472" s="35"/>
    </row>
    <row r="473" spans="1:19">
      <c r="B473" s="415"/>
      <c r="C473" s="416"/>
      <c r="D473" s="415"/>
      <c r="E473" s="104"/>
      <c r="F473" s="104"/>
      <c r="G473" s="1957"/>
      <c r="H473" s="415"/>
      <c r="I473" s="415"/>
      <c r="J473" s="415"/>
      <c r="K473" s="415"/>
      <c r="L473" s="415"/>
      <c r="M473" s="415"/>
      <c r="N473" s="415"/>
      <c r="O473" s="104"/>
      <c r="P473" s="624"/>
      <c r="Q473" s="35"/>
    </row>
    <row r="474" spans="1:19">
      <c r="B474" s="415"/>
      <c r="C474" s="416" t="s">
        <v>1618</v>
      </c>
      <c r="D474" s="415"/>
      <c r="E474" s="415"/>
      <c r="F474" s="415"/>
      <c r="G474" s="415"/>
      <c r="H474" s="415"/>
      <c r="I474" s="415"/>
      <c r="J474" s="415"/>
      <c r="K474" s="415"/>
      <c r="L474" s="415"/>
      <c r="M474" s="415"/>
      <c r="N474" s="415"/>
      <c r="O474" s="415"/>
      <c r="P474" s="624"/>
      <c r="Q474" s="35"/>
    </row>
    <row r="475" spans="1:19" ht="15.75">
      <c r="B475" s="316"/>
      <c r="C475" s="415"/>
      <c r="D475" s="415"/>
      <c r="E475" s="415"/>
      <c r="F475" s="415"/>
      <c r="G475" s="415"/>
      <c r="H475" s="415"/>
      <c r="I475" s="415"/>
      <c r="J475" s="415"/>
      <c r="K475" s="415"/>
      <c r="L475" s="415"/>
      <c r="M475" s="415"/>
      <c r="N475" s="415"/>
      <c r="O475" s="415"/>
      <c r="P475" s="624"/>
      <c r="Q475" s="35"/>
    </row>
    <row r="476" spans="1:19" ht="15.75">
      <c r="B476" s="316"/>
      <c r="C476" s="61" t="s">
        <v>64</v>
      </c>
      <c r="D476" s="61" t="s">
        <v>65</v>
      </c>
      <c r="E476" s="61" t="s">
        <v>156</v>
      </c>
      <c r="F476" s="238">
        <v>2007</v>
      </c>
      <c r="G476" s="119">
        <f>F476+5</f>
        <v>2012</v>
      </c>
      <c r="H476" s="119">
        <f t="shared" ref="H476:O476" si="145">G476+5</f>
        <v>2017</v>
      </c>
      <c r="I476" s="119">
        <f t="shared" si="145"/>
        <v>2022</v>
      </c>
      <c r="J476" s="119">
        <f t="shared" si="145"/>
        <v>2027</v>
      </c>
      <c r="K476" s="119">
        <f t="shared" si="145"/>
        <v>2032</v>
      </c>
      <c r="L476" s="119">
        <f t="shared" si="145"/>
        <v>2037</v>
      </c>
      <c r="M476" s="119">
        <f t="shared" si="145"/>
        <v>2042</v>
      </c>
      <c r="N476" s="119">
        <f t="shared" si="145"/>
        <v>2047</v>
      </c>
      <c r="O476" s="119">
        <f t="shared" si="145"/>
        <v>2052</v>
      </c>
      <c r="P476" s="624"/>
      <c r="Q476" s="35"/>
      <c r="R476" s="529"/>
      <c r="S476" s="529"/>
    </row>
    <row r="477" spans="1:19" ht="15.75">
      <c r="B477" s="316"/>
      <c r="C477" s="413" t="s">
        <v>34</v>
      </c>
      <c r="D477" s="414" t="str">
        <f>INDEX(Vectors[Description], MATCH($C477, Vectors[Code], 0))</f>
        <v>Electricity (delivered to end user)</v>
      </c>
      <c r="E477" s="218"/>
      <c r="F477" s="1962">
        <f>G477</f>
        <v>0.36019285012925562</v>
      </c>
      <c r="G477" s="1962">
        <f>G637/G$633</f>
        <v>0.36019285012925562</v>
      </c>
      <c r="H477" s="1962">
        <f>G477</f>
        <v>0.36019285012925562</v>
      </c>
      <c r="I477" s="1962">
        <f t="shared" ref="I477:O477" si="146">H477</f>
        <v>0.36019285012925562</v>
      </c>
      <c r="J477" s="1962">
        <f t="shared" si="146"/>
        <v>0.36019285012925562</v>
      </c>
      <c r="K477" s="1962">
        <f t="shared" si="146"/>
        <v>0.36019285012925562</v>
      </c>
      <c r="L477" s="1962">
        <f t="shared" si="146"/>
        <v>0.36019285012925562</v>
      </c>
      <c r="M477" s="1962">
        <f t="shared" si="146"/>
        <v>0.36019285012925562</v>
      </c>
      <c r="N477" s="1962">
        <f t="shared" si="146"/>
        <v>0.36019285012925562</v>
      </c>
      <c r="O477" s="1962">
        <f t="shared" si="146"/>
        <v>0.36019285012925562</v>
      </c>
      <c r="P477" s="624"/>
      <c r="Q477" s="35"/>
      <c r="R477" s="529"/>
      <c r="S477" s="529"/>
    </row>
    <row r="478" spans="1:19" ht="13.5" customHeight="1">
      <c r="B478" s="316"/>
      <c r="C478" s="413" t="s">
        <v>36</v>
      </c>
      <c r="D478" s="414" t="str">
        <f>INDEX(Vectors[Description], MATCH($C478, Vectors[Code], 0))</f>
        <v>Solid hydrocarbons</v>
      </c>
      <c r="E478" s="218"/>
      <c r="F478" s="1962">
        <f t="shared" ref="F478:F480" si="147">G478</f>
        <v>9.3394850709091662E-2</v>
      </c>
      <c r="G478" s="1962">
        <f t="shared" ref="G478:G480" si="148">G638/G$633</f>
        <v>9.3394850709091662E-2</v>
      </c>
      <c r="H478" s="1962">
        <f t="shared" ref="H478:O480" si="149">G478</f>
        <v>9.3394850709091662E-2</v>
      </c>
      <c r="I478" s="1962">
        <f t="shared" si="149"/>
        <v>9.3394850709091662E-2</v>
      </c>
      <c r="J478" s="1962">
        <f t="shared" si="149"/>
        <v>9.3394850709091662E-2</v>
      </c>
      <c r="K478" s="1962">
        <f t="shared" si="149"/>
        <v>9.3394850709091662E-2</v>
      </c>
      <c r="L478" s="1962">
        <f t="shared" si="149"/>
        <v>9.3394850709091662E-2</v>
      </c>
      <c r="M478" s="1962">
        <f t="shared" si="149"/>
        <v>9.3394850709091662E-2</v>
      </c>
      <c r="N478" s="1962">
        <f t="shared" si="149"/>
        <v>9.3394850709091662E-2</v>
      </c>
      <c r="O478" s="1962">
        <f t="shared" si="149"/>
        <v>9.3394850709091662E-2</v>
      </c>
      <c r="P478" s="624"/>
      <c r="Q478" s="35"/>
      <c r="R478" s="529"/>
      <c r="S478" s="529"/>
    </row>
    <row r="479" spans="1:19" ht="13.5" customHeight="1">
      <c r="B479" s="316"/>
      <c r="C479" s="413" t="s">
        <v>38</v>
      </c>
      <c r="D479" s="414" t="str">
        <f>INDEX(Vectors[Description], MATCH($C479, Vectors[Code], 0))</f>
        <v>Liquid hydrocarbons</v>
      </c>
      <c r="E479" s="218"/>
      <c r="F479" s="1962">
        <f t="shared" si="147"/>
        <v>0.43376276984402101</v>
      </c>
      <c r="G479" s="1962">
        <f t="shared" si="148"/>
        <v>0.43376276984402101</v>
      </c>
      <c r="H479" s="1962">
        <f t="shared" si="149"/>
        <v>0.43376276984402101</v>
      </c>
      <c r="I479" s="1962">
        <f t="shared" si="149"/>
        <v>0.43376276984402101</v>
      </c>
      <c r="J479" s="1962">
        <f t="shared" si="149"/>
        <v>0.43376276984402101</v>
      </c>
      <c r="K479" s="1962">
        <f t="shared" si="149"/>
        <v>0.43376276984402101</v>
      </c>
      <c r="L479" s="1962">
        <f t="shared" si="149"/>
        <v>0.43376276984402101</v>
      </c>
      <c r="M479" s="1962">
        <f t="shared" si="149"/>
        <v>0.43376276984402101</v>
      </c>
      <c r="N479" s="1962">
        <f t="shared" si="149"/>
        <v>0.43376276984402101</v>
      </c>
      <c r="O479" s="1962">
        <f t="shared" si="149"/>
        <v>0.43376276984402101</v>
      </c>
      <c r="P479" s="624"/>
      <c r="Q479" s="35"/>
      <c r="R479" s="529"/>
      <c r="S479" s="529"/>
    </row>
    <row r="480" spans="1:19" ht="13.5" customHeight="1">
      <c r="B480" s="316"/>
      <c r="C480" s="413" t="s">
        <v>39</v>
      </c>
      <c r="D480" s="414" t="str">
        <f>INDEX(Vectors[Description], MATCH($C480, Vectors[Code], 0))</f>
        <v>Gaseous hydrocarbons</v>
      </c>
      <c r="E480" s="218"/>
      <c r="F480" s="1962">
        <f t="shared" si="147"/>
        <v>0.11264952931763166</v>
      </c>
      <c r="G480" s="1962">
        <f t="shared" si="148"/>
        <v>0.11264952931763166</v>
      </c>
      <c r="H480" s="1962">
        <f t="shared" si="149"/>
        <v>0.11264952931763166</v>
      </c>
      <c r="I480" s="1962">
        <f t="shared" si="149"/>
        <v>0.11264952931763166</v>
      </c>
      <c r="J480" s="1962">
        <f t="shared" si="149"/>
        <v>0.11264952931763166</v>
      </c>
      <c r="K480" s="1962">
        <f t="shared" si="149"/>
        <v>0.11264952931763166</v>
      </c>
      <c r="L480" s="1962">
        <f t="shared" si="149"/>
        <v>0.11264952931763166</v>
      </c>
      <c r="M480" s="1962">
        <f t="shared" si="149"/>
        <v>0.11264952931763166</v>
      </c>
      <c r="N480" s="1962">
        <f t="shared" si="149"/>
        <v>0.11264952931763166</v>
      </c>
      <c r="O480" s="1962">
        <f t="shared" si="149"/>
        <v>0.11264952931763166</v>
      </c>
      <c r="P480" s="624"/>
      <c r="R480" s="529"/>
      <c r="S480" s="529"/>
    </row>
    <row r="481" spans="1:19" ht="13.5" customHeight="1">
      <c r="B481" s="415"/>
      <c r="C481" s="411" t="s">
        <v>253</v>
      </c>
      <c r="D481" s="414" t="str">
        <f>INDEX(Vectors[Description], MATCH($C481, Vectors[Code], 0))</f>
        <v xml:space="preserve"> Gaseous Biomass Hydrocarbons</v>
      </c>
      <c r="E481" s="65"/>
      <c r="F481" s="1963"/>
      <c r="G481" s="1963">
        <f t="shared" ref="G481:O481" si="150">100%-SUM(G477:G480)</f>
        <v>0</v>
      </c>
      <c r="H481" s="1963">
        <f t="shared" si="150"/>
        <v>0</v>
      </c>
      <c r="I481" s="1963">
        <f t="shared" si="150"/>
        <v>0</v>
      </c>
      <c r="J481" s="1963">
        <f t="shared" si="150"/>
        <v>0</v>
      </c>
      <c r="K481" s="1963">
        <f t="shared" si="150"/>
        <v>0</v>
      </c>
      <c r="L481" s="1963">
        <f t="shared" si="150"/>
        <v>0</v>
      </c>
      <c r="M481" s="1963">
        <f t="shared" si="150"/>
        <v>0</v>
      </c>
      <c r="N481" s="1963">
        <f t="shared" si="150"/>
        <v>0</v>
      </c>
      <c r="O481" s="1963">
        <f t="shared" si="150"/>
        <v>0</v>
      </c>
      <c r="P481" s="624"/>
      <c r="R481" s="529"/>
      <c r="S481" s="529"/>
    </row>
    <row r="482" spans="1:19">
      <c r="A482" s="1948"/>
      <c r="B482" s="203"/>
      <c r="C482" s="413"/>
      <c r="D482" s="417"/>
      <c r="E482" s="218"/>
      <c r="F482" s="1953"/>
      <c r="G482" s="890"/>
      <c r="H482" s="890"/>
      <c r="I482" s="890"/>
      <c r="J482" s="890"/>
      <c r="K482" s="890"/>
      <c r="L482" s="890"/>
      <c r="M482" s="890"/>
      <c r="N482" s="890"/>
      <c r="O482" s="890"/>
      <c r="P482" s="969"/>
    </row>
    <row r="483" spans="1:19" ht="7.5" customHeight="1">
      <c r="B483" s="1954"/>
      <c r="P483" s="969"/>
    </row>
    <row r="484" spans="1:19" ht="18">
      <c r="A484" s="62"/>
      <c r="B484" s="89" t="s">
        <v>241</v>
      </c>
      <c r="P484" s="969"/>
    </row>
    <row r="485" spans="1:19">
      <c r="A485" s="19"/>
      <c r="B485" s="423">
        <v>1</v>
      </c>
      <c r="D485" s="19"/>
      <c r="E485" s="19"/>
      <c r="F485" s="19"/>
      <c r="G485" s="19"/>
      <c r="H485" s="19"/>
      <c r="I485" s="19"/>
      <c r="J485" s="19"/>
      <c r="K485" s="19"/>
      <c r="L485" s="19"/>
      <c r="M485" s="19"/>
      <c r="N485" s="19"/>
      <c r="O485" s="19"/>
      <c r="P485" s="969"/>
    </row>
    <row r="486" spans="1:19">
      <c r="A486" s="19"/>
      <c r="B486" s="423">
        <v>2</v>
      </c>
      <c r="D486" s="19"/>
      <c r="E486" s="19"/>
      <c r="F486" s="19"/>
      <c r="G486" s="19"/>
      <c r="H486" s="19"/>
      <c r="I486" s="19"/>
      <c r="J486" s="19"/>
      <c r="K486" s="19"/>
      <c r="L486" s="19"/>
      <c r="M486" s="19"/>
      <c r="N486" s="19"/>
      <c r="O486" s="19"/>
      <c r="P486" s="969"/>
    </row>
    <row r="487" spans="1:19">
      <c r="A487" s="19"/>
      <c r="B487" s="423">
        <v>3</v>
      </c>
      <c r="D487" s="19"/>
      <c r="E487" s="19"/>
      <c r="F487" s="19"/>
      <c r="G487" s="19"/>
      <c r="H487" s="19"/>
      <c r="I487" s="19"/>
      <c r="J487" s="19"/>
      <c r="K487" s="19"/>
      <c r="L487" s="19"/>
      <c r="M487" s="19"/>
      <c r="N487" s="19"/>
      <c r="O487" s="19"/>
      <c r="P487" s="969"/>
    </row>
    <row r="488" spans="1:19">
      <c r="A488" s="19"/>
      <c r="B488" s="423">
        <v>4</v>
      </c>
      <c r="D488" s="19"/>
      <c r="E488" s="19"/>
      <c r="F488" s="19"/>
      <c r="G488" s="19"/>
      <c r="H488" s="19"/>
      <c r="I488" s="19"/>
      <c r="J488" s="19"/>
      <c r="K488" s="19"/>
      <c r="L488" s="19"/>
      <c r="M488" s="19"/>
      <c r="N488" s="19"/>
      <c r="O488" s="19"/>
      <c r="P488" s="969"/>
    </row>
    <row r="489" spans="1:19">
      <c r="A489" s="19"/>
      <c r="B489" s="423"/>
      <c r="D489" s="19"/>
      <c r="E489" s="19"/>
      <c r="F489" s="19"/>
      <c r="G489" s="19"/>
      <c r="H489" s="19"/>
      <c r="I489" s="19"/>
      <c r="J489" s="19"/>
      <c r="K489" s="19"/>
      <c r="L489" s="19"/>
      <c r="M489" s="19"/>
      <c r="N489" s="19"/>
      <c r="O489" s="19"/>
      <c r="P489" s="969"/>
    </row>
    <row r="490" spans="1:19">
      <c r="A490" s="19"/>
      <c r="B490" s="2959"/>
      <c r="D490" s="19"/>
      <c r="E490" s="19"/>
      <c r="F490" s="19"/>
      <c r="G490" s="19"/>
      <c r="H490" s="19"/>
      <c r="I490" s="19"/>
      <c r="J490" s="19"/>
      <c r="K490" s="19"/>
      <c r="L490" s="19"/>
      <c r="M490" s="19"/>
      <c r="N490" s="19"/>
      <c r="O490" s="19"/>
      <c r="P490" s="969"/>
    </row>
    <row r="491" spans="1:19">
      <c r="A491" s="19"/>
      <c r="B491" s="2959"/>
      <c r="D491" s="19"/>
      <c r="E491" s="856"/>
      <c r="F491" s="19"/>
      <c r="G491" s="19"/>
      <c r="H491" s="19"/>
      <c r="I491" s="19"/>
      <c r="J491" s="19"/>
      <c r="K491" s="19"/>
      <c r="L491" s="19"/>
      <c r="M491" s="19"/>
      <c r="N491" s="19"/>
      <c r="O491" s="19"/>
      <c r="P491" s="969"/>
    </row>
    <row r="492" spans="1:19">
      <c r="A492" s="423">
        <v>1.1000000000000001</v>
      </c>
      <c r="B492" s="423" t="s">
        <v>1640</v>
      </c>
      <c r="D492" s="19"/>
      <c r="E492" s="2960" t="s">
        <v>404</v>
      </c>
      <c r="F492" s="1658">
        <v>2007</v>
      </c>
      <c r="G492" s="1658">
        <f>F492+5</f>
        <v>2012</v>
      </c>
      <c r="H492" s="1658">
        <f t="shared" ref="H492:O492" si="151">G492+5</f>
        <v>2017</v>
      </c>
      <c r="I492" s="1658">
        <f t="shared" si="151"/>
        <v>2022</v>
      </c>
      <c r="J492" s="1658">
        <f t="shared" si="151"/>
        <v>2027</v>
      </c>
      <c r="K492" s="1658">
        <f t="shared" si="151"/>
        <v>2032</v>
      </c>
      <c r="L492" s="1658">
        <f t="shared" si="151"/>
        <v>2037</v>
      </c>
      <c r="M492" s="1658">
        <f t="shared" si="151"/>
        <v>2042</v>
      </c>
      <c r="N492" s="1658">
        <f t="shared" si="151"/>
        <v>2047</v>
      </c>
      <c r="O492" s="1658">
        <f t="shared" si="151"/>
        <v>2052</v>
      </c>
      <c r="P492" s="969"/>
    </row>
    <row r="493" spans="1:19">
      <c r="A493" s="19"/>
      <c r="B493" s="423"/>
      <c r="C493" s="37"/>
      <c r="D493" s="19"/>
      <c r="E493" s="856"/>
      <c r="F493" s="1658"/>
      <c r="G493" s="1658"/>
      <c r="H493" s="1658"/>
      <c r="I493" s="1658"/>
      <c r="J493" s="1658"/>
      <c r="K493" s="1658"/>
      <c r="L493" s="1658"/>
      <c r="M493" s="1658"/>
      <c r="N493" s="1658"/>
      <c r="O493" s="1658"/>
    </row>
    <row r="494" spans="1:19">
      <c r="A494" s="19"/>
      <c r="B494" s="780" t="s">
        <v>1636</v>
      </c>
      <c r="D494" s="19"/>
      <c r="E494" s="1971" t="s">
        <v>1421</v>
      </c>
      <c r="F494" s="22">
        <f t="shared" ref="F494:O494" si="152">F385</f>
        <v>162</v>
      </c>
      <c r="G494" s="22">
        <f t="shared" si="152"/>
        <v>246.7</v>
      </c>
      <c r="H494" s="22">
        <f t="shared" si="152"/>
        <v>349.11976193855685</v>
      </c>
      <c r="I494" s="22">
        <f t="shared" si="152"/>
        <v>469.39557384822854</v>
      </c>
      <c r="J494" s="22">
        <f t="shared" si="152"/>
        <v>584.53233377125025</v>
      </c>
      <c r="K494" s="22">
        <f t="shared" si="152"/>
        <v>699.42486907479497</v>
      </c>
      <c r="L494" s="22">
        <f t="shared" si="152"/>
        <v>791.9319788933235</v>
      </c>
      <c r="M494" s="22">
        <f t="shared" si="152"/>
        <v>870.25333657181818</v>
      </c>
      <c r="N494" s="22">
        <f t="shared" si="152"/>
        <v>925.72604681358359</v>
      </c>
      <c r="O494" s="22">
        <f t="shared" si="152"/>
        <v>981.45430880038111</v>
      </c>
    </row>
    <row r="495" spans="1:19">
      <c r="A495" s="19"/>
      <c r="B495" s="780" t="s">
        <v>1637</v>
      </c>
      <c r="D495" s="19"/>
      <c r="E495" s="1971" t="s">
        <v>1421</v>
      </c>
      <c r="F495" s="22">
        <f t="shared" ref="F495:O495" si="153">F494*F33</f>
        <v>0</v>
      </c>
      <c r="G495" s="22">
        <f t="shared" si="153"/>
        <v>178.04281299999997</v>
      </c>
      <c r="H495" s="22">
        <f t="shared" si="153"/>
        <v>178.04281299999991</v>
      </c>
      <c r="I495" s="22">
        <f t="shared" si="153"/>
        <v>178.04281299999991</v>
      </c>
      <c r="J495" s="22">
        <f t="shared" si="153"/>
        <v>178.04281299999994</v>
      </c>
      <c r="K495" s="22">
        <f t="shared" si="153"/>
        <v>178.04281300000005</v>
      </c>
      <c r="L495" s="22">
        <f t="shared" si="153"/>
        <v>178.04281300000014</v>
      </c>
      <c r="M495" s="22">
        <f t="shared" si="153"/>
        <v>178.04281300000011</v>
      </c>
      <c r="N495" s="22">
        <f t="shared" si="153"/>
        <v>178.04281300000008</v>
      </c>
      <c r="O495" s="22">
        <f t="shared" si="153"/>
        <v>178.04281300000014</v>
      </c>
    </row>
    <row r="496" spans="1:19">
      <c r="A496" s="19"/>
      <c r="B496" s="780" t="s">
        <v>1638</v>
      </c>
      <c r="D496" s="19"/>
      <c r="E496" s="1971" t="s">
        <v>1421</v>
      </c>
      <c r="F496" s="22">
        <f>F494-F495</f>
        <v>162</v>
      </c>
      <c r="G496" s="22">
        <f t="shared" ref="G496:O496" si="154">G494-G495</f>
        <v>68.657187000000022</v>
      </c>
      <c r="H496" s="22">
        <f t="shared" si="154"/>
        <v>171.07694893855694</v>
      </c>
      <c r="I496" s="22">
        <f t="shared" si="154"/>
        <v>291.35276084822863</v>
      </c>
      <c r="J496" s="22">
        <f t="shared" si="154"/>
        <v>406.48952077125034</v>
      </c>
      <c r="K496" s="22">
        <f t="shared" si="154"/>
        <v>521.38205607479495</v>
      </c>
      <c r="L496" s="22">
        <f t="shared" si="154"/>
        <v>613.88916589332337</v>
      </c>
      <c r="M496" s="22">
        <f t="shared" si="154"/>
        <v>692.21052357181804</v>
      </c>
      <c r="N496" s="22">
        <f t="shared" si="154"/>
        <v>747.68323381358346</v>
      </c>
      <c r="O496" s="22">
        <f t="shared" si="154"/>
        <v>803.41149580038098</v>
      </c>
    </row>
    <row r="497" spans="1:16">
      <c r="A497" s="19"/>
      <c r="B497" s="780" t="s">
        <v>1639</v>
      </c>
      <c r="D497" s="19"/>
      <c r="E497" s="1971" t="str">
        <f>preferences.energyunits</f>
        <v>TWh</v>
      </c>
      <c r="F497" s="22">
        <f t="shared" ref="F497:O497" si="155">F495*F106+F115*F496</f>
        <v>176.50156688999999</v>
      </c>
      <c r="G497" s="22">
        <f t="shared" si="155"/>
        <v>249.59575438290011</v>
      </c>
      <c r="H497" s="22">
        <f t="shared" si="155"/>
        <v>346.93371543282444</v>
      </c>
      <c r="I497" s="22">
        <f t="shared" si="155"/>
        <v>471.916415864763</v>
      </c>
      <c r="J497" s="22">
        <f t="shared" si="155"/>
        <v>591.0223632938322</v>
      </c>
      <c r="K497" s="22">
        <f t="shared" si="155"/>
        <v>709.36577220589629</v>
      </c>
      <c r="L497" s="22">
        <f t="shared" si="155"/>
        <v>804.01780638839909</v>
      </c>
      <c r="M497" s="22">
        <f t="shared" si="155"/>
        <v>883.60076440575153</v>
      </c>
      <c r="N497" s="22">
        <f t="shared" si="155"/>
        <v>939.27533367137607</v>
      </c>
      <c r="O497" s="22">
        <f t="shared" si="155"/>
        <v>994.96760105661815</v>
      </c>
    </row>
    <row r="498" spans="1:16">
      <c r="A498" s="17"/>
      <c r="B498" s="51"/>
      <c r="C498" s="859"/>
      <c r="D498" s="17"/>
      <c r="E498" s="1969"/>
      <c r="F498" s="1970"/>
      <c r="G498" s="1970"/>
      <c r="H498" s="1970"/>
      <c r="I498" s="1970"/>
      <c r="J498" s="1970"/>
      <c r="K498" s="1970"/>
      <c r="L498" s="1970"/>
      <c r="M498" s="1970"/>
      <c r="N498" s="1970"/>
      <c r="O498" s="1970"/>
    </row>
    <row r="499" spans="1:16">
      <c r="A499" s="19"/>
      <c r="B499" s="423"/>
      <c r="D499" s="423"/>
      <c r="E499" s="856"/>
      <c r="F499" s="73"/>
      <c r="G499" s="73"/>
      <c r="H499" s="73"/>
      <c r="I499" s="73"/>
      <c r="J499" s="73"/>
      <c r="K499" s="73"/>
      <c r="L499" s="73"/>
      <c r="M499" s="73"/>
      <c r="N499" s="73"/>
      <c r="O499" s="73"/>
    </row>
    <row r="500" spans="1:16">
      <c r="A500" s="423" t="s">
        <v>1529</v>
      </c>
      <c r="B500" s="423"/>
      <c r="C500" s="37" t="s">
        <v>1635</v>
      </c>
      <c r="D500" s="423"/>
      <c r="E500" s="856"/>
      <c r="F500" s="73"/>
      <c r="G500" s="73"/>
      <c r="H500" s="73"/>
      <c r="I500" s="73"/>
      <c r="J500" s="73"/>
      <c r="K500" s="73"/>
      <c r="L500" s="73"/>
      <c r="M500" s="73"/>
      <c r="N500" s="73"/>
      <c r="O500" s="73"/>
    </row>
    <row r="501" spans="1:16">
      <c r="A501" s="19"/>
      <c r="B501" s="422" t="s">
        <v>34</v>
      </c>
      <c r="C501" s="19" t="str">
        <f>INDEX(Vectors[Description], MATCH($B501, Vectors[Code], 0))</f>
        <v>Electricity (delivered to end user)</v>
      </c>
      <c r="D501" s="19"/>
      <c r="E501" s="1972" t="str">
        <f>preferences.energyunits</f>
        <v>TWh</v>
      </c>
      <c r="F501" s="90">
        <f t="shared" ref="F501:O504" si="156">F$497*F411</f>
        <v>5.2950470066999999</v>
      </c>
      <c r="G501" s="90">
        <f t="shared" si="156"/>
        <v>7.4878726314870034</v>
      </c>
      <c r="H501" s="90">
        <f t="shared" si="156"/>
        <v>10.408011462984733</v>
      </c>
      <c r="I501" s="90">
        <f t="shared" si="156"/>
        <v>14.15749247594289</v>
      </c>
      <c r="J501" s="90">
        <f t="shared" si="156"/>
        <v>17.730670898814964</v>
      </c>
      <c r="K501" s="90">
        <f t="shared" si="156"/>
        <v>21.280973166176889</v>
      </c>
      <c r="L501" s="90">
        <f t="shared" si="156"/>
        <v>24.120534191651974</v>
      </c>
      <c r="M501" s="90">
        <f t="shared" si="156"/>
        <v>26.508022932172544</v>
      </c>
      <c r="N501" s="90">
        <f t="shared" si="156"/>
        <v>28.17826001014128</v>
      </c>
      <c r="O501" s="90">
        <f t="shared" si="156"/>
        <v>29.849028031698545</v>
      </c>
      <c r="P501" s="90"/>
    </row>
    <row r="502" spans="1:16">
      <c r="A502" s="19"/>
      <c r="B502" s="422" t="s">
        <v>36</v>
      </c>
      <c r="C502" s="19" t="str">
        <f>INDEX(Vectors[Description], MATCH($B502, Vectors[Code], 0))</f>
        <v>Solid hydrocarbons</v>
      </c>
      <c r="D502" s="19"/>
      <c r="E502" s="1972" t="str">
        <f>preferences.energyunits</f>
        <v>TWh</v>
      </c>
      <c r="F502" s="90">
        <f t="shared" si="156"/>
        <v>162.3814415388</v>
      </c>
      <c r="G502" s="90">
        <f t="shared" si="156"/>
        <v>229.62809403226811</v>
      </c>
      <c r="H502" s="90">
        <f t="shared" si="156"/>
        <v>319.17901819819849</v>
      </c>
      <c r="I502" s="90">
        <f t="shared" si="156"/>
        <v>434.16310259558196</v>
      </c>
      <c r="J502" s="90">
        <f t="shared" si="156"/>
        <v>543.74057423032559</v>
      </c>
      <c r="K502" s="90">
        <f t="shared" si="156"/>
        <v>652.61651042942458</v>
      </c>
      <c r="L502" s="90">
        <f t="shared" si="156"/>
        <v>739.69638187732721</v>
      </c>
      <c r="M502" s="90">
        <f t="shared" si="156"/>
        <v>812.9127032532914</v>
      </c>
      <c r="N502" s="90">
        <f t="shared" si="156"/>
        <v>864.13330697766605</v>
      </c>
      <c r="O502" s="90">
        <f t="shared" si="156"/>
        <v>915.37019297208872</v>
      </c>
      <c r="P502" s="90"/>
    </row>
    <row r="503" spans="1:16">
      <c r="A503" s="19"/>
      <c r="B503" s="422" t="s">
        <v>38</v>
      </c>
      <c r="C503" s="19" t="str">
        <f>INDEX(Vectors[Description], MATCH($B503, Vectors[Code], 0))</f>
        <v>Liquid hydrocarbons</v>
      </c>
      <c r="D503" s="19"/>
      <c r="E503" s="1972" t="str">
        <f>preferences.energyunits</f>
        <v>TWh</v>
      </c>
      <c r="F503" s="90">
        <f t="shared" si="156"/>
        <v>8.8250783444999996</v>
      </c>
      <c r="G503" s="90">
        <f t="shared" si="156"/>
        <v>12.479787719145007</v>
      </c>
      <c r="H503" s="90">
        <f t="shared" si="156"/>
        <v>17.346685771641223</v>
      </c>
      <c r="I503" s="90">
        <f t="shared" si="156"/>
        <v>23.595820793238151</v>
      </c>
      <c r="J503" s="90">
        <f t="shared" si="156"/>
        <v>29.551118164691612</v>
      </c>
      <c r="K503" s="90">
        <f t="shared" si="156"/>
        <v>35.468288610294813</v>
      </c>
      <c r="L503" s="90">
        <f t="shared" si="156"/>
        <v>40.200890319419955</v>
      </c>
      <c r="M503" s="90">
        <f t="shared" si="156"/>
        <v>44.180038220287578</v>
      </c>
      <c r="N503" s="90">
        <f t="shared" si="156"/>
        <v>46.963766683568807</v>
      </c>
      <c r="O503" s="90">
        <f t="shared" si="156"/>
        <v>49.74838005283091</v>
      </c>
      <c r="P503" s="90"/>
    </row>
    <row r="504" spans="1:16">
      <c r="A504" s="19"/>
      <c r="B504" s="422" t="s">
        <v>39</v>
      </c>
      <c r="C504" s="19" t="str">
        <f>INDEX(Vectors[Description], MATCH($B504, Vectors[Code], 0))</f>
        <v>Gaseous hydrocarbons</v>
      </c>
      <c r="D504" s="19"/>
      <c r="E504" s="1972" t="str">
        <f>preferences.energyunits</f>
        <v>TWh</v>
      </c>
      <c r="F504" s="90">
        <f t="shared" si="156"/>
        <v>0</v>
      </c>
      <c r="G504" s="90">
        <f t="shared" si="156"/>
        <v>0</v>
      </c>
      <c r="H504" s="90">
        <f t="shared" si="156"/>
        <v>0</v>
      </c>
      <c r="I504" s="90">
        <f t="shared" si="156"/>
        <v>0</v>
      </c>
      <c r="J504" s="90">
        <f t="shared" si="156"/>
        <v>0</v>
      </c>
      <c r="K504" s="90">
        <f t="shared" si="156"/>
        <v>0</v>
      </c>
      <c r="L504" s="90">
        <f t="shared" si="156"/>
        <v>0</v>
      </c>
      <c r="M504" s="90">
        <f t="shared" si="156"/>
        <v>0</v>
      </c>
      <c r="N504" s="90">
        <f t="shared" si="156"/>
        <v>0</v>
      </c>
      <c r="O504" s="90">
        <f t="shared" si="156"/>
        <v>0</v>
      </c>
      <c r="P504" s="90"/>
    </row>
    <row r="505" spans="1:16">
      <c r="A505" s="19"/>
      <c r="B505" s="422"/>
      <c r="C505" s="19"/>
      <c r="D505" s="19"/>
      <c r="E505" s="1972"/>
      <c r="F505" s="90"/>
      <c r="G505" s="90"/>
      <c r="H505" s="90"/>
      <c r="I505" s="90"/>
      <c r="J505" s="90"/>
      <c r="K505" s="90"/>
      <c r="L505" s="90"/>
      <c r="M505" s="90"/>
      <c r="N505" s="90"/>
      <c r="O505" s="90"/>
    </row>
    <row r="506" spans="1:16" ht="14.25">
      <c r="A506" s="423" t="s">
        <v>281</v>
      </c>
      <c r="B506" s="422"/>
      <c r="C506" s="2959" t="s">
        <v>350</v>
      </c>
      <c r="D506" s="51"/>
      <c r="E506" s="99" t="s">
        <v>368</v>
      </c>
      <c r="F506" s="90">
        <f>F$502*INDEX(EF[CO2], MATCH("V.03", EF[Vector], 0))+F$503*INDEX(EF[CO2], MATCH("V.04", EF[Vector], 0))+F$504*INDEX(EF[CO2], MATCH("V.05", EF[Vector], 0))</f>
        <v>58.715934652315745</v>
      </c>
      <c r="G506" s="90">
        <f>G$502*INDEX(EF[CO2], MATCH("V.03", EF[Vector], 0))+G$503*INDEX(EF[CO2], MATCH("V.04", EF[Vector], 0))+G$504*INDEX(EF[CO2], MATCH("V.05", EF[Vector], 0))</f>
        <v>83.03182947364607</v>
      </c>
      <c r="H506" s="90">
        <f>H$502*INDEX(EF[CO2], MATCH("V.03", EF[Vector], 0))+H$503*INDEX(EF[CO2], MATCH("V.04", EF[Vector], 0))+H$504*INDEX(EF[CO2], MATCH("V.05", EF[Vector], 0))</f>
        <v>115.41278484362823</v>
      </c>
      <c r="I506" s="90">
        <f>I$502*INDEX(EF[CO2], MATCH("V.03", EF[Vector], 0))+I$503*INDEX(EF[CO2], MATCH("V.04", EF[Vector], 0))+I$504*INDEX(EF[CO2], MATCH("V.05", EF[Vector], 0))</f>
        <v>156.9901838465797</v>
      </c>
      <c r="J506" s="90">
        <f>J$502*INDEX(EF[CO2], MATCH("V.03", EF[Vector], 0))+J$503*INDEX(EF[CO2], MATCH("V.04", EF[Vector], 0))+J$504*INDEX(EF[CO2], MATCH("V.05", EF[Vector], 0))</f>
        <v>196.6125914499402</v>
      </c>
      <c r="K506" s="90">
        <f>K$502*INDEX(EF[CO2], MATCH("V.03", EF[Vector], 0))+K$503*INDEX(EF[CO2], MATCH("V.04", EF[Vector], 0))+K$504*INDEX(EF[CO2], MATCH("V.05", EF[Vector], 0))</f>
        <v>235.98132900082891</v>
      </c>
      <c r="L506" s="90">
        <f>L$502*INDEX(EF[CO2], MATCH("V.03", EF[Vector], 0))+L$503*INDEX(EF[CO2], MATCH("V.04", EF[Vector], 0))+L$504*INDEX(EF[CO2], MATCH("V.05", EF[Vector], 0))</f>
        <v>267.46876988701786</v>
      </c>
      <c r="M506" s="90">
        <f>M$502*INDEX(EF[CO2], MATCH("V.03", EF[Vector], 0))+M$503*INDEX(EF[CO2], MATCH("V.04", EF[Vector], 0))+M$504*INDEX(EF[CO2], MATCH("V.05", EF[Vector], 0))</f>
        <v>293.94325305858672</v>
      </c>
      <c r="N506" s="90">
        <f>N$502*INDEX(EF[CO2], MATCH("V.03", EF[Vector], 0))+N$503*INDEX(EF[CO2], MATCH("V.04", EF[Vector], 0))+N$504*INDEX(EF[CO2], MATCH("V.05", EF[Vector], 0))</f>
        <v>312.46424654548053</v>
      </c>
      <c r="O506" s="90">
        <f>O$502*INDEX(EF[CO2], MATCH("V.03", EF[Vector], 0))+O$503*INDEX(EF[CO2], MATCH("V.04", EF[Vector], 0))+O$504*INDEX(EF[CO2], MATCH("V.05", EF[Vector], 0))</f>
        <v>330.99112758143826</v>
      </c>
    </row>
    <row r="507" spans="1:16" ht="14.25">
      <c r="A507" s="423"/>
      <c r="B507" s="423"/>
      <c r="C507" s="2959" t="s">
        <v>351</v>
      </c>
      <c r="D507" s="51"/>
      <c r="E507" s="99" t="s">
        <v>368</v>
      </c>
      <c r="F507" s="90">
        <f>F$502*INDEX(EF[CH4], MATCH("V.03", EF[Vector], 0))+F$503*INDEX(EF[CH4], MATCH("V.04", EF[Vector], 0))+F$504*INDEX(EF[CH4], MATCH("V.05", EF[Vector], 0))</f>
        <v>0</v>
      </c>
      <c r="G507" s="90">
        <f>G$502*INDEX(EF[CH4], MATCH("V.03", EF[Vector], 0))+G$503*INDEX(EF[CH4], MATCH("V.04", EF[Vector], 0))+G$504*INDEX(EF[CH4], MATCH("V.05", EF[Vector], 0))</f>
        <v>0</v>
      </c>
      <c r="H507" s="90">
        <f>H$502*INDEX(EF[CH4], MATCH("V.03", EF[Vector], 0))+H$503*INDEX(EF[CH4], MATCH("V.04", EF[Vector], 0))+H$504*INDEX(EF[CH4], MATCH("V.05", EF[Vector], 0))</f>
        <v>0</v>
      </c>
      <c r="I507" s="90">
        <f>I$502*INDEX(EF[CH4], MATCH("V.03", EF[Vector], 0))+I$503*INDEX(EF[CH4], MATCH("V.04", EF[Vector], 0))+I$504*INDEX(EF[CH4], MATCH("V.05", EF[Vector], 0))</f>
        <v>0</v>
      </c>
      <c r="J507" s="90">
        <f>J$502*INDEX(EF[CH4], MATCH("V.03", EF[Vector], 0))+J$503*INDEX(EF[CH4], MATCH("V.04", EF[Vector], 0))+J$504*INDEX(EF[CH4], MATCH("V.05", EF[Vector], 0))</f>
        <v>0</v>
      </c>
      <c r="K507" s="90">
        <f>K$502*INDEX(EF[CH4], MATCH("V.03", EF[Vector], 0))+K$503*INDEX(EF[CH4], MATCH("V.04", EF[Vector], 0))+K$504*INDEX(EF[CH4], MATCH("V.05", EF[Vector], 0))</f>
        <v>0</v>
      </c>
      <c r="L507" s="90">
        <f>L$502*INDEX(EF[CH4], MATCH("V.03", EF[Vector], 0))+L$503*INDEX(EF[CH4], MATCH("V.04", EF[Vector], 0))+L$504*INDEX(EF[CH4], MATCH("V.05", EF[Vector], 0))</f>
        <v>0</v>
      </c>
      <c r="M507" s="90">
        <f>M$502*INDEX(EF[CH4], MATCH("V.03", EF[Vector], 0))+M$503*INDEX(EF[CH4], MATCH("V.04", EF[Vector], 0))+M$504*INDEX(EF[CH4], MATCH("V.05", EF[Vector], 0))</f>
        <v>0</v>
      </c>
      <c r="N507" s="90">
        <f>N$502*INDEX(EF[CH4], MATCH("V.03", EF[Vector], 0))+N$503*INDEX(EF[CH4], MATCH("V.04", EF[Vector], 0))+N$504*INDEX(EF[CH4], MATCH("V.05", EF[Vector], 0))</f>
        <v>0</v>
      </c>
      <c r="O507" s="90">
        <f>O$502*INDEX(EF[CH4], MATCH("V.03", EF[Vector], 0))+O$503*INDEX(EF[CH4], MATCH("V.04", EF[Vector], 0))+O$504*INDEX(EF[CH4], MATCH("V.05", EF[Vector], 0))</f>
        <v>0</v>
      </c>
    </row>
    <row r="508" spans="1:16" ht="14.25">
      <c r="A508" s="19"/>
      <c r="B508" s="422"/>
      <c r="C508" s="2959" t="s">
        <v>352</v>
      </c>
      <c r="D508" s="51"/>
      <c r="E508" s="99" t="s">
        <v>368</v>
      </c>
      <c r="F508" s="90">
        <f>F$502*INDEX(EF[N2O], MATCH("V.03", EF[Vector], 0))+F$503*INDEX(EF[N2O], MATCH("V.04", EF[Vector], 0))+F$504*INDEX(EF[N2O], MATCH("V.05", EF[Vector], 0))</f>
        <v>0</v>
      </c>
      <c r="G508" s="90">
        <f>G$502*INDEX(EF[N2O], MATCH("V.03", EF[Vector], 0))+G$503*INDEX(EF[N2O], MATCH("V.04", EF[Vector], 0))+G$504*INDEX(EF[N2O], MATCH("V.05", EF[Vector], 0))</f>
        <v>0</v>
      </c>
      <c r="H508" s="90">
        <f>H$502*INDEX(EF[N2O], MATCH("V.03", EF[Vector], 0))+H$503*INDEX(EF[N2O], MATCH("V.04", EF[Vector], 0))+H$504*INDEX(EF[N2O], MATCH("V.05", EF[Vector], 0))</f>
        <v>0</v>
      </c>
      <c r="I508" s="90">
        <f>I$502*INDEX(EF[N2O], MATCH("V.03", EF[Vector], 0))+I$503*INDEX(EF[N2O], MATCH("V.04", EF[Vector], 0))+I$504*INDEX(EF[N2O], MATCH("V.05", EF[Vector], 0))</f>
        <v>0</v>
      </c>
      <c r="J508" s="90">
        <f>J$502*INDEX(EF[N2O], MATCH("V.03", EF[Vector], 0))+J$503*INDEX(EF[N2O], MATCH("V.04", EF[Vector], 0))+J$504*INDEX(EF[N2O], MATCH("V.05", EF[Vector], 0))</f>
        <v>0</v>
      </c>
      <c r="K508" s="90">
        <f>K$502*INDEX(EF[N2O], MATCH("V.03", EF[Vector], 0))+K$503*INDEX(EF[N2O], MATCH("V.04", EF[Vector], 0))+K$504*INDEX(EF[N2O], MATCH("V.05", EF[Vector], 0))</f>
        <v>0</v>
      </c>
      <c r="L508" s="90">
        <f>L$502*INDEX(EF[N2O], MATCH("V.03", EF[Vector], 0))+L$503*INDEX(EF[N2O], MATCH("V.04", EF[Vector], 0))+L$504*INDEX(EF[N2O], MATCH("V.05", EF[Vector], 0))</f>
        <v>0</v>
      </c>
      <c r="M508" s="90">
        <f>M$502*INDEX(EF[N2O], MATCH("V.03", EF[Vector], 0))+M$503*INDEX(EF[N2O], MATCH("V.04", EF[Vector], 0))+M$504*INDEX(EF[N2O], MATCH("V.05", EF[Vector], 0))</f>
        <v>0</v>
      </c>
      <c r="N508" s="90">
        <f>N$502*INDEX(EF[N2O], MATCH("V.03", EF[Vector], 0))+N$503*INDEX(EF[N2O], MATCH("V.04", EF[Vector], 0))+N$504*INDEX(EF[N2O], MATCH("V.05", EF[Vector], 0))</f>
        <v>0</v>
      </c>
      <c r="O508" s="90">
        <f>O$502*INDEX(EF[N2O], MATCH("V.03", EF[Vector], 0))+O$503*INDEX(EF[N2O], MATCH("V.04", EF[Vector], 0))+O$504*INDEX(EF[N2O], MATCH("V.05", EF[Vector], 0))</f>
        <v>0</v>
      </c>
    </row>
    <row r="509" spans="1:16">
      <c r="A509" s="19"/>
      <c r="B509" s="422"/>
      <c r="C509" s="19"/>
      <c r="D509" s="19"/>
      <c r="E509" s="1401"/>
      <c r="F509" s="90"/>
      <c r="G509" s="90"/>
      <c r="H509" s="90"/>
      <c r="I509" s="90"/>
      <c r="J509" s="90"/>
      <c r="K509" s="90"/>
      <c r="L509" s="90"/>
      <c r="M509" s="90"/>
      <c r="N509" s="90"/>
      <c r="O509" s="90"/>
    </row>
    <row r="510" spans="1:16">
      <c r="A510" s="19"/>
      <c r="B510" s="422"/>
      <c r="C510" s="19"/>
      <c r="D510" s="19"/>
      <c r="E510" s="1401"/>
      <c r="F510" s="90"/>
      <c r="G510" s="90"/>
      <c r="H510" s="90"/>
      <c r="I510" s="90"/>
      <c r="J510" s="90"/>
      <c r="K510" s="90"/>
      <c r="L510" s="90"/>
      <c r="M510" s="90"/>
      <c r="N510" s="90"/>
      <c r="O510" s="90"/>
    </row>
    <row r="511" spans="1:16">
      <c r="A511" s="423">
        <v>1.2</v>
      </c>
      <c r="B511" s="423" t="s">
        <v>1641</v>
      </c>
      <c r="D511" s="19"/>
      <c r="E511" s="2960" t="s">
        <v>404</v>
      </c>
      <c r="F511" s="1658">
        <v>2007</v>
      </c>
      <c r="G511" s="1658">
        <f>F511+5</f>
        <v>2012</v>
      </c>
      <c r="H511" s="1658">
        <f t="shared" ref="H511:O511" si="157">G511+5</f>
        <v>2017</v>
      </c>
      <c r="I511" s="1658">
        <f t="shared" si="157"/>
        <v>2022</v>
      </c>
      <c r="J511" s="1658">
        <f t="shared" si="157"/>
        <v>2027</v>
      </c>
      <c r="K511" s="1658">
        <f t="shared" si="157"/>
        <v>2032</v>
      </c>
      <c r="L511" s="1658">
        <f t="shared" si="157"/>
        <v>2037</v>
      </c>
      <c r="M511" s="1658">
        <f t="shared" si="157"/>
        <v>2042</v>
      </c>
      <c r="N511" s="1658">
        <f t="shared" si="157"/>
        <v>2047</v>
      </c>
      <c r="O511" s="1658">
        <f t="shared" si="157"/>
        <v>2052</v>
      </c>
    </row>
    <row r="512" spans="1:16">
      <c r="A512" s="19"/>
      <c r="B512" s="423"/>
      <c r="C512" s="37"/>
      <c r="D512" s="19"/>
      <c r="E512" s="856"/>
      <c r="F512" s="1658"/>
      <c r="G512" s="1658"/>
      <c r="H512" s="1658"/>
      <c r="I512" s="1658"/>
      <c r="J512" s="1658"/>
      <c r="K512" s="1658"/>
      <c r="L512" s="1658"/>
      <c r="M512" s="1658"/>
      <c r="N512" s="1658"/>
      <c r="O512" s="1658"/>
    </row>
    <row r="513" spans="1:15">
      <c r="A513" s="19"/>
      <c r="B513" s="780" t="s">
        <v>1642</v>
      </c>
      <c r="D513" s="19"/>
      <c r="E513" s="1971" t="s">
        <v>1421</v>
      </c>
      <c r="F513" s="22">
        <f>F$386</f>
        <v>11.3324</v>
      </c>
      <c r="G513" s="22">
        <f t="shared" ref="G513:O513" si="158">G$386</f>
        <v>12.156599999999999</v>
      </c>
      <c r="H513" s="22">
        <f t="shared" si="158"/>
        <v>12.204700000000001</v>
      </c>
      <c r="I513" s="22">
        <f t="shared" si="158"/>
        <v>12.588699999999999</v>
      </c>
      <c r="J513" s="22">
        <f t="shared" si="158"/>
        <v>12.946099999999999</v>
      </c>
      <c r="K513" s="22">
        <f t="shared" si="158"/>
        <v>13.2784</v>
      </c>
      <c r="L513" s="22">
        <f t="shared" si="158"/>
        <v>13.583399999999999</v>
      </c>
      <c r="M513" s="22">
        <f t="shared" si="158"/>
        <v>13.748200000000001</v>
      </c>
      <c r="N513" s="22">
        <f t="shared" si="158"/>
        <v>13.8736</v>
      </c>
      <c r="O513" s="22">
        <f t="shared" si="158"/>
        <v>13.9406</v>
      </c>
    </row>
    <row r="514" spans="1:15">
      <c r="A514" s="19"/>
      <c r="B514" s="780" t="s">
        <v>1637</v>
      </c>
      <c r="D514" s="19"/>
      <c r="E514" s="1971" t="s">
        <v>1421</v>
      </c>
      <c r="F514" s="22">
        <f>F513*F$42</f>
        <v>0</v>
      </c>
      <c r="G514" s="22">
        <f t="shared" ref="G514:O514" si="159">G513*G$42</f>
        <v>9.15</v>
      </c>
      <c r="H514" s="22">
        <f t="shared" si="159"/>
        <v>9.15</v>
      </c>
      <c r="I514" s="22">
        <f t="shared" si="159"/>
        <v>9.15</v>
      </c>
      <c r="J514" s="22">
        <f t="shared" si="159"/>
        <v>9.15</v>
      </c>
      <c r="K514" s="22">
        <f t="shared" si="159"/>
        <v>9.15</v>
      </c>
      <c r="L514" s="22">
        <f t="shared" si="159"/>
        <v>9.15</v>
      </c>
      <c r="M514" s="22">
        <f t="shared" si="159"/>
        <v>9.15</v>
      </c>
      <c r="N514" s="22">
        <f t="shared" si="159"/>
        <v>9.15</v>
      </c>
      <c r="O514" s="22">
        <f t="shared" si="159"/>
        <v>9.15</v>
      </c>
    </row>
    <row r="515" spans="1:15">
      <c r="A515" s="19"/>
      <c r="B515" s="780" t="s">
        <v>1638</v>
      </c>
      <c r="D515" s="19"/>
      <c r="E515" s="1971" t="s">
        <v>1421</v>
      </c>
      <c r="F515" s="22">
        <f t="shared" ref="F515:O515" si="160">F513-F514</f>
        <v>11.3324</v>
      </c>
      <c r="G515" s="22">
        <f t="shared" si="160"/>
        <v>3.0065999999999988</v>
      </c>
      <c r="H515" s="22">
        <f t="shared" si="160"/>
        <v>3.0547000000000004</v>
      </c>
      <c r="I515" s="22">
        <f t="shared" si="160"/>
        <v>3.438699999999999</v>
      </c>
      <c r="J515" s="22">
        <f t="shared" si="160"/>
        <v>3.7960999999999991</v>
      </c>
      <c r="K515" s="22">
        <f t="shared" si="160"/>
        <v>4.1283999999999992</v>
      </c>
      <c r="L515" s="22">
        <f t="shared" si="160"/>
        <v>4.4333999999999989</v>
      </c>
      <c r="M515" s="22">
        <f t="shared" si="160"/>
        <v>4.5982000000000003</v>
      </c>
      <c r="N515" s="22">
        <f t="shared" si="160"/>
        <v>4.7235999999999994</v>
      </c>
      <c r="O515" s="22">
        <f t="shared" si="160"/>
        <v>4.7905999999999995</v>
      </c>
    </row>
    <row r="516" spans="1:15">
      <c r="A516" s="19"/>
      <c r="B516" s="780" t="s">
        <v>1639</v>
      </c>
      <c r="D516" s="19"/>
      <c r="E516" s="1971" t="str">
        <f>preferences.energyunits</f>
        <v>TWh</v>
      </c>
      <c r="F516" s="22">
        <f>F514*F$124+F$133*F515</f>
        <v>81.845199252</v>
      </c>
      <c r="G516" s="22">
        <f t="shared" ref="G516:O516" si="161">G514*G$124+G$133*G515</f>
        <v>77.553774117737191</v>
      </c>
      <c r="H516" s="22">
        <f t="shared" si="161"/>
        <v>73.642880245799077</v>
      </c>
      <c r="I516" s="22">
        <f t="shared" si="161"/>
        <v>76.07652216562748</v>
      </c>
      <c r="J516" s="22">
        <f t="shared" si="161"/>
        <v>78.328553287598638</v>
      </c>
      <c r="K516" s="22">
        <f t="shared" si="161"/>
        <v>80.409693264141751</v>
      </c>
      <c r="L516" s="22">
        <f t="shared" si="161"/>
        <v>82.306879884384827</v>
      </c>
      <c r="M516" s="22">
        <f t="shared" si="161"/>
        <v>83.299611710305967</v>
      </c>
      <c r="N516" s="22">
        <f t="shared" si="161"/>
        <v>84.036543234579966</v>
      </c>
      <c r="O516" s="22">
        <f t="shared" si="161"/>
        <v>84.398368161846008</v>
      </c>
    </row>
    <row r="517" spans="1:15">
      <c r="A517" s="17"/>
      <c r="B517" s="51"/>
      <c r="C517" s="859"/>
      <c r="D517" s="17"/>
      <c r="E517" s="1969"/>
      <c r="F517" s="1970"/>
      <c r="G517" s="1970"/>
      <c r="H517" s="1970"/>
      <c r="I517" s="1970"/>
      <c r="J517" s="1970"/>
      <c r="K517" s="1970"/>
      <c r="L517" s="1970"/>
      <c r="M517" s="1970"/>
      <c r="N517" s="1970"/>
      <c r="O517" s="1970"/>
    </row>
    <row r="518" spans="1:15">
      <c r="A518" s="19"/>
      <c r="B518" s="423"/>
      <c r="D518" s="423"/>
      <c r="E518" s="856"/>
      <c r="F518" s="73"/>
      <c r="G518" s="73"/>
      <c r="H518" s="73"/>
      <c r="I518" s="73"/>
      <c r="J518" s="73"/>
      <c r="K518" s="73"/>
      <c r="L518" s="73"/>
      <c r="M518" s="73"/>
      <c r="N518" s="73"/>
      <c r="O518" s="73"/>
    </row>
    <row r="519" spans="1:15">
      <c r="A519" s="423" t="s">
        <v>1529</v>
      </c>
      <c r="B519" s="423"/>
      <c r="C519" s="37" t="s">
        <v>1635</v>
      </c>
      <c r="D519" s="423"/>
      <c r="E519" s="856"/>
      <c r="F519" s="73"/>
      <c r="G519" s="73"/>
      <c r="H519" s="73"/>
      <c r="I519" s="73"/>
      <c r="J519" s="73"/>
      <c r="K519" s="73"/>
      <c r="L519" s="73"/>
      <c r="M519" s="73"/>
      <c r="N519" s="73"/>
      <c r="O519" s="73"/>
    </row>
    <row r="520" spans="1:15">
      <c r="A520" s="19"/>
      <c r="B520" s="422" t="s">
        <v>34</v>
      </c>
      <c r="C520" s="19" t="str">
        <f>INDEX(Vectors[Description], MATCH($B520, Vectors[Code], 0))</f>
        <v>Electricity (delivered to end user)</v>
      </c>
      <c r="D520" s="19"/>
      <c r="E520" s="1972" t="str">
        <f>preferences.energyunits</f>
        <v>TWh</v>
      </c>
      <c r="F520" s="90">
        <f t="shared" ref="F520:O523" si="162">F$516*F421</f>
        <v>14.73213586536</v>
      </c>
      <c r="G520" s="90">
        <f t="shared" si="162"/>
        <v>13.959679341192693</v>
      </c>
      <c r="H520" s="90">
        <f t="shared" si="162"/>
        <v>13.255718444243833</v>
      </c>
      <c r="I520" s="90">
        <f t="shared" si="162"/>
        <v>13.693773989812946</v>
      </c>
      <c r="J520" s="90">
        <f t="shared" si="162"/>
        <v>14.099139591767754</v>
      </c>
      <c r="K520" s="90">
        <f t="shared" si="162"/>
        <v>14.473744787545515</v>
      </c>
      <c r="L520" s="90">
        <f t="shared" si="162"/>
        <v>14.815238379189267</v>
      </c>
      <c r="M520" s="90">
        <f t="shared" si="162"/>
        <v>14.993930107855073</v>
      </c>
      <c r="N520" s="90">
        <f t="shared" si="162"/>
        <v>15.126577782224393</v>
      </c>
      <c r="O520" s="90">
        <f t="shared" si="162"/>
        <v>15.191706269132281</v>
      </c>
    </row>
    <row r="521" spans="1:15">
      <c r="A521" s="19"/>
      <c r="B521" s="422" t="s">
        <v>36</v>
      </c>
      <c r="C521" s="19" t="str">
        <f>INDEX(Vectors[Description], MATCH($B521, Vectors[Code], 0))</f>
        <v>Solid hydrocarbons</v>
      </c>
      <c r="D521" s="19"/>
      <c r="E521" s="1972" t="str">
        <f>preferences.energyunits</f>
        <v>TWh</v>
      </c>
      <c r="F521" s="90">
        <f t="shared" si="162"/>
        <v>34.37498368584</v>
      </c>
      <c r="G521" s="90">
        <f t="shared" si="162"/>
        <v>32.572585129449621</v>
      </c>
      <c r="H521" s="90">
        <f t="shared" si="162"/>
        <v>30.930009703235612</v>
      </c>
      <c r="I521" s="90">
        <f t="shared" si="162"/>
        <v>31.952139309563542</v>
      </c>
      <c r="J521" s="90">
        <f t="shared" si="162"/>
        <v>32.897992380791429</v>
      </c>
      <c r="K521" s="90">
        <f t="shared" si="162"/>
        <v>33.772071170939533</v>
      </c>
      <c r="L521" s="90">
        <f t="shared" si="162"/>
        <v>34.568889551441629</v>
      </c>
      <c r="M521" s="90">
        <f t="shared" si="162"/>
        <v>34.985836918328502</v>
      </c>
      <c r="N521" s="90">
        <f t="shared" si="162"/>
        <v>35.295348158523588</v>
      </c>
      <c r="O521" s="90">
        <f t="shared" si="162"/>
        <v>35.447314627975324</v>
      </c>
    </row>
    <row r="522" spans="1:15">
      <c r="A522" s="19"/>
      <c r="B522" s="422" t="s">
        <v>38</v>
      </c>
      <c r="C522" s="19" t="str">
        <f>INDEX(Vectors[Description], MATCH($B522, Vectors[Code], 0))</f>
        <v>Liquid hydrocarbons</v>
      </c>
      <c r="D522" s="19"/>
      <c r="E522" s="1972" t="str">
        <f>preferences.energyunits</f>
        <v>TWh</v>
      </c>
      <c r="F522" s="90">
        <f t="shared" si="162"/>
        <v>32.7380797008</v>
      </c>
      <c r="G522" s="90">
        <f t="shared" si="162"/>
        <v>31.021509647094877</v>
      </c>
      <c r="H522" s="90">
        <f t="shared" si="162"/>
        <v>29.457152098319632</v>
      </c>
      <c r="I522" s="90">
        <f t="shared" si="162"/>
        <v>30.430608866250992</v>
      </c>
      <c r="J522" s="90">
        <f t="shared" si="162"/>
        <v>31.331421315039456</v>
      </c>
      <c r="K522" s="90">
        <f t="shared" si="162"/>
        <v>32.163877305656705</v>
      </c>
      <c r="L522" s="90">
        <f t="shared" si="162"/>
        <v>32.922751953753931</v>
      </c>
      <c r="M522" s="90">
        <f t="shared" si="162"/>
        <v>33.319844684122387</v>
      </c>
      <c r="N522" s="90">
        <f t="shared" si="162"/>
        <v>33.614617293831991</v>
      </c>
      <c r="O522" s="90">
        <f t="shared" si="162"/>
        <v>33.759347264738402</v>
      </c>
    </row>
    <row r="523" spans="1:15">
      <c r="A523" s="19"/>
      <c r="B523" s="422" t="s">
        <v>39</v>
      </c>
      <c r="C523" s="19" t="str">
        <f>INDEX(Vectors[Description], MATCH($B523, Vectors[Code], 0))</f>
        <v>Gaseous hydrocarbons</v>
      </c>
      <c r="D523" s="19"/>
      <c r="E523" s="1972" t="str">
        <f>preferences.energyunits</f>
        <v>TWh</v>
      </c>
      <c r="F523" s="90">
        <f t="shared" si="162"/>
        <v>0</v>
      </c>
      <c r="G523" s="90">
        <f t="shared" si="162"/>
        <v>0</v>
      </c>
      <c r="H523" s="90">
        <f t="shared" si="162"/>
        <v>0</v>
      </c>
      <c r="I523" s="90">
        <f t="shared" si="162"/>
        <v>0</v>
      </c>
      <c r="J523" s="90">
        <f t="shared" si="162"/>
        <v>0</v>
      </c>
      <c r="K523" s="90">
        <f t="shared" si="162"/>
        <v>0</v>
      </c>
      <c r="L523" s="90">
        <f t="shared" si="162"/>
        <v>0</v>
      </c>
      <c r="M523" s="90">
        <f t="shared" si="162"/>
        <v>0</v>
      </c>
      <c r="N523" s="90">
        <f t="shared" si="162"/>
        <v>0</v>
      </c>
      <c r="O523" s="90">
        <f t="shared" si="162"/>
        <v>0</v>
      </c>
    </row>
    <row r="524" spans="1:15">
      <c r="A524" s="19"/>
      <c r="B524" s="422"/>
      <c r="C524" s="19"/>
      <c r="D524" s="19"/>
      <c r="E524" s="1972"/>
      <c r="F524" s="90"/>
      <c r="G524" s="90"/>
      <c r="H524" s="90"/>
      <c r="I524" s="90"/>
      <c r="J524" s="90"/>
      <c r="K524" s="90"/>
      <c r="L524" s="90"/>
      <c r="M524" s="90"/>
      <c r="N524" s="90"/>
      <c r="O524" s="90"/>
    </row>
    <row r="525" spans="1:15" ht="14.25">
      <c r="A525" s="423" t="s">
        <v>281</v>
      </c>
      <c r="B525" s="422"/>
      <c r="C525" s="2959" t="s">
        <v>350</v>
      </c>
      <c r="D525" s="51"/>
      <c r="E525" s="99" t="s">
        <v>368</v>
      </c>
      <c r="F525" s="90">
        <f>F$521*INDEX(EF[CO2], MATCH("V.03", EF[Vector], 0))+F$522*INDEX(EF[CO2], MATCH("V.04", EF[Vector], 0))+F$523*INDEX(EF[CO2], MATCH("V.05", EF[Vector], 0))</f>
        <v>20.663477182630913</v>
      </c>
      <c r="G525" s="90">
        <f>G$521*INDEX(EF[CO2], MATCH("V.03", EF[Vector], 0))+G$522*INDEX(EF[CO2], MATCH("V.04", EF[Vector], 0))+G$523*INDEX(EF[CO2], MATCH("V.05", EF[Vector], 0))</f>
        <v>19.580020044604076</v>
      </c>
      <c r="H525" s="90">
        <f>H$521*INDEX(EF[CO2], MATCH("V.03", EF[Vector], 0))+H$522*INDEX(EF[CO2], MATCH("V.04", EF[Vector], 0))+H$523*INDEX(EF[CO2], MATCH("V.05", EF[Vector], 0))</f>
        <v>18.592635726097335</v>
      </c>
      <c r="I525" s="90">
        <f>I$521*INDEX(EF[CO2], MATCH("V.03", EF[Vector], 0))+I$522*INDEX(EF[CO2], MATCH("V.04", EF[Vector], 0))+I$523*INDEX(EF[CO2], MATCH("V.05", EF[Vector], 0))</f>
        <v>19.207057888186942</v>
      </c>
      <c r="J525" s="90">
        <f>J$521*INDEX(EF[CO2], MATCH("V.03", EF[Vector], 0))+J$522*INDEX(EF[CO2], MATCH("V.04", EF[Vector], 0))+J$523*INDEX(EF[CO2], MATCH("V.05", EF[Vector], 0))</f>
        <v>19.775628728367145</v>
      </c>
      <c r="K525" s="90">
        <f>K$521*INDEX(EF[CO2], MATCH("V.03", EF[Vector], 0))+K$522*INDEX(EF[CO2], MATCH("V.04", EF[Vector], 0))+K$523*INDEX(EF[CO2], MATCH("V.05", EF[Vector], 0))</f>
        <v>20.301054639870543</v>
      </c>
      <c r="L525" s="90">
        <f>L$521*INDEX(EF[CO2], MATCH("V.03", EF[Vector], 0))+L$522*INDEX(EF[CO2], MATCH("V.04", EF[Vector], 0))+L$523*INDEX(EF[CO2], MATCH("V.05", EF[Vector], 0))</f>
        <v>20.780037803169858</v>
      </c>
      <c r="M525" s="90">
        <f>M$521*INDEX(EF[CO2], MATCH("V.03", EF[Vector], 0))+M$522*INDEX(EF[CO2], MATCH("V.04", EF[Vector], 0))+M$523*INDEX(EF[CO2], MATCH("V.05", EF[Vector], 0))</f>
        <v>21.030673046542322</v>
      </c>
      <c r="N525" s="90">
        <f>N$521*INDEX(EF[CO2], MATCH("V.03", EF[Vector], 0))+N$522*INDEX(EF[CO2], MATCH("V.04", EF[Vector], 0))+N$523*INDEX(EF[CO2], MATCH("V.05", EF[Vector], 0))</f>
        <v>21.216726326101359</v>
      </c>
      <c r="O525" s="90">
        <f>O$521*INDEX(EF[CO2], MATCH("V.03", EF[Vector], 0))+O$522*INDEX(EF[CO2], MATCH("V.04", EF[Vector], 0))+O$523*INDEX(EF[CO2], MATCH("V.05", EF[Vector], 0))</f>
        <v>21.308076352700336</v>
      </c>
    </row>
    <row r="526" spans="1:15" ht="14.25">
      <c r="A526" s="423"/>
      <c r="B526" s="423"/>
      <c r="C526" s="2959" t="s">
        <v>351</v>
      </c>
      <c r="D526" s="51"/>
      <c r="E526" s="99" t="s">
        <v>368</v>
      </c>
      <c r="F526" s="90">
        <f>F$521*INDEX(EF[CH4], MATCH("V.03", EF[Vector], 0))+F$522*INDEX(EF[CH4], MATCH("V.04", EF[Vector], 0))+F$523*INDEX(EF[CH4], MATCH("V.05", EF[Vector], 0))</f>
        <v>0</v>
      </c>
      <c r="G526" s="90">
        <f>G$521*INDEX(EF[CH4], MATCH("V.03", EF[Vector], 0))+G$522*INDEX(EF[CH4], MATCH("V.04", EF[Vector], 0))+G$523*INDEX(EF[CH4], MATCH("V.05", EF[Vector], 0))</f>
        <v>0</v>
      </c>
      <c r="H526" s="90">
        <f>H$521*INDEX(EF[CH4], MATCH("V.03", EF[Vector], 0))+H$522*INDEX(EF[CH4], MATCH("V.04", EF[Vector], 0))+H$523*INDEX(EF[CH4], MATCH("V.05", EF[Vector], 0))</f>
        <v>0</v>
      </c>
      <c r="I526" s="90">
        <f>I$521*INDEX(EF[CH4], MATCH("V.03", EF[Vector], 0))+I$522*INDEX(EF[CH4], MATCH("V.04", EF[Vector], 0))+I$523*INDEX(EF[CH4], MATCH("V.05", EF[Vector], 0))</f>
        <v>0</v>
      </c>
      <c r="J526" s="90">
        <f>J$521*INDEX(EF[CH4], MATCH("V.03", EF[Vector], 0))+J$522*INDEX(EF[CH4], MATCH("V.04", EF[Vector], 0))+J$523*INDEX(EF[CH4], MATCH("V.05", EF[Vector], 0))</f>
        <v>0</v>
      </c>
      <c r="K526" s="90">
        <f>K$521*INDEX(EF[CH4], MATCH("V.03", EF[Vector], 0))+K$522*INDEX(EF[CH4], MATCH("V.04", EF[Vector], 0))+K$523*INDEX(EF[CH4], MATCH("V.05", EF[Vector], 0))</f>
        <v>0</v>
      </c>
      <c r="L526" s="90">
        <f>L$521*INDEX(EF[CH4], MATCH("V.03", EF[Vector], 0))+L$522*INDEX(EF[CH4], MATCH("V.04", EF[Vector], 0))+L$523*INDEX(EF[CH4], MATCH("V.05", EF[Vector], 0))</f>
        <v>0</v>
      </c>
      <c r="M526" s="90">
        <f>M$521*INDEX(EF[CH4], MATCH("V.03", EF[Vector], 0))+M$522*INDEX(EF[CH4], MATCH("V.04", EF[Vector], 0))+M$523*INDEX(EF[CH4], MATCH("V.05", EF[Vector], 0))</f>
        <v>0</v>
      </c>
      <c r="N526" s="90">
        <f>N$521*INDEX(EF[CH4], MATCH("V.03", EF[Vector], 0))+N$522*INDEX(EF[CH4], MATCH("V.04", EF[Vector], 0))+N$523*INDEX(EF[CH4], MATCH("V.05", EF[Vector], 0))</f>
        <v>0</v>
      </c>
      <c r="O526" s="90">
        <f>O$521*INDEX(EF[CH4], MATCH("V.03", EF[Vector], 0))+O$522*INDEX(EF[CH4], MATCH("V.04", EF[Vector], 0))+O$523*INDEX(EF[CH4], MATCH("V.05", EF[Vector], 0))</f>
        <v>0</v>
      </c>
    </row>
    <row r="527" spans="1:15" ht="14.25">
      <c r="A527" s="19"/>
      <c r="B527" s="422"/>
      <c r="C527" s="2959" t="s">
        <v>352</v>
      </c>
      <c r="D527" s="51"/>
      <c r="E527" s="99" t="s">
        <v>368</v>
      </c>
      <c r="F527" s="90">
        <f>F$521*INDEX(EF[N2O], MATCH("V.03", EF[Vector], 0))+F$522*INDEX(EF[N2O], MATCH("V.04", EF[Vector], 0))+F$523*INDEX(EF[N2O], MATCH("V.05", EF[Vector], 0))</f>
        <v>0</v>
      </c>
      <c r="G527" s="90">
        <f>G$521*INDEX(EF[N2O], MATCH("V.03", EF[Vector], 0))+G$522*INDEX(EF[N2O], MATCH("V.04", EF[Vector], 0))+G$523*INDEX(EF[N2O], MATCH("V.05", EF[Vector], 0))</f>
        <v>0</v>
      </c>
      <c r="H527" s="90">
        <f>H$521*INDEX(EF[N2O], MATCH("V.03", EF[Vector], 0))+H$522*INDEX(EF[N2O], MATCH("V.04", EF[Vector], 0))+H$523*INDEX(EF[N2O], MATCH("V.05", EF[Vector], 0))</f>
        <v>0</v>
      </c>
      <c r="I527" s="90">
        <f>I$521*INDEX(EF[N2O], MATCH("V.03", EF[Vector], 0))+I$522*INDEX(EF[N2O], MATCH("V.04", EF[Vector], 0))+I$523*INDEX(EF[N2O], MATCH("V.05", EF[Vector], 0))</f>
        <v>0</v>
      </c>
      <c r="J527" s="90">
        <f>J$521*INDEX(EF[N2O], MATCH("V.03", EF[Vector], 0))+J$522*INDEX(EF[N2O], MATCH("V.04", EF[Vector], 0))+J$523*INDEX(EF[N2O], MATCH("V.05", EF[Vector], 0))</f>
        <v>0</v>
      </c>
      <c r="K527" s="90">
        <f>K$521*INDEX(EF[N2O], MATCH("V.03", EF[Vector], 0))+K$522*INDEX(EF[N2O], MATCH("V.04", EF[Vector], 0))+K$523*INDEX(EF[N2O], MATCH("V.05", EF[Vector], 0))</f>
        <v>0</v>
      </c>
      <c r="L527" s="90">
        <f>L$521*INDEX(EF[N2O], MATCH("V.03", EF[Vector], 0))+L$522*INDEX(EF[N2O], MATCH("V.04", EF[Vector], 0))+L$523*INDEX(EF[N2O], MATCH("V.05", EF[Vector], 0))</f>
        <v>0</v>
      </c>
      <c r="M527" s="90">
        <f>M$521*INDEX(EF[N2O], MATCH("V.03", EF[Vector], 0))+M$522*INDEX(EF[N2O], MATCH("V.04", EF[Vector], 0))+M$523*INDEX(EF[N2O], MATCH("V.05", EF[Vector], 0))</f>
        <v>0</v>
      </c>
      <c r="N527" s="90">
        <f>N$521*INDEX(EF[N2O], MATCH("V.03", EF[Vector], 0))+N$522*INDEX(EF[N2O], MATCH("V.04", EF[Vector], 0))+N$523*INDEX(EF[N2O], MATCH("V.05", EF[Vector], 0))</f>
        <v>0</v>
      </c>
      <c r="O527" s="90">
        <f>O$521*INDEX(EF[N2O], MATCH("V.03", EF[Vector], 0))+O$522*INDEX(EF[N2O], MATCH("V.04", EF[Vector], 0))+O$523*INDEX(EF[N2O], MATCH("V.05", EF[Vector], 0))</f>
        <v>0</v>
      </c>
    </row>
    <row r="528" spans="1:15">
      <c r="A528" s="19"/>
      <c r="B528" s="422"/>
      <c r="C528" s="19"/>
      <c r="D528" s="19"/>
      <c r="E528" s="1401"/>
      <c r="F528" s="90"/>
      <c r="G528" s="90"/>
      <c r="H528" s="90"/>
      <c r="I528" s="90"/>
      <c r="J528" s="90"/>
      <c r="K528" s="90"/>
      <c r="L528" s="90"/>
      <c r="M528" s="90"/>
      <c r="N528" s="90"/>
      <c r="O528" s="90"/>
    </row>
    <row r="529" spans="1:15">
      <c r="A529" s="956"/>
      <c r="B529" s="956"/>
      <c r="C529" s="423"/>
      <c r="D529" s="423"/>
      <c r="E529" s="423"/>
      <c r="F529" s="858"/>
      <c r="G529" s="858"/>
      <c r="H529" s="858"/>
      <c r="I529" s="858"/>
      <c r="J529" s="858"/>
      <c r="K529" s="858"/>
      <c r="L529" s="858"/>
      <c r="M529" s="858"/>
      <c r="N529" s="858"/>
      <c r="O529" s="858"/>
    </row>
    <row r="530" spans="1:15">
      <c r="A530" s="423">
        <v>1.3</v>
      </c>
      <c r="B530" s="423" t="s">
        <v>1643</v>
      </c>
      <c r="D530" s="19"/>
      <c r="E530" s="2960" t="s">
        <v>404</v>
      </c>
      <c r="F530" s="1658">
        <v>2007</v>
      </c>
      <c r="G530" s="1658">
        <f>F530+5</f>
        <v>2012</v>
      </c>
      <c r="H530" s="1658">
        <f t="shared" ref="H530:O530" si="163">G530+5</f>
        <v>2017</v>
      </c>
      <c r="I530" s="1658">
        <f t="shared" si="163"/>
        <v>2022</v>
      </c>
      <c r="J530" s="1658">
        <f t="shared" si="163"/>
        <v>2027</v>
      </c>
      <c r="K530" s="1658">
        <f t="shared" si="163"/>
        <v>2032</v>
      </c>
      <c r="L530" s="1658">
        <f t="shared" si="163"/>
        <v>2037</v>
      </c>
      <c r="M530" s="1658">
        <f t="shared" si="163"/>
        <v>2042</v>
      </c>
      <c r="N530" s="1658">
        <f t="shared" si="163"/>
        <v>2047</v>
      </c>
      <c r="O530" s="1658">
        <f t="shared" si="163"/>
        <v>2052</v>
      </c>
    </row>
    <row r="531" spans="1:15">
      <c r="A531" s="19"/>
      <c r="B531" s="423"/>
      <c r="C531" s="37"/>
      <c r="D531" s="19"/>
      <c r="E531" s="856"/>
      <c r="F531" s="1658"/>
      <c r="G531" s="1658"/>
      <c r="H531" s="1658"/>
      <c r="I531" s="1658"/>
      <c r="J531" s="1658"/>
      <c r="K531" s="1658"/>
      <c r="L531" s="1658"/>
      <c r="M531" s="1658"/>
      <c r="N531" s="1658"/>
      <c r="O531" s="1658"/>
    </row>
    <row r="532" spans="1:15">
      <c r="A532" s="19"/>
      <c r="B532" s="780" t="s">
        <v>1644</v>
      </c>
      <c r="D532" s="19"/>
      <c r="E532" s="1971" t="s">
        <v>1421</v>
      </c>
      <c r="F532" s="22">
        <f>F$387</f>
        <v>1.117</v>
      </c>
      <c r="G532" s="22">
        <f t="shared" ref="G532:O532" si="164">G$387</f>
        <v>1.5798000000000001</v>
      </c>
      <c r="H532" s="22">
        <f t="shared" si="164"/>
        <v>2.2228000000000003</v>
      </c>
      <c r="I532" s="22">
        <f t="shared" si="164"/>
        <v>3.0645000000000011</v>
      </c>
      <c r="J532" s="22">
        <f t="shared" si="164"/>
        <v>4.0098000000000011</v>
      </c>
      <c r="K532" s="22">
        <f t="shared" si="164"/>
        <v>5.1192000000000002</v>
      </c>
      <c r="L532" s="22">
        <f t="shared" si="164"/>
        <v>6.2257000000000016</v>
      </c>
      <c r="M532" s="22">
        <f t="shared" si="164"/>
        <v>7.2505000000000051</v>
      </c>
      <c r="N532" s="22">
        <f t="shared" si="164"/>
        <v>8.1235000000000017</v>
      </c>
      <c r="O532" s="22">
        <f t="shared" si="164"/>
        <v>9.0296999999999983</v>
      </c>
    </row>
    <row r="533" spans="1:15">
      <c r="A533" s="19"/>
      <c r="B533" s="780" t="s">
        <v>1637</v>
      </c>
      <c r="D533" s="19"/>
      <c r="E533" s="1971" t="s">
        <v>1421</v>
      </c>
      <c r="F533" s="22">
        <f>F532*F$51</f>
        <v>0</v>
      </c>
      <c r="G533" s="22">
        <f t="shared" ref="G533:O533" si="165">G532*G$51</f>
        <v>1.087753</v>
      </c>
      <c r="H533" s="22">
        <f t="shared" si="165"/>
        <v>1.5337320000000001</v>
      </c>
      <c r="I533" s="22">
        <f t="shared" si="165"/>
        <v>1.5322500000000006</v>
      </c>
      <c r="J533" s="22">
        <f t="shared" si="165"/>
        <v>1.5237240000000005</v>
      </c>
      <c r="K533" s="22">
        <f t="shared" si="165"/>
        <v>1.53576</v>
      </c>
      <c r="L533" s="22">
        <f t="shared" si="165"/>
        <v>1.5564250000000004</v>
      </c>
      <c r="M533" s="22">
        <f t="shared" si="165"/>
        <v>1.5226050000000011</v>
      </c>
      <c r="N533" s="22">
        <f t="shared" si="165"/>
        <v>1.5434650000000003</v>
      </c>
      <c r="O533" s="22">
        <f t="shared" si="165"/>
        <v>1.5350489999999999</v>
      </c>
    </row>
    <row r="534" spans="1:15">
      <c r="A534" s="19"/>
      <c r="B534" s="780" t="s">
        <v>1638</v>
      </c>
      <c r="D534" s="19"/>
      <c r="E534" s="1971" t="s">
        <v>1421</v>
      </c>
      <c r="F534" s="22">
        <f t="shared" ref="F534:O534" si="166">F532-F533</f>
        <v>1.117</v>
      </c>
      <c r="G534" s="22">
        <f t="shared" si="166"/>
        <v>0.49204700000000012</v>
      </c>
      <c r="H534" s="22">
        <f t="shared" si="166"/>
        <v>0.68906800000000024</v>
      </c>
      <c r="I534" s="22">
        <f t="shared" si="166"/>
        <v>1.5322500000000006</v>
      </c>
      <c r="J534" s="22">
        <f t="shared" si="166"/>
        <v>2.4860760000000006</v>
      </c>
      <c r="K534" s="22">
        <f t="shared" si="166"/>
        <v>3.5834400000000004</v>
      </c>
      <c r="L534" s="22">
        <f t="shared" si="166"/>
        <v>4.6692750000000007</v>
      </c>
      <c r="M534" s="22">
        <f t="shared" si="166"/>
        <v>5.7278950000000037</v>
      </c>
      <c r="N534" s="22">
        <f t="shared" si="166"/>
        <v>6.5800350000000014</v>
      </c>
      <c r="O534" s="22">
        <f t="shared" si="166"/>
        <v>7.4946509999999984</v>
      </c>
    </row>
    <row r="535" spans="1:15">
      <c r="A535" s="19"/>
      <c r="B535" s="780" t="s">
        <v>1639</v>
      </c>
      <c r="D535" s="19"/>
      <c r="E535" s="1971" t="str">
        <f>preferences.energyunits</f>
        <v>TWh</v>
      </c>
      <c r="F535" s="22">
        <f>F533*F$142+F$151*F534</f>
        <v>22.574238077940723</v>
      </c>
      <c r="G535" s="22">
        <f t="shared" ref="G535:O535" si="167">G533*G$142+G$151*G534</f>
        <v>31.527767663707117</v>
      </c>
      <c r="H535" s="22">
        <f t="shared" si="167"/>
        <v>41.014915074324136</v>
      </c>
      <c r="I535" s="22">
        <f t="shared" si="167"/>
        <v>57.92777494859213</v>
      </c>
      <c r="J535" s="22">
        <f t="shared" si="167"/>
        <v>76.866019823195913</v>
      </c>
      <c r="K535" s="22">
        <f t="shared" si="167"/>
        <v>98.962754709881153</v>
      </c>
      <c r="L535" s="22">
        <f t="shared" si="167"/>
        <v>120.88784417262494</v>
      </c>
      <c r="M535" s="22">
        <f t="shared" si="167"/>
        <v>141.21383105780478</v>
      </c>
      <c r="N535" s="22">
        <f t="shared" si="167"/>
        <v>158.30505644903982</v>
      </c>
      <c r="O535" s="22">
        <f t="shared" si="167"/>
        <v>176.04718344274102</v>
      </c>
    </row>
    <row r="536" spans="1:15">
      <c r="A536" s="17"/>
      <c r="B536" s="51"/>
      <c r="C536" s="859"/>
      <c r="D536" s="17"/>
      <c r="E536" s="1969"/>
      <c r="F536" s="1970"/>
      <c r="G536" s="1970"/>
      <c r="H536" s="1970"/>
      <c r="I536" s="1970"/>
      <c r="J536" s="1970"/>
      <c r="K536" s="1970"/>
      <c r="L536" s="1970"/>
      <c r="M536" s="1970"/>
      <c r="N536" s="1970"/>
      <c r="O536" s="1970"/>
    </row>
    <row r="537" spans="1:15">
      <c r="A537" s="19"/>
      <c r="B537" s="423"/>
      <c r="D537" s="423"/>
      <c r="E537" s="856"/>
      <c r="F537" s="73"/>
      <c r="G537" s="73"/>
      <c r="H537" s="73"/>
      <c r="I537" s="73"/>
      <c r="J537" s="73"/>
      <c r="K537" s="73"/>
      <c r="L537" s="73"/>
      <c r="M537" s="73"/>
      <c r="N537" s="73"/>
      <c r="O537" s="73"/>
    </row>
    <row r="538" spans="1:15">
      <c r="A538" s="423" t="s">
        <v>1529</v>
      </c>
      <c r="B538" s="423"/>
      <c r="C538" s="37" t="s">
        <v>1635</v>
      </c>
      <c r="D538" s="423"/>
      <c r="E538" s="856"/>
      <c r="F538" s="73"/>
      <c r="G538" s="73"/>
      <c r="H538" s="73"/>
      <c r="I538" s="73"/>
      <c r="J538" s="73"/>
      <c r="K538" s="73"/>
      <c r="L538" s="73"/>
      <c r="M538" s="73"/>
      <c r="N538" s="73"/>
      <c r="O538" s="73"/>
    </row>
    <row r="539" spans="1:15">
      <c r="A539" s="19"/>
      <c r="B539" s="422" t="s">
        <v>34</v>
      </c>
      <c r="C539" s="19" t="str">
        <f>INDEX(Vectors[Description], MATCH($B539, Vectors[Code], 0))</f>
        <v>Electricity (delivered to end user)</v>
      </c>
      <c r="D539" s="19"/>
      <c r="E539" s="1972" t="str">
        <f>preferences.energyunits</f>
        <v>TWh</v>
      </c>
      <c r="F539" s="90">
        <f t="shared" ref="F539:O542" si="168">F$535*F430</f>
        <v>0.22574238077940723</v>
      </c>
      <c r="G539" s="90">
        <f t="shared" si="168"/>
        <v>0.31527767663707118</v>
      </c>
      <c r="H539" s="90">
        <f t="shared" si="168"/>
        <v>0.41014915074324138</v>
      </c>
      <c r="I539" s="90">
        <f t="shared" si="168"/>
        <v>0.57927774948592137</v>
      </c>
      <c r="J539" s="90">
        <f t="shared" si="168"/>
        <v>0.76866019823195919</v>
      </c>
      <c r="K539" s="90">
        <f t="shared" si="168"/>
        <v>0.98962754709881151</v>
      </c>
      <c r="L539" s="90">
        <f t="shared" si="168"/>
        <v>1.2088784417262495</v>
      </c>
      <c r="M539" s="90">
        <f t="shared" si="168"/>
        <v>1.4121383105780478</v>
      </c>
      <c r="N539" s="90">
        <f t="shared" si="168"/>
        <v>1.5830505644903983</v>
      </c>
      <c r="O539" s="90">
        <f t="shared" si="168"/>
        <v>1.7604718344274102</v>
      </c>
    </row>
    <row r="540" spans="1:15">
      <c r="A540" s="19"/>
      <c r="B540" s="422" t="s">
        <v>36</v>
      </c>
      <c r="C540" s="19" t="str">
        <f>INDEX(Vectors[Description], MATCH($B540, Vectors[Code], 0))</f>
        <v>Solid hydrocarbons</v>
      </c>
      <c r="D540" s="19"/>
      <c r="E540" s="1972" t="str">
        <f>preferences.energyunits</f>
        <v>TWh</v>
      </c>
      <c r="F540" s="90">
        <f t="shared" si="168"/>
        <v>21.219783793264281</v>
      </c>
      <c r="G540" s="90">
        <f t="shared" si="168"/>
        <v>29.636101603884686</v>
      </c>
      <c r="H540" s="90">
        <f t="shared" si="168"/>
        <v>38.554020169864685</v>
      </c>
      <c r="I540" s="90">
        <f t="shared" si="168"/>
        <v>54.452108451676601</v>
      </c>
      <c r="J540" s="90">
        <f t="shared" si="168"/>
        <v>72.254058633804149</v>
      </c>
      <c r="K540" s="90">
        <f t="shared" si="168"/>
        <v>93.024989427288276</v>
      </c>
      <c r="L540" s="90">
        <f t="shared" si="168"/>
        <v>113.63457352226743</v>
      </c>
      <c r="M540" s="90">
        <f t="shared" si="168"/>
        <v>132.74100119433649</v>
      </c>
      <c r="N540" s="90">
        <f t="shared" si="168"/>
        <v>148.80675306209741</v>
      </c>
      <c r="O540" s="90">
        <f t="shared" si="168"/>
        <v>165.48435243617655</v>
      </c>
    </row>
    <row r="541" spans="1:15">
      <c r="A541" s="19"/>
      <c r="B541" s="422" t="s">
        <v>38</v>
      </c>
      <c r="C541" s="19" t="str">
        <f>INDEX(Vectors[Description], MATCH($B541, Vectors[Code], 0))</f>
        <v>Liquid hydrocarbons</v>
      </c>
      <c r="D541" s="19"/>
      <c r="E541" s="1972" t="str">
        <f>preferences.energyunits</f>
        <v>TWh</v>
      </c>
      <c r="F541" s="90">
        <f t="shared" si="168"/>
        <v>1.1287119038970361</v>
      </c>
      <c r="G541" s="90">
        <f t="shared" si="168"/>
        <v>1.576388383185356</v>
      </c>
      <c r="H541" s="90">
        <f t="shared" si="168"/>
        <v>2.0507457537162068</v>
      </c>
      <c r="I541" s="90">
        <f t="shared" si="168"/>
        <v>2.8963887474296066</v>
      </c>
      <c r="J541" s="90">
        <f t="shared" si="168"/>
        <v>3.8433009911597957</v>
      </c>
      <c r="K541" s="90">
        <f t="shared" si="168"/>
        <v>4.9481377354940577</v>
      </c>
      <c r="L541" s="90">
        <f t="shared" si="168"/>
        <v>6.0443922086312476</v>
      </c>
      <c r="M541" s="90">
        <f t="shared" si="168"/>
        <v>7.0606915528902396</v>
      </c>
      <c r="N541" s="90">
        <f t="shared" si="168"/>
        <v>7.9152528224519916</v>
      </c>
      <c r="O541" s="90">
        <f t="shared" si="168"/>
        <v>8.8023591721370504</v>
      </c>
    </row>
    <row r="542" spans="1:15">
      <c r="A542" s="19"/>
      <c r="B542" s="422" t="s">
        <v>39</v>
      </c>
      <c r="C542" s="19" t="str">
        <f>INDEX(Vectors[Description], MATCH($B542, Vectors[Code], 0))</f>
        <v>Gaseous hydrocarbons</v>
      </c>
      <c r="D542" s="19"/>
      <c r="E542" s="1972" t="str">
        <f>preferences.energyunits</f>
        <v>TWh</v>
      </c>
      <c r="F542" s="90">
        <f t="shared" si="168"/>
        <v>0</v>
      </c>
      <c r="G542" s="90">
        <f t="shared" si="168"/>
        <v>0</v>
      </c>
      <c r="H542" s="90">
        <f t="shared" si="168"/>
        <v>0</v>
      </c>
      <c r="I542" s="90">
        <f t="shared" si="168"/>
        <v>0</v>
      </c>
      <c r="J542" s="90">
        <f t="shared" si="168"/>
        <v>0</v>
      </c>
      <c r="K542" s="90">
        <f t="shared" si="168"/>
        <v>0</v>
      </c>
      <c r="L542" s="90">
        <f t="shared" si="168"/>
        <v>0</v>
      </c>
      <c r="M542" s="90">
        <f t="shared" si="168"/>
        <v>0</v>
      </c>
      <c r="N542" s="90">
        <f t="shared" si="168"/>
        <v>0</v>
      </c>
      <c r="O542" s="90">
        <f t="shared" si="168"/>
        <v>0</v>
      </c>
    </row>
    <row r="543" spans="1:15">
      <c r="A543" s="19"/>
      <c r="B543" s="422"/>
      <c r="C543" s="19"/>
      <c r="D543" s="19"/>
      <c r="E543" s="1972"/>
      <c r="F543" s="90"/>
      <c r="G543" s="90"/>
      <c r="H543" s="90"/>
      <c r="I543" s="90"/>
      <c r="J543" s="90"/>
      <c r="K543" s="90"/>
      <c r="L543" s="90"/>
      <c r="M543" s="90"/>
      <c r="N543" s="90"/>
      <c r="O543" s="90"/>
    </row>
    <row r="544" spans="1:15" ht="14.25">
      <c r="A544" s="423" t="s">
        <v>281</v>
      </c>
      <c r="B544" s="422"/>
      <c r="C544" s="2959" t="s">
        <v>350</v>
      </c>
      <c r="D544" s="51"/>
      <c r="E544" s="99" t="s">
        <v>368</v>
      </c>
      <c r="F544" s="90">
        <f>F$540*INDEX(EF[CO2], MATCH("V.03", EF[Vector], 0))+F$541*INDEX(EF[CO2], MATCH("V.04", EF[Vector], 0))+F$542*INDEX(EF[CO2], MATCH("V.05", EF[Vector], 0))</f>
        <v>7.6663730459353925</v>
      </c>
      <c r="G544" s="90">
        <f>G$540*INDEX(EF[CO2], MATCH("V.03", EF[Vector], 0))+G$541*INDEX(EF[CO2], MATCH("V.04", EF[Vector], 0))+G$542*INDEX(EF[CO2], MATCH("V.05", EF[Vector], 0))</f>
        <v>10.707055865231951</v>
      </c>
      <c r="H544" s="90">
        <f>H$540*INDEX(EF[CO2], MATCH("V.03", EF[Vector], 0))+H$541*INDEX(EF[CO2], MATCH("V.04", EF[Vector], 0))+H$542*INDEX(EF[CO2], MATCH("V.05", EF[Vector], 0))</f>
        <v>13.928959122407347</v>
      </c>
      <c r="I544" s="90">
        <f>I$540*INDEX(EF[CO2], MATCH("V.03", EF[Vector], 0))+I$541*INDEX(EF[CO2], MATCH("V.04", EF[Vector], 0))+I$542*INDEX(EF[CO2], MATCH("V.05", EF[Vector], 0))</f>
        <v>19.672687553998266</v>
      </c>
      <c r="J544" s="90">
        <f>J$540*INDEX(EF[CO2], MATCH("V.03", EF[Vector], 0))+J$541*INDEX(EF[CO2], MATCH("V.04", EF[Vector], 0))+J$542*INDEX(EF[CO2], MATCH("V.05", EF[Vector], 0))</f>
        <v>26.104251248095302</v>
      </c>
      <c r="K544" s="90">
        <f>K$540*INDEX(EF[CO2], MATCH("V.03", EF[Vector], 0))+K$541*INDEX(EF[CO2], MATCH("V.04", EF[Vector], 0))+K$542*INDEX(EF[CO2], MATCH("V.05", EF[Vector], 0))</f>
        <v>33.608460787907028</v>
      </c>
      <c r="L544" s="90">
        <f>L$540*INDEX(EF[CO2], MATCH("V.03", EF[Vector], 0))+L$541*INDEX(EF[CO2], MATCH("V.04", EF[Vector], 0))+L$542*INDEX(EF[CO2], MATCH("V.05", EF[Vector], 0))</f>
        <v>41.05437831152669</v>
      </c>
      <c r="M544" s="90">
        <f>M$540*INDEX(EF[CO2], MATCH("V.03", EF[Vector], 0))+M$541*INDEX(EF[CO2], MATCH("V.04", EF[Vector], 0))+M$542*INDEX(EF[CO2], MATCH("V.05", EF[Vector], 0))</f>
        <v>47.957229138676027</v>
      </c>
      <c r="N544" s="90">
        <f>N$540*INDEX(EF[CO2], MATCH("V.03", EF[Vector], 0))+N$541*INDEX(EF[CO2], MATCH("V.04", EF[Vector], 0))+N$542*INDEX(EF[CO2], MATCH("V.05", EF[Vector], 0))</f>
        <v>53.761531778214916</v>
      </c>
      <c r="O544" s="90">
        <f>O$540*INDEX(EF[CO2], MATCH("V.03", EF[Vector], 0))+O$541*INDEX(EF[CO2], MATCH("V.04", EF[Vector], 0))+O$542*INDEX(EF[CO2], MATCH("V.05", EF[Vector], 0))</f>
        <v>59.786885267110236</v>
      </c>
    </row>
    <row r="545" spans="1:15" ht="14.25">
      <c r="A545" s="423"/>
      <c r="B545" s="423"/>
      <c r="C545" s="2959" t="s">
        <v>351</v>
      </c>
      <c r="D545" s="51"/>
      <c r="E545" s="99" t="s">
        <v>368</v>
      </c>
      <c r="F545" s="90">
        <f>F$540*INDEX(EF[CH4], MATCH("V.03", EF[Vector], 0))+F$541*INDEX(EF[CH4], MATCH("V.04", EF[Vector], 0))+F$542*INDEX(EF[CH4], MATCH("V.05", EF[Vector], 0))</f>
        <v>0</v>
      </c>
      <c r="G545" s="90">
        <f>G$540*INDEX(EF[CH4], MATCH("V.03", EF[Vector], 0))+G$541*INDEX(EF[CH4], MATCH("V.04", EF[Vector], 0))+G$542*INDEX(EF[CH4], MATCH("V.05", EF[Vector], 0))</f>
        <v>0</v>
      </c>
      <c r="H545" s="90">
        <f>H$540*INDEX(EF[CH4], MATCH("V.03", EF[Vector], 0))+H$541*INDEX(EF[CH4], MATCH("V.04", EF[Vector], 0))+H$542*INDEX(EF[CH4], MATCH("V.05", EF[Vector], 0))</f>
        <v>0</v>
      </c>
      <c r="I545" s="90">
        <f>I$540*INDEX(EF[CH4], MATCH("V.03", EF[Vector], 0))+I$541*INDEX(EF[CH4], MATCH("V.04", EF[Vector], 0))+I$542*INDEX(EF[CH4], MATCH("V.05", EF[Vector], 0))</f>
        <v>0</v>
      </c>
      <c r="J545" s="90">
        <f>J$540*INDEX(EF[CH4], MATCH("V.03", EF[Vector], 0))+J$541*INDEX(EF[CH4], MATCH("V.04", EF[Vector], 0))+J$542*INDEX(EF[CH4], MATCH("V.05", EF[Vector], 0))</f>
        <v>0</v>
      </c>
      <c r="K545" s="90">
        <f>K$540*INDEX(EF[CH4], MATCH("V.03", EF[Vector], 0))+K$541*INDEX(EF[CH4], MATCH("V.04", EF[Vector], 0))+K$542*INDEX(EF[CH4], MATCH("V.05", EF[Vector], 0))</f>
        <v>0</v>
      </c>
      <c r="L545" s="90">
        <f>L$540*INDEX(EF[CH4], MATCH("V.03", EF[Vector], 0))+L$541*INDEX(EF[CH4], MATCH("V.04", EF[Vector], 0))+L$542*INDEX(EF[CH4], MATCH("V.05", EF[Vector], 0))</f>
        <v>0</v>
      </c>
      <c r="M545" s="90">
        <f>M$540*INDEX(EF[CH4], MATCH("V.03", EF[Vector], 0))+M$541*INDEX(EF[CH4], MATCH("V.04", EF[Vector], 0))+M$542*INDEX(EF[CH4], MATCH("V.05", EF[Vector], 0))</f>
        <v>0</v>
      </c>
      <c r="N545" s="90">
        <f>N$540*INDEX(EF[CH4], MATCH("V.03", EF[Vector], 0))+N$541*INDEX(EF[CH4], MATCH("V.04", EF[Vector], 0))+N$542*INDEX(EF[CH4], MATCH("V.05", EF[Vector], 0))</f>
        <v>0</v>
      </c>
      <c r="O545" s="90">
        <f>O$540*INDEX(EF[CH4], MATCH("V.03", EF[Vector], 0))+O$541*INDEX(EF[CH4], MATCH("V.04", EF[Vector], 0))+O$542*INDEX(EF[CH4], MATCH("V.05", EF[Vector], 0))</f>
        <v>0</v>
      </c>
    </row>
    <row r="546" spans="1:15" ht="14.25">
      <c r="A546" s="19"/>
      <c r="B546" s="422"/>
      <c r="C546" s="2959" t="s">
        <v>352</v>
      </c>
      <c r="D546" s="51"/>
      <c r="E546" s="99" t="s">
        <v>368</v>
      </c>
      <c r="F546" s="90">
        <f>F$540*INDEX(EF[N2O], MATCH("V.03", EF[Vector], 0))+F$541*INDEX(EF[N2O], MATCH("V.04", EF[Vector], 0))+F$542*INDEX(EF[N2O], MATCH("V.05", EF[Vector], 0))</f>
        <v>0</v>
      </c>
      <c r="G546" s="90">
        <f>G$540*INDEX(EF[N2O], MATCH("V.03", EF[Vector], 0))+G$541*INDEX(EF[N2O], MATCH("V.04", EF[Vector], 0))+G$542*INDEX(EF[N2O], MATCH("V.05", EF[Vector], 0))</f>
        <v>0</v>
      </c>
      <c r="H546" s="90">
        <f>H$540*INDEX(EF[N2O], MATCH("V.03", EF[Vector], 0))+H$541*INDEX(EF[N2O], MATCH("V.04", EF[Vector], 0))+H$542*INDEX(EF[N2O], MATCH("V.05", EF[Vector], 0))</f>
        <v>0</v>
      </c>
      <c r="I546" s="90">
        <f>I$540*INDEX(EF[N2O], MATCH("V.03", EF[Vector], 0))+I$541*INDEX(EF[N2O], MATCH("V.04", EF[Vector], 0))+I$542*INDEX(EF[N2O], MATCH("V.05", EF[Vector], 0))</f>
        <v>0</v>
      </c>
      <c r="J546" s="90">
        <f>J$540*INDEX(EF[N2O], MATCH("V.03", EF[Vector], 0))+J$541*INDEX(EF[N2O], MATCH("V.04", EF[Vector], 0))+J$542*INDEX(EF[N2O], MATCH("V.05", EF[Vector], 0))</f>
        <v>0</v>
      </c>
      <c r="K546" s="90">
        <f>K$540*INDEX(EF[N2O], MATCH("V.03", EF[Vector], 0))+K$541*INDEX(EF[N2O], MATCH("V.04", EF[Vector], 0))+K$542*INDEX(EF[N2O], MATCH("V.05", EF[Vector], 0))</f>
        <v>0</v>
      </c>
      <c r="L546" s="90">
        <f>L$540*INDEX(EF[N2O], MATCH("V.03", EF[Vector], 0))+L$541*INDEX(EF[N2O], MATCH("V.04", EF[Vector], 0))+L$542*INDEX(EF[N2O], MATCH("V.05", EF[Vector], 0))</f>
        <v>0</v>
      </c>
      <c r="M546" s="90">
        <f>M$540*INDEX(EF[N2O], MATCH("V.03", EF[Vector], 0))+M$541*INDEX(EF[N2O], MATCH("V.04", EF[Vector], 0))+M$542*INDEX(EF[N2O], MATCH("V.05", EF[Vector], 0))</f>
        <v>0</v>
      </c>
      <c r="N546" s="90">
        <f>N$540*INDEX(EF[N2O], MATCH("V.03", EF[Vector], 0))+N$541*INDEX(EF[N2O], MATCH("V.04", EF[Vector], 0))+N$542*INDEX(EF[N2O], MATCH("V.05", EF[Vector], 0))</f>
        <v>0</v>
      </c>
      <c r="O546" s="90">
        <f>O$540*INDEX(EF[N2O], MATCH("V.03", EF[Vector], 0))+O$541*INDEX(EF[N2O], MATCH("V.04", EF[Vector], 0))+O$542*INDEX(EF[N2O], MATCH("V.05", EF[Vector], 0))</f>
        <v>0</v>
      </c>
    </row>
    <row r="547" spans="1:15">
      <c r="A547" s="19"/>
      <c r="B547" s="422"/>
      <c r="C547" s="19"/>
      <c r="D547" s="19"/>
      <c r="E547" s="1401"/>
      <c r="F547" s="90"/>
      <c r="G547" s="90"/>
      <c r="H547" s="90"/>
      <c r="I547" s="90"/>
      <c r="J547" s="90"/>
      <c r="K547" s="90"/>
      <c r="L547" s="90"/>
      <c r="M547" s="90"/>
      <c r="N547" s="90"/>
      <c r="O547" s="90"/>
    </row>
    <row r="548" spans="1:15" ht="14.25">
      <c r="A548" s="35"/>
      <c r="B548" s="862"/>
      <c r="C548" s="35"/>
      <c r="D548" s="35"/>
      <c r="E548" s="35"/>
      <c r="F548" s="35"/>
      <c r="G548" s="35"/>
      <c r="H548" s="35"/>
      <c r="I548" s="35"/>
      <c r="J548" s="35"/>
      <c r="K548" s="35"/>
      <c r="L548" s="35"/>
      <c r="M548" s="35"/>
      <c r="N548" s="35"/>
      <c r="O548" s="35"/>
    </row>
    <row r="549" spans="1:15">
      <c r="A549" s="956"/>
      <c r="B549" s="956"/>
      <c r="C549" s="423"/>
      <c r="D549" s="423"/>
      <c r="E549" s="423"/>
      <c r="F549" s="858"/>
      <c r="G549" s="858"/>
      <c r="H549" s="858"/>
      <c r="I549" s="858"/>
      <c r="J549" s="858"/>
      <c r="K549" s="858"/>
      <c r="L549" s="858"/>
      <c r="M549" s="858"/>
      <c r="N549" s="858"/>
      <c r="O549" s="858"/>
    </row>
    <row r="550" spans="1:15">
      <c r="A550" s="423">
        <v>1.4</v>
      </c>
      <c r="B550" s="423" t="s">
        <v>1646</v>
      </c>
      <c r="D550" s="19"/>
      <c r="E550" s="2960" t="s">
        <v>404</v>
      </c>
      <c r="F550" s="1658">
        <v>2007</v>
      </c>
      <c r="G550" s="1658">
        <f>F550+5</f>
        <v>2012</v>
      </c>
      <c r="H550" s="1658">
        <f t="shared" ref="H550:O550" si="169">G550+5</f>
        <v>2017</v>
      </c>
      <c r="I550" s="1658">
        <f t="shared" si="169"/>
        <v>2022</v>
      </c>
      <c r="J550" s="1658">
        <f t="shared" si="169"/>
        <v>2027</v>
      </c>
      <c r="K550" s="1658">
        <f t="shared" si="169"/>
        <v>2032</v>
      </c>
      <c r="L550" s="1658">
        <f t="shared" si="169"/>
        <v>2037</v>
      </c>
      <c r="M550" s="1658">
        <f t="shared" si="169"/>
        <v>2042</v>
      </c>
      <c r="N550" s="1658">
        <f t="shared" si="169"/>
        <v>2047</v>
      </c>
      <c r="O550" s="1658">
        <f t="shared" si="169"/>
        <v>2052</v>
      </c>
    </row>
    <row r="551" spans="1:15">
      <c r="A551" s="19"/>
      <c r="B551" s="423"/>
      <c r="C551" s="37"/>
      <c r="D551" s="19"/>
      <c r="E551" s="856"/>
      <c r="F551" s="1658"/>
      <c r="G551" s="1658"/>
      <c r="H551" s="1658"/>
      <c r="I551" s="1658"/>
      <c r="J551" s="1658"/>
      <c r="K551" s="1658"/>
      <c r="L551" s="1658"/>
      <c r="M551" s="1658"/>
      <c r="N551" s="1658"/>
      <c r="O551" s="1658"/>
    </row>
    <row r="552" spans="1:15">
      <c r="A552" s="19"/>
      <c r="B552" s="780" t="s">
        <v>1647</v>
      </c>
      <c r="D552" s="19"/>
      <c r="E552" s="1971" t="s">
        <v>1421</v>
      </c>
      <c r="F552" s="22">
        <f>F$388</f>
        <v>44.7682</v>
      </c>
      <c r="G552" s="22">
        <f t="shared" ref="G552:O552" si="170">G$388</f>
        <v>79.855599999999995</v>
      </c>
      <c r="H552" s="22">
        <f t="shared" si="170"/>
        <v>128.31070000000008</v>
      </c>
      <c r="I552" s="22">
        <f t="shared" si="170"/>
        <v>198.53630000000013</v>
      </c>
      <c r="J552" s="22">
        <f t="shared" si="170"/>
        <v>284.79010000000028</v>
      </c>
      <c r="K552" s="22">
        <f t="shared" si="170"/>
        <v>388.24640000000034</v>
      </c>
      <c r="L552" s="22">
        <f t="shared" si="170"/>
        <v>491.47440000000023</v>
      </c>
      <c r="M552" s="22">
        <f t="shared" si="170"/>
        <v>581.64420000000018</v>
      </c>
      <c r="N552" s="22">
        <f t="shared" si="170"/>
        <v>654.45489999999995</v>
      </c>
      <c r="O552" s="22">
        <f t="shared" si="170"/>
        <v>724.92250000000001</v>
      </c>
    </row>
    <row r="553" spans="1:15">
      <c r="A553" s="19"/>
      <c r="B553" s="780" t="s">
        <v>1637</v>
      </c>
      <c r="D553" s="19"/>
      <c r="E553" s="1971" t="s">
        <v>1421</v>
      </c>
      <c r="F553" s="22">
        <f>F552*F$60</f>
        <v>0</v>
      </c>
      <c r="G553" s="22">
        <f t="shared" ref="G553:O553" si="171">G552*G$60</f>
        <v>44.896491999999995</v>
      </c>
      <c r="H553" s="22">
        <f t="shared" si="171"/>
        <v>71.853992000000048</v>
      </c>
      <c r="I553" s="22">
        <f t="shared" si="171"/>
        <v>71.47306800000004</v>
      </c>
      <c r="J553" s="22">
        <f t="shared" si="171"/>
        <v>71.19752500000007</v>
      </c>
      <c r="K553" s="22">
        <f t="shared" si="171"/>
        <v>73.766816000000063</v>
      </c>
      <c r="L553" s="22">
        <f t="shared" si="171"/>
        <v>73.721160000000026</v>
      </c>
      <c r="M553" s="22">
        <f t="shared" si="171"/>
        <v>69.797304000000025</v>
      </c>
      <c r="N553" s="22">
        <f t="shared" si="171"/>
        <v>71.990038999999996</v>
      </c>
      <c r="O553" s="22">
        <f t="shared" si="171"/>
        <v>72.492249999999999</v>
      </c>
    </row>
    <row r="554" spans="1:15">
      <c r="A554" s="19"/>
      <c r="B554" s="780" t="s">
        <v>1638</v>
      </c>
      <c r="D554" s="19"/>
      <c r="E554" s="1971" t="s">
        <v>1421</v>
      </c>
      <c r="F554" s="22">
        <f t="shared" ref="F554:O554" si="172">F552-F553</f>
        <v>44.7682</v>
      </c>
      <c r="G554" s="22">
        <f t="shared" si="172"/>
        <v>34.959108000000001</v>
      </c>
      <c r="H554" s="22">
        <f t="shared" si="172"/>
        <v>56.456708000000035</v>
      </c>
      <c r="I554" s="22">
        <f t="shared" si="172"/>
        <v>127.06323200000008</v>
      </c>
      <c r="J554" s="22">
        <f t="shared" si="172"/>
        <v>213.59257500000021</v>
      </c>
      <c r="K554" s="22">
        <f t="shared" si="172"/>
        <v>314.47958400000027</v>
      </c>
      <c r="L554" s="22">
        <f t="shared" si="172"/>
        <v>417.75324000000023</v>
      </c>
      <c r="M554" s="22">
        <f t="shared" si="172"/>
        <v>511.84689600000013</v>
      </c>
      <c r="N554" s="22">
        <f t="shared" si="172"/>
        <v>582.46486099999993</v>
      </c>
      <c r="O554" s="22">
        <f t="shared" si="172"/>
        <v>652.43025</v>
      </c>
    </row>
    <row r="555" spans="1:15">
      <c r="A555" s="19"/>
      <c r="B555" s="780" t="s">
        <v>1639</v>
      </c>
      <c r="D555" s="19"/>
      <c r="E555" s="1971" t="str">
        <f>preferences.energyunits</f>
        <v>TWh</v>
      </c>
      <c r="F555" s="22">
        <f>F553*F$160+F$169*F554</f>
        <v>335.0930212376</v>
      </c>
      <c r="G555" s="22">
        <f t="shared" ref="G555:O555" si="173">G553*G$160+G$169*G554</f>
        <v>590.74005719934428</v>
      </c>
      <c r="H555" s="22">
        <f t="shared" si="173"/>
        <v>903.05518189831332</v>
      </c>
      <c r="I555" s="22">
        <f t="shared" si="173"/>
        <v>1425.8729537881877</v>
      </c>
      <c r="J555" s="22">
        <f t="shared" si="173"/>
        <v>2065.5924622874031</v>
      </c>
      <c r="K555" s="22">
        <f t="shared" si="173"/>
        <v>2828.1944187764184</v>
      </c>
      <c r="L555" s="22">
        <f t="shared" si="173"/>
        <v>3587.7639888713438</v>
      </c>
      <c r="M555" s="22">
        <f t="shared" si="173"/>
        <v>4250.2451823911379</v>
      </c>
      <c r="N555" s="22">
        <f t="shared" si="173"/>
        <v>4777.6084326586779</v>
      </c>
      <c r="O555" s="22">
        <f t="shared" si="173"/>
        <v>5286.6116499768259</v>
      </c>
    </row>
    <row r="556" spans="1:15">
      <c r="A556" s="17"/>
      <c r="B556" s="51"/>
      <c r="C556" s="859"/>
      <c r="D556" s="17"/>
      <c r="E556" s="1969"/>
      <c r="F556" s="1970"/>
      <c r="G556" s="1970"/>
      <c r="H556" s="1970"/>
      <c r="I556" s="1970"/>
      <c r="J556" s="1970"/>
      <c r="K556" s="1970"/>
      <c r="L556" s="1970"/>
      <c r="M556" s="1970"/>
      <c r="N556" s="1970"/>
      <c r="O556" s="1970"/>
    </row>
    <row r="557" spans="1:15">
      <c r="A557" s="19"/>
      <c r="B557" s="423"/>
      <c r="D557" s="423"/>
      <c r="E557" s="856"/>
      <c r="F557" s="73"/>
      <c r="G557" s="73"/>
      <c r="H557" s="73"/>
      <c r="I557" s="73"/>
      <c r="J557" s="73"/>
      <c r="K557" s="73"/>
      <c r="L557" s="73"/>
      <c r="M557" s="73"/>
      <c r="N557" s="73"/>
      <c r="O557" s="73"/>
    </row>
    <row r="558" spans="1:15">
      <c r="A558" s="423" t="s">
        <v>1529</v>
      </c>
      <c r="B558" s="423"/>
      <c r="C558" s="37" t="s">
        <v>1635</v>
      </c>
      <c r="D558" s="423"/>
      <c r="E558" s="856"/>
      <c r="F558" s="73"/>
      <c r="G558" s="73"/>
      <c r="H558" s="73"/>
      <c r="I558" s="73"/>
      <c r="J558" s="73"/>
      <c r="K558" s="73"/>
      <c r="L558" s="73"/>
      <c r="M558" s="73"/>
      <c r="N558" s="73"/>
      <c r="O558" s="73"/>
    </row>
    <row r="559" spans="1:15">
      <c r="A559" s="19"/>
      <c r="B559" s="422" t="s">
        <v>34</v>
      </c>
      <c r="C559" s="19" t="str">
        <f>INDEX(Vectors[Description], MATCH($B559, Vectors[Code], 0))</f>
        <v>Electricity (delivered to end user)</v>
      </c>
      <c r="D559" s="19"/>
      <c r="E559" s="1972" t="str">
        <f>preferences.energyunits</f>
        <v>TWh</v>
      </c>
      <c r="F559" s="90">
        <f t="shared" ref="F559:O562" si="174">F$555*F440</f>
        <v>20.105581274256</v>
      </c>
      <c r="G559" s="90">
        <f t="shared" si="174"/>
        <v>35.444403431960659</v>
      </c>
      <c r="H559" s="90">
        <f t="shared" si="174"/>
        <v>54.183310913898801</v>
      </c>
      <c r="I559" s="90">
        <f t="shared" si="174"/>
        <v>85.552377227291259</v>
      </c>
      <c r="J559" s="90">
        <f t="shared" si="174"/>
        <v>123.93554773724418</v>
      </c>
      <c r="K559" s="90">
        <f t="shared" si="174"/>
        <v>169.69166512658509</v>
      </c>
      <c r="L559" s="90">
        <f t="shared" si="174"/>
        <v>215.26583933228062</v>
      </c>
      <c r="M559" s="90">
        <f t="shared" si="174"/>
        <v>255.01471094346826</v>
      </c>
      <c r="N559" s="90">
        <f t="shared" si="174"/>
        <v>286.65650595952064</v>
      </c>
      <c r="O559" s="90">
        <f t="shared" si="174"/>
        <v>317.19669899860952</v>
      </c>
    </row>
    <row r="560" spans="1:15">
      <c r="A560" s="19"/>
      <c r="B560" s="422" t="s">
        <v>36</v>
      </c>
      <c r="C560" s="19" t="str">
        <f>INDEX(Vectors[Description], MATCH($B560, Vectors[Code], 0))</f>
        <v>Solid hydrocarbons</v>
      </c>
      <c r="D560" s="19"/>
      <c r="E560" s="1972" t="str">
        <f>preferences.energyunits</f>
        <v>TWh</v>
      </c>
      <c r="F560" s="90">
        <f t="shared" si="174"/>
        <v>274.77627741483201</v>
      </c>
      <c r="G560" s="90">
        <f t="shared" si="174"/>
        <v>484.40684690346228</v>
      </c>
      <c r="H560" s="90">
        <f t="shared" si="174"/>
        <v>740.50524915661686</v>
      </c>
      <c r="I560" s="90">
        <f t="shared" si="174"/>
        <v>1169.2158221063139</v>
      </c>
      <c r="J560" s="90">
        <f t="shared" si="174"/>
        <v>1693.7858190756704</v>
      </c>
      <c r="K560" s="90">
        <f t="shared" si="174"/>
        <v>2319.119423396663</v>
      </c>
      <c r="L560" s="90">
        <f t="shared" si="174"/>
        <v>2941.9664708745017</v>
      </c>
      <c r="M560" s="90">
        <f t="shared" si="174"/>
        <v>3485.2010495607328</v>
      </c>
      <c r="N560" s="90">
        <f t="shared" si="174"/>
        <v>3917.6389147801156</v>
      </c>
      <c r="O560" s="90">
        <f t="shared" si="174"/>
        <v>4335.0215529809966</v>
      </c>
    </row>
    <row r="561" spans="1:15">
      <c r="A561" s="19"/>
      <c r="B561" s="422" t="s">
        <v>38</v>
      </c>
      <c r="C561" s="19" t="str">
        <f>INDEX(Vectors[Description], MATCH($B561, Vectors[Code], 0))</f>
        <v>Liquid hydrocarbons</v>
      </c>
      <c r="D561" s="19"/>
      <c r="E561" s="1972" t="str">
        <f>preferences.energyunits</f>
        <v>TWh</v>
      </c>
      <c r="F561" s="90">
        <f t="shared" si="174"/>
        <v>20.105581274256</v>
      </c>
      <c r="G561" s="90">
        <f t="shared" si="174"/>
        <v>35.444403431960659</v>
      </c>
      <c r="H561" s="90">
        <f t="shared" si="174"/>
        <v>54.183310913898801</v>
      </c>
      <c r="I561" s="90">
        <f t="shared" si="174"/>
        <v>85.552377227291259</v>
      </c>
      <c r="J561" s="90">
        <f t="shared" si="174"/>
        <v>123.93554773724418</v>
      </c>
      <c r="K561" s="90">
        <f t="shared" si="174"/>
        <v>169.69166512658509</v>
      </c>
      <c r="L561" s="90">
        <f t="shared" si="174"/>
        <v>215.26583933228062</v>
      </c>
      <c r="M561" s="90">
        <f t="shared" si="174"/>
        <v>255.01471094346826</v>
      </c>
      <c r="N561" s="90">
        <f t="shared" si="174"/>
        <v>286.65650595952064</v>
      </c>
      <c r="O561" s="90">
        <f t="shared" si="174"/>
        <v>317.19669899860952</v>
      </c>
    </row>
    <row r="562" spans="1:15">
      <c r="A562" s="19"/>
      <c r="B562" s="422" t="s">
        <v>39</v>
      </c>
      <c r="C562" s="19" t="str">
        <f>INDEX(Vectors[Description], MATCH($B562, Vectors[Code], 0))</f>
        <v>Gaseous hydrocarbons</v>
      </c>
      <c r="D562" s="19"/>
      <c r="E562" s="1972" t="str">
        <f>preferences.energyunits</f>
        <v>TWh</v>
      </c>
      <c r="F562" s="90">
        <f t="shared" si="174"/>
        <v>20.105581274256</v>
      </c>
      <c r="G562" s="90">
        <f t="shared" si="174"/>
        <v>35.444403431960659</v>
      </c>
      <c r="H562" s="90">
        <f t="shared" si="174"/>
        <v>54.183310913898801</v>
      </c>
      <c r="I562" s="90">
        <f t="shared" si="174"/>
        <v>85.552377227291259</v>
      </c>
      <c r="J562" s="90">
        <f t="shared" si="174"/>
        <v>123.93554773724418</v>
      </c>
      <c r="K562" s="90">
        <f t="shared" si="174"/>
        <v>169.69166512658509</v>
      </c>
      <c r="L562" s="90">
        <f t="shared" si="174"/>
        <v>215.26583933228062</v>
      </c>
      <c r="M562" s="90">
        <f t="shared" si="174"/>
        <v>255.01471094346826</v>
      </c>
      <c r="N562" s="90">
        <f t="shared" si="174"/>
        <v>286.65650595952064</v>
      </c>
      <c r="O562" s="90">
        <f t="shared" si="174"/>
        <v>317.19669899860952</v>
      </c>
    </row>
    <row r="563" spans="1:15">
      <c r="A563" s="19"/>
      <c r="B563" s="422"/>
      <c r="C563" s="19"/>
      <c r="D563" s="19"/>
      <c r="E563" s="1972"/>
      <c r="F563" s="90"/>
      <c r="G563" s="90"/>
      <c r="H563" s="90"/>
      <c r="I563" s="90"/>
      <c r="J563" s="90"/>
      <c r="K563" s="90"/>
      <c r="L563" s="90"/>
      <c r="M563" s="90"/>
      <c r="N563" s="90"/>
      <c r="O563" s="90"/>
    </row>
    <row r="564" spans="1:15" ht="14.25">
      <c r="A564" s="423" t="s">
        <v>281</v>
      </c>
      <c r="B564" s="422"/>
      <c r="C564" s="2959" t="s">
        <v>350</v>
      </c>
      <c r="D564" s="51"/>
      <c r="E564" s="99" t="s">
        <v>368</v>
      </c>
      <c r="F564" s="90">
        <f>F$560*INDEX(EF[CO2], MATCH("V.03", EF[Vector], 0))+F$561*INDEX(EF[CO2], MATCH("V.04", EF[Vector], 0))+F$562*INDEX(EF[CO2], MATCH("V.05", EF[Vector], 0))</f>
        <v>104.73655285303099</v>
      </c>
      <c r="G564" s="90">
        <f>G$560*INDEX(EF[CO2], MATCH("V.03", EF[Vector], 0))+G$561*INDEX(EF[CO2], MATCH("V.04", EF[Vector], 0))+G$562*INDEX(EF[CO2], MATCH("V.05", EF[Vector], 0))</f>
        <v>184.64149744076838</v>
      </c>
      <c r="H564" s="90">
        <f>H$560*INDEX(EF[CO2], MATCH("V.03", EF[Vector], 0))+H$561*INDEX(EF[CO2], MATCH("V.04", EF[Vector], 0))+H$562*INDEX(EF[CO2], MATCH("V.05", EF[Vector], 0))</f>
        <v>282.25859923543902</v>
      </c>
      <c r="I564" s="90">
        <f>I$560*INDEX(EF[CO2], MATCH("V.03", EF[Vector], 0))+I$561*INDEX(EF[CO2], MATCH("V.04", EF[Vector], 0))+I$562*INDEX(EF[CO2], MATCH("V.05", EF[Vector], 0))</f>
        <v>445.67033188152448</v>
      </c>
      <c r="J564" s="90">
        <f>J$560*INDEX(EF[CO2], MATCH("V.03", EF[Vector], 0))+J$561*INDEX(EF[CO2], MATCH("V.04", EF[Vector], 0))+J$562*INDEX(EF[CO2], MATCH("V.05", EF[Vector], 0))</f>
        <v>645.62082880797288</v>
      </c>
      <c r="K564" s="90">
        <f>K$560*INDEX(EF[CO2], MATCH("V.03", EF[Vector], 0))+K$561*INDEX(EF[CO2], MATCH("V.04", EF[Vector], 0))+K$562*INDEX(EF[CO2], MATCH("V.05", EF[Vector], 0))</f>
        <v>883.97941898882482</v>
      </c>
      <c r="L564" s="90">
        <f>L$560*INDEX(EF[CO2], MATCH("V.03", EF[Vector], 0))+L$561*INDEX(EF[CO2], MATCH("V.04", EF[Vector], 0))+L$562*INDEX(EF[CO2], MATCH("V.05", EF[Vector], 0))</f>
        <v>1121.3902075811432</v>
      </c>
      <c r="M564" s="90">
        <f>M$560*INDEX(EF[CO2], MATCH("V.03", EF[Vector], 0))+M$561*INDEX(EF[CO2], MATCH("V.04", EF[Vector], 0))+M$562*INDEX(EF[CO2], MATCH("V.05", EF[Vector], 0))</f>
        <v>1328.4550884997652</v>
      </c>
      <c r="N564" s="90">
        <f>N$560*INDEX(EF[CO2], MATCH("V.03", EF[Vector], 0))+N$561*INDEX(EF[CO2], MATCH("V.04", EF[Vector], 0))+N$562*INDEX(EF[CO2], MATCH("V.05", EF[Vector], 0))</f>
        <v>1493.2875542144966</v>
      </c>
      <c r="O564" s="90">
        <f>O$560*INDEX(EF[CO2], MATCH("V.03", EF[Vector], 0))+O$561*INDEX(EF[CO2], MATCH("V.04", EF[Vector], 0))+O$562*INDEX(EF[CO2], MATCH("V.05", EF[Vector], 0))</f>
        <v>1652.381414707653</v>
      </c>
    </row>
    <row r="565" spans="1:15" ht="14.25">
      <c r="A565" s="423"/>
      <c r="B565" s="423"/>
      <c r="C565" s="2959" t="s">
        <v>351</v>
      </c>
      <c r="D565" s="51"/>
      <c r="E565" s="99" t="s">
        <v>368</v>
      </c>
      <c r="F565" s="90">
        <f>F$560*INDEX(EF[CH4], MATCH("V.03", EF[Vector], 0))+F$561*INDEX(EF[CH4], MATCH("V.04", EF[Vector], 0))+F$562*INDEX(EF[CH4], MATCH("V.05", EF[Vector], 0))</f>
        <v>0</v>
      </c>
      <c r="G565" s="90">
        <f>G$560*INDEX(EF[CH4], MATCH("V.03", EF[Vector], 0))+G$561*INDEX(EF[CH4], MATCH("V.04", EF[Vector], 0))+G$562*INDEX(EF[CH4], MATCH("V.05", EF[Vector], 0))</f>
        <v>0</v>
      </c>
      <c r="H565" s="90">
        <f>H$560*INDEX(EF[CH4], MATCH("V.03", EF[Vector], 0))+H$561*INDEX(EF[CH4], MATCH("V.04", EF[Vector], 0))+H$562*INDEX(EF[CH4], MATCH("V.05", EF[Vector], 0))</f>
        <v>0</v>
      </c>
      <c r="I565" s="90">
        <f>I$560*INDEX(EF[CH4], MATCH("V.03", EF[Vector], 0))+I$561*INDEX(EF[CH4], MATCH("V.04", EF[Vector], 0))+I$562*INDEX(EF[CH4], MATCH("V.05", EF[Vector], 0))</f>
        <v>0</v>
      </c>
      <c r="J565" s="90">
        <f>J$560*INDEX(EF[CH4], MATCH("V.03", EF[Vector], 0))+J$561*INDEX(EF[CH4], MATCH("V.04", EF[Vector], 0))+J$562*INDEX(EF[CH4], MATCH("V.05", EF[Vector], 0))</f>
        <v>0</v>
      </c>
      <c r="K565" s="90">
        <f>K$560*INDEX(EF[CH4], MATCH("V.03", EF[Vector], 0))+K$561*INDEX(EF[CH4], MATCH("V.04", EF[Vector], 0))+K$562*INDEX(EF[CH4], MATCH("V.05", EF[Vector], 0))</f>
        <v>0</v>
      </c>
      <c r="L565" s="90">
        <f>L$560*INDEX(EF[CH4], MATCH("V.03", EF[Vector], 0))+L$561*INDEX(EF[CH4], MATCH("V.04", EF[Vector], 0))+L$562*INDEX(EF[CH4], MATCH("V.05", EF[Vector], 0))</f>
        <v>0</v>
      </c>
      <c r="M565" s="90">
        <f>M$560*INDEX(EF[CH4], MATCH("V.03", EF[Vector], 0))+M$561*INDEX(EF[CH4], MATCH("V.04", EF[Vector], 0))+M$562*INDEX(EF[CH4], MATCH("V.05", EF[Vector], 0))</f>
        <v>0</v>
      </c>
      <c r="N565" s="90">
        <f>N$560*INDEX(EF[CH4], MATCH("V.03", EF[Vector], 0))+N$561*INDEX(EF[CH4], MATCH("V.04", EF[Vector], 0))+N$562*INDEX(EF[CH4], MATCH("V.05", EF[Vector], 0))</f>
        <v>0</v>
      </c>
      <c r="O565" s="90">
        <f>O$560*INDEX(EF[CH4], MATCH("V.03", EF[Vector], 0))+O$561*INDEX(EF[CH4], MATCH("V.04", EF[Vector], 0))+O$562*INDEX(EF[CH4], MATCH("V.05", EF[Vector], 0))</f>
        <v>0</v>
      </c>
    </row>
    <row r="566" spans="1:15" ht="14.25">
      <c r="A566" s="19"/>
      <c r="B566" s="422"/>
      <c r="C566" s="2959" t="s">
        <v>352</v>
      </c>
      <c r="D566" s="51"/>
      <c r="E566" s="99" t="s">
        <v>368</v>
      </c>
      <c r="F566" s="90">
        <f>F$560*INDEX(EF[N2O], MATCH("V.03", EF[Vector], 0))+F$561*INDEX(EF[N2O], MATCH("V.04", EF[Vector], 0))+F$562*INDEX(EF[N2O], MATCH("V.05", EF[Vector], 0))</f>
        <v>0</v>
      </c>
      <c r="G566" s="90">
        <f>G$560*INDEX(EF[N2O], MATCH("V.03", EF[Vector], 0))+G$561*INDEX(EF[N2O], MATCH("V.04", EF[Vector], 0))+G$562*INDEX(EF[N2O], MATCH("V.05", EF[Vector], 0))</f>
        <v>0</v>
      </c>
      <c r="H566" s="90">
        <f>H$560*INDEX(EF[N2O], MATCH("V.03", EF[Vector], 0))+H$561*INDEX(EF[N2O], MATCH("V.04", EF[Vector], 0))+H$562*INDEX(EF[N2O], MATCH("V.05", EF[Vector], 0))</f>
        <v>0</v>
      </c>
      <c r="I566" s="90">
        <f>I$560*INDEX(EF[N2O], MATCH("V.03", EF[Vector], 0))+I$561*INDEX(EF[N2O], MATCH("V.04", EF[Vector], 0))+I$562*INDEX(EF[N2O], MATCH("V.05", EF[Vector], 0))</f>
        <v>0</v>
      </c>
      <c r="J566" s="90">
        <f>J$560*INDEX(EF[N2O], MATCH("V.03", EF[Vector], 0))+J$561*INDEX(EF[N2O], MATCH("V.04", EF[Vector], 0))+J$562*INDEX(EF[N2O], MATCH("V.05", EF[Vector], 0))</f>
        <v>0</v>
      </c>
      <c r="K566" s="90">
        <f>K$560*INDEX(EF[N2O], MATCH("V.03", EF[Vector], 0))+K$561*INDEX(EF[N2O], MATCH("V.04", EF[Vector], 0))+K$562*INDEX(EF[N2O], MATCH("V.05", EF[Vector], 0))</f>
        <v>0</v>
      </c>
      <c r="L566" s="90">
        <f>L$560*INDEX(EF[N2O], MATCH("V.03", EF[Vector], 0))+L$561*INDEX(EF[N2O], MATCH("V.04", EF[Vector], 0))+L$562*INDEX(EF[N2O], MATCH("V.05", EF[Vector], 0))</f>
        <v>0</v>
      </c>
      <c r="M566" s="90">
        <f>M$560*INDEX(EF[N2O], MATCH("V.03", EF[Vector], 0))+M$561*INDEX(EF[N2O], MATCH("V.04", EF[Vector], 0))+M$562*INDEX(EF[N2O], MATCH("V.05", EF[Vector], 0))</f>
        <v>0</v>
      </c>
      <c r="N566" s="90">
        <f>N$560*INDEX(EF[N2O], MATCH("V.03", EF[Vector], 0))+N$561*INDEX(EF[N2O], MATCH("V.04", EF[Vector], 0))+N$562*INDEX(EF[N2O], MATCH("V.05", EF[Vector], 0))</f>
        <v>0</v>
      </c>
      <c r="O566" s="90">
        <f>O$560*INDEX(EF[N2O], MATCH("V.03", EF[Vector], 0))+O$561*INDEX(EF[N2O], MATCH("V.04", EF[Vector], 0))+O$562*INDEX(EF[N2O], MATCH("V.05", EF[Vector], 0))</f>
        <v>0</v>
      </c>
    </row>
    <row r="567" spans="1:15">
      <c r="A567" s="19"/>
      <c r="B567" s="422"/>
      <c r="C567" s="19"/>
      <c r="D567" s="19"/>
      <c r="E567" s="1401"/>
      <c r="F567" s="90"/>
      <c r="G567" s="90"/>
      <c r="H567" s="90"/>
      <c r="I567" s="90"/>
      <c r="J567" s="90"/>
      <c r="K567" s="90"/>
      <c r="L567" s="90"/>
      <c r="M567" s="90"/>
      <c r="N567" s="90"/>
      <c r="O567" s="90"/>
    </row>
    <row r="568" spans="1:15" ht="15.75">
      <c r="A568" s="2959"/>
      <c r="B568" s="1955"/>
      <c r="C568" s="624"/>
      <c r="D568" s="624"/>
      <c r="E568" s="624"/>
      <c r="F568" s="624"/>
      <c r="G568" s="624"/>
      <c r="H568" s="624"/>
      <c r="I568" s="624"/>
      <c r="J568" s="624"/>
      <c r="K568" s="624"/>
      <c r="L568" s="624"/>
      <c r="M568" s="624"/>
      <c r="N568" s="624"/>
      <c r="O568" s="624"/>
    </row>
    <row r="569" spans="1:15">
      <c r="A569" s="423">
        <v>1.5</v>
      </c>
      <c r="B569" s="423" t="s">
        <v>1648</v>
      </c>
      <c r="D569" s="19"/>
      <c r="E569" s="2960" t="s">
        <v>404</v>
      </c>
      <c r="F569" s="1658">
        <v>2007</v>
      </c>
      <c r="G569" s="1658">
        <f>F569+5</f>
        <v>2012</v>
      </c>
      <c r="H569" s="1658">
        <f t="shared" ref="H569:O569" si="175">G569+5</f>
        <v>2017</v>
      </c>
      <c r="I569" s="1658">
        <f t="shared" si="175"/>
        <v>2022</v>
      </c>
      <c r="J569" s="1658">
        <f t="shared" si="175"/>
        <v>2027</v>
      </c>
      <c r="K569" s="1658">
        <f t="shared" si="175"/>
        <v>2032</v>
      </c>
      <c r="L569" s="1658">
        <f t="shared" si="175"/>
        <v>2037</v>
      </c>
      <c r="M569" s="1658">
        <f t="shared" si="175"/>
        <v>2042</v>
      </c>
      <c r="N569" s="1658">
        <f t="shared" si="175"/>
        <v>2047</v>
      </c>
      <c r="O569" s="1658">
        <f t="shared" si="175"/>
        <v>2052</v>
      </c>
    </row>
    <row r="570" spans="1:15">
      <c r="A570" s="19"/>
      <c r="B570" s="423"/>
      <c r="C570" s="37"/>
      <c r="D570" s="19"/>
      <c r="E570" s="856"/>
      <c r="F570" s="1658"/>
      <c r="G570" s="1658"/>
      <c r="H570" s="1658"/>
      <c r="I570" s="1658"/>
      <c r="J570" s="1658"/>
      <c r="K570" s="1658"/>
      <c r="L570" s="1658"/>
      <c r="M570" s="1658"/>
      <c r="N570" s="1658"/>
      <c r="O570" s="1658"/>
    </row>
    <row r="571" spans="1:15">
      <c r="A571" s="19"/>
      <c r="B571" s="780" t="s">
        <v>1649</v>
      </c>
      <c r="D571" s="19"/>
      <c r="E571" s="1971" t="s">
        <v>1421</v>
      </c>
      <c r="F571" s="22">
        <f>F$389</f>
        <v>6.1280000000000001</v>
      </c>
      <c r="G571" s="22">
        <f t="shared" ref="G571:O571" si="176">G$389</f>
        <v>10.9</v>
      </c>
      <c r="H571" s="22">
        <f t="shared" si="176"/>
        <v>16.169999999999995</v>
      </c>
      <c r="I571" s="22">
        <f t="shared" si="176"/>
        <v>27.999999999999993</v>
      </c>
      <c r="J571" s="22">
        <f t="shared" si="176"/>
        <v>39.70000000000001</v>
      </c>
      <c r="K571" s="22">
        <f t="shared" si="176"/>
        <v>48.250000000000021</v>
      </c>
      <c r="L571" s="22">
        <f t="shared" si="176"/>
        <v>58.769370000000045</v>
      </c>
      <c r="M571" s="22">
        <f t="shared" si="176"/>
        <v>69.288740000000075</v>
      </c>
      <c r="N571" s="22">
        <f t="shared" si="176"/>
        <v>79.80811000000007</v>
      </c>
      <c r="O571" s="22">
        <f t="shared" si="176"/>
        <v>90.327480000000108</v>
      </c>
    </row>
    <row r="572" spans="1:15">
      <c r="A572" s="19"/>
      <c r="B572" s="780" t="s">
        <v>1637</v>
      </c>
      <c r="D572" s="19"/>
      <c r="E572" s="1971" t="s">
        <v>1421</v>
      </c>
      <c r="F572" s="22">
        <f>F571*F$69</f>
        <v>0</v>
      </c>
      <c r="G572" s="22">
        <f t="shared" ref="G572:O572" si="177">G571*G$69</f>
        <v>3.1211549999999999</v>
      </c>
      <c r="H572" s="22">
        <f t="shared" si="177"/>
        <v>4.6892999999999985</v>
      </c>
      <c r="I572" s="22">
        <f t="shared" si="177"/>
        <v>4.7599999999999989</v>
      </c>
      <c r="J572" s="22">
        <f t="shared" si="177"/>
        <v>4.7640000000000011</v>
      </c>
      <c r="K572" s="22">
        <f t="shared" si="177"/>
        <v>4.8250000000000028</v>
      </c>
      <c r="L572" s="22">
        <f t="shared" si="177"/>
        <v>4.7015496000000034</v>
      </c>
      <c r="M572" s="22">
        <f t="shared" si="177"/>
        <v>4.8502118000000056</v>
      </c>
      <c r="N572" s="22">
        <f t="shared" si="177"/>
        <v>4.7884866000000041</v>
      </c>
      <c r="O572" s="22">
        <f t="shared" si="177"/>
        <v>4.5163740000000052</v>
      </c>
    </row>
    <row r="573" spans="1:15">
      <c r="A573" s="19"/>
      <c r="B573" s="780" t="s">
        <v>1638</v>
      </c>
      <c r="D573" s="19"/>
      <c r="E573" s="1971" t="s">
        <v>1421</v>
      </c>
      <c r="F573" s="22">
        <f t="shared" ref="F573:O573" si="178">F571-F572</f>
        <v>6.1280000000000001</v>
      </c>
      <c r="G573" s="22">
        <f t="shared" si="178"/>
        <v>7.7788450000000005</v>
      </c>
      <c r="H573" s="22">
        <f t="shared" si="178"/>
        <v>11.480699999999995</v>
      </c>
      <c r="I573" s="22">
        <f t="shared" si="178"/>
        <v>23.239999999999995</v>
      </c>
      <c r="J573" s="22">
        <f t="shared" si="178"/>
        <v>34.936000000000007</v>
      </c>
      <c r="K573" s="22">
        <f t="shared" si="178"/>
        <v>43.425000000000018</v>
      </c>
      <c r="L573" s="22">
        <f t="shared" si="178"/>
        <v>54.067820400000045</v>
      </c>
      <c r="M573" s="22">
        <f t="shared" si="178"/>
        <v>64.438528200000064</v>
      </c>
      <c r="N573" s="22">
        <f t="shared" si="178"/>
        <v>75.019623400000071</v>
      </c>
      <c r="O573" s="22">
        <f t="shared" si="178"/>
        <v>85.811106000000109</v>
      </c>
    </row>
    <row r="574" spans="1:15">
      <c r="A574" s="19"/>
      <c r="B574" s="780" t="s">
        <v>1639</v>
      </c>
      <c r="D574" s="19"/>
      <c r="E574" s="1971" t="str">
        <f>preferences.energyunits</f>
        <v>TWh</v>
      </c>
      <c r="F574" s="22">
        <f>F572*F$178+F$187*F573</f>
        <v>52.602713258784007</v>
      </c>
      <c r="G574" s="22">
        <f t="shared" ref="G574:O574" si="179">G572*G$178+G$187*G573</f>
        <v>88.641929934621686</v>
      </c>
      <c r="H574" s="22">
        <f t="shared" si="179"/>
        <v>127.89935192460382</v>
      </c>
      <c r="I574" s="22">
        <f t="shared" si="179"/>
        <v>225.00049324723605</v>
      </c>
      <c r="J574" s="22">
        <f t="shared" si="179"/>
        <v>320.69891765261326</v>
      </c>
      <c r="K574" s="22">
        <f t="shared" si="179"/>
        <v>390.10470560242783</v>
      </c>
      <c r="L574" s="22">
        <f t="shared" si="179"/>
        <v>475.52568428203847</v>
      </c>
      <c r="M574" s="22">
        <f t="shared" si="179"/>
        <v>560.28004640420284</v>
      </c>
      <c r="N574" s="22">
        <f t="shared" si="179"/>
        <v>644.89664467189198</v>
      </c>
      <c r="O574" s="22">
        <f t="shared" si="179"/>
        <v>729.36445891370511</v>
      </c>
    </row>
    <row r="575" spans="1:15">
      <c r="A575" s="17"/>
      <c r="B575" s="51"/>
      <c r="C575" s="859"/>
      <c r="D575" s="17"/>
      <c r="E575" s="1969"/>
      <c r="F575" s="1970"/>
      <c r="G575" s="1970"/>
      <c r="H575" s="1970"/>
      <c r="I575" s="1970"/>
      <c r="J575" s="1970"/>
      <c r="K575" s="1970"/>
      <c r="L575" s="1970"/>
      <c r="M575" s="1970"/>
      <c r="N575" s="1970"/>
      <c r="O575" s="1970"/>
    </row>
    <row r="576" spans="1:15">
      <c r="A576" s="19"/>
      <c r="B576" s="423"/>
      <c r="D576" s="423"/>
      <c r="E576" s="856"/>
      <c r="F576" s="73"/>
      <c r="G576" s="73"/>
      <c r="H576" s="73"/>
      <c r="I576" s="73"/>
      <c r="J576" s="73"/>
      <c r="K576" s="73"/>
      <c r="L576" s="73"/>
      <c r="M576" s="73"/>
      <c r="N576" s="73"/>
      <c r="O576" s="73"/>
    </row>
    <row r="577" spans="1:15">
      <c r="A577" s="423" t="s">
        <v>1529</v>
      </c>
      <c r="B577" s="423"/>
      <c r="C577" s="37" t="s">
        <v>1635</v>
      </c>
      <c r="D577" s="423"/>
      <c r="E577" s="856"/>
      <c r="F577" s="73"/>
      <c r="G577" s="73"/>
      <c r="H577" s="73"/>
      <c r="I577" s="73"/>
      <c r="J577" s="73"/>
      <c r="K577" s="73"/>
      <c r="L577" s="73"/>
      <c r="M577" s="73"/>
      <c r="N577" s="73"/>
      <c r="O577" s="73"/>
    </row>
    <row r="578" spans="1:15">
      <c r="A578" s="19"/>
      <c r="B578" s="422" t="s">
        <v>34</v>
      </c>
      <c r="C578" s="19" t="str">
        <f>INDEX(Vectors[Description], MATCH($B578, Vectors[Code], 0))</f>
        <v>Electricity (delivered to end user)</v>
      </c>
      <c r="D578" s="19"/>
      <c r="E578" s="1972" t="str">
        <f>preferences.energyunits</f>
        <v>TWh</v>
      </c>
      <c r="F578" s="90">
        <f t="shared" ref="F578:O581" si="180">F$574*F449</f>
        <v>1.5780813977635202</v>
      </c>
      <c r="G578" s="90">
        <f t="shared" si="180"/>
        <v>2.6592578980386503</v>
      </c>
      <c r="H578" s="90">
        <f t="shared" si="180"/>
        <v>3.8369805577381144</v>
      </c>
      <c r="I578" s="90">
        <f t="shared" si="180"/>
        <v>6.750014797417081</v>
      </c>
      <c r="J578" s="90">
        <f t="shared" si="180"/>
        <v>9.6209675295783974</v>
      </c>
      <c r="K578" s="90">
        <f t="shared" si="180"/>
        <v>11.703141168072834</v>
      </c>
      <c r="L578" s="90">
        <f t="shared" si="180"/>
        <v>14.265770528461154</v>
      </c>
      <c r="M578" s="90">
        <f t="shared" si="180"/>
        <v>16.808401392126086</v>
      </c>
      <c r="N578" s="90">
        <f t="shared" si="180"/>
        <v>19.34689934015676</v>
      </c>
      <c r="O578" s="90">
        <f t="shared" si="180"/>
        <v>21.880933767411154</v>
      </c>
    </row>
    <row r="579" spans="1:15">
      <c r="A579" s="19"/>
      <c r="B579" s="422" t="s">
        <v>36</v>
      </c>
      <c r="C579" s="19" t="str">
        <f>INDEX(Vectors[Description], MATCH($B579, Vectors[Code], 0))</f>
        <v>Solid hydrocarbons</v>
      </c>
      <c r="D579" s="19"/>
      <c r="E579" s="1972" t="str">
        <f>preferences.energyunits</f>
        <v>TWh</v>
      </c>
      <c r="F579" s="90">
        <f t="shared" si="180"/>
        <v>48.394496198081292</v>
      </c>
      <c r="G579" s="90">
        <f t="shared" si="180"/>
        <v>81.550575539851948</v>
      </c>
      <c r="H579" s="90">
        <f t="shared" si="180"/>
        <v>117.66740377063552</v>
      </c>
      <c r="I579" s="90">
        <f t="shared" si="180"/>
        <v>207.00045378745719</v>
      </c>
      <c r="J579" s="90">
        <f t="shared" si="180"/>
        <v>295.04300424040423</v>
      </c>
      <c r="K579" s="90">
        <f t="shared" si="180"/>
        <v>358.89632915423363</v>
      </c>
      <c r="L579" s="90">
        <f t="shared" si="180"/>
        <v>437.48362953947543</v>
      </c>
      <c r="M579" s="90">
        <f t="shared" si="180"/>
        <v>515.45764269186668</v>
      </c>
      <c r="N579" s="90">
        <f t="shared" si="180"/>
        <v>593.30491309814067</v>
      </c>
      <c r="O579" s="90">
        <f t="shared" si="180"/>
        <v>671.01530220060874</v>
      </c>
    </row>
    <row r="580" spans="1:15">
      <c r="A580" s="19"/>
      <c r="B580" s="422" t="s">
        <v>38</v>
      </c>
      <c r="C580" s="19" t="str">
        <f>INDEX(Vectors[Description], MATCH($B580, Vectors[Code], 0))</f>
        <v>Liquid hydrocarbons</v>
      </c>
      <c r="D580" s="19"/>
      <c r="E580" s="1972" t="str">
        <f>preferences.energyunits</f>
        <v>TWh</v>
      </c>
      <c r="F580" s="90">
        <f t="shared" si="180"/>
        <v>2.1041085303513603</v>
      </c>
      <c r="G580" s="90">
        <f t="shared" si="180"/>
        <v>3.5456771973848675</v>
      </c>
      <c r="H580" s="90">
        <f t="shared" si="180"/>
        <v>5.1159740769841529</v>
      </c>
      <c r="I580" s="90">
        <f t="shared" si="180"/>
        <v>9.0000197298894431</v>
      </c>
      <c r="J580" s="90">
        <f t="shared" si="180"/>
        <v>12.82795670610453</v>
      </c>
      <c r="K580" s="90">
        <f t="shared" si="180"/>
        <v>15.604188224097113</v>
      </c>
      <c r="L580" s="90">
        <f t="shared" si="180"/>
        <v>19.021027371281541</v>
      </c>
      <c r="M580" s="90">
        <f t="shared" si="180"/>
        <v>22.411201856168113</v>
      </c>
      <c r="N580" s="90">
        <f t="shared" si="180"/>
        <v>25.79586578687568</v>
      </c>
      <c r="O580" s="90">
        <f t="shared" si="180"/>
        <v>29.174578356548206</v>
      </c>
    </row>
    <row r="581" spans="1:15">
      <c r="A581" s="19"/>
      <c r="B581" s="422" t="s">
        <v>39</v>
      </c>
      <c r="C581" s="19" t="str">
        <f>INDEX(Vectors[Description], MATCH($B581, Vectors[Code], 0))</f>
        <v>Gaseous hydrocarbons</v>
      </c>
      <c r="D581" s="19"/>
      <c r="E581" s="1972" t="str">
        <f>preferences.energyunits</f>
        <v>TWh</v>
      </c>
      <c r="F581" s="90">
        <f t="shared" si="180"/>
        <v>0.52602713258784006</v>
      </c>
      <c r="G581" s="90">
        <f t="shared" si="180"/>
        <v>0.88641929934621688</v>
      </c>
      <c r="H581" s="90">
        <f t="shared" si="180"/>
        <v>1.2789935192460382</v>
      </c>
      <c r="I581" s="90">
        <f t="shared" si="180"/>
        <v>2.2500049324723608</v>
      </c>
      <c r="J581" s="90">
        <f t="shared" si="180"/>
        <v>3.2069891765261325</v>
      </c>
      <c r="K581" s="90">
        <f t="shared" si="180"/>
        <v>3.9010470560242783</v>
      </c>
      <c r="L581" s="90">
        <f t="shared" si="180"/>
        <v>4.7552568428203852</v>
      </c>
      <c r="M581" s="90">
        <f t="shared" si="180"/>
        <v>5.6028004640420281</v>
      </c>
      <c r="N581" s="90">
        <f t="shared" si="180"/>
        <v>6.4489664467189201</v>
      </c>
      <c r="O581" s="90">
        <f t="shared" si="180"/>
        <v>7.2936445891370516</v>
      </c>
    </row>
    <row r="582" spans="1:15">
      <c r="A582" s="19"/>
      <c r="B582" s="422"/>
      <c r="C582" s="19"/>
      <c r="D582" s="19"/>
      <c r="E582" s="1972"/>
      <c r="F582" s="90"/>
      <c r="G582" s="90"/>
      <c r="H582" s="90"/>
      <c r="I582" s="90"/>
      <c r="J582" s="90"/>
      <c r="K582" s="90"/>
      <c r="L582" s="90"/>
      <c r="M582" s="90"/>
      <c r="N582" s="90"/>
      <c r="O582" s="90"/>
    </row>
    <row r="583" spans="1:15" ht="14.25">
      <c r="A583" s="423" t="s">
        <v>281</v>
      </c>
      <c r="B583" s="422"/>
      <c r="C583" s="2959" t="s">
        <v>350</v>
      </c>
      <c r="D583" s="51"/>
      <c r="E583" s="99" t="s">
        <v>368</v>
      </c>
      <c r="F583" s="90">
        <f>F$579*INDEX(EF[CO2], MATCH("V.03", EF[Vector], 0))+F$580*INDEX(EF[CO2], MATCH("V.04", EF[Vector], 0))+F$581*INDEX(EF[CO2], MATCH("V.05", EF[Vector], 0))</f>
        <v>17.463441454761327</v>
      </c>
      <c r="G583" s="90">
        <f>G$579*INDEX(EF[CO2], MATCH("V.03", EF[Vector], 0))+G$580*INDEX(EF[CO2], MATCH("V.04", EF[Vector], 0))+G$581*INDEX(EF[CO2], MATCH("V.05", EF[Vector], 0))</f>
        <v>29.428009658642942</v>
      </c>
      <c r="H583" s="90">
        <f>H$579*INDEX(EF[CO2], MATCH("V.03", EF[Vector], 0))+H$580*INDEX(EF[CO2], MATCH("V.04", EF[Vector], 0))+H$581*INDEX(EF[CO2], MATCH("V.05", EF[Vector], 0))</f>
        <v>42.46098168832112</v>
      </c>
      <c r="I583" s="90">
        <f>I$579*INDEX(EF[CO2], MATCH("V.03", EF[Vector], 0))+I$580*INDEX(EF[CO2], MATCH("V.04", EF[Vector], 0))+I$581*INDEX(EF[CO2], MATCH("V.05", EF[Vector], 0))</f>
        <v>74.69734349604839</v>
      </c>
      <c r="J583" s="90">
        <f>J$579*INDEX(EF[CO2], MATCH("V.03", EF[Vector], 0))+J$580*INDEX(EF[CO2], MATCH("V.04", EF[Vector], 0))+J$581*INDEX(EF[CO2], MATCH("V.05", EF[Vector], 0))</f>
        <v>106.46802086956073</v>
      </c>
      <c r="K583" s="90">
        <f>K$579*INDEX(EF[CO2], MATCH("V.03", EF[Vector], 0))+K$580*INDEX(EF[CO2], MATCH("V.04", EF[Vector], 0))+K$581*INDEX(EF[CO2], MATCH("V.05", EF[Vector], 0))</f>
        <v>129.50987250410103</v>
      </c>
      <c r="L583" s="90">
        <f>L$579*INDEX(EF[CO2], MATCH("V.03", EF[Vector], 0))+L$580*INDEX(EF[CO2], MATCH("V.04", EF[Vector], 0))+L$581*INDEX(EF[CO2], MATCH("V.05", EF[Vector], 0))</f>
        <v>157.86856671899864</v>
      </c>
      <c r="M583" s="90">
        <f>M$579*INDEX(EF[CO2], MATCH("V.03", EF[Vector], 0))+M$580*INDEX(EF[CO2], MATCH("V.04", EF[Vector], 0))+M$581*INDEX(EF[CO2], MATCH("V.05", EF[Vector], 0))</f>
        <v>186.0059525925096</v>
      </c>
      <c r="N583" s="90">
        <f>N$579*INDEX(EF[CO2], MATCH("V.03", EF[Vector], 0))+N$580*INDEX(EF[CO2], MATCH("V.04", EF[Vector], 0))+N$581*INDEX(EF[CO2], MATCH("V.05", EF[Vector], 0))</f>
        <v>214.09760259313177</v>
      </c>
      <c r="O583" s="90">
        <f>O$579*INDEX(EF[CO2], MATCH("V.03", EF[Vector], 0))+O$580*INDEX(EF[CO2], MATCH("V.04", EF[Vector], 0))+O$581*INDEX(EF[CO2], MATCH("V.05", EF[Vector], 0))</f>
        <v>242.13985816209211</v>
      </c>
    </row>
    <row r="584" spans="1:15" ht="14.25">
      <c r="A584" s="423"/>
      <c r="B584" s="423"/>
      <c r="C584" s="2959" t="s">
        <v>351</v>
      </c>
      <c r="D584" s="51"/>
      <c r="E584" s="99" t="s">
        <v>368</v>
      </c>
      <c r="F584" s="90">
        <f>F$579*INDEX(EF[CH4], MATCH("V.03", EF[Vector], 0))+F$580*INDEX(EF[CH4], MATCH("V.04", EF[Vector], 0))+F$581*INDEX(EF[CH4], MATCH("V.05", EF[Vector], 0))</f>
        <v>0</v>
      </c>
      <c r="G584" s="90">
        <f>G$579*INDEX(EF[CH4], MATCH("V.03", EF[Vector], 0))+G$580*INDEX(EF[CH4], MATCH("V.04", EF[Vector], 0))+G$581*INDEX(EF[CH4], MATCH("V.05", EF[Vector], 0))</f>
        <v>0</v>
      </c>
      <c r="H584" s="90">
        <f>H$579*INDEX(EF[CH4], MATCH("V.03", EF[Vector], 0))+H$580*INDEX(EF[CH4], MATCH("V.04", EF[Vector], 0))+H$581*INDEX(EF[CH4], MATCH("V.05", EF[Vector], 0))</f>
        <v>0</v>
      </c>
      <c r="I584" s="90">
        <f>I$579*INDEX(EF[CH4], MATCH("V.03", EF[Vector], 0))+I$580*INDEX(EF[CH4], MATCH("V.04", EF[Vector], 0))+I$581*INDEX(EF[CH4], MATCH("V.05", EF[Vector], 0))</f>
        <v>0</v>
      </c>
      <c r="J584" s="90">
        <f>J$579*INDEX(EF[CH4], MATCH("V.03", EF[Vector], 0))+J$580*INDEX(EF[CH4], MATCH("V.04", EF[Vector], 0))+J$581*INDEX(EF[CH4], MATCH("V.05", EF[Vector], 0))</f>
        <v>0</v>
      </c>
      <c r="K584" s="90">
        <f>K$579*INDEX(EF[CH4], MATCH("V.03", EF[Vector], 0))+K$580*INDEX(EF[CH4], MATCH("V.04", EF[Vector], 0))+K$581*INDEX(EF[CH4], MATCH("V.05", EF[Vector], 0))</f>
        <v>0</v>
      </c>
      <c r="L584" s="90">
        <f>L$579*INDEX(EF[CH4], MATCH("V.03", EF[Vector], 0))+L$580*INDEX(EF[CH4], MATCH("V.04", EF[Vector], 0))+L$581*INDEX(EF[CH4], MATCH("V.05", EF[Vector], 0))</f>
        <v>0</v>
      </c>
      <c r="M584" s="90">
        <f>M$579*INDEX(EF[CH4], MATCH("V.03", EF[Vector], 0))+M$580*INDEX(EF[CH4], MATCH("V.04", EF[Vector], 0))+M$581*INDEX(EF[CH4], MATCH("V.05", EF[Vector], 0))</f>
        <v>0</v>
      </c>
      <c r="N584" s="90">
        <f>N$579*INDEX(EF[CH4], MATCH("V.03", EF[Vector], 0))+N$580*INDEX(EF[CH4], MATCH("V.04", EF[Vector], 0))+N$581*INDEX(EF[CH4], MATCH("V.05", EF[Vector], 0))</f>
        <v>0</v>
      </c>
      <c r="O584" s="90">
        <f>O$579*INDEX(EF[CH4], MATCH("V.03", EF[Vector], 0))+O$580*INDEX(EF[CH4], MATCH("V.04", EF[Vector], 0))+O$581*INDEX(EF[CH4], MATCH("V.05", EF[Vector], 0))</f>
        <v>0</v>
      </c>
    </row>
    <row r="585" spans="1:15" ht="14.25">
      <c r="A585" s="19"/>
      <c r="B585" s="422"/>
      <c r="C585" s="2959" t="s">
        <v>352</v>
      </c>
      <c r="D585" s="51"/>
      <c r="E585" s="99" t="s">
        <v>368</v>
      </c>
      <c r="F585" s="90">
        <f>F$579*INDEX(EF[N2O], MATCH("V.03", EF[Vector], 0))+F$580*INDEX(EF[N2O], MATCH("V.04", EF[Vector], 0))+F$581*INDEX(EF[N2O], MATCH("V.05", EF[Vector], 0))</f>
        <v>0</v>
      </c>
      <c r="G585" s="90">
        <f>G$579*INDEX(EF[N2O], MATCH("V.03", EF[Vector], 0))+G$580*INDEX(EF[N2O], MATCH("V.04", EF[Vector], 0))+G$581*INDEX(EF[N2O], MATCH("V.05", EF[Vector], 0))</f>
        <v>0</v>
      </c>
      <c r="H585" s="90">
        <f>H$579*INDEX(EF[N2O], MATCH("V.03", EF[Vector], 0))+H$580*INDEX(EF[N2O], MATCH("V.04", EF[Vector], 0))+H$581*INDEX(EF[N2O], MATCH("V.05", EF[Vector], 0))</f>
        <v>0</v>
      </c>
      <c r="I585" s="90">
        <f>I$579*INDEX(EF[N2O], MATCH("V.03", EF[Vector], 0))+I$580*INDEX(EF[N2O], MATCH("V.04", EF[Vector], 0))+I$581*INDEX(EF[N2O], MATCH("V.05", EF[Vector], 0))</f>
        <v>0</v>
      </c>
      <c r="J585" s="90">
        <f>J$579*INDEX(EF[N2O], MATCH("V.03", EF[Vector], 0))+J$580*INDEX(EF[N2O], MATCH("V.04", EF[Vector], 0))+J$581*INDEX(EF[N2O], MATCH("V.05", EF[Vector], 0))</f>
        <v>0</v>
      </c>
      <c r="K585" s="90">
        <f>K$579*INDEX(EF[N2O], MATCH("V.03", EF[Vector], 0))+K$580*INDEX(EF[N2O], MATCH("V.04", EF[Vector], 0))+K$581*INDEX(EF[N2O], MATCH("V.05", EF[Vector], 0))</f>
        <v>0</v>
      </c>
      <c r="L585" s="90">
        <f>L$579*INDEX(EF[N2O], MATCH("V.03", EF[Vector], 0))+L$580*INDEX(EF[N2O], MATCH("V.04", EF[Vector], 0))+L$581*INDEX(EF[N2O], MATCH("V.05", EF[Vector], 0))</f>
        <v>0</v>
      </c>
      <c r="M585" s="90">
        <f>M$579*INDEX(EF[N2O], MATCH("V.03", EF[Vector], 0))+M$580*INDEX(EF[N2O], MATCH("V.04", EF[Vector], 0))+M$581*INDEX(EF[N2O], MATCH("V.05", EF[Vector], 0))</f>
        <v>0</v>
      </c>
      <c r="N585" s="90">
        <f>N$579*INDEX(EF[N2O], MATCH("V.03", EF[Vector], 0))+N$580*INDEX(EF[N2O], MATCH("V.04", EF[Vector], 0))+N$581*INDEX(EF[N2O], MATCH("V.05", EF[Vector], 0))</f>
        <v>0</v>
      </c>
      <c r="O585" s="90">
        <f>O$579*INDEX(EF[N2O], MATCH("V.03", EF[Vector], 0))+O$580*INDEX(EF[N2O], MATCH("V.04", EF[Vector], 0))+O$581*INDEX(EF[N2O], MATCH("V.05", EF[Vector], 0))</f>
        <v>0</v>
      </c>
    </row>
    <row r="586" spans="1:15">
      <c r="A586" s="19"/>
      <c r="B586" s="422"/>
      <c r="C586" s="19"/>
      <c r="D586" s="19"/>
      <c r="E586" s="1401"/>
      <c r="F586" s="90"/>
      <c r="G586" s="90"/>
      <c r="H586" s="90"/>
      <c r="I586" s="90"/>
      <c r="J586" s="90"/>
      <c r="K586" s="90"/>
      <c r="L586" s="90"/>
      <c r="M586" s="90"/>
      <c r="N586" s="90"/>
      <c r="O586" s="90"/>
    </row>
    <row r="588" spans="1:15">
      <c r="A588" s="423">
        <v>1.6</v>
      </c>
      <c r="B588" s="423" t="s">
        <v>1607</v>
      </c>
      <c r="D588" s="19"/>
      <c r="E588" s="2960" t="s">
        <v>404</v>
      </c>
      <c r="F588" s="1658">
        <v>2007</v>
      </c>
      <c r="G588" s="1658">
        <f>F588+5</f>
        <v>2012</v>
      </c>
      <c r="H588" s="1658">
        <f t="shared" ref="H588:O588" si="181">G588+5</f>
        <v>2017</v>
      </c>
      <c r="I588" s="1658">
        <f t="shared" si="181"/>
        <v>2022</v>
      </c>
      <c r="J588" s="1658">
        <f t="shared" si="181"/>
        <v>2027</v>
      </c>
      <c r="K588" s="1658">
        <f t="shared" si="181"/>
        <v>2032</v>
      </c>
      <c r="L588" s="1658">
        <f t="shared" si="181"/>
        <v>2037</v>
      </c>
      <c r="M588" s="1658">
        <f t="shared" si="181"/>
        <v>2042</v>
      </c>
      <c r="N588" s="1658">
        <f t="shared" si="181"/>
        <v>2047</v>
      </c>
      <c r="O588" s="1658">
        <f t="shared" si="181"/>
        <v>2052</v>
      </c>
    </row>
    <row r="589" spans="1:15">
      <c r="A589" s="19"/>
      <c r="B589" s="423"/>
      <c r="C589" s="37"/>
      <c r="D589" s="19"/>
      <c r="E589" s="856"/>
      <c r="F589" s="1658"/>
      <c r="G589" s="1658"/>
      <c r="H589" s="1658"/>
      <c r="I589" s="1658"/>
      <c r="J589" s="1658"/>
      <c r="K589" s="1658"/>
      <c r="L589" s="1658"/>
      <c r="M589" s="1658"/>
      <c r="N589" s="1658"/>
      <c r="O589" s="1658"/>
    </row>
    <row r="590" spans="1:15">
      <c r="A590" s="19"/>
      <c r="B590" s="780" t="s">
        <v>1650</v>
      </c>
      <c r="D590" s="19"/>
      <c r="E590" s="1971" t="s">
        <v>1421</v>
      </c>
      <c r="F590" s="22">
        <f>F$390</f>
        <v>2.8239999999999998</v>
      </c>
      <c r="G590" s="22">
        <f t="shared" ref="G590:O590" si="182">G$390</f>
        <v>3.1004999999999998</v>
      </c>
      <c r="H590" s="22">
        <f t="shared" si="182"/>
        <v>3.8909000000000002</v>
      </c>
      <c r="I590" s="22">
        <f t="shared" si="182"/>
        <v>4.4758000000000013</v>
      </c>
      <c r="J590" s="22">
        <f t="shared" si="182"/>
        <v>5.0800000000000018</v>
      </c>
      <c r="K590" s="22">
        <f t="shared" si="182"/>
        <v>5.6571000000000007</v>
      </c>
      <c r="L590" s="22">
        <f t="shared" si="182"/>
        <v>6.2604999999999986</v>
      </c>
      <c r="M590" s="22">
        <f t="shared" si="182"/>
        <v>6.7262999999999975</v>
      </c>
      <c r="N590" s="22">
        <f t="shared" si="182"/>
        <v>7.1919999999999975</v>
      </c>
      <c r="O590" s="22">
        <f t="shared" si="182"/>
        <v>7.6471999999999936</v>
      </c>
    </row>
    <row r="591" spans="1:15">
      <c r="A591" s="19"/>
      <c r="B591" s="780" t="s">
        <v>1637</v>
      </c>
      <c r="D591" s="19"/>
      <c r="E591" s="1971" t="s">
        <v>1421</v>
      </c>
      <c r="F591" s="22">
        <f>F590*F$78</f>
        <v>0</v>
      </c>
      <c r="G591" s="22">
        <f t="shared" ref="G591:O591" si="183">G590*G$78</f>
        <v>2.8834650000000002</v>
      </c>
      <c r="H591" s="22">
        <f t="shared" si="183"/>
        <v>3.6185370000000003</v>
      </c>
      <c r="I591" s="22">
        <f t="shared" si="183"/>
        <v>3.6253980000000015</v>
      </c>
      <c r="J591" s="22">
        <f t="shared" si="183"/>
        <v>3.6068000000000011</v>
      </c>
      <c r="K591" s="22">
        <f t="shared" si="183"/>
        <v>3.6205440000000007</v>
      </c>
      <c r="L591" s="22">
        <f t="shared" si="183"/>
        <v>3.631089999999999</v>
      </c>
      <c r="M591" s="22">
        <f t="shared" si="183"/>
        <v>3.632201999999999</v>
      </c>
      <c r="N591" s="22">
        <f t="shared" si="183"/>
        <v>3.5959999999999988</v>
      </c>
      <c r="O591" s="22">
        <f t="shared" si="183"/>
        <v>3.5941839999999967</v>
      </c>
    </row>
    <row r="592" spans="1:15">
      <c r="A592" s="19"/>
      <c r="B592" s="780" t="s">
        <v>1638</v>
      </c>
      <c r="D592" s="19"/>
      <c r="E592" s="1971" t="s">
        <v>1421</v>
      </c>
      <c r="F592" s="22">
        <f t="shared" ref="F592:O592" si="184">F590-F591</f>
        <v>2.8239999999999998</v>
      </c>
      <c r="G592" s="22">
        <f t="shared" si="184"/>
        <v>0.21703499999999964</v>
      </c>
      <c r="H592" s="22">
        <f t="shared" si="184"/>
        <v>0.27236299999999991</v>
      </c>
      <c r="I592" s="22">
        <f t="shared" si="184"/>
        <v>0.85040199999999988</v>
      </c>
      <c r="J592" s="22">
        <f t="shared" si="184"/>
        <v>1.4732000000000007</v>
      </c>
      <c r="K592" s="22">
        <f t="shared" si="184"/>
        <v>2.036556</v>
      </c>
      <c r="L592" s="22">
        <f t="shared" si="184"/>
        <v>2.6294099999999996</v>
      </c>
      <c r="M592" s="22">
        <f t="shared" si="184"/>
        <v>3.0940979999999985</v>
      </c>
      <c r="N592" s="22">
        <f t="shared" si="184"/>
        <v>3.5959999999999988</v>
      </c>
      <c r="O592" s="22">
        <f t="shared" si="184"/>
        <v>4.0530159999999968</v>
      </c>
    </row>
    <row r="593" spans="1:15">
      <c r="A593" s="19"/>
      <c r="B593" s="780" t="s">
        <v>1639</v>
      </c>
      <c r="D593" s="19"/>
      <c r="E593" s="1971" t="str">
        <f>preferences.energyunits</f>
        <v>TWh</v>
      </c>
      <c r="F593" s="22">
        <f>F591*F$196+F$205*F592</f>
        <v>11.823523199999999</v>
      </c>
      <c r="G593" s="22">
        <f t="shared" ref="G593:O593" si="185">G591*G$196+G$205*G592</f>
        <v>12.930691058999999</v>
      </c>
      <c r="H593" s="22">
        <f t="shared" si="185"/>
        <v>15.383122119808057</v>
      </c>
      <c r="I593" s="22">
        <f t="shared" si="185"/>
        <v>17.653726181203101</v>
      </c>
      <c r="J593" s="22">
        <f t="shared" si="185"/>
        <v>19.990180450439524</v>
      </c>
      <c r="K593" s="22">
        <f t="shared" si="185"/>
        <v>22.210559273147329</v>
      </c>
      <c r="L593" s="22">
        <f t="shared" si="185"/>
        <v>24.524169226735246</v>
      </c>
      <c r="M593" s="22">
        <f t="shared" si="185"/>
        <v>26.290418850930486</v>
      </c>
      <c r="N593" s="22">
        <f t="shared" si="185"/>
        <v>28.048186942683564</v>
      </c>
      <c r="O593" s="22">
        <f t="shared" si="185"/>
        <v>29.757645986531458</v>
      </c>
    </row>
    <row r="594" spans="1:15">
      <c r="A594" s="17"/>
      <c r="B594" s="51"/>
      <c r="C594" s="859"/>
      <c r="D594" s="17"/>
      <c r="E594" s="1969"/>
      <c r="F594" s="1970"/>
      <c r="G594" s="1970"/>
      <c r="H594" s="1970"/>
      <c r="I594" s="1970"/>
      <c r="J594" s="1970"/>
      <c r="K594" s="1970"/>
      <c r="L594" s="1970"/>
      <c r="M594" s="1970"/>
      <c r="N594" s="1970"/>
      <c r="O594" s="1970"/>
    </row>
    <row r="595" spans="1:15">
      <c r="A595" s="19"/>
      <c r="B595" s="423"/>
      <c r="D595" s="423"/>
      <c r="E595" s="856"/>
      <c r="F595" s="73"/>
      <c r="G595" s="73"/>
      <c r="H595" s="73"/>
      <c r="I595" s="73"/>
      <c r="J595" s="73"/>
      <c r="K595" s="73"/>
      <c r="L595" s="73"/>
      <c r="M595" s="73"/>
      <c r="N595" s="73"/>
      <c r="O595" s="73"/>
    </row>
    <row r="596" spans="1:15">
      <c r="A596" s="423" t="s">
        <v>1529</v>
      </c>
      <c r="B596" s="423"/>
      <c r="C596" s="37" t="s">
        <v>1635</v>
      </c>
      <c r="D596" s="423"/>
      <c r="E596" s="856"/>
      <c r="F596" s="73"/>
      <c r="G596" s="73"/>
      <c r="H596" s="73"/>
      <c r="I596" s="73"/>
      <c r="J596" s="73"/>
      <c r="K596" s="73"/>
      <c r="L596" s="73"/>
      <c r="M596" s="73"/>
      <c r="N596" s="73"/>
      <c r="O596" s="73"/>
    </row>
    <row r="597" spans="1:15">
      <c r="A597" s="19"/>
      <c r="B597" s="422" t="s">
        <v>34</v>
      </c>
      <c r="C597" s="19" t="str">
        <f>INDEX(Vectors[Description], MATCH($B597, Vectors[Code], 0))</f>
        <v>Electricity (delivered to end user)</v>
      </c>
      <c r="D597" s="19"/>
      <c r="E597" s="1972" t="str">
        <f>preferences.energyunits</f>
        <v>TWh</v>
      </c>
      <c r="F597" s="90">
        <f t="shared" ref="F597:O600" si="186">F$593*F459</f>
        <v>2.7194103359999997</v>
      </c>
      <c r="G597" s="90">
        <f t="shared" si="186"/>
        <v>2.9740589435699998</v>
      </c>
      <c r="H597" s="90">
        <f t="shared" si="186"/>
        <v>3.5381180875558531</v>
      </c>
      <c r="I597" s="90">
        <f t="shared" si="186"/>
        <v>4.0603570216767135</v>
      </c>
      <c r="J597" s="90">
        <f t="shared" si="186"/>
        <v>4.5977415036010907</v>
      </c>
      <c r="K597" s="90">
        <f t="shared" si="186"/>
        <v>5.1084286328238857</v>
      </c>
      <c r="L597" s="90">
        <f t="shared" si="186"/>
        <v>5.6405589221491068</v>
      </c>
      <c r="M597" s="90">
        <f t="shared" si="186"/>
        <v>6.0467963357140118</v>
      </c>
      <c r="N597" s="90">
        <f t="shared" si="186"/>
        <v>6.4510829968172203</v>
      </c>
      <c r="O597" s="90">
        <f t="shared" si="186"/>
        <v>6.8442585769022353</v>
      </c>
    </row>
    <row r="598" spans="1:15">
      <c r="A598" s="19"/>
      <c r="B598" s="422" t="s">
        <v>36</v>
      </c>
      <c r="C598" s="19" t="str">
        <f>INDEX(Vectors[Description], MATCH($B598, Vectors[Code], 0))</f>
        <v>Solid hydrocarbons</v>
      </c>
      <c r="D598" s="19"/>
      <c r="E598" s="1972" t="str">
        <f>preferences.energyunits</f>
        <v>TWh</v>
      </c>
      <c r="F598" s="90">
        <f t="shared" si="186"/>
        <v>6.384702528</v>
      </c>
      <c r="G598" s="90">
        <f t="shared" si="186"/>
        <v>6.9825731718600004</v>
      </c>
      <c r="H598" s="90">
        <f t="shared" si="186"/>
        <v>8.3068859446963508</v>
      </c>
      <c r="I598" s="90">
        <f t="shared" si="186"/>
        <v>9.5330121378496759</v>
      </c>
      <c r="J598" s="90">
        <f t="shared" si="186"/>
        <v>10.794697443237343</v>
      </c>
      <c r="K598" s="90">
        <f t="shared" si="186"/>
        <v>11.993702007499559</v>
      </c>
      <c r="L598" s="90">
        <f t="shared" si="186"/>
        <v>13.243051382437034</v>
      </c>
      <c r="M598" s="90">
        <f t="shared" si="186"/>
        <v>14.196826179502464</v>
      </c>
      <c r="N598" s="90">
        <f t="shared" si="186"/>
        <v>15.146020949049126</v>
      </c>
      <c r="O598" s="90">
        <f t="shared" si="186"/>
        <v>16.069128832726989</v>
      </c>
    </row>
    <row r="599" spans="1:15">
      <c r="A599" s="19"/>
      <c r="B599" s="422" t="s">
        <v>38</v>
      </c>
      <c r="C599" s="19" t="str">
        <f>INDEX(Vectors[Description], MATCH($B599, Vectors[Code], 0))</f>
        <v>Liquid hydrocarbons</v>
      </c>
      <c r="D599" s="19"/>
      <c r="E599" s="1972" t="str">
        <f>preferences.energyunits</f>
        <v>TWh</v>
      </c>
      <c r="F599" s="90">
        <f t="shared" si="186"/>
        <v>2.2464694079999998</v>
      </c>
      <c r="G599" s="90">
        <f t="shared" si="186"/>
        <v>2.4568313012099998</v>
      </c>
      <c r="H599" s="90">
        <f t="shared" si="186"/>
        <v>2.9227932027635308</v>
      </c>
      <c r="I599" s="90">
        <f t="shared" si="186"/>
        <v>3.3542079744285891</v>
      </c>
      <c r="J599" s="90">
        <f t="shared" si="186"/>
        <v>3.7981342855835099</v>
      </c>
      <c r="K599" s="90">
        <f t="shared" si="186"/>
        <v>4.2200062618979928</v>
      </c>
      <c r="L599" s="90">
        <f t="shared" si="186"/>
        <v>4.6595921530796964</v>
      </c>
      <c r="M599" s="90">
        <f t="shared" si="186"/>
        <v>4.9951795816767923</v>
      </c>
      <c r="N599" s="90">
        <f t="shared" si="186"/>
        <v>5.3291555191098769</v>
      </c>
      <c r="O599" s="90">
        <f t="shared" si="186"/>
        <v>5.653952737440977</v>
      </c>
    </row>
    <row r="600" spans="1:15">
      <c r="A600" s="19"/>
      <c r="B600" s="422" t="s">
        <v>39</v>
      </c>
      <c r="C600" s="19" t="str">
        <f>INDEX(Vectors[Description], MATCH($B600, Vectors[Code], 0))</f>
        <v>Gaseous hydrocarbons</v>
      </c>
      <c r="D600" s="19"/>
      <c r="E600" s="1972" t="str">
        <f>preferences.energyunits</f>
        <v>TWh</v>
      </c>
      <c r="F600" s="3128">
        <f t="shared" si="186"/>
        <v>0.47294092799999993</v>
      </c>
      <c r="G600" s="3129">
        <f t="shared" si="186"/>
        <v>0.51722764235999996</v>
      </c>
      <c r="H600" s="3128">
        <f t="shared" si="186"/>
        <v>0.61532488479232228</v>
      </c>
      <c r="I600" s="3128">
        <f t="shared" si="186"/>
        <v>0.70614904724812411</v>
      </c>
      <c r="J600" s="3126">
        <f t="shared" si="186"/>
        <v>0.79960721801758095</v>
      </c>
      <c r="K600" s="90">
        <f t="shared" si="186"/>
        <v>0.88842237092589316</v>
      </c>
      <c r="L600" s="90">
        <f t="shared" si="186"/>
        <v>0.98096676906940983</v>
      </c>
      <c r="M600" s="90">
        <f t="shared" si="186"/>
        <v>1.0516167540372194</v>
      </c>
      <c r="N600" s="90">
        <f t="shared" si="186"/>
        <v>1.1219274777073427</v>
      </c>
      <c r="O600" s="90">
        <f t="shared" si="186"/>
        <v>1.1903058394612582</v>
      </c>
    </row>
    <row r="601" spans="1:15">
      <c r="A601" s="19"/>
      <c r="B601" s="422"/>
      <c r="C601" s="19"/>
      <c r="D601" s="19"/>
      <c r="E601" s="1972"/>
      <c r="F601" s="90"/>
      <c r="G601" s="90"/>
      <c r="H601" s="90"/>
      <c r="I601" s="90"/>
      <c r="J601" s="90"/>
      <c r="K601" s="90"/>
      <c r="L601" s="90"/>
      <c r="M601" s="90"/>
      <c r="N601" s="90"/>
      <c r="O601" s="90"/>
    </row>
    <row r="602" spans="1:15" ht="14.25">
      <c r="A602" s="423" t="s">
        <v>281</v>
      </c>
      <c r="B602" s="422"/>
      <c r="C602" s="2959" t="s">
        <v>350</v>
      </c>
      <c r="D602" s="51"/>
      <c r="E602" s="99" t="s">
        <v>368</v>
      </c>
      <c r="F602" s="90">
        <f>F$598*INDEX(EF[CO2], MATCH("V.03", EF[Vector], 0))+F$599*INDEX(EF[CO2], MATCH("V.04", EF[Vector], 0))+F$600*INDEX(EF[CO2], MATCH("V.05", EF[Vector], 0))</f>
        <v>2.909387287898404</v>
      </c>
      <c r="G602" s="90">
        <f>G$598*INDEX(EF[CO2], MATCH("V.03", EF[Vector], 0))+G$599*INDEX(EF[CO2], MATCH("V.04", EF[Vector], 0))+G$600*INDEX(EF[CO2], MATCH("V.05", EF[Vector], 0))</f>
        <v>3.1818255484791669</v>
      </c>
      <c r="H602" s="90">
        <f>H$598*INDEX(EF[CO2], MATCH("V.03", EF[Vector], 0))+H$599*INDEX(EF[CO2], MATCH("V.04", EF[Vector], 0))+H$600*INDEX(EF[CO2], MATCH("V.05", EF[Vector], 0))</f>
        <v>3.7852896456073521</v>
      </c>
      <c r="I602" s="90">
        <f>I$598*INDEX(EF[CO2], MATCH("V.03", EF[Vector], 0))+I$599*INDEX(EF[CO2], MATCH("V.04", EF[Vector], 0))+I$600*INDEX(EF[CO2], MATCH("V.05", EF[Vector], 0))</f>
        <v>4.344011989220907</v>
      </c>
      <c r="J602" s="90">
        <f>J$598*INDEX(EF[CO2], MATCH("V.03", EF[Vector], 0))+J$599*INDEX(EF[CO2], MATCH("V.04", EF[Vector], 0))+J$600*INDEX(EF[CO2], MATCH("V.05", EF[Vector], 0))</f>
        <v>4.9189379427363873</v>
      </c>
      <c r="K602" s="90">
        <f>K$598*INDEX(EF[CO2], MATCH("V.03", EF[Vector], 0))+K$599*INDEX(EF[CO2], MATCH("V.04", EF[Vector], 0))+K$600*INDEX(EF[CO2], MATCH("V.05", EF[Vector], 0))</f>
        <v>5.465301476839735</v>
      </c>
      <c r="L602" s="90">
        <f>L$598*INDEX(EF[CO2], MATCH("V.03", EF[Vector], 0))+L$599*INDEX(EF[CO2], MATCH("V.04", EF[Vector], 0))+L$600*INDEX(EF[CO2], MATCH("V.05", EF[Vector], 0))</f>
        <v>6.0346061818978596</v>
      </c>
      <c r="M602" s="90">
        <f>M$598*INDEX(EF[CO2], MATCH("V.03", EF[Vector], 0))+M$599*INDEX(EF[CO2], MATCH("V.04", EF[Vector], 0))+M$600*INDEX(EF[CO2], MATCH("V.05", EF[Vector], 0))</f>
        <v>6.4692231836972018</v>
      </c>
      <c r="N602" s="90">
        <f>N$598*INDEX(EF[CO2], MATCH("V.03", EF[Vector], 0))+N$599*INDEX(EF[CO2], MATCH("V.04", EF[Vector], 0))+N$600*INDEX(EF[CO2], MATCH("V.05", EF[Vector], 0))</f>
        <v>6.9017531542240791</v>
      </c>
      <c r="O602" s="90">
        <f>O$598*INDEX(EF[CO2], MATCH("V.03", EF[Vector], 0))+O$599*INDEX(EF[CO2], MATCH("V.04", EF[Vector], 0))+O$600*INDEX(EF[CO2], MATCH("V.05", EF[Vector], 0))</f>
        <v>7.3223958279200216</v>
      </c>
    </row>
    <row r="603" spans="1:15" ht="14.25">
      <c r="A603" s="423"/>
      <c r="B603" s="423"/>
      <c r="C603" s="2959" t="s">
        <v>351</v>
      </c>
      <c r="D603" s="51"/>
      <c r="E603" s="99" t="s">
        <v>368</v>
      </c>
      <c r="F603" s="90">
        <f>F$598*INDEX(EF[CH4], MATCH("V.03", EF[Vector], 0))+F$599*INDEX(EF[CH4], MATCH("V.04", EF[Vector], 0))+F$600*INDEX(EF[CH4], MATCH("V.05", EF[Vector], 0))</f>
        <v>0</v>
      </c>
      <c r="G603" s="90">
        <f>G$598*INDEX(EF[CH4], MATCH("V.03", EF[Vector], 0))+G$599*INDEX(EF[CH4], MATCH("V.04", EF[Vector], 0))+G$600*INDEX(EF[CH4], MATCH("V.05", EF[Vector], 0))</f>
        <v>0</v>
      </c>
      <c r="H603" s="90">
        <f>H$598*INDEX(EF[CH4], MATCH("V.03", EF[Vector], 0))+H$599*INDEX(EF[CH4], MATCH("V.04", EF[Vector], 0))+H$600*INDEX(EF[CH4], MATCH("V.05", EF[Vector], 0))</f>
        <v>0</v>
      </c>
      <c r="I603" s="90">
        <f>I$598*INDEX(EF[CH4], MATCH("V.03", EF[Vector], 0))+I$599*INDEX(EF[CH4], MATCH("V.04", EF[Vector], 0))+I$600*INDEX(EF[CH4], MATCH("V.05", EF[Vector], 0))</f>
        <v>0</v>
      </c>
      <c r="J603" s="90">
        <f>J$598*INDEX(EF[CH4], MATCH("V.03", EF[Vector], 0))+J$599*INDEX(EF[CH4], MATCH("V.04", EF[Vector], 0))+J$600*INDEX(EF[CH4], MATCH("V.05", EF[Vector], 0))</f>
        <v>0</v>
      </c>
      <c r="K603" s="90">
        <f>K$598*INDEX(EF[CH4], MATCH("V.03", EF[Vector], 0))+K$599*INDEX(EF[CH4], MATCH("V.04", EF[Vector], 0))+K$600*INDEX(EF[CH4], MATCH("V.05", EF[Vector], 0))</f>
        <v>0</v>
      </c>
      <c r="L603" s="90">
        <f>L$598*INDEX(EF[CH4], MATCH("V.03", EF[Vector], 0))+L$599*INDEX(EF[CH4], MATCH("V.04", EF[Vector], 0))+L$600*INDEX(EF[CH4], MATCH("V.05", EF[Vector], 0))</f>
        <v>0</v>
      </c>
      <c r="M603" s="90">
        <f>M$598*INDEX(EF[CH4], MATCH("V.03", EF[Vector], 0))+M$599*INDEX(EF[CH4], MATCH("V.04", EF[Vector], 0))+M$600*INDEX(EF[CH4], MATCH("V.05", EF[Vector], 0))</f>
        <v>0</v>
      </c>
      <c r="N603" s="90">
        <f>N$598*INDEX(EF[CH4], MATCH("V.03", EF[Vector], 0))+N$599*INDEX(EF[CH4], MATCH("V.04", EF[Vector], 0))+N$600*INDEX(EF[CH4], MATCH("V.05", EF[Vector], 0))</f>
        <v>0</v>
      </c>
      <c r="O603" s="90">
        <f>O$598*INDEX(EF[CH4], MATCH("V.03", EF[Vector], 0))+O$599*INDEX(EF[CH4], MATCH("V.04", EF[Vector], 0))+O$600*INDEX(EF[CH4], MATCH("V.05", EF[Vector], 0))</f>
        <v>0</v>
      </c>
    </row>
    <row r="604" spans="1:15" ht="14.25">
      <c r="A604" s="19"/>
      <c r="B604" s="422"/>
      <c r="C604" s="2959" t="s">
        <v>352</v>
      </c>
      <c r="D604" s="51"/>
      <c r="E604" s="99" t="s">
        <v>368</v>
      </c>
      <c r="F604" s="90">
        <f>F$598*INDEX(EF[N2O], MATCH("V.03", EF[Vector], 0))+F$599*INDEX(EF[N2O], MATCH("V.04", EF[Vector], 0))+F$600*INDEX(EF[N2O], MATCH("V.05", EF[Vector], 0))</f>
        <v>0</v>
      </c>
      <c r="G604" s="90">
        <f>G$598*INDEX(EF[N2O], MATCH("V.03", EF[Vector], 0))+G$599*INDEX(EF[N2O], MATCH("V.04", EF[Vector], 0))+G$600*INDEX(EF[N2O], MATCH("V.05", EF[Vector], 0))</f>
        <v>0</v>
      </c>
      <c r="H604" s="90">
        <f>H$598*INDEX(EF[N2O], MATCH("V.03", EF[Vector], 0))+H$599*INDEX(EF[N2O], MATCH("V.04", EF[Vector], 0))+H$600*INDEX(EF[N2O], MATCH("V.05", EF[Vector], 0))</f>
        <v>0</v>
      </c>
      <c r="I604" s="90">
        <f>I$598*INDEX(EF[N2O], MATCH("V.03", EF[Vector], 0))+I$599*INDEX(EF[N2O], MATCH("V.04", EF[Vector], 0))+I$600*INDEX(EF[N2O], MATCH("V.05", EF[Vector], 0))</f>
        <v>0</v>
      </c>
      <c r="J604" s="90">
        <f>J$598*INDEX(EF[N2O], MATCH("V.03", EF[Vector], 0))+J$599*INDEX(EF[N2O], MATCH("V.04", EF[Vector], 0))+J$600*INDEX(EF[N2O], MATCH("V.05", EF[Vector], 0))</f>
        <v>0</v>
      </c>
      <c r="K604" s="90">
        <f>K$598*INDEX(EF[N2O], MATCH("V.03", EF[Vector], 0))+K$599*INDEX(EF[N2O], MATCH("V.04", EF[Vector], 0))+K$600*INDEX(EF[N2O], MATCH("V.05", EF[Vector], 0))</f>
        <v>0</v>
      </c>
      <c r="L604" s="90">
        <f>L$598*INDEX(EF[N2O], MATCH("V.03", EF[Vector], 0))+L$599*INDEX(EF[N2O], MATCH("V.04", EF[Vector], 0))+L$600*INDEX(EF[N2O], MATCH("V.05", EF[Vector], 0))</f>
        <v>0</v>
      </c>
      <c r="M604" s="90">
        <f>M$598*INDEX(EF[N2O], MATCH("V.03", EF[Vector], 0))+M$599*INDEX(EF[N2O], MATCH("V.04", EF[Vector], 0))+M$600*INDEX(EF[N2O], MATCH("V.05", EF[Vector], 0))</f>
        <v>0</v>
      </c>
      <c r="N604" s="90">
        <f>N$598*INDEX(EF[N2O], MATCH("V.03", EF[Vector], 0))+N$599*INDEX(EF[N2O], MATCH("V.04", EF[Vector], 0))+N$600*INDEX(EF[N2O], MATCH("V.05", EF[Vector], 0))</f>
        <v>0</v>
      </c>
      <c r="O604" s="90">
        <f>O$598*INDEX(EF[N2O], MATCH("V.03", EF[Vector], 0))+O$599*INDEX(EF[N2O], MATCH("V.04", EF[Vector], 0))+O$600*INDEX(EF[N2O], MATCH("V.05", EF[Vector], 0))</f>
        <v>0</v>
      </c>
    </row>
    <row r="605" spans="1:15">
      <c r="A605" s="19"/>
      <c r="B605" s="422">
        <f>59*unit.bcm*0.365</f>
        <v>203.02121249999999</v>
      </c>
      <c r="C605" s="19"/>
      <c r="D605" s="19"/>
      <c r="E605" s="1401"/>
      <c r="F605" s="90"/>
      <c r="G605" s="90"/>
      <c r="H605" s="90"/>
      <c r="I605" s="90"/>
      <c r="J605" s="90"/>
      <c r="K605" s="90"/>
      <c r="L605" s="90"/>
      <c r="M605" s="90"/>
      <c r="N605" s="90"/>
      <c r="O605" s="90"/>
    </row>
    <row r="606" spans="1:15">
      <c r="B606" s="539">
        <f>43*0.365*unit.bcm</f>
        <v>147.96461250000002</v>
      </c>
    </row>
    <row r="607" spans="1:15">
      <c r="A607" s="423">
        <v>1.7</v>
      </c>
      <c r="B607" s="423" t="s">
        <v>1651</v>
      </c>
      <c r="D607" s="19"/>
      <c r="E607" s="2960" t="s">
        <v>404</v>
      </c>
      <c r="F607" s="1658">
        <v>2007</v>
      </c>
      <c r="G607" s="1658">
        <f>F607+5</f>
        <v>2012</v>
      </c>
      <c r="H607" s="1658">
        <f t="shared" ref="H607:O607" si="187">G607+5</f>
        <v>2017</v>
      </c>
      <c r="I607" s="1658">
        <f t="shared" si="187"/>
        <v>2022</v>
      </c>
      <c r="J607" s="1658">
        <f t="shared" si="187"/>
        <v>2027</v>
      </c>
      <c r="K607" s="1658">
        <f t="shared" si="187"/>
        <v>2032</v>
      </c>
      <c r="L607" s="1658">
        <f t="shared" si="187"/>
        <v>2037</v>
      </c>
      <c r="M607" s="1658">
        <f t="shared" si="187"/>
        <v>2042</v>
      </c>
      <c r="N607" s="1658">
        <f t="shared" si="187"/>
        <v>2047</v>
      </c>
      <c r="O607" s="1658">
        <f t="shared" si="187"/>
        <v>2052</v>
      </c>
    </row>
    <row r="608" spans="1:15">
      <c r="A608" s="19"/>
      <c r="B608" s="423"/>
      <c r="C608" s="37"/>
      <c r="D608" s="19"/>
      <c r="E608" s="856"/>
      <c r="F608" s="1658"/>
      <c r="G608" s="1658"/>
      <c r="H608" s="1658"/>
      <c r="I608" s="1658"/>
      <c r="J608" s="1658"/>
      <c r="K608" s="1658"/>
      <c r="L608" s="1658"/>
      <c r="M608" s="1658"/>
      <c r="N608" s="1658"/>
      <c r="O608" s="1658"/>
    </row>
    <row r="609" spans="1:15">
      <c r="A609" s="19"/>
      <c r="B609" s="780" t="s">
        <v>1650</v>
      </c>
      <c r="D609" s="19"/>
      <c r="E609" s="1971" t="s">
        <v>1421</v>
      </c>
      <c r="F609" s="22">
        <f>F$391</f>
        <v>1.881</v>
      </c>
      <c r="G609" s="22">
        <f t="shared" ref="G609:O609" si="188">G$391</f>
        <v>2.2624</v>
      </c>
      <c r="H609" s="22">
        <f t="shared" si="188"/>
        <v>2.6516000000000006</v>
      </c>
      <c r="I609" s="22">
        <f t="shared" si="188"/>
        <v>3.0328000000000008</v>
      </c>
      <c r="J609" s="22">
        <f t="shared" si="188"/>
        <v>3.4045999999999994</v>
      </c>
      <c r="K609" s="22">
        <f t="shared" si="188"/>
        <v>3.7680000000000011</v>
      </c>
      <c r="L609" s="22">
        <f t="shared" si="188"/>
        <v>4.1266999999999996</v>
      </c>
      <c r="M609" s="22">
        <f t="shared" si="188"/>
        <v>4.4223999999999979</v>
      </c>
      <c r="N609" s="22">
        <f t="shared" si="188"/>
        <v>4.7021999999999977</v>
      </c>
      <c r="O609" s="22">
        <f t="shared" si="188"/>
        <v>4.9810999999999943</v>
      </c>
    </row>
    <row r="610" spans="1:15">
      <c r="A610" s="19"/>
      <c r="B610" s="780" t="s">
        <v>1637</v>
      </c>
      <c r="D610" s="19"/>
      <c r="E610" s="1971" t="s">
        <v>1421</v>
      </c>
      <c r="F610" s="22">
        <f>F609*F$87</f>
        <v>0</v>
      </c>
      <c r="G610" s="22">
        <f t="shared" ref="G610:O610" si="189">G609*G$87</f>
        <v>2.0171540000000001</v>
      </c>
      <c r="H610" s="22">
        <f t="shared" si="189"/>
        <v>2.3599240000000008</v>
      </c>
      <c r="I610" s="22">
        <f t="shared" si="189"/>
        <v>2.3655840000000006</v>
      </c>
      <c r="J610" s="22">
        <f t="shared" si="189"/>
        <v>2.3832199999999992</v>
      </c>
      <c r="K610" s="22">
        <f t="shared" si="189"/>
        <v>2.3738400000000008</v>
      </c>
      <c r="L610" s="22">
        <f t="shared" si="189"/>
        <v>2.3522189999999994</v>
      </c>
      <c r="M610" s="22">
        <f t="shared" si="189"/>
        <v>2.3880959999999991</v>
      </c>
      <c r="N610" s="22">
        <f t="shared" si="189"/>
        <v>2.3510999999999989</v>
      </c>
      <c r="O610" s="22">
        <f t="shared" si="189"/>
        <v>2.3909279999999971</v>
      </c>
    </row>
    <row r="611" spans="1:15">
      <c r="A611" s="19"/>
      <c r="B611" s="780" t="s">
        <v>1638</v>
      </c>
      <c r="D611" s="19"/>
      <c r="E611" s="1971" t="s">
        <v>1421</v>
      </c>
      <c r="F611" s="22">
        <f t="shared" ref="F611:O611" si="190">F609-F610</f>
        <v>1.881</v>
      </c>
      <c r="G611" s="22">
        <f t="shared" si="190"/>
        <v>0.24524599999999985</v>
      </c>
      <c r="H611" s="22">
        <f t="shared" si="190"/>
        <v>0.29167599999999982</v>
      </c>
      <c r="I611" s="22">
        <f t="shared" si="190"/>
        <v>0.66721600000000025</v>
      </c>
      <c r="J611" s="22">
        <f t="shared" si="190"/>
        <v>1.0213800000000002</v>
      </c>
      <c r="K611" s="22">
        <f t="shared" si="190"/>
        <v>1.3941600000000003</v>
      </c>
      <c r="L611" s="22">
        <f t="shared" si="190"/>
        <v>1.7744810000000002</v>
      </c>
      <c r="M611" s="22">
        <f t="shared" si="190"/>
        <v>2.0343039999999988</v>
      </c>
      <c r="N611" s="22">
        <f t="shared" si="190"/>
        <v>2.3510999999999989</v>
      </c>
      <c r="O611" s="22">
        <f t="shared" si="190"/>
        <v>2.5901719999999973</v>
      </c>
    </row>
    <row r="612" spans="1:15">
      <c r="A612" s="19"/>
      <c r="B612" s="780" t="s">
        <v>1639</v>
      </c>
      <c r="D612" s="19"/>
      <c r="E612" s="1971" t="str">
        <f>preferences.energyunits</f>
        <v>TWh</v>
      </c>
      <c r="F612" s="22">
        <f>F610*F$214+F$223*F611</f>
        <v>6.8192786448282527</v>
      </c>
      <c r="G612" s="22">
        <f t="shared" ref="G612:O612" si="191">G610*G$214+G$223*G611</f>
        <v>8.62687320625162</v>
      </c>
      <c r="H612" s="22">
        <f t="shared" si="191"/>
        <v>9.5588415380378216</v>
      </c>
      <c r="I612" s="22">
        <f t="shared" si="191"/>
        <v>10.9268438204241</v>
      </c>
      <c r="J612" s="22">
        <f t="shared" si="191"/>
        <v>12.255627407786012</v>
      </c>
      <c r="K612" s="22">
        <f t="shared" si="191"/>
        <v>13.548238565751852</v>
      </c>
      <c r="L612" s="22">
        <f t="shared" si="191"/>
        <v>14.81796577026431</v>
      </c>
      <c r="M612" s="22">
        <f t="shared" si="191"/>
        <v>15.859754897076547</v>
      </c>
      <c r="N612" s="22">
        <f t="shared" si="191"/>
        <v>16.837462178288931</v>
      </c>
      <c r="O612" s="22">
        <f t="shared" si="191"/>
        <v>17.811501179204477</v>
      </c>
    </row>
    <row r="613" spans="1:15">
      <c r="A613" s="17"/>
      <c r="B613" s="51"/>
      <c r="C613" s="859"/>
      <c r="D613" s="17"/>
      <c r="E613" s="1969"/>
      <c r="F613" s="1970"/>
      <c r="G613" s="1970"/>
      <c r="H613" s="1970"/>
      <c r="I613" s="1970"/>
      <c r="J613" s="1970"/>
      <c r="K613" s="1970"/>
      <c r="L613" s="1970"/>
      <c r="M613" s="1970"/>
      <c r="N613" s="1970"/>
      <c r="O613" s="1970"/>
    </row>
    <row r="614" spans="1:15">
      <c r="A614" s="19"/>
      <c r="B614" s="423"/>
      <c r="D614" s="423"/>
      <c r="E614" s="856"/>
      <c r="F614" s="73"/>
      <c r="G614" s="73"/>
      <c r="H614" s="73"/>
      <c r="I614" s="73"/>
      <c r="J614" s="73"/>
      <c r="K614" s="73"/>
      <c r="L614" s="73"/>
      <c r="M614" s="73"/>
      <c r="N614" s="73"/>
      <c r="O614" s="73"/>
    </row>
    <row r="615" spans="1:15">
      <c r="A615" s="423" t="s">
        <v>1529</v>
      </c>
      <c r="B615" s="423"/>
      <c r="C615" s="37" t="s">
        <v>1635</v>
      </c>
      <c r="D615" s="423"/>
      <c r="E615" s="856"/>
      <c r="F615" s="73"/>
      <c r="G615" s="73"/>
      <c r="H615" s="73"/>
      <c r="I615" s="73"/>
      <c r="J615" s="73"/>
      <c r="K615" s="73"/>
      <c r="L615" s="73"/>
      <c r="M615" s="73"/>
      <c r="N615" s="73"/>
      <c r="O615" s="73"/>
    </row>
    <row r="616" spans="1:15">
      <c r="A616" s="19"/>
      <c r="B616" s="422" t="s">
        <v>34</v>
      </c>
      <c r="C616" s="19" t="str">
        <f>INDEX(Vectors[Description], MATCH($B616, Vectors[Code], 0))</f>
        <v>Electricity (delivered to end user)</v>
      </c>
      <c r="D616" s="19"/>
      <c r="E616" s="1972" t="str">
        <f>preferences.energyunits</f>
        <v>TWh</v>
      </c>
      <c r="F616" s="90">
        <f t="shared" ref="F616:O619" si="192">F$612*F468</f>
        <v>3.8869888275521038</v>
      </c>
      <c r="G616" s="90">
        <f t="shared" si="192"/>
        <v>4.9173177275634226</v>
      </c>
      <c r="H616" s="90">
        <f t="shared" si="192"/>
        <v>5.4485396766815581</v>
      </c>
      <c r="I616" s="90">
        <f t="shared" si="192"/>
        <v>6.2283009776417364</v>
      </c>
      <c r="J616" s="90">
        <f t="shared" si="192"/>
        <v>6.9857076224380261</v>
      </c>
      <c r="K616" s="90">
        <f t="shared" si="192"/>
        <v>7.7224959824785548</v>
      </c>
      <c r="L616" s="90">
        <f t="shared" si="192"/>
        <v>8.4462404890506555</v>
      </c>
      <c r="M616" s="90">
        <f t="shared" si="192"/>
        <v>9.0400602913336314</v>
      </c>
      <c r="N616" s="90">
        <f t="shared" si="192"/>
        <v>9.5973534416246888</v>
      </c>
      <c r="O616" s="90">
        <f t="shared" si="192"/>
        <v>10.152555672146551</v>
      </c>
    </row>
    <row r="617" spans="1:15">
      <c r="A617" s="19"/>
      <c r="B617" s="422" t="s">
        <v>36</v>
      </c>
      <c r="C617" s="19" t="str">
        <f>INDEX(Vectors[Description], MATCH($B617, Vectors[Code], 0))</f>
        <v>Solid hydrocarbons</v>
      </c>
      <c r="D617" s="19"/>
      <c r="E617" s="1972" t="str">
        <f>preferences.energyunits</f>
        <v>TWh</v>
      </c>
      <c r="F617" s="90">
        <f t="shared" si="192"/>
        <v>1.909398020551911</v>
      </c>
      <c r="G617" s="90">
        <f t="shared" si="192"/>
        <v>2.4155244977504537</v>
      </c>
      <c r="H617" s="90">
        <f t="shared" si="192"/>
        <v>2.6764756306505904</v>
      </c>
      <c r="I617" s="90">
        <f t="shared" si="192"/>
        <v>3.0595162697187481</v>
      </c>
      <c r="J617" s="90">
        <f t="shared" si="192"/>
        <v>3.4315756741800838</v>
      </c>
      <c r="K617" s="90">
        <f t="shared" si="192"/>
        <v>3.7935067984105189</v>
      </c>
      <c r="L617" s="90">
        <f t="shared" si="192"/>
        <v>4.149030415674007</v>
      </c>
      <c r="M617" s="90">
        <f t="shared" si="192"/>
        <v>4.4407313711814336</v>
      </c>
      <c r="N617" s="90">
        <f t="shared" si="192"/>
        <v>4.7144894099209012</v>
      </c>
      <c r="O617" s="90">
        <f t="shared" si="192"/>
        <v>4.9872203301772542</v>
      </c>
    </row>
    <row r="618" spans="1:15">
      <c r="A618" s="19"/>
      <c r="B618" s="422" t="s">
        <v>38</v>
      </c>
      <c r="C618" s="19" t="str">
        <f>INDEX(Vectors[Description], MATCH($B618, Vectors[Code], 0))</f>
        <v>Liquid hydrocarbons</v>
      </c>
      <c r="D618" s="19"/>
      <c r="E618" s="1972" t="str">
        <f>preferences.energyunits</f>
        <v>TWh</v>
      </c>
      <c r="F618" s="90">
        <f t="shared" si="192"/>
        <v>0.27277114579313011</v>
      </c>
      <c r="G618" s="90">
        <f t="shared" si="192"/>
        <v>0.34507492825006481</v>
      </c>
      <c r="H618" s="90">
        <f t="shared" si="192"/>
        <v>0.38235366152151284</v>
      </c>
      <c r="I618" s="90">
        <f t="shared" si="192"/>
        <v>0.43707375281696403</v>
      </c>
      <c r="J618" s="90">
        <f t="shared" si="192"/>
        <v>0.49022509631144046</v>
      </c>
      <c r="K618" s="90">
        <f t="shared" si="192"/>
        <v>0.54192954263007409</v>
      </c>
      <c r="L618" s="90">
        <f t="shared" si="192"/>
        <v>0.59271863081057241</v>
      </c>
      <c r="M618" s="90">
        <f t="shared" si="192"/>
        <v>0.63439019588306189</v>
      </c>
      <c r="N618" s="90">
        <f t="shared" si="192"/>
        <v>0.67349848713155724</v>
      </c>
      <c r="O618" s="90">
        <f t="shared" si="192"/>
        <v>0.71246004716817912</v>
      </c>
    </row>
    <row r="619" spans="1:15">
      <c r="A619" s="19"/>
      <c r="B619" s="422" t="s">
        <v>39</v>
      </c>
      <c r="C619" s="19" t="str">
        <f>INDEX(Vectors[Description], MATCH($B619, Vectors[Code], 0))</f>
        <v>Gaseous hydrocarbons</v>
      </c>
      <c r="D619" s="19"/>
      <c r="E619" s="1972" t="str">
        <f>preferences.energyunits</f>
        <v>TWh</v>
      </c>
      <c r="F619" s="3126">
        <f t="shared" si="192"/>
        <v>0.7501206509311078</v>
      </c>
      <c r="G619" s="3126">
        <f t="shared" si="192"/>
        <v>0.94895605268767824</v>
      </c>
      <c r="H619" s="3127">
        <f t="shared" si="192"/>
        <v>1.0514725691841604</v>
      </c>
      <c r="I619" s="3126">
        <f t="shared" si="192"/>
        <v>1.201952820246651</v>
      </c>
      <c r="J619" s="3126">
        <f t="shared" si="192"/>
        <v>1.3481190148564612</v>
      </c>
      <c r="K619" s="90">
        <f t="shared" si="192"/>
        <v>1.4903062422327038</v>
      </c>
      <c r="L619" s="90">
        <f t="shared" si="192"/>
        <v>1.629976234729074</v>
      </c>
      <c r="M619" s="90">
        <f t="shared" si="192"/>
        <v>1.7445730386784202</v>
      </c>
      <c r="N619" s="90">
        <f t="shared" si="192"/>
        <v>1.8521208396117823</v>
      </c>
      <c r="O619" s="90">
        <f t="shared" si="192"/>
        <v>1.9592651297124926</v>
      </c>
    </row>
    <row r="620" spans="1:15">
      <c r="A620" s="19"/>
      <c r="B620" s="422"/>
      <c r="C620" s="19"/>
      <c r="D620" s="19"/>
      <c r="E620" s="1972"/>
      <c r="F620" s="90"/>
      <c r="G620" s="90"/>
      <c r="H620" s="90"/>
      <c r="I620" s="90"/>
      <c r="J620" s="90"/>
      <c r="K620" s="90"/>
      <c r="L620" s="90"/>
      <c r="M620" s="90"/>
      <c r="N620" s="90"/>
      <c r="O620" s="90"/>
    </row>
    <row r="621" spans="1:15" ht="14.25">
      <c r="A621" s="423" t="s">
        <v>281</v>
      </c>
      <c r="B621" s="422"/>
      <c r="C621" s="2959" t="s">
        <v>350</v>
      </c>
      <c r="D621" s="51"/>
      <c r="E621" s="99" t="s">
        <v>368</v>
      </c>
      <c r="F621" s="90">
        <f>F$617*INDEX(EF[CO2], MATCH("V.03", EF[Vector], 0))+F$618*INDEX(EF[CO2], MATCH("V.04", EF[Vector], 0))+F$619*INDEX(EF[CO2], MATCH("V.05", EF[Vector], 0))</f>
        <v>0.88473503136218101</v>
      </c>
      <c r="G621" s="90">
        <f>G$617*INDEX(EF[CO2], MATCH("V.03", EF[Vector], 0))+G$618*INDEX(EF[CO2], MATCH("V.04", EF[Vector], 0))+G$619*INDEX(EF[CO2], MATCH("V.05", EF[Vector], 0))</f>
        <v>1.1192528321861548</v>
      </c>
      <c r="H621" s="90">
        <f>H$617*INDEX(EF[CO2], MATCH("V.03", EF[Vector], 0))+H$618*INDEX(EF[CO2], MATCH("V.04", EF[Vector], 0))+H$619*INDEX(EF[CO2], MATCH("V.05", EF[Vector], 0))</f>
        <v>1.240166652283059</v>
      </c>
      <c r="I621" s="90">
        <f>I$617*INDEX(EF[CO2], MATCH("V.03", EF[Vector], 0))+I$618*INDEX(EF[CO2], MATCH("V.04", EF[Vector], 0))+I$619*INDEX(EF[CO2], MATCH("V.05", EF[Vector], 0))</f>
        <v>1.4176516335029521</v>
      </c>
      <c r="J621" s="90">
        <f>J$617*INDEX(EF[CO2], MATCH("V.03", EF[Vector], 0))+J$618*INDEX(EF[CO2], MATCH("V.04", EF[Vector], 0))+J$619*INDEX(EF[CO2], MATCH("V.05", EF[Vector], 0))</f>
        <v>1.5900483707633932</v>
      </c>
      <c r="K621" s="90">
        <f>K$617*INDEX(EF[CO2], MATCH("V.03", EF[Vector], 0))+K$618*INDEX(EF[CO2], MATCH("V.04", EF[Vector], 0))+K$619*INDEX(EF[CO2], MATCH("V.05", EF[Vector], 0))</f>
        <v>1.7577520873800083</v>
      </c>
      <c r="L621" s="90">
        <f>L$617*INDEX(EF[CO2], MATCH("V.03", EF[Vector], 0))+L$618*INDEX(EF[CO2], MATCH("V.04", EF[Vector], 0))+L$619*INDEX(EF[CO2], MATCH("V.05", EF[Vector], 0))</f>
        <v>1.9224868337681338</v>
      </c>
      <c r="M621" s="90">
        <f>M$617*INDEX(EF[CO2], MATCH("V.03", EF[Vector], 0))+M$618*INDEX(EF[CO2], MATCH("V.04", EF[Vector], 0))+M$619*INDEX(EF[CO2], MATCH("V.05", EF[Vector], 0))</f>
        <v>2.0576488331215446</v>
      </c>
      <c r="N621" s="90">
        <f>N$617*INDEX(EF[CO2], MATCH("V.03", EF[Vector], 0))+N$618*INDEX(EF[CO2], MATCH("V.04", EF[Vector], 0))+N$619*INDEX(EF[CO2], MATCH("V.05", EF[Vector], 0))</f>
        <v>2.1844968367241688</v>
      </c>
      <c r="O621" s="90">
        <f>O$617*INDEX(EF[CO2], MATCH("V.03", EF[Vector], 0))+O$618*INDEX(EF[CO2], MATCH("V.04", EF[Vector], 0))+O$619*INDEX(EF[CO2], MATCH("V.05", EF[Vector], 0))</f>
        <v>2.310868916662062</v>
      </c>
    </row>
    <row r="622" spans="1:15" ht="14.25">
      <c r="A622" s="423"/>
      <c r="B622" s="423"/>
      <c r="C622" s="2959" t="s">
        <v>351</v>
      </c>
      <c r="D622" s="51"/>
      <c r="E622" s="99" t="s">
        <v>368</v>
      </c>
      <c r="F622" s="90">
        <f>F$617*INDEX(EF[CH4], MATCH("V.03", EF[Vector], 0))+F$618*INDEX(EF[CH4], MATCH("V.04", EF[Vector], 0))+F$619*INDEX(EF[CH4], MATCH("V.05", EF[Vector], 0))</f>
        <v>0</v>
      </c>
      <c r="G622" s="90">
        <f>G$617*INDEX(EF[CH4], MATCH("V.03", EF[Vector], 0))+G$618*INDEX(EF[CH4], MATCH("V.04", EF[Vector], 0))+G$619*INDEX(EF[CH4], MATCH("V.05", EF[Vector], 0))</f>
        <v>0</v>
      </c>
      <c r="H622" s="90">
        <f>H$617*INDEX(EF[CH4], MATCH("V.03", EF[Vector], 0))+H$618*INDEX(EF[CH4], MATCH("V.04", EF[Vector], 0))+H$619*INDEX(EF[CH4], MATCH("V.05", EF[Vector], 0))</f>
        <v>0</v>
      </c>
      <c r="I622" s="90">
        <f>I$617*INDEX(EF[CH4], MATCH("V.03", EF[Vector], 0))+I$618*INDEX(EF[CH4], MATCH("V.04", EF[Vector], 0))+I$619*INDEX(EF[CH4], MATCH("V.05", EF[Vector], 0))</f>
        <v>0</v>
      </c>
      <c r="J622" s="90">
        <f>J$617*INDEX(EF[CH4], MATCH("V.03", EF[Vector], 0))+J$618*INDEX(EF[CH4], MATCH("V.04", EF[Vector], 0))+J$619*INDEX(EF[CH4], MATCH("V.05", EF[Vector], 0))</f>
        <v>0</v>
      </c>
      <c r="K622" s="90">
        <f>K$617*INDEX(EF[CH4], MATCH("V.03", EF[Vector], 0))+K$618*INDEX(EF[CH4], MATCH("V.04", EF[Vector], 0))+K$619*INDEX(EF[CH4], MATCH("V.05", EF[Vector], 0))</f>
        <v>0</v>
      </c>
      <c r="L622" s="90">
        <f>L$617*INDEX(EF[CH4], MATCH("V.03", EF[Vector], 0))+L$618*INDEX(EF[CH4], MATCH("V.04", EF[Vector], 0))+L$619*INDEX(EF[CH4], MATCH("V.05", EF[Vector], 0))</f>
        <v>0</v>
      </c>
      <c r="M622" s="90">
        <f>M$617*INDEX(EF[CH4], MATCH("V.03", EF[Vector], 0))+M$618*INDEX(EF[CH4], MATCH("V.04", EF[Vector], 0))+M$619*INDEX(EF[CH4], MATCH("V.05", EF[Vector], 0))</f>
        <v>0</v>
      </c>
      <c r="N622" s="90">
        <f>N$617*INDEX(EF[CH4], MATCH("V.03", EF[Vector], 0))+N$618*INDEX(EF[CH4], MATCH("V.04", EF[Vector], 0))+N$619*INDEX(EF[CH4], MATCH("V.05", EF[Vector], 0))</f>
        <v>0</v>
      </c>
      <c r="O622" s="90">
        <f>O$617*INDEX(EF[CH4], MATCH("V.03", EF[Vector], 0))+O$618*INDEX(EF[CH4], MATCH("V.04", EF[Vector], 0))+O$619*INDEX(EF[CH4], MATCH("V.05", EF[Vector], 0))</f>
        <v>0</v>
      </c>
    </row>
    <row r="623" spans="1:15" ht="14.25">
      <c r="A623" s="19"/>
      <c r="B623" s="422"/>
      <c r="C623" s="2959" t="s">
        <v>352</v>
      </c>
      <c r="D623" s="51"/>
      <c r="E623" s="99" t="s">
        <v>368</v>
      </c>
      <c r="F623" s="90">
        <f>F$617*INDEX(EF[N2O], MATCH("V.03", EF[Vector], 0))+F$618*INDEX(EF[N2O], MATCH("V.04", EF[Vector], 0))+F$619*INDEX(EF[N2O], MATCH("V.05", EF[Vector], 0))</f>
        <v>0</v>
      </c>
      <c r="G623" s="90">
        <f>G$617*INDEX(EF[N2O], MATCH("V.03", EF[Vector], 0))+G$618*INDEX(EF[N2O], MATCH("V.04", EF[Vector], 0))+G$619*INDEX(EF[N2O], MATCH("V.05", EF[Vector], 0))</f>
        <v>0</v>
      </c>
      <c r="H623" s="90">
        <f>H$617*INDEX(EF[N2O], MATCH("V.03", EF[Vector], 0))+H$618*INDEX(EF[N2O], MATCH("V.04", EF[Vector], 0))+H$619*INDEX(EF[N2O], MATCH("V.05", EF[Vector], 0))</f>
        <v>0</v>
      </c>
      <c r="I623" s="90">
        <f>I$617*INDEX(EF[N2O], MATCH("V.03", EF[Vector], 0))+I$618*INDEX(EF[N2O], MATCH("V.04", EF[Vector], 0))+I$619*INDEX(EF[N2O], MATCH("V.05", EF[Vector], 0))</f>
        <v>0</v>
      </c>
      <c r="J623" s="90">
        <f>J$617*INDEX(EF[N2O], MATCH("V.03", EF[Vector], 0))+J$618*INDEX(EF[N2O], MATCH("V.04", EF[Vector], 0))+J$619*INDEX(EF[N2O], MATCH("V.05", EF[Vector], 0))</f>
        <v>0</v>
      </c>
      <c r="K623" s="90">
        <f>K$617*INDEX(EF[N2O], MATCH("V.03", EF[Vector], 0))+K$618*INDEX(EF[N2O], MATCH("V.04", EF[Vector], 0))+K$619*INDEX(EF[N2O], MATCH("V.05", EF[Vector], 0))</f>
        <v>0</v>
      </c>
      <c r="L623" s="90">
        <f>L$617*INDEX(EF[N2O], MATCH("V.03", EF[Vector], 0))+L$618*INDEX(EF[N2O], MATCH("V.04", EF[Vector], 0))+L$619*INDEX(EF[N2O], MATCH("V.05", EF[Vector], 0))</f>
        <v>0</v>
      </c>
      <c r="M623" s="90">
        <f>M$617*INDEX(EF[N2O], MATCH("V.03", EF[Vector], 0))+M$618*INDEX(EF[N2O], MATCH("V.04", EF[Vector], 0))+M$619*INDEX(EF[N2O], MATCH("V.05", EF[Vector], 0))</f>
        <v>0</v>
      </c>
      <c r="N623" s="90">
        <f>N$617*INDEX(EF[N2O], MATCH("V.03", EF[Vector], 0))+N$618*INDEX(EF[N2O], MATCH("V.04", EF[Vector], 0))+N$619*INDEX(EF[N2O], MATCH("V.05", EF[Vector], 0))</f>
        <v>0</v>
      </c>
      <c r="O623" s="90">
        <f>O$617*INDEX(EF[N2O], MATCH("V.03", EF[Vector], 0))+O$618*INDEX(EF[N2O], MATCH("V.04", EF[Vector], 0))+O$619*INDEX(EF[N2O], MATCH("V.05", EF[Vector], 0))</f>
        <v>0</v>
      </c>
    </row>
    <row r="624" spans="1:15">
      <c r="A624" s="19"/>
      <c r="B624" s="422"/>
      <c r="C624" s="19"/>
      <c r="D624" s="19"/>
      <c r="E624" s="1401"/>
      <c r="F624" s="90"/>
      <c r="G624" s="90"/>
      <c r="H624" s="90"/>
      <c r="I624" s="90"/>
      <c r="J624" s="90"/>
      <c r="K624" s="90"/>
      <c r="L624" s="90"/>
      <c r="M624" s="90"/>
      <c r="N624" s="90"/>
      <c r="O624" s="90"/>
    </row>
    <row r="626" spans="1:16">
      <c r="A626" s="423">
        <v>1.8</v>
      </c>
      <c r="B626" s="423" t="s">
        <v>1345</v>
      </c>
      <c r="D626" s="19"/>
      <c r="E626" s="2960" t="s">
        <v>404</v>
      </c>
      <c r="F626" s="1658">
        <v>2007</v>
      </c>
      <c r="G626" s="1658">
        <f>F626+5</f>
        <v>2012</v>
      </c>
      <c r="H626" s="1658">
        <f t="shared" ref="H626:O626" si="193">G626+5</f>
        <v>2017</v>
      </c>
      <c r="I626" s="1658">
        <f t="shared" si="193"/>
        <v>2022</v>
      </c>
      <c r="J626" s="1658">
        <f t="shared" si="193"/>
        <v>2027</v>
      </c>
      <c r="K626" s="1658">
        <f t="shared" si="193"/>
        <v>2032</v>
      </c>
      <c r="L626" s="1658">
        <f t="shared" si="193"/>
        <v>2037</v>
      </c>
      <c r="M626" s="1658">
        <f t="shared" si="193"/>
        <v>2042</v>
      </c>
      <c r="N626" s="1658">
        <f t="shared" si="193"/>
        <v>2047</v>
      </c>
      <c r="O626" s="1658">
        <f t="shared" si="193"/>
        <v>2052</v>
      </c>
    </row>
    <row r="627" spans="1:16">
      <c r="A627" s="19"/>
      <c r="B627" s="423"/>
      <c r="C627" s="37"/>
      <c r="D627" s="19"/>
      <c r="E627" s="856"/>
      <c r="F627" s="1658"/>
      <c r="G627" s="1658"/>
      <c r="H627" s="1658"/>
      <c r="I627" s="1658"/>
      <c r="J627" s="1658"/>
      <c r="K627" s="1658"/>
      <c r="L627" s="1658"/>
      <c r="M627" s="1658"/>
      <c r="N627" s="1658"/>
      <c r="O627" s="1658"/>
    </row>
    <row r="628" spans="1:16">
      <c r="A628" s="19"/>
      <c r="B628" s="780" t="s">
        <v>1652</v>
      </c>
      <c r="D628" s="19"/>
      <c r="E628" s="1971" t="s">
        <v>1421</v>
      </c>
      <c r="F628" s="22">
        <f>F392</f>
        <v>220.15372847999998</v>
      </c>
      <c r="G628" s="22">
        <f t="shared" ref="G628:O628" si="194">G392</f>
        <v>589.69241735999992</v>
      </c>
      <c r="H628" s="22">
        <f t="shared" si="194"/>
        <v>925.06170276000034</v>
      </c>
      <c r="I628" s="22">
        <f t="shared" si="194"/>
        <v>1438.8513306</v>
      </c>
      <c r="J628" s="22">
        <f t="shared" si="194"/>
        <v>2161.8255098399991</v>
      </c>
      <c r="K628" s="22">
        <f t="shared" si="194"/>
        <v>3152.7359398799995</v>
      </c>
      <c r="L628" s="22">
        <f t="shared" si="194"/>
        <v>5050.5637912799994</v>
      </c>
      <c r="M628" s="22">
        <f t="shared" si="194"/>
        <v>7916.6600744399984</v>
      </c>
      <c r="N628" s="22">
        <f t="shared" si="194"/>
        <v>12140.914168560001</v>
      </c>
      <c r="O628" s="22">
        <f t="shared" si="194"/>
        <v>17746.233456120004</v>
      </c>
    </row>
    <row r="629" spans="1:16">
      <c r="A629" s="19"/>
      <c r="B629" s="780" t="s">
        <v>1637</v>
      </c>
      <c r="D629" s="19"/>
      <c r="E629" s="1971" t="s">
        <v>1421</v>
      </c>
      <c r="F629" s="22"/>
      <c r="G629" s="22"/>
      <c r="H629" s="22"/>
      <c r="I629" s="22"/>
      <c r="J629" s="22"/>
      <c r="K629" s="22"/>
      <c r="L629" s="22"/>
      <c r="M629" s="22"/>
      <c r="N629" s="22"/>
      <c r="O629" s="22"/>
    </row>
    <row r="630" spans="1:16">
      <c r="A630" s="19"/>
      <c r="B630" s="780" t="s">
        <v>1638</v>
      </c>
      <c r="D630" s="19"/>
      <c r="E630" s="1971" t="s">
        <v>1421</v>
      </c>
      <c r="F630" s="22"/>
      <c r="G630" s="22"/>
      <c r="H630" s="22"/>
      <c r="I630" s="22"/>
      <c r="J630" s="22"/>
      <c r="K630" s="22"/>
      <c r="L630" s="22"/>
      <c r="M630" s="22"/>
      <c r="N630" s="22"/>
      <c r="O630" s="22"/>
    </row>
    <row r="631" spans="1:16" s="3172" customFormat="1">
      <c r="A631" s="19"/>
      <c r="B631" s="780" t="s">
        <v>1639</v>
      </c>
      <c r="D631" s="19"/>
      <c r="E631" s="1971" t="str">
        <f>preferences.energyunits</f>
        <v>TWh</v>
      </c>
      <c r="F631" s="1827">
        <f>F$628*F$232</f>
        <v>513.99053086729475</v>
      </c>
      <c r="G631" s="1827">
        <f t="shared" ref="G631:O631" si="195">G$628*G$232</f>
        <v>704.85940563612485</v>
      </c>
      <c r="H631" s="1827">
        <f t="shared" si="195"/>
        <v>870.90849911957446</v>
      </c>
      <c r="I631" s="1827">
        <f t="shared" si="195"/>
        <v>1072.019099647918</v>
      </c>
      <c r="J631" s="1827">
        <f t="shared" si="195"/>
        <v>1299.3625707594322</v>
      </c>
      <c r="K631" s="1827">
        <f t="shared" si="195"/>
        <v>1553.9853088740742</v>
      </c>
      <c r="L631" s="1827">
        <f t="shared" si="195"/>
        <v>1937.9356858839401</v>
      </c>
      <c r="M631" s="1827">
        <f t="shared" si="195"/>
        <v>2393.6325639171332</v>
      </c>
      <c r="N631" s="1827">
        <f t="shared" si="195"/>
        <v>2927.9266011946775</v>
      </c>
      <c r="O631" s="1827">
        <f t="shared" si="195"/>
        <v>3505.274049515001</v>
      </c>
      <c r="P631" s="623"/>
    </row>
    <row r="632" spans="1:16" s="3172" customFormat="1">
      <c r="A632" s="19"/>
      <c r="B632" s="780" t="s">
        <v>2456</v>
      </c>
      <c r="D632" s="19"/>
      <c r="E632" s="1971" t="str">
        <f>preferences.energyunits</f>
        <v>TWh</v>
      </c>
      <c r="F632" s="22">
        <f>G632*F631/G631</f>
        <v>161.13353485472055</v>
      </c>
      <c r="G632" s="22">
        <f>19*Unit.Mtoe</f>
        <v>220.97000000000003</v>
      </c>
      <c r="H632" s="22">
        <f>G632*H631/G631</f>
        <v>273.02558426779314</v>
      </c>
      <c r="I632" s="22">
        <f t="shared" ref="I632:O632" si="196">H632*I631/H631</f>
        <v>336.0727806922236</v>
      </c>
      <c r="J632" s="22">
        <f t="shared" si="196"/>
        <v>407.34385462529252</v>
      </c>
      <c r="K632" s="22">
        <f t="shared" si="196"/>
        <v>487.1668462620645</v>
      </c>
      <c r="L632" s="22">
        <f t="shared" si="196"/>
        <v>607.53342451791093</v>
      </c>
      <c r="M632" s="22">
        <f t="shared" si="196"/>
        <v>750.39218235504109</v>
      </c>
      <c r="N632" s="22">
        <f t="shared" si="196"/>
        <v>917.89076785049735</v>
      </c>
      <c r="O632" s="22">
        <f t="shared" si="196"/>
        <v>1098.8863885873818</v>
      </c>
      <c r="P632" s="623"/>
    </row>
    <row r="633" spans="1:16">
      <c r="A633" s="19"/>
      <c r="B633" s="780" t="s">
        <v>2457</v>
      </c>
      <c r="D633" s="19"/>
      <c r="E633" s="1971" t="str">
        <f>preferences.energyunits</f>
        <v>TWh</v>
      </c>
      <c r="F633" s="1827">
        <f>F632+F631</f>
        <v>675.1240657220153</v>
      </c>
      <c r="G633" s="1827">
        <f t="shared" ref="G633:O633" si="197">G632+G631</f>
        <v>925.82940563612487</v>
      </c>
      <c r="H633" s="1827">
        <f t="shared" si="197"/>
        <v>1143.9340833873675</v>
      </c>
      <c r="I633" s="1827">
        <f t="shared" si="197"/>
        <v>1408.0918803401416</v>
      </c>
      <c r="J633" s="1827">
        <f t="shared" si="197"/>
        <v>1706.7064253847248</v>
      </c>
      <c r="K633" s="1827">
        <f t="shared" si="197"/>
        <v>2041.1521551361388</v>
      </c>
      <c r="L633" s="1827">
        <f t="shared" si="197"/>
        <v>2545.4691104018511</v>
      </c>
      <c r="M633" s="1827">
        <f t="shared" si="197"/>
        <v>3144.0247462721745</v>
      </c>
      <c r="N633" s="1827">
        <f t="shared" si="197"/>
        <v>3845.8173690451749</v>
      </c>
      <c r="O633" s="1827">
        <f t="shared" si="197"/>
        <v>4604.1604381023826</v>
      </c>
      <c r="P633" s="1827">
        <f>P323</f>
        <v>0</v>
      </c>
    </row>
    <row r="634" spans="1:16">
      <c r="A634" s="17"/>
      <c r="B634" s="51"/>
      <c r="C634" s="859"/>
      <c r="D634" s="17"/>
      <c r="E634" s="1969"/>
      <c r="F634" s="1970"/>
      <c r="G634" s="1970"/>
      <c r="H634" s="1970"/>
      <c r="I634" s="1970"/>
      <c r="J634" s="1970"/>
      <c r="K634" s="1970"/>
      <c r="L634" s="1970"/>
      <c r="M634" s="1970"/>
      <c r="N634" s="1970"/>
      <c r="O634" s="1970"/>
    </row>
    <row r="635" spans="1:16">
      <c r="A635" s="19"/>
      <c r="B635" s="423"/>
      <c r="D635" s="423"/>
      <c r="E635" s="856"/>
      <c r="F635" s="2554"/>
      <c r="G635" s="2554"/>
      <c r="H635" s="2554"/>
      <c r="I635" s="2554"/>
      <c r="J635" s="2554"/>
      <c r="K635" s="2554"/>
      <c r="L635" s="2554"/>
      <c r="M635" s="2554"/>
      <c r="N635" s="2554"/>
      <c r="O635" s="2554"/>
    </row>
    <row r="636" spans="1:16">
      <c r="A636" s="423" t="s">
        <v>1529</v>
      </c>
      <c r="B636" s="423"/>
      <c r="C636" s="37" t="s">
        <v>1635</v>
      </c>
      <c r="D636" s="423"/>
      <c r="E636" s="856"/>
      <c r="F636" s="2554"/>
      <c r="G636" s="2554"/>
      <c r="H636" s="2554"/>
      <c r="I636" s="2554"/>
      <c r="J636" s="2554"/>
      <c r="K636" s="2554"/>
      <c r="L636" s="2554"/>
      <c r="M636" s="2554"/>
      <c r="N636" s="2554"/>
      <c r="O636" s="2554"/>
    </row>
    <row r="637" spans="1:16">
      <c r="A637" s="19"/>
      <c r="B637" s="422" t="s">
        <v>34</v>
      </c>
      <c r="C637" s="19" t="str">
        <f>INDEX(Vectors[Description], MATCH($B637, Vectors[Code], 0))</f>
        <v>Electricity (delivered to end user)</v>
      </c>
      <c r="D637" s="19"/>
      <c r="E637" s="1972" t="str">
        <f>preferences.energyunits</f>
        <v>TWh</v>
      </c>
      <c r="F637" s="90">
        <f>F$633*F477</f>
        <v>243.17486142326356</v>
      </c>
      <c r="G637" s="90">
        <f>34.5*Unit.Mtoe-SUM(G501,G520,G539,G559,G578,G597,G616)</f>
        <v>333.47713234955052</v>
      </c>
      <c r="H637" s="90">
        <f t="shared" ref="H637:O640" si="198">H$633*H477</f>
        <v>412.03687785529348</v>
      </c>
      <c r="I637" s="90">
        <f t="shared" si="198"/>
        <v>507.18462762357836</v>
      </c>
      <c r="J637" s="90">
        <f t="shared" si="198"/>
        <v>614.74345169323772</v>
      </c>
      <c r="K637" s="90">
        <f t="shared" si="198"/>
        <v>735.2084123059584</v>
      </c>
      <c r="L637" s="90">
        <f t="shared" si="198"/>
        <v>916.85977379162364</v>
      </c>
      <c r="M637" s="90">
        <f t="shared" si="198"/>
        <v>1132.4552342366842</v>
      </c>
      <c r="N637" s="90">
        <f t="shared" si="198"/>
        <v>1385.2359192329768</v>
      </c>
      <c r="O637" s="90">
        <f t="shared" si="198"/>
        <v>1658.3856706524593</v>
      </c>
    </row>
    <row r="638" spans="1:16">
      <c r="A638" s="19"/>
      <c r="B638" s="422" t="s">
        <v>36</v>
      </c>
      <c r="C638" s="19" t="str">
        <f>INDEX(Vectors[Description], MATCH($B638, Vectors[Code], 0))</f>
        <v>Solid hydrocarbons</v>
      </c>
      <c r="D638" s="19"/>
      <c r="E638" s="1972" t="str">
        <f>preferences.energyunits</f>
        <v>TWh</v>
      </c>
      <c r="F638" s="90">
        <f>F$633*F478</f>
        <v>63.053111328222606</v>
      </c>
      <c r="G638" s="90">
        <f>82*Unit.Mtoe-SUM(G502,G521,G540,G560,G579,G598,G617)</f>
        <v>86.467699121472947</v>
      </c>
      <c r="H638" s="90">
        <f t="shared" si="198"/>
        <v>106.83755293900481</v>
      </c>
      <c r="I638" s="90">
        <f t="shared" si="198"/>
        <v>131.5085309490517</v>
      </c>
      <c r="J638" s="90">
        <f t="shared" si="198"/>
        <v>159.39759180305384</v>
      </c>
      <c r="K638" s="90">
        <f t="shared" si="198"/>
        <v>190.6331008034804</v>
      </c>
      <c r="L638" s="90">
        <f t="shared" si="198"/>
        <v>237.73370755058525</v>
      </c>
      <c r="M638" s="90">
        <f t="shared" si="198"/>
        <v>293.63572180377952</v>
      </c>
      <c r="N638" s="90">
        <f t="shared" si="198"/>
        <v>359.1795390364058</v>
      </c>
      <c r="O638" s="90">
        <f t="shared" si="198"/>
        <v>430.00487675727811</v>
      </c>
    </row>
    <row r="639" spans="1:16">
      <c r="A639" s="19"/>
      <c r="B639" s="422" t="s">
        <v>38</v>
      </c>
      <c r="C639" s="19" t="str">
        <f>INDEX(Vectors[Description], MATCH($B639, Vectors[Code], 0))</f>
        <v>Liquid hydrocarbons</v>
      </c>
      <c r="D639" s="19"/>
      <c r="E639" s="1972" t="str">
        <f>preferences.energyunits</f>
        <v>TWh</v>
      </c>
      <c r="F639" s="90">
        <f>F$633*F479</f>
        <v>292.84368473593821</v>
      </c>
      <c r="G639" s="90">
        <f>42*Unit.Mtoe-SUM(G503,G522,G541,G561,G580,G599,G618)</f>
        <v>401.59032739176922</v>
      </c>
      <c r="H639" s="90">
        <f t="shared" si="198"/>
        <v>496.19601652908585</v>
      </c>
      <c r="I639" s="90">
        <f t="shared" si="198"/>
        <v>610.77783421121569</v>
      </c>
      <c r="J639" s="90">
        <f t="shared" si="198"/>
        <v>740.30570638546624</v>
      </c>
      <c r="K639" s="90">
        <f t="shared" si="198"/>
        <v>885.3758124849445</v>
      </c>
      <c r="L639" s="90">
        <f t="shared" si="198"/>
        <v>1104.1297318803031</v>
      </c>
      <c r="M639" s="90">
        <f t="shared" si="198"/>
        <v>1363.7608824011638</v>
      </c>
      <c r="N639" s="90">
        <f t="shared" si="198"/>
        <v>1668.1723943112806</v>
      </c>
      <c r="O639" s="90">
        <f t="shared" si="198"/>
        <v>1997.1133844375508</v>
      </c>
    </row>
    <row r="640" spans="1:16">
      <c r="A640" s="19"/>
      <c r="B640" s="422" t="s">
        <v>39</v>
      </c>
      <c r="C640" s="19" t="str">
        <f>INDEX(Vectors[Description], MATCH($B640, Vectors[Code], 0))</f>
        <v>Gaseous hydrocarbons</v>
      </c>
      <c r="D640" s="19"/>
      <c r="E640" s="1972" t="str">
        <f>preferences.energyunits</f>
        <v>TWh</v>
      </c>
      <c r="F640" s="90">
        <f>F$633*F480</f>
        <v>76.052408234590843</v>
      </c>
      <c r="G640" s="90">
        <f>G633-SUM(G637:G639)</f>
        <v>104.29424677333213</v>
      </c>
      <c r="H640" s="90">
        <f t="shared" si="198"/>
        <v>128.86363606398336</v>
      </c>
      <c r="I640" s="90">
        <f t="shared" si="198"/>
        <v>158.62088755629588</v>
      </c>
      <c r="J640" s="90">
        <f t="shared" si="198"/>
        <v>192.25967550296687</v>
      </c>
      <c r="K640" s="90">
        <f t="shared" si="198"/>
        <v>229.93482954175551</v>
      </c>
      <c r="L640" s="90">
        <f t="shared" si="198"/>
        <v>286.74589717933912</v>
      </c>
      <c r="M640" s="90">
        <f t="shared" si="198"/>
        <v>354.17290783054676</v>
      </c>
      <c r="N640" s="90">
        <f t="shared" si="198"/>
        <v>433.22951646451145</v>
      </c>
      <c r="O640" s="90">
        <f t="shared" si="198"/>
        <v>518.6565062550942</v>
      </c>
    </row>
    <row r="641" spans="1:15">
      <c r="A641" s="19"/>
      <c r="B641" s="422"/>
      <c r="C641" s="19" t="s">
        <v>2375</v>
      </c>
      <c r="D641" s="19"/>
      <c r="E641" s="1972" t="str">
        <f>preferences.energyunits</f>
        <v>TWh</v>
      </c>
      <c r="F641" s="90">
        <f>G641*F633/G633</f>
        <v>0</v>
      </c>
      <c r="G641" s="90">
        <v>0</v>
      </c>
      <c r="H641" s="90">
        <f>G641*H640/G640</f>
        <v>0</v>
      </c>
      <c r="I641" s="90">
        <f t="shared" ref="I641:O641" si="199">H641*I640/H640</f>
        <v>0</v>
      </c>
      <c r="J641" s="90">
        <f t="shared" si="199"/>
        <v>0</v>
      </c>
      <c r="K641" s="90">
        <f t="shared" si="199"/>
        <v>0</v>
      </c>
      <c r="L641" s="90">
        <f t="shared" si="199"/>
        <v>0</v>
      </c>
      <c r="M641" s="90">
        <f t="shared" si="199"/>
        <v>0</v>
      </c>
      <c r="N641" s="90">
        <f t="shared" si="199"/>
        <v>0</v>
      </c>
      <c r="O641" s="90">
        <f t="shared" si="199"/>
        <v>0</v>
      </c>
    </row>
    <row r="642" spans="1:15" ht="14.25">
      <c r="A642" s="423" t="s">
        <v>281</v>
      </c>
      <c r="B642" s="422"/>
      <c r="C642" s="2959" t="s">
        <v>350</v>
      </c>
      <c r="D642" s="51"/>
      <c r="E642" s="99" t="s">
        <v>368</v>
      </c>
      <c r="F642" s="90">
        <f>F$638*INDEX(EF[CO2], MATCH("V.03", EF[Vector], 0))+F$639*INDEX(EF[CO2], MATCH("V.04", EF[Vector], 0))+F$640*INDEX(EF[CO2], MATCH("V.05", EF[Vector], 0))</f>
        <v>115.12439397115362</v>
      </c>
      <c r="G642" s="90">
        <f>G$638*INDEX(EF[CO2], MATCH("V.03", EF[Vector], 0))+G$639*INDEX(EF[CO2], MATCH("V.04", EF[Vector], 0))+G$640*INDEX(EF[CO2], MATCH("V.05", EF[Vector], 0))</f>
        <v>157.87549971358777</v>
      </c>
      <c r="H642" s="90">
        <f>H$638*INDEX(EF[CO2], MATCH("V.03", EF[Vector], 0))+H$639*INDEX(EF[CO2], MATCH("V.04", EF[Vector], 0))+H$640*INDEX(EF[CO2], MATCH("V.05", EF[Vector], 0))</f>
        <v>195.0674324608413</v>
      </c>
      <c r="I642" s="90">
        <f>I$638*INDEX(EF[CO2], MATCH("V.03", EF[Vector], 0))+I$639*INDEX(EF[CO2], MATCH("V.04", EF[Vector], 0))+I$640*INDEX(EF[CO2], MATCH("V.05", EF[Vector], 0))</f>
        <v>240.11249577734444</v>
      </c>
      <c r="J642" s="90">
        <f>J$638*INDEX(EF[CO2], MATCH("V.03", EF[Vector], 0))+J$639*INDEX(EF[CO2], MATCH("V.04", EF[Vector], 0))+J$640*INDEX(EF[CO2], MATCH("V.05", EF[Vector], 0))</f>
        <v>291.03323801523788</v>
      </c>
      <c r="K642" s="90">
        <f>K$638*INDEX(EF[CO2], MATCH("V.03", EF[Vector], 0))+K$639*INDEX(EF[CO2], MATCH("V.04", EF[Vector], 0))+K$640*INDEX(EF[CO2], MATCH("V.05", EF[Vector], 0))</f>
        <v>348.06403266287742</v>
      </c>
      <c r="L642" s="90">
        <f>L$638*INDEX(EF[CO2], MATCH("V.03", EF[Vector], 0))+L$639*INDEX(EF[CO2], MATCH("V.04", EF[Vector], 0))+L$640*INDEX(EF[CO2], MATCH("V.05", EF[Vector], 0))</f>
        <v>434.06183187071758</v>
      </c>
      <c r="M642" s="90">
        <f>M$638*INDEX(EF[CO2], MATCH("V.03", EF[Vector], 0))+M$639*INDEX(EF[CO2], MATCH("V.04", EF[Vector], 0))+M$640*INDEX(EF[CO2], MATCH("V.05", EF[Vector], 0))</f>
        <v>536.12952333109388</v>
      </c>
      <c r="N642" s="90">
        <f>N$638*INDEX(EF[CO2], MATCH("V.03", EF[Vector], 0))+N$639*INDEX(EF[CO2], MATCH("V.04", EF[Vector], 0))+N$640*INDEX(EF[CO2], MATCH("V.05", EF[Vector], 0))</f>
        <v>655.80152806664296</v>
      </c>
      <c r="O642" s="90">
        <f>O$638*INDEX(EF[CO2], MATCH("V.03", EF[Vector], 0))+O$639*INDEX(EF[CO2], MATCH("V.04", EF[Vector], 0))+O$640*INDEX(EF[CO2], MATCH("V.05", EF[Vector], 0))</f>
        <v>785.11670238807403</v>
      </c>
    </row>
    <row r="643" spans="1:15" ht="14.25">
      <c r="A643" s="423"/>
      <c r="B643" s="423"/>
      <c r="C643" s="2959" t="s">
        <v>351</v>
      </c>
      <c r="D643" s="51"/>
      <c r="E643" s="99" t="s">
        <v>368</v>
      </c>
      <c r="F643" s="90">
        <f>F$638*INDEX(EF[CH4], MATCH("V.03", EF[Vector], 0))+F$639*INDEX(EF[CH4], MATCH("V.04", EF[Vector], 0))+F$640*INDEX(EF[CH4], MATCH("V.05", EF[Vector], 0))</f>
        <v>0</v>
      </c>
      <c r="G643" s="90">
        <f>G$638*INDEX(EF[CH4], MATCH("V.03", EF[Vector], 0))+G$639*INDEX(EF[CH4], MATCH("V.04", EF[Vector], 0))+G$640*INDEX(EF[CH4], MATCH("V.05", EF[Vector], 0))</f>
        <v>0</v>
      </c>
      <c r="H643" s="90">
        <f>H$638*INDEX(EF[CH4], MATCH("V.03", EF[Vector], 0))+H$639*INDEX(EF[CH4], MATCH("V.04", EF[Vector], 0))+H$640*INDEX(EF[CH4], MATCH("V.05", EF[Vector], 0))</f>
        <v>0</v>
      </c>
      <c r="I643" s="90">
        <f>I$638*INDEX(EF[CH4], MATCH("V.03", EF[Vector], 0))+I$639*INDEX(EF[CH4], MATCH("V.04", EF[Vector], 0))+I$640*INDEX(EF[CH4], MATCH("V.05", EF[Vector], 0))</f>
        <v>0</v>
      </c>
      <c r="J643" s="90">
        <f>J$638*INDEX(EF[CH4], MATCH("V.03", EF[Vector], 0))+J$639*INDEX(EF[CH4], MATCH("V.04", EF[Vector], 0))+J$640*INDEX(EF[CH4], MATCH("V.05", EF[Vector], 0))</f>
        <v>0</v>
      </c>
      <c r="K643" s="90">
        <f>K$638*INDEX(EF[CH4], MATCH("V.03", EF[Vector], 0))+K$639*INDEX(EF[CH4], MATCH("V.04", EF[Vector], 0))+K$640*INDEX(EF[CH4], MATCH("V.05", EF[Vector], 0))</f>
        <v>0</v>
      </c>
      <c r="L643" s="90">
        <f>L$638*INDEX(EF[CH4], MATCH("V.03", EF[Vector], 0))+L$639*INDEX(EF[CH4], MATCH("V.04", EF[Vector], 0))+L$640*INDEX(EF[CH4], MATCH("V.05", EF[Vector], 0))</f>
        <v>0</v>
      </c>
      <c r="M643" s="90">
        <f>M$638*INDEX(EF[CH4], MATCH("V.03", EF[Vector], 0))+M$639*INDEX(EF[CH4], MATCH("V.04", EF[Vector], 0))+M$640*INDEX(EF[CH4], MATCH("V.05", EF[Vector], 0))</f>
        <v>0</v>
      </c>
      <c r="N643" s="90">
        <f>N$638*INDEX(EF[CH4], MATCH("V.03", EF[Vector], 0))+N$639*INDEX(EF[CH4], MATCH("V.04", EF[Vector], 0))+N$640*INDEX(EF[CH4], MATCH("V.05", EF[Vector], 0))</f>
        <v>0</v>
      </c>
      <c r="O643" s="90">
        <f>O$638*INDEX(EF[CH4], MATCH("V.03", EF[Vector], 0))+O$639*INDEX(EF[CH4], MATCH("V.04", EF[Vector], 0))+O$640*INDEX(EF[CH4], MATCH("V.05", EF[Vector], 0))</f>
        <v>0</v>
      </c>
    </row>
    <row r="644" spans="1:15" ht="14.25">
      <c r="A644" s="19"/>
      <c r="B644" s="422"/>
      <c r="C644" s="2959" t="s">
        <v>352</v>
      </c>
      <c r="D644" s="51"/>
      <c r="E644" s="99" t="s">
        <v>368</v>
      </c>
      <c r="F644" s="90">
        <f>F$617*INDEX(EF[N2O], MATCH("V.03", EF[Vector], 0))+F$618*INDEX(EF[N2O], MATCH("V.04", EF[Vector], 0))+F$619*INDEX(EF[N2O], MATCH("V.05", EF[Vector], 0))</f>
        <v>0</v>
      </c>
      <c r="G644" s="90">
        <f>G$617*INDEX(EF[N2O], MATCH("V.03", EF[Vector], 0))+G$618*INDEX(EF[N2O], MATCH("V.04", EF[Vector], 0))+G$619*INDEX(EF[N2O], MATCH("V.05", EF[Vector], 0))</f>
        <v>0</v>
      </c>
      <c r="H644" s="90">
        <f>H$617*INDEX(EF[N2O], MATCH("V.03", EF[Vector], 0))+H$618*INDEX(EF[N2O], MATCH("V.04", EF[Vector], 0))+H$619*INDEX(EF[N2O], MATCH("V.05", EF[Vector], 0))</f>
        <v>0</v>
      </c>
      <c r="I644" s="90">
        <f>I$617*INDEX(EF[N2O], MATCH("V.03", EF[Vector], 0))+I$618*INDEX(EF[N2O], MATCH("V.04", EF[Vector], 0))+I$619*INDEX(EF[N2O], MATCH("V.05", EF[Vector], 0))</f>
        <v>0</v>
      </c>
      <c r="J644" s="90">
        <f>J$617*INDEX(EF[N2O], MATCH("V.03", EF[Vector], 0))+J$618*INDEX(EF[N2O], MATCH("V.04", EF[Vector], 0))+J$619*INDEX(EF[N2O], MATCH("V.05", EF[Vector], 0))</f>
        <v>0</v>
      </c>
      <c r="K644" s="90">
        <f>K$617*INDEX(EF[N2O], MATCH("V.03", EF[Vector], 0))+K$618*INDEX(EF[N2O], MATCH("V.04", EF[Vector], 0))+K$619*INDEX(EF[N2O], MATCH("V.05", EF[Vector], 0))</f>
        <v>0</v>
      </c>
      <c r="L644" s="90">
        <f>L$617*INDEX(EF[N2O], MATCH("V.03", EF[Vector], 0))+L$618*INDEX(EF[N2O], MATCH("V.04", EF[Vector], 0))+L$619*INDEX(EF[N2O], MATCH("V.05", EF[Vector], 0))</f>
        <v>0</v>
      </c>
      <c r="M644" s="90">
        <f>M$617*INDEX(EF[N2O], MATCH("V.03", EF[Vector], 0))+M$618*INDEX(EF[N2O], MATCH("V.04", EF[Vector], 0))+M$619*INDEX(EF[N2O], MATCH("V.05", EF[Vector], 0))</f>
        <v>0</v>
      </c>
      <c r="N644" s="90">
        <f>N$617*INDEX(EF[N2O], MATCH("V.03", EF[Vector], 0))+N$618*INDEX(EF[N2O], MATCH("V.04", EF[Vector], 0))+N$619*INDEX(EF[N2O], MATCH("V.05", EF[Vector], 0))</f>
        <v>0</v>
      </c>
      <c r="O644" s="90">
        <f>O$617*INDEX(EF[N2O], MATCH("V.03", EF[Vector], 0))+O$618*INDEX(EF[N2O], MATCH("V.04", EF[Vector], 0))+O$619*INDEX(EF[N2O], MATCH("V.05", EF[Vector], 0))</f>
        <v>0</v>
      </c>
    </row>
    <row r="645" spans="1:15">
      <c r="A645" s="19"/>
      <c r="B645" s="422"/>
      <c r="C645" s="19"/>
      <c r="D645" s="19"/>
      <c r="E645" s="1401"/>
      <c r="F645" s="90"/>
      <c r="G645" s="90"/>
      <c r="H645" s="90"/>
      <c r="I645" s="90"/>
      <c r="J645" s="90"/>
      <c r="K645" s="90"/>
      <c r="L645" s="90"/>
      <c r="M645" s="90"/>
      <c r="N645" s="90"/>
      <c r="O645" s="90"/>
    </row>
    <row r="646" spans="1:15">
      <c r="A646" s="19"/>
      <c r="B646" s="422"/>
      <c r="C646" s="19"/>
      <c r="D646" s="19"/>
      <c r="E646" s="1401"/>
      <c r="F646" s="90"/>
      <c r="G646" s="90"/>
      <c r="H646" s="90"/>
      <c r="I646" s="90"/>
      <c r="J646" s="90"/>
      <c r="K646" s="90"/>
      <c r="L646" s="90"/>
      <c r="M646" s="90"/>
      <c r="N646" s="90"/>
      <c r="O646" s="90"/>
    </row>
    <row r="647" spans="1:15">
      <c r="A647" s="19"/>
      <c r="B647" s="422"/>
      <c r="C647" s="19"/>
      <c r="D647" s="19"/>
      <c r="E647" s="1401"/>
      <c r="F647" s="90"/>
      <c r="G647" s="90"/>
      <c r="H647" s="90"/>
      <c r="I647" s="90"/>
      <c r="J647" s="90"/>
      <c r="K647" s="90"/>
      <c r="L647" s="90"/>
      <c r="M647" s="90"/>
      <c r="N647" s="90"/>
      <c r="O647" s="90"/>
    </row>
    <row r="648" spans="1:15">
      <c r="A648" s="19"/>
      <c r="B648" s="422"/>
      <c r="C648" s="19"/>
      <c r="D648" s="19"/>
      <c r="E648" s="1401"/>
      <c r="F648" s="90"/>
      <c r="G648" s="90"/>
      <c r="H648" s="90"/>
      <c r="I648" s="90"/>
      <c r="J648" s="90"/>
      <c r="K648" s="90"/>
      <c r="L648" s="90"/>
      <c r="M648" s="90"/>
      <c r="N648" s="90"/>
      <c r="O648" s="90"/>
    </row>
    <row r="649" spans="1:15">
      <c r="A649" s="19"/>
      <c r="B649" s="422"/>
      <c r="C649" s="19"/>
      <c r="D649" s="19"/>
      <c r="E649" s="1401"/>
      <c r="F649" s="90"/>
      <c r="G649" s="90"/>
      <c r="H649" s="90"/>
      <c r="I649" s="90"/>
      <c r="J649" s="90"/>
      <c r="K649" s="90"/>
      <c r="L649" s="90"/>
      <c r="M649" s="90"/>
      <c r="N649" s="90"/>
      <c r="O649" s="90"/>
    </row>
    <row r="652" spans="1:15">
      <c r="E652" s="315"/>
      <c r="F652" s="315"/>
      <c r="G652" s="315"/>
      <c r="H652" s="315"/>
      <c r="I652" s="315"/>
      <c r="J652" s="315"/>
      <c r="K652" s="315"/>
      <c r="L652" s="315"/>
      <c r="M652" s="315"/>
      <c r="N652" s="315"/>
    </row>
    <row r="653" spans="1:15" ht="15.75">
      <c r="A653" s="206" t="s">
        <v>202</v>
      </c>
      <c r="B653" s="175"/>
      <c r="C653" s="175"/>
      <c r="D653" s="175"/>
      <c r="E653" s="175"/>
      <c r="F653" s="175"/>
      <c r="G653" s="175"/>
      <c r="H653" s="175"/>
      <c r="I653" s="175"/>
      <c r="J653" s="175"/>
      <c r="K653" s="175"/>
      <c r="L653" s="175"/>
      <c r="M653" s="175"/>
      <c r="N653" s="175"/>
      <c r="O653" s="177"/>
    </row>
    <row r="654" spans="1:15">
      <c r="A654" s="164"/>
      <c r="B654" s="166"/>
      <c r="C654" s="166"/>
      <c r="D654" s="166"/>
      <c r="E654" s="166"/>
      <c r="F654" s="166"/>
      <c r="G654" s="166"/>
      <c r="H654" s="166"/>
      <c r="I654" s="166"/>
      <c r="J654" s="166"/>
      <c r="K654" s="166"/>
      <c r="L654" s="166"/>
      <c r="M654" s="166"/>
      <c r="N654" s="166"/>
      <c r="O654" s="168"/>
    </row>
    <row r="655" spans="1:15">
      <c r="A655" s="164"/>
      <c r="B655" s="178" t="s">
        <v>1653</v>
      </c>
      <c r="C655" s="166"/>
      <c r="D655" s="167"/>
      <c r="E655" s="903"/>
      <c r="F655" s="167"/>
      <c r="G655" s="166"/>
      <c r="H655" s="166"/>
      <c r="I655" s="166"/>
      <c r="J655" s="166"/>
      <c r="K655" s="166"/>
      <c r="L655" s="166"/>
      <c r="M655" s="166"/>
      <c r="N655" s="166" t="str">
        <f>preferences.energyunits</f>
        <v>TWh</v>
      </c>
      <c r="O655" s="168"/>
    </row>
    <row r="656" spans="1:15">
      <c r="A656" s="164"/>
      <c r="B656" s="166"/>
      <c r="C656" s="166"/>
      <c r="D656" s="166"/>
      <c r="E656" s="166"/>
      <c r="F656" s="166"/>
      <c r="G656" s="166"/>
      <c r="H656" s="166"/>
      <c r="I656" s="166"/>
      <c r="J656" s="166"/>
      <c r="K656" s="166"/>
      <c r="L656" s="166"/>
      <c r="M656" s="166"/>
      <c r="N656" s="166"/>
      <c r="O656" s="168"/>
    </row>
    <row r="657" spans="1:15" ht="15.75">
      <c r="A657" s="169"/>
      <c r="B657" s="2280" t="s">
        <v>64</v>
      </c>
      <c r="C657" s="2280" t="s">
        <v>137</v>
      </c>
      <c r="D657" s="2280" t="s">
        <v>156</v>
      </c>
      <c r="E657" s="1331" t="s">
        <v>203</v>
      </c>
      <c r="F657" s="1332" t="s">
        <v>712</v>
      </c>
      <c r="G657" s="1332" t="s">
        <v>713</v>
      </c>
      <c r="H657" s="1332" t="s">
        <v>714</v>
      </c>
      <c r="I657" s="1332" t="s">
        <v>715</v>
      </c>
      <c r="J657" s="1332" t="s">
        <v>716</v>
      </c>
      <c r="K657" s="1332" t="s">
        <v>717</v>
      </c>
      <c r="L657" s="1332" t="s">
        <v>718</v>
      </c>
      <c r="M657" s="1332" t="s">
        <v>719</v>
      </c>
      <c r="N657" s="1332" t="s">
        <v>720</v>
      </c>
      <c r="O657" s="168"/>
    </row>
    <row r="658" spans="1:15" ht="15.75">
      <c r="A658" s="169"/>
      <c r="B658" s="1523" t="s">
        <v>13</v>
      </c>
      <c r="C658" s="1523" t="str">
        <f>INDEX(Vectors[Description], MATCH(XI!$B$658:$B$662, Vectors[Code], 0))</f>
        <v>Industry</v>
      </c>
      <c r="D658" s="1523"/>
      <c r="E658" s="2871">
        <f>SUM(F633,F612,F593,F574,F555,F535,F516,F497)+F401+F641</f>
        <v>1615.7381002510185</v>
      </c>
      <c r="F658" s="2871">
        <f t="shared" ref="F658:N658" si="200">SUM(G633,G612,G593,G574,G555,G535,G516,G497)+G401+G641</f>
        <v>2278.7991580746871</v>
      </c>
      <c r="G658" s="2871">
        <f t="shared" si="200"/>
        <v>3188.0989682873605</v>
      </c>
      <c r="H658" s="2871">
        <f t="shared" si="200"/>
        <v>4295.4614477243704</v>
      </c>
      <c r="I658" s="2871">
        <f t="shared" si="200"/>
        <v>5520.8820237437531</v>
      </c>
      <c r="J658" s="2871">
        <f t="shared" si="200"/>
        <v>6883.4692319432552</v>
      </c>
      <c r="K658" s="2871">
        <f t="shared" si="200"/>
        <v>8404.5908555044025</v>
      </c>
      <c r="L658" s="2871">
        <f t="shared" si="200"/>
        <v>9897.3852759882448</v>
      </c>
      <c r="M658" s="2871">
        <f t="shared" si="200"/>
        <v>11326.434333202775</v>
      </c>
      <c r="N658" s="2871">
        <f t="shared" si="200"/>
        <v>12793.271831310853</v>
      </c>
      <c r="O658" s="168"/>
    </row>
    <row r="659" spans="1:15" ht="15.75">
      <c r="A659" s="169"/>
      <c r="B659" s="60" t="s">
        <v>34</v>
      </c>
      <c r="C659" s="60" t="str">
        <f>INDEX(Vectors[Description], MATCH(XI!$B$658:$B$662, Vectors[Code], 0))</f>
        <v>Electricity (delivered to end user)</v>
      </c>
      <c r="D659" s="60"/>
      <c r="E659" s="892">
        <f>-SUM(F501,F520,F539,F559,F578,F597,F616,F637)</f>
        <v>-291.71784851167462</v>
      </c>
      <c r="F659" s="892">
        <f t="shared" ref="F659:N659" si="201">-SUM(G501,G520,G539,G559,G578,G597,G616,G637)</f>
        <v>-401.23500000000001</v>
      </c>
      <c r="G659" s="892">
        <f t="shared" si="201"/>
        <v>-503.11770614913962</v>
      </c>
      <c r="H659" s="892">
        <f t="shared" si="201"/>
        <v>-638.20622186284686</v>
      </c>
      <c r="I659" s="892">
        <f t="shared" si="201"/>
        <v>-792.48188677491407</v>
      </c>
      <c r="J659" s="892">
        <f t="shared" si="201"/>
        <v>-966.17848871674005</v>
      </c>
      <c r="K659" s="892">
        <f t="shared" si="201"/>
        <v>-1200.6228340761327</v>
      </c>
      <c r="L659" s="892">
        <f t="shared" si="201"/>
        <v>-1462.2792945499318</v>
      </c>
      <c r="M659" s="892">
        <f t="shared" si="201"/>
        <v>-1752.1756493279522</v>
      </c>
      <c r="N659" s="892">
        <f t="shared" si="201"/>
        <v>-2061.261323802787</v>
      </c>
      <c r="O659" s="168"/>
    </row>
    <row r="660" spans="1:15" ht="15.75">
      <c r="A660" s="169"/>
      <c r="B660" s="60" t="s">
        <v>36</v>
      </c>
      <c r="C660" s="60" t="str">
        <f>INDEX(Vectors[Description], MATCH(XI!$B$658:$B$662, Vectors[Code], 0))</f>
        <v>Solid hydrocarbons</v>
      </c>
      <c r="D660" s="60"/>
      <c r="E660" s="892">
        <f>-SUM(F502,F521,F540,F560,F579,F598,F617,F638)</f>
        <v>-612.49419450759206</v>
      </c>
      <c r="F660" s="892">
        <f t="shared" ref="F660:N660" si="202">-SUM(G502,G521,G540,G560,G579,G598,G617,G638)</f>
        <v>-953.66000000000008</v>
      </c>
      <c r="G660" s="892">
        <f t="shared" si="202"/>
        <v>-1364.656615512903</v>
      </c>
      <c r="H660" s="892">
        <f t="shared" si="202"/>
        <v>-2040.8846856072132</v>
      </c>
      <c r="I660" s="892">
        <f t="shared" si="202"/>
        <v>-2811.3453134814672</v>
      </c>
      <c r="J660" s="892">
        <f t="shared" si="202"/>
        <v>-3663.8496331879392</v>
      </c>
      <c r="K660" s="892">
        <f t="shared" si="202"/>
        <v>-4522.4757347137111</v>
      </c>
      <c r="L660" s="892">
        <f t="shared" si="202"/>
        <v>-5293.5715129730197</v>
      </c>
      <c r="M660" s="892">
        <f t="shared" si="202"/>
        <v>-5938.2192854719196</v>
      </c>
      <c r="N660" s="892">
        <f t="shared" si="202"/>
        <v>-6573.3999411380282</v>
      </c>
      <c r="O660" s="168"/>
    </row>
    <row r="661" spans="1:15" ht="15.75">
      <c r="A661" s="169"/>
      <c r="B661" s="60" t="s">
        <v>1655</v>
      </c>
      <c r="C661" s="60" t="str">
        <f>INDEX(Vectors[Description], MATCH(XI!$B$658:$B$662, Vectors[Code], 0))</f>
        <v>Liquid hydrocarbons</v>
      </c>
      <c r="D661" s="60"/>
      <c r="E661" s="892">
        <f>-SUM(F503,F522,F541,F561,F580,F599,F618,F639)-F400</f>
        <v>-468.75505107960362</v>
      </c>
      <c r="F661" s="892">
        <f t="shared" ref="F661:N661" si="203">-SUM(G503,G522,G541,G561,G580,G599,G618,G639)-G400</f>
        <v>-618.94860000000006</v>
      </c>
      <c r="G661" s="892">
        <f t="shared" si="203"/>
        <v>-760.59154710694088</v>
      </c>
      <c r="H661" s="892">
        <f t="shared" si="203"/>
        <v>-940.96734495178282</v>
      </c>
      <c r="I661" s="892">
        <f t="shared" si="203"/>
        <v>-1142.4507584361977</v>
      </c>
      <c r="J661" s="892">
        <f t="shared" si="203"/>
        <v>-1365.3410997753347</v>
      </c>
      <c r="K661" s="892">
        <f t="shared" si="203"/>
        <v>-1660.8529028400133</v>
      </c>
      <c r="L661" s="892">
        <f t="shared" si="203"/>
        <v>-1986.4480076110492</v>
      </c>
      <c r="M661" s="892">
        <f t="shared" si="203"/>
        <v>-2346.3301688333609</v>
      </c>
      <c r="N661" s="892">
        <f t="shared" si="203"/>
        <v>-2729.4564074690747</v>
      </c>
      <c r="O661" s="904"/>
    </row>
    <row r="662" spans="1:15" ht="15.75">
      <c r="A662" s="169"/>
      <c r="B662" s="60" t="s">
        <v>1656</v>
      </c>
      <c r="C662" s="60" t="str">
        <f>INDEX(Vectors[Description], MATCH(XI!$B$658:$B$662, Vectors[Code], 0))</f>
        <v>Gaseous hydrocarbons</v>
      </c>
      <c r="D662" s="60"/>
      <c r="E662" s="892">
        <f t="shared" ref="E662" si="204">-SUM(F504,F523,F542,F562,F581,F600,F619,F640)-SUM(F397:F399)-F641</f>
        <v>-242.77100615214823</v>
      </c>
      <c r="F662" s="892">
        <f>-SUM(G504,G523,G542,G562,G581,G600,G619,G640)-SUM(G397:G399)-G641</f>
        <v>-304.95555807468668</v>
      </c>
      <c r="G662" s="892">
        <f t="shared" ref="G662:N662" si="205">-SUM(H504,H523,H542,H562,H581,H600,H619,H640)-SUM(H397:H399)-H641</f>
        <v>-559.73309951837678</v>
      </c>
      <c r="H662" s="892">
        <f t="shared" si="205"/>
        <v>-675.40319530252668</v>
      </c>
      <c r="I662" s="892">
        <f t="shared" si="205"/>
        <v>-774.60406505117362</v>
      </c>
      <c r="J662" s="892">
        <f t="shared" si="205"/>
        <v>-888.10001026324187</v>
      </c>
      <c r="K662" s="892">
        <f t="shared" si="205"/>
        <v>-1020.6393838745473</v>
      </c>
      <c r="L662" s="892">
        <f t="shared" si="205"/>
        <v>-1155.0864608542438</v>
      </c>
      <c r="M662" s="892">
        <f t="shared" si="205"/>
        <v>-1289.7092295695406</v>
      </c>
      <c r="N662" s="892">
        <f t="shared" si="205"/>
        <v>-1429.1541589009614</v>
      </c>
      <c r="O662" s="168"/>
    </row>
    <row r="663" spans="1:15" ht="15.75">
      <c r="A663" s="169"/>
      <c r="B663" s="2872" t="s">
        <v>103</v>
      </c>
      <c r="C663" s="2872"/>
      <c r="D663" s="2872"/>
      <c r="E663" s="2873">
        <f>SUBTOTAL(109,XI!$E$658:$E$662)</f>
        <v>0</v>
      </c>
      <c r="F663" s="2873">
        <f>SUBTOTAL(109,XI!$F$658:$F$662)</f>
        <v>0</v>
      </c>
      <c r="G663" s="2873">
        <f>SUBTOTAL(109,XI!$G$658:$G$662)</f>
        <v>0</v>
      </c>
      <c r="H663" s="2873">
        <f>SUBTOTAL(109,XI!$H$658:$H$662)</f>
        <v>0</v>
      </c>
      <c r="I663" s="2873">
        <f>SUBTOTAL(109,XI!$I$658:$I$662)</f>
        <v>9.0949470177292824E-13</v>
      </c>
      <c r="J663" s="2873">
        <f>SUBTOTAL(109,XI!$J$658:$J$662)</f>
        <v>-1.0231815394945443E-12</v>
      </c>
      <c r="K663" s="2873">
        <f>SUBTOTAL(109,XI!$K$658:$K$662)</f>
        <v>-1.8189894035458565E-12</v>
      </c>
      <c r="L663" s="2873">
        <f>SUBTOTAL(109,XI!$L$658:$L$662)</f>
        <v>0</v>
      </c>
      <c r="M663" s="2873">
        <f>SUBTOTAL(109,XI!$M$658:$M$662)</f>
        <v>1.8189894035458565E-12</v>
      </c>
      <c r="N663" s="2873">
        <f>SUBTOTAL(109,XI!$N$658:$N$662)</f>
        <v>0</v>
      </c>
      <c r="O663" s="168"/>
    </row>
    <row r="666" spans="1:15" ht="15.75">
      <c r="A666" s="216" t="s">
        <v>281</v>
      </c>
      <c r="B666" s="183"/>
      <c r="C666" s="184"/>
      <c r="D666" s="184"/>
      <c r="E666" s="184"/>
      <c r="F666" s="184"/>
      <c r="G666" s="184"/>
      <c r="H666" s="184"/>
      <c r="I666" s="184"/>
      <c r="J666" s="184"/>
      <c r="K666" s="184"/>
      <c r="L666" s="184"/>
      <c r="M666" s="184"/>
      <c r="N666" s="184"/>
      <c r="O666" s="185"/>
    </row>
    <row r="667" spans="1:15">
      <c r="A667" s="190"/>
      <c r="B667" s="191"/>
      <c r="C667" s="191"/>
      <c r="D667" s="191"/>
      <c r="E667" s="191"/>
      <c r="F667" s="191"/>
      <c r="G667" s="191"/>
      <c r="H667" s="191"/>
      <c r="I667" s="191"/>
      <c r="J667" s="191"/>
      <c r="K667" s="191"/>
      <c r="L667" s="191"/>
      <c r="M667" s="191"/>
      <c r="N667" s="191"/>
      <c r="O667" s="192"/>
    </row>
    <row r="668" spans="1:15" ht="14.25">
      <c r="A668" s="193"/>
      <c r="B668" s="186" t="s">
        <v>1654</v>
      </c>
      <c r="C668" s="187"/>
      <c r="D668" s="188"/>
      <c r="E668" s="187"/>
      <c r="F668" s="188"/>
      <c r="G668" s="187"/>
      <c r="H668" s="187"/>
      <c r="I668" s="187"/>
      <c r="J668" s="187"/>
      <c r="K668" s="187"/>
      <c r="L668" s="187"/>
      <c r="M668" s="187"/>
      <c r="N668" s="188" t="s">
        <v>368</v>
      </c>
      <c r="O668" s="194"/>
    </row>
    <row r="669" spans="1:15">
      <c r="A669" s="193"/>
      <c r="B669" s="187"/>
      <c r="C669" s="187"/>
      <c r="D669" s="187"/>
      <c r="E669" s="187"/>
      <c r="F669" s="187"/>
      <c r="G669" s="187"/>
      <c r="H669" s="187"/>
      <c r="I669" s="187"/>
      <c r="J669" s="187"/>
      <c r="K669" s="187"/>
      <c r="L669" s="187"/>
      <c r="M669" s="187"/>
      <c r="N669" s="187"/>
      <c r="O669" s="194"/>
    </row>
    <row r="670" spans="1:15" ht="15.75">
      <c r="A670" s="195"/>
      <c r="B670" s="221" t="s">
        <v>365</v>
      </c>
      <c r="C670" s="221" t="s">
        <v>337</v>
      </c>
      <c r="D670" s="221" t="s">
        <v>156</v>
      </c>
      <c r="E670" s="901" t="s">
        <v>203</v>
      </c>
      <c r="F670" s="902" t="s">
        <v>712</v>
      </c>
      <c r="G670" s="902" t="s">
        <v>713</v>
      </c>
      <c r="H670" s="902" t="s">
        <v>714</v>
      </c>
      <c r="I670" s="902" t="s">
        <v>715</v>
      </c>
      <c r="J670" s="902" t="s">
        <v>716</v>
      </c>
      <c r="K670" s="902" t="s">
        <v>717</v>
      </c>
      <c r="L670" s="902" t="s">
        <v>718</v>
      </c>
      <c r="M670" s="902" t="s">
        <v>719</v>
      </c>
      <c r="N670" s="902" t="s">
        <v>720</v>
      </c>
      <c r="O670" s="194"/>
    </row>
    <row r="671" spans="1:15" ht="15.75">
      <c r="A671" s="195"/>
      <c r="B671" s="189" t="s">
        <v>350</v>
      </c>
      <c r="C671" s="196" t="s">
        <v>359</v>
      </c>
      <c r="D671" s="189" t="str">
        <f>INDEX(IPCC[Sector_description], MATCH([IPCC Sector], IPCC[Sector_code], 0))</f>
        <v>Fuel Combustion</v>
      </c>
      <c r="E671" s="197">
        <f t="shared" ref="E671:N671" si="206">SUM(F642,F621,F602,F583,F564,F544,F525,F506)</f>
        <v>328.16429547908859</v>
      </c>
      <c r="F671" s="197">
        <f t="shared" si="206"/>
        <v>489.56499057714643</v>
      </c>
      <c r="G671" s="197">
        <f t="shared" si="206"/>
        <v>672.74684937462484</v>
      </c>
      <c r="H671" s="197">
        <f t="shared" si="206"/>
        <v>962.11176406640595</v>
      </c>
      <c r="I671" s="197">
        <f t="shared" si="206"/>
        <v>1292.1235454326741</v>
      </c>
      <c r="J671" s="197">
        <f t="shared" si="206"/>
        <v>1658.6672221486294</v>
      </c>
      <c r="K671" s="197">
        <f t="shared" si="206"/>
        <v>2050.5808851882398</v>
      </c>
      <c r="L671" s="197">
        <f t="shared" si="206"/>
        <v>2422.048591683993</v>
      </c>
      <c r="M671" s="197">
        <f t="shared" si="206"/>
        <v>2759.715439515016</v>
      </c>
      <c r="N671" s="197">
        <f t="shared" si="206"/>
        <v>3101.3573292036504</v>
      </c>
      <c r="O671" s="194"/>
    </row>
    <row r="672" spans="1:15" ht="15.75">
      <c r="A672" s="195"/>
      <c r="B672" s="189" t="s">
        <v>351</v>
      </c>
      <c r="C672" s="196" t="s">
        <v>359</v>
      </c>
      <c r="D672" s="189" t="str">
        <f>INDEX(IPCC[Sector_description], MATCH([IPCC Sector], IPCC[Sector_code], 0))</f>
        <v>Fuel Combustion</v>
      </c>
      <c r="E672" s="197">
        <f t="shared" ref="E672:N672" si="207">SUM(F643,F622,F603,F584,F565,F545,F526,F507)</f>
        <v>0</v>
      </c>
      <c r="F672" s="197">
        <f t="shared" si="207"/>
        <v>0</v>
      </c>
      <c r="G672" s="197">
        <f t="shared" si="207"/>
        <v>0</v>
      </c>
      <c r="H672" s="197">
        <f t="shared" si="207"/>
        <v>0</v>
      </c>
      <c r="I672" s="197">
        <f t="shared" si="207"/>
        <v>0</v>
      </c>
      <c r="J672" s="197">
        <f t="shared" si="207"/>
        <v>0</v>
      </c>
      <c r="K672" s="197">
        <f t="shared" si="207"/>
        <v>0</v>
      </c>
      <c r="L672" s="197">
        <f t="shared" si="207"/>
        <v>0</v>
      </c>
      <c r="M672" s="197">
        <f t="shared" si="207"/>
        <v>0</v>
      </c>
      <c r="N672" s="197">
        <f t="shared" si="207"/>
        <v>0</v>
      </c>
      <c r="O672" s="194"/>
    </row>
    <row r="673" spans="1:15" ht="15.75">
      <c r="A673" s="195"/>
      <c r="B673" s="189" t="s">
        <v>352</v>
      </c>
      <c r="C673" s="196" t="s">
        <v>359</v>
      </c>
      <c r="D673" s="189" t="str">
        <f>INDEX(IPCC[Sector_description], MATCH([IPCC Sector], IPCC[Sector_code], 0))</f>
        <v>Fuel Combustion</v>
      </c>
      <c r="E673" s="197">
        <f t="shared" ref="E673:N673" si="208">SUM(F644,F623,F604,F585,F566,F546,F527,F508)</f>
        <v>0</v>
      </c>
      <c r="F673" s="197">
        <f t="shared" si="208"/>
        <v>0</v>
      </c>
      <c r="G673" s="197">
        <f t="shared" si="208"/>
        <v>0</v>
      </c>
      <c r="H673" s="197">
        <f t="shared" si="208"/>
        <v>0</v>
      </c>
      <c r="I673" s="197">
        <f t="shared" si="208"/>
        <v>0</v>
      </c>
      <c r="J673" s="197">
        <f t="shared" si="208"/>
        <v>0</v>
      </c>
      <c r="K673" s="197">
        <f t="shared" si="208"/>
        <v>0</v>
      </c>
      <c r="L673" s="197">
        <f t="shared" si="208"/>
        <v>0</v>
      </c>
      <c r="M673" s="197">
        <f t="shared" si="208"/>
        <v>0</v>
      </c>
      <c r="N673" s="197">
        <f t="shared" si="208"/>
        <v>0</v>
      </c>
      <c r="O673" s="194"/>
    </row>
    <row r="674" spans="1:15" ht="15.75">
      <c r="A674" s="195"/>
      <c r="B674" s="189" t="s">
        <v>103</v>
      </c>
      <c r="C674" s="189"/>
      <c r="D674" s="189"/>
      <c r="E674" s="223">
        <f>SUBTOTAL(109,[2007])</f>
        <v>328.16429547908859</v>
      </c>
      <c r="F674" s="223">
        <f>SUBTOTAL(109,[2012])</f>
        <v>489.56499057714643</v>
      </c>
      <c r="G674" s="223">
        <f>SUBTOTAL(109,[2017])</f>
        <v>672.74684937462484</v>
      </c>
      <c r="H674" s="223">
        <f>SUBTOTAL(109,[2022])</f>
        <v>962.11176406640595</v>
      </c>
      <c r="I674" s="223">
        <f>SUBTOTAL(109,[2027])</f>
        <v>1292.1235454326741</v>
      </c>
      <c r="J674" s="223">
        <f>SUBTOTAL(109,[2032])</f>
        <v>1658.6672221486294</v>
      </c>
      <c r="K674" s="223">
        <f>SUBTOTAL(109,[2037])</f>
        <v>2050.5808851882398</v>
      </c>
      <c r="L674" s="223">
        <f>SUBTOTAL(109,[2042])</f>
        <v>2422.048591683993</v>
      </c>
      <c r="M674" s="223">
        <f>SUBTOTAL(109,[2047])</f>
        <v>2759.715439515016</v>
      </c>
      <c r="N674" s="223">
        <f>SUBTOTAL(109,[2052])</f>
        <v>3101.3573292036504</v>
      </c>
      <c r="O674" s="194"/>
    </row>
    <row r="676" spans="1:15" ht="15.75">
      <c r="A676" s="424" t="s">
        <v>501</v>
      </c>
      <c r="B676" s="346"/>
      <c r="C676" s="425"/>
      <c r="D676" s="425"/>
      <c r="E676" s="425"/>
      <c r="F676" s="425"/>
      <c r="G676" s="425"/>
      <c r="H676" s="425"/>
      <c r="I676" s="425"/>
      <c r="J676" s="425"/>
      <c r="K676" s="425"/>
      <c r="L676" s="425"/>
      <c r="M676" s="425"/>
      <c r="N676" s="425"/>
      <c r="O676" s="426"/>
    </row>
    <row r="677" spans="1:15">
      <c r="A677" s="347"/>
      <c r="B677" s="348"/>
      <c r="C677" s="348"/>
      <c r="D677" s="348"/>
      <c r="E677" s="348"/>
      <c r="F677" s="348"/>
      <c r="G677" s="348"/>
      <c r="H677" s="348"/>
      <c r="I677" s="348"/>
      <c r="J677" s="348"/>
      <c r="K677" s="348"/>
      <c r="L677" s="348"/>
      <c r="M677" s="348"/>
      <c r="N677" s="348"/>
      <c r="O677" s="349"/>
    </row>
    <row r="678" spans="1:15">
      <c r="A678" s="427"/>
      <c r="B678" s="350" t="s">
        <v>506</v>
      </c>
      <c r="C678" s="428"/>
      <c r="D678" s="351"/>
      <c r="E678" s="428"/>
      <c r="F678" s="351"/>
      <c r="G678" s="428"/>
      <c r="H678" s="428"/>
      <c r="I678" s="428"/>
      <c r="J678" s="428"/>
      <c r="K678" s="428"/>
      <c r="L678" s="428"/>
      <c r="M678" s="428"/>
      <c r="N678" s="351"/>
      <c r="O678" s="429"/>
    </row>
    <row r="679" spans="1:15">
      <c r="A679" s="427"/>
      <c r="B679" s="428"/>
      <c r="C679" s="428"/>
      <c r="D679" s="428"/>
      <c r="E679" s="428"/>
      <c r="F679" s="428"/>
      <c r="G679" s="428"/>
      <c r="H679" s="428"/>
      <c r="I679" s="428"/>
      <c r="J679" s="428"/>
      <c r="K679" s="428"/>
      <c r="L679" s="428"/>
      <c r="M679" s="428"/>
      <c r="N679" s="428"/>
      <c r="O679" s="429"/>
    </row>
    <row r="680" spans="1:15" ht="15.75">
      <c r="A680" s="430"/>
      <c r="B680" s="431" t="s">
        <v>64</v>
      </c>
      <c r="C680" s="431" t="s">
        <v>502</v>
      </c>
      <c r="D680" s="431" t="s">
        <v>156</v>
      </c>
      <c r="E680" s="901" t="s">
        <v>203</v>
      </c>
      <c r="F680" s="902" t="s">
        <v>712</v>
      </c>
      <c r="G680" s="902" t="s">
        <v>713</v>
      </c>
      <c r="H680" s="902" t="s">
        <v>714</v>
      </c>
      <c r="I680" s="902" t="s">
        <v>715</v>
      </c>
      <c r="J680" s="902" t="s">
        <v>716</v>
      </c>
      <c r="K680" s="902" t="s">
        <v>717</v>
      </c>
      <c r="L680" s="902" t="s">
        <v>718</v>
      </c>
      <c r="M680" s="902" t="s">
        <v>719</v>
      </c>
      <c r="N680" s="902" t="s">
        <v>720</v>
      </c>
      <c r="O680" s="429"/>
    </row>
    <row r="681" spans="1:15" ht="15.75">
      <c r="A681" s="430"/>
      <c r="B681" s="432" t="s">
        <v>503</v>
      </c>
      <c r="C681" s="433"/>
      <c r="D681" s="433"/>
      <c r="E681" s="354"/>
      <c r="F681" s="354"/>
      <c r="G681" s="354"/>
      <c r="H681" s="354"/>
      <c r="I681" s="354"/>
      <c r="J681" s="354"/>
      <c r="K681" s="354"/>
      <c r="L681" s="354"/>
      <c r="M681" s="354"/>
      <c r="N681" s="354"/>
      <c r="O681" s="429"/>
    </row>
    <row r="682" spans="1:15" ht="15.75">
      <c r="A682" s="430"/>
      <c r="B682" s="432" t="s">
        <v>508</v>
      </c>
      <c r="C682" s="433"/>
      <c r="D682" s="433"/>
      <c r="E682" s="354"/>
      <c r="F682" s="354"/>
      <c r="G682" s="354"/>
      <c r="H682" s="354"/>
      <c r="I682" s="354"/>
      <c r="J682" s="354"/>
      <c r="K682" s="354"/>
      <c r="L682" s="354"/>
      <c r="M682" s="354"/>
      <c r="N682" s="354"/>
      <c r="O682" s="429"/>
    </row>
    <row r="683" spans="1:15" ht="15.75">
      <c r="A683" s="430"/>
      <c r="B683" s="432" t="s">
        <v>509</v>
      </c>
      <c r="C683" s="433"/>
      <c r="D683" s="433"/>
      <c r="E683" s="354"/>
      <c r="F683" s="354"/>
      <c r="G683" s="354"/>
      <c r="H683" s="354"/>
      <c r="I683" s="354"/>
      <c r="J683" s="354"/>
      <c r="K683" s="354"/>
      <c r="L683" s="354"/>
      <c r="M683" s="354"/>
      <c r="N683" s="354"/>
      <c r="O683" s="429"/>
    </row>
    <row r="684" spans="1:15" ht="15.75">
      <c r="A684" s="355"/>
      <c r="B684" s="434"/>
      <c r="C684" s="434"/>
      <c r="D684" s="434"/>
      <c r="E684" s="434"/>
      <c r="F684" s="434"/>
      <c r="G684" s="434"/>
      <c r="H684" s="434"/>
      <c r="I684" s="434"/>
      <c r="J684" s="434"/>
      <c r="K684" s="434"/>
      <c r="L684" s="434"/>
      <c r="M684" s="434"/>
      <c r="N684" s="434"/>
      <c r="O684" s="352"/>
    </row>
    <row r="685" spans="1:15">
      <c r="A685" s="2959"/>
      <c r="B685" s="2959"/>
    </row>
    <row r="686" spans="1:15">
      <c r="A686" s="2959"/>
      <c r="B686" s="2959"/>
      <c r="D686" s="2959" t="s">
        <v>404</v>
      </c>
      <c r="E686" s="3210" t="s">
        <v>203</v>
      </c>
      <c r="F686" s="3211" t="s">
        <v>712</v>
      </c>
      <c r="G686" s="3211" t="s">
        <v>713</v>
      </c>
      <c r="H686" s="3211" t="s">
        <v>714</v>
      </c>
      <c r="I686" s="3211" t="s">
        <v>715</v>
      </c>
      <c r="J686" s="3211" t="s">
        <v>716</v>
      </c>
      <c r="K686" s="3211" t="s">
        <v>717</v>
      </c>
      <c r="L686" s="3211" t="s">
        <v>718</v>
      </c>
      <c r="M686" s="3211" t="s">
        <v>719</v>
      </c>
      <c r="N686" s="3212" t="s">
        <v>720</v>
      </c>
    </row>
    <row r="688" spans="1:15">
      <c r="C688" s="2959" t="s">
        <v>2479</v>
      </c>
      <c r="D688" s="2959" t="str">
        <f>preferences.energyunits</f>
        <v>TWh</v>
      </c>
      <c r="E688" s="3213">
        <f>F401</f>
        <v>253.35449396785037</v>
      </c>
      <c r="F688" s="3213">
        <f t="shared" ref="F688:N688" si="209">G401</f>
        <v>293.35290487500004</v>
      </c>
      <c r="G688" s="3213">
        <f t="shared" si="209"/>
        <v>526.67687666628217</v>
      </c>
      <c r="H688" s="3213">
        <f t="shared" si="209"/>
        <v>601.99483736819457</v>
      </c>
      <c r="I688" s="3213">
        <f t="shared" si="209"/>
        <v>649.42147415615932</v>
      </c>
      <c r="J688" s="3213">
        <f t="shared" si="209"/>
        <v>699.52093440945259</v>
      </c>
      <c r="K688" s="3213">
        <f t="shared" si="209"/>
        <v>749.27740650676139</v>
      </c>
      <c r="L688" s="3213">
        <f t="shared" si="209"/>
        <v>792.57091999886006</v>
      </c>
      <c r="M688" s="3213">
        <f t="shared" si="209"/>
        <v>831.60930435106025</v>
      </c>
      <c r="N688" s="3213">
        <f t="shared" si="209"/>
        <v>870.1529844909976</v>
      </c>
    </row>
    <row r="689" spans="3:14">
      <c r="C689" s="2959" t="s">
        <v>2480</v>
      </c>
      <c r="D689" s="3184" t="str">
        <f>preferences.energyunits</f>
        <v>TWh</v>
      </c>
      <c r="E689" s="3214">
        <f>E658-E688</f>
        <v>1362.3836062831681</v>
      </c>
      <c r="F689" s="3214">
        <f t="shared" ref="F689:N689" si="210">F658-F688</f>
        <v>1985.4462531996869</v>
      </c>
      <c r="G689" s="3214">
        <f t="shared" si="210"/>
        <v>2661.4220916210784</v>
      </c>
      <c r="H689" s="3214">
        <f t="shared" si="210"/>
        <v>3693.4666103561758</v>
      </c>
      <c r="I689" s="3214">
        <f t="shared" si="210"/>
        <v>4871.460549587594</v>
      </c>
      <c r="J689" s="3214">
        <f t="shared" si="210"/>
        <v>6183.9482975338024</v>
      </c>
      <c r="K689" s="3214">
        <f t="shared" si="210"/>
        <v>7655.313448997641</v>
      </c>
      <c r="L689" s="3214">
        <f t="shared" si="210"/>
        <v>9104.8143559893851</v>
      </c>
      <c r="M689" s="3214">
        <f t="shared" si="210"/>
        <v>10494.825028851714</v>
      </c>
      <c r="N689" s="3214">
        <f t="shared" si="210"/>
        <v>11923.118846819854</v>
      </c>
    </row>
    <row r="691" spans="3:14">
      <c r="C691" s="2959" t="s">
        <v>1017</v>
      </c>
      <c r="E691" s="495">
        <f>1362.38360628317*(Unit.TWh)</f>
        <v>1362.3836062831699</v>
      </c>
      <c r="F691" s="495">
        <f>1985.44625319969*(Unit.TWh)</f>
        <v>1985.4462531996901</v>
      </c>
      <c r="G691" s="495">
        <f>2661.42209162108*(Unit.TWh)</f>
        <v>2661.4220916210802</v>
      </c>
      <c r="H691" s="495">
        <f>3693.46661035618*(Unit.TWh)</f>
        <v>3693.4666103561799</v>
      </c>
      <c r="I691" s="495">
        <f>4871.46054958759*(Unit.TWh)</f>
        <v>4871.4605495875903</v>
      </c>
      <c r="J691" s="495">
        <f>6183.9482975338*(Unit.TWh)</f>
        <v>6183.9482975337996</v>
      </c>
      <c r="K691" s="495">
        <f>7655.31344899764*(Unit.TWh)</f>
        <v>7655.3134489976401</v>
      </c>
      <c r="L691" s="495">
        <f>9104.81435598939*(Unit.TWh)</f>
        <v>9104.8143559893906</v>
      </c>
      <c r="M691" s="495">
        <f>10494.8250288517*(Unit.TWh)</f>
        <v>10494.825028851699</v>
      </c>
      <c r="N691" s="495">
        <f>11923.1188468199*(Unit.TWh)</f>
        <v>11923.1188468199</v>
      </c>
    </row>
    <row r="692" spans="3:14">
      <c r="C692" s="2959" t="s">
        <v>811</v>
      </c>
      <c r="E692" s="495">
        <f>1362.38360628317*(Unit.TWh)</f>
        <v>1362.3836062831699</v>
      </c>
      <c r="F692" s="495">
        <f>1985.42703431323*(Unit.TWh)</f>
        <v>1985.42703431323</v>
      </c>
      <c r="G692" s="495">
        <f>2619.0964516848*(Unit.TWh)</f>
        <v>2619.0964516847998</v>
      </c>
      <c r="H692" s="495">
        <f>3490.46343342539*(Unit.TWh)</f>
        <v>3490.4634334253901</v>
      </c>
      <c r="I692" s="495">
        <f>4433.19191930729*(Unit.TWh)</f>
        <v>4433.1919193072899</v>
      </c>
      <c r="J692" s="495">
        <f>5432.87507625942*(Unit.TWh)</f>
        <v>5432.87507625942</v>
      </c>
      <c r="K692" s="495">
        <f>6513.28096388391*(Unit.TWh)</f>
        <v>6513.2809638839099</v>
      </c>
      <c r="L692" s="495">
        <f>7533.10344371987*(Unit.TWh)</f>
        <v>7533.1034437198696</v>
      </c>
      <c r="M692" s="495">
        <f>8487.05643723624*(Unit.TWh)</f>
        <v>8487.0564372362405</v>
      </c>
      <c r="N692" s="495">
        <f>9447.57945886638*(Unit.TWh)</f>
        <v>9447.5794588663794</v>
      </c>
    </row>
    <row r="693" spans="3:14">
      <c r="C693" s="2959" t="s">
        <v>1018</v>
      </c>
      <c r="E693" s="495">
        <f>1362.38360628317*(Unit.TWh)</f>
        <v>1362.3836062831699</v>
      </c>
      <c r="F693" s="495">
        <f>1985.43110344987*(Unit.TWh)</f>
        <v>1985.4311034498701</v>
      </c>
      <c r="G693" s="495">
        <f>2267.37890520655*(Unit.TWh)</f>
        <v>2267.3789052065499</v>
      </c>
      <c r="H693" s="495">
        <f>3231.22948427575*(Unit.TWh)</f>
        <v>3231.2294842757501</v>
      </c>
      <c r="I693" s="495">
        <f>4244.31490264015*(Unit.TWh)</f>
        <v>4244.3149026401497</v>
      </c>
      <c r="J693" s="495">
        <f>5285.36262165178*(Unit.TWh)</f>
        <v>5285.3626216517796</v>
      </c>
      <c r="K693" s="495">
        <f>6287.06447705388*(Unit.TWh)</f>
        <v>6287.0644770538802</v>
      </c>
      <c r="L693" s="495">
        <f>7072.11011774376*(Unit.TWh)</f>
        <v>7072.1101177437604</v>
      </c>
      <c r="M693" s="495">
        <f>7649.18786163816*(Unit.TWh)</f>
        <v>7649.18786163816</v>
      </c>
      <c r="N693" s="495">
        <f>8149.19379874193*(Unit.TWh)</f>
        <v>8149.1937987419296</v>
      </c>
    </row>
    <row r="694" spans="3:14">
      <c r="C694" s="2959" t="s">
        <v>1019</v>
      </c>
      <c r="E694" s="495">
        <f>1362.38360628317*(Unit.TWh)</f>
        <v>1362.3836062831699</v>
      </c>
      <c r="F694" s="495">
        <f>1985.42703431323*(Unit.TWh)</f>
        <v>1985.42703431323</v>
      </c>
      <c r="G694" s="495">
        <f>2243.81013730425*(Unit.TWh)</f>
        <v>2243.81013730425</v>
      </c>
      <c r="H694" s="495">
        <f>3161.48674032596*(Unit.TWh)</f>
        <v>3161.48674032596</v>
      </c>
      <c r="I694" s="495">
        <f>4104.59916972381*(Unit.TWh)</f>
        <v>4104.5991697238096</v>
      </c>
      <c r="J694" s="495">
        <f>5059.43867545847*(Unit.TWh)</f>
        <v>5059.4386754584702</v>
      </c>
      <c r="K694" s="495">
        <f>5952.27384513293*(Unit.TWh)</f>
        <v>5952.2738451329296</v>
      </c>
      <c r="L694" s="495">
        <f>6631.33488169392*(Unit.TWh)</f>
        <v>6631.3348816939197</v>
      </c>
      <c r="M694" s="495">
        <f>7129.1014224269*(Unit.TWh)</f>
        <v>7129.1014224269002</v>
      </c>
      <c r="N694" s="495">
        <f>7621.37125961147*(Unit.TWh)</f>
        <v>7621.3712596114701</v>
      </c>
    </row>
    <row r="698" spans="3:14">
      <c r="E698" s="2959">
        <f>Unit.TWh</f>
        <v>1</v>
      </c>
    </row>
    <row r="784" spans="1:2">
      <c r="A784" s="2959"/>
      <c r="B784" s="2959"/>
    </row>
    <row r="785" spans="1:2">
      <c r="A785" s="2959"/>
      <c r="B785" s="2959"/>
    </row>
    <row r="786" spans="1:2">
      <c r="A786" s="2959"/>
      <c r="B786" s="2959"/>
    </row>
  </sheetData>
  <pageMargins left="0.7" right="0.7" top="0.75" bottom="0.75" header="0.3" footer="0.3"/>
  <pageSetup paperSize="9" orientation="portrait" horizontalDpi="300" verticalDpi="300" r:id="rId1"/>
  <drawing r:id="rId2"/>
  <legacyDrawing r:id="rId3"/>
  <tableParts count="3">
    <tablePart r:id="rId4"/>
    <tablePart r:id="rId5"/>
    <tablePart r:id="rId6"/>
  </tableParts>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sheetPr>
    <tabColor theme="5" tint="0.39997558519241921"/>
    <pageSetUpPr autoPageBreaks="0"/>
  </sheetPr>
  <dimension ref="A1:CU519"/>
  <sheetViews>
    <sheetView showGridLines="0" topLeftCell="F24" workbookViewId="0">
      <selection activeCell="AY52" sqref="AY52:BI52"/>
    </sheetView>
  </sheetViews>
  <sheetFormatPr defaultColWidth="9.140625" defaultRowHeight="12.75" outlineLevelCol="1"/>
  <cols>
    <col min="1" max="1" width="2.140625" style="3148" customWidth="1"/>
    <col min="2" max="2" width="4.42578125" style="3148" customWidth="1"/>
    <col min="3" max="3" width="5.42578125" style="3148" bestFit="1" customWidth="1"/>
    <col min="4" max="4" width="28.140625" style="3148" customWidth="1"/>
    <col min="5" max="5" width="21.7109375" style="3148" bestFit="1" customWidth="1"/>
    <col min="6" max="6" width="16" style="3148" customWidth="1"/>
    <col min="7" max="7" width="10.28515625" style="3148" hidden="1" customWidth="1" outlineLevel="1"/>
    <col min="8" max="48" width="10.85546875" style="3148" hidden="1" customWidth="1" outlineLevel="1"/>
    <col min="49" max="49" width="17.42578125" style="3148" hidden="1" customWidth="1" outlineLevel="1"/>
    <col min="50" max="50" width="10.85546875" style="3148" customWidth="1" collapsed="1"/>
    <col min="51" max="53" width="10" style="3148" customWidth="1"/>
    <col min="54" max="56" width="15" style="3148" bestFit="1" customWidth="1"/>
    <col min="57" max="61" width="16.42578125" style="3148" bestFit="1" customWidth="1"/>
    <col min="62" max="62" width="9.140625" style="3148"/>
    <col min="63" max="63" width="16.7109375" style="3148" bestFit="1" customWidth="1"/>
    <col min="64" max="64" width="20.7109375" style="3148" bestFit="1" customWidth="1"/>
    <col min="65" max="65" width="8.42578125" style="3148" customWidth="1"/>
    <col min="66" max="66" width="17.85546875" style="3148" bestFit="1" customWidth="1"/>
    <col min="67" max="75" width="5.42578125" style="3148" bestFit="1" customWidth="1"/>
    <col min="76" max="16384" width="9.140625" style="3148"/>
  </cols>
  <sheetData>
    <row r="1" spans="1:76" ht="6.75" customHeight="1"/>
    <row r="2" spans="1:76" ht="22.5">
      <c r="A2" s="420"/>
      <c r="B2" s="206" t="s">
        <v>1125</v>
      </c>
      <c r="C2" s="175"/>
      <c r="D2" s="175"/>
      <c r="E2" s="175"/>
      <c r="F2" s="175"/>
      <c r="G2" s="175"/>
      <c r="H2" s="175"/>
      <c r="I2" s="175"/>
      <c r="J2" s="175"/>
      <c r="K2" s="175"/>
      <c r="L2" s="175"/>
      <c r="M2" s="175"/>
      <c r="N2" s="175"/>
      <c r="O2" s="175"/>
      <c r="P2" s="175"/>
      <c r="Q2" s="175"/>
      <c r="R2" s="175"/>
      <c r="S2" s="175"/>
      <c r="T2" s="175"/>
      <c r="U2" s="175"/>
      <c r="V2" s="175"/>
      <c r="W2" s="175"/>
      <c r="X2" s="175"/>
      <c r="Y2" s="175"/>
      <c r="Z2" s="175"/>
      <c r="AA2" s="175"/>
      <c r="AB2" s="175"/>
      <c r="AC2" s="175"/>
      <c r="AD2" s="175"/>
      <c r="AE2" s="175"/>
      <c r="AF2" s="175"/>
      <c r="AG2" s="175"/>
      <c r="AH2" s="175"/>
      <c r="AI2" s="175"/>
      <c r="AJ2" s="175"/>
      <c r="AK2" s="175"/>
      <c r="AL2" s="175"/>
      <c r="AM2" s="175"/>
      <c r="AN2" s="175"/>
      <c r="AO2" s="175"/>
      <c r="AP2" s="175"/>
      <c r="AQ2" s="175"/>
      <c r="AR2" s="175"/>
      <c r="AS2" s="175"/>
      <c r="AT2" s="175"/>
      <c r="AU2" s="175"/>
      <c r="AV2" s="175"/>
      <c r="AW2" s="175"/>
      <c r="AX2" s="175"/>
      <c r="AY2" s="175"/>
      <c r="AZ2" s="175"/>
      <c r="BA2" s="175"/>
      <c r="BB2" s="175"/>
      <c r="BC2" s="175"/>
      <c r="BD2" s="175"/>
      <c r="BE2" s="175"/>
      <c r="BF2" s="175"/>
      <c r="BG2" s="175"/>
      <c r="BH2" s="175"/>
      <c r="BI2" s="175"/>
      <c r="BJ2" s="177"/>
    </row>
    <row r="3" spans="1:76" s="51" customFormat="1" ht="20.25" customHeight="1">
      <c r="B3" s="164"/>
      <c r="C3" s="166"/>
      <c r="D3" s="166"/>
      <c r="E3" s="166"/>
      <c r="F3" s="166"/>
      <c r="G3" s="166"/>
      <c r="H3" s="1156" t="s">
        <v>1126</v>
      </c>
      <c r="I3" s="1156"/>
      <c r="J3" s="1156"/>
      <c r="K3" s="1156"/>
      <c r="L3" s="1156"/>
      <c r="M3" s="1156"/>
      <c r="N3" s="1156"/>
      <c r="O3" s="1156"/>
      <c r="P3" s="1156"/>
      <c r="Q3" s="1156"/>
      <c r="R3" s="1156"/>
      <c r="S3" s="1156"/>
      <c r="T3" s="1156"/>
      <c r="U3" s="1156"/>
      <c r="V3" s="1156"/>
      <c r="W3" s="1156"/>
      <c r="X3" s="1156"/>
      <c r="Y3" s="1156"/>
      <c r="Z3" s="1156"/>
      <c r="AA3" s="1156"/>
      <c r="AB3" s="1156"/>
      <c r="AC3" s="1156"/>
      <c r="AD3" s="1156"/>
      <c r="AE3" s="1156"/>
      <c r="AF3" s="1156"/>
      <c r="AG3" s="1156"/>
      <c r="AH3" s="1156"/>
      <c r="AI3" s="1156"/>
      <c r="AJ3" s="1156"/>
      <c r="AK3" s="1156"/>
      <c r="AL3" s="1156"/>
      <c r="AM3" s="1156"/>
      <c r="AN3" s="1156"/>
      <c r="AO3" s="1156"/>
      <c r="AP3" s="1156"/>
      <c r="AQ3" s="1156"/>
      <c r="AR3" s="1156"/>
      <c r="AS3" s="1156"/>
      <c r="AT3" s="1156"/>
      <c r="AU3" s="1156"/>
      <c r="AV3" s="1156"/>
      <c r="AW3" s="1156"/>
      <c r="AX3" s="166"/>
      <c r="AY3" s="166" t="s">
        <v>1198</v>
      </c>
      <c r="AZ3" s="166"/>
      <c r="BA3" s="166"/>
      <c r="BB3" s="166"/>
      <c r="BC3" s="166"/>
      <c r="BD3" s="166"/>
      <c r="BE3" s="166"/>
      <c r="BF3" s="166"/>
      <c r="BG3" s="166"/>
      <c r="BH3" s="1157"/>
      <c r="BI3" s="1158"/>
      <c r="BJ3" s="181"/>
      <c r="BL3" s="3148"/>
      <c r="BM3" s="3148"/>
      <c r="BN3" s="3148"/>
      <c r="BO3" s="3148"/>
      <c r="BP3" s="3148"/>
      <c r="BQ3" s="3148"/>
      <c r="BR3" s="3148"/>
      <c r="BS3" s="3148"/>
      <c r="BT3" s="3148"/>
      <c r="BU3" s="3148"/>
      <c r="BV3" s="3148"/>
      <c r="BW3" s="3148"/>
      <c r="BX3" s="3148"/>
    </row>
    <row r="4" spans="1:76" ht="20.25" customHeight="1">
      <c r="B4" s="164"/>
      <c r="C4" s="166"/>
      <c r="D4" s="2403" t="str">
        <f>preferences.energyunits &amp; " / year"</f>
        <v>TWh / year</v>
      </c>
      <c r="E4" s="166"/>
      <c r="F4" s="2404" t="s">
        <v>1127</v>
      </c>
      <c r="G4" s="1159"/>
      <c r="H4" s="1160">
        <v>1970</v>
      </c>
      <c r="I4" s="1160">
        <v>1971</v>
      </c>
      <c r="J4" s="1160">
        <v>1972</v>
      </c>
      <c r="K4" s="1160">
        <v>1973</v>
      </c>
      <c r="L4" s="1160">
        <v>1974</v>
      </c>
      <c r="M4" s="1160">
        <v>1975</v>
      </c>
      <c r="N4" s="1160">
        <v>1976</v>
      </c>
      <c r="O4" s="1160">
        <v>1977</v>
      </c>
      <c r="P4" s="1160">
        <v>1978</v>
      </c>
      <c r="Q4" s="1160">
        <v>1979</v>
      </c>
      <c r="R4" s="1160">
        <v>1980</v>
      </c>
      <c r="S4" s="1160">
        <v>1981</v>
      </c>
      <c r="T4" s="1160">
        <v>1982</v>
      </c>
      <c r="U4" s="1160">
        <v>1983</v>
      </c>
      <c r="V4" s="1160">
        <v>1984</v>
      </c>
      <c r="W4" s="1160">
        <v>1985</v>
      </c>
      <c r="X4" s="1160">
        <v>1986</v>
      </c>
      <c r="Y4" s="1160">
        <v>1987</v>
      </c>
      <c r="Z4" s="1160">
        <v>1988</v>
      </c>
      <c r="AA4" s="1160">
        <v>1989</v>
      </c>
      <c r="AB4" s="1160">
        <v>1990</v>
      </c>
      <c r="AC4" s="1160">
        <v>1991</v>
      </c>
      <c r="AD4" s="1160">
        <v>1992</v>
      </c>
      <c r="AE4" s="1160">
        <v>1993</v>
      </c>
      <c r="AF4" s="1160">
        <v>1994</v>
      </c>
      <c r="AG4" s="1160">
        <v>1995</v>
      </c>
      <c r="AH4" s="1160">
        <v>1996</v>
      </c>
      <c r="AI4" s="1160">
        <v>1997</v>
      </c>
      <c r="AJ4" s="1160">
        <v>1998</v>
      </c>
      <c r="AK4" s="1160">
        <v>1999</v>
      </c>
      <c r="AL4" s="1160">
        <v>2000</v>
      </c>
      <c r="AM4" s="1160">
        <v>2001</v>
      </c>
      <c r="AN4" s="1160">
        <v>2002</v>
      </c>
      <c r="AO4" s="1160">
        <v>2003</v>
      </c>
      <c r="AP4" s="1160">
        <v>2004</v>
      </c>
      <c r="AQ4" s="1160">
        <v>2005</v>
      </c>
      <c r="AR4" s="1160">
        <v>2006</v>
      </c>
      <c r="AS4" s="1160">
        <v>2007</v>
      </c>
      <c r="AT4" s="1160">
        <v>2008</v>
      </c>
      <c r="AU4" s="1160">
        <v>2009</v>
      </c>
      <c r="AV4" s="1160">
        <v>2010</v>
      </c>
      <c r="AW4" s="1161" t="s">
        <v>177</v>
      </c>
      <c r="AX4" s="166"/>
      <c r="AY4" s="2405">
        <v>2007</v>
      </c>
      <c r="AZ4" s="2405"/>
      <c r="BA4" s="2405">
        <f>AY4+5</f>
        <v>2012</v>
      </c>
      <c r="BB4" s="2405">
        <f t="shared" ref="BB4:BI4" si="0">BA4+5</f>
        <v>2017</v>
      </c>
      <c r="BC4" s="2405">
        <f t="shared" si="0"/>
        <v>2022</v>
      </c>
      <c r="BD4" s="2405">
        <f t="shared" si="0"/>
        <v>2027</v>
      </c>
      <c r="BE4" s="2405">
        <f t="shared" si="0"/>
        <v>2032</v>
      </c>
      <c r="BF4" s="2405">
        <f t="shared" si="0"/>
        <v>2037</v>
      </c>
      <c r="BG4" s="2405">
        <f t="shared" si="0"/>
        <v>2042</v>
      </c>
      <c r="BH4" s="2405">
        <f t="shared" si="0"/>
        <v>2047</v>
      </c>
      <c r="BI4" s="2405">
        <f t="shared" si="0"/>
        <v>2052</v>
      </c>
      <c r="BJ4" s="168"/>
    </row>
    <row r="5" spans="1:76">
      <c r="B5" s="164"/>
      <c r="C5" s="166"/>
      <c r="D5" s="166"/>
      <c r="E5" s="166"/>
      <c r="F5" s="166"/>
      <c r="G5" s="166"/>
      <c r="H5" s="1156"/>
      <c r="I5" s="1156"/>
      <c r="J5" s="1156"/>
      <c r="K5" s="1156"/>
      <c r="L5" s="1156"/>
      <c r="M5" s="1156"/>
      <c r="N5" s="1156"/>
      <c r="O5" s="1156"/>
      <c r="P5" s="1156"/>
      <c r="Q5" s="1156"/>
      <c r="R5" s="1156"/>
      <c r="S5" s="1156"/>
      <c r="T5" s="1156"/>
      <c r="U5" s="1156"/>
      <c r="V5" s="1156"/>
      <c r="W5" s="1156"/>
      <c r="X5" s="1156"/>
      <c r="Y5" s="1156"/>
      <c r="Z5" s="1156"/>
      <c r="AA5" s="1156"/>
      <c r="AB5" s="1156"/>
      <c r="AC5" s="1156"/>
      <c r="AD5" s="1156"/>
      <c r="AE5" s="1156"/>
      <c r="AF5" s="1156"/>
      <c r="AG5" s="1156"/>
      <c r="AH5" s="1156"/>
      <c r="AI5" s="1156"/>
      <c r="AJ5" s="1156"/>
      <c r="AK5" s="1156"/>
      <c r="AL5" s="1156"/>
      <c r="AM5" s="1156"/>
      <c r="AN5" s="1156"/>
      <c r="AO5" s="1156"/>
      <c r="AP5" s="1156"/>
      <c r="AQ5" s="1156"/>
      <c r="AR5" s="1156"/>
      <c r="AS5" s="1156"/>
      <c r="AT5" s="1156"/>
      <c r="AU5" s="1156"/>
      <c r="AV5" s="1156"/>
      <c r="AW5" s="1156"/>
      <c r="AX5" s="166"/>
      <c r="AY5" s="166"/>
      <c r="AZ5" s="166"/>
      <c r="BA5" s="166"/>
      <c r="BB5" s="166"/>
      <c r="BC5" s="166"/>
      <c r="BD5" s="166"/>
      <c r="BE5" s="166"/>
      <c r="BF5" s="166"/>
      <c r="BG5" s="166"/>
      <c r="BH5" s="166"/>
      <c r="BI5" s="166"/>
      <c r="BJ5" s="168"/>
    </row>
    <row r="6" spans="1:76" s="410" customFormat="1">
      <c r="B6" s="1162"/>
      <c r="C6" s="1163" t="s">
        <v>1128</v>
      </c>
      <c r="D6" s="1164"/>
      <c r="E6" s="166"/>
      <c r="F6" s="1184"/>
      <c r="G6" s="1184"/>
      <c r="H6" s="1188"/>
      <c r="I6" s="1188"/>
      <c r="J6" s="1188"/>
      <c r="K6" s="1188"/>
      <c r="L6" s="1188"/>
      <c r="M6" s="1188"/>
      <c r="N6" s="1188"/>
      <c r="O6" s="1188"/>
      <c r="P6" s="1188"/>
      <c r="Q6" s="1188"/>
      <c r="R6" s="1188"/>
      <c r="S6" s="1188"/>
      <c r="T6" s="1188"/>
      <c r="U6" s="1188"/>
      <c r="V6" s="1188"/>
      <c r="W6" s="1188"/>
      <c r="X6" s="1188"/>
      <c r="Y6" s="1188"/>
      <c r="Z6" s="1188"/>
      <c r="AA6" s="1188"/>
      <c r="AB6" s="1188"/>
      <c r="AC6" s="1188"/>
      <c r="AD6" s="1188"/>
      <c r="AE6" s="1188"/>
      <c r="AF6" s="1188"/>
      <c r="AG6" s="1188"/>
      <c r="AH6" s="1188"/>
      <c r="AI6" s="1188"/>
      <c r="AJ6" s="1188"/>
      <c r="AK6" s="1188"/>
      <c r="AL6" s="1188"/>
      <c r="AM6" s="1188"/>
      <c r="AN6" s="1188"/>
      <c r="AO6" s="1188"/>
      <c r="AP6" s="1188"/>
      <c r="AQ6" s="1188"/>
      <c r="AR6" s="1188"/>
      <c r="AS6" s="1188"/>
      <c r="AT6" s="1188"/>
      <c r="AU6" s="1188"/>
      <c r="AV6" s="1188"/>
      <c r="AW6" s="1188"/>
      <c r="AX6" s="166"/>
      <c r="AY6" s="267"/>
      <c r="AZ6" s="267"/>
      <c r="BA6" s="267"/>
      <c r="BB6" s="267"/>
      <c r="BC6" s="267"/>
      <c r="BD6" s="267"/>
      <c r="BE6" s="267"/>
      <c r="BF6" s="267"/>
      <c r="BG6" s="267"/>
      <c r="BH6" s="267"/>
      <c r="BI6" s="267"/>
      <c r="BJ6" s="1166"/>
      <c r="BK6" s="1167"/>
    </row>
    <row r="7" spans="1:76" s="410" customFormat="1">
      <c r="B7" s="1162"/>
      <c r="C7" s="1164" t="s">
        <v>44</v>
      </c>
      <c r="D7" s="1164" t="str">
        <f>INDEX(Vectors[Description], MATCH($C7, Vectors[Code], 0))</f>
        <v>Domestic Lighting &amp; appliances</v>
      </c>
      <c r="E7" s="166"/>
      <c r="F7" s="1184"/>
      <c r="G7" s="1184"/>
      <c r="H7" s="1188"/>
      <c r="I7" s="1188"/>
      <c r="J7" s="1188"/>
      <c r="K7" s="1188"/>
      <c r="L7" s="1188"/>
      <c r="M7" s="1188"/>
      <c r="N7" s="1188"/>
      <c r="O7" s="1188"/>
      <c r="P7" s="1188"/>
      <c r="Q7" s="1188"/>
      <c r="R7" s="1188"/>
      <c r="S7" s="1188"/>
      <c r="T7" s="1188"/>
      <c r="U7" s="1188"/>
      <c r="V7" s="1188"/>
      <c r="W7" s="1188"/>
      <c r="X7" s="1188"/>
      <c r="Y7" s="1188"/>
      <c r="Z7" s="1188"/>
      <c r="AA7" s="1188"/>
      <c r="AB7" s="1188"/>
      <c r="AC7" s="1188"/>
      <c r="AD7" s="1188"/>
      <c r="AE7" s="1188"/>
      <c r="AF7" s="1188"/>
      <c r="AG7" s="1188"/>
      <c r="AH7" s="1188"/>
      <c r="AI7" s="1188"/>
      <c r="AJ7" s="1188"/>
      <c r="AK7" s="1188"/>
      <c r="AL7" s="1188"/>
      <c r="AM7" s="1188"/>
      <c r="AN7" s="1188"/>
      <c r="AO7" s="1188"/>
      <c r="AP7" s="1188"/>
      <c r="AQ7" s="1188"/>
      <c r="AR7" s="1188"/>
      <c r="AS7" s="1188"/>
      <c r="AT7" s="1188"/>
      <c r="AU7" s="1188"/>
      <c r="AV7" s="1188"/>
      <c r="AW7" s="1188"/>
      <c r="AX7" s="166"/>
      <c r="AY7" s="267">
        <f ca="1">INDEX(INDIRECT("'"&amp;AY$4&amp;"'!Year.NetBalance"), MATCH($C7, INDIRECT("'"&amp;AY$4&amp;"'!Year.Vectors"), 0))</f>
        <v>125.22829189364668</v>
      </c>
      <c r="AZ7" s="267"/>
      <c r="BA7" s="267">
        <f t="shared" ref="BA7:BI7" ca="1" si="1">INDEX(INDIRECT("'"&amp;BA$4&amp;"'!Year.NetBalance"), MATCH($C7, INDIRECT("'"&amp;BA$4&amp;"'!Year.Vectors"), 0))</f>
        <v>169.69505456493178</v>
      </c>
      <c r="BB7" s="267">
        <f t="shared" ca="1" si="1"/>
        <v>300.04431466291476</v>
      </c>
      <c r="BC7" s="267">
        <f t="shared" ca="1" si="1"/>
        <v>496.30573002834524</v>
      </c>
      <c r="BD7" s="267">
        <f t="shared" ca="1" si="1"/>
        <v>774.27220243376769</v>
      </c>
      <c r="BE7" s="267">
        <f t="shared" ca="1" si="1"/>
        <v>1159.8318853695678</v>
      </c>
      <c r="BF7" s="267">
        <f t="shared" ca="1" si="1"/>
        <v>1453.7842020047071</v>
      </c>
      <c r="BG7" s="267">
        <f t="shared" ca="1" si="1"/>
        <v>1804.4491932933804</v>
      </c>
      <c r="BH7" s="267">
        <f t="shared" ca="1" si="1"/>
        <v>2204.4681998125216</v>
      </c>
      <c r="BI7" s="267">
        <f t="shared" ca="1" si="1"/>
        <v>2671.8455088986261</v>
      </c>
      <c r="BJ7" s="1166"/>
      <c r="BK7" s="1167"/>
    </row>
    <row r="8" spans="1:76" s="410" customFormat="1">
      <c r="B8" s="1162"/>
      <c r="C8" s="1164" t="s">
        <v>1094</v>
      </c>
      <c r="D8" s="1164" t="str">
        <f>INDEX(Vectors[Description], MATCH($C8, Vectors[Code], 0))</f>
        <v>Commercial Lighting &amp; Appliances</v>
      </c>
      <c r="E8" s="166"/>
      <c r="F8" s="1184"/>
      <c r="G8" s="1184"/>
      <c r="H8" s="1188"/>
      <c r="I8" s="1188"/>
      <c r="J8" s="1188"/>
      <c r="K8" s="1188"/>
      <c r="L8" s="1188"/>
      <c r="M8" s="1188"/>
      <c r="N8" s="1188"/>
      <c r="O8" s="1188"/>
      <c r="P8" s="1188"/>
      <c r="Q8" s="1188"/>
      <c r="R8" s="1188"/>
      <c r="S8" s="1188"/>
      <c r="T8" s="1188"/>
      <c r="U8" s="1188"/>
      <c r="V8" s="1188"/>
      <c r="W8" s="1188"/>
      <c r="X8" s="1188"/>
      <c r="Y8" s="1188"/>
      <c r="Z8" s="1188"/>
      <c r="AA8" s="1188"/>
      <c r="AB8" s="1188"/>
      <c r="AC8" s="1188"/>
      <c r="AD8" s="1188"/>
      <c r="AE8" s="1188"/>
      <c r="AF8" s="1188"/>
      <c r="AG8" s="1188"/>
      <c r="AH8" s="1188"/>
      <c r="AI8" s="1188"/>
      <c r="AJ8" s="1188"/>
      <c r="AK8" s="1188"/>
      <c r="AL8" s="1188"/>
      <c r="AM8" s="1188"/>
      <c r="AN8" s="1188"/>
      <c r="AO8" s="1188"/>
      <c r="AP8" s="1188"/>
      <c r="AQ8" s="1188"/>
      <c r="AR8" s="1188"/>
      <c r="AS8" s="1188"/>
      <c r="AT8" s="1188"/>
      <c r="AU8" s="1188"/>
      <c r="AV8" s="1188"/>
      <c r="AW8" s="1188"/>
      <c r="AX8" s="166"/>
      <c r="AY8" s="267">
        <f t="shared" ref="AY8:BI19" ca="1" si="2">INDEX(INDIRECT("'"&amp;AY$4&amp;"'!Year.NetBalance"), MATCH($C8, INDIRECT("'"&amp;AY$4&amp;"'!Year.Vectors"), 0))</f>
        <v>69.837354022093393</v>
      </c>
      <c r="AZ8" s="267"/>
      <c r="BA8" s="267">
        <f t="shared" ca="1" si="2"/>
        <v>69.837354022093393</v>
      </c>
      <c r="BB8" s="267">
        <f t="shared" ca="1" si="2"/>
        <v>115.42859864757057</v>
      </c>
      <c r="BC8" s="267">
        <f t="shared" ca="1" si="2"/>
        <v>190.80114950572121</v>
      </c>
      <c r="BD8" s="267">
        <f t="shared" ca="1" si="2"/>
        <v>315.42107081978503</v>
      </c>
      <c r="BE8" s="267">
        <f t="shared" ca="1" si="2"/>
        <v>521.48617151177393</v>
      </c>
      <c r="BF8" s="267">
        <f t="shared" ca="1" si="2"/>
        <v>689.67530682847894</v>
      </c>
      <c r="BG8" s="267">
        <f t="shared" ca="1" si="2"/>
        <v>912.10861348452363</v>
      </c>
      <c r="BH8" s="267">
        <f t="shared" ca="1" si="2"/>
        <v>970.55849777696983</v>
      </c>
      <c r="BI8" s="267">
        <f t="shared" ca="1" si="2"/>
        <v>1032.7539765340366</v>
      </c>
      <c r="BJ8" s="1166"/>
      <c r="BK8" s="1167"/>
    </row>
    <row r="9" spans="1:76" s="2850" customFormat="1">
      <c r="B9" s="2851"/>
      <c r="C9" s="2852" t="s">
        <v>2139</v>
      </c>
      <c r="D9" s="2852" t="s">
        <v>2140</v>
      </c>
      <c r="E9" s="178"/>
      <c r="F9" s="1184"/>
      <c r="G9" s="1184"/>
      <c r="H9" s="1188"/>
      <c r="I9" s="1188"/>
      <c r="J9" s="1188"/>
      <c r="K9" s="1188"/>
      <c r="L9" s="1188"/>
      <c r="M9" s="1188"/>
      <c r="N9" s="1188"/>
      <c r="O9" s="1188"/>
      <c r="P9" s="1188"/>
      <c r="Q9" s="1188"/>
      <c r="R9" s="1188"/>
      <c r="S9" s="1188"/>
      <c r="T9" s="1188"/>
      <c r="U9" s="1188"/>
      <c r="V9" s="1188"/>
      <c r="W9" s="1188"/>
      <c r="X9" s="1188"/>
      <c r="Y9" s="1188"/>
      <c r="Z9" s="1188"/>
      <c r="AA9" s="1188"/>
      <c r="AB9" s="1188"/>
      <c r="AC9" s="1188"/>
      <c r="AD9" s="1188"/>
      <c r="AE9" s="1188"/>
      <c r="AF9" s="1188"/>
      <c r="AG9" s="1188"/>
      <c r="AH9" s="1188"/>
      <c r="AI9" s="1188"/>
      <c r="AJ9" s="1188"/>
      <c r="AK9" s="1188"/>
      <c r="AL9" s="1188"/>
      <c r="AM9" s="1188"/>
      <c r="AN9" s="1188"/>
      <c r="AO9" s="1188"/>
      <c r="AP9" s="1188"/>
      <c r="AQ9" s="1188"/>
      <c r="AR9" s="1188"/>
      <c r="AS9" s="1188"/>
      <c r="AT9" s="1188"/>
      <c r="AU9" s="1188"/>
      <c r="AV9" s="1188"/>
      <c r="AW9" s="1188"/>
      <c r="AX9" s="166"/>
      <c r="AY9" s="2853">
        <f ca="1">SUM(AY7,AY8,AY15)</f>
        <v>195.04686356435622</v>
      </c>
      <c r="AZ9" s="2853"/>
      <c r="BA9" s="2853">
        <f t="shared" ref="BA9:BI9" ca="1" si="3">SUM(BA7,BA8,BA15)</f>
        <v>239.51357277241706</v>
      </c>
      <c r="BB9" s="2853">
        <f t="shared" ca="1" si="3"/>
        <v>415.43937846394886</v>
      </c>
      <c r="BC9" s="2853">
        <f t="shared" ca="1" si="3"/>
        <v>687.04608464062051</v>
      </c>
      <c r="BD9" s="2853">
        <f t="shared" ca="1" si="3"/>
        <v>1089.5830300801267</v>
      </c>
      <c r="BE9" s="2853">
        <f t="shared" ca="1" si="3"/>
        <v>1681.1144958506338</v>
      </c>
      <c r="BF9" s="2853">
        <f t="shared" ca="1" si="3"/>
        <v>2143.1893083636123</v>
      </c>
      <c r="BG9" s="2853">
        <f t="shared" ca="1" si="3"/>
        <v>2716.1990958498081</v>
      </c>
      <c r="BH9" s="2853">
        <f t="shared" ca="1" si="3"/>
        <v>3174.6434844524338</v>
      </c>
      <c r="BI9" s="2853">
        <f t="shared" ca="1" si="3"/>
        <v>3704.1900397353238</v>
      </c>
      <c r="BJ9" s="2854"/>
      <c r="BK9" s="2855"/>
    </row>
    <row r="10" spans="1:76" s="2850" customFormat="1">
      <c r="B10" s="2851"/>
      <c r="C10" s="2852" t="s">
        <v>13</v>
      </c>
      <c r="D10" s="2852" t="str">
        <f>INDEX(Vectors[Description], MATCH($C10, Vectors[Code], 0))</f>
        <v>Industry</v>
      </c>
      <c r="E10" s="178"/>
      <c r="F10" s="1184"/>
      <c r="G10" s="1184"/>
      <c r="H10" s="1188"/>
      <c r="I10" s="1188"/>
      <c r="J10" s="1188"/>
      <c r="K10" s="1188"/>
      <c r="L10" s="1188"/>
      <c r="M10" s="1188"/>
      <c r="N10" s="1188"/>
      <c r="O10" s="1188"/>
      <c r="P10" s="1188"/>
      <c r="Q10" s="1188"/>
      <c r="R10" s="1188"/>
      <c r="S10" s="1188"/>
      <c r="T10" s="1188"/>
      <c r="U10" s="1188"/>
      <c r="V10" s="1188"/>
      <c r="W10" s="1188"/>
      <c r="X10" s="1188"/>
      <c r="Y10" s="1188"/>
      <c r="Z10" s="1188"/>
      <c r="AA10" s="1188"/>
      <c r="AB10" s="1188"/>
      <c r="AC10" s="1188"/>
      <c r="AD10" s="1188"/>
      <c r="AE10" s="1188"/>
      <c r="AF10" s="1188"/>
      <c r="AG10" s="1188"/>
      <c r="AH10" s="1188"/>
      <c r="AI10" s="1188"/>
      <c r="AJ10" s="1188"/>
      <c r="AK10" s="1188"/>
      <c r="AL10" s="1188"/>
      <c r="AM10" s="1188"/>
      <c r="AN10" s="1188"/>
      <c r="AO10" s="1188"/>
      <c r="AP10" s="1188"/>
      <c r="AQ10" s="1188"/>
      <c r="AR10" s="1188"/>
      <c r="AS10" s="1188"/>
      <c r="AT10" s="1188"/>
      <c r="AU10" s="1188"/>
      <c r="AV10" s="1188"/>
      <c r="AW10" s="1188"/>
      <c r="AX10" s="166"/>
      <c r="AY10" s="2853">
        <f t="shared" ca="1" si="2"/>
        <v>1615.7381002510185</v>
      </c>
      <c r="AZ10" s="2853"/>
      <c r="BA10" s="2853">
        <f t="shared" ca="1" si="2"/>
        <v>2278.7991580746871</v>
      </c>
      <c r="BB10" s="2853">
        <f t="shared" ca="1" si="2"/>
        <v>3188.0989682873605</v>
      </c>
      <c r="BC10" s="2853">
        <f t="shared" ca="1" si="2"/>
        <v>4295.4614477243704</v>
      </c>
      <c r="BD10" s="2853">
        <f t="shared" ca="1" si="2"/>
        <v>5520.8820237437531</v>
      </c>
      <c r="BE10" s="2853">
        <f t="shared" ca="1" si="2"/>
        <v>6883.4692319432552</v>
      </c>
      <c r="BF10" s="2853">
        <f t="shared" ca="1" si="2"/>
        <v>8404.5908555044025</v>
      </c>
      <c r="BG10" s="2853">
        <f t="shared" ca="1" si="2"/>
        <v>9897.3852759882448</v>
      </c>
      <c r="BH10" s="2853">
        <f t="shared" ca="1" si="2"/>
        <v>11326.434333202775</v>
      </c>
      <c r="BI10" s="2853">
        <f t="shared" ca="1" si="2"/>
        <v>12793.271831310853</v>
      </c>
      <c r="BJ10" s="2854"/>
      <c r="BK10" s="2855"/>
    </row>
    <row r="11" spans="1:76" s="410" customFormat="1">
      <c r="B11" s="1162"/>
      <c r="C11" s="1164" t="s">
        <v>27</v>
      </c>
      <c r="D11" s="1164" t="str">
        <f>INDEX(Vectors[Description], MATCH($C11, Vectors[Code], 0))</f>
        <v>Road transport</v>
      </c>
      <c r="E11" s="166"/>
      <c r="F11" s="1184"/>
      <c r="G11" s="1184"/>
      <c r="H11" s="1188"/>
      <c r="I11" s="1188"/>
      <c r="J11" s="1188"/>
      <c r="K11" s="1188"/>
      <c r="L11" s="1188"/>
      <c r="M11" s="1188"/>
      <c r="N11" s="1188"/>
      <c r="O11" s="1188"/>
      <c r="P11" s="1188"/>
      <c r="Q11" s="1188"/>
      <c r="R11" s="1188"/>
      <c r="S11" s="1188"/>
      <c r="T11" s="1188"/>
      <c r="U11" s="1188"/>
      <c r="V11" s="1188"/>
      <c r="W11" s="1188"/>
      <c r="X11" s="1188"/>
      <c r="Y11" s="1188"/>
      <c r="Z11" s="1188"/>
      <c r="AA11" s="1188"/>
      <c r="AB11" s="1188"/>
      <c r="AC11" s="1188"/>
      <c r="AD11" s="1188"/>
      <c r="AE11" s="1188"/>
      <c r="AF11" s="1188"/>
      <c r="AG11" s="1188"/>
      <c r="AH11" s="1188"/>
      <c r="AI11" s="1188"/>
      <c r="AJ11" s="1188"/>
      <c r="AK11" s="1188"/>
      <c r="AL11" s="1188"/>
      <c r="AM11" s="1188"/>
      <c r="AN11" s="1188"/>
      <c r="AO11" s="1188"/>
      <c r="AP11" s="1188"/>
      <c r="AQ11" s="1188"/>
      <c r="AR11" s="1188"/>
      <c r="AS11" s="1188"/>
      <c r="AT11" s="1188"/>
      <c r="AU11" s="1188"/>
      <c r="AV11" s="1188"/>
      <c r="AW11" s="1188"/>
      <c r="AX11" s="166"/>
      <c r="AY11" s="267">
        <f t="shared" ca="1" si="2"/>
        <v>787.06155646625621</v>
      </c>
      <c r="AZ11" s="267"/>
      <c r="BA11" s="267">
        <f t="shared" ca="1" si="2"/>
        <v>787.06155646625621</v>
      </c>
      <c r="BB11" s="267">
        <f t="shared" ca="1" si="2"/>
        <v>1183.5003505918451</v>
      </c>
      <c r="BC11" s="267">
        <f t="shared" ca="1" si="2"/>
        <v>1701.3122530102653</v>
      </c>
      <c r="BD11" s="267">
        <f t="shared" ca="1" si="2"/>
        <v>2314.0471127888795</v>
      </c>
      <c r="BE11" s="267">
        <f t="shared" ca="1" si="2"/>
        <v>3069.4990489133552</v>
      </c>
      <c r="BF11" s="267">
        <f t="shared" ca="1" si="2"/>
        <v>3939.7762899745112</v>
      </c>
      <c r="BG11" s="267">
        <f t="shared" ca="1" si="2"/>
        <v>4775.3737630712158</v>
      </c>
      <c r="BH11" s="267">
        <f t="shared" ca="1" si="2"/>
        <v>5691.5734456276959</v>
      </c>
      <c r="BI11" s="267">
        <f t="shared" ca="1" si="2"/>
        <v>6608.0229282688942</v>
      </c>
      <c r="BJ11" s="1166"/>
      <c r="BK11" s="1167"/>
    </row>
    <row r="12" spans="1:76" s="410" customFormat="1">
      <c r="B12" s="1162"/>
      <c r="C12" s="1164" t="s">
        <v>28</v>
      </c>
      <c r="D12" s="1164" t="str">
        <f>INDEX(Vectors[Description], MATCH($C12, Vectors[Code], 0))</f>
        <v>Rail transport</v>
      </c>
      <c r="E12" s="166"/>
      <c r="F12" s="1184"/>
      <c r="G12" s="1184"/>
      <c r="H12" s="1188"/>
      <c r="I12" s="1188"/>
      <c r="J12" s="1188"/>
      <c r="K12" s="1188"/>
      <c r="L12" s="1188"/>
      <c r="M12" s="1188"/>
      <c r="N12" s="1188"/>
      <c r="O12" s="1188"/>
      <c r="P12" s="1188"/>
      <c r="Q12" s="1188"/>
      <c r="R12" s="1188"/>
      <c r="S12" s="1188"/>
      <c r="T12" s="1188"/>
      <c r="U12" s="1188"/>
      <c r="V12" s="1188"/>
      <c r="W12" s="1188"/>
      <c r="X12" s="1188"/>
      <c r="Y12" s="1188"/>
      <c r="Z12" s="1188"/>
      <c r="AA12" s="1188"/>
      <c r="AB12" s="1188"/>
      <c r="AC12" s="1188"/>
      <c r="AD12" s="1188"/>
      <c r="AE12" s="1188"/>
      <c r="AF12" s="1188"/>
      <c r="AG12" s="1188"/>
      <c r="AH12" s="1188"/>
      <c r="AI12" s="1188"/>
      <c r="AJ12" s="1188"/>
      <c r="AK12" s="1188"/>
      <c r="AL12" s="1188"/>
      <c r="AM12" s="1188"/>
      <c r="AN12" s="1188"/>
      <c r="AO12" s="1188"/>
      <c r="AP12" s="1188"/>
      <c r="AQ12" s="1188"/>
      <c r="AR12" s="1188"/>
      <c r="AS12" s="1188"/>
      <c r="AT12" s="1188"/>
      <c r="AU12" s="1188"/>
      <c r="AV12" s="1188"/>
      <c r="AW12" s="1188"/>
      <c r="AX12" s="166"/>
      <c r="AY12" s="267">
        <f t="shared" ca="1" si="2"/>
        <v>40.532439000000011</v>
      </c>
      <c r="AZ12" s="267"/>
      <c r="BA12" s="267">
        <f t="shared" ca="1" si="2"/>
        <v>40.532439000000011</v>
      </c>
      <c r="BB12" s="267">
        <f t="shared" ca="1" si="2"/>
        <v>51.889640514935813</v>
      </c>
      <c r="BC12" s="267">
        <f t="shared" ca="1" si="2"/>
        <v>64.646055064107586</v>
      </c>
      <c r="BD12" s="267">
        <f t="shared" ca="1" si="2"/>
        <v>78.303037740055146</v>
      </c>
      <c r="BE12" s="267">
        <f t="shared" ca="1" si="2"/>
        <v>93.684977873310913</v>
      </c>
      <c r="BF12" s="267">
        <f t="shared" ca="1" si="2"/>
        <v>110.98195843630529</v>
      </c>
      <c r="BG12" s="267">
        <f t="shared" ca="1" si="2"/>
        <v>119.53006725946128</v>
      </c>
      <c r="BH12" s="267">
        <f t="shared" ca="1" si="2"/>
        <v>128.80789870764113</v>
      </c>
      <c r="BI12" s="267">
        <f t="shared" ca="1" si="2"/>
        <v>137.98743134823923</v>
      </c>
      <c r="BJ12" s="1166"/>
      <c r="BK12" s="1167"/>
    </row>
    <row r="13" spans="1:76" s="410" customFormat="1">
      <c r="B13" s="1162"/>
      <c r="C13" s="1164" t="s">
        <v>29</v>
      </c>
      <c r="D13" s="1164" t="str">
        <f>INDEX(Vectors[Description], MATCH($C13, Vectors[Code], 0))</f>
        <v>Domestic aviation</v>
      </c>
      <c r="E13" s="166"/>
      <c r="F13" s="1184"/>
      <c r="G13" s="1184"/>
      <c r="H13" s="1188"/>
      <c r="I13" s="1188"/>
      <c r="J13" s="1188"/>
      <c r="K13" s="1188"/>
      <c r="L13" s="1188"/>
      <c r="M13" s="1188"/>
      <c r="N13" s="1188"/>
      <c r="O13" s="1188"/>
      <c r="P13" s="1188"/>
      <c r="Q13" s="1188"/>
      <c r="R13" s="1188"/>
      <c r="S13" s="1188"/>
      <c r="T13" s="1188"/>
      <c r="U13" s="1188"/>
      <c r="V13" s="1188"/>
      <c r="W13" s="1188"/>
      <c r="X13" s="1188"/>
      <c r="Y13" s="1188"/>
      <c r="Z13" s="1188"/>
      <c r="AA13" s="1188"/>
      <c r="AB13" s="1188"/>
      <c r="AC13" s="1188"/>
      <c r="AD13" s="1188"/>
      <c r="AE13" s="1188"/>
      <c r="AF13" s="1188"/>
      <c r="AG13" s="1188"/>
      <c r="AH13" s="1188"/>
      <c r="AI13" s="1188"/>
      <c r="AJ13" s="1188"/>
      <c r="AK13" s="1188"/>
      <c r="AL13" s="1188"/>
      <c r="AM13" s="1188"/>
      <c r="AN13" s="1188"/>
      <c r="AO13" s="1188"/>
      <c r="AP13" s="1188"/>
      <c r="AQ13" s="1188"/>
      <c r="AR13" s="1188"/>
      <c r="AS13" s="1188"/>
      <c r="AT13" s="1188"/>
      <c r="AU13" s="1188"/>
      <c r="AV13" s="1188"/>
      <c r="AW13" s="1188"/>
      <c r="AX13" s="166"/>
      <c r="AY13" s="267">
        <f t="shared" ca="1" si="2"/>
        <v>20.278462364171851</v>
      </c>
      <c r="AZ13" s="267"/>
      <c r="BA13" s="267">
        <f t="shared" ca="1" si="2"/>
        <v>20.278462364171851</v>
      </c>
      <c r="BB13" s="267">
        <f t="shared" ca="1" si="2"/>
        <v>36.12439727059617</v>
      </c>
      <c r="BC13" s="267">
        <f t="shared" ca="1" si="2"/>
        <v>59.137226964286882</v>
      </c>
      <c r="BD13" s="267">
        <f t="shared" ca="1" si="2"/>
        <v>88.317186557985124</v>
      </c>
      <c r="BE13" s="267">
        <f t="shared" ca="1" si="2"/>
        <v>124.7495741974252</v>
      </c>
      <c r="BF13" s="267">
        <f t="shared" ca="1" si="2"/>
        <v>167.86358992348687</v>
      </c>
      <c r="BG13" s="267">
        <f t="shared" ca="1" si="2"/>
        <v>213.51120810629951</v>
      </c>
      <c r="BH13" s="267">
        <f t="shared" ca="1" si="2"/>
        <v>264.94707888033457</v>
      </c>
      <c r="BI13" s="267">
        <f t="shared" ca="1" si="2"/>
        <v>324.82761580889445</v>
      </c>
      <c r="BJ13" s="1166"/>
      <c r="BK13" s="2706"/>
    </row>
    <row r="14" spans="1:76" s="2850" customFormat="1">
      <c r="B14" s="2851"/>
      <c r="C14" s="2852" t="s">
        <v>2141</v>
      </c>
      <c r="D14" s="2852" t="s">
        <v>113</v>
      </c>
      <c r="E14" s="178"/>
      <c r="F14" s="1184"/>
      <c r="G14" s="1184"/>
      <c r="H14" s="1188"/>
      <c r="I14" s="1188"/>
      <c r="J14" s="1188"/>
      <c r="K14" s="1188"/>
      <c r="L14" s="1188"/>
      <c r="M14" s="1188"/>
      <c r="N14" s="1188"/>
      <c r="O14" s="1188"/>
      <c r="P14" s="1188"/>
      <c r="Q14" s="1188"/>
      <c r="R14" s="1188"/>
      <c r="S14" s="1188"/>
      <c r="T14" s="1188"/>
      <c r="U14" s="1188"/>
      <c r="V14" s="1188"/>
      <c r="W14" s="1188"/>
      <c r="X14" s="1188"/>
      <c r="Y14" s="1188"/>
      <c r="Z14" s="1188"/>
      <c r="AA14" s="1188"/>
      <c r="AB14" s="1188"/>
      <c r="AC14" s="1188"/>
      <c r="AD14" s="1188"/>
      <c r="AE14" s="1188"/>
      <c r="AF14" s="1188"/>
      <c r="AG14" s="1188"/>
      <c r="AH14" s="1188"/>
      <c r="AI14" s="1188"/>
      <c r="AJ14" s="1188"/>
      <c r="AK14" s="1188"/>
      <c r="AL14" s="1188"/>
      <c r="AM14" s="1188"/>
      <c r="AN14" s="1188"/>
      <c r="AO14" s="1188"/>
      <c r="AP14" s="1188"/>
      <c r="AQ14" s="1188"/>
      <c r="AR14" s="1188"/>
      <c r="AS14" s="1188"/>
      <c r="AT14" s="1188"/>
      <c r="AU14" s="1188"/>
      <c r="AV14" s="1188"/>
      <c r="AW14" s="1188"/>
      <c r="AX14" s="166"/>
      <c r="AY14" s="2853">
        <f ca="1">SUM(AY11:AY13)</f>
        <v>847.87245783042817</v>
      </c>
      <c r="AZ14" s="2853"/>
      <c r="BA14" s="2853">
        <f t="shared" ref="BA14:BI14" ca="1" si="4">SUM(BA11:BA13)</f>
        <v>847.87245783042817</v>
      </c>
      <c r="BB14" s="2853">
        <f t="shared" ca="1" si="4"/>
        <v>1271.5143883773769</v>
      </c>
      <c r="BC14" s="2853">
        <f t="shared" ca="1" si="4"/>
        <v>1825.0955350386596</v>
      </c>
      <c r="BD14" s="2853">
        <f t="shared" ca="1" si="4"/>
        <v>2480.6673370869198</v>
      </c>
      <c r="BE14" s="2853">
        <f t="shared" ca="1" si="4"/>
        <v>3287.9336009840913</v>
      </c>
      <c r="BF14" s="2853">
        <f t="shared" ca="1" si="4"/>
        <v>4218.6218383343039</v>
      </c>
      <c r="BG14" s="2853">
        <f t="shared" ca="1" si="4"/>
        <v>5108.4150384369768</v>
      </c>
      <c r="BH14" s="2853">
        <f t="shared" ca="1" si="4"/>
        <v>6085.328423215672</v>
      </c>
      <c r="BI14" s="2853">
        <f t="shared" ca="1" si="4"/>
        <v>7070.8379754260286</v>
      </c>
      <c r="BJ14" s="2854"/>
      <c r="BK14" s="2856"/>
    </row>
    <row r="15" spans="1:76">
      <c r="B15" s="164"/>
      <c r="C15" s="166" t="s">
        <v>1528</v>
      </c>
      <c r="D15" s="1164" t="str">
        <f>INDEX(Vectors[Description], MATCH($C15, Vectors[Code], 0))</f>
        <v>Green Building Design &amp; Envelope Savings</v>
      </c>
      <c r="E15" s="166"/>
      <c r="F15" s="1184"/>
      <c r="G15" s="1184"/>
      <c r="H15" s="1188"/>
      <c r="I15" s="1188"/>
      <c r="J15" s="1188"/>
      <c r="K15" s="1188"/>
      <c r="L15" s="1188"/>
      <c r="M15" s="1188"/>
      <c r="N15" s="1188"/>
      <c r="O15" s="1188"/>
      <c r="P15" s="1188"/>
      <c r="Q15" s="1188"/>
      <c r="R15" s="1188"/>
      <c r="S15" s="1188"/>
      <c r="T15" s="1188"/>
      <c r="U15" s="1188"/>
      <c r="V15" s="1188"/>
      <c r="W15" s="1188"/>
      <c r="X15" s="1188"/>
      <c r="Y15" s="1188"/>
      <c r="Z15" s="1188"/>
      <c r="AA15" s="1188"/>
      <c r="AB15" s="1188"/>
      <c r="AC15" s="1188"/>
      <c r="AD15" s="1188"/>
      <c r="AE15" s="1188"/>
      <c r="AF15" s="1188"/>
      <c r="AG15" s="1188"/>
      <c r="AH15" s="1188"/>
      <c r="AI15" s="1188"/>
      <c r="AJ15" s="1188"/>
      <c r="AK15" s="1188"/>
      <c r="AL15" s="1188"/>
      <c r="AM15" s="1188"/>
      <c r="AN15" s="1188"/>
      <c r="AO15" s="1188"/>
      <c r="AP15" s="1188"/>
      <c r="AQ15" s="1188"/>
      <c r="AR15" s="1188"/>
      <c r="AS15" s="1188"/>
      <c r="AT15" s="1188"/>
      <c r="AU15" s="1188"/>
      <c r="AV15" s="1188"/>
      <c r="AW15" s="1188"/>
      <c r="AX15" s="166"/>
      <c r="AY15" s="267">
        <f t="shared" ca="1" si="2"/>
        <v>-1.8782351383851339E-2</v>
      </c>
      <c r="AZ15" s="267"/>
      <c r="BA15" s="267">
        <f t="shared" ca="1" si="2"/>
        <v>-1.8835814608099886E-2</v>
      </c>
      <c r="BB15" s="267">
        <f t="shared" ca="1" si="2"/>
        <v>-3.3534846536453375E-2</v>
      </c>
      <c r="BC15" s="267">
        <f t="shared" ca="1" si="2"/>
        <v>-6.0794893445987486E-2</v>
      </c>
      <c r="BD15" s="267">
        <f t="shared" ca="1" si="2"/>
        <v>-0.11024317342604743</v>
      </c>
      <c r="BE15" s="267">
        <f t="shared" ca="1" si="2"/>
        <v>-0.20356103070805628</v>
      </c>
      <c r="BF15" s="267">
        <f t="shared" ca="1" si="2"/>
        <v>-0.2702004695738901</v>
      </c>
      <c r="BG15" s="267">
        <f t="shared" ca="1" si="2"/>
        <v>-0.35871092809590743</v>
      </c>
      <c r="BH15" s="267">
        <f t="shared" ca="1" si="2"/>
        <v>-0.38321313705787546</v>
      </c>
      <c r="BI15" s="267">
        <f t="shared" ca="1" si="2"/>
        <v>-0.40944569733879987</v>
      </c>
      <c r="BJ15" s="1169"/>
      <c r="BK15" s="22"/>
      <c r="BM15" s="22"/>
      <c r="BN15" s="22"/>
    </row>
    <row r="16" spans="1:76" s="423" customFormat="1">
      <c r="B16" s="1179"/>
      <c r="C16" s="1180" t="s">
        <v>1218</v>
      </c>
      <c r="D16" s="2852" t="s">
        <v>106</v>
      </c>
      <c r="E16" s="178"/>
      <c r="F16" s="1184"/>
      <c r="G16" s="1184"/>
      <c r="H16" s="1188"/>
      <c r="I16" s="1188"/>
      <c r="J16" s="1188"/>
      <c r="K16" s="1188"/>
      <c r="L16" s="1188"/>
      <c r="M16" s="1188"/>
      <c r="N16" s="1188"/>
      <c r="O16" s="1188"/>
      <c r="P16" s="1188"/>
      <c r="Q16" s="1188"/>
      <c r="R16" s="1188"/>
      <c r="S16" s="1188"/>
      <c r="T16" s="1188"/>
      <c r="U16" s="1188"/>
      <c r="V16" s="1188"/>
      <c r="W16" s="1188"/>
      <c r="X16" s="1188"/>
      <c r="Y16" s="1188"/>
      <c r="Z16" s="1188"/>
      <c r="AA16" s="1188"/>
      <c r="AB16" s="1188"/>
      <c r="AC16" s="1188"/>
      <c r="AD16" s="1188"/>
      <c r="AE16" s="1188"/>
      <c r="AF16" s="1188"/>
      <c r="AG16" s="1188"/>
      <c r="AH16" s="1188"/>
      <c r="AI16" s="1188"/>
      <c r="AJ16" s="1188"/>
      <c r="AK16" s="1188"/>
      <c r="AL16" s="1188"/>
      <c r="AM16" s="1188"/>
      <c r="AN16" s="1188"/>
      <c r="AO16" s="1188"/>
      <c r="AP16" s="1188"/>
      <c r="AQ16" s="1188"/>
      <c r="AR16" s="1188"/>
      <c r="AS16" s="1188"/>
      <c r="AT16" s="1188"/>
      <c r="AU16" s="1188"/>
      <c r="AV16" s="1188"/>
      <c r="AW16" s="1188"/>
      <c r="AX16" s="166"/>
      <c r="AY16" s="2853">
        <f t="shared" ca="1" si="2"/>
        <v>177.82856075231598</v>
      </c>
      <c r="AZ16" s="2853"/>
      <c r="BA16" s="2853">
        <f t="shared" ca="1" si="2"/>
        <v>237.20689383625</v>
      </c>
      <c r="BB16" s="2853">
        <f t="shared" ca="1" si="2"/>
        <v>328.28524058963927</v>
      </c>
      <c r="BC16" s="2853">
        <f t="shared" ca="1" si="2"/>
        <v>453.51772092097099</v>
      </c>
      <c r="BD16" s="2853">
        <f t="shared" ca="1" si="2"/>
        <v>591.38499180914857</v>
      </c>
      <c r="BE16" s="2853">
        <f t="shared" ca="1" si="2"/>
        <v>750.10240185765565</v>
      </c>
      <c r="BF16" s="2853">
        <f t="shared" ca="1" si="2"/>
        <v>850.28842752484661</v>
      </c>
      <c r="BG16" s="2853">
        <f t="shared" ca="1" si="2"/>
        <v>969.30878318682096</v>
      </c>
      <c r="BH16" s="2853">
        <f t="shared" ca="1" si="2"/>
        <v>1047.8059052018175</v>
      </c>
      <c r="BI16" s="2853">
        <f t="shared" ca="1" si="2"/>
        <v>1134.4954568667354</v>
      </c>
      <c r="BJ16" s="1181"/>
      <c r="BK16" s="73"/>
    </row>
    <row r="17" spans="1:63" s="423" customFormat="1">
      <c r="B17" s="1179"/>
      <c r="C17" s="1180" t="s">
        <v>851</v>
      </c>
      <c r="D17" s="2852" t="s">
        <v>1078</v>
      </c>
      <c r="E17" s="178"/>
      <c r="F17" s="1184"/>
      <c r="G17" s="1184"/>
      <c r="H17" s="1188"/>
      <c r="I17" s="1188"/>
      <c r="J17" s="1188"/>
      <c r="K17" s="1188"/>
      <c r="L17" s="1188"/>
      <c r="M17" s="1188"/>
      <c r="N17" s="1188"/>
      <c r="O17" s="1188"/>
      <c r="P17" s="1188"/>
      <c r="Q17" s="1188"/>
      <c r="R17" s="1188"/>
      <c r="S17" s="1188"/>
      <c r="T17" s="1188"/>
      <c r="U17" s="1188"/>
      <c r="V17" s="1188"/>
      <c r="W17" s="1188"/>
      <c r="X17" s="1188"/>
      <c r="Y17" s="1188"/>
      <c r="Z17" s="1188"/>
      <c r="AA17" s="1188"/>
      <c r="AB17" s="1188"/>
      <c r="AC17" s="1188"/>
      <c r="AD17" s="1188"/>
      <c r="AE17" s="1188"/>
      <c r="AF17" s="1188"/>
      <c r="AG17" s="1188"/>
      <c r="AH17" s="1188"/>
      <c r="AI17" s="1188"/>
      <c r="AJ17" s="1188"/>
      <c r="AK17" s="1188"/>
      <c r="AL17" s="1188"/>
      <c r="AM17" s="1188"/>
      <c r="AN17" s="1188"/>
      <c r="AO17" s="1188"/>
      <c r="AP17" s="1188"/>
      <c r="AQ17" s="1188"/>
      <c r="AR17" s="1188"/>
      <c r="AS17" s="1188"/>
      <c r="AT17" s="1188"/>
      <c r="AU17" s="1188"/>
      <c r="AV17" s="1188"/>
      <c r="AW17" s="1188"/>
      <c r="AX17" s="166"/>
      <c r="AY17" s="2853">
        <f t="shared" ca="1" si="2"/>
        <v>13.886920800000002</v>
      </c>
      <c r="AZ17" s="2853"/>
      <c r="BA17" s="2853">
        <f t="shared" ca="1" si="2"/>
        <v>82.680180507719996</v>
      </c>
      <c r="BB17" s="2853">
        <f t="shared" ca="1" si="2"/>
        <v>99.664904892716379</v>
      </c>
      <c r="BC17" s="2853">
        <f t="shared" ca="1" si="2"/>
        <v>122.4937137883776</v>
      </c>
      <c r="BD17" s="2853">
        <f t="shared" ca="1" si="2"/>
        <v>159.42605002636802</v>
      </c>
      <c r="BE17" s="2853">
        <f t="shared" ca="1" si="2"/>
        <v>182.09914419246934</v>
      </c>
      <c r="BF17" s="2853">
        <f t="shared" ca="1" si="2"/>
        <v>192.06311941056913</v>
      </c>
      <c r="BG17" s="2853">
        <f t="shared" ca="1" si="2"/>
        <v>201.26218130858288</v>
      </c>
      <c r="BH17" s="2853">
        <f t="shared" ca="1" si="2"/>
        <v>236.97670613572353</v>
      </c>
      <c r="BI17" s="2853">
        <f t="shared" ca="1" si="2"/>
        <v>299.8511332140688</v>
      </c>
      <c r="BJ17" s="1181"/>
      <c r="BK17" s="73"/>
    </row>
    <row r="18" spans="1:63">
      <c r="B18" s="164"/>
      <c r="C18" s="1170" t="s">
        <v>1052</v>
      </c>
      <c r="D18" s="1164" t="s">
        <v>1946</v>
      </c>
      <c r="E18" s="166"/>
      <c r="F18" s="1184"/>
      <c r="G18" s="1184"/>
      <c r="H18" s="1188"/>
      <c r="I18" s="1188"/>
      <c r="J18" s="1188"/>
      <c r="K18" s="1188"/>
      <c r="L18" s="1188"/>
      <c r="M18" s="1188"/>
      <c r="N18" s="1188"/>
      <c r="O18" s="1188"/>
      <c r="P18" s="1188"/>
      <c r="Q18" s="1188"/>
      <c r="R18" s="1188"/>
      <c r="S18" s="1188"/>
      <c r="T18" s="1188"/>
      <c r="U18" s="1188"/>
      <c r="V18" s="1188"/>
      <c r="W18" s="1188"/>
      <c r="X18" s="1188"/>
      <c r="Y18" s="1188"/>
      <c r="Z18" s="1188"/>
      <c r="AA18" s="1188"/>
      <c r="AB18" s="1188"/>
      <c r="AC18" s="1188"/>
      <c r="AD18" s="1188"/>
      <c r="AE18" s="1188"/>
      <c r="AF18" s="1188"/>
      <c r="AG18" s="1188"/>
      <c r="AH18" s="1188"/>
      <c r="AI18" s="1188"/>
      <c r="AJ18" s="1188"/>
      <c r="AK18" s="1188"/>
      <c r="AL18" s="1188"/>
      <c r="AM18" s="1188"/>
      <c r="AN18" s="1188"/>
      <c r="AO18" s="1188"/>
      <c r="AP18" s="1188"/>
      <c r="AQ18" s="1188"/>
      <c r="AR18" s="1188"/>
      <c r="AS18" s="1188"/>
      <c r="AT18" s="1188"/>
      <c r="AU18" s="1188"/>
      <c r="AV18" s="1188"/>
      <c r="AW18" s="1188"/>
      <c r="AX18" s="166"/>
      <c r="AY18" s="267">
        <f t="shared" ca="1" si="2"/>
        <v>1045.8611113960574</v>
      </c>
      <c r="AZ18" s="267"/>
      <c r="BA18" s="267">
        <f t="shared" ca="1" si="2"/>
        <v>1153.7282449630281</v>
      </c>
      <c r="BB18" s="267">
        <f t="shared" ca="1" si="2"/>
        <v>1148.4989388784084</v>
      </c>
      <c r="BC18" s="267">
        <f t="shared" ca="1" si="2"/>
        <v>1155.9568110410034</v>
      </c>
      <c r="BD18" s="267">
        <f t="shared" ca="1" si="2"/>
        <v>1156.4277437769356</v>
      </c>
      <c r="BE18" s="267">
        <f t="shared" ca="1" si="2"/>
        <v>1145.5431763602155</v>
      </c>
      <c r="BF18" s="267">
        <f t="shared" ca="1" si="2"/>
        <v>1128.6766748639811</v>
      </c>
      <c r="BG18" s="267">
        <f t="shared" ca="1" si="2"/>
        <v>1099.7850738372154</v>
      </c>
      <c r="BH18" s="267">
        <f t="shared" ca="1" si="2"/>
        <v>1069.2095057928398</v>
      </c>
      <c r="BI18" s="267">
        <f t="shared" ca="1" si="2"/>
        <v>1079.9753438946816</v>
      </c>
      <c r="BJ18" s="1169"/>
      <c r="BK18" s="22"/>
    </row>
    <row r="19" spans="1:63">
      <c r="B19" s="164"/>
      <c r="C19" s="1170" t="s">
        <v>1090</v>
      </c>
      <c r="D19" s="1164" t="s">
        <v>878</v>
      </c>
      <c r="E19" s="166"/>
      <c r="F19" s="1184"/>
      <c r="G19" s="1184"/>
      <c r="H19" s="1188"/>
      <c r="I19" s="1188"/>
      <c r="J19" s="1188"/>
      <c r="K19" s="1188"/>
      <c r="L19" s="1188"/>
      <c r="M19" s="1188"/>
      <c r="N19" s="1188"/>
      <c r="O19" s="1188"/>
      <c r="P19" s="1188"/>
      <c r="Q19" s="1188"/>
      <c r="R19" s="1188"/>
      <c r="S19" s="1188"/>
      <c r="T19" s="1188"/>
      <c r="U19" s="1188"/>
      <c r="V19" s="1188"/>
      <c r="W19" s="1188"/>
      <c r="X19" s="1188"/>
      <c r="Y19" s="1188"/>
      <c r="Z19" s="1188"/>
      <c r="AA19" s="1188"/>
      <c r="AB19" s="1188"/>
      <c r="AC19" s="1188"/>
      <c r="AD19" s="1188"/>
      <c r="AE19" s="1188"/>
      <c r="AF19" s="1188"/>
      <c r="AG19" s="1188"/>
      <c r="AH19" s="1188"/>
      <c r="AI19" s="1188"/>
      <c r="AJ19" s="1188"/>
      <c r="AK19" s="1188"/>
      <c r="AL19" s="1188"/>
      <c r="AM19" s="1188"/>
      <c r="AN19" s="1188"/>
      <c r="AO19" s="1188"/>
      <c r="AP19" s="1188"/>
      <c r="AQ19" s="1188"/>
      <c r="AR19" s="1188"/>
      <c r="AS19" s="1188"/>
      <c r="AT19" s="1188"/>
      <c r="AU19" s="1188"/>
      <c r="AV19" s="1188"/>
      <c r="AW19" s="1188"/>
      <c r="AX19" s="166"/>
      <c r="AY19" s="267">
        <f t="shared" ca="1" si="2"/>
        <v>42.636687837081858</v>
      </c>
      <c r="AZ19" s="267"/>
      <c r="BA19" s="267">
        <f t="shared" ca="1" si="2"/>
        <v>64.767224585824962</v>
      </c>
      <c r="BB19" s="267">
        <f t="shared" ca="1" si="2"/>
        <v>96.64390987736526</v>
      </c>
      <c r="BC19" s="267">
        <f t="shared" ca="1" si="2"/>
        <v>143.41278923679616</v>
      </c>
      <c r="BD19" s="267">
        <f t="shared" ca="1" si="2"/>
        <v>210.74579320156334</v>
      </c>
      <c r="BE19" s="267">
        <f t="shared" ca="1" si="2"/>
        <v>308.34342741085425</v>
      </c>
      <c r="BF19" s="267">
        <f t="shared" ca="1" si="2"/>
        <v>412.63306124605418</v>
      </c>
      <c r="BG19" s="267">
        <f t="shared" ca="1" si="2"/>
        <v>552.19611672285725</v>
      </c>
      <c r="BH19" s="267">
        <f t="shared" ca="1" si="2"/>
        <v>738.96296724992294</v>
      </c>
      <c r="BI19" s="267">
        <f t="shared" ca="1" si="2"/>
        <v>988.89914367303845</v>
      </c>
      <c r="BJ19" s="1169"/>
      <c r="BK19" s="22"/>
    </row>
    <row r="20" spans="1:63" s="423" customFormat="1">
      <c r="B20" s="1179"/>
      <c r="C20" s="1180" t="s">
        <v>2142</v>
      </c>
      <c r="D20" s="2852" t="s">
        <v>1051</v>
      </c>
      <c r="E20" s="178"/>
      <c r="F20" s="1184"/>
      <c r="G20" s="1184"/>
      <c r="H20" s="1188"/>
      <c r="I20" s="1188"/>
      <c r="J20" s="1188"/>
      <c r="K20" s="1188"/>
      <c r="L20" s="1188"/>
      <c r="M20" s="1188"/>
      <c r="N20" s="1188"/>
      <c r="O20" s="1188"/>
      <c r="P20" s="1188"/>
      <c r="Q20" s="1188"/>
      <c r="R20" s="1188"/>
      <c r="S20" s="1188"/>
      <c r="T20" s="1188"/>
      <c r="U20" s="1188"/>
      <c r="V20" s="1188"/>
      <c r="W20" s="1188"/>
      <c r="X20" s="1188"/>
      <c r="Y20" s="1188"/>
      <c r="Z20" s="1188"/>
      <c r="AA20" s="1188"/>
      <c r="AB20" s="1188"/>
      <c r="AC20" s="1188"/>
      <c r="AD20" s="1188"/>
      <c r="AE20" s="1188"/>
      <c r="AF20" s="1188"/>
      <c r="AG20" s="1188"/>
      <c r="AH20" s="1188"/>
      <c r="AI20" s="1188"/>
      <c r="AJ20" s="1188"/>
      <c r="AK20" s="1188"/>
      <c r="AL20" s="1188"/>
      <c r="AM20" s="1188"/>
      <c r="AN20" s="1188"/>
      <c r="AO20" s="1188"/>
      <c r="AP20" s="1188"/>
      <c r="AQ20" s="1188"/>
      <c r="AR20" s="1188"/>
      <c r="AS20" s="1188"/>
      <c r="AT20" s="1188"/>
      <c r="AU20" s="1188"/>
      <c r="AV20" s="1188"/>
      <c r="AW20" s="1188"/>
      <c r="AX20" s="166"/>
      <c r="AY20" s="2853">
        <f ca="1">SUM(AY18:AY19)</f>
        <v>1088.4977992331392</v>
      </c>
      <c r="AZ20" s="2853"/>
      <c r="BA20" s="2853">
        <f t="shared" ref="BA20:BI20" ca="1" si="5">SUM(BA18:BA19)</f>
        <v>1218.4954695488532</v>
      </c>
      <c r="BB20" s="2853">
        <f t="shared" ca="1" si="5"/>
        <v>1245.1428487557737</v>
      </c>
      <c r="BC20" s="2853">
        <f t="shared" ca="1" si="5"/>
        <v>1299.3696002777997</v>
      </c>
      <c r="BD20" s="2853">
        <f t="shared" ca="1" si="5"/>
        <v>1367.173536978499</v>
      </c>
      <c r="BE20" s="2853">
        <f t="shared" ca="1" si="5"/>
        <v>1453.8866037710698</v>
      </c>
      <c r="BF20" s="2853">
        <f t="shared" ca="1" si="5"/>
        <v>1541.3097361100354</v>
      </c>
      <c r="BG20" s="2853">
        <f t="shared" ca="1" si="5"/>
        <v>1651.9811905600727</v>
      </c>
      <c r="BH20" s="2853">
        <f t="shared" ca="1" si="5"/>
        <v>1808.1724730427627</v>
      </c>
      <c r="BI20" s="2853">
        <f t="shared" ca="1" si="5"/>
        <v>2068.8744875677203</v>
      </c>
      <c r="BJ20" s="1181"/>
      <c r="BK20" s="73"/>
    </row>
    <row r="21" spans="1:63" s="859" customFormat="1" ht="18">
      <c r="A21" s="3061"/>
      <c r="B21" s="1172"/>
      <c r="C21" s="1173"/>
      <c r="D21" s="1174" t="s">
        <v>2144</v>
      </c>
      <c r="E21" s="166"/>
      <c r="F21" s="1184"/>
      <c r="G21" s="1184"/>
      <c r="H21" s="1188"/>
      <c r="I21" s="1188"/>
      <c r="J21" s="1188"/>
      <c r="K21" s="1188"/>
      <c r="L21" s="1188"/>
      <c r="M21" s="1188"/>
      <c r="N21" s="1188"/>
      <c r="O21" s="1188"/>
      <c r="P21" s="1188"/>
      <c r="Q21" s="1188"/>
      <c r="R21" s="1188"/>
      <c r="S21" s="1188"/>
      <c r="T21" s="1188"/>
      <c r="U21" s="1188"/>
      <c r="V21" s="1188"/>
      <c r="W21" s="1188"/>
      <c r="X21" s="1188"/>
      <c r="Y21" s="1188"/>
      <c r="Z21" s="1188"/>
      <c r="AA21" s="1188"/>
      <c r="AB21" s="1188"/>
      <c r="AC21" s="1188"/>
      <c r="AD21" s="1188"/>
      <c r="AE21" s="1188"/>
      <c r="AF21" s="1188"/>
      <c r="AG21" s="1188"/>
      <c r="AH21" s="1188"/>
      <c r="AI21" s="1188"/>
      <c r="AJ21" s="1188"/>
      <c r="AK21" s="1188"/>
      <c r="AL21" s="1188"/>
      <c r="AM21" s="1188"/>
      <c r="AN21" s="1188"/>
      <c r="AO21" s="1188"/>
      <c r="AP21" s="1188"/>
      <c r="AQ21" s="1188"/>
      <c r="AR21" s="1188"/>
      <c r="AS21" s="1188"/>
      <c r="AT21" s="1188"/>
      <c r="AU21" s="1188"/>
      <c r="AV21" s="1188"/>
      <c r="AW21" s="1188"/>
      <c r="AX21" s="166"/>
      <c r="AY21" s="2858">
        <f ca="1">SUM(AY9,AY10,AY14,AY16,AY17,AY20)</f>
        <v>3938.870702431258</v>
      </c>
      <c r="AZ21" s="2858"/>
      <c r="BA21" s="2858">
        <f t="shared" ref="BA21:BI21" ca="1" si="6">SUM(BA9,BA10,BA14,BA16,BA17,BA20)</f>
        <v>4904.5677325703546</v>
      </c>
      <c r="BB21" s="2858">
        <f t="shared" ca="1" si="6"/>
        <v>6548.1457293668154</v>
      </c>
      <c r="BC21" s="2858">
        <f t="shared" ca="1" si="6"/>
        <v>8682.9841023907975</v>
      </c>
      <c r="BD21" s="2858">
        <f t="shared" ca="1" si="6"/>
        <v>11209.116969724815</v>
      </c>
      <c r="BE21" s="2858">
        <f t="shared" ca="1" si="6"/>
        <v>14238.605478599175</v>
      </c>
      <c r="BF21" s="2858">
        <f t="shared" ca="1" si="6"/>
        <v>17350.063285247772</v>
      </c>
      <c r="BG21" s="2858">
        <f t="shared" ca="1" si="6"/>
        <v>20544.551565330505</v>
      </c>
      <c r="BH21" s="2858">
        <f t="shared" ca="1" si="6"/>
        <v>23679.361325251186</v>
      </c>
      <c r="BI21" s="2858">
        <f t="shared" ca="1" si="6"/>
        <v>27071.520924120727</v>
      </c>
      <c r="BJ21" s="1177"/>
      <c r="BK21" s="2707"/>
    </row>
    <row r="22" spans="1:63" s="3062" customFormat="1">
      <c r="B22" s="3068" t="s">
        <v>2366</v>
      </c>
      <c r="C22" s="3063"/>
      <c r="D22" s="3064" t="s">
        <v>2143</v>
      </c>
      <c r="E22" s="3065"/>
      <c r="F22" s="1184"/>
      <c r="G22" s="1184"/>
      <c r="H22" s="1188"/>
      <c r="I22" s="1188"/>
      <c r="J22" s="1188"/>
      <c r="K22" s="1188"/>
      <c r="L22" s="1188"/>
      <c r="M22" s="1188"/>
      <c r="N22" s="1188"/>
      <c r="O22" s="1188"/>
      <c r="P22" s="1188"/>
      <c r="Q22" s="1188"/>
      <c r="R22" s="1188"/>
      <c r="S22" s="1188"/>
      <c r="T22" s="1188"/>
      <c r="U22" s="1188"/>
      <c r="V22" s="1188"/>
      <c r="W22" s="1188"/>
      <c r="X22" s="1188"/>
      <c r="Y22" s="1188"/>
      <c r="Z22" s="1188"/>
      <c r="AA22" s="1188"/>
      <c r="AB22" s="1188"/>
      <c r="AC22" s="1188"/>
      <c r="AD22" s="1188"/>
      <c r="AE22" s="1188"/>
      <c r="AF22" s="1188"/>
      <c r="AG22" s="1188"/>
      <c r="AH22" s="1188"/>
      <c r="AI22" s="1188"/>
      <c r="AJ22" s="1188"/>
      <c r="AK22" s="1188"/>
      <c r="AL22" s="1188"/>
      <c r="AM22" s="1188"/>
      <c r="AN22" s="1188"/>
      <c r="AO22" s="1188"/>
      <c r="AP22" s="1188"/>
      <c r="AQ22" s="1188"/>
      <c r="AR22" s="1188"/>
      <c r="AS22" s="1188"/>
      <c r="AT22" s="1188"/>
      <c r="AU22" s="1188"/>
      <c r="AV22" s="1188"/>
      <c r="AW22" s="1188"/>
      <c r="AX22" s="166"/>
      <c r="AY22" s="3151">
        <v>3938.870702431258</v>
      </c>
      <c r="AZ22" s="3151"/>
      <c r="BA22" s="3151">
        <v>4868.1772880626359</v>
      </c>
      <c r="BB22" s="3151">
        <v>6504.8091099427747</v>
      </c>
      <c r="BC22" s="3151">
        <v>8643.3680839445606</v>
      </c>
      <c r="BD22" s="3151">
        <v>11195.232592127055</v>
      </c>
      <c r="BE22" s="3151">
        <v>14288.325622795021</v>
      </c>
      <c r="BF22" s="3151">
        <v>17496.300880645067</v>
      </c>
      <c r="BG22" s="3151">
        <v>20783.703320373068</v>
      </c>
      <c r="BH22" s="3151">
        <v>24015.916656305515</v>
      </c>
      <c r="BI22" s="3151">
        <v>27635.26137277401</v>
      </c>
      <c r="BJ22" s="3066"/>
      <c r="BK22" s="3067"/>
    </row>
    <row r="23" spans="1:63" s="37" customFormat="1">
      <c r="B23" s="1182"/>
      <c r="C23" s="1183"/>
      <c r="D23" s="1184"/>
      <c r="E23" s="166"/>
      <c r="F23" s="1184"/>
      <c r="G23" s="1184"/>
      <c r="H23" s="1188"/>
      <c r="I23" s="1188"/>
      <c r="J23" s="1188"/>
      <c r="K23" s="1188"/>
      <c r="L23" s="1188"/>
      <c r="M23" s="1188"/>
      <c r="N23" s="1188"/>
      <c r="O23" s="1188"/>
      <c r="P23" s="1188"/>
      <c r="Q23" s="1188"/>
      <c r="R23" s="1188"/>
      <c r="S23" s="1188"/>
      <c r="T23" s="1188"/>
      <c r="U23" s="1188"/>
      <c r="V23" s="1188"/>
      <c r="W23" s="1188"/>
      <c r="X23" s="1188"/>
      <c r="Y23" s="1188"/>
      <c r="Z23" s="1188"/>
      <c r="AA23" s="1188"/>
      <c r="AB23" s="1188"/>
      <c r="AC23" s="1188"/>
      <c r="AD23" s="1188"/>
      <c r="AE23" s="1188"/>
      <c r="AF23" s="1188"/>
      <c r="AG23" s="1188"/>
      <c r="AH23" s="1188"/>
      <c r="AI23" s="1188"/>
      <c r="AJ23" s="1188"/>
      <c r="AK23" s="1188"/>
      <c r="AL23" s="1188"/>
      <c r="AM23" s="1188"/>
      <c r="AN23" s="1188"/>
      <c r="AO23" s="1188"/>
      <c r="AP23" s="1188"/>
      <c r="AQ23" s="1188"/>
      <c r="AR23" s="1188"/>
      <c r="AS23" s="1188"/>
      <c r="AT23" s="1188"/>
      <c r="AU23" s="1188"/>
      <c r="AV23" s="1188"/>
      <c r="AW23" s="1188"/>
      <c r="AX23" s="166">
        <f>unit.bcm</f>
        <v>9.4275000000000002</v>
      </c>
      <c r="AY23" s="1185"/>
      <c r="AZ23" s="1185"/>
      <c r="BA23" s="1185"/>
      <c r="BB23" s="1185"/>
      <c r="BC23" s="1185"/>
      <c r="BD23" s="1185"/>
      <c r="BE23" s="1185"/>
      <c r="BF23" s="1185"/>
      <c r="BG23" s="1185"/>
      <c r="BH23" s="1185"/>
      <c r="BI23" s="1185"/>
      <c r="BJ23" s="1186"/>
      <c r="BK23" s="141"/>
    </row>
    <row r="24" spans="1:63">
      <c r="B24" s="164"/>
      <c r="C24" s="1170"/>
      <c r="D24" s="166"/>
      <c r="E24" s="166"/>
      <c r="F24" s="1184"/>
      <c r="G24" s="1184"/>
      <c r="H24" s="1188"/>
      <c r="I24" s="1188"/>
      <c r="J24" s="1188"/>
      <c r="K24" s="1188"/>
      <c r="L24" s="1188"/>
      <c r="M24" s="1188"/>
      <c r="N24" s="1188"/>
      <c r="O24" s="1188"/>
      <c r="P24" s="1188"/>
      <c r="Q24" s="1188"/>
      <c r="R24" s="1188"/>
      <c r="S24" s="1188"/>
      <c r="T24" s="1188"/>
      <c r="U24" s="1188"/>
      <c r="V24" s="1188"/>
      <c r="W24" s="1188"/>
      <c r="X24" s="1188"/>
      <c r="Y24" s="1188"/>
      <c r="Z24" s="1188"/>
      <c r="AA24" s="1188"/>
      <c r="AB24" s="1188"/>
      <c r="AC24" s="1188"/>
      <c r="AD24" s="1188"/>
      <c r="AE24" s="1188"/>
      <c r="AF24" s="1188"/>
      <c r="AG24" s="1188"/>
      <c r="AH24" s="1188"/>
      <c r="AI24" s="1188"/>
      <c r="AJ24" s="1188"/>
      <c r="AK24" s="1188"/>
      <c r="AL24" s="1188"/>
      <c r="AM24" s="1188"/>
      <c r="AN24" s="1188"/>
      <c r="AO24" s="1188"/>
      <c r="AP24" s="1188"/>
      <c r="AQ24" s="1188"/>
      <c r="AR24" s="1188"/>
      <c r="AS24" s="1188"/>
      <c r="AT24" s="1188"/>
      <c r="AU24" s="1188"/>
      <c r="AV24" s="1188"/>
      <c r="AW24" s="1188"/>
      <c r="AX24" s="166"/>
      <c r="AY24" s="1168"/>
      <c r="AZ24" s="1168"/>
      <c r="BA24" s="3087"/>
      <c r="BB24" s="1168"/>
      <c r="BC24" s="1168"/>
      <c r="BD24" s="1168"/>
      <c r="BE24" s="1168"/>
      <c r="BF24" s="1168"/>
      <c r="BG24" s="1168"/>
      <c r="BH24" s="1168"/>
      <c r="BI24" s="1168"/>
      <c r="BJ24" s="1169"/>
      <c r="BK24" s="22"/>
    </row>
    <row r="25" spans="1:63" s="410" customFormat="1">
      <c r="B25" s="1162"/>
      <c r="C25" s="1163" t="s">
        <v>1129</v>
      </c>
      <c r="D25" s="1164"/>
      <c r="E25" s="166"/>
      <c r="F25" s="1184"/>
      <c r="G25" s="1184"/>
      <c r="H25" s="1188"/>
      <c r="I25" s="1188"/>
      <c r="J25" s="1188"/>
      <c r="K25" s="1188"/>
      <c r="L25" s="1188"/>
      <c r="M25" s="1188"/>
      <c r="N25" s="1188"/>
      <c r="O25" s="1188"/>
      <c r="P25" s="1188"/>
      <c r="Q25" s="1188"/>
      <c r="R25" s="1188"/>
      <c r="S25" s="1188"/>
      <c r="T25" s="1188"/>
      <c r="U25" s="1188"/>
      <c r="V25" s="1188"/>
      <c r="W25" s="1188"/>
      <c r="X25" s="1188"/>
      <c r="Y25" s="1188"/>
      <c r="Z25" s="1188"/>
      <c r="AA25" s="1188"/>
      <c r="AB25" s="1188"/>
      <c r="AC25" s="1188"/>
      <c r="AD25" s="1188"/>
      <c r="AE25" s="1188"/>
      <c r="AF25" s="1188"/>
      <c r="AG25" s="1188"/>
      <c r="AH25" s="1188"/>
      <c r="AI25" s="1188"/>
      <c r="AJ25" s="1188"/>
      <c r="AK25" s="1188"/>
      <c r="AL25" s="1188"/>
      <c r="AM25" s="1188"/>
      <c r="AN25" s="1188"/>
      <c r="AO25" s="1188"/>
      <c r="AP25" s="1188"/>
      <c r="AQ25" s="1188"/>
      <c r="AR25" s="1188"/>
      <c r="AS25" s="1188"/>
      <c r="AT25" s="1188"/>
      <c r="AU25" s="1188"/>
      <c r="AV25" s="1188"/>
      <c r="AW25" s="1188"/>
      <c r="AX25" s="166"/>
      <c r="AY25" s="267"/>
      <c r="AZ25" s="267"/>
      <c r="BA25" s="267"/>
      <c r="BB25" s="267"/>
      <c r="BC25" s="267"/>
      <c r="BD25" s="267"/>
      <c r="BE25" s="267"/>
      <c r="BF25" s="267"/>
      <c r="BG25" s="267"/>
      <c r="BH25" s="267"/>
      <c r="BI25" s="267"/>
      <c r="BJ25" s="1166"/>
      <c r="BK25" s="1167"/>
    </row>
    <row r="26" spans="1:63" s="410" customFormat="1">
      <c r="B26" s="1162"/>
      <c r="C26" s="1187" t="s">
        <v>7</v>
      </c>
      <c r="D26" s="1164" t="str">
        <f>INDEX(Vectors[Description], MATCH($C26, Vectors[Code], 0))</f>
        <v>Nuclear fission</v>
      </c>
      <c r="E26" s="166"/>
      <c r="F26" s="1184"/>
      <c r="G26" s="1184"/>
      <c r="H26" s="1188"/>
      <c r="I26" s="1188"/>
      <c r="J26" s="1188"/>
      <c r="K26" s="1188"/>
      <c r="L26" s="1188"/>
      <c r="M26" s="1188"/>
      <c r="N26" s="1188"/>
      <c r="O26" s="1188"/>
      <c r="P26" s="1188"/>
      <c r="Q26" s="1188"/>
      <c r="R26" s="1188"/>
      <c r="S26" s="1188"/>
      <c r="T26" s="1188"/>
      <c r="U26" s="1188"/>
      <c r="V26" s="1188"/>
      <c r="W26" s="1188"/>
      <c r="X26" s="1188"/>
      <c r="Y26" s="1188"/>
      <c r="Z26" s="1188"/>
      <c r="AA26" s="1188"/>
      <c r="AB26" s="1188"/>
      <c r="AC26" s="1188"/>
      <c r="AD26" s="1188"/>
      <c r="AE26" s="1188"/>
      <c r="AF26" s="1188"/>
      <c r="AG26" s="1188"/>
      <c r="AH26" s="1188"/>
      <c r="AI26" s="1188"/>
      <c r="AJ26" s="1188"/>
      <c r="AK26" s="1188"/>
      <c r="AL26" s="1188"/>
      <c r="AM26" s="1188"/>
      <c r="AN26" s="1188"/>
      <c r="AO26" s="1188"/>
      <c r="AP26" s="1188"/>
      <c r="AQ26" s="1188"/>
      <c r="AR26" s="1188"/>
      <c r="AS26" s="1188"/>
      <c r="AT26" s="1188"/>
      <c r="AU26" s="1188"/>
      <c r="AV26" s="1188"/>
      <c r="AW26" s="1188"/>
      <c r="AX26" s="166"/>
      <c r="AY26" s="2861">
        <f ca="1">-INDEX(INDIRECT("'"&amp;AY$4&amp;"'!Year.NetBalance"), MATCH('Oil Story'!$C26, INDIRECT("'"&amp;AY$4&amp;"'!Year.Vectors"), 0))</f>
        <v>80.94774857142859</v>
      </c>
      <c r="AZ26" s="2861"/>
      <c r="BA26" s="2861">
        <f ca="1">-INDEX(INDIRECT("'"&amp;BA$4&amp;"'!Year.NetBalance"), MATCH('Oil Story'!$C26, INDIRECT("'"&amp;BA$4&amp;"'!Year.Vectors"), 0))</f>
        <v>93.771154285714289</v>
      </c>
      <c r="BB26" s="2861">
        <f ca="1">-INDEX(INDIRECT("'"&amp;BB$4&amp;"'!Year.NetBalance"), MATCH('Oil Story'!$C26, INDIRECT("'"&amp;BB$4&amp;"'!Year.Vectors"), 0))</f>
        <v>199.9649828571429</v>
      </c>
      <c r="BC26" s="2861">
        <f ca="1">-INDEX(INDIRECT("'"&amp;BC$4&amp;"'!Year.NetBalance"), MATCH('Oil Story'!$C26, INDIRECT("'"&amp;BC$4&amp;"'!Year.Vectors"), 0))</f>
        <v>193.55328000000003</v>
      </c>
      <c r="BD26" s="2861">
        <f ca="1">-INDEX(INDIRECT("'"&amp;BD$4&amp;"'!Year.NetBalance"), MATCH('Oil Story'!$C26, INDIRECT("'"&amp;BD$4&amp;"'!Year.Vectors"), 0))</f>
        <v>193.55328000000003</v>
      </c>
      <c r="BE26" s="2861">
        <f ca="1">-INDEX(INDIRECT("'"&amp;BE$4&amp;"'!Year.NetBalance"), MATCH('Oil Story'!$C26, INDIRECT("'"&amp;BE$4&amp;"'!Year.Vectors"), 0))</f>
        <v>189.54596571428576</v>
      </c>
      <c r="BF26" s="2861">
        <f ca="1">-INDEX(INDIRECT("'"&amp;BF$4&amp;"'!Year.NetBalance"), MATCH('Oil Story'!$C26, INDIRECT("'"&amp;BF$4&amp;"'!Year.Vectors"), 0))</f>
        <v>180.72987428571432</v>
      </c>
      <c r="BG26" s="2861">
        <f ca="1">-INDEX(INDIRECT("'"&amp;BG$4&amp;"'!Year.NetBalance"), MATCH('Oil Story'!$C26, INDIRECT("'"&amp;BG$4&amp;"'!Year.Vectors"), 0))</f>
        <v>176.3218285714286</v>
      </c>
      <c r="BH26" s="2861">
        <f ca="1">-INDEX(INDIRECT("'"&amp;BH$4&amp;"'!Year.NetBalance"), MATCH('Oil Story'!$C26, INDIRECT("'"&amp;BH$4&amp;"'!Year.Vectors"), 0))</f>
        <v>167.50573714285716</v>
      </c>
      <c r="BI26" s="2861">
        <f ca="1">-INDEX(INDIRECT("'"&amp;BI$4&amp;"'!Year.NetBalance"), MATCH('Oil Story'!$C26, INDIRECT("'"&amp;BI$4&amp;"'!Year.Vectors"), 0))</f>
        <v>167.50573714285716</v>
      </c>
      <c r="BJ26" s="1166"/>
      <c r="BK26" s="1021"/>
    </row>
    <row r="27" spans="1:63" s="410" customFormat="1">
      <c r="B27" s="1162"/>
      <c r="C27" s="1187" t="s">
        <v>24</v>
      </c>
      <c r="D27" s="1164" t="str">
        <f>INDEX(Vectors[Description], MATCH($C27, Vectors[Code], 0))</f>
        <v>Solar</v>
      </c>
      <c r="E27" s="166"/>
      <c r="F27" s="1184"/>
      <c r="G27" s="1184"/>
      <c r="H27" s="1188"/>
      <c r="I27" s="1188"/>
      <c r="J27" s="1188"/>
      <c r="K27" s="1188"/>
      <c r="L27" s="1188"/>
      <c r="M27" s="1188"/>
      <c r="N27" s="1188"/>
      <c r="O27" s="1188"/>
      <c r="P27" s="1188"/>
      <c r="Q27" s="1188"/>
      <c r="R27" s="1188"/>
      <c r="S27" s="1188"/>
      <c r="T27" s="1188"/>
      <c r="U27" s="1188"/>
      <c r="V27" s="1188"/>
      <c r="W27" s="1188"/>
      <c r="X27" s="1188"/>
      <c r="Y27" s="1188"/>
      <c r="Z27" s="1188"/>
      <c r="AA27" s="1188"/>
      <c r="AB27" s="1188"/>
      <c r="AC27" s="1188"/>
      <c r="AD27" s="1188"/>
      <c r="AE27" s="1188"/>
      <c r="AF27" s="1188"/>
      <c r="AG27" s="1188"/>
      <c r="AH27" s="1188"/>
      <c r="AI27" s="1188"/>
      <c r="AJ27" s="1188"/>
      <c r="AK27" s="1188"/>
      <c r="AL27" s="1188"/>
      <c r="AM27" s="1188"/>
      <c r="AN27" s="1188"/>
      <c r="AO27" s="1188"/>
      <c r="AP27" s="1188"/>
      <c r="AQ27" s="1188"/>
      <c r="AR27" s="1188"/>
      <c r="AS27" s="1188"/>
      <c r="AT27" s="1188"/>
      <c r="AU27" s="1188"/>
      <c r="AV27" s="1188"/>
      <c r="AW27" s="1188"/>
      <c r="AX27" s="166"/>
      <c r="AY27" s="2861">
        <f ca="1">-INDEX(INDIRECT("'"&amp;AY$4&amp;"'!Year.NetBalance"), MATCH('Oil Story'!$C27, INDIRECT("'"&amp;AY$4&amp;"'!Year.Vectors"), 0))</f>
        <v>0</v>
      </c>
      <c r="AZ27" s="2861"/>
      <c r="BA27" s="2861">
        <f ca="1">-INDEX(INDIRECT("'"&amp;BA$4&amp;"'!Year.NetBalance"), MATCH('Oil Story'!$C27, INDIRECT("'"&amp;BA$4&amp;"'!Year.Vectors"), 0))</f>
        <v>1.56727314</v>
      </c>
      <c r="BB27" s="2861">
        <f ca="1">-INDEX(INDIRECT("'"&amp;BB$4&amp;"'!Year.NetBalance"), MATCH('Oil Story'!$C27, INDIRECT("'"&amp;BB$4&amp;"'!Year.Vectors"), 0))</f>
        <v>10.99938034075161</v>
      </c>
      <c r="BC27" s="2861">
        <f ca="1">-INDEX(INDIRECT("'"&amp;BC$4&amp;"'!Year.NetBalance"), MATCH('Oil Story'!$C27, INDIRECT("'"&amp;BC$4&amp;"'!Year.Vectors"), 0))</f>
        <v>27.366299513783936</v>
      </c>
      <c r="BD27" s="2861">
        <f ca="1">-INDEX(INDIRECT("'"&amp;BD$4&amp;"'!Year.NetBalance"), MATCH('Oil Story'!$C27, INDIRECT("'"&amp;BD$4&amp;"'!Year.Vectors"), 0))</f>
        <v>49.233277769900653</v>
      </c>
      <c r="BE27" s="2861">
        <f ca="1">-INDEX(INDIRECT("'"&amp;BE$4&amp;"'!Year.NetBalance"), MATCH('Oil Story'!$C27, INDIRECT("'"&amp;BE$4&amp;"'!Year.Vectors"), 0))</f>
        <v>74.393168287263421</v>
      </c>
      <c r="BF27" s="2861">
        <f ca="1">-INDEX(INDIRECT("'"&amp;BF$4&amp;"'!Year.NetBalance"), MATCH('Oil Story'!$C27, INDIRECT("'"&amp;BF$4&amp;"'!Year.Vectors"), 0))</f>
        <v>96.634101460999375</v>
      </c>
      <c r="BG27" s="2861">
        <f ca="1">-INDEX(INDIRECT("'"&amp;BG$4&amp;"'!Year.NetBalance"), MATCH('Oil Story'!$C27, INDIRECT("'"&amp;BG$4&amp;"'!Year.Vectors"), 0))</f>
        <v>108.73461587841729</v>
      </c>
      <c r="BH27" s="2861">
        <f ca="1">-INDEX(INDIRECT("'"&amp;BH$4&amp;"'!Year.NetBalance"), MATCH('Oil Story'!$C27, INDIRECT("'"&amp;BH$4&amp;"'!Year.Vectors"), 0))</f>
        <v>106.76952554064533</v>
      </c>
      <c r="BI27" s="2861">
        <f ca="1">-INDEX(INDIRECT("'"&amp;BI$4&amp;"'!Year.NetBalance"), MATCH('Oil Story'!$C27, INDIRECT("'"&amp;BI$4&amp;"'!Year.Vectors"), 0))</f>
        <v>93.110973518033461</v>
      </c>
      <c r="BJ27" s="1166"/>
      <c r="BK27" s="1021"/>
    </row>
    <row r="28" spans="1:63" s="410" customFormat="1">
      <c r="B28" s="1162"/>
      <c r="C28" s="1187" t="s">
        <v>8</v>
      </c>
      <c r="D28" s="1164" t="str">
        <f>INDEX(Vectors[Description], MATCH($C28, Vectors[Code], 0))</f>
        <v>Wind</v>
      </c>
      <c r="E28" s="166"/>
      <c r="F28" s="1184"/>
      <c r="G28" s="1184"/>
      <c r="H28" s="1188"/>
      <c r="I28" s="1188"/>
      <c r="J28" s="1188"/>
      <c r="K28" s="1188"/>
      <c r="L28" s="1188"/>
      <c r="M28" s="1188"/>
      <c r="N28" s="1188"/>
      <c r="O28" s="1188"/>
      <c r="P28" s="1188"/>
      <c r="Q28" s="1188"/>
      <c r="R28" s="1188"/>
      <c r="S28" s="1188"/>
      <c r="T28" s="1188"/>
      <c r="U28" s="1188"/>
      <c r="V28" s="1188"/>
      <c r="W28" s="1188"/>
      <c r="X28" s="1188"/>
      <c r="Y28" s="1188"/>
      <c r="Z28" s="1188"/>
      <c r="AA28" s="1188"/>
      <c r="AB28" s="1188"/>
      <c r="AC28" s="1188"/>
      <c r="AD28" s="1188"/>
      <c r="AE28" s="1188"/>
      <c r="AF28" s="1188"/>
      <c r="AG28" s="1188"/>
      <c r="AH28" s="1188"/>
      <c r="AI28" s="1188"/>
      <c r="AJ28" s="1188"/>
      <c r="AK28" s="1188"/>
      <c r="AL28" s="1188"/>
      <c r="AM28" s="1188"/>
      <c r="AN28" s="1188"/>
      <c r="AO28" s="1188"/>
      <c r="AP28" s="1188"/>
      <c r="AQ28" s="1188"/>
      <c r="AR28" s="1188"/>
      <c r="AS28" s="1188"/>
      <c r="AT28" s="1188"/>
      <c r="AU28" s="1188"/>
      <c r="AV28" s="1188"/>
      <c r="AW28" s="1188"/>
      <c r="AX28" s="166"/>
      <c r="AY28" s="2861">
        <f ca="1">-INDEX(INDIRECT("'"&amp;AY$4&amp;"'!Year.NetBalance"), MATCH('Oil Story'!$C28, INDIRECT("'"&amp;AY$4&amp;"'!Year.Vectors"), 0))</f>
        <v>12.437183268</v>
      </c>
      <c r="AZ28" s="2861"/>
      <c r="BA28" s="2861">
        <f ca="1">-INDEX(INDIRECT("'"&amp;BA$4&amp;"'!Year.NetBalance"), MATCH('Oil Story'!$C28, INDIRECT("'"&amp;BA$4&amp;"'!Year.Vectors"), 0))</f>
        <v>18.722249233199999</v>
      </c>
      <c r="BB28" s="2861">
        <f ca="1">-INDEX(INDIRECT("'"&amp;BB$4&amp;"'!Year.NetBalance"), MATCH('Oil Story'!$C28, INDIRECT("'"&amp;BB$4&amp;"'!Year.Vectors"), 0))</f>
        <v>36.604889233199998</v>
      </c>
      <c r="BC28" s="2861">
        <f ca="1">-INDEX(INDIRECT("'"&amp;BC$4&amp;"'!Year.NetBalance"), MATCH('Oil Story'!$C28, INDIRECT("'"&amp;BC$4&amp;"'!Year.Vectors"), 0))</f>
        <v>59.966279233199998</v>
      </c>
      <c r="BD28" s="2861">
        <f ca="1">-INDEX(INDIRECT("'"&amp;BD$4&amp;"'!Year.NetBalance"), MATCH('Oil Story'!$C28, INDIRECT("'"&amp;BD$4&amp;"'!Year.Vectors"), 0))</f>
        <v>84.335759233199994</v>
      </c>
      <c r="BE28" s="2861">
        <f ca="1">-INDEX(INDIRECT("'"&amp;BE$4&amp;"'!Year.NetBalance"), MATCH('Oil Story'!$C28, INDIRECT("'"&amp;BE$4&amp;"'!Year.Vectors"), 0))</f>
        <v>115.49888923319999</v>
      </c>
      <c r="BF28" s="2861">
        <f ca="1">-INDEX(INDIRECT("'"&amp;BF$4&amp;"'!Year.NetBalance"), MATCH('Oil Story'!$C28, INDIRECT("'"&amp;BF$4&amp;"'!Year.Vectors"), 0))</f>
        <v>136.98612596519999</v>
      </c>
      <c r="BG28" s="2861">
        <f ca="1">-INDEX(INDIRECT("'"&amp;BG$4&amp;"'!Year.NetBalance"), MATCH('Oil Story'!$C28, INDIRECT("'"&amp;BG$4&amp;"'!Year.Vectors"), 0))</f>
        <v>151.03817999999998</v>
      </c>
      <c r="BH28" s="2861">
        <f ca="1">-INDEX(INDIRECT("'"&amp;BH$4&amp;"'!Year.NetBalance"), MATCH('Oil Story'!$C28, INDIRECT("'"&amp;BH$4&amp;"'!Year.Vectors"), 0))</f>
        <v>161.16290999999998</v>
      </c>
      <c r="BI28" s="2861">
        <f ca="1">-INDEX(INDIRECT("'"&amp;BI$4&amp;"'!Year.NetBalance"), MATCH('Oil Story'!$C28, INDIRECT("'"&amp;BI$4&amp;"'!Year.Vectors"), 0))</f>
        <v>161.95184999999998</v>
      </c>
      <c r="BJ28" s="1166"/>
      <c r="BK28" s="1021"/>
    </row>
    <row r="29" spans="1:63" s="410" customFormat="1">
      <c r="B29" s="1162"/>
      <c r="C29" s="1187" t="s">
        <v>9</v>
      </c>
      <c r="D29" s="1164" t="str">
        <f>INDEX(Vectors[Description], MATCH($C29, Vectors[Code], 0))</f>
        <v>Tidal</v>
      </c>
      <c r="E29" s="166"/>
      <c r="F29" s="1184"/>
      <c r="G29" s="1184"/>
      <c r="H29" s="1188"/>
      <c r="I29" s="1188"/>
      <c r="J29" s="1188"/>
      <c r="K29" s="1188"/>
      <c r="L29" s="1188"/>
      <c r="M29" s="1188"/>
      <c r="N29" s="1188"/>
      <c r="O29" s="1188"/>
      <c r="P29" s="1188"/>
      <c r="Q29" s="1188"/>
      <c r="R29" s="1188"/>
      <c r="S29" s="1188"/>
      <c r="T29" s="1188"/>
      <c r="U29" s="1188"/>
      <c r="V29" s="1188"/>
      <c r="W29" s="1188"/>
      <c r="X29" s="1188"/>
      <c r="Y29" s="1188"/>
      <c r="Z29" s="1188"/>
      <c r="AA29" s="1188"/>
      <c r="AB29" s="1188"/>
      <c r="AC29" s="1188"/>
      <c r="AD29" s="1188"/>
      <c r="AE29" s="1188"/>
      <c r="AF29" s="1188"/>
      <c r="AG29" s="1188"/>
      <c r="AH29" s="1188"/>
      <c r="AI29" s="1188"/>
      <c r="AJ29" s="1188"/>
      <c r="AK29" s="1188"/>
      <c r="AL29" s="1188"/>
      <c r="AM29" s="1188"/>
      <c r="AN29" s="1188"/>
      <c r="AO29" s="1188"/>
      <c r="AP29" s="1188"/>
      <c r="AQ29" s="1188"/>
      <c r="AR29" s="1188"/>
      <c r="AS29" s="1188"/>
      <c r="AT29" s="1188"/>
      <c r="AU29" s="1188"/>
      <c r="AV29" s="1188"/>
      <c r="AW29" s="1188"/>
      <c r="AX29" s="166"/>
      <c r="AY29" s="2861">
        <f ca="1">-INDEX(INDIRECT("'"&amp;AY$4&amp;"'!Year.NetBalance"), MATCH('Oil Story'!$C29, INDIRECT("'"&amp;AY$4&amp;"'!Year.Vectors"), 0))</f>
        <v>0</v>
      </c>
      <c r="AZ29" s="2861"/>
      <c r="BA29" s="2861">
        <f ca="1">-INDEX(INDIRECT("'"&amp;BA$4&amp;"'!Year.NetBalance"), MATCH('Oil Story'!$C29, INDIRECT("'"&amp;BA$4&amp;"'!Year.Vectors"), 0))</f>
        <v>0</v>
      </c>
      <c r="BB29" s="2861">
        <f ca="1">-INDEX(INDIRECT("'"&amp;BB$4&amp;"'!Year.NetBalance"), MATCH('Oil Story'!$C29, INDIRECT("'"&amp;BB$4&amp;"'!Year.Vectors"), 0))</f>
        <v>0</v>
      </c>
      <c r="BC29" s="2861">
        <f ca="1">-INDEX(INDIRECT("'"&amp;BC$4&amp;"'!Year.NetBalance"), MATCH('Oil Story'!$C29, INDIRECT("'"&amp;BC$4&amp;"'!Year.Vectors"), 0))</f>
        <v>0</v>
      </c>
      <c r="BD29" s="2861">
        <f ca="1">-INDEX(INDIRECT("'"&amp;BD$4&amp;"'!Year.NetBalance"), MATCH('Oil Story'!$C29, INDIRECT("'"&amp;BD$4&amp;"'!Year.Vectors"), 0))</f>
        <v>0</v>
      </c>
      <c r="BE29" s="2861">
        <f ca="1">-INDEX(INDIRECT("'"&amp;BE$4&amp;"'!Year.NetBalance"), MATCH('Oil Story'!$C29, INDIRECT("'"&amp;BE$4&amp;"'!Year.Vectors"), 0))</f>
        <v>0</v>
      </c>
      <c r="BF29" s="2861">
        <f ca="1">-INDEX(INDIRECT("'"&amp;BF$4&amp;"'!Year.NetBalance"), MATCH('Oil Story'!$C29, INDIRECT("'"&amp;BF$4&amp;"'!Year.Vectors"), 0))</f>
        <v>0</v>
      </c>
      <c r="BG29" s="2861">
        <f ca="1">-INDEX(INDIRECT("'"&amp;BG$4&amp;"'!Year.NetBalance"), MATCH('Oil Story'!$C29, INDIRECT("'"&amp;BG$4&amp;"'!Year.Vectors"), 0))</f>
        <v>0</v>
      </c>
      <c r="BH29" s="2861">
        <f ca="1">-INDEX(INDIRECT("'"&amp;BH$4&amp;"'!Year.NetBalance"), MATCH('Oil Story'!$C29, INDIRECT("'"&amp;BH$4&amp;"'!Year.Vectors"), 0))</f>
        <v>0</v>
      </c>
      <c r="BI29" s="2861">
        <f ca="1">-INDEX(INDIRECT("'"&amp;BI$4&amp;"'!Year.NetBalance"), MATCH('Oil Story'!$C29, INDIRECT("'"&amp;BI$4&amp;"'!Year.Vectors"), 0))</f>
        <v>0</v>
      </c>
      <c r="BJ29" s="1166"/>
      <c r="BK29" s="1021"/>
    </row>
    <row r="30" spans="1:63" s="410" customFormat="1">
      <c r="B30" s="1162"/>
      <c r="C30" s="1187" t="s">
        <v>10</v>
      </c>
      <c r="D30" s="1164" t="str">
        <f>INDEX(Vectors[Description], MATCH($C30, Vectors[Code], 0))</f>
        <v>Wave</v>
      </c>
      <c r="E30" s="166"/>
      <c r="F30" s="1184"/>
      <c r="G30" s="1184"/>
      <c r="H30" s="1188"/>
      <c r="I30" s="1188"/>
      <c r="J30" s="1188"/>
      <c r="K30" s="1188"/>
      <c r="L30" s="1188"/>
      <c r="M30" s="1188"/>
      <c r="N30" s="1188"/>
      <c r="O30" s="1188"/>
      <c r="P30" s="1188"/>
      <c r="Q30" s="1188"/>
      <c r="R30" s="1188"/>
      <c r="S30" s="1188"/>
      <c r="T30" s="1188"/>
      <c r="U30" s="1188"/>
      <c r="V30" s="1188"/>
      <c r="W30" s="1188"/>
      <c r="X30" s="1188"/>
      <c r="Y30" s="1188"/>
      <c r="Z30" s="1188"/>
      <c r="AA30" s="1188"/>
      <c r="AB30" s="1188"/>
      <c r="AC30" s="1188"/>
      <c r="AD30" s="1188"/>
      <c r="AE30" s="1188"/>
      <c r="AF30" s="1188"/>
      <c r="AG30" s="1188"/>
      <c r="AH30" s="1188"/>
      <c r="AI30" s="1188"/>
      <c r="AJ30" s="1188"/>
      <c r="AK30" s="1188"/>
      <c r="AL30" s="1188"/>
      <c r="AM30" s="1188"/>
      <c r="AN30" s="1188"/>
      <c r="AO30" s="1188"/>
      <c r="AP30" s="1188"/>
      <c r="AQ30" s="1188"/>
      <c r="AR30" s="1188"/>
      <c r="AS30" s="1188"/>
      <c r="AT30" s="1188"/>
      <c r="AU30" s="1188"/>
      <c r="AV30" s="1188"/>
      <c r="AW30" s="1188"/>
      <c r="AX30" s="166"/>
      <c r="AY30" s="2861">
        <f ca="1">-INDEX(INDIRECT("'"&amp;AY$4&amp;"'!Year.NetBalance"), MATCH('Oil Story'!$C30, INDIRECT("'"&amp;AY$4&amp;"'!Year.Vectors"), 0))</f>
        <v>0</v>
      </c>
      <c r="AZ30" s="2861"/>
      <c r="BA30" s="2861">
        <f ca="1">-INDEX(INDIRECT("'"&amp;BA$4&amp;"'!Year.NetBalance"), MATCH('Oil Story'!$C30, INDIRECT("'"&amp;BA$4&amp;"'!Year.Vectors"), 0))</f>
        <v>0</v>
      </c>
      <c r="BB30" s="2861">
        <f ca="1">-INDEX(INDIRECT("'"&amp;BB$4&amp;"'!Year.NetBalance"), MATCH('Oil Story'!$C30, INDIRECT("'"&amp;BB$4&amp;"'!Year.Vectors"), 0))</f>
        <v>0</v>
      </c>
      <c r="BC30" s="2861">
        <f ca="1">-INDEX(INDIRECT("'"&amp;BC$4&amp;"'!Year.NetBalance"), MATCH('Oil Story'!$C30, INDIRECT("'"&amp;BC$4&amp;"'!Year.Vectors"), 0))</f>
        <v>0</v>
      </c>
      <c r="BD30" s="2861">
        <f ca="1">-INDEX(INDIRECT("'"&amp;BD$4&amp;"'!Year.NetBalance"), MATCH('Oil Story'!$C30, INDIRECT("'"&amp;BD$4&amp;"'!Year.Vectors"), 0))</f>
        <v>0</v>
      </c>
      <c r="BE30" s="2861">
        <f ca="1">-INDEX(INDIRECT("'"&amp;BE$4&amp;"'!Year.NetBalance"), MATCH('Oil Story'!$C30, INDIRECT("'"&amp;BE$4&amp;"'!Year.Vectors"), 0))</f>
        <v>0</v>
      </c>
      <c r="BF30" s="2861">
        <f ca="1">-INDEX(INDIRECT("'"&amp;BF$4&amp;"'!Year.NetBalance"), MATCH('Oil Story'!$C30, INDIRECT("'"&amp;BF$4&amp;"'!Year.Vectors"), 0))</f>
        <v>0</v>
      </c>
      <c r="BG30" s="2861">
        <f ca="1">-INDEX(INDIRECT("'"&amp;BG$4&amp;"'!Year.NetBalance"), MATCH('Oil Story'!$C30, INDIRECT("'"&amp;BG$4&amp;"'!Year.Vectors"), 0))</f>
        <v>0</v>
      </c>
      <c r="BH30" s="2861">
        <f ca="1">-INDEX(INDIRECT("'"&amp;BH$4&amp;"'!Year.NetBalance"), MATCH('Oil Story'!$C30, INDIRECT("'"&amp;BH$4&amp;"'!Year.Vectors"), 0))</f>
        <v>0</v>
      </c>
      <c r="BI30" s="2861">
        <f ca="1">-INDEX(INDIRECT("'"&amp;BI$4&amp;"'!Year.NetBalance"), MATCH('Oil Story'!$C30, INDIRECT("'"&amp;BI$4&amp;"'!Year.Vectors"), 0))</f>
        <v>0</v>
      </c>
      <c r="BJ30" s="1166"/>
      <c r="BK30" s="1021"/>
    </row>
    <row r="31" spans="1:63" s="410" customFormat="1">
      <c r="B31" s="1162"/>
      <c r="C31" s="1187" t="s">
        <v>11</v>
      </c>
      <c r="D31" s="1164" t="str">
        <f>INDEX(Vectors[Description], MATCH($C31, Vectors[Code], 0))</f>
        <v>Geothermal</v>
      </c>
      <c r="E31" s="166"/>
      <c r="F31" s="1184"/>
      <c r="G31" s="1184"/>
      <c r="H31" s="1188"/>
      <c r="I31" s="1188"/>
      <c r="J31" s="1188"/>
      <c r="K31" s="1188"/>
      <c r="L31" s="1188"/>
      <c r="M31" s="1188"/>
      <c r="N31" s="1188"/>
      <c r="O31" s="1188"/>
      <c r="P31" s="1188"/>
      <c r="Q31" s="1188"/>
      <c r="R31" s="1188"/>
      <c r="S31" s="1188"/>
      <c r="T31" s="1188"/>
      <c r="U31" s="1188"/>
      <c r="V31" s="1188"/>
      <c r="W31" s="1188"/>
      <c r="X31" s="1188"/>
      <c r="Y31" s="1188"/>
      <c r="Z31" s="1188"/>
      <c r="AA31" s="1188"/>
      <c r="AB31" s="1188"/>
      <c r="AC31" s="1188"/>
      <c r="AD31" s="1188"/>
      <c r="AE31" s="1188"/>
      <c r="AF31" s="1188"/>
      <c r="AG31" s="1188"/>
      <c r="AH31" s="1188"/>
      <c r="AI31" s="1188"/>
      <c r="AJ31" s="1188"/>
      <c r="AK31" s="1188"/>
      <c r="AL31" s="1188"/>
      <c r="AM31" s="1188"/>
      <c r="AN31" s="1188"/>
      <c r="AO31" s="1188"/>
      <c r="AP31" s="1188"/>
      <c r="AQ31" s="1188"/>
      <c r="AR31" s="1188"/>
      <c r="AS31" s="1188"/>
      <c r="AT31" s="1188"/>
      <c r="AU31" s="1188"/>
      <c r="AV31" s="1188"/>
      <c r="AW31" s="1188"/>
      <c r="AX31" s="166"/>
      <c r="AY31" s="2861">
        <f ca="1">-INDEX(INDIRECT("'"&amp;AY$4&amp;"'!Year.NetBalance"), MATCH('Oil Story'!$C31, INDIRECT("'"&amp;AY$4&amp;"'!Year.Vectors"), 0))</f>
        <v>0</v>
      </c>
      <c r="AZ31" s="2861"/>
      <c r="BA31" s="2861">
        <f ca="1">-INDEX(INDIRECT("'"&amp;BA$4&amp;"'!Year.NetBalance"), MATCH('Oil Story'!$C31, INDIRECT("'"&amp;BA$4&amp;"'!Year.Vectors"), 0))</f>
        <v>0</v>
      </c>
      <c r="BB31" s="2861">
        <f ca="1">-INDEX(INDIRECT("'"&amp;BB$4&amp;"'!Year.NetBalance"), MATCH('Oil Story'!$C31, INDIRECT("'"&amp;BB$4&amp;"'!Year.Vectors"), 0))</f>
        <v>0</v>
      </c>
      <c r="BC31" s="2861">
        <f ca="1">-INDEX(INDIRECT("'"&amp;BC$4&amp;"'!Year.NetBalance"), MATCH('Oil Story'!$C31, INDIRECT("'"&amp;BC$4&amp;"'!Year.Vectors"), 0))</f>
        <v>0</v>
      </c>
      <c r="BD31" s="2861">
        <f ca="1">-INDEX(INDIRECT("'"&amp;BD$4&amp;"'!Year.NetBalance"), MATCH('Oil Story'!$C31, INDIRECT("'"&amp;BD$4&amp;"'!Year.Vectors"), 0))</f>
        <v>0</v>
      </c>
      <c r="BE31" s="2861">
        <f ca="1">-INDEX(INDIRECT("'"&amp;BE$4&amp;"'!Year.NetBalance"), MATCH('Oil Story'!$C31, INDIRECT("'"&amp;BE$4&amp;"'!Year.Vectors"), 0))</f>
        <v>0</v>
      </c>
      <c r="BF31" s="2861">
        <f ca="1">-INDEX(INDIRECT("'"&amp;BF$4&amp;"'!Year.NetBalance"), MATCH('Oil Story'!$C31, INDIRECT("'"&amp;BF$4&amp;"'!Year.Vectors"), 0))</f>
        <v>0</v>
      </c>
      <c r="BG31" s="2861">
        <f ca="1">-INDEX(INDIRECT("'"&amp;BG$4&amp;"'!Year.NetBalance"), MATCH('Oil Story'!$C31, INDIRECT("'"&amp;BG$4&amp;"'!Year.Vectors"), 0))</f>
        <v>0</v>
      </c>
      <c r="BH31" s="2861">
        <f ca="1">-INDEX(INDIRECT("'"&amp;BH$4&amp;"'!Year.NetBalance"), MATCH('Oil Story'!$C31, INDIRECT("'"&amp;BH$4&amp;"'!Year.Vectors"), 0))</f>
        <v>0</v>
      </c>
      <c r="BI31" s="2861">
        <f ca="1">-INDEX(INDIRECT("'"&amp;BI$4&amp;"'!Year.NetBalance"), MATCH('Oil Story'!$C31, INDIRECT("'"&amp;BI$4&amp;"'!Year.Vectors"), 0))</f>
        <v>0</v>
      </c>
      <c r="BJ31" s="1166"/>
      <c r="BK31" s="1021"/>
    </row>
    <row r="32" spans="1:63" s="410" customFormat="1">
      <c r="B32" s="1162"/>
      <c r="C32" s="1187" t="s">
        <v>12</v>
      </c>
      <c r="D32" s="1164" t="str">
        <f>INDEX(Vectors[Description], MATCH($C32, Vectors[Code], 0))</f>
        <v>Hydro</v>
      </c>
      <c r="E32" s="166"/>
      <c r="F32" s="1184"/>
      <c r="G32" s="1184"/>
      <c r="H32" s="1188"/>
      <c r="I32" s="1188"/>
      <c r="J32" s="1188"/>
      <c r="K32" s="1188"/>
      <c r="L32" s="1188"/>
      <c r="M32" s="1188"/>
      <c r="N32" s="1188"/>
      <c r="O32" s="1188"/>
      <c r="P32" s="1188"/>
      <c r="Q32" s="1188"/>
      <c r="R32" s="1188"/>
      <c r="S32" s="1188"/>
      <c r="T32" s="1188"/>
      <c r="U32" s="1188"/>
      <c r="V32" s="1188"/>
      <c r="W32" s="1188"/>
      <c r="X32" s="1188"/>
      <c r="Y32" s="1188"/>
      <c r="Z32" s="1188"/>
      <c r="AA32" s="1188"/>
      <c r="AB32" s="1188"/>
      <c r="AC32" s="1188"/>
      <c r="AD32" s="1188"/>
      <c r="AE32" s="1188"/>
      <c r="AF32" s="1188"/>
      <c r="AG32" s="1188"/>
      <c r="AH32" s="1188"/>
      <c r="AI32" s="1188"/>
      <c r="AJ32" s="1188"/>
      <c r="AK32" s="1188"/>
      <c r="AL32" s="1188"/>
      <c r="AM32" s="1188"/>
      <c r="AN32" s="1188"/>
      <c r="AO32" s="1188"/>
      <c r="AP32" s="1188"/>
      <c r="AQ32" s="1188"/>
      <c r="AR32" s="1188"/>
      <c r="AS32" s="1188"/>
      <c r="AT32" s="1188"/>
      <c r="AU32" s="1188"/>
      <c r="AV32" s="1188"/>
      <c r="AW32" s="1188"/>
      <c r="AX32" s="166"/>
      <c r="AY32" s="2861">
        <f ca="1">-INDEX(INDIRECT("'"&amp;AY$4&amp;"'!Year.NetBalance"), MATCH('Oil Story'!$C32, INDIRECT("'"&amp;AY$4&amp;"'!Year.Vectors"), 0))</f>
        <v>128.51059438799999</v>
      </c>
      <c r="AZ32" s="2861"/>
      <c r="BA32" s="2861">
        <f ca="1">-INDEX(INDIRECT("'"&amp;BA$4&amp;"'!Year.NetBalance"), MATCH('Oil Story'!$C32, INDIRECT("'"&amp;BA$4&amp;"'!Year.Vectors"), 0))</f>
        <v>155.84385898800002</v>
      </c>
      <c r="BB32" s="2861">
        <f ca="1">-INDEX(INDIRECT("'"&amp;BB$4&amp;"'!Year.NetBalance"), MATCH('Oil Story'!$C32, INDIRECT("'"&amp;BB$4&amp;"'!Year.Vectors"), 0))</f>
        <v>189.41763898800005</v>
      </c>
      <c r="BC32" s="2861">
        <f ca="1">-INDEX(INDIRECT("'"&amp;BC$4&amp;"'!Year.NetBalance"), MATCH('Oil Story'!$C32, INDIRECT("'"&amp;BC$4&amp;"'!Year.Vectors"), 0))</f>
        <v>195.75107398800003</v>
      </c>
      <c r="BD32" s="2861">
        <f ca="1">-INDEX(INDIRECT("'"&amp;BD$4&amp;"'!Year.NetBalance"), MATCH('Oil Story'!$C32, INDIRECT("'"&amp;BD$4&amp;"'!Year.Vectors"), 0))</f>
        <v>199.56428398800003</v>
      </c>
      <c r="BE32" s="2861">
        <f ca="1">-INDEX(INDIRECT("'"&amp;BE$4&amp;"'!Year.NetBalance"), MATCH('Oil Story'!$C32, INDIRECT("'"&amp;BE$4&amp;"'!Year.Vectors"), 0))</f>
        <v>203.46515398800005</v>
      </c>
      <c r="BF32" s="2861">
        <f ca="1">-INDEX(INDIRECT("'"&amp;BF$4&amp;"'!Year.NetBalance"), MATCH('Oil Story'!$C32, INDIRECT("'"&amp;BF$4&amp;"'!Year.Vectors"), 0))</f>
        <v>205.43750398800003</v>
      </c>
      <c r="BG32" s="2861">
        <f ca="1">-INDEX(INDIRECT("'"&amp;BG$4&amp;"'!Year.NetBalance"), MATCH('Oil Story'!$C32, INDIRECT("'"&amp;BG$4&amp;"'!Year.Vectors"), 0))</f>
        <v>205.71585955200004</v>
      </c>
      <c r="BH32" s="2861">
        <f ca="1">-INDEX(INDIRECT("'"&amp;BH$4&amp;"'!Year.NetBalance"), MATCH('Oil Story'!$C32, INDIRECT("'"&amp;BH$4&amp;"'!Year.Vectors"), 0))</f>
        <v>206.60431118400004</v>
      </c>
      <c r="BI32" s="2861">
        <f ca="1">-INDEX(INDIRECT("'"&amp;BI$4&amp;"'!Year.NetBalance"), MATCH('Oil Story'!$C32, INDIRECT("'"&amp;BI$4&amp;"'!Year.Vectors"), 0))</f>
        <v>207.19601618400003</v>
      </c>
      <c r="BJ32" s="1166"/>
      <c r="BK32" s="1021"/>
    </row>
    <row r="33" spans="2:66" s="410" customFormat="1">
      <c r="B33" s="1162"/>
      <c r="C33" s="1187" t="s">
        <v>47</v>
      </c>
      <c r="D33" s="1164" t="str">
        <f>INDEX(Vectors[Description], MATCH($C33, Vectors[Code], 0))</f>
        <v>Electricity oversupply (imports)</v>
      </c>
      <c r="E33" s="166"/>
      <c r="F33" s="1184"/>
      <c r="G33" s="1184"/>
      <c r="H33" s="1188"/>
      <c r="I33" s="1188"/>
      <c r="J33" s="1188"/>
      <c r="K33" s="1188"/>
      <c r="L33" s="1188"/>
      <c r="M33" s="1188"/>
      <c r="N33" s="1188"/>
      <c r="O33" s="1188"/>
      <c r="P33" s="1188"/>
      <c r="Q33" s="1188"/>
      <c r="R33" s="1188"/>
      <c r="S33" s="1188"/>
      <c r="T33" s="1188"/>
      <c r="U33" s="1188"/>
      <c r="V33" s="1188"/>
      <c r="W33" s="1188"/>
      <c r="X33" s="1188"/>
      <c r="Y33" s="1188"/>
      <c r="Z33" s="1188"/>
      <c r="AA33" s="1188"/>
      <c r="AB33" s="1188"/>
      <c r="AC33" s="1188"/>
      <c r="AD33" s="1188"/>
      <c r="AE33" s="1188"/>
      <c r="AF33" s="1188"/>
      <c r="AG33" s="1188"/>
      <c r="AH33" s="1188"/>
      <c r="AI33" s="1188"/>
      <c r="AJ33" s="1188"/>
      <c r="AK33" s="1188"/>
      <c r="AL33" s="1188"/>
      <c r="AM33" s="1188"/>
      <c r="AN33" s="1188"/>
      <c r="AO33" s="1188"/>
      <c r="AP33" s="1188"/>
      <c r="AQ33" s="1188"/>
      <c r="AR33" s="1188"/>
      <c r="AS33" s="1188"/>
      <c r="AT33" s="1188"/>
      <c r="AU33" s="1188"/>
      <c r="AV33" s="1188"/>
      <c r="AW33" s="1188"/>
      <c r="AX33" s="166"/>
      <c r="AY33" s="2861">
        <f ca="1">-INDEX(INDIRECT("'"&amp;AY$4&amp;"'!Year.NetBalance"), MATCH('Oil Story'!$C33, INDIRECT("'"&amp;AY$4&amp;"'!Year.Vectors"), 0))</f>
        <v>1</v>
      </c>
      <c r="AZ33" s="2861"/>
      <c r="BA33" s="2861">
        <f ca="1">-INDEX(INDIRECT("'"&amp;BA$4&amp;"'!Year.NetBalance"), MATCH('Oil Story'!$C33, INDIRECT("'"&amp;BA$4&amp;"'!Year.Vectors"), 0))</f>
        <v>4.0000000000002274</v>
      </c>
      <c r="BB33" s="2861">
        <f ca="1">-INDEX(INDIRECT("'"&amp;BB$4&amp;"'!Year.NetBalance"), MATCH('Oil Story'!$C33, INDIRECT("'"&amp;BB$4&amp;"'!Year.Vectors"), 0))</f>
        <v>14.000000000000455</v>
      </c>
      <c r="BC33" s="2861">
        <f ca="1">-INDEX(INDIRECT("'"&amp;BC$4&amp;"'!Year.NetBalance"), MATCH('Oil Story'!$C33, INDIRECT("'"&amp;BC$4&amp;"'!Year.Vectors"), 0))</f>
        <v>21.000000000000227</v>
      </c>
      <c r="BD33" s="2861">
        <f ca="1">-INDEX(INDIRECT("'"&amp;BD$4&amp;"'!Year.NetBalance"), MATCH('Oil Story'!$C33, INDIRECT("'"&amp;BD$4&amp;"'!Year.Vectors"), 0))</f>
        <v>30.999999999999545</v>
      </c>
      <c r="BE33" s="2861">
        <f ca="1">-INDEX(INDIRECT("'"&amp;BE$4&amp;"'!Year.NetBalance"), MATCH('Oil Story'!$C33, INDIRECT("'"&amp;BE$4&amp;"'!Year.Vectors"), 0))</f>
        <v>39.999999999999545</v>
      </c>
      <c r="BF33" s="2861">
        <f ca="1">-INDEX(INDIRECT("'"&amp;BF$4&amp;"'!Year.NetBalance"), MATCH('Oil Story'!$C33, INDIRECT("'"&amp;BF$4&amp;"'!Year.Vectors"), 0))</f>
        <v>49</v>
      </c>
      <c r="BG33" s="2861">
        <f ca="1">-INDEX(INDIRECT("'"&amp;BG$4&amp;"'!Year.NetBalance"), MATCH('Oil Story'!$C33, INDIRECT("'"&amp;BG$4&amp;"'!Year.Vectors"), 0))</f>
        <v>55.000000000000909</v>
      </c>
      <c r="BH33" s="2861">
        <f ca="1">-INDEX(INDIRECT("'"&amp;BH$4&amp;"'!Year.NetBalance"), MATCH('Oil Story'!$C33, INDIRECT("'"&amp;BH$4&amp;"'!Year.Vectors"), 0))</f>
        <v>55.000000000000909</v>
      </c>
      <c r="BI33" s="2861">
        <f ca="1">-INDEX(INDIRECT("'"&amp;BI$4&amp;"'!Year.NetBalance"), MATCH('Oil Story'!$C33, INDIRECT("'"&amp;BI$4&amp;"'!Year.Vectors"), 0))</f>
        <v>55.000000000000909</v>
      </c>
      <c r="BJ33" s="1166"/>
      <c r="BK33" s="1021"/>
    </row>
    <row r="34" spans="2:66" s="410" customFormat="1">
      <c r="B34" s="1162"/>
      <c r="C34" s="1187"/>
      <c r="D34" s="1164" t="s">
        <v>2185</v>
      </c>
      <c r="E34" s="166"/>
      <c r="F34" s="1184"/>
      <c r="G34" s="1184"/>
      <c r="H34" s="1188"/>
      <c r="I34" s="1188"/>
      <c r="J34" s="1188"/>
      <c r="K34" s="1188"/>
      <c r="L34" s="1188"/>
      <c r="M34" s="1188"/>
      <c r="N34" s="1188"/>
      <c r="O34" s="1188"/>
      <c r="P34" s="1188"/>
      <c r="Q34" s="1188"/>
      <c r="R34" s="1188"/>
      <c r="S34" s="1188"/>
      <c r="T34" s="1188"/>
      <c r="U34" s="1188"/>
      <c r="V34" s="1188"/>
      <c r="W34" s="1188"/>
      <c r="X34" s="1188"/>
      <c r="Y34" s="1188"/>
      <c r="Z34" s="1188"/>
      <c r="AA34" s="1188"/>
      <c r="AB34" s="1188"/>
      <c r="AC34" s="1188"/>
      <c r="AD34" s="1188"/>
      <c r="AE34" s="1188"/>
      <c r="AF34" s="1188"/>
      <c r="AG34" s="1188"/>
      <c r="AH34" s="1188"/>
      <c r="AI34" s="1188"/>
      <c r="AJ34" s="1188"/>
      <c r="AK34" s="1188"/>
      <c r="AL34" s="1188"/>
      <c r="AM34" s="1188"/>
      <c r="AN34" s="1188"/>
      <c r="AO34" s="1188"/>
      <c r="AP34" s="1188"/>
      <c r="AQ34" s="1188"/>
      <c r="AR34" s="1188"/>
      <c r="AS34" s="1188"/>
      <c r="AT34" s="1188"/>
      <c r="AU34" s="1188"/>
      <c r="AV34" s="1188"/>
      <c r="AW34" s="1188"/>
      <c r="AX34" s="166"/>
      <c r="AY34" s="2861">
        <f ca="1">AY26+AY27+AY28+AY32</f>
        <v>221.89552622742858</v>
      </c>
      <c r="AZ34" s="2861"/>
      <c r="BA34" s="2861">
        <f t="shared" ref="BA34:BI34" ca="1" si="7">BA26+BA27+BA28+BA32</f>
        <v>269.90453564691433</v>
      </c>
      <c r="BB34" s="2861">
        <f t="shared" ca="1" si="7"/>
        <v>436.98689141909455</v>
      </c>
      <c r="BC34" s="2861">
        <f t="shared" ca="1" si="7"/>
        <v>476.63693273498399</v>
      </c>
      <c r="BD34" s="2861">
        <f t="shared" ca="1" si="7"/>
        <v>526.6866009911007</v>
      </c>
      <c r="BE34" s="2861">
        <f t="shared" ca="1" si="7"/>
        <v>582.90317722274926</v>
      </c>
      <c r="BF34" s="2861">
        <f t="shared" ca="1" si="7"/>
        <v>619.78760569991368</v>
      </c>
      <c r="BG34" s="2861">
        <f t="shared" ca="1" si="7"/>
        <v>641.81048400184591</v>
      </c>
      <c r="BH34" s="2861">
        <f t="shared" ca="1" si="7"/>
        <v>642.04248386750248</v>
      </c>
      <c r="BI34" s="2861">
        <f t="shared" ca="1" si="7"/>
        <v>629.7645768448906</v>
      </c>
      <c r="BJ34" s="1166"/>
      <c r="BK34" s="1021"/>
    </row>
    <row r="35" spans="2:66">
      <c r="B35" s="1162"/>
      <c r="C35" s="1170"/>
      <c r="D35" s="166" t="s">
        <v>1130</v>
      </c>
      <c r="E35" s="166"/>
      <c r="F35" s="1184"/>
      <c r="G35" s="1184"/>
      <c r="H35" s="1188"/>
      <c r="I35" s="1188"/>
      <c r="J35" s="1188"/>
      <c r="K35" s="1188"/>
      <c r="L35" s="1188"/>
      <c r="M35" s="1188"/>
      <c r="N35" s="1188"/>
      <c r="O35" s="1188"/>
      <c r="P35" s="1188"/>
      <c r="Q35" s="1188"/>
      <c r="R35" s="1188"/>
      <c r="S35" s="1188"/>
      <c r="T35" s="1188"/>
      <c r="U35" s="1188"/>
      <c r="V35" s="1188"/>
      <c r="W35" s="1188"/>
      <c r="X35" s="1188"/>
      <c r="Y35" s="1188"/>
      <c r="Z35" s="1188"/>
      <c r="AA35" s="1188"/>
      <c r="AB35" s="1188"/>
      <c r="AC35" s="1188"/>
      <c r="AD35" s="1188"/>
      <c r="AE35" s="1188"/>
      <c r="AF35" s="1188"/>
      <c r="AG35" s="1188"/>
      <c r="AH35" s="1188"/>
      <c r="AI35" s="1188"/>
      <c r="AJ35" s="1188"/>
      <c r="AK35" s="1188"/>
      <c r="AL35" s="1188"/>
      <c r="AM35" s="1188"/>
      <c r="AN35" s="1188"/>
      <c r="AO35" s="1188"/>
      <c r="AP35" s="1188"/>
      <c r="AQ35" s="1188"/>
      <c r="AR35" s="1188"/>
      <c r="AS35" s="1188"/>
      <c r="AT35" s="1188"/>
      <c r="AU35" s="1188"/>
      <c r="AV35" s="1188"/>
      <c r="AW35" s="1188"/>
      <c r="AX35" s="166"/>
      <c r="AY35" s="2862">
        <f t="shared" ref="AY35:BI35" ca="1" si="8">SUM(AY26:AY33)</f>
        <v>222.89552622742858</v>
      </c>
      <c r="AZ35" s="2862"/>
      <c r="BA35" s="2862">
        <f t="shared" ca="1" si="8"/>
        <v>273.90453564691455</v>
      </c>
      <c r="BB35" s="2862">
        <f t="shared" ca="1" si="8"/>
        <v>450.986891419095</v>
      </c>
      <c r="BC35" s="2862">
        <f t="shared" ca="1" si="8"/>
        <v>497.63693273498421</v>
      </c>
      <c r="BD35" s="2862">
        <f t="shared" ca="1" si="8"/>
        <v>557.68660099110025</v>
      </c>
      <c r="BE35" s="2862">
        <f t="shared" ca="1" si="8"/>
        <v>622.90317722274881</v>
      </c>
      <c r="BF35" s="2862">
        <f t="shared" ca="1" si="8"/>
        <v>668.78760569991368</v>
      </c>
      <c r="BG35" s="2862">
        <f t="shared" ca="1" si="8"/>
        <v>696.81048400184682</v>
      </c>
      <c r="BH35" s="2862">
        <f t="shared" ca="1" si="8"/>
        <v>697.04248386750339</v>
      </c>
      <c r="BI35" s="2862">
        <f t="shared" ca="1" si="8"/>
        <v>684.76457684489151</v>
      </c>
      <c r="BJ35" s="1169"/>
      <c r="BK35" s="1021"/>
    </row>
    <row r="36" spans="2:66">
      <c r="B36" s="1162"/>
      <c r="C36" s="1170" t="s">
        <v>90</v>
      </c>
      <c r="D36" s="1164" t="str">
        <f>INDEX(Vectors[Description], MATCH($C36, Vectors[Code], 0))</f>
        <v>Environmental heat</v>
      </c>
      <c r="E36" s="166"/>
      <c r="F36" s="1184"/>
      <c r="G36" s="1184"/>
      <c r="H36" s="1188"/>
      <c r="I36" s="1188"/>
      <c r="J36" s="1188"/>
      <c r="K36" s="1188"/>
      <c r="L36" s="1188"/>
      <c r="M36" s="1188"/>
      <c r="N36" s="1188"/>
      <c r="O36" s="1188"/>
      <c r="P36" s="1188"/>
      <c r="Q36" s="1188"/>
      <c r="R36" s="1188"/>
      <c r="S36" s="1188"/>
      <c r="T36" s="1188"/>
      <c r="U36" s="1188"/>
      <c r="V36" s="1188"/>
      <c r="W36" s="1188"/>
      <c r="X36" s="1188"/>
      <c r="Y36" s="1188"/>
      <c r="Z36" s="1188"/>
      <c r="AA36" s="1188"/>
      <c r="AB36" s="1188"/>
      <c r="AC36" s="1188"/>
      <c r="AD36" s="1188"/>
      <c r="AE36" s="1188"/>
      <c r="AF36" s="1188"/>
      <c r="AG36" s="1188"/>
      <c r="AH36" s="1188"/>
      <c r="AI36" s="1188"/>
      <c r="AJ36" s="1188"/>
      <c r="AK36" s="1188"/>
      <c r="AL36" s="1188"/>
      <c r="AM36" s="1188"/>
      <c r="AN36" s="1188"/>
      <c r="AO36" s="1188"/>
      <c r="AP36" s="1188"/>
      <c r="AQ36" s="1188"/>
      <c r="AR36" s="1188"/>
      <c r="AS36" s="1188"/>
      <c r="AT36" s="1188"/>
      <c r="AU36" s="1188"/>
      <c r="AV36" s="1188"/>
      <c r="AW36" s="1188"/>
      <c r="AX36" s="166"/>
      <c r="AY36" s="2862">
        <f ca="1">-INDEX(INDIRECT("'"&amp;AY$4&amp;"'!Year.NetBalance"), MATCH('Oil Story'!$C36, INDIRECT("'"&amp;AY$4&amp;"'!Year.Vectors"), 0))</f>
        <v>0</v>
      </c>
      <c r="AZ36" s="2862"/>
      <c r="BA36" s="2862">
        <f ca="1">-INDEX(INDIRECT("'"&amp;BA$4&amp;"'!Year.NetBalance"), MATCH('Oil Story'!$C36, INDIRECT("'"&amp;BA$4&amp;"'!Year.Vectors"), 0))</f>
        <v>0</v>
      </c>
      <c r="BB36" s="2862">
        <f ca="1">-INDEX(INDIRECT("'"&amp;BB$4&amp;"'!Year.NetBalance"), MATCH('Oil Story'!$C36, INDIRECT("'"&amp;BB$4&amp;"'!Year.Vectors"), 0))</f>
        <v>0</v>
      </c>
      <c r="BC36" s="2862">
        <f ca="1">-INDEX(INDIRECT("'"&amp;BC$4&amp;"'!Year.NetBalance"), MATCH('Oil Story'!$C36, INDIRECT("'"&amp;BC$4&amp;"'!Year.Vectors"), 0))</f>
        <v>0</v>
      </c>
      <c r="BD36" s="2862">
        <f ca="1">-INDEX(INDIRECT("'"&amp;BD$4&amp;"'!Year.NetBalance"), MATCH('Oil Story'!$C36, INDIRECT("'"&amp;BD$4&amp;"'!Year.Vectors"), 0))</f>
        <v>0</v>
      </c>
      <c r="BE36" s="2862">
        <f ca="1">-INDEX(INDIRECT("'"&amp;BE$4&amp;"'!Year.NetBalance"), MATCH('Oil Story'!$C36, INDIRECT("'"&amp;BE$4&amp;"'!Year.Vectors"), 0))</f>
        <v>0</v>
      </c>
      <c r="BF36" s="2862">
        <f ca="1">-INDEX(INDIRECT("'"&amp;BF$4&amp;"'!Year.NetBalance"), MATCH('Oil Story'!$C36, INDIRECT("'"&amp;BF$4&amp;"'!Year.Vectors"), 0))</f>
        <v>0</v>
      </c>
      <c r="BG36" s="2862">
        <f ca="1">-INDEX(INDIRECT("'"&amp;BG$4&amp;"'!Year.NetBalance"), MATCH('Oil Story'!$C36, INDIRECT("'"&amp;BG$4&amp;"'!Year.Vectors"), 0))</f>
        <v>0</v>
      </c>
      <c r="BH36" s="2862">
        <f ca="1">-INDEX(INDIRECT("'"&amp;BH$4&amp;"'!Year.NetBalance"), MATCH('Oil Story'!$C36, INDIRECT("'"&amp;BH$4&amp;"'!Year.Vectors"), 0))</f>
        <v>0</v>
      </c>
      <c r="BI36" s="2862">
        <f ca="1">-INDEX(INDIRECT("'"&amp;BI$4&amp;"'!Year.NetBalance"), MATCH('Oil Story'!$C36, INDIRECT("'"&amp;BI$4&amp;"'!Year.Vectors"), 0))</f>
        <v>0</v>
      </c>
      <c r="BJ36" s="1169"/>
      <c r="BK36" s="1021"/>
    </row>
    <row r="37" spans="2:66" s="410" customFormat="1">
      <c r="B37" s="164"/>
      <c r="C37" s="1164" t="s">
        <v>42</v>
      </c>
      <c r="D37" s="1164" t="str">
        <f>INDEX(Vectors[Description], MATCH($C37, Vectors[Code], 0))</f>
        <v>Waste</v>
      </c>
      <c r="E37" s="166"/>
      <c r="F37" s="1184"/>
      <c r="G37" s="1184"/>
      <c r="H37" s="1188"/>
      <c r="I37" s="1188"/>
      <c r="J37" s="1188"/>
      <c r="K37" s="1188"/>
      <c r="L37" s="1188"/>
      <c r="M37" s="1188"/>
      <c r="N37" s="1188"/>
      <c r="O37" s="1188"/>
      <c r="P37" s="1188"/>
      <c r="Q37" s="1188"/>
      <c r="R37" s="1188"/>
      <c r="S37" s="1188"/>
      <c r="T37" s="1188"/>
      <c r="U37" s="1188"/>
      <c r="V37" s="1188"/>
      <c r="W37" s="1188"/>
      <c r="X37" s="1188"/>
      <c r="Y37" s="1188"/>
      <c r="Z37" s="1188"/>
      <c r="AA37" s="1188"/>
      <c r="AB37" s="1188"/>
      <c r="AC37" s="1188"/>
      <c r="AD37" s="1188"/>
      <c r="AE37" s="1188"/>
      <c r="AF37" s="1188"/>
      <c r="AG37" s="1188"/>
      <c r="AH37" s="1188"/>
      <c r="AI37" s="1188"/>
      <c r="AJ37" s="1188"/>
      <c r="AK37" s="1188"/>
      <c r="AL37" s="1188"/>
      <c r="AM37" s="1188"/>
      <c r="AN37" s="1188"/>
      <c r="AO37" s="1188"/>
      <c r="AP37" s="1188"/>
      <c r="AQ37" s="1188"/>
      <c r="AR37" s="1188"/>
      <c r="AS37" s="1188"/>
      <c r="AT37" s="1188"/>
      <c r="AU37" s="1188"/>
      <c r="AV37" s="1188"/>
      <c r="AW37" s="1188"/>
      <c r="AX37" s="166"/>
      <c r="AY37" s="2862">
        <f ca="1">-INDEX(INDIRECT("'"&amp;AY$4&amp;"'!Year.NetBalance"), MATCH('Oil Story'!$C37, INDIRECT("'"&amp;AY$4&amp;"'!Year.Vectors"), 0))</f>
        <v>946.41133333333335</v>
      </c>
      <c r="AZ37" s="2862"/>
      <c r="BA37" s="2862">
        <f ca="1">-INDEX(INDIRECT("'"&amp;BA$4&amp;"'!Year.NetBalance"), MATCH('Oil Story'!$C37, INDIRECT("'"&amp;BA$4&amp;"'!Year.Vectors"), 0))</f>
        <v>958.71557777777775</v>
      </c>
      <c r="BB37" s="2862">
        <f ca="1">-INDEX(INDIRECT("'"&amp;BB$4&amp;"'!Year.NetBalance"), MATCH('Oil Story'!$C37, INDIRECT("'"&amp;BB$4&amp;"'!Year.Vectors"), 0))</f>
        <v>961.65269558323416</v>
      </c>
      <c r="BC37" s="2862">
        <f ca="1">-INDEX(INDIRECT("'"&amp;BC$4&amp;"'!Year.NetBalance"), MATCH('Oil Story'!$C37, INDIRECT("'"&amp;BC$4&amp;"'!Year.Vectors"), 0))</f>
        <v>965.3605542966875</v>
      </c>
      <c r="BD37" s="2862">
        <f ca="1">-INDEX(INDIRECT("'"&amp;BD$4&amp;"'!Year.NetBalance"), MATCH('Oil Story'!$C37, INDIRECT("'"&amp;BD$4&amp;"'!Year.Vectors"), 0))</f>
        <v>969.99783378851419</v>
      </c>
      <c r="BE37" s="2862">
        <f ca="1">-INDEX(INDIRECT("'"&amp;BE$4&amp;"'!Year.NetBalance"), MATCH('Oil Story'!$C37, INDIRECT("'"&amp;BE$4&amp;"'!Year.Vectors"), 0))</f>
        <v>975.83974092558583</v>
      </c>
      <c r="BF37" s="2862">
        <f ca="1">-INDEX(INDIRECT("'"&amp;BF$4&amp;"'!Year.NetBalance"), MATCH('Oil Story'!$C37, INDIRECT("'"&amp;BF$4&amp;"'!Year.Vectors"), 0))</f>
        <v>982.30162109759806</v>
      </c>
      <c r="BG37" s="2862">
        <f ca="1">-INDEX(INDIRECT("'"&amp;BG$4&amp;"'!Year.NetBalance"), MATCH('Oil Story'!$C37, INDIRECT("'"&amp;BG$4&amp;"'!Year.Vectors"), 0))</f>
        <v>986.67052821417678</v>
      </c>
      <c r="BH37" s="2862">
        <f ca="1">-INDEX(INDIRECT("'"&amp;BH$4&amp;"'!Year.NetBalance"), MATCH('Oil Story'!$C37, INDIRECT("'"&amp;BH$4&amp;"'!Year.Vectors"), 0))</f>
        <v>992.22893791457784</v>
      </c>
      <c r="BI37" s="2862">
        <f ca="1">-INDEX(INDIRECT("'"&amp;BI$4&amp;"'!Year.NetBalance"), MATCH('Oil Story'!$C37, INDIRECT("'"&amp;BI$4&amp;"'!Year.Vectors"), 0))</f>
        <v>999.85024920758985</v>
      </c>
      <c r="BJ37" s="1166"/>
      <c r="BK37" s="1021"/>
    </row>
    <row r="38" spans="2:66" s="410" customFormat="1">
      <c r="B38" s="164"/>
      <c r="C38" s="1164" t="s">
        <v>334</v>
      </c>
      <c r="D38" s="1164" t="str">
        <f>INDEX(Vectors[Description], MATCH($C38, Vectors[Code], 0))</f>
        <v>Agriculture</v>
      </c>
      <c r="E38" s="166"/>
      <c r="F38" s="1184"/>
      <c r="G38" s="1184"/>
      <c r="H38" s="1188"/>
      <c r="I38" s="1188"/>
      <c r="J38" s="1188"/>
      <c r="K38" s="1188"/>
      <c r="L38" s="1188"/>
      <c r="M38" s="1188"/>
      <c r="N38" s="1188"/>
      <c r="O38" s="1188"/>
      <c r="P38" s="1188"/>
      <c r="Q38" s="1188"/>
      <c r="R38" s="1188"/>
      <c r="S38" s="1188"/>
      <c r="T38" s="1188"/>
      <c r="U38" s="1188"/>
      <c r="V38" s="1188"/>
      <c r="W38" s="1188"/>
      <c r="X38" s="1188"/>
      <c r="Y38" s="1188"/>
      <c r="Z38" s="1188"/>
      <c r="AA38" s="1188"/>
      <c r="AB38" s="1188"/>
      <c r="AC38" s="1188"/>
      <c r="AD38" s="1188"/>
      <c r="AE38" s="1188"/>
      <c r="AF38" s="1188"/>
      <c r="AG38" s="1188"/>
      <c r="AH38" s="1188"/>
      <c r="AI38" s="1188"/>
      <c r="AJ38" s="1188"/>
      <c r="AK38" s="1188"/>
      <c r="AL38" s="1188"/>
      <c r="AM38" s="1188"/>
      <c r="AN38" s="1188"/>
      <c r="AO38" s="1188"/>
      <c r="AP38" s="1188"/>
      <c r="AQ38" s="1188"/>
      <c r="AR38" s="1188"/>
      <c r="AS38" s="1188"/>
      <c r="AT38" s="1188"/>
      <c r="AU38" s="1188"/>
      <c r="AV38" s="1188"/>
      <c r="AW38" s="1188"/>
      <c r="AX38" s="166"/>
      <c r="AY38" s="2862">
        <f ca="1">-INDEX(INDIRECT("'"&amp;AY$4&amp;"'!Year.NetBalance"), MATCH('Oil Story'!$C38, INDIRECT("'"&amp;AY$4&amp;"'!Year.Vectors"), 0))</f>
        <v>0</v>
      </c>
      <c r="AZ38" s="2862"/>
      <c r="BA38" s="2862">
        <f ca="1">-INDEX(INDIRECT("'"&amp;BA$4&amp;"'!Year.NetBalance"), MATCH('Oil Story'!$C38, INDIRECT("'"&amp;BA$4&amp;"'!Year.Vectors"), 0))</f>
        <v>0.13142242804166665</v>
      </c>
      <c r="BB38" s="2862">
        <f ca="1">-INDEX(INDIRECT("'"&amp;BB$4&amp;"'!Year.NetBalance"), MATCH('Oil Story'!$C38, INDIRECT("'"&amp;BB$4&amp;"'!Year.Vectors"), 0))</f>
        <v>0.21232334500000016</v>
      </c>
      <c r="BC38" s="2862">
        <f ca="1">-INDEX(INDIRECT("'"&amp;BC$4&amp;"'!Year.NetBalance"), MATCH('Oil Story'!$C38, INDIRECT("'"&amp;BC$4&amp;"'!Year.Vectors"), 0))</f>
        <v>0.30591778749999998</v>
      </c>
      <c r="BD38" s="2862">
        <f ca="1">-INDEX(INDIRECT("'"&amp;BD$4&amp;"'!Year.NetBalance"), MATCH('Oil Story'!$C38, INDIRECT("'"&amp;BD$4&amp;"'!Year.Vectors"), 0))</f>
        <v>0.41826750874999996</v>
      </c>
      <c r="BE38" s="2862">
        <f ca="1">-INDEX(INDIRECT("'"&amp;BE$4&amp;"'!Year.NetBalance"), MATCH('Oil Story'!$C38, INDIRECT("'"&amp;BE$4&amp;"'!Year.Vectors"), 0))</f>
        <v>0.51589118749999996</v>
      </c>
      <c r="BF38" s="2862">
        <f ca="1">-INDEX(INDIRECT("'"&amp;BF$4&amp;"'!Year.NetBalance"), MATCH('Oil Story'!$C38, INDIRECT("'"&amp;BF$4&amp;"'!Year.Vectors"), 0))</f>
        <v>0.63055692916666661</v>
      </c>
      <c r="BG38" s="2862">
        <f ca="1">-INDEX(INDIRECT("'"&amp;BG$4&amp;"'!Year.NetBalance"), MATCH('Oil Story'!$C38, INDIRECT("'"&amp;BG$4&amp;"'!Year.Vectors"), 0))</f>
        <v>0.79227782291666671</v>
      </c>
      <c r="BH38" s="2862">
        <f ca="1">-INDEX(INDIRECT("'"&amp;BH$4&amp;"'!Year.NetBalance"), MATCH('Oil Story'!$C38, INDIRECT("'"&amp;BH$4&amp;"'!Year.Vectors"), 0))</f>
        <v>0.90559611458333333</v>
      </c>
      <c r="BI38" s="2862">
        <f ca="1">-INDEX(INDIRECT("'"&amp;BI$4&amp;"'!Year.NetBalance"), MATCH('Oil Story'!$C38, INDIRECT("'"&amp;BI$4&amp;"'!Year.Vectors"), 0))</f>
        <v>1.01891440625</v>
      </c>
      <c r="BJ38" s="1166"/>
      <c r="BK38" s="1021"/>
    </row>
    <row r="39" spans="2:66" s="410" customFormat="1">
      <c r="B39" s="1162"/>
      <c r="C39" s="1164" t="s">
        <v>46</v>
      </c>
      <c r="D39" s="1164" t="str">
        <f>INDEX(Vectors[Description], MATCH($C39, Vectors[Code], 0))</f>
        <v>Biomass oversupply (imports)</v>
      </c>
      <c r="E39" s="166"/>
      <c r="F39" s="1184"/>
      <c r="G39" s="1184"/>
      <c r="H39" s="1188"/>
      <c r="I39" s="1188"/>
      <c r="J39" s="1188"/>
      <c r="K39" s="1188"/>
      <c r="L39" s="1188"/>
      <c r="M39" s="1188"/>
      <c r="N39" s="1188"/>
      <c r="O39" s="1188"/>
      <c r="P39" s="1188"/>
      <c r="Q39" s="1188"/>
      <c r="R39" s="1188"/>
      <c r="S39" s="1188"/>
      <c r="T39" s="1188"/>
      <c r="U39" s="1188"/>
      <c r="V39" s="1188"/>
      <c r="W39" s="1188"/>
      <c r="X39" s="1188"/>
      <c r="Y39" s="1188"/>
      <c r="Z39" s="1188"/>
      <c r="AA39" s="1188"/>
      <c r="AB39" s="1188"/>
      <c r="AC39" s="1188"/>
      <c r="AD39" s="1188"/>
      <c r="AE39" s="1188"/>
      <c r="AF39" s="1188"/>
      <c r="AG39" s="1188"/>
      <c r="AH39" s="1188"/>
      <c r="AI39" s="1188"/>
      <c r="AJ39" s="1188"/>
      <c r="AK39" s="1188"/>
      <c r="AL39" s="1188"/>
      <c r="AM39" s="1188"/>
      <c r="AN39" s="1188"/>
      <c r="AO39" s="1188"/>
      <c r="AP39" s="1188"/>
      <c r="AQ39" s="1188"/>
      <c r="AR39" s="1188"/>
      <c r="AS39" s="1188"/>
      <c r="AT39" s="1188"/>
      <c r="AU39" s="1188"/>
      <c r="AV39" s="1188"/>
      <c r="AW39" s="1188"/>
      <c r="AX39" s="166"/>
      <c r="AY39" s="2862">
        <f ca="1">-INDEX(INDIRECT("'"&amp;AY$4&amp;"'!Year.NetBalance"), MATCH('Oil Story'!$C39, INDIRECT("'"&amp;AY$4&amp;"'!Year.Vectors"), 0))</f>
        <v>0</v>
      </c>
      <c r="AZ39" s="2862"/>
      <c r="BA39" s="2862">
        <f ca="1">-INDEX(INDIRECT("'"&amp;BA$4&amp;"'!Year.NetBalance"), MATCH('Oil Story'!$C39, INDIRECT("'"&amp;BA$4&amp;"'!Year.Vectors"), 0))</f>
        <v>0</v>
      </c>
      <c r="BB39" s="2862">
        <f ca="1">-INDEX(INDIRECT("'"&amp;BB$4&amp;"'!Year.NetBalance"), MATCH('Oil Story'!$C39, INDIRECT("'"&amp;BB$4&amp;"'!Year.Vectors"), 0))</f>
        <v>0</v>
      </c>
      <c r="BC39" s="2862">
        <f ca="1">-INDEX(INDIRECT("'"&amp;BC$4&amp;"'!Year.NetBalance"), MATCH('Oil Story'!$C39, INDIRECT("'"&amp;BC$4&amp;"'!Year.Vectors"), 0))</f>
        <v>0</v>
      </c>
      <c r="BD39" s="2862">
        <f ca="1">-INDEX(INDIRECT("'"&amp;BD$4&amp;"'!Year.NetBalance"), MATCH('Oil Story'!$C39, INDIRECT("'"&amp;BD$4&amp;"'!Year.Vectors"), 0))</f>
        <v>0</v>
      </c>
      <c r="BE39" s="2862">
        <f ca="1">-INDEX(INDIRECT("'"&amp;BE$4&amp;"'!Year.NetBalance"), MATCH('Oil Story'!$C39, INDIRECT("'"&amp;BE$4&amp;"'!Year.Vectors"), 0))</f>
        <v>0</v>
      </c>
      <c r="BF39" s="2862">
        <f ca="1">-INDEX(INDIRECT("'"&amp;BF$4&amp;"'!Year.NetBalance"), MATCH('Oil Story'!$C39, INDIRECT("'"&amp;BF$4&amp;"'!Year.Vectors"), 0))</f>
        <v>0</v>
      </c>
      <c r="BG39" s="2862">
        <f ca="1">-INDEX(INDIRECT("'"&amp;BG$4&amp;"'!Year.NetBalance"), MATCH('Oil Story'!$C39, INDIRECT("'"&amp;BG$4&amp;"'!Year.Vectors"), 0))</f>
        <v>0</v>
      </c>
      <c r="BH39" s="2862">
        <f ca="1">-INDEX(INDIRECT("'"&amp;BH$4&amp;"'!Year.NetBalance"), MATCH('Oil Story'!$C39, INDIRECT("'"&amp;BH$4&amp;"'!Year.Vectors"), 0))</f>
        <v>0</v>
      </c>
      <c r="BI39" s="2862">
        <f ca="1">-INDEX(INDIRECT("'"&amp;BI$4&amp;"'!Year.NetBalance"), MATCH('Oil Story'!$C39, INDIRECT("'"&amp;BI$4&amp;"'!Year.Vectors"), 0))</f>
        <v>0</v>
      </c>
      <c r="BJ39" s="1166"/>
      <c r="BK39" s="1021"/>
    </row>
    <row r="40" spans="2:66">
      <c r="B40" s="1162"/>
      <c r="C40" s="166"/>
      <c r="D40" s="166" t="s">
        <v>2046</v>
      </c>
      <c r="E40" s="166"/>
      <c r="F40" s="1184"/>
      <c r="G40" s="1184"/>
      <c r="H40" s="1188"/>
      <c r="I40" s="1188"/>
      <c r="J40" s="1188"/>
      <c r="K40" s="1188"/>
      <c r="L40" s="1188"/>
      <c r="M40" s="1188"/>
      <c r="N40" s="1188"/>
      <c r="O40" s="1188"/>
      <c r="P40" s="1188"/>
      <c r="Q40" s="1188"/>
      <c r="R40" s="1188"/>
      <c r="S40" s="1188"/>
      <c r="T40" s="1188"/>
      <c r="U40" s="1188"/>
      <c r="V40" s="1188"/>
      <c r="W40" s="1188"/>
      <c r="X40" s="1188"/>
      <c r="Y40" s="1188"/>
      <c r="Z40" s="1188"/>
      <c r="AA40" s="1188"/>
      <c r="AB40" s="1188"/>
      <c r="AC40" s="1188"/>
      <c r="AD40" s="1188"/>
      <c r="AE40" s="1188"/>
      <c r="AF40" s="1188"/>
      <c r="AG40" s="1188"/>
      <c r="AH40" s="1188"/>
      <c r="AI40" s="1188"/>
      <c r="AJ40" s="1188"/>
      <c r="AK40" s="1188"/>
      <c r="AL40" s="1188"/>
      <c r="AM40" s="1188"/>
      <c r="AN40" s="1188"/>
      <c r="AO40" s="1188"/>
      <c r="AP40" s="1188"/>
      <c r="AQ40" s="1188"/>
      <c r="AR40" s="1188"/>
      <c r="AS40" s="1188"/>
      <c r="AT40" s="1188"/>
      <c r="AU40" s="1188"/>
      <c r="AV40" s="1188"/>
      <c r="AW40" s="1188"/>
      <c r="AX40" s="166"/>
      <c r="AY40" s="2862">
        <f ca="1">SUM(AY37:AY39)</f>
        <v>946.41133333333335</v>
      </c>
      <c r="AZ40" s="2862"/>
      <c r="BA40" s="2862">
        <f t="shared" ref="BA40:BI40" ca="1" si="9">SUM(BA37:BA39)</f>
        <v>958.84700020581943</v>
      </c>
      <c r="BB40" s="2862">
        <f t="shared" ca="1" si="9"/>
        <v>961.86501892823412</v>
      </c>
      <c r="BC40" s="2862">
        <f t="shared" ca="1" si="9"/>
        <v>965.66647208418749</v>
      </c>
      <c r="BD40" s="2862">
        <f t="shared" ca="1" si="9"/>
        <v>970.41610129726416</v>
      </c>
      <c r="BE40" s="2862">
        <f t="shared" ca="1" si="9"/>
        <v>976.35563211308579</v>
      </c>
      <c r="BF40" s="2862">
        <f t="shared" ca="1" si="9"/>
        <v>982.93217802676475</v>
      </c>
      <c r="BG40" s="2862">
        <f t="shared" ca="1" si="9"/>
        <v>987.4628060370934</v>
      </c>
      <c r="BH40" s="2862">
        <f t="shared" ca="1" si="9"/>
        <v>993.13453402916116</v>
      </c>
      <c r="BI40" s="2862">
        <f t="shared" ca="1" si="9"/>
        <v>1000.8691636138399</v>
      </c>
      <c r="BJ40" s="1169"/>
      <c r="BK40" s="1021"/>
    </row>
    <row r="41" spans="2:66" s="410" customFormat="1">
      <c r="B41" s="1162"/>
      <c r="C41" s="1164" t="s">
        <v>315</v>
      </c>
      <c r="D41" s="1164" t="str">
        <f>INDEX(Vectors[Description], MATCH($C41, Vectors[Code], 0))</f>
        <v>Coal oversupply (imports)</v>
      </c>
      <c r="E41" s="166"/>
      <c r="F41" s="1184"/>
      <c r="G41" s="1184"/>
      <c r="H41" s="1188"/>
      <c r="I41" s="1188"/>
      <c r="J41" s="1188"/>
      <c r="K41" s="1188"/>
      <c r="L41" s="1188"/>
      <c r="M41" s="1188"/>
      <c r="N41" s="1188"/>
      <c r="O41" s="1188"/>
      <c r="P41" s="1188"/>
      <c r="Q41" s="1188"/>
      <c r="R41" s="1188"/>
      <c r="S41" s="1188"/>
      <c r="T41" s="1188"/>
      <c r="U41" s="1188"/>
      <c r="V41" s="1188"/>
      <c r="W41" s="1188"/>
      <c r="X41" s="1188"/>
      <c r="Y41" s="1188"/>
      <c r="Z41" s="1188"/>
      <c r="AA41" s="1188"/>
      <c r="AB41" s="1188"/>
      <c r="AC41" s="1188"/>
      <c r="AD41" s="1188"/>
      <c r="AE41" s="1188"/>
      <c r="AF41" s="1188"/>
      <c r="AG41" s="1188"/>
      <c r="AH41" s="1188"/>
      <c r="AI41" s="1188"/>
      <c r="AJ41" s="1188"/>
      <c r="AK41" s="1188"/>
      <c r="AL41" s="1188"/>
      <c r="AM41" s="1188"/>
      <c r="AN41" s="1188"/>
      <c r="AO41" s="1188"/>
      <c r="AP41" s="1188"/>
      <c r="AQ41" s="1188"/>
      <c r="AR41" s="1188"/>
      <c r="AS41" s="1188"/>
      <c r="AT41" s="1188"/>
      <c r="AU41" s="1188"/>
      <c r="AV41" s="1188"/>
      <c r="AW41" s="1188"/>
      <c r="AX41" s="166"/>
      <c r="AY41" s="2861">
        <f ca="1">-INDEX(INDIRECT("'"&amp;AY$4&amp;"'!Year.NetBalance"), MATCH('Oil Story'!$C41, INDIRECT("'"&amp;AY$4&amp;"'!Year.Vectors"), 0))</f>
        <v>312.87744559290513</v>
      </c>
      <c r="AZ41" s="2861"/>
      <c r="BA41" s="2861">
        <f ca="1">-INDEX(INDIRECT("'"&amp;BA$4&amp;"'!Year.NetBalance"), MATCH('Oil Story'!$C41, INDIRECT("'"&amp;BA$4&amp;"'!Year.Vectors"), 0))</f>
        <v>533.85548221406225</v>
      </c>
      <c r="BB41" s="2861">
        <f ca="1">-INDEX(INDIRECT("'"&amp;BB$4&amp;"'!Year.NetBalance"), MATCH('Oil Story'!$C41, INDIRECT("'"&amp;BB$4&amp;"'!Year.Vectors"), 0))</f>
        <v>1349.5453480108031</v>
      </c>
      <c r="BC41" s="2861">
        <f ca="1">-INDEX(INDIRECT("'"&amp;BC$4&amp;"'!Year.NetBalance"), MATCH('Oil Story'!$C41, INDIRECT("'"&amp;BC$4&amp;"'!Year.Vectors"), 0))</f>
        <v>3068.214410803027</v>
      </c>
      <c r="BD41" s="2861">
        <f ca="1">-INDEX(INDIRECT("'"&amp;BD$4&amp;"'!Year.NetBalance"), MATCH('Oil Story'!$C41, INDIRECT("'"&amp;BD$4&amp;"'!Year.Vectors"), 0))</f>
        <v>5462.9307882709118</v>
      </c>
      <c r="BE41" s="2861">
        <f ca="1">-INDEX(INDIRECT("'"&amp;BE$4&amp;"'!Year.NetBalance"), MATCH('Oil Story'!$C41, INDIRECT("'"&amp;BE$4&amp;"'!Year.Vectors"), 0))</f>
        <v>8849.3886004507167</v>
      </c>
      <c r="BF41" s="2861">
        <f ca="1">-INDEX(INDIRECT("'"&amp;BF$4&amp;"'!Year.NetBalance"), MATCH('Oil Story'!$C41, INDIRECT("'"&amp;BF$4&amp;"'!Year.Vectors"), 0))</f>
        <v>11988.489821833136</v>
      </c>
      <c r="BG41" s="2861">
        <f ca="1">-INDEX(INDIRECT("'"&amp;BG$4&amp;"'!Year.NetBalance"), MATCH('Oil Story'!$C41, INDIRECT("'"&amp;BG$4&amp;"'!Year.Vectors"), 0))</f>
        <v>16113.370591179753</v>
      </c>
      <c r="BH41" s="2861">
        <f ca="1">-INDEX(INDIRECT("'"&amp;BH$4&amp;"'!Year.NetBalance"), MATCH('Oil Story'!$C41, INDIRECT("'"&amp;BH$4&amp;"'!Year.Vectors"), 0))</f>
        <v>19769.818192917424</v>
      </c>
      <c r="BI41" s="2861">
        <f ca="1">-INDEX(INDIRECT("'"&amp;BI$4&amp;"'!Year.NetBalance"), MATCH('Oil Story'!$C41, INDIRECT("'"&amp;BI$4&amp;"'!Year.Vectors"), 0))</f>
        <v>23701.654511114481</v>
      </c>
      <c r="BJ41" s="1166"/>
      <c r="BK41" s="1021"/>
    </row>
    <row r="42" spans="2:66" s="410" customFormat="1">
      <c r="B42" s="164"/>
      <c r="C42" s="1164" t="s">
        <v>320</v>
      </c>
      <c r="D42" s="1164" t="str">
        <f>INDEX(Vectors[Description], MATCH($C42, Vectors[Code], 0))</f>
        <v>Coal reserves</v>
      </c>
      <c r="E42" s="166"/>
      <c r="F42" s="1184"/>
      <c r="G42" s="1184"/>
      <c r="H42" s="1188"/>
      <c r="I42" s="1188"/>
      <c r="J42" s="1188"/>
      <c r="K42" s="1188"/>
      <c r="L42" s="1188"/>
      <c r="M42" s="1188"/>
      <c r="N42" s="1188"/>
      <c r="O42" s="1188"/>
      <c r="P42" s="1188"/>
      <c r="Q42" s="1188"/>
      <c r="R42" s="1188"/>
      <c r="S42" s="1188"/>
      <c r="T42" s="1188"/>
      <c r="U42" s="1188"/>
      <c r="V42" s="1188"/>
      <c r="W42" s="1188"/>
      <c r="X42" s="1188"/>
      <c r="Y42" s="1188"/>
      <c r="Z42" s="1188"/>
      <c r="AA42" s="1188"/>
      <c r="AB42" s="1188"/>
      <c r="AC42" s="1188"/>
      <c r="AD42" s="1188"/>
      <c r="AE42" s="1188"/>
      <c r="AF42" s="1188"/>
      <c r="AG42" s="1188"/>
      <c r="AH42" s="1188"/>
      <c r="AI42" s="1188"/>
      <c r="AJ42" s="1188"/>
      <c r="AK42" s="1188"/>
      <c r="AL42" s="1188"/>
      <c r="AM42" s="1188"/>
      <c r="AN42" s="1188"/>
      <c r="AO42" s="1188"/>
      <c r="AP42" s="1188"/>
      <c r="AQ42" s="1188"/>
      <c r="AR42" s="1188"/>
      <c r="AS42" s="1188"/>
      <c r="AT42" s="1188"/>
      <c r="AU42" s="1188"/>
      <c r="AV42" s="1188"/>
      <c r="AW42" s="1188"/>
      <c r="AX42" s="166"/>
      <c r="AY42" s="2861">
        <f ca="1">-INDEX(INDIRECT("'"&amp;AY$4&amp;"'!Year.NetBalance"), MATCH('Oil Story'!$C42, INDIRECT("'"&amp;AY$4&amp;"'!Year.Vectors"), 0))</f>
        <v>2003.3688000000002</v>
      </c>
      <c r="AZ42" s="2861"/>
      <c r="BA42" s="2861">
        <f ca="1">-INDEX(INDIRECT("'"&amp;BA$4&amp;"'!Year.NetBalance"), MATCH('Oil Story'!$C42, INDIRECT("'"&amp;BA$4&amp;"'!Year.Vectors"), 0))</f>
        <v>2704.3935000000001</v>
      </c>
      <c r="BB42" s="2861">
        <f ca="1">-INDEX(INDIRECT("'"&amp;BB$4&amp;"'!Year.NetBalance"), MATCH('Oil Story'!$C42, INDIRECT("'"&amp;BB$4&amp;"'!Year.Vectors"), 0))</f>
        <v>3143.1914134327285</v>
      </c>
      <c r="BC42" s="2861">
        <f ca="1">-INDEX(INDIRECT("'"&amp;BC$4&amp;"'!Year.NetBalance"), MATCH('Oil Story'!$C42, INDIRECT("'"&amp;BC$4&amp;"'!Year.Vectors"), 0))</f>
        <v>3584.1507638983121</v>
      </c>
      <c r="BD42" s="2861">
        <f ca="1">-INDEX(INDIRECT("'"&amp;BD$4&amp;"'!Year.NetBalance"), MATCH('Oil Story'!$C42, INDIRECT("'"&amp;BD$4&amp;"'!Year.Vectors"), 0))</f>
        <v>3874.5049279836685</v>
      </c>
      <c r="BE42" s="2861">
        <f ca="1">-INDEX(INDIRECT("'"&amp;BE$4&amp;"'!Year.NetBalance"), MATCH('Oil Story'!$C42, INDIRECT("'"&amp;BE$4&amp;"'!Year.Vectors"), 0))</f>
        <v>3958.482454759453</v>
      </c>
      <c r="BF42" s="2861">
        <f ca="1">-INDEX(INDIRECT("'"&amp;BF$4&amp;"'!Year.NetBalance"), MATCH('Oil Story'!$C42, INDIRECT("'"&amp;BF$4&amp;"'!Year.Vectors"), 0))</f>
        <v>4025.5714811854732</v>
      </c>
      <c r="BG42" s="2861">
        <f ca="1">-INDEX(INDIRECT("'"&amp;BG$4&amp;"'!Year.NetBalance"), MATCH('Oil Story'!$C42, INDIRECT("'"&amp;BG$4&amp;"'!Year.Vectors"), 0))</f>
        <v>3406.6022071917232</v>
      </c>
      <c r="BH42" s="2861">
        <f ca="1">-INDEX(INDIRECT("'"&amp;BH$4&amp;"'!Year.NetBalance"), MATCH('Oil Story'!$C42, INDIRECT("'"&amp;BH$4&amp;"'!Year.Vectors"), 0))</f>
        <v>2878.2636796999973</v>
      </c>
      <c r="BI42" s="2861">
        <f ca="1">-INDEX(INDIRECT("'"&amp;BI$4&amp;"'!Year.NetBalance"), MATCH('Oil Story'!$C42, INDIRECT("'"&amp;BI$4&amp;"'!Year.Vectors"), 0))</f>
        <v>2435.1118288080042</v>
      </c>
      <c r="BJ42" s="1166"/>
      <c r="BK42" s="1021"/>
    </row>
    <row r="43" spans="2:66">
      <c r="B43" s="1162"/>
      <c r="C43" s="166"/>
      <c r="D43" s="166" t="s">
        <v>102</v>
      </c>
      <c r="E43" s="166"/>
      <c r="F43" s="1184"/>
      <c r="G43" s="1184"/>
      <c r="H43" s="1188"/>
      <c r="I43" s="1188"/>
      <c r="J43" s="1188"/>
      <c r="K43" s="1188"/>
      <c r="L43" s="1188"/>
      <c r="M43" s="1188"/>
      <c r="N43" s="1188"/>
      <c r="O43" s="1188"/>
      <c r="P43" s="1188"/>
      <c r="Q43" s="1188"/>
      <c r="R43" s="1188"/>
      <c r="S43" s="1188"/>
      <c r="T43" s="1188"/>
      <c r="U43" s="1188"/>
      <c r="V43" s="1188"/>
      <c r="W43" s="1188"/>
      <c r="X43" s="1188"/>
      <c r="Y43" s="1188"/>
      <c r="Z43" s="1188"/>
      <c r="AA43" s="1188"/>
      <c r="AB43" s="1188"/>
      <c r="AC43" s="1188"/>
      <c r="AD43" s="1188"/>
      <c r="AE43" s="1188"/>
      <c r="AF43" s="1188"/>
      <c r="AG43" s="1188"/>
      <c r="AH43" s="1188"/>
      <c r="AI43" s="1188"/>
      <c r="AJ43" s="1188"/>
      <c r="AK43" s="1188"/>
      <c r="AL43" s="1188"/>
      <c r="AM43" s="1188"/>
      <c r="AN43" s="1188"/>
      <c r="AO43" s="1188"/>
      <c r="AP43" s="1188"/>
      <c r="AQ43" s="1188"/>
      <c r="AR43" s="1188"/>
      <c r="AS43" s="1188"/>
      <c r="AT43" s="1188"/>
      <c r="AU43" s="1188"/>
      <c r="AV43" s="1188"/>
      <c r="AW43" s="1188"/>
      <c r="AX43" s="166"/>
      <c r="AY43" s="2862">
        <f ca="1">IF(AY41&lt;0,AY42,SUM(AY41:AY42))</f>
        <v>2316.2462455929053</v>
      </c>
      <c r="AZ43" s="2862"/>
      <c r="BA43" s="2862">
        <f t="shared" ref="BA43:BI43" ca="1" si="10">IF(BA41&lt;0,BA42,SUM(BA41:BA42))</f>
        <v>3238.2489822140624</v>
      </c>
      <c r="BB43" s="2862">
        <f t="shared" ca="1" si="10"/>
        <v>4492.7367614435316</v>
      </c>
      <c r="BC43" s="2862">
        <f t="shared" ca="1" si="10"/>
        <v>6652.3651747013391</v>
      </c>
      <c r="BD43" s="2862">
        <f t="shared" ca="1" si="10"/>
        <v>9337.4357162545803</v>
      </c>
      <c r="BE43" s="2862">
        <f t="shared" ca="1" si="10"/>
        <v>12807.871055210169</v>
      </c>
      <c r="BF43" s="2862">
        <f t="shared" ca="1" si="10"/>
        <v>16014.06130301861</v>
      </c>
      <c r="BG43" s="2862">
        <f t="shared" ca="1" si="10"/>
        <v>19519.972798371477</v>
      </c>
      <c r="BH43" s="2862">
        <f t="shared" ca="1" si="10"/>
        <v>22648.081872617422</v>
      </c>
      <c r="BI43" s="2862">
        <f t="shared" ca="1" si="10"/>
        <v>26136.766339922484</v>
      </c>
      <c r="BJ43" s="1169"/>
      <c r="BK43" s="1021"/>
      <c r="BM43" s="22"/>
      <c r="BN43" s="22"/>
    </row>
    <row r="44" spans="2:66" s="410" customFormat="1">
      <c r="B44" s="1162"/>
      <c r="C44" s="1164" t="s">
        <v>321</v>
      </c>
      <c r="D44" s="1164" t="str">
        <f>INDEX(Vectors[Description], MATCH($C44, Vectors[Code], 0))</f>
        <v>Oil reserves</v>
      </c>
      <c r="E44" s="166"/>
      <c r="F44" s="1184"/>
      <c r="G44" s="1184"/>
      <c r="H44" s="1188"/>
      <c r="I44" s="1188"/>
      <c r="J44" s="1188"/>
      <c r="K44" s="1188"/>
      <c r="L44" s="1188"/>
      <c r="M44" s="1188"/>
      <c r="N44" s="1188"/>
      <c r="O44" s="1188"/>
      <c r="P44" s="1188"/>
      <c r="Q44" s="1188"/>
      <c r="R44" s="1188"/>
      <c r="S44" s="1188"/>
      <c r="T44" s="1188"/>
      <c r="U44" s="1188"/>
      <c r="V44" s="1188"/>
      <c r="W44" s="1188"/>
      <c r="X44" s="1188"/>
      <c r="Y44" s="1188"/>
      <c r="Z44" s="1188"/>
      <c r="AA44" s="1188"/>
      <c r="AB44" s="1188"/>
      <c r="AC44" s="1188"/>
      <c r="AD44" s="1188"/>
      <c r="AE44" s="1188"/>
      <c r="AF44" s="1188"/>
      <c r="AG44" s="1188"/>
      <c r="AH44" s="1188"/>
      <c r="AI44" s="1188"/>
      <c r="AJ44" s="1188"/>
      <c r="AK44" s="1188"/>
      <c r="AL44" s="1188"/>
      <c r="AM44" s="1188"/>
      <c r="AN44" s="1188"/>
      <c r="AO44" s="1188"/>
      <c r="AP44" s="1188"/>
      <c r="AQ44" s="1188"/>
      <c r="AR44" s="1188"/>
      <c r="AS44" s="1188"/>
      <c r="AT44" s="1188"/>
      <c r="AU44" s="1188"/>
      <c r="AV44" s="1188"/>
      <c r="AW44" s="1188"/>
      <c r="AX44" s="166"/>
      <c r="AY44" s="2861">
        <f ca="1">-INDEX(INDIRECT("'"&amp;AY$4&amp;"'!Year.NetBalance"), MATCH('Oil Story'!$C44, INDIRECT("'"&amp;AY$4&amp;"'!Year.Vectors"), 0))</f>
        <v>395.28044</v>
      </c>
      <c r="AZ44" s="2861"/>
      <c r="BA44" s="2861">
        <f ca="1">-INDEX(INDIRECT("'"&amp;BA$4&amp;"'!Year.NetBalance"), MATCH('Oil Story'!$C44, INDIRECT("'"&amp;BA$4&amp;"'!Year.Vectors"), 0))</f>
        <v>442.98669999999993</v>
      </c>
      <c r="BB44" s="2861">
        <f ca="1">-INDEX(INDIRECT("'"&amp;BB$4&amp;"'!Year.NetBalance"), MATCH('Oil Story'!$C44, INDIRECT("'"&amp;BB$4&amp;"'!Year.Vectors"), 0))</f>
        <v>480.4207945988</v>
      </c>
      <c r="BC44" s="2861">
        <f ca="1">-INDEX(INDIRECT("'"&amp;BC$4&amp;"'!Year.NetBalance"), MATCH('Oil Story'!$C44, INDIRECT("'"&amp;BC$4&amp;"'!Year.Vectors"), 0))</f>
        <v>406.8218875356273</v>
      </c>
      <c r="BD44" s="2861">
        <f ca="1">-INDEX(INDIRECT("'"&amp;BD$4&amp;"'!Year.NetBalance"), MATCH('Oil Story'!$C44, INDIRECT("'"&amp;BD$4&amp;"'!Year.Vectors"), 0))</f>
        <v>404.69271243177428</v>
      </c>
      <c r="BE44" s="2861">
        <f ca="1">-INDEX(INDIRECT("'"&amp;BE$4&amp;"'!Year.NetBalance"), MATCH('Oil Story'!$C44, INDIRECT("'"&amp;BE$4&amp;"'!Year.Vectors"), 0))</f>
        <v>402.83638767071136</v>
      </c>
      <c r="BF44" s="2861">
        <f ca="1">-INDEX(INDIRECT("'"&amp;BF$4&amp;"'!Year.NetBalance"), MATCH('Oil Story'!$C44, INDIRECT("'"&amp;BF$4&amp;"'!Year.Vectors"), 0))</f>
        <v>401.68501767071086</v>
      </c>
      <c r="BG44" s="2861">
        <f ca="1">-INDEX(INDIRECT("'"&amp;BG$4&amp;"'!Year.NetBalance"), MATCH('Oil Story'!$C44, INDIRECT("'"&amp;BG$4&amp;"'!Year.Vectors"), 0))</f>
        <v>401.13024685060918</v>
      </c>
      <c r="BH44" s="2861">
        <f ca="1">-INDEX(INDIRECT("'"&amp;BH$4&amp;"'!Year.NetBalance"), MATCH('Oil Story'!$C44, INDIRECT("'"&amp;BH$4&amp;"'!Year.Vectors"), 0))</f>
        <v>401.18988105870324</v>
      </c>
      <c r="BI44" s="2861">
        <f ca="1">-INDEX(INDIRECT("'"&amp;BI$4&amp;"'!Year.NetBalance"), MATCH('Oil Story'!$C44, INDIRECT("'"&amp;BI$4&amp;"'!Year.Vectors"), 0))</f>
        <v>401.88812295573837</v>
      </c>
      <c r="BJ44" s="1166"/>
      <c r="BK44" s="1021"/>
      <c r="BM44" s="1167"/>
    </row>
    <row r="45" spans="2:66" s="410" customFormat="1">
      <c r="B45" s="164"/>
      <c r="C45" s="1164" t="s">
        <v>316</v>
      </c>
      <c r="D45" s="1164" t="str">
        <f>INDEX(Vectors[Description], MATCH($C45, Vectors[Code], 0))</f>
        <v>Oil and petroleum products oversupply (imports)</v>
      </c>
      <c r="E45" s="166"/>
      <c r="F45" s="1184"/>
      <c r="G45" s="1184"/>
      <c r="H45" s="1188"/>
      <c r="I45" s="1188"/>
      <c r="J45" s="1188"/>
      <c r="K45" s="1188"/>
      <c r="L45" s="1188"/>
      <c r="M45" s="1188"/>
      <c r="N45" s="1188"/>
      <c r="O45" s="1188"/>
      <c r="P45" s="1188"/>
      <c r="Q45" s="1188"/>
      <c r="R45" s="1188"/>
      <c r="S45" s="1188"/>
      <c r="T45" s="1188"/>
      <c r="U45" s="1188"/>
      <c r="V45" s="1188"/>
      <c r="W45" s="1188"/>
      <c r="X45" s="1188"/>
      <c r="Y45" s="1188"/>
      <c r="Z45" s="1188"/>
      <c r="AA45" s="1188"/>
      <c r="AB45" s="1188"/>
      <c r="AC45" s="1188"/>
      <c r="AD45" s="1188"/>
      <c r="AE45" s="1188"/>
      <c r="AF45" s="1188"/>
      <c r="AG45" s="1188"/>
      <c r="AH45" s="1188"/>
      <c r="AI45" s="1188"/>
      <c r="AJ45" s="1188"/>
      <c r="AK45" s="1188"/>
      <c r="AL45" s="1188"/>
      <c r="AM45" s="1188"/>
      <c r="AN45" s="1188"/>
      <c r="AO45" s="1188"/>
      <c r="AP45" s="1188"/>
      <c r="AQ45" s="1188"/>
      <c r="AR45" s="1188"/>
      <c r="AS45" s="1188"/>
      <c r="AT45" s="1188"/>
      <c r="AU45" s="1188"/>
      <c r="AV45" s="1188"/>
      <c r="AW45" s="1188"/>
      <c r="AX45" s="166"/>
      <c r="AY45" s="2861">
        <f ca="1">-INDEX(INDIRECT("'"&amp;AY$4&amp;"'!Year.NetBalance"), MATCH('Oil Story'!$C45, INDIRECT("'"&amp;AY$4&amp;"'!Year.Vectors"), 0))</f>
        <v>1217.3455995924837</v>
      </c>
      <c r="AZ45" s="2861"/>
      <c r="BA45" s="2861">
        <f ca="1">-INDEX(INDIRECT("'"&amp;BA$4&amp;"'!Year.NetBalance"), MATCH('Oil Story'!$C45, INDIRECT("'"&amp;BA$4&amp;"'!Year.Vectors"), 0))</f>
        <v>1466.5905800259968</v>
      </c>
      <c r="BB45" s="2861">
        <f ca="1">-INDEX(INDIRECT("'"&amp;BB$4&amp;"'!Year.NetBalance"), MATCH('Oil Story'!$C45, INDIRECT("'"&amp;BB$4&amp;"'!Year.Vectors"), 0))</f>
        <v>2100.3206137516681</v>
      </c>
      <c r="BC45" s="2861">
        <f ca="1">-INDEX(INDIRECT("'"&amp;BC$4&amp;"'!Year.NetBalance"), MATCH('Oil Story'!$C45, INDIRECT("'"&amp;BC$4&amp;"'!Year.Vectors"), 0))</f>
        <v>3054.2541317150194</v>
      </c>
      <c r="BD45" s="2861">
        <f ca="1">-INDEX(INDIRECT("'"&amp;BD$4&amp;"'!Year.NetBalance"), MATCH('Oil Story'!$C45, INDIRECT("'"&amp;BD$4&amp;"'!Year.Vectors"), 0))</f>
        <v>4102.7795788608364</v>
      </c>
      <c r="BE45" s="2861">
        <f ca="1">-INDEX(INDIRECT("'"&amp;BE$4&amp;"'!Year.NetBalance"), MATCH('Oil Story'!$C45, INDIRECT("'"&amp;BE$4&amp;"'!Year.Vectors"), 0))</f>
        <v>5330.667265334645</v>
      </c>
      <c r="BF45" s="2861">
        <f ca="1">-INDEX(INDIRECT("'"&amp;BF$4&amp;"'!Year.NetBalance"), MATCH('Oil Story'!$C45, INDIRECT("'"&amp;BF$4&amp;"'!Year.Vectors"), 0))</f>
        <v>6703.2930240172882</v>
      </c>
      <c r="BG45" s="2861">
        <f ca="1">-INDEX(INDIRECT("'"&amp;BG$4&amp;"'!Year.NetBalance"), MATCH('Oil Story'!$C45, INDIRECT("'"&amp;BG$4&amp;"'!Year.Vectors"), 0))</f>
        <v>8096.4219235944875</v>
      </c>
      <c r="BH45" s="2861">
        <f ca="1">-INDEX(INDIRECT("'"&amp;BH$4&amp;"'!Year.NetBalance"), MATCH('Oil Story'!$C45, INDIRECT("'"&amp;BH$4&amp;"'!Year.Vectors"), 0))</f>
        <v>9663.2311319982509</v>
      </c>
      <c r="BI45" s="2861">
        <f ca="1">-INDEX(INDIRECT("'"&amp;BI$4&amp;"'!Year.NetBalance"), MATCH('Oil Story'!$C45, INDIRECT("'"&amp;BI$4&amp;"'!Year.Vectors"), 0))</f>
        <v>11338.566432233665</v>
      </c>
      <c r="BJ45" s="1166"/>
      <c r="BK45" s="1021"/>
      <c r="BM45" s="1167"/>
    </row>
    <row r="46" spans="2:66">
      <c r="B46" s="1162"/>
      <c r="C46" s="166"/>
      <c r="D46" s="166" t="s">
        <v>422</v>
      </c>
      <c r="E46" s="166"/>
      <c r="F46" s="1184"/>
      <c r="G46" s="1184"/>
      <c r="H46" s="1188"/>
      <c r="I46" s="1188"/>
      <c r="J46" s="1188"/>
      <c r="K46" s="1188"/>
      <c r="L46" s="1188"/>
      <c r="M46" s="1188"/>
      <c r="N46" s="1188"/>
      <c r="O46" s="1188"/>
      <c r="P46" s="1188"/>
      <c r="Q46" s="1188"/>
      <c r="R46" s="1188"/>
      <c r="S46" s="1188"/>
      <c r="T46" s="1188"/>
      <c r="U46" s="1188"/>
      <c r="V46" s="1188"/>
      <c r="W46" s="1188"/>
      <c r="X46" s="1188"/>
      <c r="Y46" s="1188"/>
      <c r="Z46" s="1188"/>
      <c r="AA46" s="1188"/>
      <c r="AB46" s="1188"/>
      <c r="AC46" s="1188"/>
      <c r="AD46" s="1188"/>
      <c r="AE46" s="1188"/>
      <c r="AF46" s="1188"/>
      <c r="AG46" s="1188"/>
      <c r="AH46" s="1188"/>
      <c r="AI46" s="1188"/>
      <c r="AJ46" s="1188"/>
      <c r="AK46" s="1188"/>
      <c r="AL46" s="1188"/>
      <c r="AM46" s="1188"/>
      <c r="AN46" s="1188"/>
      <c r="AO46" s="1188"/>
      <c r="AP46" s="1188"/>
      <c r="AQ46" s="1188"/>
      <c r="AR46" s="1188"/>
      <c r="AS46" s="1188"/>
      <c r="AT46" s="1188"/>
      <c r="AU46" s="1188"/>
      <c r="AV46" s="1188"/>
      <c r="AW46" s="1188"/>
      <c r="AX46" s="166"/>
      <c r="AY46" s="2862">
        <f ca="1">SUM(AY44:AY45)</f>
        <v>1612.6260395924837</v>
      </c>
      <c r="AZ46" s="2862"/>
      <c r="BA46" s="2862">
        <f t="shared" ref="BA46:BI46" ca="1" si="11">SUM(BA44:BA45)</f>
        <v>1909.5772800259967</v>
      </c>
      <c r="BB46" s="2862">
        <f t="shared" ca="1" si="11"/>
        <v>2580.7414083504682</v>
      </c>
      <c r="BC46" s="2862">
        <f t="shared" ca="1" si="11"/>
        <v>3461.0760192506468</v>
      </c>
      <c r="BD46" s="2862">
        <f t="shared" ca="1" si="11"/>
        <v>4507.4722912926109</v>
      </c>
      <c r="BE46" s="2862">
        <f t="shared" ca="1" si="11"/>
        <v>5733.5036530053567</v>
      </c>
      <c r="BF46" s="2862">
        <f t="shared" ca="1" si="11"/>
        <v>7104.9780416879994</v>
      </c>
      <c r="BG46" s="2862">
        <f t="shared" ca="1" si="11"/>
        <v>8497.5521704450966</v>
      </c>
      <c r="BH46" s="2862">
        <f t="shared" ca="1" si="11"/>
        <v>10064.421013056954</v>
      </c>
      <c r="BI46" s="2862">
        <f t="shared" ca="1" si="11"/>
        <v>11740.454555189404</v>
      </c>
      <c r="BJ46" s="1169"/>
      <c r="BK46" s="250"/>
      <c r="BM46" s="22"/>
      <c r="BN46" s="22"/>
    </row>
    <row r="47" spans="2:66" s="410" customFormat="1">
      <c r="B47" s="1162"/>
      <c r="C47" s="1164" t="s">
        <v>317</v>
      </c>
      <c r="D47" s="1164" t="str">
        <f>INDEX(Vectors[Description], MATCH($C47, Vectors[Code], 0))</f>
        <v>Gas oversupply (imports)</v>
      </c>
      <c r="E47" s="166"/>
      <c r="F47" s="1184"/>
      <c r="G47" s="1184"/>
      <c r="H47" s="1188"/>
      <c r="I47" s="1188"/>
      <c r="J47" s="1188"/>
      <c r="K47" s="1188"/>
      <c r="L47" s="1188"/>
      <c r="M47" s="1188"/>
      <c r="N47" s="1188"/>
      <c r="O47" s="1188"/>
      <c r="P47" s="1188"/>
      <c r="Q47" s="1188"/>
      <c r="R47" s="1188"/>
      <c r="S47" s="1188"/>
      <c r="T47" s="1188"/>
      <c r="U47" s="1188"/>
      <c r="V47" s="1188"/>
      <c r="W47" s="1188"/>
      <c r="X47" s="1188"/>
      <c r="Y47" s="1188"/>
      <c r="Z47" s="1188"/>
      <c r="AA47" s="1188"/>
      <c r="AB47" s="1188"/>
      <c r="AC47" s="1188"/>
      <c r="AD47" s="1188"/>
      <c r="AE47" s="1188"/>
      <c r="AF47" s="1188"/>
      <c r="AG47" s="1188"/>
      <c r="AH47" s="1188"/>
      <c r="AI47" s="1188"/>
      <c r="AJ47" s="1188"/>
      <c r="AK47" s="1188"/>
      <c r="AL47" s="1188"/>
      <c r="AM47" s="1188"/>
      <c r="AN47" s="1188"/>
      <c r="AO47" s="1188"/>
      <c r="AP47" s="1188"/>
      <c r="AQ47" s="1188"/>
      <c r="AR47" s="1188"/>
      <c r="AS47" s="1188"/>
      <c r="AT47" s="1188"/>
      <c r="AU47" s="1188"/>
      <c r="AV47" s="1188"/>
      <c r="AW47" s="1188"/>
      <c r="AX47" s="166"/>
      <c r="AY47" s="2861">
        <f ca="1">-INDEX(INDIRECT("'"&amp;AY$4&amp;"'!Year.NetBalance"), MATCH('Oil Story'!$C47, INDIRECT("'"&amp;AY$4&amp;"'!Year.Vectors"), 0))</f>
        <v>153.83385468740386</v>
      </c>
      <c r="AZ47" s="2861"/>
      <c r="BA47" s="2861">
        <f ca="1">-INDEX(INDIRECT("'"&amp;BA$4&amp;"'!Year.NetBalance"), MATCH('Oil Story'!$C47, INDIRECT("'"&amp;BA$4&amp;"'!Year.Vectors"), 0))</f>
        <v>158.80496962180251</v>
      </c>
      <c r="BB47" s="2861">
        <f ca="1">-INDEX(INDIRECT("'"&amp;BB$4&amp;"'!Year.NetBalance"), MATCH('Oil Story'!$C47, INDIRECT("'"&amp;BB$4&amp;"'!Year.Vectors"), 0))</f>
        <v>447.28146847936694</v>
      </c>
      <c r="BC47" s="2861">
        <f ca="1">-INDEX(INDIRECT("'"&amp;BC$4&amp;"'!Year.NetBalance"), MATCH('Oil Story'!$C47, INDIRECT("'"&amp;BC$4&amp;"'!Year.Vectors"), 0))</f>
        <v>580.82834753994018</v>
      </c>
      <c r="BD47" s="2861">
        <f ca="1">-INDEX(INDIRECT("'"&amp;BD$4&amp;"'!Year.NetBalance"), MATCH('Oil Story'!$C47, INDIRECT("'"&amp;BD$4&amp;"'!Year.Vectors"), 0))</f>
        <v>719.79234346908368</v>
      </c>
      <c r="BE47" s="2861">
        <f ca="1">-INDEX(INDIRECT("'"&amp;BE$4&amp;"'!Year.NetBalance"), MATCH('Oil Story'!$C47, INDIRECT("'"&amp;BE$4&amp;"'!Year.Vectors"), 0))</f>
        <v>883.00958491906431</v>
      </c>
      <c r="BF47" s="2861">
        <f ca="1">-INDEX(INDIRECT("'"&amp;BF$4&amp;"'!Year.NetBalance"), MATCH('Oil Story'!$C47, INDIRECT("'"&amp;BF$4&amp;"'!Year.Vectors"), 0))</f>
        <v>1091.1358234381285</v>
      </c>
      <c r="BG47" s="2861">
        <f ca="1">-INDEX(INDIRECT("'"&amp;BG$4&amp;"'!Year.NetBalance"), MATCH('Oil Story'!$C47, INDIRECT("'"&amp;BG$4&amp;"'!Year.Vectors"), 0))</f>
        <v>1323.7322738925393</v>
      </c>
      <c r="BH47" s="2861">
        <f ca="1">-INDEX(INDIRECT("'"&amp;BH$4&amp;"'!Year.NetBalance"), MATCH('Oil Story'!$C47, INDIRECT("'"&amp;BH$4&amp;"'!Year.Vectors"), 0))</f>
        <v>1577.3126958590992</v>
      </c>
      <c r="BI47" s="2861">
        <f ca="1">-INDEX(INDIRECT("'"&amp;BI$4&amp;"'!Year.NetBalance"), MATCH('Oil Story'!$C47, INDIRECT("'"&amp;BI$4&amp;"'!Year.Vectors"), 0))</f>
        <v>1879.4436261638216</v>
      </c>
      <c r="BJ47" s="1166"/>
      <c r="BK47" s="1167"/>
      <c r="BM47" s="1167"/>
    </row>
    <row r="48" spans="2:66" s="410" customFormat="1">
      <c r="B48" s="164"/>
      <c r="C48" s="1164" t="s">
        <v>322</v>
      </c>
      <c r="D48" s="1164" t="str">
        <f>INDEX(Vectors[Description], MATCH($C48, Vectors[Code], 0))</f>
        <v>Gas reserves</v>
      </c>
      <c r="E48" s="166"/>
      <c r="F48" s="1184"/>
      <c r="G48" s="1184"/>
      <c r="H48" s="1188"/>
      <c r="I48" s="1188"/>
      <c r="J48" s="1188"/>
      <c r="K48" s="1188"/>
      <c r="L48" s="1188"/>
      <c r="M48" s="1188"/>
      <c r="N48" s="1188"/>
      <c r="O48" s="1188"/>
      <c r="P48" s="1188"/>
      <c r="Q48" s="1188"/>
      <c r="R48" s="1188"/>
      <c r="S48" s="1188"/>
      <c r="T48" s="1188"/>
      <c r="U48" s="1188"/>
      <c r="V48" s="1188"/>
      <c r="W48" s="1188"/>
      <c r="X48" s="1188"/>
      <c r="Y48" s="1188"/>
      <c r="Z48" s="1188"/>
      <c r="AA48" s="1188"/>
      <c r="AB48" s="1188"/>
      <c r="AC48" s="1188"/>
      <c r="AD48" s="1188"/>
      <c r="AE48" s="1188"/>
      <c r="AF48" s="1188"/>
      <c r="AG48" s="1188"/>
      <c r="AH48" s="1188"/>
      <c r="AI48" s="1188"/>
      <c r="AJ48" s="1188"/>
      <c r="AK48" s="1188"/>
      <c r="AL48" s="1188"/>
      <c r="AM48" s="1188"/>
      <c r="AN48" s="1188"/>
      <c r="AO48" s="1188"/>
      <c r="AP48" s="1188"/>
      <c r="AQ48" s="1188"/>
      <c r="AR48" s="1188"/>
      <c r="AS48" s="1188"/>
      <c r="AT48" s="1188"/>
      <c r="AU48" s="1188"/>
      <c r="AV48" s="1188"/>
      <c r="AW48" s="1188"/>
      <c r="AX48" s="166"/>
      <c r="AY48" s="2861">
        <f ca="1">-INDEX(INDIRECT("'"&amp;AY$4&amp;"'!Year.NetBalance"), MATCH('Oil Story'!$C48, INDIRECT("'"&amp;AY$4&amp;"'!Year.Vectors"), 0))</f>
        <v>296.5420125</v>
      </c>
      <c r="AZ48" s="2861"/>
      <c r="BA48" s="2861">
        <f ca="1">-INDEX(INDIRECT("'"&amp;BA$4&amp;"'!Year.NetBalance"), MATCH('Oil Story'!$C48, INDIRECT("'"&amp;BA$4&amp;"'!Year.Vectors"), 0))</f>
        <v>449.1920925</v>
      </c>
      <c r="BB48" s="2861">
        <f ca="1">-INDEX(INDIRECT("'"&amp;BB$4&amp;"'!Year.NetBalance"), MATCH('Oil Story'!$C48, INDIRECT("'"&amp;BB$4&amp;"'!Year.Vectors"), 0))</f>
        <v>507.09261100499998</v>
      </c>
      <c r="BC48" s="2861">
        <f ca="1">-INDEX(INDIRECT("'"&amp;BC$4&amp;"'!Year.NetBalance"), MATCH('Oil Story'!$C48, INDIRECT("'"&amp;BC$4&amp;"'!Year.Vectors"), 0))</f>
        <v>548.56099701000005</v>
      </c>
      <c r="BD48" s="2861">
        <f ca="1">-INDEX(INDIRECT("'"&amp;BD$4&amp;"'!Year.NetBalance"), MATCH('Oil Story'!$C48, INDIRECT("'"&amp;BD$4&amp;"'!Year.Vectors"), 0))</f>
        <v>586.57321805615095</v>
      </c>
      <c r="BE48" s="2861">
        <f ca="1">-INDEX(INDIRECT("'"&amp;BE$4&amp;"'!Year.NetBalance"), MATCH('Oil Story'!$C48, INDIRECT("'"&amp;BE$4&amp;"'!Year.Vectors"), 0))</f>
        <v>641.54155989156084</v>
      </c>
      <c r="BF48" s="2861">
        <f ca="1">-INDEX(INDIRECT("'"&amp;BF$4&amp;"'!Year.NetBalance"), MATCH('Oil Story'!$C48, INDIRECT("'"&amp;BF$4&amp;"'!Year.Vectors"), 0))</f>
        <v>680.54187544379761</v>
      </c>
      <c r="BG48" s="2861">
        <f ca="1">-INDEX(INDIRECT("'"&amp;BG$4&amp;"'!Year.NetBalance"), MATCH('Oil Story'!$C48, INDIRECT("'"&amp;BG$4&amp;"'!Year.Vectors"), 0))</f>
        <v>722.92972840858988</v>
      </c>
      <c r="BH48" s="2861">
        <f ca="1">-INDEX(INDIRECT("'"&amp;BH$4&amp;"'!Year.NetBalance"), MATCH('Oil Story'!$C48, INDIRECT("'"&amp;BH$4&amp;"'!Year.Vectors"), 0))</f>
        <v>769.07133311204609</v>
      </c>
      <c r="BI48" s="2861">
        <f ca="1">-INDEX(INDIRECT("'"&amp;BI$4&amp;"'!Year.NetBalance"), MATCH('Oil Story'!$C48, INDIRECT("'"&amp;BI$4&amp;"'!Year.Vectors"), 0))</f>
        <v>803.22299999999996</v>
      </c>
      <c r="BJ48" s="1166"/>
      <c r="BK48" s="1167"/>
      <c r="BM48" s="1167"/>
    </row>
    <row r="49" spans="1:75">
      <c r="B49" s="1162"/>
      <c r="C49" s="166"/>
      <c r="D49" s="166" t="s">
        <v>117</v>
      </c>
      <c r="E49" s="166"/>
      <c r="F49" s="1184"/>
      <c r="G49" s="1184"/>
      <c r="H49" s="1188"/>
      <c r="I49" s="1188"/>
      <c r="J49" s="1188"/>
      <c r="K49" s="1188"/>
      <c r="L49" s="1188"/>
      <c r="M49" s="1188"/>
      <c r="N49" s="1188"/>
      <c r="O49" s="1188"/>
      <c r="P49" s="1188"/>
      <c r="Q49" s="1188"/>
      <c r="R49" s="1188"/>
      <c r="S49" s="1188"/>
      <c r="T49" s="1188"/>
      <c r="U49" s="1188"/>
      <c r="V49" s="1188"/>
      <c r="W49" s="1188"/>
      <c r="X49" s="1188"/>
      <c r="Y49" s="1188"/>
      <c r="Z49" s="1188"/>
      <c r="AA49" s="1188"/>
      <c r="AB49" s="1188"/>
      <c r="AC49" s="1188"/>
      <c r="AD49" s="1188"/>
      <c r="AE49" s="1188"/>
      <c r="AF49" s="1188"/>
      <c r="AG49" s="1188"/>
      <c r="AH49" s="1188"/>
      <c r="AI49" s="1188"/>
      <c r="AJ49" s="1188"/>
      <c r="AK49" s="1188"/>
      <c r="AL49" s="1188"/>
      <c r="AM49" s="1188"/>
      <c r="AN49" s="1188"/>
      <c r="AO49" s="1188"/>
      <c r="AP49" s="1188"/>
      <c r="AQ49" s="1188"/>
      <c r="AR49" s="1188"/>
      <c r="AS49" s="1188"/>
      <c r="AT49" s="1188"/>
      <c r="AU49" s="1188"/>
      <c r="AV49" s="1188"/>
      <c r="AW49" s="1188"/>
      <c r="AX49" s="166"/>
      <c r="AY49" s="2862">
        <f ca="1">SUM(AY47:AY48)</f>
        <v>450.37586718740386</v>
      </c>
      <c r="AZ49" s="2862"/>
      <c r="BA49" s="2862">
        <f t="shared" ref="BA49:BI49" ca="1" si="12">SUM(BA47:BA48)</f>
        <v>607.99706212180251</v>
      </c>
      <c r="BB49" s="2862">
        <f t="shared" ca="1" si="12"/>
        <v>954.37407948436692</v>
      </c>
      <c r="BC49" s="2862">
        <f t="shared" ca="1" si="12"/>
        <v>1129.3893445499402</v>
      </c>
      <c r="BD49" s="2862">
        <f t="shared" ca="1" si="12"/>
        <v>1306.3655615252346</v>
      </c>
      <c r="BE49" s="2862">
        <f t="shared" ca="1" si="12"/>
        <v>1524.5511448106251</v>
      </c>
      <c r="BF49" s="2862">
        <f t="shared" ca="1" si="12"/>
        <v>1771.6776988819261</v>
      </c>
      <c r="BG49" s="2862">
        <f t="shared" ca="1" si="12"/>
        <v>2046.6620023011292</v>
      </c>
      <c r="BH49" s="2862">
        <f t="shared" ca="1" si="12"/>
        <v>2346.3840289711452</v>
      </c>
      <c r="BI49" s="2862">
        <f t="shared" ca="1" si="12"/>
        <v>2682.6666261638215</v>
      </c>
      <c r="BJ49" s="1169"/>
      <c r="BK49" s="250"/>
      <c r="BM49" s="22"/>
      <c r="BN49" s="22"/>
    </row>
    <row r="50" spans="1:75" s="859" customFormat="1">
      <c r="B50" s="1162"/>
      <c r="C50" s="266"/>
      <c r="D50" s="1174" t="s">
        <v>1138</v>
      </c>
      <c r="E50" s="166"/>
      <c r="F50" s="1184"/>
      <c r="G50" s="1184"/>
      <c r="H50" s="1188"/>
      <c r="I50" s="1188"/>
      <c r="J50" s="1188"/>
      <c r="K50" s="1188"/>
      <c r="L50" s="1188"/>
      <c r="M50" s="1188"/>
      <c r="N50" s="1188"/>
      <c r="O50" s="1188"/>
      <c r="P50" s="1188"/>
      <c r="Q50" s="1188"/>
      <c r="R50" s="1188"/>
      <c r="S50" s="1188"/>
      <c r="T50" s="1188"/>
      <c r="U50" s="1188"/>
      <c r="V50" s="1188"/>
      <c r="W50" s="1188"/>
      <c r="X50" s="1188"/>
      <c r="Y50" s="1188"/>
      <c r="Z50" s="1188"/>
      <c r="AA50" s="1188"/>
      <c r="AB50" s="1188"/>
      <c r="AC50" s="1188"/>
      <c r="AD50" s="1188"/>
      <c r="AE50" s="1188"/>
      <c r="AF50" s="1188"/>
      <c r="AG50" s="1188"/>
      <c r="AH50" s="1188"/>
      <c r="AI50" s="1188"/>
      <c r="AJ50" s="1188"/>
      <c r="AK50" s="1188"/>
      <c r="AL50" s="1188"/>
      <c r="AM50" s="1188"/>
      <c r="AN50" s="1188"/>
      <c r="AO50" s="1188"/>
      <c r="AP50" s="1188"/>
      <c r="AQ50" s="1188"/>
      <c r="AR50" s="1188"/>
      <c r="AS50" s="1188"/>
      <c r="AT50" s="1188"/>
      <c r="AU50" s="1188"/>
      <c r="AV50" s="1188"/>
      <c r="AW50" s="1188"/>
      <c r="AX50" s="166"/>
      <c r="AY50" s="2858">
        <f ca="1">AY35+AY40+AY43+AY46+AY49</f>
        <v>5548.5550119335549</v>
      </c>
      <c r="AZ50" s="2858"/>
      <c r="BA50" s="2858">
        <f t="shared" ref="BA50:BI50" ca="1" si="13">BA35+BA40+BA43+BA46+BA49</f>
        <v>6988.574860214595</v>
      </c>
      <c r="BB50" s="2858">
        <f t="shared" ca="1" si="13"/>
        <v>9440.704159625695</v>
      </c>
      <c r="BC50" s="2858">
        <f t="shared" ca="1" si="13"/>
        <v>12706.133943321098</v>
      </c>
      <c r="BD50" s="2858">
        <f t="shared" ca="1" si="13"/>
        <v>16679.37627136079</v>
      </c>
      <c r="BE50" s="2858">
        <f t="shared" ca="1" si="13"/>
        <v>21665.184662361986</v>
      </c>
      <c r="BF50" s="2858">
        <f t="shared" ca="1" si="13"/>
        <v>26542.436827315214</v>
      </c>
      <c r="BG50" s="2858">
        <f t="shared" ca="1" si="13"/>
        <v>31748.460261156637</v>
      </c>
      <c r="BH50" s="2858">
        <f t="shared" ca="1" si="13"/>
        <v>36749.063932542187</v>
      </c>
      <c r="BI50" s="2858">
        <f t="shared" ca="1" si="13"/>
        <v>42245.521261734444</v>
      </c>
      <c r="BJ50" s="1177"/>
      <c r="BK50" s="1178"/>
      <c r="BL50" s="1085"/>
      <c r="BM50" s="1178"/>
    </row>
    <row r="51" spans="1:75" s="37" customFormat="1">
      <c r="B51" s="164"/>
      <c r="C51" s="1184"/>
      <c r="D51" s="1184"/>
      <c r="E51" s="166"/>
      <c r="F51" s="1184"/>
      <c r="G51" s="1184"/>
      <c r="H51" s="1188"/>
      <c r="I51" s="1188"/>
      <c r="J51" s="1188"/>
      <c r="K51" s="1188"/>
      <c r="L51" s="1188"/>
      <c r="M51" s="1188"/>
      <c r="N51" s="1188"/>
      <c r="O51" s="1188"/>
      <c r="P51" s="1188"/>
      <c r="Q51" s="1188"/>
      <c r="R51" s="1188"/>
      <c r="S51" s="1188"/>
      <c r="T51" s="1188"/>
      <c r="U51" s="1188"/>
      <c r="V51" s="1188"/>
      <c r="W51" s="1188"/>
      <c r="X51" s="1188"/>
      <c r="Y51" s="1188"/>
      <c r="Z51" s="1188"/>
      <c r="AA51" s="1188"/>
      <c r="AB51" s="1188"/>
      <c r="AC51" s="1188"/>
      <c r="AD51" s="1188"/>
      <c r="AE51" s="1188"/>
      <c r="AF51" s="1188"/>
      <c r="AG51" s="1188"/>
      <c r="AH51" s="1188"/>
      <c r="AI51" s="1188"/>
      <c r="AJ51" s="1188"/>
      <c r="AK51" s="1188"/>
      <c r="AL51" s="1188"/>
      <c r="AM51" s="1188"/>
      <c r="AN51" s="1188"/>
      <c r="AO51" s="1188"/>
      <c r="AP51" s="1188"/>
      <c r="AQ51" s="1188"/>
      <c r="AR51" s="1188"/>
      <c r="AS51" s="1188"/>
      <c r="AT51" s="1188"/>
      <c r="AU51" s="1188"/>
      <c r="AV51" s="1188"/>
      <c r="AW51" s="1188"/>
      <c r="AX51" s="166"/>
      <c r="AY51" s="1185"/>
      <c r="AZ51" s="1185"/>
      <c r="BA51" s="3088"/>
      <c r="BB51" s="1185"/>
      <c r="BC51" s="1185"/>
      <c r="BD51" s="1185"/>
      <c r="BE51" s="1185"/>
      <c r="BF51" s="1185"/>
      <c r="BG51" s="1185"/>
      <c r="BH51" s="1185"/>
      <c r="BI51" s="1185">
        <f ca="1">BI50/(1000*1.66)</f>
        <v>25.449109193815929</v>
      </c>
      <c r="BJ51" s="1186"/>
      <c r="BK51" s="90">
        <v>2</v>
      </c>
      <c r="BL51" s="423"/>
      <c r="BM51" s="90"/>
      <c r="BN51" s="145"/>
      <c r="BO51" s="145"/>
      <c r="BP51" s="145"/>
      <c r="BQ51" s="145"/>
      <c r="BR51" s="145"/>
      <c r="BS51" s="145"/>
      <c r="BT51" s="145"/>
      <c r="BU51" s="145"/>
      <c r="BV51" s="145"/>
      <c r="BW51" s="145"/>
    </row>
    <row r="52" spans="1:75" s="37" customFormat="1" ht="18">
      <c r="B52" s="1172"/>
      <c r="C52" s="1184"/>
      <c r="D52" s="3064" t="s">
        <v>2143</v>
      </c>
      <c r="E52" s="166"/>
      <c r="F52" s="1184"/>
      <c r="G52" s="1184"/>
      <c r="H52" s="1188"/>
      <c r="I52" s="1188"/>
      <c r="J52" s="1188"/>
      <c r="K52" s="1188"/>
      <c r="L52" s="1188"/>
      <c r="M52" s="1188"/>
      <c r="N52" s="1188"/>
      <c r="O52" s="1188"/>
      <c r="P52" s="1188"/>
      <c r="Q52" s="1188"/>
      <c r="R52" s="1188"/>
      <c r="S52" s="1188"/>
      <c r="T52" s="1188"/>
      <c r="U52" s="1188"/>
      <c r="V52" s="1188"/>
      <c r="W52" s="1188"/>
      <c r="X52" s="1188"/>
      <c r="Y52" s="1188"/>
      <c r="Z52" s="1188"/>
      <c r="AA52" s="1188"/>
      <c r="AB52" s="1188"/>
      <c r="AC52" s="1188"/>
      <c r="AD52" s="1188"/>
      <c r="AE52" s="1188"/>
      <c r="AF52" s="1188"/>
      <c r="AG52" s="1188"/>
      <c r="AH52" s="1188"/>
      <c r="AI52" s="1188"/>
      <c r="AJ52" s="1188"/>
      <c r="AK52" s="1188"/>
      <c r="AL52" s="1188"/>
      <c r="AM52" s="1188"/>
      <c r="AN52" s="1188"/>
      <c r="AO52" s="1188"/>
      <c r="AP52" s="1188"/>
      <c r="AQ52" s="1188"/>
      <c r="AR52" s="1188"/>
      <c r="AS52" s="1188"/>
      <c r="AT52" s="1188"/>
      <c r="AU52" s="1188"/>
      <c r="AV52" s="1188"/>
      <c r="AW52" s="1188"/>
      <c r="AX52" s="166"/>
      <c r="AY52" s="3152">
        <v>5547.1980979558302</v>
      </c>
      <c r="AZ52" s="3152"/>
      <c r="BA52" s="3152">
        <v>6941.9888895050326</v>
      </c>
      <c r="BB52" s="3152">
        <v>9371.1432070643368</v>
      </c>
      <c r="BC52" s="3152">
        <v>12624.197665700363</v>
      </c>
      <c r="BD52" s="3152">
        <v>16604.348040651905</v>
      </c>
      <c r="BE52" s="3152">
        <v>21682.904316936692</v>
      </c>
      <c r="BF52" s="3152">
        <v>26663.52525264936</v>
      </c>
      <c r="BG52" s="3152">
        <v>31993.451088593945</v>
      </c>
      <c r="BH52" s="3152">
        <v>37112.099641157227</v>
      </c>
      <c r="BI52" s="3152">
        <v>42880.127248438141</v>
      </c>
      <c r="BJ52" s="1186"/>
      <c r="BK52" s="141"/>
      <c r="BL52" s="145"/>
      <c r="BM52" s="145"/>
      <c r="BN52" s="145"/>
      <c r="BO52" s="145"/>
      <c r="BP52" s="145"/>
      <c r="BQ52" s="145"/>
      <c r="BR52" s="145"/>
      <c r="BS52" s="145"/>
      <c r="BT52" s="145"/>
      <c r="BU52" s="145"/>
      <c r="BV52" s="145"/>
      <c r="BW52" s="145"/>
    </row>
    <row r="53" spans="1:75">
      <c r="B53" s="1182"/>
      <c r="C53" s="166"/>
      <c r="D53" s="166"/>
      <c r="E53" s="166"/>
      <c r="F53" s="166"/>
      <c r="G53" s="166"/>
      <c r="H53" s="1156"/>
      <c r="I53" s="1156"/>
      <c r="J53" s="1156"/>
      <c r="K53" s="1156"/>
      <c r="L53" s="1156"/>
      <c r="M53" s="1156"/>
      <c r="N53" s="1156"/>
      <c r="O53" s="1156"/>
      <c r="P53" s="1156"/>
      <c r="Q53" s="1156"/>
      <c r="R53" s="1156"/>
      <c r="S53" s="1156"/>
      <c r="T53" s="1156"/>
      <c r="U53" s="1156"/>
      <c r="V53" s="1156"/>
      <c r="W53" s="1156"/>
      <c r="X53" s="1156"/>
      <c r="Y53" s="1156"/>
      <c r="Z53" s="1156"/>
      <c r="AA53" s="1156"/>
      <c r="AB53" s="1156"/>
      <c r="AC53" s="1156"/>
      <c r="AD53" s="1156"/>
      <c r="AE53" s="1156"/>
      <c r="AF53" s="1156"/>
      <c r="AG53" s="1156"/>
      <c r="AH53" s="1156"/>
      <c r="AI53" s="1156"/>
      <c r="AJ53" s="1156"/>
      <c r="AK53" s="1156"/>
      <c r="AL53" s="1156"/>
      <c r="AM53" s="1156"/>
      <c r="AN53" s="1156"/>
      <c r="AO53" s="1156"/>
      <c r="AP53" s="1156"/>
      <c r="AQ53" s="1156"/>
      <c r="AR53" s="1156"/>
      <c r="AS53" s="1156"/>
      <c r="AT53" s="1156"/>
      <c r="AU53" s="1156"/>
      <c r="AV53" s="1156"/>
      <c r="AW53" s="1156"/>
      <c r="AX53" s="166"/>
      <c r="AY53" s="1168"/>
      <c r="AZ53" s="1168"/>
      <c r="BA53" s="2908">
        <f ca="1">BA47/BA49</f>
        <v>0.26119364634362074</v>
      </c>
      <c r="BB53" s="2908">
        <f t="shared" ref="BB53:BH53" ca="1" si="14">BB47/BB49</f>
        <v>0.46866472811271864</v>
      </c>
      <c r="BC53" s="2908">
        <f t="shared" ca="1" si="14"/>
        <v>0.51428530855442001</v>
      </c>
      <c r="BD53" s="2908">
        <f t="shared" ca="1" si="14"/>
        <v>0.55098845581071276</v>
      </c>
      <c r="BE53" s="2908">
        <f t="shared" ca="1" si="14"/>
        <v>0.57919315329283294</v>
      </c>
      <c r="BF53" s="2908">
        <f t="shared" ca="1" si="14"/>
        <v>0.61587715650918029</v>
      </c>
      <c r="BG53" s="2908">
        <f t="shared" ca="1" si="14"/>
        <v>0.64677620066441044</v>
      </c>
      <c r="BH53" s="2908">
        <f t="shared" ca="1" si="14"/>
        <v>0.67223126154277801</v>
      </c>
      <c r="BI53" s="1168"/>
      <c r="BJ53" s="1169"/>
      <c r="BK53" s="22"/>
    </row>
    <row r="54" spans="1:75">
      <c r="B54" s="1182"/>
      <c r="C54" s="1179" t="s">
        <v>1139</v>
      </c>
      <c r="D54" s="166"/>
      <c r="E54" s="166"/>
      <c r="F54" s="166"/>
      <c r="G54" s="166"/>
      <c r="H54" s="1156"/>
      <c r="I54" s="1156"/>
      <c r="J54" s="1156"/>
      <c r="K54" s="1156"/>
      <c r="L54" s="1156"/>
      <c r="M54" s="1156"/>
      <c r="N54" s="1156"/>
      <c r="O54" s="1156"/>
      <c r="P54" s="1156"/>
      <c r="Q54" s="1156"/>
      <c r="R54" s="1156"/>
      <c r="S54" s="1156"/>
      <c r="T54" s="1156"/>
      <c r="U54" s="1156"/>
      <c r="V54" s="1156"/>
      <c r="W54" s="1156"/>
      <c r="X54" s="1156"/>
      <c r="Y54" s="1156"/>
      <c r="Z54" s="1156"/>
      <c r="AA54" s="1156"/>
      <c r="AB54" s="1156"/>
      <c r="AC54" s="1156"/>
      <c r="AD54" s="1156"/>
      <c r="AE54" s="1156"/>
      <c r="AF54" s="1156"/>
      <c r="AG54" s="1156"/>
      <c r="AH54" s="1156"/>
      <c r="AI54" s="1156"/>
      <c r="AJ54" s="1156"/>
      <c r="AK54" s="1156"/>
      <c r="AL54" s="1156"/>
      <c r="AM54" s="1156"/>
      <c r="AN54" s="1156"/>
      <c r="AO54" s="1156"/>
      <c r="AP54" s="1156"/>
      <c r="AQ54" s="1156"/>
      <c r="AR54" s="1156"/>
      <c r="AS54" s="1156"/>
      <c r="AT54" s="1156"/>
      <c r="AU54" s="1156"/>
      <c r="AV54" s="1156"/>
      <c r="AW54" s="1156"/>
      <c r="AX54" s="166"/>
      <c r="AY54" s="1168"/>
      <c r="AZ54" s="1168"/>
      <c r="BA54" s="1168"/>
      <c r="BB54" s="1168"/>
      <c r="BC54" s="1168"/>
      <c r="BD54" s="1168"/>
      <c r="BE54" s="1168"/>
      <c r="BF54" s="1168"/>
      <c r="BG54" s="1168"/>
      <c r="BH54" s="1168"/>
      <c r="BI54" s="1168"/>
      <c r="BJ54" s="1169"/>
      <c r="BK54" s="22"/>
    </row>
    <row r="55" spans="1:75">
      <c r="B55" s="164"/>
      <c r="C55" s="1170" t="s">
        <v>25</v>
      </c>
      <c r="D55" s="1164" t="str">
        <f>INDEX(Vectors[Description], MATCH($C55, Vectors[Code], 0))</f>
        <v>Conversion losses</v>
      </c>
      <c r="E55" s="166"/>
      <c r="F55" s="267"/>
      <c r="G55" s="267"/>
      <c r="H55" s="1165"/>
      <c r="I55" s="1165"/>
      <c r="J55" s="1165"/>
      <c r="K55" s="1165"/>
      <c r="L55" s="1165"/>
      <c r="M55" s="1165"/>
      <c r="N55" s="1165"/>
      <c r="O55" s="1165"/>
      <c r="P55" s="1165"/>
      <c r="Q55" s="1165"/>
      <c r="R55" s="1165"/>
      <c r="S55" s="1165"/>
      <c r="T55" s="1165"/>
      <c r="U55" s="1165"/>
      <c r="V55" s="1165"/>
      <c r="W55" s="1165"/>
      <c r="X55" s="1165"/>
      <c r="Y55" s="1165"/>
      <c r="Z55" s="1165"/>
      <c r="AA55" s="1165"/>
      <c r="AB55" s="1165"/>
      <c r="AC55" s="1165"/>
      <c r="AD55" s="1165"/>
      <c r="AE55" s="1165"/>
      <c r="AF55" s="1165"/>
      <c r="AG55" s="1165"/>
      <c r="AH55" s="1165"/>
      <c r="AI55" s="1165"/>
      <c r="AJ55" s="1165"/>
      <c r="AK55" s="1165"/>
      <c r="AL55" s="1165"/>
      <c r="AM55" s="1165"/>
      <c r="AN55" s="1165"/>
      <c r="AO55" s="1165"/>
      <c r="AP55" s="1165"/>
      <c r="AQ55" s="1165"/>
      <c r="AR55" s="1165"/>
      <c r="AS55" s="1165"/>
      <c r="AT55" s="1165"/>
      <c r="AU55" s="1165"/>
      <c r="AV55" s="1165"/>
      <c r="AW55" s="1165"/>
      <c r="AX55" s="166"/>
      <c r="AY55" s="1168">
        <f ca="1">INDEX(INDIRECT("'"&amp;AY$4&amp;"'!Year.NetBalance"), MATCH('Oil Story'!$C55, INDIRECT("'"&amp;AY$4&amp;"'!Year.Vectors"), 0))</f>
        <v>1204.9134654632253</v>
      </c>
      <c r="AZ55" s="1168"/>
      <c r="BA55" s="1168">
        <f ca="1">INDEX(INDIRECT("'"&amp;BA$4&amp;"'!Year.NetBalance"), MATCH('Oil Story'!$C55, INDIRECT("'"&amp;BA$4&amp;"'!Year.Vectors"), 0))</f>
        <v>1583.5121319367117</v>
      </c>
      <c r="BB55" s="1168">
        <f ca="1">INDEX(INDIRECT("'"&amp;BB$4&amp;"'!Year.NetBalance"), MATCH('Oil Story'!$C55, INDIRECT("'"&amp;BB$4&amp;"'!Year.Vectors"), 0))</f>
        <v>2198.9967999595065</v>
      </c>
      <c r="BC55" s="1168">
        <f ca="1">INDEX(INDIRECT("'"&amp;BC$4&amp;"'!Year.NetBalance"), MATCH('Oil Story'!$C55, INDIRECT("'"&amp;BC$4&amp;"'!Year.Vectors"), 0))</f>
        <v>3112.3803529601846</v>
      </c>
      <c r="BD55" s="1168">
        <f ca="1">INDEX(INDIRECT("'"&amp;BD$4&amp;"'!Year.NetBalance"), MATCH('Oil Story'!$C55, INDIRECT("'"&amp;BD$4&amp;"'!Year.Vectors"), 0))</f>
        <v>4300.9018175874617</v>
      </c>
      <c r="BE55" s="1168">
        <f ca="1">INDEX(INDIRECT("'"&amp;BE$4&amp;"'!Year.NetBalance"), MATCH('Oil Story'!$C55, INDIRECT("'"&amp;BE$4&amp;"'!Year.Vectors"), 0))</f>
        <v>5927.1542532879812</v>
      </c>
      <c r="BF55" s="1168">
        <f ca="1">INDEX(INDIRECT("'"&amp;BF$4&amp;"'!Year.NetBalance"), MATCH('Oil Story'!$C55, INDIRECT("'"&amp;BF$4&amp;"'!Year.Vectors"), 0))</f>
        <v>7390.4313450575319</v>
      </c>
      <c r="BG55" s="1168">
        <f ca="1">INDEX(INDIRECT("'"&amp;BG$4&amp;"'!Year.NetBalance"), MATCH('Oil Story'!$C55, INDIRECT("'"&amp;BG$4&amp;"'!Year.Vectors"), 0))</f>
        <v>9103.9909450769155</v>
      </c>
      <c r="BH55" s="1168">
        <f ca="1">INDEX(INDIRECT("'"&amp;BH$4&amp;"'!Year.NetBalance"), MATCH('Oil Story'!$C55, INDIRECT("'"&amp;BH$4&amp;"'!Year.Vectors"), 0))</f>
        <v>10665.554627399255</v>
      </c>
      <c r="BI55" s="1168">
        <f ca="1">INDEX(INDIRECT("'"&amp;BI$4&amp;"'!Year.NetBalance"), MATCH('Oil Story'!$C55, INDIRECT("'"&amp;BI$4&amp;"'!Year.Vectors"), 0))</f>
        <v>12423.428404122662</v>
      </c>
      <c r="BJ55" s="1169"/>
      <c r="BK55" s="22"/>
    </row>
    <row r="56" spans="1:75">
      <c r="B56" s="164"/>
      <c r="C56" s="1170" t="s">
        <v>26</v>
      </c>
      <c r="D56" s="1164" t="str">
        <f>INDEX(Vectors[Description], MATCH($C56, Vectors[Code], 0))</f>
        <v>Distribution losses and own use</v>
      </c>
      <c r="E56" s="166"/>
      <c r="F56" s="267"/>
      <c r="G56" s="267"/>
      <c r="H56" s="1165"/>
      <c r="I56" s="1165"/>
      <c r="J56" s="1165"/>
      <c r="K56" s="1165"/>
      <c r="L56" s="1165"/>
      <c r="M56" s="1165"/>
      <c r="N56" s="1165"/>
      <c r="O56" s="1165"/>
      <c r="P56" s="1165"/>
      <c r="Q56" s="1165"/>
      <c r="R56" s="1165"/>
      <c r="S56" s="1165"/>
      <c r="T56" s="1165"/>
      <c r="U56" s="1165"/>
      <c r="V56" s="1165"/>
      <c r="W56" s="1165"/>
      <c r="X56" s="1165"/>
      <c r="Y56" s="1165"/>
      <c r="Z56" s="1165"/>
      <c r="AA56" s="1165"/>
      <c r="AB56" s="1165"/>
      <c r="AC56" s="1165"/>
      <c r="AD56" s="1165"/>
      <c r="AE56" s="1165"/>
      <c r="AF56" s="1165"/>
      <c r="AG56" s="1165"/>
      <c r="AH56" s="1165"/>
      <c r="AI56" s="1165"/>
      <c r="AJ56" s="1165"/>
      <c r="AK56" s="1165"/>
      <c r="AL56" s="1165"/>
      <c r="AM56" s="1165"/>
      <c r="AN56" s="1165"/>
      <c r="AO56" s="1165"/>
      <c r="AP56" s="1165"/>
      <c r="AQ56" s="1165"/>
      <c r="AR56" s="1165"/>
      <c r="AS56" s="1165"/>
      <c r="AT56" s="1165"/>
      <c r="AU56" s="1165"/>
      <c r="AV56" s="1165"/>
      <c r="AW56" s="1165"/>
      <c r="AX56" s="166"/>
      <c r="AY56" s="1168">
        <f ca="1">INDEX(INDIRECT("'"&amp;AY$4&amp;"'!Year.NetBalance"), MATCH('Oil Story'!$C56, INDIRECT("'"&amp;AY$4&amp;"'!Year.Vectors"), 0))</f>
        <v>404.77084403907202</v>
      </c>
      <c r="AZ56" s="1168"/>
      <c r="BA56" s="1168">
        <f ca="1">INDEX(INDIRECT("'"&amp;BA$4&amp;"'!Year.NetBalance"), MATCH('Oil Story'!$C56, INDIRECT("'"&amp;BA$4&amp;"'!Year.Vectors"), 0))</f>
        <v>500.4949957075288</v>
      </c>
      <c r="BB56" s="1168">
        <f ca="1">INDEX(INDIRECT("'"&amp;BB$4&amp;"'!Year.NetBalance"), MATCH('Oil Story'!$C56, INDIRECT("'"&amp;BB$4&amp;"'!Year.Vectors"), 0))</f>
        <v>693.56163029937284</v>
      </c>
      <c r="BC56" s="1168">
        <f ca="1">INDEX(INDIRECT("'"&amp;BC$4&amp;"'!Year.NetBalance"), MATCH('Oil Story'!$C56, INDIRECT("'"&amp;BC$4&amp;"'!Year.Vectors"), 0))</f>
        <v>910.76948797011448</v>
      </c>
      <c r="BD56" s="1168">
        <f ca="1">INDEX(INDIRECT("'"&amp;BD$4&amp;"'!Year.NetBalance"), MATCH('Oil Story'!$C56, INDIRECT("'"&amp;BD$4&amp;"'!Year.Vectors"), 0))</f>
        <v>1169.3574840485151</v>
      </c>
      <c r="BE56" s="1168">
        <f ca="1">INDEX(INDIRECT("'"&amp;BE$4&amp;"'!Year.NetBalance"), MATCH('Oil Story'!$C56, INDIRECT("'"&amp;BE$4&amp;"'!Year.Vectors"), 0))</f>
        <v>1499.4249304748269</v>
      </c>
      <c r="BF56" s="1168">
        <f ca="1">INDEX(INDIRECT("'"&amp;BF$4&amp;"'!Year.NetBalance"), MATCH('Oil Story'!$C56, INDIRECT("'"&amp;BF$4&amp;"'!Year.Vectors"), 0))</f>
        <v>1801.9421970099083</v>
      </c>
      <c r="BG56" s="1168">
        <f ca="1">INDEX(INDIRECT("'"&amp;BG$4&amp;"'!Year.NetBalance"), MATCH('Oil Story'!$C56, INDIRECT("'"&amp;BG$4&amp;"'!Year.Vectors"), 0))</f>
        <v>2099.9177507492182</v>
      </c>
      <c r="BH56" s="1168">
        <f ca="1">INDEX(INDIRECT("'"&amp;BH$4&amp;"'!Year.NetBalance"), MATCH('Oil Story'!$C56, INDIRECT("'"&amp;BH$4&amp;"'!Year.Vectors"), 0))</f>
        <v>2404.1479798917499</v>
      </c>
      <c r="BI56" s="1168">
        <f ca="1">INDEX(INDIRECT("'"&amp;BI$4&amp;"'!Year.NetBalance"), MATCH('Oil Story'!$C56, INDIRECT("'"&amp;BI$4&amp;"'!Year.Vectors"), 0))</f>
        <v>2750.5719334910536</v>
      </c>
      <c r="BJ56" s="1169"/>
      <c r="BK56" s="22"/>
    </row>
    <row r="57" spans="1:75" s="51" customFormat="1">
      <c r="A57" s="3060"/>
      <c r="B57" s="164"/>
      <c r="C57" s="60"/>
      <c r="D57" s="1174" t="s">
        <v>1140</v>
      </c>
      <c r="E57" s="166"/>
      <c r="F57" s="1175"/>
      <c r="G57" s="1176"/>
      <c r="H57" s="1171"/>
      <c r="I57" s="1171"/>
      <c r="J57" s="1171"/>
      <c r="K57" s="1171"/>
      <c r="L57" s="1171"/>
      <c r="M57" s="1171"/>
      <c r="N57" s="1171"/>
      <c r="O57" s="1171"/>
      <c r="P57" s="1171"/>
      <c r="Q57" s="1171"/>
      <c r="R57" s="1171"/>
      <c r="S57" s="1171"/>
      <c r="T57" s="1171"/>
      <c r="U57" s="1171"/>
      <c r="V57" s="1171"/>
      <c r="W57" s="1171"/>
      <c r="X57" s="1171"/>
      <c r="Y57" s="1171"/>
      <c r="Z57" s="1171"/>
      <c r="AA57" s="1171"/>
      <c r="AB57" s="1171"/>
      <c r="AC57" s="1171"/>
      <c r="AD57" s="1171"/>
      <c r="AE57" s="1171"/>
      <c r="AF57" s="1171"/>
      <c r="AG57" s="1171"/>
      <c r="AH57" s="1171"/>
      <c r="AI57" s="1171"/>
      <c r="AJ57" s="1171"/>
      <c r="AK57" s="1171"/>
      <c r="AL57" s="1171"/>
      <c r="AM57" s="1171"/>
      <c r="AN57" s="1171"/>
      <c r="AO57" s="1171"/>
      <c r="AP57" s="1171"/>
      <c r="AQ57" s="1171"/>
      <c r="AR57" s="1171"/>
      <c r="AS57" s="1171"/>
      <c r="AT57" s="1171"/>
      <c r="AU57" s="1171"/>
      <c r="AV57" s="1171"/>
      <c r="AW57" s="1171"/>
      <c r="AX57" s="166"/>
      <c r="AY57" s="1175">
        <f t="shared" ref="AY57:BI57" ca="1" si="15">AY50-SUM(AY55:AY56)</f>
        <v>3938.8707024312575</v>
      </c>
      <c r="AZ57" s="1175"/>
      <c r="BA57" s="1175">
        <f t="shared" ca="1" si="15"/>
        <v>4904.5677325703546</v>
      </c>
      <c r="BB57" s="1175">
        <f t="shared" ca="1" si="15"/>
        <v>6548.1457293668154</v>
      </c>
      <c r="BC57" s="1175">
        <f t="shared" ca="1" si="15"/>
        <v>8682.9841023907993</v>
      </c>
      <c r="BD57" s="1175">
        <f t="shared" ca="1" si="15"/>
        <v>11209.116969724813</v>
      </c>
      <c r="BE57" s="1175">
        <f t="shared" ca="1" si="15"/>
        <v>14238.605478599178</v>
      </c>
      <c r="BF57" s="1175">
        <f t="shared" ca="1" si="15"/>
        <v>17350.063285247772</v>
      </c>
      <c r="BG57" s="1175">
        <f t="shared" ca="1" si="15"/>
        <v>20544.551565330505</v>
      </c>
      <c r="BH57" s="1175">
        <f t="shared" ca="1" si="15"/>
        <v>23679.361325251182</v>
      </c>
      <c r="BI57" s="1175">
        <f t="shared" ca="1" si="15"/>
        <v>27071.520924120727</v>
      </c>
      <c r="BJ57" s="1190"/>
      <c r="BK57" s="97"/>
    </row>
    <row r="58" spans="1:75" s="51" customFormat="1">
      <c r="B58" s="164"/>
      <c r="C58" s="60"/>
      <c r="D58" s="266"/>
      <c r="E58" s="166"/>
      <c r="F58" s="1176"/>
      <c r="G58" s="1176"/>
      <c r="H58" s="1171"/>
      <c r="I58" s="1171"/>
      <c r="J58" s="1171"/>
      <c r="K58" s="1171"/>
      <c r="L58" s="1171"/>
      <c r="M58" s="1171"/>
      <c r="N58" s="1171"/>
      <c r="O58" s="1171"/>
      <c r="P58" s="1171"/>
      <c r="Q58" s="1171"/>
      <c r="R58" s="1171"/>
      <c r="S58" s="1171"/>
      <c r="T58" s="1171"/>
      <c r="U58" s="1171"/>
      <c r="V58" s="1171"/>
      <c r="W58" s="1171"/>
      <c r="X58" s="1171"/>
      <c r="Y58" s="1171"/>
      <c r="Z58" s="1171"/>
      <c r="AA58" s="1171"/>
      <c r="AB58" s="1171"/>
      <c r="AC58" s="1171"/>
      <c r="AD58" s="1171"/>
      <c r="AE58" s="1171"/>
      <c r="AF58" s="1171"/>
      <c r="AG58" s="1171"/>
      <c r="AH58" s="1171"/>
      <c r="AI58" s="1171"/>
      <c r="AJ58" s="1171"/>
      <c r="AK58" s="1171"/>
      <c r="AL58" s="1171"/>
      <c r="AM58" s="1171"/>
      <c r="AN58" s="1171"/>
      <c r="AO58" s="1171"/>
      <c r="AP58" s="1171"/>
      <c r="AQ58" s="1171"/>
      <c r="AR58" s="1171"/>
      <c r="AS58" s="1171"/>
      <c r="AT58" s="1171"/>
      <c r="AU58" s="1171"/>
      <c r="AV58" s="1171"/>
      <c r="AW58" s="1171"/>
      <c r="AX58" s="166"/>
      <c r="AY58" s="1176"/>
      <c r="AZ58" s="1176"/>
      <c r="BA58" s="1176"/>
      <c r="BB58" s="1176"/>
      <c r="BC58" s="1176"/>
      <c r="BD58" s="1176"/>
      <c r="BE58" s="1176"/>
      <c r="BF58" s="1176"/>
      <c r="BG58" s="1176"/>
      <c r="BH58" s="1176"/>
      <c r="BI58" s="1176"/>
      <c r="BJ58" s="1190"/>
      <c r="BK58" s="97"/>
    </row>
    <row r="59" spans="1:75" s="51" customFormat="1">
      <c r="B59" s="164"/>
      <c r="C59" s="266" t="s">
        <v>2079</v>
      </c>
      <c r="D59" s="266"/>
      <c r="E59" s="166"/>
      <c r="F59" s="166"/>
      <c r="G59" s="1176"/>
      <c r="H59" s="1171"/>
      <c r="I59" s="1171"/>
      <c r="J59" s="1171"/>
      <c r="K59" s="1171"/>
      <c r="L59" s="1171"/>
      <c r="M59" s="1171"/>
      <c r="N59" s="1171"/>
      <c r="O59" s="1171"/>
      <c r="P59" s="1171"/>
      <c r="Q59" s="1171"/>
      <c r="R59" s="1171"/>
      <c r="S59" s="1171"/>
      <c r="T59" s="1171"/>
      <c r="U59" s="1171"/>
      <c r="V59" s="1171"/>
      <c r="W59" s="1171"/>
      <c r="X59" s="1171"/>
      <c r="Y59" s="1171"/>
      <c r="Z59" s="1171"/>
      <c r="AA59" s="1171"/>
      <c r="AB59" s="1171"/>
      <c r="AC59" s="1171"/>
      <c r="AD59" s="1171"/>
      <c r="AE59" s="1171"/>
      <c r="AF59" s="1171"/>
      <c r="AG59" s="1171"/>
      <c r="AH59" s="1171"/>
      <c r="AI59" s="1171"/>
      <c r="AJ59" s="1171"/>
      <c r="AK59" s="1171"/>
      <c r="AL59" s="1171"/>
      <c r="AM59" s="1171"/>
      <c r="AN59" s="1171"/>
      <c r="AO59" s="1171"/>
      <c r="AP59" s="1171"/>
      <c r="AQ59" s="1171"/>
      <c r="AR59" s="1171"/>
      <c r="AS59" s="1171"/>
      <c r="AT59" s="1171"/>
      <c r="AU59" s="1171"/>
      <c r="AV59" s="1171"/>
      <c r="AW59" s="1171"/>
      <c r="AX59" s="166"/>
      <c r="AY59" s="1176"/>
      <c r="AZ59" s="1176"/>
      <c r="BA59" s="1176"/>
      <c r="BB59" s="1176"/>
      <c r="BC59" s="1176"/>
      <c r="BD59" s="1176"/>
      <c r="BE59" s="1176"/>
      <c r="BF59" s="1176"/>
      <c r="BG59" s="1176"/>
      <c r="BH59" s="1176"/>
      <c r="BI59" s="1176"/>
      <c r="BJ59" s="1190"/>
      <c r="BK59" s="97"/>
    </row>
    <row r="60" spans="1:75" s="51" customFormat="1">
      <c r="B60" s="164"/>
      <c r="C60" s="60" t="s">
        <v>36</v>
      </c>
      <c r="D60" s="166" t="str">
        <f>INDEX(Vectors[Description],MATCH($C60,Vectors[Code],0))</f>
        <v>Solid hydrocarbons</v>
      </c>
      <c r="E60" s="166"/>
      <c r="F60" s="267"/>
      <c r="G60" s="1176"/>
      <c r="H60" s="1171"/>
      <c r="I60" s="1171"/>
      <c r="J60" s="1171"/>
      <c r="K60" s="1171"/>
      <c r="L60" s="1171"/>
      <c r="M60" s="1171"/>
      <c r="N60" s="1171"/>
      <c r="O60" s="1171"/>
      <c r="P60" s="1171"/>
      <c r="Q60" s="1171"/>
      <c r="R60" s="1171"/>
      <c r="S60" s="1171"/>
      <c r="T60" s="1171"/>
      <c r="U60" s="1171"/>
      <c r="V60" s="1171"/>
      <c r="W60" s="1171"/>
      <c r="X60" s="1171"/>
      <c r="Y60" s="1171"/>
      <c r="Z60" s="1171"/>
      <c r="AA60" s="1171"/>
      <c r="AB60" s="1171"/>
      <c r="AC60" s="1171"/>
      <c r="AD60" s="1171"/>
      <c r="AE60" s="1171"/>
      <c r="AF60" s="1171"/>
      <c r="AG60" s="1171"/>
      <c r="AH60" s="1171"/>
      <c r="AI60" s="1171"/>
      <c r="AJ60" s="1171"/>
      <c r="AK60" s="1171"/>
      <c r="AL60" s="1171"/>
      <c r="AM60" s="1171"/>
      <c r="AN60" s="1171"/>
      <c r="AO60" s="1171"/>
      <c r="AP60" s="1171"/>
      <c r="AQ60" s="1171"/>
      <c r="AR60" s="1171"/>
      <c r="AS60" s="1171"/>
      <c r="AT60" s="1171"/>
      <c r="AU60" s="1171"/>
      <c r="AV60" s="1171"/>
      <c r="AW60" s="1171"/>
      <c r="AX60" s="166"/>
      <c r="AY60" s="1275">
        <f ca="1">-(INDEX(INDIRECT(AY$64&amp;"!Year.Matrix"),MATCH("Subtotal.Supply",INDIRECT(AY$64&amp;"!Year.Modules"),0),MATCH("V.03",INDIRECT(AY$64&amp;"!Year.Vectors"),0))+INDEX(INDIRECT(AY$64&amp;"!Year.Matrix"),MATCH("Subtotal.Consumption",INDIRECT(AY$64&amp;"!Year.Modules"),0),MATCH("V.03",INDIRECT(AY$64&amp;"!Year.Vectors"),0)))+AY240</f>
        <v>3253.4798011484609</v>
      </c>
      <c r="AZ60" s="1275"/>
      <c r="BA60" s="1275">
        <f t="shared" ref="BA60:BI60" ca="1" si="16">-(INDEX(INDIRECT(BA$64&amp;"!Year.Matrix"),MATCH("Subtotal.Supply",INDIRECT(BA$64&amp;"!Year.Modules"),0),MATCH("V.03",INDIRECT(BA$64&amp;"!Year.Vectors"),0))+INDEX(INDIRECT(BA$64&amp;"!Year.Matrix"),MATCH("Subtotal.Consumption",INDIRECT(BA$64&amp;"!Year.Modules"),0),MATCH("V.03",INDIRECT(BA$64&amp;"!Year.Vectors"),0)))+BA240</f>
        <v>4186.6587822140627</v>
      </c>
      <c r="BB60" s="1275">
        <f t="shared" ca="1" si="16"/>
        <v>5440.2416760911601</v>
      </c>
      <c r="BC60" s="1275">
        <f t="shared" ca="1" si="16"/>
        <v>7599.0050414244033</v>
      </c>
      <c r="BD60" s="1275">
        <f t="shared" ca="1" si="16"/>
        <v>10283.250772451853</v>
      </c>
      <c r="BE60" s="1275">
        <f t="shared" ca="1" si="16"/>
        <v>13752.901942267128</v>
      </c>
      <c r="BF60" s="1275">
        <f t="shared" ca="1" si="16"/>
        <v>16958.349070363496</v>
      </c>
      <c r="BG60" s="1275">
        <f t="shared" ca="1" si="16"/>
        <v>20459.946248371478</v>
      </c>
      <c r="BH60" s="1275">
        <f t="shared" ca="1" si="16"/>
        <v>23583.182597617422</v>
      </c>
      <c r="BI60" s="1275">
        <f t="shared" ca="1" si="16"/>
        <v>27066.994339922483</v>
      </c>
      <c r="BJ60" s="1190"/>
      <c r="BK60" s="97"/>
    </row>
    <row r="61" spans="1:75" s="51" customFormat="1">
      <c r="B61" s="164"/>
      <c r="C61" s="60" t="s">
        <v>38</v>
      </c>
      <c r="D61" s="166" t="str">
        <f>INDEX(Vectors[Description],MATCH($C61,Vectors[Code],0))</f>
        <v>Liquid hydrocarbons</v>
      </c>
      <c r="E61" s="166"/>
      <c r="F61" s="267"/>
      <c r="G61" s="1176"/>
      <c r="H61" s="1171"/>
      <c r="I61" s="1171"/>
      <c r="J61" s="1171"/>
      <c r="K61" s="1171"/>
      <c r="L61" s="1171"/>
      <c r="M61" s="1171"/>
      <c r="N61" s="1171"/>
      <c r="O61" s="1171"/>
      <c r="P61" s="1171"/>
      <c r="Q61" s="1171"/>
      <c r="R61" s="1171"/>
      <c r="S61" s="1171"/>
      <c r="T61" s="1171"/>
      <c r="U61" s="1171"/>
      <c r="V61" s="1171"/>
      <c r="W61" s="1171"/>
      <c r="X61" s="1171"/>
      <c r="Y61" s="1171"/>
      <c r="Z61" s="1171"/>
      <c r="AA61" s="1171"/>
      <c r="AB61" s="1171"/>
      <c r="AC61" s="1171"/>
      <c r="AD61" s="1171"/>
      <c r="AE61" s="1171"/>
      <c r="AF61" s="1171"/>
      <c r="AG61" s="1171"/>
      <c r="AH61" s="1171"/>
      <c r="AI61" s="1171"/>
      <c r="AJ61" s="1171"/>
      <c r="AK61" s="1171"/>
      <c r="AL61" s="1171"/>
      <c r="AM61" s="1171"/>
      <c r="AN61" s="1171"/>
      <c r="AO61" s="1171"/>
      <c r="AP61" s="1171"/>
      <c r="AQ61" s="1171"/>
      <c r="AR61" s="1171"/>
      <c r="AS61" s="1171"/>
      <c r="AT61" s="1171"/>
      <c r="AU61" s="1171"/>
      <c r="AV61" s="1171"/>
      <c r="AW61" s="1171"/>
      <c r="AX61" s="166"/>
      <c r="AY61" s="1275">
        <f ca="1">-(INDEX(INDIRECT(AY$64&amp;"!Year.Matrix"),MATCH("Subtotal.Supply",INDIRECT(AY$64&amp;"!Year.Modules"),0),MATCH("V.04",INDIRECT(AY$64&amp;"!Year.Vectors"),0))+INDEX(INDIRECT(AY$64&amp;"!Year.Matrix"),MATCH("Subtotal.Consumption",INDIRECT(AY$64&amp;"!Year.Modules"),0),MATCH("V.04",INDIRECT(AY$64&amp;"!Year.Vectors"),0)))+AY241</f>
        <v>1507.1271398060596</v>
      </c>
      <c r="AZ61" s="1275"/>
      <c r="BA61" s="1275">
        <f t="shared" ref="BA61:BI61" ca="1" si="17">-(INDEX(INDIRECT(BA$64&amp;"!Year.Matrix"),MATCH("Subtotal.Supply",INDIRECT(BA$64&amp;"!Year.Modules"),0),MATCH("V.04",INDIRECT(BA$64&amp;"!Year.Vectors"),0))+INDEX(INDIRECT(BA$64&amp;"!Year.Matrix"),MATCH("Subtotal.Consumption",INDIRECT(BA$64&amp;"!Year.Modules"),0),MATCH("V.04",INDIRECT(BA$64&amp;"!Year.Vectors"),0)))+BA241</f>
        <v>1784.7830860037395</v>
      </c>
      <c r="BB61" s="1275">
        <f t="shared" ca="1" si="17"/>
        <v>2414.9219458854045</v>
      </c>
      <c r="BC61" s="1275">
        <f t="shared" ca="1" si="17"/>
        <v>3241.2908350865459</v>
      </c>
      <c r="BD61" s="1275">
        <f t="shared" ca="1" si="17"/>
        <v>4223.7654770972395</v>
      </c>
      <c r="BE61" s="1275">
        <f t="shared" ca="1" si="17"/>
        <v>5375.2726406997626</v>
      </c>
      <c r="BF61" s="1275">
        <f t="shared" ca="1" si="17"/>
        <v>6663.9787683041413</v>
      </c>
      <c r="BG61" s="1275">
        <f t="shared" ca="1" si="17"/>
        <v>7973.920334522948</v>
      </c>
      <c r="BH61" s="1275">
        <f t="shared" ca="1" si="17"/>
        <v>9448.4442070287369</v>
      </c>
      <c r="BI61" s="1275">
        <f t="shared" ca="1" si="17"/>
        <v>11027.044368693952</v>
      </c>
      <c r="BJ61" s="1190"/>
      <c r="BK61" s="97"/>
    </row>
    <row r="62" spans="1:75" s="51" customFormat="1">
      <c r="B62" s="164"/>
      <c r="C62" s="60" t="s">
        <v>39</v>
      </c>
      <c r="D62" s="166" t="str">
        <f>INDEX(Vectors[Description],MATCH($C62,Vectors[Code],0))</f>
        <v>Gaseous hydrocarbons</v>
      </c>
      <c r="E62" s="166"/>
      <c r="F62" s="1175"/>
      <c r="G62" s="1176"/>
      <c r="H62" s="1171"/>
      <c r="I62" s="1171"/>
      <c r="J62" s="1171"/>
      <c r="K62" s="1171"/>
      <c r="L62" s="1171"/>
      <c r="M62" s="1171"/>
      <c r="N62" s="1171"/>
      <c r="O62" s="1171"/>
      <c r="P62" s="1171"/>
      <c r="Q62" s="1171"/>
      <c r="R62" s="1171"/>
      <c r="S62" s="1171"/>
      <c r="T62" s="1171"/>
      <c r="U62" s="1171"/>
      <c r="V62" s="1171"/>
      <c r="W62" s="1171"/>
      <c r="X62" s="1171"/>
      <c r="Y62" s="1171"/>
      <c r="Z62" s="1171"/>
      <c r="AA62" s="1171"/>
      <c r="AB62" s="1171"/>
      <c r="AC62" s="1171"/>
      <c r="AD62" s="1171"/>
      <c r="AE62" s="1171"/>
      <c r="AF62" s="1171"/>
      <c r="AG62" s="1171"/>
      <c r="AH62" s="1171"/>
      <c r="AI62" s="1171"/>
      <c r="AJ62" s="1171"/>
      <c r="AK62" s="1171"/>
      <c r="AL62" s="1171"/>
      <c r="AM62" s="1171"/>
      <c r="AN62" s="1171"/>
      <c r="AO62" s="1171"/>
      <c r="AP62" s="1171"/>
      <c r="AQ62" s="1171"/>
      <c r="AR62" s="1171"/>
      <c r="AS62" s="1171"/>
      <c r="AT62" s="1171"/>
      <c r="AU62" s="1171"/>
      <c r="AV62" s="1171"/>
      <c r="AW62" s="1171"/>
      <c r="AX62" s="166"/>
      <c r="AY62" s="1275">
        <f ca="1">-(INDEX(INDIRECT(AY$64&amp;"!Year.Matrix"),MATCH("Subtotal.Supply",INDIRECT(AY$64&amp;"!Year.Modules"),0),MATCH("V.05",INDIRECT(AY$64&amp;"!Year.Vectors"),0))+INDEX(INDIRECT(AY$64&amp;"!Year.Matrix"),MATCH("Subtotal.Consumption",INDIRECT(AY$64&amp;"!Year.Modules"),0),MATCH("V.05",INDIRECT(AY$64&amp;"!Year.Vectors"),0)))+AY242</f>
        <v>400.80896663638987</v>
      </c>
      <c r="AZ62" s="1275"/>
      <c r="BA62" s="1275">
        <f t="shared" ref="BA62:BI62" ca="1" si="18">-(INDEX(INDIRECT(BA$64&amp;"!Year.Matrix"),MATCH("Subtotal.Supply",INDIRECT(BA$64&amp;"!Year.Modules"),0),MATCH("V.05",INDIRECT(BA$64&amp;"!Year.Vectors"),0))+INDEX(INDIRECT(BA$64&amp;"!Year.Matrix"),MATCH("Subtotal.Consumption",INDIRECT(BA$64&amp;"!Year.Modules"),0),MATCH("V.05",INDIRECT(BA$64&amp;"!Year.Vectors"),0)))+BA242</f>
        <v>538.99887527499732</v>
      </c>
      <c r="BB62" s="1275">
        <f t="shared" ca="1" si="18"/>
        <v>841.23652056611616</v>
      </c>
      <c r="BC62" s="1275">
        <f t="shared" ca="1" si="18"/>
        <v>994.46394646854696</v>
      </c>
      <c r="BD62" s="1275">
        <f t="shared" ca="1" si="18"/>
        <v>1149.3965479446485</v>
      </c>
      <c r="BE62" s="1275">
        <f t="shared" ca="1" si="18"/>
        <v>1340.1633809947466</v>
      </c>
      <c r="BF62" s="1275">
        <f t="shared" ca="1" si="18"/>
        <v>1555.4213398542583</v>
      </c>
      <c r="BG62" s="1275">
        <f t="shared" ca="1" si="18"/>
        <v>1794.9126529437026</v>
      </c>
      <c r="BH62" s="1275">
        <f t="shared" ca="1" si="18"/>
        <v>2055.9244870184016</v>
      </c>
      <c r="BI62" s="1275">
        <f t="shared" ca="1" si="18"/>
        <v>2348.7378176448806</v>
      </c>
      <c r="BJ62" s="1190"/>
      <c r="BK62" s="97"/>
    </row>
    <row r="63" spans="1:75" s="51" customFormat="1">
      <c r="B63" s="164"/>
      <c r="C63" s="60"/>
      <c r="D63" s="266"/>
      <c r="E63" s="166"/>
      <c r="F63" s="1176"/>
      <c r="G63" s="1176"/>
      <c r="H63" s="1171"/>
      <c r="I63" s="1171"/>
      <c r="J63" s="1171"/>
      <c r="K63" s="1171"/>
      <c r="L63" s="1171"/>
      <c r="M63" s="1171"/>
      <c r="N63" s="1171"/>
      <c r="O63" s="1171"/>
      <c r="P63" s="1171"/>
      <c r="Q63" s="1171"/>
      <c r="R63" s="1171"/>
      <c r="S63" s="1171"/>
      <c r="T63" s="1171"/>
      <c r="U63" s="1171"/>
      <c r="V63" s="1171"/>
      <c r="W63" s="1171"/>
      <c r="X63" s="1171"/>
      <c r="Y63" s="1171"/>
      <c r="Z63" s="1171"/>
      <c r="AA63" s="1171"/>
      <c r="AB63" s="1171"/>
      <c r="AC63" s="1171"/>
      <c r="AD63" s="1171"/>
      <c r="AE63" s="1171"/>
      <c r="AF63" s="1171"/>
      <c r="AG63" s="1171"/>
      <c r="AH63" s="1171"/>
      <c r="AI63" s="1171"/>
      <c r="AJ63" s="1171"/>
      <c r="AK63" s="1171"/>
      <c r="AL63" s="1171"/>
      <c r="AM63" s="1171"/>
      <c r="AN63" s="1171"/>
      <c r="AO63" s="1171"/>
      <c r="AP63" s="1171"/>
      <c r="AQ63" s="1171"/>
      <c r="AR63" s="1171"/>
      <c r="AS63" s="1171"/>
      <c r="AT63" s="1171"/>
      <c r="AU63" s="1171"/>
      <c r="AV63" s="1171"/>
      <c r="AW63" s="1171"/>
      <c r="AX63" s="166"/>
      <c r="AY63" s="1176"/>
      <c r="AZ63" s="1176"/>
      <c r="BA63" s="1176"/>
      <c r="BB63" s="1176"/>
      <c r="BC63" s="1176"/>
      <c r="BD63" s="1176"/>
      <c r="BE63" s="1176"/>
      <c r="BF63" s="1176"/>
      <c r="BG63" s="1176"/>
      <c r="BH63" s="1176"/>
      <c r="BI63" s="1176"/>
      <c r="BJ63" s="1190"/>
      <c r="BK63" s="97"/>
    </row>
    <row r="64" spans="1:75" s="51" customFormat="1" ht="18">
      <c r="B64" s="1189"/>
      <c r="C64" s="266" t="s">
        <v>2002</v>
      </c>
      <c r="D64" s="266"/>
      <c r="E64" s="166"/>
      <c r="F64" s="1176"/>
      <c r="G64" s="1176"/>
      <c r="H64" s="1171"/>
      <c r="I64" s="1171"/>
      <c r="J64" s="1171"/>
      <c r="K64" s="1171"/>
      <c r="L64" s="1171"/>
      <c r="M64" s="1171"/>
      <c r="N64" s="1171"/>
      <c r="O64" s="1171"/>
      <c r="P64" s="1171"/>
      <c r="Q64" s="1171"/>
      <c r="R64" s="1171"/>
      <c r="S64" s="1171"/>
      <c r="T64" s="1171"/>
      <c r="U64" s="1171"/>
      <c r="V64" s="1171"/>
      <c r="W64" s="1171"/>
      <c r="X64" s="1171"/>
      <c r="Y64" s="1171"/>
      <c r="Z64" s="1171"/>
      <c r="AA64" s="1171"/>
      <c r="AB64" s="1171"/>
      <c r="AC64" s="1171"/>
      <c r="AD64" s="1171"/>
      <c r="AE64" s="1171"/>
      <c r="AF64" s="1171"/>
      <c r="AG64" s="1171"/>
      <c r="AH64" s="1171"/>
      <c r="AI64" s="1171"/>
      <c r="AJ64" s="1171"/>
      <c r="AK64" s="1171"/>
      <c r="AL64" s="1171"/>
      <c r="AM64" s="1171"/>
      <c r="AN64" s="1171"/>
      <c r="AO64" s="1171"/>
      <c r="AP64" s="1171"/>
      <c r="AQ64" s="1171"/>
      <c r="AR64" s="1171"/>
      <c r="AS64" s="1171"/>
      <c r="AT64" s="1171"/>
      <c r="AU64" s="1171"/>
      <c r="AV64" s="1171"/>
      <c r="AW64" s="1171"/>
      <c r="AX64" s="166"/>
      <c r="AY64" s="2405">
        <v>2007</v>
      </c>
      <c r="AZ64" s="2405"/>
      <c r="BA64" s="2405">
        <f>AY64+5</f>
        <v>2012</v>
      </c>
      <c r="BB64" s="2405">
        <f t="shared" ref="BB64:BI64" si="19">BA64+5</f>
        <v>2017</v>
      </c>
      <c r="BC64" s="2405">
        <f t="shared" si="19"/>
        <v>2022</v>
      </c>
      <c r="BD64" s="2405">
        <f t="shared" si="19"/>
        <v>2027</v>
      </c>
      <c r="BE64" s="2405">
        <f t="shared" si="19"/>
        <v>2032</v>
      </c>
      <c r="BF64" s="2405">
        <f t="shared" si="19"/>
        <v>2037</v>
      </c>
      <c r="BG64" s="2405">
        <f t="shared" si="19"/>
        <v>2042</v>
      </c>
      <c r="BH64" s="2405">
        <f t="shared" si="19"/>
        <v>2047</v>
      </c>
      <c r="BI64" s="2405">
        <f t="shared" si="19"/>
        <v>2052</v>
      </c>
      <c r="BJ64" s="1190"/>
      <c r="BK64" s="97"/>
    </row>
    <row r="65" spans="2:63" s="51" customFormat="1" ht="18">
      <c r="B65" s="1189"/>
      <c r="C65" s="60"/>
      <c r="D65" s="266" t="s">
        <v>768</v>
      </c>
      <c r="E65" s="166"/>
      <c r="F65" s="1176"/>
      <c r="G65" s="1176"/>
      <c r="H65" s="1171"/>
      <c r="I65" s="1171"/>
      <c r="J65" s="1171"/>
      <c r="K65" s="1171"/>
      <c r="L65" s="1171"/>
      <c r="M65" s="1171"/>
      <c r="N65" s="1171"/>
      <c r="O65" s="1171"/>
      <c r="P65" s="1171"/>
      <c r="Q65" s="1171"/>
      <c r="R65" s="1171"/>
      <c r="S65" s="1171"/>
      <c r="T65" s="1171"/>
      <c r="U65" s="1171"/>
      <c r="V65" s="1171"/>
      <c r="W65" s="1171"/>
      <c r="X65" s="1171"/>
      <c r="Y65" s="1171"/>
      <c r="Z65" s="1171"/>
      <c r="AA65" s="1171"/>
      <c r="AB65" s="1171"/>
      <c r="AC65" s="1171"/>
      <c r="AD65" s="1171"/>
      <c r="AE65" s="1171"/>
      <c r="AF65" s="1171"/>
      <c r="AG65" s="1171"/>
      <c r="AH65" s="1171"/>
      <c r="AI65" s="1171"/>
      <c r="AJ65" s="1171"/>
      <c r="AK65" s="1171"/>
      <c r="AL65" s="1171"/>
      <c r="AM65" s="1171"/>
      <c r="AN65" s="1171"/>
      <c r="AO65" s="1171"/>
      <c r="AP65" s="1171"/>
      <c r="AQ65" s="1171"/>
      <c r="AR65" s="1171"/>
      <c r="AS65" s="1171"/>
      <c r="AT65" s="1171"/>
      <c r="AU65" s="1171"/>
      <c r="AV65" s="1171"/>
      <c r="AW65" s="1171"/>
      <c r="AX65" s="166"/>
      <c r="AY65" s="2498">
        <f ca="1">IF(AY41&gt;0,AY41/AY43,0)</f>
        <v>0.13507952627584974</v>
      </c>
      <c r="AZ65" s="2498"/>
      <c r="BA65" s="2498">
        <f ca="1">IF(BA41&gt;0,BA41/BA43,0)</f>
        <v>0.16485930672602372</v>
      </c>
      <c r="BB65" s="2498">
        <f t="shared" ref="BB65:BI65" ca="1" si="20">IF(BB41&gt;0,BB41/BB43,0)</f>
        <v>0.30038380160452349</v>
      </c>
      <c r="BC65" s="2498">
        <f t="shared" ca="1" si="20"/>
        <v>0.46122158513957046</v>
      </c>
      <c r="BD65" s="2498">
        <f t="shared" ca="1" si="20"/>
        <v>0.58505685653728867</v>
      </c>
      <c r="BE65" s="2498">
        <f t="shared" ca="1" si="20"/>
        <v>0.69093361123828889</v>
      </c>
      <c r="BF65" s="2498">
        <f t="shared" ca="1" si="20"/>
        <v>0.74862270069949943</v>
      </c>
      <c r="BG65" s="2498">
        <f t="shared" ca="1" si="20"/>
        <v>0.82548120110721002</v>
      </c>
      <c r="BH65" s="2498">
        <f t="shared" ca="1" si="20"/>
        <v>0.87291357847041562</v>
      </c>
      <c r="BI65" s="2498">
        <f t="shared" ca="1" si="20"/>
        <v>0.90683193945501583</v>
      </c>
      <c r="BJ65" s="1190"/>
      <c r="BK65" s="97"/>
    </row>
    <row r="66" spans="2:63" s="51" customFormat="1" ht="18">
      <c r="B66" s="1189"/>
      <c r="C66" s="60"/>
      <c r="D66" s="266" t="s">
        <v>877</v>
      </c>
      <c r="E66" s="166"/>
      <c r="F66" s="1176"/>
      <c r="G66" s="1176"/>
      <c r="H66" s="1171"/>
      <c r="I66" s="1171"/>
      <c r="J66" s="1171"/>
      <c r="K66" s="1171"/>
      <c r="L66" s="1171"/>
      <c r="M66" s="1171"/>
      <c r="N66" s="1171"/>
      <c r="O66" s="1171"/>
      <c r="P66" s="1171"/>
      <c r="Q66" s="1171"/>
      <c r="R66" s="1171"/>
      <c r="S66" s="1171"/>
      <c r="T66" s="1171"/>
      <c r="U66" s="1171"/>
      <c r="V66" s="1171"/>
      <c r="W66" s="1171"/>
      <c r="X66" s="1171"/>
      <c r="Y66" s="1171"/>
      <c r="Z66" s="1171"/>
      <c r="AA66" s="1171"/>
      <c r="AB66" s="1171"/>
      <c r="AC66" s="1171"/>
      <c r="AD66" s="1171"/>
      <c r="AE66" s="1171"/>
      <c r="AF66" s="1171"/>
      <c r="AG66" s="1171"/>
      <c r="AH66" s="1171"/>
      <c r="AI66" s="1171"/>
      <c r="AJ66" s="1171"/>
      <c r="AK66" s="1171"/>
      <c r="AL66" s="1171"/>
      <c r="AM66" s="1171"/>
      <c r="AN66" s="1171"/>
      <c r="AO66" s="1171"/>
      <c r="AP66" s="1171"/>
      <c r="AQ66" s="1171"/>
      <c r="AR66" s="1171"/>
      <c r="AS66" s="1171"/>
      <c r="AT66" s="1171"/>
      <c r="AU66" s="1171"/>
      <c r="AV66" s="1171"/>
      <c r="AW66" s="1171"/>
      <c r="AX66" s="166"/>
      <c r="AY66" s="2498">
        <f ca="1">IF(AY45&gt;0,AY45/AY46,0)</f>
        <v>0.7548840026793262</v>
      </c>
      <c r="AZ66" s="2498"/>
      <c r="BA66" s="2498">
        <f ca="1">IF(BA45&gt;0,BA45/BA46,0)</f>
        <v>0.76801844856785839</v>
      </c>
      <c r="BB66" s="2498">
        <f t="shared" ref="BB66:BI66" ca="1" si="21">IF(BB45&gt;0,BB45/BB46,0)</f>
        <v>0.81384388492225168</v>
      </c>
      <c r="BC66" s="2498">
        <f t="shared" ca="1" si="21"/>
        <v>0.88245797397316117</v>
      </c>
      <c r="BD66" s="2498">
        <f t="shared" ca="1" si="21"/>
        <v>0.9102173710055752</v>
      </c>
      <c r="BE66" s="2498">
        <f t="shared" ca="1" si="21"/>
        <v>0.92973992657010773</v>
      </c>
      <c r="BF66" s="2498">
        <f t="shared" ca="1" si="21"/>
        <v>0.9434642844335549</v>
      </c>
      <c r="BG66" s="2498">
        <f t="shared" ca="1" si="21"/>
        <v>0.95279461204771887</v>
      </c>
      <c r="BH66" s="2498">
        <f t="shared" ca="1" si="21"/>
        <v>0.96013780817215177</v>
      </c>
      <c r="BI66" s="2498">
        <f t="shared" ca="1" si="21"/>
        <v>0.96576894692905224</v>
      </c>
      <c r="BJ66" s="1190"/>
      <c r="BK66" s="2556">
        <f>34/124</f>
        <v>0.27419354838709675</v>
      </c>
    </row>
    <row r="67" spans="2:63" s="51" customFormat="1" ht="18">
      <c r="B67" s="1189"/>
      <c r="C67" s="60"/>
      <c r="D67" s="266" t="s">
        <v>876</v>
      </c>
      <c r="E67" s="166"/>
      <c r="F67" s="1176"/>
      <c r="G67" s="1176"/>
      <c r="H67" s="1171"/>
      <c r="I67" s="1171"/>
      <c r="J67" s="1171"/>
      <c r="K67" s="1171"/>
      <c r="L67" s="1171"/>
      <c r="M67" s="1171"/>
      <c r="N67" s="1171"/>
      <c r="O67" s="1171"/>
      <c r="P67" s="1171"/>
      <c r="Q67" s="1171"/>
      <c r="R67" s="1171"/>
      <c r="S67" s="1171"/>
      <c r="T67" s="1171"/>
      <c r="U67" s="1171"/>
      <c r="V67" s="1171"/>
      <c r="W67" s="1171"/>
      <c r="X67" s="1171"/>
      <c r="Y67" s="1171"/>
      <c r="Z67" s="1171"/>
      <c r="AA67" s="1171"/>
      <c r="AB67" s="1171"/>
      <c r="AC67" s="1171"/>
      <c r="AD67" s="1171"/>
      <c r="AE67" s="1171"/>
      <c r="AF67" s="1171"/>
      <c r="AG67" s="1171"/>
      <c r="AH67" s="1171"/>
      <c r="AI67" s="1171"/>
      <c r="AJ67" s="1171"/>
      <c r="AK67" s="1171"/>
      <c r="AL67" s="1171"/>
      <c r="AM67" s="1171"/>
      <c r="AN67" s="1171"/>
      <c r="AO67" s="1171"/>
      <c r="AP67" s="1171"/>
      <c r="AQ67" s="1171"/>
      <c r="AR67" s="1171"/>
      <c r="AS67" s="1171"/>
      <c r="AT67" s="1171"/>
      <c r="AU67" s="1171"/>
      <c r="AV67" s="1171"/>
      <c r="AW67" s="1171"/>
      <c r="AX67" s="166"/>
      <c r="AY67" s="2498">
        <f ca="1">IF(AY47&gt;0,AY47/AY62,0)</f>
        <v>0.38380841620981121</v>
      </c>
      <c r="AZ67" s="2498"/>
      <c r="BA67" s="2498">
        <f ca="1">IF(BA47&gt;0,BA47/BA49,0)</f>
        <v>0.26119364634362074</v>
      </c>
      <c r="BB67" s="2498">
        <f t="shared" ref="BB67:BI67" ca="1" si="22">IF(BB47&gt;0,BB47/BB49,0)</f>
        <v>0.46866472811271864</v>
      </c>
      <c r="BC67" s="2498">
        <f t="shared" ca="1" si="22"/>
        <v>0.51428530855442001</v>
      </c>
      <c r="BD67" s="2498">
        <f t="shared" ca="1" si="22"/>
        <v>0.55098845581071276</v>
      </c>
      <c r="BE67" s="2498">
        <f t="shared" ca="1" si="22"/>
        <v>0.57919315329283294</v>
      </c>
      <c r="BF67" s="2498">
        <f t="shared" ca="1" si="22"/>
        <v>0.61587715650918029</v>
      </c>
      <c r="BG67" s="2498">
        <f t="shared" ca="1" si="22"/>
        <v>0.64677620066441044</v>
      </c>
      <c r="BH67" s="2498">
        <f t="shared" ca="1" si="22"/>
        <v>0.67223126154277801</v>
      </c>
      <c r="BI67" s="2498">
        <f t="shared" ca="1" si="22"/>
        <v>0.70058784339200642</v>
      </c>
      <c r="BJ67" s="1190"/>
      <c r="BK67" s="97"/>
    </row>
    <row r="68" spans="2:63" s="51" customFormat="1" ht="18">
      <c r="B68" s="1189"/>
      <c r="C68" s="60"/>
      <c r="D68" s="266" t="s">
        <v>2057</v>
      </c>
      <c r="E68" s="166"/>
      <c r="F68" s="1176"/>
      <c r="G68" s="1176"/>
      <c r="H68" s="1171"/>
      <c r="I68" s="1171"/>
      <c r="J68" s="1171"/>
      <c r="K68" s="1171"/>
      <c r="L68" s="1171"/>
      <c r="M68" s="1171"/>
      <c r="N68" s="1171"/>
      <c r="O68" s="1171"/>
      <c r="P68" s="1171"/>
      <c r="Q68" s="1171"/>
      <c r="R68" s="1171"/>
      <c r="S68" s="1171"/>
      <c r="T68" s="1171"/>
      <c r="U68" s="1171"/>
      <c r="V68" s="1171"/>
      <c r="W68" s="1171"/>
      <c r="X68" s="1171"/>
      <c r="Y68" s="1171"/>
      <c r="Z68" s="1171"/>
      <c r="AA68" s="1171"/>
      <c r="AB68" s="1171"/>
      <c r="AC68" s="1171"/>
      <c r="AD68" s="1171"/>
      <c r="AE68" s="1171"/>
      <c r="AF68" s="1171"/>
      <c r="AG68" s="1171"/>
      <c r="AH68" s="1171"/>
      <c r="AI68" s="1171"/>
      <c r="AJ68" s="1171"/>
      <c r="AK68" s="1171"/>
      <c r="AL68" s="1171"/>
      <c r="AM68" s="1171"/>
      <c r="AN68" s="1171"/>
      <c r="AO68" s="1171"/>
      <c r="AP68" s="1171"/>
      <c r="AQ68" s="1171"/>
      <c r="AR68" s="1171"/>
      <c r="AS68" s="1171"/>
      <c r="AT68" s="1171"/>
      <c r="AU68" s="1171"/>
      <c r="AV68" s="1171"/>
      <c r="AW68" s="1171"/>
      <c r="AX68" s="166"/>
      <c r="AY68" s="2498">
        <f ca="1">(AY65*AY43+AY46*AY66+AY67*AY49)/AY50</f>
        <v>0.30694137298932872</v>
      </c>
      <c r="AZ68" s="2498"/>
      <c r="BA68" s="2498">
        <f ca="1">(BA65*BA43+BA46*BA66+BA67*BA49)/BA50</f>
        <v>0.30896872038307943</v>
      </c>
      <c r="BB68" s="2498">
        <f t="shared" ref="BB68:BI68" ca="1" si="23">(BB65*BB43+BB46*BB66+BB67*BB49)/BB50</f>
        <v>0.41280262195996537</v>
      </c>
      <c r="BC68" s="2498">
        <f t="shared" ca="1" si="23"/>
        <v>0.52756384593140027</v>
      </c>
      <c r="BD68" s="2498">
        <f t="shared" ca="1" si="23"/>
        <v>0.61665991241300089</v>
      </c>
      <c r="BE68" s="2498">
        <f t="shared" ca="1" si="23"/>
        <v>0.69526596174704458</v>
      </c>
      <c r="BF68" s="2498">
        <f t="shared" ca="1" si="23"/>
        <v>0.74533166634231784</v>
      </c>
      <c r="BG68" s="2498">
        <f t="shared" ca="1" si="23"/>
        <v>0.80424450756455557</v>
      </c>
      <c r="BH68" s="2498">
        <f t="shared" ca="1" si="23"/>
        <v>0.84384086837418315</v>
      </c>
      <c r="BI68" s="2498">
        <f t="shared" ca="1" si="23"/>
        <v>0.87393085626223332</v>
      </c>
      <c r="BJ68" s="1190"/>
      <c r="BK68" s="97"/>
    </row>
    <row r="69" spans="2:63" s="51" customFormat="1" ht="18">
      <c r="B69" s="1189"/>
      <c r="C69" s="60"/>
      <c r="D69" s="266"/>
      <c r="E69" s="166"/>
      <c r="F69" s="1176"/>
      <c r="G69" s="1176"/>
      <c r="H69" s="1171"/>
      <c r="I69" s="1171"/>
      <c r="J69" s="1171"/>
      <c r="K69" s="1171"/>
      <c r="L69" s="1171"/>
      <c r="M69" s="1171"/>
      <c r="N69" s="1171"/>
      <c r="O69" s="1171"/>
      <c r="P69" s="1171"/>
      <c r="Q69" s="1171"/>
      <c r="R69" s="1171"/>
      <c r="S69" s="1171"/>
      <c r="T69" s="1171"/>
      <c r="U69" s="1171"/>
      <c r="V69" s="1171"/>
      <c r="W69" s="1171"/>
      <c r="X69" s="1171"/>
      <c r="Y69" s="1171"/>
      <c r="Z69" s="1171"/>
      <c r="AA69" s="1171"/>
      <c r="AB69" s="1171"/>
      <c r="AC69" s="1171"/>
      <c r="AD69" s="1171"/>
      <c r="AE69" s="1171"/>
      <c r="AF69" s="1171"/>
      <c r="AG69" s="1171"/>
      <c r="AH69" s="1171"/>
      <c r="AI69" s="1171"/>
      <c r="AJ69" s="1171"/>
      <c r="AK69" s="1171"/>
      <c r="AL69" s="1171"/>
      <c r="AM69" s="1171"/>
      <c r="AN69" s="1171"/>
      <c r="AO69" s="1171"/>
      <c r="AP69" s="1171"/>
      <c r="AQ69" s="1171"/>
      <c r="AR69" s="1171"/>
      <c r="AS69" s="1171"/>
      <c r="AT69" s="1171"/>
      <c r="AU69" s="1171"/>
      <c r="AV69" s="1171"/>
      <c r="AW69" s="1171"/>
      <c r="AX69" s="166"/>
      <c r="AY69" s="1176"/>
      <c r="AZ69" s="1176"/>
      <c r="BA69" s="1176"/>
      <c r="BB69" s="1176"/>
      <c r="BC69" s="1176"/>
      <c r="BD69" s="1176"/>
      <c r="BE69" s="1176"/>
      <c r="BF69" s="1176"/>
      <c r="BG69" s="1176"/>
      <c r="BH69" s="1176"/>
      <c r="BI69" s="1176"/>
      <c r="BJ69" s="1190"/>
      <c r="BK69" s="97"/>
    </row>
    <row r="70" spans="2:63" s="51" customFormat="1" ht="18">
      <c r="B70" s="1189"/>
      <c r="C70" s="60"/>
      <c r="D70" s="266"/>
      <c r="E70" s="166"/>
      <c r="F70" s="1176"/>
      <c r="G70" s="1176"/>
      <c r="H70" s="1171"/>
      <c r="I70" s="1171"/>
      <c r="J70" s="1171"/>
      <c r="K70" s="1171"/>
      <c r="L70" s="1171"/>
      <c r="M70" s="1171"/>
      <c r="N70" s="1171"/>
      <c r="O70" s="1171"/>
      <c r="P70" s="1171"/>
      <c r="Q70" s="1171"/>
      <c r="R70" s="1171"/>
      <c r="S70" s="1171"/>
      <c r="T70" s="1171"/>
      <c r="U70" s="1171"/>
      <c r="V70" s="1171"/>
      <c r="W70" s="1171"/>
      <c r="X70" s="1171"/>
      <c r="Y70" s="1171"/>
      <c r="Z70" s="1171"/>
      <c r="AA70" s="1171"/>
      <c r="AB70" s="1171"/>
      <c r="AC70" s="1171"/>
      <c r="AD70" s="1171"/>
      <c r="AE70" s="1171"/>
      <c r="AF70" s="1171"/>
      <c r="AG70" s="1171"/>
      <c r="AH70" s="1171"/>
      <c r="AI70" s="1171"/>
      <c r="AJ70" s="1171"/>
      <c r="AK70" s="1171"/>
      <c r="AL70" s="1171"/>
      <c r="AM70" s="1171"/>
      <c r="AN70" s="1171"/>
      <c r="AO70" s="1171"/>
      <c r="AP70" s="1171"/>
      <c r="AQ70" s="1171"/>
      <c r="AR70" s="1171"/>
      <c r="AS70" s="1171"/>
      <c r="AT70" s="1171"/>
      <c r="AU70" s="1171"/>
      <c r="AV70" s="1171"/>
      <c r="AW70" s="1171"/>
      <c r="AX70" s="166"/>
      <c r="AY70" s="1176"/>
      <c r="AZ70" s="1176"/>
      <c r="BA70" s="2498"/>
      <c r="BB70" s="1176"/>
      <c r="BC70" s="1176"/>
      <c r="BD70" s="1176"/>
      <c r="BE70" s="1176"/>
      <c r="BF70" s="1176"/>
      <c r="BG70" s="1176"/>
      <c r="BH70" s="1176"/>
      <c r="BI70" s="1176"/>
      <c r="BJ70" s="1190"/>
      <c r="BK70" s="97"/>
    </row>
    <row r="71" spans="2:63" s="51" customFormat="1" ht="18">
      <c r="B71" s="1189"/>
      <c r="C71" s="60"/>
      <c r="D71" s="266"/>
      <c r="E71" s="166"/>
      <c r="F71" s="1176"/>
      <c r="G71" s="1176"/>
      <c r="H71" s="1171"/>
      <c r="I71" s="1171"/>
      <c r="J71" s="1171"/>
      <c r="K71" s="1171"/>
      <c r="L71" s="1171"/>
      <c r="M71" s="1171"/>
      <c r="N71" s="1171"/>
      <c r="O71" s="1171"/>
      <c r="P71" s="1171"/>
      <c r="Q71" s="1171"/>
      <c r="R71" s="1171"/>
      <c r="S71" s="1171"/>
      <c r="T71" s="1171"/>
      <c r="U71" s="1171"/>
      <c r="V71" s="1171"/>
      <c r="W71" s="1171"/>
      <c r="X71" s="1171"/>
      <c r="Y71" s="1171"/>
      <c r="Z71" s="1171"/>
      <c r="AA71" s="1171"/>
      <c r="AB71" s="1171"/>
      <c r="AC71" s="1171"/>
      <c r="AD71" s="1171"/>
      <c r="AE71" s="1171"/>
      <c r="AF71" s="1171"/>
      <c r="AG71" s="1171"/>
      <c r="AH71" s="1171"/>
      <c r="AI71" s="1171"/>
      <c r="AJ71" s="1171"/>
      <c r="AK71" s="1171"/>
      <c r="AL71" s="1171"/>
      <c r="AM71" s="1171"/>
      <c r="AN71" s="1171"/>
      <c r="AO71" s="1171"/>
      <c r="AP71" s="1171"/>
      <c r="AQ71" s="1171"/>
      <c r="AR71" s="1171"/>
      <c r="AS71" s="1171"/>
      <c r="AT71" s="1171"/>
      <c r="AU71" s="1171"/>
      <c r="AV71" s="1171"/>
      <c r="AW71" s="1171"/>
      <c r="AX71" s="166"/>
      <c r="AY71" s="1176"/>
      <c r="AZ71" s="1176"/>
      <c r="BA71" s="2498"/>
      <c r="BB71" s="1176"/>
      <c r="BC71" s="1176"/>
      <c r="BD71" s="1176"/>
      <c r="BE71" s="1176"/>
      <c r="BF71" s="1176"/>
      <c r="BG71" s="1176"/>
      <c r="BH71" s="1176"/>
      <c r="BI71" s="1176"/>
      <c r="BJ71" s="1190"/>
      <c r="BK71" s="97"/>
    </row>
    <row r="72" spans="2:63" ht="18">
      <c r="B72" s="1189"/>
      <c r="C72" s="166"/>
      <c r="D72" s="266"/>
      <c r="E72" s="166"/>
      <c r="F72" s="166"/>
      <c r="G72" s="166"/>
      <c r="H72" s="1156"/>
      <c r="I72" s="1156"/>
      <c r="J72" s="1156"/>
      <c r="K72" s="1156"/>
      <c r="L72" s="1156"/>
      <c r="M72" s="1156"/>
      <c r="N72" s="1156"/>
      <c r="O72" s="1156"/>
      <c r="P72" s="1156"/>
      <c r="Q72" s="1156"/>
      <c r="R72" s="1156"/>
      <c r="S72" s="1156"/>
      <c r="T72" s="1156"/>
      <c r="U72" s="1156"/>
      <c r="V72" s="1156"/>
      <c r="W72" s="1156"/>
      <c r="X72" s="1156"/>
      <c r="Y72" s="1156"/>
      <c r="Z72" s="1156"/>
      <c r="AA72" s="1156"/>
      <c r="AB72" s="1156"/>
      <c r="AC72" s="1156"/>
      <c r="AD72" s="1156"/>
      <c r="AE72" s="1156"/>
      <c r="AF72" s="1156"/>
      <c r="AG72" s="1156"/>
      <c r="AH72" s="1156"/>
      <c r="AI72" s="1156"/>
      <c r="AJ72" s="1156"/>
      <c r="AK72" s="1156"/>
      <c r="AL72" s="1156"/>
      <c r="AM72" s="1156"/>
      <c r="AN72" s="1156"/>
      <c r="AO72" s="1156"/>
      <c r="AP72" s="1156"/>
      <c r="AQ72" s="1156"/>
      <c r="AR72" s="1156"/>
      <c r="AS72" s="1156"/>
      <c r="AT72" s="1156"/>
      <c r="AU72" s="1156"/>
      <c r="AV72" s="1156"/>
      <c r="AW72" s="1156"/>
      <c r="AX72" s="166"/>
      <c r="AY72" s="1168"/>
      <c r="AZ72" s="1168"/>
      <c r="BA72" s="2908"/>
      <c r="BB72" s="1168"/>
      <c r="BC72" s="1168"/>
      <c r="BD72" s="1168"/>
      <c r="BE72" s="1168"/>
      <c r="BF72" s="1168"/>
      <c r="BG72" s="1168"/>
      <c r="BH72" s="1168"/>
      <c r="BI72" s="1168"/>
      <c r="BJ72" s="1169"/>
      <c r="BK72" s="22"/>
    </row>
    <row r="73" spans="2:63" ht="18">
      <c r="B73" s="1189"/>
      <c r="C73" s="1179" t="s">
        <v>1141</v>
      </c>
      <c r="D73" s="166"/>
      <c r="E73" s="166"/>
      <c r="F73" s="166"/>
      <c r="G73" s="166"/>
      <c r="H73" s="1156"/>
      <c r="I73" s="1156"/>
      <c r="J73" s="1156"/>
      <c r="K73" s="1156"/>
      <c r="L73" s="1156"/>
      <c r="M73" s="1156"/>
      <c r="N73" s="1156"/>
      <c r="O73" s="1156"/>
      <c r="P73" s="1156"/>
      <c r="Q73" s="1156"/>
      <c r="R73" s="1156"/>
      <c r="S73" s="1156"/>
      <c r="T73" s="1156"/>
      <c r="U73" s="1156"/>
      <c r="V73" s="1156"/>
      <c r="W73" s="1156"/>
      <c r="X73" s="1156"/>
      <c r="Y73" s="1156"/>
      <c r="Z73" s="1156"/>
      <c r="AA73" s="1156"/>
      <c r="AB73" s="1156"/>
      <c r="AC73" s="1156"/>
      <c r="AD73" s="1156"/>
      <c r="AE73" s="1156"/>
      <c r="AF73" s="1156"/>
      <c r="AG73" s="1156"/>
      <c r="AH73" s="1156"/>
      <c r="AI73" s="1156"/>
      <c r="AJ73" s="1156"/>
      <c r="AK73" s="1156"/>
      <c r="AL73" s="1156"/>
      <c r="AM73" s="1156"/>
      <c r="AN73" s="1156"/>
      <c r="AO73" s="1156"/>
      <c r="AP73" s="1156"/>
      <c r="AQ73" s="1156"/>
      <c r="AR73" s="1156"/>
      <c r="AS73" s="1156"/>
      <c r="AT73" s="1156"/>
      <c r="AU73" s="1156"/>
      <c r="AV73" s="1156"/>
      <c r="AW73" s="1156"/>
      <c r="AX73" s="166"/>
      <c r="AY73" s="1168"/>
      <c r="AZ73" s="1168"/>
      <c r="BA73" s="1168"/>
      <c r="BB73" s="1168"/>
      <c r="BC73" s="1168"/>
      <c r="BD73" s="1168"/>
      <c r="BE73" s="1168"/>
      <c r="BF73" s="1168"/>
      <c r="BG73" s="1168"/>
      <c r="BH73" s="1168"/>
      <c r="BI73" s="1168"/>
      <c r="BJ73" s="1169"/>
      <c r="BK73" s="22"/>
    </row>
    <row r="74" spans="2:63">
      <c r="B74" s="164"/>
      <c r="C74" s="166"/>
      <c r="D74" s="166"/>
      <c r="E74" s="166"/>
      <c r="F74" s="166"/>
      <c r="G74" s="166"/>
      <c r="H74" s="1156"/>
      <c r="I74" s="1156"/>
      <c r="J74" s="1156"/>
      <c r="K74" s="1156"/>
      <c r="L74" s="1156"/>
      <c r="M74" s="1156"/>
      <c r="N74" s="1156"/>
      <c r="O74" s="1156"/>
      <c r="P74" s="1156"/>
      <c r="Q74" s="1156"/>
      <c r="R74" s="1156"/>
      <c r="S74" s="1156"/>
      <c r="T74" s="1156"/>
      <c r="U74" s="1156"/>
      <c r="V74" s="1156"/>
      <c r="W74" s="1156"/>
      <c r="X74" s="1156"/>
      <c r="Y74" s="1156"/>
      <c r="Z74" s="1156"/>
      <c r="AA74" s="1156"/>
      <c r="AB74" s="1156"/>
      <c r="AC74" s="1156"/>
      <c r="AD74" s="1156"/>
      <c r="AE74" s="1156"/>
      <c r="AF74" s="1156"/>
      <c r="AG74" s="1156"/>
      <c r="AH74" s="1156"/>
      <c r="AI74" s="1156"/>
      <c r="AJ74" s="1156"/>
      <c r="AK74" s="1156"/>
      <c r="AL74" s="1156"/>
      <c r="AM74" s="1156"/>
      <c r="AN74" s="1156"/>
      <c r="AO74" s="1156"/>
      <c r="AP74" s="1156"/>
      <c r="AQ74" s="1156"/>
      <c r="AR74" s="1156"/>
      <c r="AS74" s="1156"/>
      <c r="AT74" s="1156"/>
      <c r="AU74" s="1156"/>
      <c r="AV74" s="1156"/>
      <c r="AW74" s="1156"/>
      <c r="AX74" s="166"/>
      <c r="AY74" s="1168"/>
      <c r="AZ74" s="1168"/>
      <c r="BA74" s="1168"/>
      <c r="BB74" s="1168"/>
      <c r="BC74" s="1168"/>
      <c r="BD74" s="1168"/>
      <c r="BE74" s="1168"/>
      <c r="BF74" s="1168"/>
      <c r="BG74" s="1168"/>
      <c r="BH74" s="1168"/>
      <c r="BI74" s="1168"/>
      <c r="BJ74" s="1169"/>
      <c r="BK74" s="1020"/>
    </row>
    <row r="75" spans="2:63">
      <c r="B75" s="164"/>
      <c r="C75" s="1170" t="s">
        <v>51</v>
      </c>
      <c r="D75" s="166" t="str">
        <f>INDEX(Vectors[Description],MATCH($C75,Vectors[Code],0))</f>
        <v>Coal indigenous production</v>
      </c>
      <c r="E75" s="166"/>
      <c r="F75" s="267"/>
      <c r="G75" s="267"/>
      <c r="H75" s="1165"/>
      <c r="I75" s="1165"/>
      <c r="J75" s="1165"/>
      <c r="K75" s="1165"/>
      <c r="L75" s="1165"/>
      <c r="M75" s="1165"/>
      <c r="N75" s="1165"/>
      <c r="O75" s="1165"/>
      <c r="P75" s="1165"/>
      <c r="Q75" s="1165"/>
      <c r="R75" s="1165"/>
      <c r="S75" s="1165"/>
      <c r="T75" s="1165"/>
      <c r="U75" s="1165"/>
      <c r="V75" s="1165"/>
      <c r="W75" s="1165"/>
      <c r="X75" s="1165"/>
      <c r="Y75" s="1165"/>
      <c r="Z75" s="1165"/>
      <c r="AA75" s="1165"/>
      <c r="AB75" s="1165"/>
      <c r="AC75" s="1165"/>
      <c r="AD75" s="1165"/>
      <c r="AE75" s="1165"/>
      <c r="AF75" s="1165"/>
      <c r="AG75" s="1165"/>
      <c r="AH75" s="1165"/>
      <c r="AI75" s="1165"/>
      <c r="AJ75" s="1165"/>
      <c r="AK75" s="1165"/>
      <c r="AL75" s="1165"/>
      <c r="AM75" s="1165"/>
      <c r="AN75" s="1165"/>
      <c r="AO75" s="1165"/>
      <c r="AP75" s="1165"/>
      <c r="AQ75" s="1165"/>
      <c r="AR75" s="1165"/>
      <c r="AS75" s="1165"/>
      <c r="AT75" s="1165"/>
      <c r="AU75" s="1165"/>
      <c r="AV75" s="1165"/>
      <c r="AW75" s="1165"/>
      <c r="AX75" s="166"/>
      <c r="AY75" s="1168">
        <f ca="1">INDEX(INDIRECT("'"&amp;AY$4&amp;"'!Year.NetBalance"), MATCH('Oil Story'!$C75, INDIRECT("'"&amp;AY$4&amp;"'!Year.Vectors"), 0))</f>
        <v>0</v>
      </c>
      <c r="AZ75" s="1168"/>
      <c r="BA75" s="1168">
        <f ca="1">INDEX(INDIRECT("'"&amp;BA$4&amp;"'!Year.NetBalance"), MATCH('Oil Story'!$C75, INDIRECT("'"&amp;BA$4&amp;"'!Year.Vectors"), 0))</f>
        <v>0</v>
      </c>
      <c r="BB75" s="1168">
        <f ca="1">INDEX(INDIRECT("'"&amp;BB$4&amp;"'!Year.NetBalance"), MATCH('Oil Story'!$C75, INDIRECT("'"&amp;BB$4&amp;"'!Year.Vectors"), 0))</f>
        <v>0</v>
      </c>
      <c r="BC75" s="1168">
        <f ca="1">INDEX(INDIRECT("'"&amp;BC$4&amp;"'!Year.NetBalance"), MATCH('Oil Story'!$C75, INDIRECT("'"&amp;BC$4&amp;"'!Year.Vectors"), 0))</f>
        <v>0</v>
      </c>
      <c r="BD75" s="1168">
        <f ca="1">INDEX(INDIRECT("'"&amp;BD$4&amp;"'!Year.NetBalance"), MATCH('Oil Story'!$C75, INDIRECT("'"&amp;BD$4&amp;"'!Year.Vectors"), 0))</f>
        <v>0</v>
      </c>
      <c r="BE75" s="1168">
        <f ca="1">INDEX(INDIRECT("'"&amp;BE$4&amp;"'!Year.NetBalance"), MATCH('Oil Story'!$C75, INDIRECT("'"&amp;BE$4&amp;"'!Year.Vectors"), 0))</f>
        <v>0</v>
      </c>
      <c r="BF75" s="1168">
        <f ca="1">INDEX(INDIRECT("'"&amp;BF$4&amp;"'!Year.NetBalance"), MATCH('Oil Story'!$C75, INDIRECT("'"&amp;BF$4&amp;"'!Year.Vectors"), 0))</f>
        <v>0</v>
      </c>
      <c r="BG75" s="1168">
        <f ca="1">INDEX(INDIRECT("'"&amp;BG$4&amp;"'!Year.NetBalance"), MATCH('Oil Story'!$C75, INDIRECT("'"&amp;BG$4&amp;"'!Year.Vectors"), 0))</f>
        <v>0</v>
      </c>
      <c r="BH75" s="1168">
        <f ca="1">INDEX(INDIRECT("'"&amp;BH$4&amp;"'!Year.NetBalance"), MATCH('Oil Story'!$C75, INDIRECT("'"&amp;BH$4&amp;"'!Year.Vectors"), 0))</f>
        <v>0</v>
      </c>
      <c r="BI75" s="1168">
        <f ca="1">INDEX(INDIRECT("'"&amp;BI$4&amp;"'!Year.NetBalance"), MATCH('Oil Story'!$C75, INDIRECT("'"&amp;BI$4&amp;"'!Year.Vectors"), 0))</f>
        <v>0</v>
      </c>
      <c r="BJ75" s="1169"/>
      <c r="BK75" s="1020"/>
    </row>
    <row r="76" spans="2:63">
      <c r="B76" s="164"/>
      <c r="C76" s="1170" t="s">
        <v>52</v>
      </c>
      <c r="D76" s="166" t="str">
        <f>INDEX(Vectors[Description],MATCH($C76,Vectors[Code],0))</f>
        <v>Oil and petroleum products</v>
      </c>
      <c r="E76" s="166"/>
      <c r="F76" s="267"/>
      <c r="G76" s="267"/>
      <c r="H76" s="1165"/>
      <c r="I76" s="1165"/>
      <c r="J76" s="1165"/>
      <c r="K76" s="1165"/>
      <c r="L76" s="1165"/>
      <c r="M76" s="1165"/>
      <c r="N76" s="1165"/>
      <c r="O76" s="1165"/>
      <c r="P76" s="1165"/>
      <c r="Q76" s="1165"/>
      <c r="R76" s="1165"/>
      <c r="S76" s="1165"/>
      <c r="T76" s="1165"/>
      <c r="U76" s="1165"/>
      <c r="V76" s="1165"/>
      <c r="W76" s="1165"/>
      <c r="X76" s="1165"/>
      <c r="Y76" s="1165"/>
      <c r="Z76" s="1165"/>
      <c r="AA76" s="1165"/>
      <c r="AB76" s="1165"/>
      <c r="AC76" s="1165"/>
      <c r="AD76" s="1165"/>
      <c r="AE76" s="1165"/>
      <c r="AF76" s="1165"/>
      <c r="AG76" s="1165"/>
      <c r="AH76" s="1165"/>
      <c r="AI76" s="1165"/>
      <c r="AJ76" s="1165"/>
      <c r="AK76" s="1165"/>
      <c r="AL76" s="1165"/>
      <c r="AM76" s="1165"/>
      <c r="AN76" s="1165"/>
      <c r="AO76" s="1165"/>
      <c r="AP76" s="1165"/>
      <c r="AQ76" s="1165"/>
      <c r="AR76" s="1165"/>
      <c r="AS76" s="1165"/>
      <c r="AT76" s="1165"/>
      <c r="AU76" s="1165"/>
      <c r="AV76" s="1165"/>
      <c r="AW76" s="1165"/>
      <c r="AX76" s="166"/>
      <c r="AY76" s="1168">
        <f ca="1">INDEX(INDIRECT("'"&amp;AY$4&amp;"'!Year.NetBalance"), MATCH('Oil Story'!$C76, INDIRECT("'"&amp;AY$4&amp;"'!Year.Vectors"), 0))</f>
        <v>0</v>
      </c>
      <c r="AZ76" s="1168"/>
      <c r="BA76" s="1168">
        <f ca="1">INDEX(INDIRECT("'"&amp;BA$4&amp;"'!Year.NetBalance"), MATCH('Oil Story'!$C76, INDIRECT("'"&amp;BA$4&amp;"'!Year.Vectors"), 0))</f>
        <v>0</v>
      </c>
      <c r="BB76" s="1168">
        <f ca="1">INDEX(INDIRECT("'"&amp;BB$4&amp;"'!Year.NetBalance"), MATCH('Oil Story'!$C76, INDIRECT("'"&amp;BB$4&amp;"'!Year.Vectors"), 0))</f>
        <v>0</v>
      </c>
      <c r="BC76" s="1168">
        <f ca="1">INDEX(INDIRECT("'"&amp;BC$4&amp;"'!Year.NetBalance"), MATCH('Oil Story'!$C76, INDIRECT("'"&amp;BC$4&amp;"'!Year.Vectors"), 0))</f>
        <v>0</v>
      </c>
      <c r="BD76" s="1168">
        <f ca="1">INDEX(INDIRECT("'"&amp;BD$4&amp;"'!Year.NetBalance"), MATCH('Oil Story'!$C76, INDIRECT("'"&amp;BD$4&amp;"'!Year.Vectors"), 0))</f>
        <v>0</v>
      </c>
      <c r="BE76" s="1168">
        <f ca="1">INDEX(INDIRECT("'"&amp;BE$4&amp;"'!Year.NetBalance"), MATCH('Oil Story'!$C76, INDIRECT("'"&amp;BE$4&amp;"'!Year.Vectors"), 0))</f>
        <v>0</v>
      </c>
      <c r="BF76" s="1168">
        <f ca="1">INDEX(INDIRECT("'"&amp;BF$4&amp;"'!Year.NetBalance"), MATCH('Oil Story'!$C76, INDIRECT("'"&amp;BF$4&amp;"'!Year.Vectors"), 0))</f>
        <v>0</v>
      </c>
      <c r="BG76" s="1168">
        <f ca="1">INDEX(INDIRECT("'"&amp;BG$4&amp;"'!Year.NetBalance"), MATCH('Oil Story'!$C76, INDIRECT("'"&amp;BG$4&amp;"'!Year.Vectors"), 0))</f>
        <v>0</v>
      </c>
      <c r="BH76" s="1168">
        <f ca="1">INDEX(INDIRECT("'"&amp;BH$4&amp;"'!Year.NetBalance"), MATCH('Oil Story'!$C76, INDIRECT("'"&amp;BH$4&amp;"'!Year.Vectors"), 0))</f>
        <v>5.6843418860808015E-13</v>
      </c>
      <c r="BI76" s="1168">
        <f ca="1">INDEX(INDIRECT("'"&amp;BI$4&amp;"'!Year.NetBalance"), MATCH('Oil Story'!$C76, INDIRECT("'"&amp;BI$4&amp;"'!Year.Vectors"), 0))</f>
        <v>-7.9580786405131221E-13</v>
      </c>
      <c r="BJ76" s="1169"/>
      <c r="BK76" s="1020"/>
    </row>
    <row r="77" spans="2:63">
      <c r="B77" s="164"/>
      <c r="C77" s="1170" t="s">
        <v>53</v>
      </c>
      <c r="D77" s="166" t="str">
        <f>INDEX(Vectors[Description],MATCH($C77,Vectors[Code],0))</f>
        <v>Natural gas</v>
      </c>
      <c r="E77" s="166"/>
      <c r="F77" s="267"/>
      <c r="G77" s="267"/>
      <c r="H77" s="1165"/>
      <c r="I77" s="1165"/>
      <c r="J77" s="1165"/>
      <c r="K77" s="1165"/>
      <c r="L77" s="1165"/>
      <c r="M77" s="1165"/>
      <c r="N77" s="1165"/>
      <c r="O77" s="1165"/>
      <c r="P77" s="1165"/>
      <c r="Q77" s="1165"/>
      <c r="R77" s="1165"/>
      <c r="S77" s="1165"/>
      <c r="T77" s="1165"/>
      <c r="U77" s="1165"/>
      <c r="V77" s="1165"/>
      <c r="W77" s="1165"/>
      <c r="X77" s="1165"/>
      <c r="Y77" s="1165"/>
      <c r="Z77" s="1165"/>
      <c r="AA77" s="1165"/>
      <c r="AB77" s="1165"/>
      <c r="AC77" s="1165"/>
      <c r="AD77" s="1165"/>
      <c r="AE77" s="1165"/>
      <c r="AF77" s="1165"/>
      <c r="AG77" s="1165"/>
      <c r="AH77" s="1165"/>
      <c r="AI77" s="1165"/>
      <c r="AJ77" s="1165"/>
      <c r="AK77" s="1165"/>
      <c r="AL77" s="1165"/>
      <c r="AM77" s="1165"/>
      <c r="AN77" s="1165"/>
      <c r="AO77" s="1165"/>
      <c r="AP77" s="1165"/>
      <c r="AQ77" s="1165"/>
      <c r="AR77" s="1165"/>
      <c r="AS77" s="1165"/>
      <c r="AT77" s="1165"/>
      <c r="AU77" s="1165"/>
      <c r="AV77" s="1165"/>
      <c r="AW77" s="1165"/>
      <c r="AX77" s="166"/>
      <c r="AY77" s="1168">
        <f ca="1">INDEX(INDIRECT("'"&amp;AY$4&amp;"'!Year.NetBalance"), MATCH('Oil Story'!$C77, INDIRECT("'"&amp;AY$4&amp;"'!Year.Vectors"), 0))</f>
        <v>0</v>
      </c>
      <c r="AZ77" s="1168"/>
      <c r="BA77" s="1168">
        <f ca="1">INDEX(INDIRECT("'"&amp;BA$4&amp;"'!Year.NetBalance"), MATCH('Oil Story'!$C77, INDIRECT("'"&amp;BA$4&amp;"'!Year.Vectors"), 0))</f>
        <v>0</v>
      </c>
      <c r="BB77" s="1168">
        <f ca="1">INDEX(INDIRECT("'"&amp;BB$4&amp;"'!Year.NetBalance"), MATCH('Oil Story'!$C77, INDIRECT("'"&amp;BB$4&amp;"'!Year.Vectors"), 0))</f>
        <v>0</v>
      </c>
      <c r="BC77" s="1168">
        <f ca="1">INDEX(INDIRECT("'"&amp;BC$4&amp;"'!Year.NetBalance"), MATCH('Oil Story'!$C77, INDIRECT("'"&amp;BC$4&amp;"'!Year.Vectors"), 0))</f>
        <v>0</v>
      </c>
      <c r="BD77" s="1168">
        <f ca="1">INDEX(INDIRECT("'"&amp;BD$4&amp;"'!Year.NetBalance"), MATCH('Oil Story'!$C77, INDIRECT("'"&amp;BD$4&amp;"'!Year.Vectors"), 0))</f>
        <v>0</v>
      </c>
      <c r="BE77" s="1168">
        <f ca="1">INDEX(INDIRECT("'"&amp;BE$4&amp;"'!Year.NetBalance"), MATCH('Oil Story'!$C77, INDIRECT("'"&amp;BE$4&amp;"'!Year.Vectors"), 0))</f>
        <v>0</v>
      </c>
      <c r="BF77" s="1168">
        <f ca="1">INDEX(INDIRECT("'"&amp;BF$4&amp;"'!Year.NetBalance"), MATCH('Oil Story'!$C77, INDIRECT("'"&amp;BF$4&amp;"'!Year.Vectors"), 0))</f>
        <v>0</v>
      </c>
      <c r="BG77" s="1168">
        <f ca="1">INDEX(INDIRECT("'"&amp;BG$4&amp;"'!Year.NetBalance"), MATCH('Oil Story'!$C77, INDIRECT("'"&amp;BG$4&amp;"'!Year.Vectors"), 0))</f>
        <v>0</v>
      </c>
      <c r="BH77" s="1168">
        <f ca="1">INDEX(INDIRECT("'"&amp;BH$4&amp;"'!Year.NetBalance"), MATCH('Oil Story'!$C77, INDIRECT("'"&amp;BH$4&amp;"'!Year.Vectors"), 0))</f>
        <v>0</v>
      </c>
      <c r="BI77" s="1168">
        <f ca="1">INDEX(INDIRECT("'"&amp;BI$4&amp;"'!Year.NetBalance"), MATCH('Oil Story'!$C77, INDIRECT("'"&amp;BI$4&amp;"'!Year.Vectors"), 0))</f>
        <v>0</v>
      </c>
      <c r="BJ77" s="1169"/>
      <c r="BK77" s="1020"/>
    </row>
    <row r="78" spans="2:63">
      <c r="B78" s="164"/>
      <c r="C78" s="1170" t="s">
        <v>36</v>
      </c>
      <c r="D78" s="166" t="str">
        <f>INDEX(Vectors[Description],MATCH($C78,Vectors[Code],0))</f>
        <v>Solid hydrocarbons</v>
      </c>
      <c r="E78" s="166"/>
      <c r="F78" s="267"/>
      <c r="G78" s="267"/>
      <c r="H78" s="1165"/>
      <c r="I78" s="1165"/>
      <c r="J78" s="1165"/>
      <c r="K78" s="1165"/>
      <c r="L78" s="1165"/>
      <c r="M78" s="1165"/>
      <c r="N78" s="1165"/>
      <c r="O78" s="1165"/>
      <c r="P78" s="1165"/>
      <c r="Q78" s="1165"/>
      <c r="R78" s="1165"/>
      <c r="S78" s="1165"/>
      <c r="T78" s="1165"/>
      <c r="U78" s="1165"/>
      <c r="V78" s="1165"/>
      <c r="W78" s="1165"/>
      <c r="X78" s="1165"/>
      <c r="Y78" s="1165"/>
      <c r="Z78" s="1165"/>
      <c r="AA78" s="1165"/>
      <c r="AB78" s="1165"/>
      <c r="AC78" s="1165"/>
      <c r="AD78" s="1165"/>
      <c r="AE78" s="1165"/>
      <c r="AF78" s="1165"/>
      <c r="AG78" s="1165"/>
      <c r="AH78" s="1165"/>
      <c r="AI78" s="1165"/>
      <c r="AJ78" s="1165"/>
      <c r="AK78" s="1165"/>
      <c r="AL78" s="1165"/>
      <c r="AM78" s="1165"/>
      <c r="AN78" s="1165"/>
      <c r="AO78" s="1165"/>
      <c r="AP78" s="1165"/>
      <c r="AQ78" s="1165"/>
      <c r="AR78" s="1165"/>
      <c r="AS78" s="1165"/>
      <c r="AT78" s="1165"/>
      <c r="AU78" s="1165"/>
      <c r="AV78" s="1165"/>
      <c r="AW78" s="1165"/>
      <c r="AX78" s="166"/>
      <c r="AY78" s="1168">
        <f ca="1">INDEX(INDIRECT("'"&amp;AY$4&amp;"'!Year.NetBalance"), MATCH('Oil Story'!$C78, INDIRECT("'"&amp;AY$4&amp;"'!Year.Vectors"), 0))</f>
        <v>0</v>
      </c>
      <c r="AZ78" s="1168"/>
      <c r="BA78" s="1168">
        <f ca="1">INDEX(INDIRECT("'"&amp;BA$4&amp;"'!Year.NetBalance"), MATCH('Oil Story'!$C78, INDIRECT("'"&amp;BA$4&amp;"'!Year.Vectors"), 0))</f>
        <v>0</v>
      </c>
      <c r="BB78" s="1168">
        <f ca="1">INDEX(INDIRECT("'"&amp;BB$4&amp;"'!Year.NetBalance"), MATCH('Oil Story'!$C78, INDIRECT("'"&amp;BB$4&amp;"'!Year.Vectors"), 0))</f>
        <v>0</v>
      </c>
      <c r="BC78" s="1168">
        <f ca="1">INDEX(INDIRECT("'"&amp;BC$4&amp;"'!Year.NetBalance"), MATCH('Oil Story'!$C78, INDIRECT("'"&amp;BC$4&amp;"'!Year.Vectors"), 0))</f>
        <v>0</v>
      </c>
      <c r="BD78" s="1168">
        <f ca="1">INDEX(INDIRECT("'"&amp;BD$4&amp;"'!Year.NetBalance"), MATCH('Oil Story'!$C78, INDIRECT("'"&amp;BD$4&amp;"'!Year.Vectors"), 0))</f>
        <v>0</v>
      </c>
      <c r="BE78" s="1168">
        <f ca="1">INDEX(INDIRECT("'"&amp;BE$4&amp;"'!Year.NetBalance"), MATCH('Oil Story'!$C78, INDIRECT("'"&amp;BE$4&amp;"'!Year.Vectors"), 0))</f>
        <v>0</v>
      </c>
      <c r="BF78" s="1168">
        <f ca="1">INDEX(INDIRECT("'"&amp;BF$4&amp;"'!Year.NetBalance"), MATCH('Oil Story'!$C78, INDIRECT("'"&amp;BF$4&amp;"'!Year.Vectors"), 0))</f>
        <v>0</v>
      </c>
      <c r="BG78" s="1168">
        <f ca="1">INDEX(INDIRECT("'"&amp;BG$4&amp;"'!Year.NetBalance"), MATCH('Oil Story'!$C78, INDIRECT("'"&amp;BG$4&amp;"'!Year.Vectors"), 0))</f>
        <v>0</v>
      </c>
      <c r="BH78" s="1168">
        <f ca="1">INDEX(INDIRECT("'"&amp;BH$4&amp;"'!Year.NetBalance"), MATCH('Oil Story'!$C78, INDIRECT("'"&amp;BH$4&amp;"'!Year.Vectors"), 0))</f>
        <v>0</v>
      </c>
      <c r="BI78" s="1168">
        <f ca="1">INDEX(INDIRECT("'"&amp;BI$4&amp;"'!Year.NetBalance"), MATCH('Oil Story'!$C78, INDIRECT("'"&amp;BI$4&amp;"'!Year.Vectors"), 0))</f>
        <v>0</v>
      </c>
      <c r="BJ78" s="1169"/>
      <c r="BK78" s="1020"/>
    </row>
    <row r="79" spans="2:63">
      <c r="B79" s="164"/>
      <c r="C79" s="1170" t="s">
        <v>38</v>
      </c>
      <c r="D79" s="166" t="str">
        <f>INDEX(Vectors[Description],MATCH($C79,Vectors[Code],0))</f>
        <v>Liquid hydrocarbons</v>
      </c>
      <c r="E79" s="166"/>
      <c r="F79" s="267"/>
      <c r="G79" s="267"/>
      <c r="H79" s="1165"/>
      <c r="I79" s="1165"/>
      <c r="J79" s="1165"/>
      <c r="K79" s="1165"/>
      <c r="L79" s="1165"/>
      <c r="M79" s="1165"/>
      <c r="N79" s="1165"/>
      <c r="O79" s="1165"/>
      <c r="P79" s="1165"/>
      <c r="Q79" s="1165"/>
      <c r="R79" s="1165"/>
      <c r="S79" s="1165"/>
      <c r="T79" s="1165"/>
      <c r="U79" s="1165"/>
      <c r="V79" s="1165"/>
      <c r="W79" s="1165"/>
      <c r="X79" s="1165"/>
      <c r="Y79" s="1165"/>
      <c r="Z79" s="1165"/>
      <c r="AA79" s="1165"/>
      <c r="AB79" s="1165"/>
      <c r="AC79" s="1165"/>
      <c r="AD79" s="1165"/>
      <c r="AE79" s="1165"/>
      <c r="AF79" s="1165"/>
      <c r="AG79" s="1165"/>
      <c r="AH79" s="1165"/>
      <c r="AI79" s="1165"/>
      <c r="AJ79" s="1165"/>
      <c r="AK79" s="1165"/>
      <c r="AL79" s="1165"/>
      <c r="AM79" s="1165"/>
      <c r="AN79" s="1165"/>
      <c r="AO79" s="1165"/>
      <c r="AP79" s="1165"/>
      <c r="AQ79" s="1165"/>
      <c r="AR79" s="1165"/>
      <c r="AS79" s="1165"/>
      <c r="AT79" s="1165"/>
      <c r="AU79" s="1165"/>
      <c r="AV79" s="1165"/>
      <c r="AW79" s="1165"/>
      <c r="AX79" s="166"/>
      <c r="AY79" s="1168">
        <f ca="1">INDEX(INDIRECT("'"&amp;AY$4&amp;"'!Year.NetBalance"), MATCH('Oil Story'!$C79, INDIRECT("'"&amp;AY$4&amp;"'!Year.Vectors"), 0))</f>
        <v>0</v>
      </c>
      <c r="AZ79" s="1168"/>
      <c r="BA79" s="1168">
        <f ca="1">INDEX(INDIRECT("'"&amp;BA$4&amp;"'!Year.NetBalance"), MATCH('Oil Story'!$C79, INDIRECT("'"&amp;BA$4&amp;"'!Year.Vectors"), 0))</f>
        <v>0</v>
      </c>
      <c r="BB79" s="1168">
        <f ca="1">INDEX(INDIRECT("'"&amp;BB$4&amp;"'!Year.NetBalance"), MATCH('Oil Story'!$C79, INDIRECT("'"&amp;BB$4&amp;"'!Year.Vectors"), 0))</f>
        <v>0</v>
      </c>
      <c r="BC79" s="1168">
        <f ca="1">INDEX(INDIRECT("'"&amp;BC$4&amp;"'!Year.NetBalance"), MATCH('Oil Story'!$C79, INDIRECT("'"&amp;BC$4&amp;"'!Year.Vectors"), 0))</f>
        <v>0</v>
      </c>
      <c r="BD79" s="1168">
        <f ca="1">INDEX(INDIRECT("'"&amp;BD$4&amp;"'!Year.NetBalance"), MATCH('Oil Story'!$C79, INDIRECT("'"&amp;BD$4&amp;"'!Year.Vectors"), 0))</f>
        <v>0</v>
      </c>
      <c r="BE79" s="1168">
        <f ca="1">INDEX(INDIRECT("'"&amp;BE$4&amp;"'!Year.NetBalance"), MATCH('Oil Story'!$C79, INDIRECT("'"&amp;BE$4&amp;"'!Year.Vectors"), 0))</f>
        <v>0</v>
      </c>
      <c r="BF79" s="1168">
        <f ca="1">INDEX(INDIRECT("'"&amp;BF$4&amp;"'!Year.NetBalance"), MATCH('Oil Story'!$C79, INDIRECT("'"&amp;BF$4&amp;"'!Year.Vectors"), 0))</f>
        <v>0</v>
      </c>
      <c r="BG79" s="1168">
        <f ca="1">INDEX(INDIRECT("'"&amp;BG$4&amp;"'!Year.NetBalance"), MATCH('Oil Story'!$C79, INDIRECT("'"&amp;BG$4&amp;"'!Year.Vectors"), 0))</f>
        <v>0</v>
      </c>
      <c r="BH79" s="1168">
        <f ca="1">INDEX(INDIRECT("'"&amp;BH$4&amp;"'!Year.NetBalance"), MATCH('Oil Story'!$C79, INDIRECT("'"&amp;BH$4&amp;"'!Year.Vectors"), 0))</f>
        <v>0</v>
      </c>
      <c r="BI79" s="1168">
        <f ca="1">INDEX(INDIRECT("'"&amp;BI$4&amp;"'!Year.NetBalance"), MATCH('Oil Story'!$C79, INDIRECT("'"&amp;BI$4&amp;"'!Year.Vectors"), 0))</f>
        <v>0</v>
      </c>
      <c r="BJ79" s="1169"/>
      <c r="BK79" s="1020"/>
    </row>
    <row r="80" spans="2:63">
      <c r="B80" s="164"/>
      <c r="C80" s="1170" t="s">
        <v>39</v>
      </c>
      <c r="D80" s="166" t="str">
        <f>INDEX(Vectors[Description],MATCH($C80,Vectors[Code],0))</f>
        <v>Gaseous hydrocarbons</v>
      </c>
      <c r="E80" s="166"/>
      <c r="F80" s="267"/>
      <c r="G80" s="267"/>
      <c r="H80" s="1165"/>
      <c r="I80" s="1165"/>
      <c r="J80" s="1165"/>
      <c r="K80" s="1165"/>
      <c r="L80" s="1165"/>
      <c r="M80" s="1165"/>
      <c r="N80" s="1165"/>
      <c r="O80" s="1165"/>
      <c r="P80" s="1165"/>
      <c r="Q80" s="1165"/>
      <c r="R80" s="1165"/>
      <c r="S80" s="1165"/>
      <c r="T80" s="1165"/>
      <c r="U80" s="1165"/>
      <c r="V80" s="1165"/>
      <c r="W80" s="1165"/>
      <c r="X80" s="1165"/>
      <c r="Y80" s="1165"/>
      <c r="Z80" s="1165"/>
      <c r="AA80" s="1165"/>
      <c r="AB80" s="1165"/>
      <c r="AC80" s="1165"/>
      <c r="AD80" s="1165"/>
      <c r="AE80" s="1165"/>
      <c r="AF80" s="1165"/>
      <c r="AG80" s="1165"/>
      <c r="AH80" s="1165"/>
      <c r="AI80" s="1165"/>
      <c r="AJ80" s="1165"/>
      <c r="AK80" s="1165"/>
      <c r="AL80" s="1165"/>
      <c r="AM80" s="1165"/>
      <c r="AN80" s="1165"/>
      <c r="AO80" s="1165"/>
      <c r="AP80" s="1165"/>
      <c r="AQ80" s="1165"/>
      <c r="AR80" s="1165"/>
      <c r="AS80" s="1165"/>
      <c r="AT80" s="1165"/>
      <c r="AU80" s="1165"/>
      <c r="AV80" s="1165"/>
      <c r="AW80" s="1165"/>
      <c r="AX80" s="166"/>
      <c r="AY80" s="1168">
        <f ca="1">INDEX(INDIRECT("'"&amp;AY$4&amp;"'!Year.NetBalance"), MATCH('Oil Story'!$C80, INDIRECT("'"&amp;AY$4&amp;"'!Year.Vectors"), 0))</f>
        <v>0</v>
      </c>
      <c r="AZ80" s="1168"/>
      <c r="BA80" s="1168">
        <f ca="1">INDEX(INDIRECT("'"&amp;BA$4&amp;"'!Year.NetBalance"), MATCH('Oil Story'!$C80, INDIRECT("'"&amp;BA$4&amp;"'!Year.Vectors"), 0))</f>
        <v>0</v>
      </c>
      <c r="BB80" s="1168">
        <f ca="1">INDEX(INDIRECT("'"&amp;BB$4&amp;"'!Year.NetBalance"), MATCH('Oil Story'!$C80, INDIRECT("'"&amp;BB$4&amp;"'!Year.Vectors"), 0))</f>
        <v>0</v>
      </c>
      <c r="BC80" s="1168">
        <f ca="1">INDEX(INDIRECT("'"&amp;BC$4&amp;"'!Year.NetBalance"), MATCH('Oil Story'!$C80, INDIRECT("'"&amp;BC$4&amp;"'!Year.Vectors"), 0))</f>
        <v>0</v>
      </c>
      <c r="BD80" s="1168">
        <f ca="1">INDEX(INDIRECT("'"&amp;BD$4&amp;"'!Year.NetBalance"), MATCH('Oil Story'!$C80, INDIRECT("'"&amp;BD$4&amp;"'!Year.Vectors"), 0))</f>
        <v>0</v>
      </c>
      <c r="BE80" s="1168">
        <f ca="1">INDEX(INDIRECT("'"&amp;BE$4&amp;"'!Year.NetBalance"), MATCH('Oil Story'!$C80, INDIRECT("'"&amp;BE$4&amp;"'!Year.Vectors"), 0))</f>
        <v>0</v>
      </c>
      <c r="BF80" s="1168">
        <f ca="1">INDEX(INDIRECT("'"&amp;BF$4&amp;"'!Year.NetBalance"), MATCH('Oil Story'!$C80, INDIRECT("'"&amp;BF$4&amp;"'!Year.Vectors"), 0))</f>
        <v>0</v>
      </c>
      <c r="BG80" s="1168">
        <f ca="1">INDEX(INDIRECT("'"&amp;BG$4&amp;"'!Year.NetBalance"), MATCH('Oil Story'!$C80, INDIRECT("'"&amp;BG$4&amp;"'!Year.Vectors"), 0))</f>
        <v>0</v>
      </c>
      <c r="BH80" s="1168">
        <f ca="1">INDEX(INDIRECT("'"&amp;BH$4&amp;"'!Year.NetBalance"), MATCH('Oil Story'!$C80, INDIRECT("'"&amp;BH$4&amp;"'!Year.Vectors"), 0))</f>
        <v>0</v>
      </c>
      <c r="BI80" s="1168">
        <f ca="1">INDEX(INDIRECT("'"&amp;BI$4&amp;"'!Year.NetBalance"), MATCH('Oil Story'!$C80, INDIRECT("'"&amp;BI$4&amp;"'!Year.Vectors"), 0))</f>
        <v>0</v>
      </c>
      <c r="BJ80" s="1169"/>
      <c r="BK80" s="1020"/>
    </row>
    <row r="81" spans="1:63">
      <c r="B81" s="164"/>
      <c r="C81" s="1170" t="s">
        <v>93</v>
      </c>
      <c r="D81" s="166" t="str">
        <f>INDEX(Vectors[Description],MATCH($C81,Vectors[Code],0))</f>
        <v>Solid Biomass Hydrocarbons</v>
      </c>
      <c r="E81" s="166"/>
      <c r="F81" s="267"/>
      <c r="G81" s="267"/>
      <c r="H81" s="1165"/>
      <c r="I81" s="1165"/>
      <c r="J81" s="1165"/>
      <c r="K81" s="1165"/>
      <c r="L81" s="1165"/>
      <c r="M81" s="1165"/>
      <c r="N81" s="1165"/>
      <c r="O81" s="1165"/>
      <c r="P81" s="1165"/>
      <c r="Q81" s="1165"/>
      <c r="R81" s="1165"/>
      <c r="S81" s="1165"/>
      <c r="T81" s="1165"/>
      <c r="U81" s="1165"/>
      <c r="V81" s="1165"/>
      <c r="W81" s="1165"/>
      <c r="X81" s="1165"/>
      <c r="Y81" s="1165"/>
      <c r="Z81" s="1165"/>
      <c r="AA81" s="1165"/>
      <c r="AB81" s="1165"/>
      <c r="AC81" s="1165"/>
      <c r="AD81" s="1165"/>
      <c r="AE81" s="1165"/>
      <c r="AF81" s="1165"/>
      <c r="AG81" s="1165"/>
      <c r="AH81" s="1165"/>
      <c r="AI81" s="1165"/>
      <c r="AJ81" s="1165"/>
      <c r="AK81" s="1165"/>
      <c r="AL81" s="1165"/>
      <c r="AM81" s="1165"/>
      <c r="AN81" s="1165"/>
      <c r="AO81" s="1165"/>
      <c r="AP81" s="1165"/>
      <c r="AQ81" s="1165"/>
      <c r="AR81" s="1165"/>
      <c r="AS81" s="1165"/>
      <c r="AT81" s="1165"/>
      <c r="AU81" s="1165"/>
      <c r="AV81" s="1165"/>
      <c r="AW81" s="1165"/>
      <c r="AX81" s="166"/>
      <c r="AY81" s="1168">
        <f ca="1">INDEX(INDIRECT("'"&amp;AY$4&amp;"'!Year.NetBalance"), MATCH('Oil Story'!$C81, INDIRECT("'"&amp;AY$4&amp;"'!Year.Vectors"), 0))</f>
        <v>0</v>
      </c>
      <c r="AZ81" s="1168"/>
      <c r="BA81" s="1168">
        <f ca="1">INDEX(INDIRECT("'"&amp;BA$4&amp;"'!Year.NetBalance"), MATCH('Oil Story'!$C81, INDIRECT("'"&amp;BA$4&amp;"'!Year.Vectors"), 0))</f>
        <v>0</v>
      </c>
      <c r="BB81" s="1168">
        <f ca="1">INDEX(INDIRECT("'"&amp;BB$4&amp;"'!Year.NetBalance"), MATCH('Oil Story'!$C81, INDIRECT("'"&amp;BB$4&amp;"'!Year.Vectors"), 0))</f>
        <v>0</v>
      </c>
      <c r="BC81" s="1168">
        <f ca="1">INDEX(INDIRECT("'"&amp;BC$4&amp;"'!Year.NetBalance"), MATCH('Oil Story'!$C81, INDIRECT("'"&amp;BC$4&amp;"'!Year.Vectors"), 0))</f>
        <v>0</v>
      </c>
      <c r="BD81" s="1168">
        <f ca="1">INDEX(INDIRECT("'"&amp;BD$4&amp;"'!Year.NetBalance"), MATCH('Oil Story'!$C81, INDIRECT("'"&amp;BD$4&amp;"'!Year.Vectors"), 0))</f>
        <v>0</v>
      </c>
      <c r="BE81" s="1168">
        <f ca="1">INDEX(INDIRECT("'"&amp;BE$4&amp;"'!Year.NetBalance"), MATCH('Oil Story'!$C81, INDIRECT("'"&amp;BE$4&amp;"'!Year.Vectors"), 0))</f>
        <v>0</v>
      </c>
      <c r="BF81" s="1168">
        <f ca="1">INDEX(INDIRECT("'"&amp;BF$4&amp;"'!Year.NetBalance"), MATCH('Oil Story'!$C81, INDIRECT("'"&amp;BF$4&amp;"'!Year.Vectors"), 0))</f>
        <v>0</v>
      </c>
      <c r="BG81" s="1168">
        <f ca="1">INDEX(INDIRECT("'"&amp;BG$4&amp;"'!Year.NetBalance"), MATCH('Oil Story'!$C81, INDIRECT("'"&amp;BG$4&amp;"'!Year.Vectors"), 0))</f>
        <v>0</v>
      </c>
      <c r="BH81" s="1168">
        <f ca="1">INDEX(INDIRECT("'"&amp;BH$4&amp;"'!Year.NetBalance"), MATCH('Oil Story'!$C81, INDIRECT("'"&amp;BH$4&amp;"'!Year.Vectors"), 0))</f>
        <v>0</v>
      </c>
      <c r="BI81" s="1168">
        <f ca="1">INDEX(INDIRECT("'"&amp;BI$4&amp;"'!Year.NetBalance"), MATCH('Oil Story'!$C81, INDIRECT("'"&amp;BI$4&amp;"'!Year.Vectors"), 0))</f>
        <v>0</v>
      </c>
      <c r="BJ81" s="1169"/>
      <c r="BK81" s="1020"/>
    </row>
    <row r="82" spans="1:63">
      <c r="B82" s="164"/>
      <c r="C82" s="1170" t="s">
        <v>254</v>
      </c>
      <c r="D82" s="166" t="str">
        <f>INDEX(Vectors[Description],MATCH($C82,Vectors[Code],0))</f>
        <v>Edible biomass</v>
      </c>
      <c r="E82" s="166"/>
      <c r="F82" s="267"/>
      <c r="G82" s="267"/>
      <c r="H82" s="1165"/>
      <c r="I82" s="1165"/>
      <c r="J82" s="1165"/>
      <c r="K82" s="1165"/>
      <c r="L82" s="1165"/>
      <c r="M82" s="1165"/>
      <c r="N82" s="1165"/>
      <c r="O82" s="1165"/>
      <c r="P82" s="1165"/>
      <c r="Q82" s="1165"/>
      <c r="R82" s="1165"/>
      <c r="S82" s="1165"/>
      <c r="T82" s="1165"/>
      <c r="U82" s="1165"/>
      <c r="V82" s="1165"/>
      <c r="W82" s="1165"/>
      <c r="X82" s="1165"/>
      <c r="Y82" s="1165"/>
      <c r="Z82" s="1165"/>
      <c r="AA82" s="1165"/>
      <c r="AB82" s="1165"/>
      <c r="AC82" s="1165"/>
      <c r="AD82" s="1165"/>
      <c r="AE82" s="1165"/>
      <c r="AF82" s="1165"/>
      <c r="AG82" s="1165"/>
      <c r="AH82" s="1165"/>
      <c r="AI82" s="1165"/>
      <c r="AJ82" s="1165"/>
      <c r="AK82" s="1165"/>
      <c r="AL82" s="1165"/>
      <c r="AM82" s="1165"/>
      <c r="AN82" s="1165"/>
      <c r="AO82" s="1165"/>
      <c r="AP82" s="1165"/>
      <c r="AQ82" s="1165"/>
      <c r="AR82" s="1165"/>
      <c r="AS82" s="1165"/>
      <c r="AT82" s="1165"/>
      <c r="AU82" s="1165"/>
      <c r="AV82" s="1165"/>
      <c r="AW82" s="1165"/>
      <c r="AX82" s="166"/>
      <c r="AY82" s="1168">
        <f ca="1">INDEX(INDIRECT("'"&amp;AY$4&amp;"'!Year.NetBalance"), MATCH('Oil Story'!$C82, INDIRECT("'"&amp;AY$4&amp;"'!Year.Vectors"), 0))</f>
        <v>0</v>
      </c>
      <c r="AZ82" s="1168"/>
      <c r="BA82" s="1168">
        <f ca="1">INDEX(INDIRECT("'"&amp;BA$4&amp;"'!Year.NetBalance"), MATCH('Oil Story'!$C82, INDIRECT("'"&amp;BA$4&amp;"'!Year.Vectors"), 0))</f>
        <v>0</v>
      </c>
      <c r="BB82" s="1168">
        <f ca="1">INDEX(INDIRECT("'"&amp;BB$4&amp;"'!Year.NetBalance"), MATCH('Oil Story'!$C82, INDIRECT("'"&amp;BB$4&amp;"'!Year.Vectors"), 0))</f>
        <v>0</v>
      </c>
      <c r="BC82" s="1168">
        <f ca="1">INDEX(INDIRECT("'"&amp;BC$4&amp;"'!Year.NetBalance"), MATCH('Oil Story'!$C82, INDIRECT("'"&amp;BC$4&amp;"'!Year.Vectors"), 0))</f>
        <v>0</v>
      </c>
      <c r="BD82" s="1168">
        <f ca="1">INDEX(INDIRECT("'"&amp;BD$4&amp;"'!Year.NetBalance"), MATCH('Oil Story'!$C82, INDIRECT("'"&amp;BD$4&amp;"'!Year.Vectors"), 0))</f>
        <v>0</v>
      </c>
      <c r="BE82" s="1168">
        <f ca="1">INDEX(INDIRECT("'"&amp;BE$4&amp;"'!Year.NetBalance"), MATCH('Oil Story'!$C82, INDIRECT("'"&amp;BE$4&amp;"'!Year.Vectors"), 0))</f>
        <v>0</v>
      </c>
      <c r="BF82" s="1168">
        <f ca="1">INDEX(INDIRECT("'"&amp;BF$4&amp;"'!Year.NetBalance"), MATCH('Oil Story'!$C82, INDIRECT("'"&amp;BF$4&amp;"'!Year.Vectors"), 0))</f>
        <v>0</v>
      </c>
      <c r="BG82" s="1168">
        <f ca="1">INDEX(INDIRECT("'"&amp;BG$4&amp;"'!Year.NetBalance"), MATCH('Oil Story'!$C82, INDIRECT("'"&amp;BG$4&amp;"'!Year.Vectors"), 0))</f>
        <v>0</v>
      </c>
      <c r="BH82" s="1168">
        <f ca="1">INDEX(INDIRECT("'"&amp;BH$4&amp;"'!Year.NetBalance"), MATCH('Oil Story'!$C82, INDIRECT("'"&amp;BH$4&amp;"'!Year.Vectors"), 0))</f>
        <v>0</v>
      </c>
      <c r="BI82" s="1168">
        <f ca="1">INDEX(INDIRECT("'"&amp;BI$4&amp;"'!Year.NetBalance"), MATCH('Oil Story'!$C82, INDIRECT("'"&amp;BI$4&amp;"'!Year.Vectors"), 0))</f>
        <v>0</v>
      </c>
      <c r="BJ82" s="1169"/>
      <c r="BK82" s="1020"/>
    </row>
    <row r="83" spans="1:63">
      <c r="B83" s="164"/>
      <c r="C83" s="1170" t="s">
        <v>253</v>
      </c>
      <c r="D83" s="166" t="str">
        <f>INDEX(Vectors[Description],MATCH($C83,Vectors[Code],0))</f>
        <v xml:space="preserve"> Gaseous Biomass Hydrocarbons</v>
      </c>
      <c r="E83" s="166"/>
      <c r="F83" s="267"/>
      <c r="G83" s="267"/>
      <c r="H83" s="1165"/>
      <c r="I83" s="1165"/>
      <c r="J83" s="1165"/>
      <c r="K83" s="1165"/>
      <c r="L83" s="1165"/>
      <c r="M83" s="1165"/>
      <c r="N83" s="1165"/>
      <c r="O83" s="1165"/>
      <c r="P83" s="1165"/>
      <c r="Q83" s="1165"/>
      <c r="R83" s="1165"/>
      <c r="S83" s="1165"/>
      <c r="T83" s="1165"/>
      <c r="U83" s="1165"/>
      <c r="V83" s="1165"/>
      <c r="W83" s="1165"/>
      <c r="X83" s="1165"/>
      <c r="Y83" s="1165"/>
      <c r="Z83" s="1165"/>
      <c r="AA83" s="1165"/>
      <c r="AB83" s="1165"/>
      <c r="AC83" s="1165"/>
      <c r="AD83" s="1165"/>
      <c r="AE83" s="1165"/>
      <c r="AF83" s="1165"/>
      <c r="AG83" s="1165"/>
      <c r="AH83" s="1165"/>
      <c r="AI83" s="1165"/>
      <c r="AJ83" s="1165"/>
      <c r="AK83" s="1165"/>
      <c r="AL83" s="1165"/>
      <c r="AM83" s="1165"/>
      <c r="AN83" s="1165"/>
      <c r="AO83" s="1165"/>
      <c r="AP83" s="1165"/>
      <c r="AQ83" s="1165"/>
      <c r="AR83" s="1165"/>
      <c r="AS83" s="1165"/>
      <c r="AT83" s="1165"/>
      <c r="AU83" s="1165"/>
      <c r="AV83" s="1165"/>
      <c r="AW83" s="1165"/>
      <c r="AX83" s="166"/>
      <c r="AY83" s="1168">
        <f ca="1">INDEX(INDIRECT("'"&amp;AY$4&amp;"'!Year.NetBalance"), MATCH('Oil Story'!$C83, INDIRECT("'"&amp;AY$4&amp;"'!Year.Vectors"), 0))</f>
        <v>0</v>
      </c>
      <c r="AZ83" s="1168"/>
      <c r="BA83" s="1168">
        <f ca="1">INDEX(INDIRECT("'"&amp;BA$4&amp;"'!Year.NetBalance"), MATCH('Oil Story'!$C83, INDIRECT("'"&amp;BA$4&amp;"'!Year.Vectors"), 0))</f>
        <v>0</v>
      </c>
      <c r="BB83" s="1168">
        <f ca="1">INDEX(INDIRECT("'"&amp;BB$4&amp;"'!Year.NetBalance"), MATCH('Oil Story'!$C83, INDIRECT("'"&amp;BB$4&amp;"'!Year.Vectors"), 0))</f>
        <v>0</v>
      </c>
      <c r="BC83" s="1168">
        <f ca="1">INDEX(INDIRECT("'"&amp;BC$4&amp;"'!Year.NetBalance"), MATCH('Oil Story'!$C83, INDIRECT("'"&amp;BC$4&amp;"'!Year.Vectors"), 0))</f>
        <v>0</v>
      </c>
      <c r="BD83" s="1168">
        <f ca="1">INDEX(INDIRECT("'"&amp;BD$4&amp;"'!Year.NetBalance"), MATCH('Oil Story'!$C83, INDIRECT("'"&amp;BD$4&amp;"'!Year.Vectors"), 0))</f>
        <v>0</v>
      </c>
      <c r="BE83" s="1168">
        <f ca="1">INDEX(INDIRECT("'"&amp;BE$4&amp;"'!Year.NetBalance"), MATCH('Oil Story'!$C83, INDIRECT("'"&amp;BE$4&amp;"'!Year.Vectors"), 0))</f>
        <v>0</v>
      </c>
      <c r="BF83" s="1168">
        <f ca="1">INDEX(INDIRECT("'"&amp;BF$4&amp;"'!Year.NetBalance"), MATCH('Oil Story'!$C83, INDIRECT("'"&amp;BF$4&amp;"'!Year.Vectors"), 0))</f>
        <v>0</v>
      </c>
      <c r="BG83" s="1168">
        <f ca="1">INDEX(INDIRECT("'"&amp;BG$4&amp;"'!Year.NetBalance"), MATCH('Oil Story'!$C83, INDIRECT("'"&amp;BG$4&amp;"'!Year.Vectors"), 0))</f>
        <v>0</v>
      </c>
      <c r="BH83" s="1168">
        <f ca="1">INDEX(INDIRECT("'"&amp;BH$4&amp;"'!Year.NetBalance"), MATCH('Oil Story'!$C83, INDIRECT("'"&amp;BH$4&amp;"'!Year.Vectors"), 0))</f>
        <v>0</v>
      </c>
      <c r="BI83" s="1168">
        <f ca="1">INDEX(INDIRECT("'"&amp;BI$4&amp;"'!Year.NetBalance"), MATCH('Oil Story'!$C83, INDIRECT("'"&amp;BI$4&amp;"'!Year.Vectors"), 0))</f>
        <v>0</v>
      </c>
      <c r="BJ83" s="1169"/>
      <c r="BK83" s="1020"/>
    </row>
    <row r="84" spans="1:63">
      <c r="B84" s="164"/>
      <c r="C84" s="1170" t="s">
        <v>255</v>
      </c>
      <c r="D84" s="166" t="str">
        <f>INDEX(Vectors[Description],MATCH($C84,Vectors[Code],0))</f>
        <v>Dry biomass and waste</v>
      </c>
      <c r="E84" s="166"/>
      <c r="F84" s="267"/>
      <c r="G84" s="267"/>
      <c r="H84" s="1165"/>
      <c r="I84" s="1165"/>
      <c r="J84" s="1165"/>
      <c r="K84" s="1165"/>
      <c r="L84" s="1165"/>
      <c r="M84" s="1165"/>
      <c r="N84" s="1165"/>
      <c r="O84" s="1165"/>
      <c r="P84" s="1165"/>
      <c r="Q84" s="1165"/>
      <c r="R84" s="1165"/>
      <c r="S84" s="1165"/>
      <c r="T84" s="1165"/>
      <c r="U84" s="1165"/>
      <c r="V84" s="1165"/>
      <c r="W84" s="1165"/>
      <c r="X84" s="1165"/>
      <c r="Y84" s="1165"/>
      <c r="Z84" s="1165"/>
      <c r="AA84" s="1165"/>
      <c r="AB84" s="1165"/>
      <c r="AC84" s="1165"/>
      <c r="AD84" s="1165"/>
      <c r="AE84" s="1165"/>
      <c r="AF84" s="1165"/>
      <c r="AG84" s="1165"/>
      <c r="AH84" s="1165"/>
      <c r="AI84" s="1165"/>
      <c r="AJ84" s="1165"/>
      <c r="AK84" s="1165"/>
      <c r="AL84" s="1165"/>
      <c r="AM84" s="1165"/>
      <c r="AN84" s="1165"/>
      <c r="AO84" s="1165"/>
      <c r="AP84" s="1165"/>
      <c r="AQ84" s="1165"/>
      <c r="AR84" s="1165"/>
      <c r="AS84" s="1165"/>
      <c r="AT84" s="1165"/>
      <c r="AU84" s="1165"/>
      <c r="AV84" s="1165"/>
      <c r="AW84" s="1165"/>
      <c r="AX84" s="166"/>
      <c r="AY84" s="1168">
        <f ca="1">INDEX(INDIRECT("'"&amp;AY$4&amp;"'!Year.NetBalance"), MATCH('Oil Story'!$C84, INDIRECT("'"&amp;AY$4&amp;"'!Year.Vectors"), 0))</f>
        <v>0</v>
      </c>
      <c r="AZ84" s="1168"/>
      <c r="BA84" s="1168">
        <f ca="1">INDEX(INDIRECT("'"&amp;BA$4&amp;"'!Year.NetBalance"), MATCH('Oil Story'!$C84, INDIRECT("'"&amp;BA$4&amp;"'!Year.Vectors"), 0))</f>
        <v>0</v>
      </c>
      <c r="BB84" s="1168">
        <f ca="1">INDEX(INDIRECT("'"&amp;BB$4&amp;"'!Year.NetBalance"), MATCH('Oil Story'!$C84, INDIRECT("'"&amp;BB$4&amp;"'!Year.Vectors"), 0))</f>
        <v>0</v>
      </c>
      <c r="BC84" s="1168">
        <f ca="1">INDEX(INDIRECT("'"&amp;BC$4&amp;"'!Year.NetBalance"), MATCH('Oil Story'!$C84, INDIRECT("'"&amp;BC$4&amp;"'!Year.Vectors"), 0))</f>
        <v>0</v>
      </c>
      <c r="BD84" s="1168">
        <f ca="1">INDEX(INDIRECT("'"&amp;BD$4&amp;"'!Year.NetBalance"), MATCH('Oil Story'!$C84, INDIRECT("'"&amp;BD$4&amp;"'!Year.Vectors"), 0))</f>
        <v>0</v>
      </c>
      <c r="BE84" s="1168">
        <f ca="1">INDEX(INDIRECT("'"&amp;BE$4&amp;"'!Year.NetBalance"), MATCH('Oil Story'!$C84, INDIRECT("'"&amp;BE$4&amp;"'!Year.Vectors"), 0))</f>
        <v>0</v>
      </c>
      <c r="BF84" s="1168">
        <f ca="1">INDEX(INDIRECT("'"&amp;BF$4&amp;"'!Year.NetBalance"), MATCH('Oil Story'!$C84, INDIRECT("'"&amp;BF$4&amp;"'!Year.Vectors"), 0))</f>
        <v>0</v>
      </c>
      <c r="BG84" s="1168">
        <f ca="1">INDEX(INDIRECT("'"&amp;BG$4&amp;"'!Year.NetBalance"), MATCH('Oil Story'!$C84, INDIRECT("'"&amp;BG$4&amp;"'!Year.Vectors"), 0))</f>
        <v>0</v>
      </c>
      <c r="BH84" s="1168">
        <f ca="1">INDEX(INDIRECT("'"&amp;BH$4&amp;"'!Year.NetBalance"), MATCH('Oil Story'!$C84, INDIRECT("'"&amp;BH$4&amp;"'!Year.Vectors"), 0))</f>
        <v>0</v>
      </c>
      <c r="BI84" s="1168">
        <f ca="1">INDEX(INDIRECT("'"&amp;BI$4&amp;"'!Year.NetBalance"), MATCH('Oil Story'!$C84, INDIRECT("'"&amp;BI$4&amp;"'!Year.Vectors"), 0))</f>
        <v>0</v>
      </c>
      <c r="BJ84" s="1169"/>
      <c r="BK84" s="1020"/>
    </row>
    <row r="85" spans="1:63">
      <c r="B85" s="164"/>
      <c r="C85" s="1170" t="s">
        <v>297</v>
      </c>
      <c r="D85" s="166" t="str">
        <f>INDEX(Vectors[Description],MATCH($C85,Vectors[Code],0))</f>
        <v>Wet biomass and waste</v>
      </c>
      <c r="E85" s="166"/>
      <c r="F85" s="267"/>
      <c r="G85" s="267"/>
      <c r="H85" s="1165"/>
      <c r="I85" s="1165"/>
      <c r="J85" s="1165"/>
      <c r="K85" s="1165"/>
      <c r="L85" s="1165"/>
      <c r="M85" s="1165"/>
      <c r="N85" s="1165"/>
      <c r="O85" s="1165"/>
      <c r="P85" s="1165"/>
      <c r="Q85" s="1165"/>
      <c r="R85" s="1165"/>
      <c r="S85" s="1165"/>
      <c r="T85" s="1165"/>
      <c r="U85" s="1165"/>
      <c r="V85" s="1165"/>
      <c r="W85" s="1165"/>
      <c r="X85" s="1165"/>
      <c r="Y85" s="1165"/>
      <c r="Z85" s="1165"/>
      <c r="AA85" s="1165"/>
      <c r="AB85" s="1165"/>
      <c r="AC85" s="1165"/>
      <c r="AD85" s="1165"/>
      <c r="AE85" s="1165"/>
      <c r="AF85" s="1165"/>
      <c r="AG85" s="1165"/>
      <c r="AH85" s="1165"/>
      <c r="AI85" s="1165"/>
      <c r="AJ85" s="1165"/>
      <c r="AK85" s="1165"/>
      <c r="AL85" s="1165"/>
      <c r="AM85" s="1165"/>
      <c r="AN85" s="1165"/>
      <c r="AO85" s="1165"/>
      <c r="AP85" s="1165"/>
      <c r="AQ85" s="1165"/>
      <c r="AR85" s="1165"/>
      <c r="AS85" s="1165"/>
      <c r="AT85" s="1165"/>
      <c r="AU85" s="1165"/>
      <c r="AV85" s="1165"/>
      <c r="AW85" s="1165"/>
      <c r="AX85" s="166"/>
      <c r="AY85" s="1168">
        <f ca="1">INDEX(INDIRECT("'"&amp;AY$4&amp;"'!Year.NetBalance"), MATCH('Oil Story'!$C85, INDIRECT("'"&amp;AY$4&amp;"'!Year.Vectors"), 0))</f>
        <v>0</v>
      </c>
      <c r="AZ85" s="1168"/>
      <c r="BA85" s="1168">
        <f ca="1">INDEX(INDIRECT("'"&amp;BA$4&amp;"'!Year.NetBalance"), MATCH('Oil Story'!$C85, INDIRECT("'"&amp;BA$4&amp;"'!Year.Vectors"), 0))</f>
        <v>0</v>
      </c>
      <c r="BB85" s="1168">
        <f ca="1">INDEX(INDIRECT("'"&amp;BB$4&amp;"'!Year.NetBalance"), MATCH('Oil Story'!$C85, INDIRECT("'"&amp;BB$4&amp;"'!Year.Vectors"), 0))</f>
        <v>0</v>
      </c>
      <c r="BC85" s="1168">
        <f ca="1">INDEX(INDIRECT("'"&amp;BC$4&amp;"'!Year.NetBalance"), MATCH('Oil Story'!$C85, INDIRECT("'"&amp;BC$4&amp;"'!Year.Vectors"), 0))</f>
        <v>0</v>
      </c>
      <c r="BD85" s="1168">
        <f ca="1">INDEX(INDIRECT("'"&amp;BD$4&amp;"'!Year.NetBalance"), MATCH('Oil Story'!$C85, INDIRECT("'"&amp;BD$4&amp;"'!Year.Vectors"), 0))</f>
        <v>0</v>
      </c>
      <c r="BE85" s="1168">
        <f ca="1">INDEX(INDIRECT("'"&amp;BE$4&amp;"'!Year.NetBalance"), MATCH('Oil Story'!$C85, INDIRECT("'"&amp;BE$4&amp;"'!Year.Vectors"), 0))</f>
        <v>0</v>
      </c>
      <c r="BF85" s="1168">
        <f ca="1">INDEX(INDIRECT("'"&amp;BF$4&amp;"'!Year.NetBalance"), MATCH('Oil Story'!$C85, INDIRECT("'"&amp;BF$4&amp;"'!Year.Vectors"), 0))</f>
        <v>0</v>
      </c>
      <c r="BG85" s="1168">
        <f ca="1">INDEX(INDIRECT("'"&amp;BG$4&amp;"'!Year.NetBalance"), MATCH('Oil Story'!$C85, INDIRECT("'"&amp;BG$4&amp;"'!Year.Vectors"), 0))</f>
        <v>0</v>
      </c>
      <c r="BH85" s="1168">
        <f ca="1">INDEX(INDIRECT("'"&amp;BH$4&amp;"'!Year.NetBalance"), MATCH('Oil Story'!$C85, INDIRECT("'"&amp;BH$4&amp;"'!Year.Vectors"), 0))</f>
        <v>0</v>
      </c>
      <c r="BI85" s="1168">
        <f ca="1">INDEX(INDIRECT("'"&amp;BI$4&amp;"'!Year.NetBalance"), MATCH('Oil Story'!$C85, INDIRECT("'"&amp;BI$4&amp;"'!Year.Vectors"), 0))</f>
        <v>1.7763568394002505E-15</v>
      </c>
      <c r="BJ85" s="1169"/>
      <c r="BK85" s="1020"/>
    </row>
    <row r="86" spans="1:63">
      <c r="B86" s="164"/>
      <c r="C86" s="1170" t="s">
        <v>408</v>
      </c>
      <c r="D86" s="166" t="str">
        <f>INDEX(Vectors[Description],MATCH($C86,Vectors[Code],0))</f>
        <v>Off Grid Renewables</v>
      </c>
      <c r="E86" s="166"/>
      <c r="F86" s="267"/>
      <c r="G86" s="267"/>
      <c r="H86" s="1165"/>
      <c r="I86" s="1165"/>
      <c r="J86" s="1165"/>
      <c r="K86" s="1165"/>
      <c r="L86" s="1165"/>
      <c r="M86" s="1165"/>
      <c r="N86" s="1165"/>
      <c r="O86" s="1165"/>
      <c r="P86" s="1165"/>
      <c r="Q86" s="1165"/>
      <c r="R86" s="1165"/>
      <c r="S86" s="1165"/>
      <c r="T86" s="1165"/>
      <c r="U86" s="1165"/>
      <c r="V86" s="1165"/>
      <c r="W86" s="1165"/>
      <c r="X86" s="1165"/>
      <c r="Y86" s="1165"/>
      <c r="Z86" s="1165"/>
      <c r="AA86" s="1165"/>
      <c r="AB86" s="1165"/>
      <c r="AC86" s="1165"/>
      <c r="AD86" s="1165"/>
      <c r="AE86" s="1165"/>
      <c r="AF86" s="1165"/>
      <c r="AG86" s="1165"/>
      <c r="AH86" s="1165"/>
      <c r="AI86" s="1165"/>
      <c r="AJ86" s="1165"/>
      <c r="AK86" s="1165"/>
      <c r="AL86" s="1165"/>
      <c r="AM86" s="1165"/>
      <c r="AN86" s="1165"/>
      <c r="AO86" s="1165"/>
      <c r="AP86" s="1165"/>
      <c r="AQ86" s="1165"/>
      <c r="AR86" s="1165"/>
      <c r="AS86" s="1165"/>
      <c r="AT86" s="1165"/>
      <c r="AU86" s="1165"/>
      <c r="AV86" s="1165"/>
      <c r="AW86" s="1165"/>
      <c r="AX86" s="166"/>
      <c r="AY86" s="1168">
        <f ca="1">INDEX(INDIRECT("'"&amp;AY$4&amp;"'!Year.NetBalance"), MATCH('Oil Story'!$C86, INDIRECT("'"&amp;AY$4&amp;"'!Year.Vectors"), 0))</f>
        <v>0</v>
      </c>
      <c r="AZ86" s="1168"/>
      <c r="BA86" s="1168">
        <f ca="1">INDEX(INDIRECT("'"&amp;BA$4&amp;"'!Year.NetBalance"), MATCH('Oil Story'!$C86, INDIRECT("'"&amp;BA$4&amp;"'!Year.Vectors"), 0))</f>
        <v>0</v>
      </c>
      <c r="BB86" s="1168">
        <f ca="1">INDEX(INDIRECT("'"&amp;BB$4&amp;"'!Year.NetBalance"), MATCH('Oil Story'!$C86, INDIRECT("'"&amp;BB$4&amp;"'!Year.Vectors"), 0))</f>
        <v>0</v>
      </c>
      <c r="BC86" s="1168">
        <f ca="1">INDEX(INDIRECT("'"&amp;BC$4&amp;"'!Year.NetBalance"), MATCH('Oil Story'!$C86, INDIRECT("'"&amp;BC$4&amp;"'!Year.Vectors"), 0))</f>
        <v>0</v>
      </c>
      <c r="BD86" s="1168">
        <f ca="1">INDEX(INDIRECT("'"&amp;BD$4&amp;"'!Year.NetBalance"), MATCH('Oil Story'!$C86, INDIRECT("'"&amp;BD$4&amp;"'!Year.Vectors"), 0))</f>
        <v>0</v>
      </c>
      <c r="BE86" s="1168">
        <f ca="1">INDEX(INDIRECT("'"&amp;BE$4&amp;"'!Year.NetBalance"), MATCH('Oil Story'!$C86, INDIRECT("'"&amp;BE$4&amp;"'!Year.Vectors"), 0))</f>
        <v>0</v>
      </c>
      <c r="BF86" s="1168">
        <f ca="1">INDEX(INDIRECT("'"&amp;BF$4&amp;"'!Year.NetBalance"), MATCH('Oil Story'!$C86, INDIRECT("'"&amp;BF$4&amp;"'!Year.Vectors"), 0))</f>
        <v>0</v>
      </c>
      <c r="BG86" s="1168">
        <f ca="1">INDEX(INDIRECT("'"&amp;BG$4&amp;"'!Year.NetBalance"), MATCH('Oil Story'!$C86, INDIRECT("'"&amp;BG$4&amp;"'!Year.Vectors"), 0))</f>
        <v>0</v>
      </c>
      <c r="BH86" s="1168">
        <f ca="1">INDEX(INDIRECT("'"&amp;BH$4&amp;"'!Year.NetBalance"), MATCH('Oil Story'!$C86, INDIRECT("'"&amp;BH$4&amp;"'!Year.Vectors"), 0))</f>
        <v>0</v>
      </c>
      <c r="BI86" s="1168">
        <f ca="1">INDEX(INDIRECT("'"&amp;BI$4&amp;"'!Year.NetBalance"), MATCH('Oil Story'!$C86, INDIRECT("'"&amp;BI$4&amp;"'!Year.Vectors"), 0))</f>
        <v>0</v>
      </c>
      <c r="BJ86" s="1169"/>
      <c r="BK86" s="1020"/>
    </row>
    <row r="87" spans="1:63">
      <c r="B87" s="164"/>
      <c r="C87" s="1170" t="s">
        <v>427</v>
      </c>
      <c r="D87" s="166" t="str">
        <f>INDEX(Vectors[Description],MATCH($C87,Vectors[Code],0))</f>
        <v>H2</v>
      </c>
      <c r="E87" s="166"/>
      <c r="F87" s="267"/>
      <c r="G87" s="267"/>
      <c r="H87" s="1165"/>
      <c r="I87" s="1165"/>
      <c r="J87" s="1165"/>
      <c r="K87" s="1165"/>
      <c r="L87" s="1165"/>
      <c r="M87" s="1165"/>
      <c r="N87" s="1165"/>
      <c r="O87" s="1165"/>
      <c r="P87" s="1165"/>
      <c r="Q87" s="1165"/>
      <c r="R87" s="1165"/>
      <c r="S87" s="1165"/>
      <c r="T87" s="1165"/>
      <c r="U87" s="1165"/>
      <c r="V87" s="1165"/>
      <c r="W87" s="1165"/>
      <c r="X87" s="1165"/>
      <c r="Y87" s="1165"/>
      <c r="Z87" s="1165"/>
      <c r="AA87" s="1165"/>
      <c r="AB87" s="1165"/>
      <c r="AC87" s="1165"/>
      <c r="AD87" s="1165"/>
      <c r="AE87" s="1165"/>
      <c r="AF87" s="1165"/>
      <c r="AG87" s="1165"/>
      <c r="AH87" s="1165"/>
      <c r="AI87" s="1165"/>
      <c r="AJ87" s="1165"/>
      <c r="AK87" s="1165"/>
      <c r="AL87" s="1165"/>
      <c r="AM87" s="1165"/>
      <c r="AN87" s="1165"/>
      <c r="AO87" s="1165"/>
      <c r="AP87" s="1165"/>
      <c r="AQ87" s="1165"/>
      <c r="AR87" s="1165"/>
      <c r="AS87" s="1165"/>
      <c r="AT87" s="1165"/>
      <c r="AU87" s="1165"/>
      <c r="AV87" s="1165"/>
      <c r="AW87" s="1165"/>
      <c r="AX87" s="166"/>
      <c r="AY87" s="1168">
        <f ca="1">INDEX(INDIRECT("'"&amp;AY$4&amp;"'!Year.NetBalance"), MATCH('Oil Story'!$C87, INDIRECT("'"&amp;AY$4&amp;"'!Year.Vectors"), 0))</f>
        <v>0</v>
      </c>
      <c r="AZ87" s="1168"/>
      <c r="BA87" s="1168">
        <f ca="1">INDEX(INDIRECT("'"&amp;BA$4&amp;"'!Year.NetBalance"), MATCH('Oil Story'!$C87, INDIRECT("'"&amp;BA$4&amp;"'!Year.Vectors"), 0))</f>
        <v>0</v>
      </c>
      <c r="BB87" s="1168">
        <f ca="1">INDEX(INDIRECT("'"&amp;BB$4&amp;"'!Year.NetBalance"), MATCH('Oil Story'!$C87, INDIRECT("'"&amp;BB$4&amp;"'!Year.Vectors"), 0))</f>
        <v>0</v>
      </c>
      <c r="BC87" s="1168">
        <f ca="1">INDEX(INDIRECT("'"&amp;BC$4&amp;"'!Year.NetBalance"), MATCH('Oil Story'!$C87, INDIRECT("'"&amp;BC$4&amp;"'!Year.Vectors"), 0))</f>
        <v>0</v>
      </c>
      <c r="BD87" s="1168">
        <f ca="1">INDEX(INDIRECT("'"&amp;BD$4&amp;"'!Year.NetBalance"), MATCH('Oil Story'!$C87, INDIRECT("'"&amp;BD$4&amp;"'!Year.Vectors"), 0))</f>
        <v>0</v>
      </c>
      <c r="BE87" s="1168">
        <f ca="1">INDEX(INDIRECT("'"&amp;BE$4&amp;"'!Year.NetBalance"), MATCH('Oil Story'!$C87, INDIRECT("'"&amp;BE$4&amp;"'!Year.Vectors"), 0))</f>
        <v>0</v>
      </c>
      <c r="BF87" s="1168">
        <f ca="1">INDEX(INDIRECT("'"&amp;BF$4&amp;"'!Year.NetBalance"), MATCH('Oil Story'!$C87, INDIRECT("'"&amp;BF$4&amp;"'!Year.Vectors"), 0))</f>
        <v>0</v>
      </c>
      <c r="BG87" s="1168">
        <f ca="1">INDEX(INDIRECT("'"&amp;BG$4&amp;"'!Year.NetBalance"), MATCH('Oil Story'!$C87, INDIRECT("'"&amp;BG$4&amp;"'!Year.Vectors"), 0))</f>
        <v>0</v>
      </c>
      <c r="BH87" s="1168">
        <f ca="1">INDEX(INDIRECT("'"&amp;BH$4&amp;"'!Year.NetBalance"), MATCH('Oil Story'!$C87, INDIRECT("'"&amp;BH$4&amp;"'!Year.Vectors"), 0))</f>
        <v>0</v>
      </c>
      <c r="BI87" s="1168">
        <f ca="1">INDEX(INDIRECT("'"&amp;BI$4&amp;"'!Year.NetBalance"), MATCH('Oil Story'!$C87, INDIRECT("'"&amp;BI$4&amp;"'!Year.Vectors"), 0))</f>
        <v>0</v>
      </c>
      <c r="BJ87" s="1169"/>
      <c r="BK87" s="1020"/>
    </row>
    <row r="88" spans="1:63">
      <c r="B88" s="164"/>
      <c r="C88" s="1170" t="s">
        <v>435</v>
      </c>
      <c r="D88" s="166" t="str">
        <f>INDEX(Vectors[Description],MATCH($C88,Vectors[Code],0))</f>
        <v>Energy crops (second generation)</v>
      </c>
      <c r="E88" s="166"/>
      <c r="F88" s="267"/>
      <c r="G88" s="267"/>
      <c r="H88" s="1165"/>
      <c r="I88" s="1165"/>
      <c r="J88" s="1165"/>
      <c r="K88" s="1165"/>
      <c r="L88" s="1165"/>
      <c r="M88" s="1165"/>
      <c r="N88" s="1165"/>
      <c r="O88" s="1165"/>
      <c r="P88" s="1165"/>
      <c r="Q88" s="1165"/>
      <c r="R88" s="1165"/>
      <c r="S88" s="1165"/>
      <c r="T88" s="1165"/>
      <c r="U88" s="1165"/>
      <c r="V88" s="1165"/>
      <c r="W88" s="1165"/>
      <c r="X88" s="1165"/>
      <c r="Y88" s="1165"/>
      <c r="Z88" s="1165"/>
      <c r="AA88" s="1165"/>
      <c r="AB88" s="1165"/>
      <c r="AC88" s="1165"/>
      <c r="AD88" s="1165"/>
      <c r="AE88" s="1165"/>
      <c r="AF88" s="1165"/>
      <c r="AG88" s="1165"/>
      <c r="AH88" s="1165"/>
      <c r="AI88" s="1165"/>
      <c r="AJ88" s="1165"/>
      <c r="AK88" s="1165"/>
      <c r="AL88" s="1165"/>
      <c r="AM88" s="1165"/>
      <c r="AN88" s="1165"/>
      <c r="AO88" s="1165"/>
      <c r="AP88" s="1165"/>
      <c r="AQ88" s="1165"/>
      <c r="AR88" s="1165"/>
      <c r="AS88" s="1165"/>
      <c r="AT88" s="1165"/>
      <c r="AU88" s="1165"/>
      <c r="AV88" s="1165"/>
      <c r="AW88" s="1165"/>
      <c r="AX88" s="166"/>
      <c r="AY88" s="1168">
        <f ca="1">INDEX(INDIRECT("'"&amp;AY$4&amp;"'!Year.NetBalance"), MATCH('Oil Story'!$C88, INDIRECT("'"&amp;AY$4&amp;"'!Year.Vectors"), 0))</f>
        <v>0</v>
      </c>
      <c r="AZ88" s="1168"/>
      <c r="BA88" s="1168">
        <f ca="1">INDEX(INDIRECT("'"&amp;BA$4&amp;"'!Year.NetBalance"), MATCH('Oil Story'!$C88, INDIRECT("'"&amp;BA$4&amp;"'!Year.Vectors"), 0))</f>
        <v>0</v>
      </c>
      <c r="BB88" s="1168">
        <f ca="1">INDEX(INDIRECT("'"&amp;BB$4&amp;"'!Year.NetBalance"), MATCH('Oil Story'!$C88, INDIRECT("'"&amp;BB$4&amp;"'!Year.Vectors"), 0))</f>
        <v>0</v>
      </c>
      <c r="BC88" s="1168">
        <f ca="1">INDEX(INDIRECT("'"&amp;BC$4&amp;"'!Year.NetBalance"), MATCH('Oil Story'!$C88, INDIRECT("'"&amp;BC$4&amp;"'!Year.Vectors"), 0))</f>
        <v>0</v>
      </c>
      <c r="BD88" s="1168">
        <f ca="1">INDEX(INDIRECT("'"&amp;BD$4&amp;"'!Year.NetBalance"), MATCH('Oil Story'!$C88, INDIRECT("'"&amp;BD$4&amp;"'!Year.Vectors"), 0))</f>
        <v>0</v>
      </c>
      <c r="BE88" s="1168">
        <f ca="1">INDEX(INDIRECT("'"&amp;BE$4&amp;"'!Year.NetBalance"), MATCH('Oil Story'!$C88, INDIRECT("'"&amp;BE$4&amp;"'!Year.Vectors"), 0))</f>
        <v>0</v>
      </c>
      <c r="BF88" s="1168">
        <f ca="1">INDEX(INDIRECT("'"&amp;BF$4&amp;"'!Year.NetBalance"), MATCH('Oil Story'!$C88, INDIRECT("'"&amp;BF$4&amp;"'!Year.Vectors"), 0))</f>
        <v>0</v>
      </c>
      <c r="BG88" s="1168">
        <f ca="1">INDEX(INDIRECT("'"&amp;BG$4&amp;"'!Year.NetBalance"), MATCH('Oil Story'!$C88, INDIRECT("'"&amp;BG$4&amp;"'!Year.Vectors"), 0))</f>
        <v>0</v>
      </c>
      <c r="BH88" s="1168">
        <f ca="1">INDEX(INDIRECT("'"&amp;BH$4&amp;"'!Year.NetBalance"), MATCH('Oil Story'!$C88, INDIRECT("'"&amp;BH$4&amp;"'!Year.Vectors"), 0))</f>
        <v>0</v>
      </c>
      <c r="BI88" s="1168">
        <f ca="1">INDEX(INDIRECT("'"&amp;BI$4&amp;"'!Year.NetBalance"), MATCH('Oil Story'!$C88, INDIRECT("'"&amp;BI$4&amp;"'!Year.Vectors"), 0))</f>
        <v>0</v>
      </c>
      <c r="BJ88" s="1169"/>
      <c r="BK88" s="1020"/>
    </row>
    <row r="89" spans="1:63" s="51" customFormat="1">
      <c r="B89" s="164"/>
      <c r="C89" s="60"/>
      <c r="D89" s="1174" t="s">
        <v>1142</v>
      </c>
      <c r="E89" s="166"/>
      <c r="F89" s="1175"/>
      <c r="G89" s="1176"/>
      <c r="H89" s="1171"/>
      <c r="I89" s="1171"/>
      <c r="J89" s="1171"/>
      <c r="K89" s="1171"/>
      <c r="L89" s="1171"/>
      <c r="M89" s="1171"/>
      <c r="N89" s="1171"/>
      <c r="O89" s="1171"/>
      <c r="P89" s="1171"/>
      <c r="Q89" s="1171"/>
      <c r="R89" s="1171"/>
      <c r="S89" s="1171"/>
      <c r="T89" s="1171"/>
      <c r="U89" s="1171"/>
      <c r="V89" s="1171"/>
      <c r="W89" s="1171"/>
      <c r="X89" s="1171"/>
      <c r="Y89" s="1171"/>
      <c r="Z89" s="1171"/>
      <c r="AA89" s="1171"/>
      <c r="AB89" s="1171"/>
      <c r="AC89" s="1171"/>
      <c r="AD89" s="1171"/>
      <c r="AE89" s="1171"/>
      <c r="AF89" s="1171"/>
      <c r="AG89" s="1171"/>
      <c r="AH89" s="1171"/>
      <c r="AI89" s="1171"/>
      <c r="AJ89" s="1171"/>
      <c r="AK89" s="1171"/>
      <c r="AL89" s="1171"/>
      <c r="AM89" s="1171"/>
      <c r="AN89" s="1171"/>
      <c r="AO89" s="1171"/>
      <c r="AP89" s="1171"/>
      <c r="AQ89" s="1171"/>
      <c r="AR89" s="1171"/>
      <c r="AS89" s="1171"/>
      <c r="AT89" s="1171"/>
      <c r="AU89" s="1171"/>
      <c r="AV89" s="1171"/>
      <c r="AW89" s="1171"/>
      <c r="AX89" s="166"/>
      <c r="AY89" s="1175">
        <f t="shared" ref="AY89:BI89" ca="1" si="24">SUM(AY75:AY88)</f>
        <v>0</v>
      </c>
      <c r="AZ89" s="1175"/>
      <c r="BA89" s="1175">
        <f t="shared" ca="1" si="24"/>
        <v>0</v>
      </c>
      <c r="BB89" s="1175">
        <f t="shared" ca="1" si="24"/>
        <v>0</v>
      </c>
      <c r="BC89" s="1175">
        <f t="shared" ca="1" si="24"/>
        <v>0</v>
      </c>
      <c r="BD89" s="1175">
        <f t="shared" ca="1" si="24"/>
        <v>0</v>
      </c>
      <c r="BE89" s="1175">
        <f t="shared" ca="1" si="24"/>
        <v>0</v>
      </c>
      <c r="BF89" s="1175">
        <f t="shared" ca="1" si="24"/>
        <v>0</v>
      </c>
      <c r="BG89" s="1175">
        <f t="shared" ca="1" si="24"/>
        <v>0</v>
      </c>
      <c r="BH89" s="1175">
        <f t="shared" ca="1" si="24"/>
        <v>5.6843418860808015E-13</v>
      </c>
      <c r="BI89" s="1175">
        <f t="shared" ca="1" si="24"/>
        <v>-7.9403150721191196E-13</v>
      </c>
      <c r="BJ89" s="1190"/>
      <c r="BK89" s="1020"/>
    </row>
    <row r="90" spans="1:63">
      <c r="B90" s="164"/>
      <c r="C90" s="166"/>
      <c r="D90" s="166"/>
      <c r="E90" s="166"/>
      <c r="F90" s="166"/>
      <c r="G90" s="166"/>
      <c r="H90" s="1156"/>
      <c r="I90" s="1156"/>
      <c r="J90" s="1156"/>
      <c r="K90" s="1156"/>
      <c r="L90" s="1156"/>
      <c r="M90" s="1156"/>
      <c r="N90" s="1156"/>
      <c r="O90" s="1156"/>
      <c r="P90" s="1156"/>
      <c r="Q90" s="1156"/>
      <c r="R90" s="1156"/>
      <c r="S90" s="1156"/>
      <c r="T90" s="1156"/>
      <c r="U90" s="1156"/>
      <c r="V90" s="1156"/>
      <c r="W90" s="1156"/>
      <c r="X90" s="1156"/>
      <c r="Y90" s="1156"/>
      <c r="Z90" s="1156"/>
      <c r="AA90" s="1156"/>
      <c r="AB90" s="1156"/>
      <c r="AC90" s="1156"/>
      <c r="AD90" s="1156"/>
      <c r="AE90" s="1156"/>
      <c r="AF90" s="1156"/>
      <c r="AG90" s="1156"/>
      <c r="AH90" s="1156"/>
      <c r="AI90" s="1156"/>
      <c r="AJ90" s="1156"/>
      <c r="AK90" s="1156"/>
      <c r="AL90" s="1156"/>
      <c r="AM90" s="1156"/>
      <c r="AN90" s="1156"/>
      <c r="AO90" s="1156"/>
      <c r="AP90" s="1156"/>
      <c r="AQ90" s="1156"/>
      <c r="AR90" s="1156"/>
      <c r="AS90" s="1156"/>
      <c r="AT90" s="1156"/>
      <c r="AU90" s="1156"/>
      <c r="AV90" s="1156"/>
      <c r="AW90" s="1156"/>
      <c r="AX90" s="166"/>
      <c r="AY90" s="1168"/>
      <c r="AZ90" s="1168"/>
      <c r="BA90" s="1168"/>
      <c r="BB90" s="1168"/>
      <c r="BC90" s="1168"/>
      <c r="BD90" s="1168"/>
      <c r="BE90" s="1168"/>
      <c r="BF90" s="1168"/>
      <c r="BG90" s="1168"/>
      <c r="BH90" s="1168"/>
      <c r="BI90" s="1168"/>
      <c r="BJ90" s="1169"/>
      <c r="BK90" s="1020"/>
    </row>
    <row r="91" spans="1:63" s="859" customFormat="1" ht="18">
      <c r="B91" s="1189"/>
      <c r="C91" s="266"/>
      <c r="D91" s="1174" t="s">
        <v>1143</v>
      </c>
      <c r="E91" s="166"/>
      <c r="F91" s="1175"/>
      <c r="G91" s="1176"/>
      <c r="H91" s="1171"/>
      <c r="I91" s="1171"/>
      <c r="J91" s="1171"/>
      <c r="K91" s="1171"/>
      <c r="L91" s="1171"/>
      <c r="M91" s="1171"/>
      <c r="N91" s="1171"/>
      <c r="O91" s="1171"/>
      <c r="P91" s="1171"/>
      <c r="Q91" s="1171"/>
      <c r="R91" s="1171"/>
      <c r="S91" s="1171"/>
      <c r="T91" s="1171"/>
      <c r="U91" s="1171"/>
      <c r="V91" s="1171"/>
      <c r="W91" s="1171"/>
      <c r="X91" s="1171"/>
      <c r="Y91" s="1171"/>
      <c r="Z91" s="1171"/>
      <c r="AA91" s="1171"/>
      <c r="AB91" s="1171"/>
      <c r="AC91" s="1171"/>
      <c r="AD91" s="1171"/>
      <c r="AE91" s="1171"/>
      <c r="AF91" s="1171"/>
      <c r="AG91" s="1171"/>
      <c r="AH91" s="1171"/>
      <c r="AI91" s="1171"/>
      <c r="AJ91" s="1171"/>
      <c r="AK91" s="1171"/>
      <c r="AL91" s="1171"/>
      <c r="AM91" s="1171"/>
      <c r="AN91" s="1171"/>
      <c r="AO91" s="1171"/>
      <c r="AP91" s="1171"/>
      <c r="AQ91" s="1171"/>
      <c r="AR91" s="1171"/>
      <c r="AS91" s="1171"/>
      <c r="AT91" s="1171"/>
      <c r="AU91" s="1171"/>
      <c r="AV91" s="1171"/>
      <c r="AW91" s="1171"/>
      <c r="AX91" s="166"/>
      <c r="AY91" s="1175">
        <f t="shared" ref="AY91:BI91" ca="1" si="25">AY21-AY57+AY89</f>
        <v>4.5474735088646412E-13</v>
      </c>
      <c r="AZ91" s="1175"/>
      <c r="BA91" s="1175">
        <f t="shared" ca="1" si="25"/>
        <v>0</v>
      </c>
      <c r="BB91" s="1175">
        <f t="shared" ca="1" si="25"/>
        <v>0</v>
      </c>
      <c r="BC91" s="1175">
        <f t="shared" ca="1" si="25"/>
        <v>-1.8189894035458565E-12</v>
      </c>
      <c r="BD91" s="1175">
        <f t="shared" ca="1" si="25"/>
        <v>1.8189894035458565E-12</v>
      </c>
      <c r="BE91" s="1175">
        <f t="shared" ca="1" si="25"/>
        <v>-3.637978807091713E-12</v>
      </c>
      <c r="BF91" s="1175">
        <f t="shared" ca="1" si="25"/>
        <v>0</v>
      </c>
      <c r="BG91" s="1175">
        <f t="shared" ca="1" si="25"/>
        <v>0</v>
      </c>
      <c r="BH91" s="1175">
        <f t="shared" ca="1" si="25"/>
        <v>4.2064129956997931E-12</v>
      </c>
      <c r="BI91" s="1175">
        <f t="shared" ca="1" si="25"/>
        <v>-7.9403150721191196E-13</v>
      </c>
      <c r="BJ91" s="1177"/>
      <c r="BK91" s="1020"/>
    </row>
    <row r="92" spans="1:63" s="859" customFormat="1">
      <c r="D92" s="1191"/>
      <c r="E92" s="3148"/>
      <c r="F92" s="1192"/>
      <c r="G92" s="1192"/>
      <c r="H92" s="1193"/>
      <c r="I92" s="1193"/>
      <c r="J92" s="1193"/>
      <c r="K92" s="1193"/>
      <c r="L92" s="1193"/>
      <c r="M92" s="1193"/>
      <c r="N92" s="1193"/>
      <c r="O92" s="1193"/>
      <c r="P92" s="1193"/>
      <c r="Q92" s="1193"/>
      <c r="R92" s="1193"/>
      <c r="S92" s="1193"/>
      <c r="T92" s="1193"/>
      <c r="U92" s="1193"/>
      <c r="V92" s="1193"/>
      <c r="W92" s="1193"/>
      <c r="X92" s="1193"/>
      <c r="Y92" s="1193"/>
      <c r="Z92" s="1193"/>
      <c r="AA92" s="1193"/>
      <c r="AB92" s="1193"/>
      <c r="AC92" s="1193"/>
      <c r="AD92" s="1193"/>
      <c r="AE92" s="1193"/>
      <c r="AF92" s="1193"/>
      <c r="AG92" s="1193"/>
      <c r="AH92" s="1193"/>
      <c r="AI92" s="1193"/>
      <c r="AJ92" s="1193"/>
      <c r="AK92" s="1193"/>
      <c r="AL92" s="1193"/>
      <c r="AM92" s="1193"/>
      <c r="AN92" s="1193"/>
      <c r="AO92" s="1193"/>
      <c r="AP92" s="1193"/>
      <c r="AQ92" s="1193"/>
      <c r="AR92" s="1193"/>
      <c r="AS92" s="1193"/>
      <c r="AT92" s="1193"/>
      <c r="AU92" s="1193"/>
      <c r="AV92" s="1193"/>
      <c r="AW92" s="1193"/>
      <c r="AX92" s="3148"/>
      <c r="AY92" s="1192"/>
      <c r="AZ92" s="1192"/>
      <c r="BA92" s="1192"/>
      <c r="BB92" s="1192"/>
      <c r="BC92" s="1192"/>
      <c r="BD92" s="1192"/>
      <c r="BE92" s="1192"/>
      <c r="BF92" s="1192"/>
      <c r="BG92" s="1192"/>
      <c r="BH92" s="1192"/>
      <c r="BI92" s="1192"/>
      <c r="BJ92" s="1178"/>
      <c r="BK92" s="1178"/>
    </row>
    <row r="93" spans="1:63" ht="21" customHeight="1">
      <c r="A93" s="420"/>
      <c r="B93" s="1194" t="s">
        <v>1144</v>
      </c>
      <c r="C93" s="1195"/>
      <c r="D93" s="1195"/>
      <c r="E93" s="1195"/>
      <c r="F93" s="1195"/>
      <c r="G93" s="1195"/>
      <c r="H93" s="1196"/>
      <c r="I93" s="1196"/>
      <c r="J93" s="1196"/>
      <c r="K93" s="1196"/>
      <c r="L93" s="1196"/>
      <c r="M93" s="1196"/>
      <c r="N93" s="1196"/>
      <c r="O93" s="1196"/>
      <c r="P93" s="1196"/>
      <c r="Q93" s="1196"/>
      <c r="R93" s="1196"/>
      <c r="S93" s="1196"/>
      <c r="T93" s="1196"/>
      <c r="U93" s="1196"/>
      <c r="V93" s="1196"/>
      <c r="W93" s="1196"/>
      <c r="X93" s="1196"/>
      <c r="Y93" s="1196"/>
      <c r="Z93" s="1196"/>
      <c r="AA93" s="1196"/>
      <c r="AB93" s="1196"/>
      <c r="AC93" s="1196"/>
      <c r="AD93" s="1196"/>
      <c r="AE93" s="1196"/>
      <c r="AF93" s="1196"/>
      <c r="AG93" s="1196"/>
      <c r="AH93" s="1196"/>
      <c r="AI93" s="1196"/>
      <c r="AJ93" s="1196"/>
      <c r="AK93" s="1196"/>
      <c r="AL93" s="1196"/>
      <c r="AM93" s="1196"/>
      <c r="AN93" s="1196"/>
      <c r="AO93" s="1196"/>
      <c r="AP93" s="1196"/>
      <c r="AQ93" s="1196"/>
      <c r="AR93" s="1196"/>
      <c r="AS93" s="1196"/>
      <c r="AT93" s="1196"/>
      <c r="AU93" s="1196"/>
      <c r="AV93" s="1196"/>
      <c r="AW93" s="1196"/>
      <c r="AX93" s="1195"/>
      <c r="AY93" s="1197"/>
      <c r="AZ93" s="1197"/>
      <c r="BA93" s="1197"/>
      <c r="BB93" s="1197"/>
      <c r="BC93" s="1197"/>
      <c r="BD93" s="1197"/>
      <c r="BE93" s="1197"/>
      <c r="BF93" s="1197"/>
      <c r="BG93" s="1197"/>
      <c r="BH93" s="1197"/>
      <c r="BI93" s="1197"/>
      <c r="BJ93" s="1198"/>
      <c r="BK93" s="22"/>
    </row>
    <row r="94" spans="1:63" ht="18">
      <c r="B94" s="2569"/>
      <c r="C94" s="191"/>
      <c r="D94" s="191"/>
      <c r="E94" s="191"/>
      <c r="F94" s="191"/>
      <c r="G94" s="191"/>
      <c r="H94" s="2570"/>
      <c r="I94" s="2570"/>
      <c r="J94" s="2570"/>
      <c r="K94" s="2570"/>
      <c r="L94" s="2570"/>
      <c r="M94" s="2570"/>
      <c r="N94" s="2570"/>
      <c r="O94" s="2570"/>
      <c r="P94" s="2570"/>
      <c r="Q94" s="2570"/>
      <c r="R94" s="2570"/>
      <c r="S94" s="2570"/>
      <c r="T94" s="2570"/>
      <c r="U94" s="2570"/>
      <c r="V94" s="2570"/>
      <c r="W94" s="2570"/>
      <c r="X94" s="2570"/>
      <c r="Y94" s="2570"/>
      <c r="Z94" s="2570"/>
      <c r="AA94" s="2570"/>
      <c r="AB94" s="2570"/>
      <c r="AC94" s="2570"/>
      <c r="AD94" s="2570"/>
      <c r="AE94" s="2570"/>
      <c r="AF94" s="2570"/>
      <c r="AG94" s="2570"/>
      <c r="AH94" s="2570"/>
      <c r="AI94" s="2570"/>
      <c r="AJ94" s="2570"/>
      <c r="AK94" s="2570"/>
      <c r="AL94" s="2570"/>
      <c r="AM94" s="2570"/>
      <c r="AN94" s="2570"/>
      <c r="AO94" s="2570"/>
      <c r="AP94" s="2570"/>
      <c r="AQ94" s="2570"/>
      <c r="AR94" s="2570"/>
      <c r="AS94" s="2570"/>
      <c r="AT94" s="2570"/>
      <c r="AU94" s="2570"/>
      <c r="AV94" s="2570"/>
      <c r="AW94" s="2570"/>
      <c r="AX94" s="191"/>
      <c r="AY94" s="2571"/>
      <c r="AZ94" s="2571"/>
      <c r="BA94" s="2571"/>
      <c r="BB94" s="2571"/>
      <c r="BC94" s="2571"/>
      <c r="BD94" s="2571"/>
      <c r="BE94" s="2571"/>
      <c r="BF94" s="2571"/>
      <c r="BG94" s="2571"/>
      <c r="BH94" s="2571"/>
      <c r="BI94" s="2571"/>
      <c r="BJ94" s="2572"/>
      <c r="BK94" s="22"/>
    </row>
    <row r="95" spans="1:63" ht="15.75">
      <c r="B95" s="2573"/>
      <c r="C95" s="187" t="s">
        <v>34</v>
      </c>
      <c r="D95" s="187" t="str">
        <f>INDEX(Vectors[Description],MATCH($C95,Vectors[Code],0))</f>
        <v>Electricity (delivered to end user)</v>
      </c>
      <c r="E95" s="187"/>
      <c r="F95" s="2574"/>
      <c r="G95" s="2574"/>
      <c r="H95" s="2575"/>
      <c r="I95" s="2575"/>
      <c r="J95" s="2575"/>
      <c r="K95" s="2575"/>
      <c r="L95" s="2575"/>
      <c r="M95" s="2575"/>
      <c r="N95" s="2575"/>
      <c r="O95" s="2575"/>
      <c r="P95" s="2575"/>
      <c r="Q95" s="2575"/>
      <c r="R95" s="2575"/>
      <c r="S95" s="2575"/>
      <c r="T95" s="2575"/>
      <c r="U95" s="2575"/>
      <c r="V95" s="2575"/>
      <c r="W95" s="2575"/>
      <c r="X95" s="2575"/>
      <c r="Y95" s="2575"/>
      <c r="Z95" s="2575"/>
      <c r="AA95" s="2575"/>
      <c r="AB95" s="2575"/>
      <c r="AC95" s="2575"/>
      <c r="AD95" s="2575"/>
      <c r="AE95" s="2575"/>
      <c r="AF95" s="2575"/>
      <c r="AG95" s="2575"/>
      <c r="AH95" s="2575"/>
      <c r="AI95" s="2575"/>
      <c r="AJ95" s="2575"/>
      <c r="AK95" s="2575"/>
      <c r="AL95" s="2575"/>
      <c r="AM95" s="2575"/>
      <c r="AN95" s="2575"/>
      <c r="AO95" s="2575"/>
      <c r="AP95" s="2575"/>
      <c r="AQ95" s="2575"/>
      <c r="AR95" s="2575"/>
      <c r="AS95" s="2575"/>
      <c r="AT95" s="2575"/>
      <c r="AU95" s="2575"/>
      <c r="AV95" s="2575"/>
      <c r="AW95" s="2575"/>
      <c r="AX95" s="187"/>
      <c r="AY95" s="2576">
        <f ca="1">INDEX(INDIRECT("'"&amp;AY$4&amp;"'!Year.NetBalance"), MATCH('Oil Story'!$C95, INDIRECT("'"&amp;AY$4&amp;"'!Year.Vectors"), 0))</f>
        <v>-595.68681516482502</v>
      </c>
      <c r="AZ95" s="2576"/>
      <c r="BA95" s="2576">
        <f ca="1">INDEX(INDIRECT("'"&amp;BA$4&amp;"'!Year.NetBalance"), MATCH('Oil Story'!$C95, INDIRECT("'"&amp;BA$4&amp;"'!Year.Vectors"), 0))</f>
        <v>-798.39296177664801</v>
      </c>
      <c r="BB95" s="2576">
        <f ca="1">INDEX(INDIRECT("'"&amp;BB$4&amp;"'!Year.NetBalance"), MATCH('Oil Story'!$C95, INDIRECT("'"&amp;BB$4&amp;"'!Year.Vectors"), 0))</f>
        <v>-1142.8498773739643</v>
      </c>
      <c r="BC95" s="2576">
        <f ca="1">INDEX(INDIRECT("'"&amp;BC$4&amp;"'!Year.NetBalance"), MATCH('Oil Story'!$C95, INDIRECT("'"&amp;BC$4&amp;"'!Year.Vectors"), 0))</f>
        <v>-1640.0251055308779</v>
      </c>
      <c r="BD95" s="2576">
        <f ca="1">INDEX(INDIRECT("'"&amp;BD$4&amp;"'!Year.NetBalance"), MATCH('Oil Story'!$C95, INDIRECT("'"&amp;BD$4&amp;"'!Year.Vectors"), 0))</f>
        <v>-2290.662235710573</v>
      </c>
      <c r="BE95" s="2576">
        <f ca="1">INDEX(INDIRECT("'"&amp;BE$4&amp;"'!Year.NetBalance"), MATCH('Oil Story'!$C95, INDIRECT("'"&amp;BE$4&amp;"'!Year.Vectors"), 0))</f>
        <v>-3170.4883780648101</v>
      </c>
      <c r="BF95" s="2576">
        <f ca="1">INDEX(INDIRECT("'"&amp;BF$4&amp;"'!Year.NetBalance"), MATCH('Oil Story'!$C95, INDIRECT("'"&amp;BF$4&amp;"'!Year.Vectors"), 0))</f>
        <v>-3970.4133793283249</v>
      </c>
      <c r="BG95" s="2576">
        <f ca="1">INDEX(INDIRECT("'"&amp;BG$4&amp;"'!Year.NetBalance"), MATCH('Oil Story'!$C95, INDIRECT("'"&amp;BG$4&amp;"'!Year.Vectors"), 0))</f>
        <v>-4914.3042732371441</v>
      </c>
      <c r="BH95" s="2576">
        <f ca="1">INDEX(INDIRECT("'"&amp;BH$4&amp;"'!Year.NetBalance"), MATCH('Oil Story'!$C95, INDIRECT("'"&amp;BH$4&amp;"'!Year.Vectors"), 0))</f>
        <v>-5747.5586114860871</v>
      </c>
      <c r="BI95" s="2576">
        <f ca="1">INDEX(INDIRECT("'"&amp;BI$4&amp;"'!Year.NetBalance"), MATCH('Oil Story'!$C95, INDIRECT("'"&amp;BI$4&amp;"'!Year.Vectors"), 0))</f>
        <v>-6680.5573002001365</v>
      </c>
      <c r="BJ95" s="2577" t="s">
        <v>1145</v>
      </c>
      <c r="BK95" s="22"/>
    </row>
    <row r="96" spans="1:63">
      <c r="B96" s="190"/>
      <c r="C96" s="187" t="s">
        <v>35</v>
      </c>
      <c r="D96" s="187" t="str">
        <f>INDEX(Vectors[Description],MATCH($C96,Vectors[Code],0))</f>
        <v>Electricity (supplied to grid)</v>
      </c>
      <c r="E96" s="187"/>
      <c r="F96" s="2574"/>
      <c r="G96" s="2574"/>
      <c r="H96" s="2575"/>
      <c r="I96" s="2575"/>
      <c r="J96" s="2575"/>
      <c r="K96" s="2575"/>
      <c r="L96" s="2575"/>
      <c r="M96" s="2575"/>
      <c r="N96" s="2575"/>
      <c r="O96" s="2575"/>
      <c r="P96" s="2575"/>
      <c r="Q96" s="2575"/>
      <c r="R96" s="2575"/>
      <c r="S96" s="2575"/>
      <c r="T96" s="2575"/>
      <c r="U96" s="2575"/>
      <c r="V96" s="2575"/>
      <c r="W96" s="2575"/>
      <c r="X96" s="2575"/>
      <c r="Y96" s="2575"/>
      <c r="Z96" s="2575"/>
      <c r="AA96" s="2575"/>
      <c r="AB96" s="2575"/>
      <c r="AC96" s="2575"/>
      <c r="AD96" s="2575"/>
      <c r="AE96" s="2575"/>
      <c r="AF96" s="2575"/>
      <c r="AG96" s="2575"/>
      <c r="AH96" s="2575"/>
      <c r="AI96" s="2575"/>
      <c r="AJ96" s="2575"/>
      <c r="AK96" s="2575"/>
      <c r="AL96" s="2575"/>
      <c r="AM96" s="2575"/>
      <c r="AN96" s="2575"/>
      <c r="AO96" s="2575"/>
      <c r="AP96" s="2575"/>
      <c r="AQ96" s="2575"/>
      <c r="AR96" s="2575"/>
      <c r="AS96" s="2575"/>
      <c r="AT96" s="2575"/>
      <c r="AU96" s="2575"/>
      <c r="AV96" s="2575"/>
      <c r="AW96" s="2575"/>
      <c r="AX96" s="187"/>
      <c r="AY96" s="2576">
        <f ca="1">INDEX(INDIRECT("'"&amp;AY$4&amp;"'!Year.NetBalance"), MATCH('Oil Story'!$C96, INDIRECT("'"&amp;AY$4&amp;"'!Year.Vectors"), 0))</f>
        <v>595.68681516482502</v>
      </c>
      <c r="AZ96" s="2576"/>
      <c r="BA96" s="2576">
        <f ca="1">INDEX(INDIRECT("'"&amp;BA$4&amp;"'!Year.NetBalance"), MATCH('Oil Story'!$C96, INDIRECT("'"&amp;BA$4&amp;"'!Year.Vectors"), 0))</f>
        <v>798.39296177664801</v>
      </c>
      <c r="BB96" s="2576">
        <f ca="1">INDEX(INDIRECT("'"&amp;BB$4&amp;"'!Year.NetBalance"), MATCH('Oil Story'!$C96, INDIRECT("'"&amp;BB$4&amp;"'!Year.Vectors"), 0))</f>
        <v>1142.8498773739643</v>
      </c>
      <c r="BC96" s="2576">
        <f ca="1">INDEX(INDIRECT("'"&amp;BC$4&amp;"'!Year.NetBalance"), MATCH('Oil Story'!$C96, INDIRECT("'"&amp;BC$4&amp;"'!Year.Vectors"), 0))</f>
        <v>1640.0251055308779</v>
      </c>
      <c r="BD96" s="2576">
        <f ca="1">INDEX(INDIRECT("'"&amp;BD$4&amp;"'!Year.NetBalance"), MATCH('Oil Story'!$C96, INDIRECT("'"&amp;BD$4&amp;"'!Year.Vectors"), 0))</f>
        <v>2290.662235710573</v>
      </c>
      <c r="BE96" s="2576">
        <f ca="1">INDEX(INDIRECT("'"&amp;BE$4&amp;"'!Year.NetBalance"), MATCH('Oil Story'!$C96, INDIRECT("'"&amp;BE$4&amp;"'!Year.Vectors"), 0))</f>
        <v>3170.4883780648101</v>
      </c>
      <c r="BF96" s="2576">
        <f ca="1">INDEX(INDIRECT("'"&amp;BF$4&amp;"'!Year.NetBalance"), MATCH('Oil Story'!$C96, INDIRECT("'"&amp;BF$4&amp;"'!Year.Vectors"), 0))</f>
        <v>3970.4133793283249</v>
      </c>
      <c r="BG96" s="2576">
        <f ca="1">INDEX(INDIRECT("'"&amp;BG$4&amp;"'!Year.NetBalance"), MATCH('Oil Story'!$C96, INDIRECT("'"&amp;BG$4&amp;"'!Year.Vectors"), 0))</f>
        <v>4914.3042732371441</v>
      </c>
      <c r="BH96" s="2576">
        <f ca="1">INDEX(INDIRECT("'"&amp;BH$4&amp;"'!Year.NetBalance"), MATCH('Oil Story'!$C96, INDIRECT("'"&amp;BH$4&amp;"'!Year.Vectors"), 0))</f>
        <v>5747.5586114860871</v>
      </c>
      <c r="BI96" s="2576">
        <f ca="1">INDEX(INDIRECT("'"&amp;BI$4&amp;"'!Year.NetBalance"), MATCH('Oil Story'!$C96, INDIRECT("'"&amp;BI$4&amp;"'!Year.Vectors"), 0))</f>
        <v>6680.5573002001365</v>
      </c>
      <c r="BJ96" s="2577"/>
      <c r="BK96" s="22"/>
    </row>
    <row r="97" spans="1:64" s="51" customFormat="1">
      <c r="B97" s="193"/>
      <c r="C97" s="189"/>
      <c r="D97" s="2578" t="s">
        <v>1146</v>
      </c>
      <c r="E97" s="187"/>
      <c r="F97" s="2579"/>
      <c r="G97" s="2580"/>
      <c r="H97" s="2581"/>
      <c r="I97" s="2581"/>
      <c r="J97" s="2581"/>
      <c r="K97" s="2581"/>
      <c r="L97" s="2581"/>
      <c r="M97" s="2581"/>
      <c r="N97" s="2581"/>
      <c r="O97" s="2581"/>
      <c r="P97" s="2581"/>
      <c r="Q97" s="2581"/>
      <c r="R97" s="2581"/>
      <c r="S97" s="2581"/>
      <c r="T97" s="2581"/>
      <c r="U97" s="2581"/>
      <c r="V97" s="2581"/>
      <c r="W97" s="2581"/>
      <c r="X97" s="2581"/>
      <c r="Y97" s="2581"/>
      <c r="Z97" s="2581"/>
      <c r="AA97" s="2581"/>
      <c r="AB97" s="2581"/>
      <c r="AC97" s="2581"/>
      <c r="AD97" s="2581"/>
      <c r="AE97" s="2581"/>
      <c r="AF97" s="2581"/>
      <c r="AG97" s="2581"/>
      <c r="AH97" s="2581"/>
      <c r="AI97" s="2581"/>
      <c r="AJ97" s="2581"/>
      <c r="AK97" s="2581"/>
      <c r="AL97" s="2581"/>
      <c r="AM97" s="2581"/>
      <c r="AN97" s="2581"/>
      <c r="AO97" s="2581"/>
      <c r="AP97" s="2581"/>
      <c r="AQ97" s="2581"/>
      <c r="AR97" s="2581"/>
      <c r="AS97" s="2581"/>
      <c r="AT97" s="2581"/>
      <c r="AU97" s="2581"/>
      <c r="AV97" s="2581"/>
      <c r="AW97" s="2581"/>
      <c r="AX97" s="187"/>
      <c r="AY97" s="2579">
        <f t="shared" ref="AY97:BI97" ca="1" si="26">SUM(AY95:AY96)</f>
        <v>0</v>
      </c>
      <c r="AZ97" s="2579"/>
      <c r="BA97" s="2579">
        <f t="shared" ca="1" si="26"/>
        <v>0</v>
      </c>
      <c r="BB97" s="2579">
        <f t="shared" ca="1" si="26"/>
        <v>0</v>
      </c>
      <c r="BC97" s="2579">
        <f t="shared" ca="1" si="26"/>
        <v>0</v>
      </c>
      <c r="BD97" s="2579">
        <f t="shared" ca="1" si="26"/>
        <v>0</v>
      </c>
      <c r="BE97" s="2579">
        <f t="shared" ca="1" si="26"/>
        <v>0</v>
      </c>
      <c r="BF97" s="2579">
        <f t="shared" ca="1" si="26"/>
        <v>0</v>
      </c>
      <c r="BG97" s="2579">
        <f t="shared" ca="1" si="26"/>
        <v>0</v>
      </c>
      <c r="BH97" s="2579">
        <f t="shared" ca="1" si="26"/>
        <v>0</v>
      </c>
      <c r="BI97" s="2579">
        <f t="shared" ca="1" si="26"/>
        <v>0</v>
      </c>
      <c r="BJ97" s="2582"/>
      <c r="BK97" s="97"/>
    </row>
    <row r="98" spans="1:64" ht="4.5" customHeight="1">
      <c r="B98" s="193"/>
      <c r="C98" s="187"/>
      <c r="D98" s="187"/>
      <c r="E98" s="187"/>
      <c r="F98" s="187"/>
      <c r="G98" s="187"/>
      <c r="H98" s="2583"/>
      <c r="I98" s="2583"/>
      <c r="J98" s="2583"/>
      <c r="K98" s="2583"/>
      <c r="L98" s="2583"/>
      <c r="M98" s="2583"/>
      <c r="N98" s="2583"/>
      <c r="O98" s="2583"/>
      <c r="P98" s="2583"/>
      <c r="Q98" s="2583"/>
      <c r="R98" s="2583"/>
      <c r="S98" s="2583"/>
      <c r="T98" s="2583"/>
      <c r="U98" s="2583"/>
      <c r="V98" s="2583"/>
      <c r="W98" s="2583"/>
      <c r="X98" s="2583"/>
      <c r="Y98" s="2583"/>
      <c r="Z98" s="2583"/>
      <c r="AA98" s="2583"/>
      <c r="AB98" s="2583"/>
      <c r="AC98" s="2583"/>
      <c r="AD98" s="2583"/>
      <c r="AE98" s="2583"/>
      <c r="AF98" s="2583"/>
      <c r="AG98" s="2583"/>
      <c r="AH98" s="2583"/>
      <c r="AI98" s="2583"/>
      <c r="AJ98" s="2583"/>
      <c r="AK98" s="2583"/>
      <c r="AL98" s="2583"/>
      <c r="AM98" s="2583"/>
      <c r="AN98" s="2583"/>
      <c r="AO98" s="2583"/>
      <c r="AP98" s="2583"/>
      <c r="AQ98" s="2583"/>
      <c r="AR98" s="2583"/>
      <c r="AS98" s="2583"/>
      <c r="AT98" s="2583"/>
      <c r="AU98" s="2583"/>
      <c r="AV98" s="2583"/>
      <c r="AW98" s="2583"/>
      <c r="AX98" s="187"/>
      <c r="AY98" s="2576"/>
      <c r="AZ98" s="2576"/>
      <c r="BA98" s="2576"/>
      <c r="BB98" s="2576"/>
      <c r="BC98" s="2576"/>
      <c r="BD98" s="2576"/>
      <c r="BE98" s="2576"/>
      <c r="BF98" s="2576"/>
      <c r="BG98" s="2576"/>
      <c r="BH98" s="2576"/>
      <c r="BI98" s="2576"/>
      <c r="BJ98" s="2577"/>
      <c r="BK98" s="22"/>
    </row>
    <row r="99" spans="1:64" s="37" customFormat="1" ht="18">
      <c r="B99" s="2584"/>
      <c r="C99" s="2585" t="s">
        <v>35</v>
      </c>
      <c r="D99" s="2585" t="s">
        <v>45</v>
      </c>
      <c r="E99" s="2585"/>
      <c r="F99" s="2585"/>
      <c r="G99" s="2585"/>
      <c r="H99" s="2586"/>
      <c r="I99" s="2586"/>
      <c r="J99" s="2586"/>
      <c r="K99" s="2586"/>
      <c r="L99" s="2586"/>
      <c r="M99" s="2586"/>
      <c r="N99" s="2586"/>
      <c r="O99" s="2586"/>
      <c r="P99" s="2586"/>
      <c r="Q99" s="2586"/>
      <c r="R99" s="2586"/>
      <c r="S99" s="2586"/>
      <c r="T99" s="2586"/>
      <c r="U99" s="2586"/>
      <c r="V99" s="2586"/>
      <c r="W99" s="2586"/>
      <c r="X99" s="2586"/>
      <c r="Y99" s="2586"/>
      <c r="Z99" s="2586"/>
      <c r="AA99" s="2586"/>
      <c r="AB99" s="2586"/>
      <c r="AC99" s="2586"/>
      <c r="AD99" s="2586"/>
      <c r="AE99" s="2586"/>
      <c r="AF99" s="2586"/>
      <c r="AG99" s="2586"/>
      <c r="AH99" s="2586"/>
      <c r="AI99" s="2586"/>
      <c r="AJ99" s="2586"/>
      <c r="AK99" s="2586"/>
      <c r="AL99" s="2586"/>
      <c r="AM99" s="2586"/>
      <c r="AN99" s="2586"/>
      <c r="AO99" s="2586"/>
      <c r="AP99" s="2586"/>
      <c r="AQ99" s="2586"/>
      <c r="AR99" s="2586"/>
      <c r="AS99" s="2586"/>
      <c r="AT99" s="2586"/>
      <c r="AU99" s="2586"/>
      <c r="AV99" s="2586"/>
      <c r="AW99" s="2586"/>
      <c r="AX99" s="2585"/>
      <c r="AY99" s="2587">
        <f ca="1">INDEX(INDIRECT("'"&amp;AY$4&amp;"'!Year.Matrix"), MATCH("VII.b", INDIRECT("'"&amp;AY$4&amp;"'!Year.Modules"), 0), MATCH('Oil Story'!$C99, INDIRECT("'"&amp;AY$4&amp;"'!Year.Vectors"), 0))</f>
        <v>-195.08288504070401</v>
      </c>
      <c r="AZ99" s="2587"/>
      <c r="BA99" s="2587">
        <f ca="1">INDEX(INDIRECT("'"&amp;BA$4&amp;"'!Year.Matrix"), MATCH("VII.b", INDIRECT("'"&amp;BA$4&amp;"'!Year.Modules"), 0), MATCH('Oil Story'!$C99, INDIRECT("'"&amp;BA$4&amp;"'!Year.Vectors"), 0))</f>
        <v>-234.32332560745226</v>
      </c>
      <c r="BB99" s="2587">
        <f ca="1">INDEX(INDIRECT("'"&amp;BB$4&amp;"'!Year.Matrix"), MATCH("VII.b", INDIRECT("'"&amp;BB$4&amp;"'!Year.Modules"), 0), MATCH('Oil Story'!$C99, INDIRECT("'"&amp;BB$4&amp;"'!Year.Vectors"), 0))</f>
        <v>-313.04693193832941</v>
      </c>
      <c r="BC99" s="2587">
        <f ca="1">INDEX(INDIRECT("'"&amp;BC$4&amp;"'!Year.Matrix"), MATCH("VII.b", INDIRECT("'"&amp;BC$4&amp;"'!Year.Modules"), 0), MATCH('Oil Story'!$C99, INDIRECT("'"&amp;BC$4&amp;"'!Year.Vectors"), 0))</f>
        <v>-423.93802753088653</v>
      </c>
      <c r="BD99" s="2587">
        <f ca="1">INDEX(INDIRECT("'"&amp;BD$4&amp;"'!Year.Matrix"), MATCH("VII.b", INDIRECT("'"&amp;BD$4&amp;"'!Year.Modules"), 0), MATCH('Oil Story'!$C99, INDIRECT("'"&amp;BD$4&amp;"'!Year.Vectors"), 0))</f>
        <v>-557.71159630953753</v>
      </c>
      <c r="BE99" s="2587">
        <f ca="1">INDEX(INDIRECT("'"&amp;BE$4&amp;"'!Year.Matrix"), MATCH("VII.b", INDIRECT("'"&amp;BE$4&amp;"'!Year.Modules"), 0), MATCH('Oil Story'!$C99, INDIRECT("'"&amp;BE$4&amp;"'!Year.Vectors"), 0))</f>
        <v>-729.63510033996545</v>
      </c>
      <c r="BF99" s="2587">
        <f ca="1">INDEX(INDIRECT("'"&amp;BF$4&amp;"'!Year.Matrix"), MATCH("VII.b", INDIRECT("'"&amp;BF$4&amp;"'!Year.Modules"), 0), MATCH('Oil Story'!$C99, INDIRECT("'"&amp;BF$4&amp;"'!Year.Vectors"), 0))</f>
        <v>-865.89214021991711</v>
      </c>
      <c r="BG99" s="2587">
        <f ca="1">INDEX(INDIRECT("'"&amp;BG$4&amp;"'!Year.Matrix"), MATCH("VII.b", INDIRECT("'"&amp;BG$4&amp;"'!Year.Modules"), 0), MATCH('Oil Story'!$C99, INDIRECT("'"&amp;BG$4&amp;"'!Year.Vectors"), 0))</f>
        <v>-978.85350735662541</v>
      </c>
      <c r="BH99" s="2587">
        <f ca="1">INDEX(INDIRECT("'"&amp;BH$4&amp;"'!Year.Matrix"), MATCH("VII.b", INDIRECT("'"&amp;BH$4&amp;"'!Year.Modules"), 0), MATCH('Oil Story'!$C99, INDIRECT("'"&amp;BH$4&amp;"'!Year.Vectors"), 0))</f>
        <v>-1090.2145534112278</v>
      </c>
      <c r="BI99" s="2587">
        <f ca="1">INDEX(INDIRECT("'"&amp;BI$4&amp;"'!Year.Matrix"), MATCH("VII.b", INDIRECT("'"&amp;BI$4&amp;"'!Year.Modules"), 0), MATCH('Oil Story'!$C99, INDIRECT("'"&amp;BI$4&amp;"'!Year.Vectors"), 0))</f>
        <v>-1227.112144415446</v>
      </c>
      <c r="BJ99" s="2588"/>
      <c r="BK99" s="141"/>
    </row>
    <row r="100" spans="1:64" s="113" customFormat="1">
      <c r="B100" s="193"/>
      <c r="C100" s="2589"/>
      <c r="D100" s="2589" t="s">
        <v>1147</v>
      </c>
      <c r="E100" s="2585"/>
      <c r="F100" s="2590"/>
      <c r="G100" s="2590"/>
      <c r="H100" s="2591"/>
      <c r="I100" s="2591"/>
      <c r="J100" s="2591"/>
      <c r="K100" s="2591"/>
      <c r="L100" s="2591"/>
      <c r="M100" s="2591"/>
      <c r="N100" s="2591"/>
      <c r="O100" s="2591"/>
      <c r="P100" s="2591"/>
      <c r="Q100" s="2591"/>
      <c r="R100" s="2591"/>
      <c r="S100" s="2591"/>
      <c r="T100" s="2591"/>
      <c r="U100" s="2591"/>
      <c r="V100" s="2591"/>
      <c r="W100" s="2591"/>
      <c r="X100" s="2591"/>
      <c r="Y100" s="2591"/>
      <c r="Z100" s="2591"/>
      <c r="AA100" s="2591"/>
      <c r="AB100" s="2591"/>
      <c r="AC100" s="2591"/>
      <c r="AD100" s="2591"/>
      <c r="AE100" s="2591"/>
      <c r="AF100" s="2591"/>
      <c r="AG100" s="2591"/>
      <c r="AH100" s="2591"/>
      <c r="AI100" s="2591"/>
      <c r="AJ100" s="2591"/>
      <c r="AK100" s="2591"/>
      <c r="AL100" s="2591"/>
      <c r="AM100" s="2591"/>
      <c r="AN100" s="2591"/>
      <c r="AO100" s="2591"/>
      <c r="AP100" s="2591"/>
      <c r="AQ100" s="2591"/>
      <c r="AR100" s="2591"/>
      <c r="AS100" s="2591"/>
      <c r="AT100" s="2591"/>
      <c r="AU100" s="2591"/>
      <c r="AV100" s="2591"/>
      <c r="AW100" s="2591"/>
      <c r="AX100" s="2585"/>
      <c r="AY100" s="2590">
        <f t="shared" ref="AY100:BI100" ca="1" si="27">-AY95-AY99</f>
        <v>790.76970020552903</v>
      </c>
      <c r="AZ100" s="2590"/>
      <c r="BA100" s="2590">
        <f t="shared" ca="1" si="27"/>
        <v>1032.7162873841003</v>
      </c>
      <c r="BB100" s="2590">
        <f t="shared" ca="1" si="27"/>
        <v>1455.8968093122937</v>
      </c>
      <c r="BC100" s="2590">
        <f t="shared" ca="1" si="27"/>
        <v>2063.9631330617644</v>
      </c>
      <c r="BD100" s="2590">
        <f t="shared" ca="1" si="27"/>
        <v>2848.3738320201105</v>
      </c>
      <c r="BE100" s="2590">
        <f t="shared" ca="1" si="27"/>
        <v>3900.1234784047756</v>
      </c>
      <c r="BF100" s="2590">
        <f t="shared" ca="1" si="27"/>
        <v>4836.305519548242</v>
      </c>
      <c r="BG100" s="2590">
        <f t="shared" ca="1" si="27"/>
        <v>5893.1577805937695</v>
      </c>
      <c r="BH100" s="2590">
        <f t="shared" ca="1" si="27"/>
        <v>6837.7731648973149</v>
      </c>
      <c r="BI100" s="2590">
        <f t="shared" ca="1" si="27"/>
        <v>7907.6694446155825</v>
      </c>
      <c r="BJ100" s="2592"/>
    </row>
    <row r="101" spans="1:64" s="113" customFormat="1">
      <c r="B101" s="2593"/>
      <c r="C101" s="2589"/>
      <c r="D101" s="2589" t="s">
        <v>1148</v>
      </c>
      <c r="E101" s="2585"/>
      <c r="F101" s="2590"/>
      <c r="G101" s="2590"/>
      <c r="H101" s="2591"/>
      <c r="I101" s="2591"/>
      <c r="J101" s="2591"/>
      <c r="K101" s="2591"/>
      <c r="L101" s="2591"/>
      <c r="M101" s="2591"/>
      <c r="N101" s="2591"/>
      <c r="O101" s="2591"/>
      <c r="P101" s="2591"/>
      <c r="Q101" s="2591"/>
      <c r="R101" s="2591"/>
      <c r="S101" s="2591"/>
      <c r="T101" s="2591"/>
      <c r="U101" s="2591"/>
      <c r="V101" s="2591"/>
      <c r="W101" s="2591"/>
      <c r="X101" s="2591"/>
      <c r="Y101" s="2591"/>
      <c r="Z101" s="2591"/>
      <c r="AA101" s="2591"/>
      <c r="AB101" s="2591"/>
      <c r="AC101" s="2591"/>
      <c r="AD101" s="2591"/>
      <c r="AE101" s="2591"/>
      <c r="AF101" s="2591"/>
      <c r="AG101" s="2591"/>
      <c r="AH101" s="2591"/>
      <c r="AI101" s="2591"/>
      <c r="AJ101" s="2591"/>
      <c r="AK101" s="2591"/>
      <c r="AL101" s="2591"/>
      <c r="AM101" s="2591"/>
      <c r="AN101" s="2591"/>
      <c r="AO101" s="2591"/>
      <c r="AP101" s="2591"/>
      <c r="AQ101" s="2591"/>
      <c r="AR101" s="2591"/>
      <c r="AS101" s="2591"/>
      <c r="AT101" s="2591"/>
      <c r="AU101" s="2591"/>
      <c r="AV101" s="2591"/>
      <c r="AW101" s="2591"/>
      <c r="AX101" s="2585"/>
      <c r="AY101" s="2590">
        <f t="shared" ref="AY101:BI101" ca="1" si="28">AY129</f>
        <v>790.76970020552903</v>
      </c>
      <c r="AZ101" s="2590"/>
      <c r="BA101" s="2590">
        <f t="shared" ca="1" si="28"/>
        <v>1032.7162873841003</v>
      </c>
      <c r="BB101" s="2590">
        <f t="shared" ca="1" si="28"/>
        <v>1455.8968093122935</v>
      </c>
      <c r="BC101" s="2590">
        <f t="shared" ca="1" si="28"/>
        <v>2063.963133061764</v>
      </c>
      <c r="BD101" s="2590">
        <f t="shared" ca="1" si="28"/>
        <v>2848.373832020111</v>
      </c>
      <c r="BE101" s="2590">
        <f t="shared" ca="1" si="28"/>
        <v>3900.1234784047761</v>
      </c>
      <c r="BF101" s="2590">
        <f t="shared" ca="1" si="28"/>
        <v>4836.305519548242</v>
      </c>
      <c r="BG101" s="2590">
        <f t="shared" ca="1" si="28"/>
        <v>5893.1577805937686</v>
      </c>
      <c r="BH101" s="2590">
        <f t="shared" ca="1" si="28"/>
        <v>6837.773164897314</v>
      </c>
      <c r="BI101" s="2590">
        <f t="shared" ca="1" si="28"/>
        <v>7907.6694446155816</v>
      </c>
      <c r="BJ101" s="2592"/>
    </row>
    <row r="102" spans="1:64">
      <c r="B102" s="2594"/>
      <c r="C102" s="187"/>
      <c r="D102" s="187"/>
      <c r="E102" s="187"/>
      <c r="F102" s="187"/>
      <c r="G102" s="187"/>
      <c r="H102" s="2583"/>
      <c r="I102" s="2583"/>
      <c r="J102" s="2583"/>
      <c r="K102" s="2583"/>
      <c r="L102" s="2583"/>
      <c r="M102" s="2583"/>
      <c r="N102" s="2583"/>
      <c r="O102" s="2583"/>
      <c r="P102" s="2583"/>
      <c r="Q102" s="2583"/>
      <c r="R102" s="2583"/>
      <c r="S102" s="2583"/>
      <c r="T102" s="2583"/>
      <c r="U102" s="2583"/>
      <c r="V102" s="2583"/>
      <c r="W102" s="2583"/>
      <c r="X102" s="2583"/>
      <c r="Y102" s="2583"/>
      <c r="Z102" s="2583"/>
      <c r="AA102" s="2583"/>
      <c r="AB102" s="2583"/>
      <c r="AC102" s="2583"/>
      <c r="AD102" s="2583"/>
      <c r="AE102" s="2583"/>
      <c r="AF102" s="2583"/>
      <c r="AG102" s="2583"/>
      <c r="AH102" s="2583"/>
      <c r="AI102" s="2583"/>
      <c r="AJ102" s="2583"/>
      <c r="AK102" s="2583"/>
      <c r="AL102" s="2583"/>
      <c r="AM102" s="2583"/>
      <c r="AN102" s="2583"/>
      <c r="AO102" s="2583"/>
      <c r="AP102" s="2583"/>
      <c r="AQ102" s="2583"/>
      <c r="AR102" s="2583"/>
      <c r="AS102" s="2583"/>
      <c r="AT102" s="2583"/>
      <c r="AU102" s="2583"/>
      <c r="AV102" s="2583"/>
      <c r="AW102" s="2583"/>
      <c r="AX102" s="187"/>
      <c r="AY102" s="187"/>
      <c r="AZ102" s="187"/>
      <c r="BA102" s="187"/>
      <c r="BB102" s="187"/>
      <c r="BC102" s="187"/>
      <c r="BD102" s="187"/>
      <c r="BE102" s="187"/>
      <c r="BF102" s="187"/>
      <c r="BG102" s="187"/>
      <c r="BH102" s="187"/>
      <c r="BI102" s="187"/>
      <c r="BJ102" s="194"/>
    </row>
    <row r="103" spans="1:64">
      <c r="B103" s="2594"/>
      <c r="C103" s="187"/>
      <c r="D103" s="187"/>
      <c r="E103" s="187"/>
      <c r="F103" s="187"/>
      <c r="G103" s="187"/>
      <c r="H103" s="2583"/>
      <c r="I103" s="2583"/>
      <c r="J103" s="2583"/>
      <c r="K103" s="2583"/>
      <c r="L103" s="2583"/>
      <c r="M103" s="2583"/>
      <c r="N103" s="2583"/>
      <c r="O103" s="2583"/>
      <c r="P103" s="2583"/>
      <c r="Q103" s="2583"/>
      <c r="R103" s="2583"/>
      <c r="S103" s="2583"/>
      <c r="T103" s="2583"/>
      <c r="U103" s="2583"/>
      <c r="V103" s="2583"/>
      <c r="W103" s="2583"/>
      <c r="X103" s="2583"/>
      <c r="Y103" s="2583"/>
      <c r="Z103" s="2583"/>
      <c r="AA103" s="2583"/>
      <c r="AB103" s="2583"/>
      <c r="AC103" s="2583"/>
      <c r="AD103" s="2583"/>
      <c r="AE103" s="2583"/>
      <c r="AF103" s="2583"/>
      <c r="AG103" s="2583"/>
      <c r="AH103" s="2583"/>
      <c r="AI103" s="2583"/>
      <c r="AJ103" s="2583"/>
      <c r="AK103" s="2583"/>
      <c r="AL103" s="2583"/>
      <c r="AM103" s="2583"/>
      <c r="AN103" s="2583"/>
      <c r="AO103" s="2583"/>
      <c r="AP103" s="2583"/>
      <c r="AQ103" s="2583"/>
      <c r="AR103" s="2583"/>
      <c r="AS103" s="2583"/>
      <c r="AT103" s="2583"/>
      <c r="AU103" s="2583"/>
      <c r="AV103" s="2583"/>
      <c r="AW103" s="2583"/>
      <c r="AX103" s="187"/>
      <c r="AY103" s="187"/>
      <c r="AZ103" s="187"/>
      <c r="BA103" s="187"/>
      <c r="BB103" s="187"/>
      <c r="BC103" s="187"/>
      <c r="BD103" s="187"/>
      <c r="BE103" s="187"/>
      <c r="BF103" s="187"/>
      <c r="BG103" s="187"/>
      <c r="BH103" s="187"/>
      <c r="BI103" s="187"/>
      <c r="BJ103" s="194"/>
    </row>
    <row r="104" spans="1:64">
      <c r="B104" s="1502"/>
      <c r="C104" s="187" t="s">
        <v>48</v>
      </c>
      <c r="D104" s="187" t="str">
        <f>INDEX(Vectors[Description],MATCH($C104,Vectors[Code],0))</f>
        <v>Unallocated</v>
      </c>
      <c r="E104" s="187"/>
      <c r="F104" s="2576"/>
      <c r="G104" s="2576"/>
      <c r="H104" s="2595"/>
      <c r="I104" s="2595"/>
      <c r="J104" s="2595"/>
      <c r="K104" s="2595"/>
      <c r="L104" s="2595"/>
      <c r="M104" s="2595"/>
      <c r="N104" s="2595"/>
      <c r="O104" s="2595"/>
      <c r="P104" s="2595"/>
      <c r="Q104" s="2595"/>
      <c r="R104" s="2595"/>
      <c r="S104" s="2595"/>
      <c r="T104" s="2595"/>
      <c r="U104" s="2595"/>
      <c r="V104" s="2595"/>
      <c r="W104" s="2595"/>
      <c r="X104" s="2595"/>
      <c r="Y104" s="2595"/>
      <c r="Z104" s="2595"/>
      <c r="AA104" s="2595"/>
      <c r="AB104" s="2595"/>
      <c r="AC104" s="2595"/>
      <c r="AD104" s="2595"/>
      <c r="AE104" s="2595"/>
      <c r="AF104" s="2595"/>
      <c r="AG104" s="2595"/>
      <c r="AH104" s="2595"/>
      <c r="AI104" s="2595"/>
      <c r="AJ104" s="2595"/>
      <c r="AK104" s="2595"/>
      <c r="AL104" s="2595"/>
      <c r="AM104" s="2595"/>
      <c r="AN104" s="2595"/>
      <c r="AO104" s="2595"/>
      <c r="AP104" s="2595"/>
      <c r="AQ104" s="2595"/>
      <c r="AR104" s="2595"/>
      <c r="AS104" s="2595"/>
      <c r="AT104" s="2595"/>
      <c r="AU104" s="2595"/>
      <c r="AV104" s="2595"/>
      <c r="AW104" s="2595"/>
      <c r="AX104" s="187"/>
      <c r="AY104" s="2576">
        <f ca="1">INDEX(INDIRECT("'"&amp;AY$4&amp;"'!Year.NetBalance"), MATCH('Oil Story'!$C104, INDIRECT("'"&amp;AY$4&amp;"'!Year.Vectors"), 0))</f>
        <v>0</v>
      </c>
      <c r="AZ104" s="2576"/>
      <c r="BA104" s="2576">
        <f ca="1">INDEX(INDIRECT("'"&amp;BA$4&amp;"'!Year.NetBalance"), MATCH('Oil Story'!$C104, INDIRECT("'"&amp;BA$4&amp;"'!Year.Vectors"), 0))</f>
        <v>0</v>
      </c>
      <c r="BB104" s="2576">
        <f ca="1">INDEX(INDIRECT("'"&amp;BB$4&amp;"'!Year.NetBalance"), MATCH('Oil Story'!$C104, INDIRECT("'"&amp;BB$4&amp;"'!Year.Vectors"), 0))</f>
        <v>0</v>
      </c>
      <c r="BC104" s="2576">
        <f ca="1">INDEX(INDIRECT("'"&amp;BC$4&amp;"'!Year.NetBalance"), MATCH('Oil Story'!$C104, INDIRECT("'"&amp;BC$4&amp;"'!Year.Vectors"), 0))</f>
        <v>0</v>
      </c>
      <c r="BD104" s="2576">
        <f ca="1">INDEX(INDIRECT("'"&amp;BD$4&amp;"'!Year.NetBalance"), MATCH('Oil Story'!$C104, INDIRECT("'"&amp;BD$4&amp;"'!Year.Vectors"), 0))</f>
        <v>0</v>
      </c>
      <c r="BE104" s="2576">
        <f ca="1">INDEX(INDIRECT("'"&amp;BE$4&amp;"'!Year.NetBalance"), MATCH('Oil Story'!$C104, INDIRECT("'"&amp;BE$4&amp;"'!Year.Vectors"), 0))</f>
        <v>-9.0949470177292824E-12</v>
      </c>
      <c r="BF104" s="2576">
        <f ca="1">INDEX(INDIRECT("'"&amp;BF$4&amp;"'!Year.NetBalance"), MATCH('Oil Story'!$C104, INDIRECT("'"&amp;BF$4&amp;"'!Year.Vectors"), 0))</f>
        <v>0</v>
      </c>
      <c r="BG104" s="2576">
        <f ca="1">INDEX(INDIRECT("'"&amp;BG$4&amp;"'!Year.NetBalance"), MATCH('Oil Story'!$C104, INDIRECT("'"&amp;BG$4&amp;"'!Year.Vectors"), 0))</f>
        <v>0</v>
      </c>
      <c r="BH104" s="2576">
        <f ca="1">INDEX(INDIRECT("'"&amp;BH$4&amp;"'!Year.NetBalance"), MATCH('Oil Story'!$C104, INDIRECT("'"&amp;BH$4&amp;"'!Year.Vectors"), 0))</f>
        <v>0</v>
      </c>
      <c r="BI104" s="2576">
        <f ca="1">INDEX(INDIRECT("'"&amp;BI$4&amp;"'!Year.NetBalance"), MATCH('Oil Story'!$C104, INDIRECT("'"&amp;BI$4&amp;"'!Year.Vectors"), 0))</f>
        <v>0</v>
      </c>
      <c r="BJ104" s="2577"/>
      <c r="BK104" s="22"/>
    </row>
    <row r="105" spans="1:64" ht="4.5" customHeight="1">
      <c r="B105" s="193"/>
      <c r="C105" s="187"/>
      <c r="D105" s="187"/>
      <c r="E105" s="187"/>
      <c r="F105" s="2574"/>
      <c r="G105" s="2574"/>
      <c r="H105" s="2575"/>
      <c r="I105" s="2575"/>
      <c r="J105" s="2575"/>
      <c r="K105" s="2575"/>
      <c r="L105" s="2575"/>
      <c r="M105" s="2575"/>
      <c r="N105" s="2575"/>
      <c r="O105" s="2575"/>
      <c r="P105" s="2575"/>
      <c r="Q105" s="2575"/>
      <c r="R105" s="2575"/>
      <c r="S105" s="2575"/>
      <c r="T105" s="2575"/>
      <c r="U105" s="2575"/>
      <c r="V105" s="2575"/>
      <c r="W105" s="2575"/>
      <c r="X105" s="2575"/>
      <c r="Y105" s="2575"/>
      <c r="Z105" s="2575"/>
      <c r="AA105" s="2575"/>
      <c r="AB105" s="2575"/>
      <c r="AC105" s="2575"/>
      <c r="AD105" s="2575"/>
      <c r="AE105" s="2575"/>
      <c r="AF105" s="2575"/>
      <c r="AG105" s="2575"/>
      <c r="AH105" s="2575"/>
      <c r="AI105" s="2575"/>
      <c r="AJ105" s="2575"/>
      <c r="AK105" s="2575"/>
      <c r="AL105" s="2575"/>
      <c r="AM105" s="2575"/>
      <c r="AN105" s="2575"/>
      <c r="AO105" s="2575"/>
      <c r="AP105" s="2575"/>
      <c r="AQ105" s="2575"/>
      <c r="AR105" s="2575"/>
      <c r="AS105" s="2575"/>
      <c r="AT105" s="2575"/>
      <c r="AU105" s="2575"/>
      <c r="AV105" s="2575"/>
      <c r="AW105" s="2575"/>
      <c r="AX105" s="187"/>
      <c r="AY105" s="2576"/>
      <c r="AZ105" s="2576"/>
      <c r="BA105" s="2576"/>
      <c r="BB105" s="2576"/>
      <c r="BC105" s="2576"/>
      <c r="BD105" s="2576"/>
      <c r="BE105" s="2576"/>
      <c r="BF105" s="2576"/>
      <c r="BG105" s="2576"/>
      <c r="BH105" s="2576"/>
      <c r="BI105" s="2576"/>
      <c r="BJ105" s="194"/>
    </row>
    <row r="106" spans="1:64" s="51" customFormat="1">
      <c r="B106" s="193"/>
      <c r="C106" s="189"/>
      <c r="D106" s="2578" t="s">
        <v>1149</v>
      </c>
      <c r="E106" s="187"/>
      <c r="F106" s="2579"/>
      <c r="G106" s="2580"/>
      <c r="H106" s="2581"/>
      <c r="I106" s="2581"/>
      <c r="J106" s="2581"/>
      <c r="K106" s="2581"/>
      <c r="L106" s="2581"/>
      <c r="M106" s="2581"/>
      <c r="N106" s="2581"/>
      <c r="O106" s="2581"/>
      <c r="P106" s="2581"/>
      <c r="Q106" s="2581"/>
      <c r="R106" s="2581"/>
      <c r="S106" s="2581"/>
      <c r="T106" s="2581"/>
      <c r="U106" s="2581"/>
      <c r="V106" s="2581"/>
      <c r="W106" s="2581"/>
      <c r="X106" s="2581"/>
      <c r="Y106" s="2581"/>
      <c r="Z106" s="2581"/>
      <c r="AA106" s="2581"/>
      <c r="AB106" s="2581"/>
      <c r="AC106" s="2581"/>
      <c r="AD106" s="2581"/>
      <c r="AE106" s="2581"/>
      <c r="AF106" s="2581"/>
      <c r="AG106" s="2581"/>
      <c r="AH106" s="2581"/>
      <c r="AI106" s="2581"/>
      <c r="AJ106" s="2581"/>
      <c r="AK106" s="2581"/>
      <c r="AL106" s="2581"/>
      <c r="AM106" s="2581"/>
      <c r="AN106" s="2581"/>
      <c r="AO106" s="2581"/>
      <c r="AP106" s="2581"/>
      <c r="AQ106" s="2581"/>
      <c r="AR106" s="2581"/>
      <c r="AS106" s="2581"/>
      <c r="AT106" s="2581"/>
      <c r="AU106" s="2581"/>
      <c r="AV106" s="2581"/>
      <c r="AW106" s="2581"/>
      <c r="AX106" s="187"/>
      <c r="AY106" s="2579">
        <f ca="1">AY91+AY97+AY104</f>
        <v>4.5474735088646412E-13</v>
      </c>
      <c r="AZ106" s="2579"/>
      <c r="BA106" s="2579">
        <f t="shared" ref="BA106:BI106" ca="1" si="29">BA91+BA97+BA104</f>
        <v>0</v>
      </c>
      <c r="BB106" s="2579">
        <f t="shared" ca="1" si="29"/>
        <v>0</v>
      </c>
      <c r="BC106" s="2579">
        <f t="shared" ca="1" si="29"/>
        <v>-1.8189894035458565E-12</v>
      </c>
      <c r="BD106" s="2579">
        <f t="shared" ca="1" si="29"/>
        <v>1.8189894035458565E-12</v>
      </c>
      <c r="BE106" s="2579">
        <f t="shared" ca="1" si="29"/>
        <v>-1.2732925824820995E-11</v>
      </c>
      <c r="BF106" s="2579">
        <f t="shared" ca="1" si="29"/>
        <v>0</v>
      </c>
      <c r="BG106" s="2579">
        <f t="shared" ca="1" si="29"/>
        <v>0</v>
      </c>
      <c r="BH106" s="2579">
        <f t="shared" ca="1" si="29"/>
        <v>4.2064129956997931E-12</v>
      </c>
      <c r="BI106" s="2579">
        <f t="shared" ca="1" si="29"/>
        <v>-7.9403150721191196E-13</v>
      </c>
      <c r="BJ106" s="2596"/>
    </row>
    <row r="107" spans="1:64" s="242" customFormat="1">
      <c r="B107" s="631"/>
      <c r="C107" s="35"/>
      <c r="D107" s="35"/>
      <c r="E107" s="35"/>
      <c r="F107" s="35"/>
      <c r="G107" s="35"/>
      <c r="H107" s="1203"/>
      <c r="I107" s="1203"/>
      <c r="J107" s="1203"/>
      <c r="K107" s="1203"/>
      <c r="L107" s="1203"/>
      <c r="M107" s="1203"/>
      <c r="N107" s="1203"/>
      <c r="O107" s="1203"/>
      <c r="P107" s="1203"/>
      <c r="Q107" s="1203"/>
      <c r="R107" s="1203"/>
      <c r="S107" s="1203"/>
      <c r="T107" s="1203"/>
      <c r="U107" s="1203"/>
      <c r="V107" s="1203"/>
      <c r="W107" s="1203"/>
      <c r="X107" s="1203"/>
      <c r="Y107" s="1203"/>
      <c r="Z107" s="1203"/>
      <c r="AA107" s="1203"/>
      <c r="AB107" s="1203"/>
      <c r="AC107" s="1203"/>
      <c r="AD107" s="1203"/>
      <c r="AE107" s="1203"/>
      <c r="AF107" s="1203"/>
      <c r="AG107" s="1203"/>
      <c r="AH107" s="1203"/>
      <c r="AI107" s="1203"/>
      <c r="AJ107" s="1203"/>
      <c r="AK107" s="1203"/>
      <c r="AL107" s="1203"/>
      <c r="AM107" s="1203"/>
      <c r="AN107" s="1203"/>
      <c r="AO107" s="1203"/>
      <c r="AP107" s="1203"/>
      <c r="AQ107" s="1203"/>
      <c r="AR107" s="1203"/>
      <c r="AS107" s="1203"/>
      <c r="AT107" s="1203"/>
      <c r="AU107" s="1203"/>
      <c r="AV107" s="1203"/>
      <c r="AW107" s="1203"/>
      <c r="AX107" s="35"/>
      <c r="AY107" s="35"/>
      <c r="AZ107" s="35"/>
      <c r="BA107" s="35"/>
      <c r="BB107" s="35"/>
      <c r="BC107" s="35"/>
      <c r="BD107" s="35"/>
      <c r="BE107" s="35"/>
      <c r="BF107" s="35"/>
      <c r="BG107" s="35"/>
      <c r="BH107" s="35"/>
      <c r="BI107" s="35"/>
      <c r="BJ107" s="632"/>
    </row>
    <row r="108" spans="1:64" ht="22.5">
      <c r="A108" s="420"/>
      <c r="B108" s="1194" t="s">
        <v>401</v>
      </c>
      <c r="C108" s="1195"/>
      <c r="D108" s="1195"/>
      <c r="E108" s="1195"/>
      <c r="F108" s="1195"/>
      <c r="G108" s="1195"/>
      <c r="H108" s="1196"/>
      <c r="I108" s="1196"/>
      <c r="J108" s="1196"/>
      <c r="K108" s="1196"/>
      <c r="L108" s="1196"/>
      <c r="M108" s="1196"/>
      <c r="N108" s="1196"/>
      <c r="O108" s="1196"/>
      <c r="P108" s="1196"/>
      <c r="Q108" s="1196"/>
      <c r="R108" s="1196"/>
      <c r="S108" s="1196"/>
      <c r="T108" s="1196"/>
      <c r="U108" s="1196"/>
      <c r="V108" s="1196"/>
      <c r="W108" s="1196"/>
      <c r="X108" s="1196"/>
      <c r="Y108" s="1196"/>
      <c r="Z108" s="1196"/>
      <c r="AA108" s="1196"/>
      <c r="AB108" s="1196"/>
      <c r="AC108" s="1196"/>
      <c r="AD108" s="1196"/>
      <c r="AE108" s="1196"/>
      <c r="AF108" s="1196"/>
      <c r="AG108" s="1196"/>
      <c r="AH108" s="1196"/>
      <c r="AI108" s="1196"/>
      <c r="AJ108" s="1196"/>
      <c r="AK108" s="1196"/>
      <c r="AL108" s="1196"/>
      <c r="AM108" s="1196"/>
      <c r="AN108" s="1196"/>
      <c r="AO108" s="1196"/>
      <c r="AP108" s="1196"/>
      <c r="AQ108" s="1196"/>
      <c r="AR108" s="1196"/>
      <c r="AS108" s="1196"/>
      <c r="AT108" s="1196"/>
      <c r="AU108" s="1196"/>
      <c r="AV108" s="1196"/>
      <c r="AW108" s="1196"/>
      <c r="AX108" s="1195"/>
      <c r="AY108" s="1197"/>
      <c r="AZ108" s="1197"/>
      <c r="BA108" s="1197"/>
      <c r="BB108" s="1197"/>
      <c r="BC108" s="1197"/>
      <c r="BD108" s="1197"/>
      <c r="BE108" s="1197"/>
      <c r="BF108" s="1197"/>
      <c r="BG108" s="1197"/>
      <c r="BH108" s="1197"/>
      <c r="BI108" s="1197"/>
      <c r="BJ108" s="1198"/>
    </row>
    <row r="109" spans="1:64" s="242" customFormat="1">
      <c r="A109" s="1204"/>
      <c r="B109" s="193"/>
      <c r="C109" s="187"/>
      <c r="D109" s="191"/>
      <c r="E109" s="191"/>
      <c r="F109" s="191"/>
      <c r="G109" s="191"/>
      <c r="H109" s="2570"/>
      <c r="I109" s="2570"/>
      <c r="J109" s="2570"/>
      <c r="K109" s="2570"/>
      <c r="L109" s="2570"/>
      <c r="M109" s="2570"/>
      <c r="N109" s="2570"/>
      <c r="O109" s="2570"/>
      <c r="P109" s="2570"/>
      <c r="Q109" s="2570"/>
      <c r="R109" s="2570"/>
      <c r="S109" s="2570"/>
      <c r="T109" s="2570"/>
      <c r="U109" s="2570"/>
      <c r="V109" s="2570"/>
      <c r="W109" s="2570"/>
      <c r="X109" s="2570"/>
      <c r="Y109" s="2570"/>
      <c r="Z109" s="2570"/>
      <c r="AA109" s="2570"/>
      <c r="AB109" s="2570"/>
      <c r="AC109" s="2570"/>
      <c r="AD109" s="2570"/>
      <c r="AE109" s="2570"/>
      <c r="AF109" s="2570"/>
      <c r="AG109" s="2570"/>
      <c r="AH109" s="2570"/>
      <c r="AI109" s="2570"/>
      <c r="AJ109" s="2570"/>
      <c r="AK109" s="2570"/>
      <c r="AL109" s="2570"/>
      <c r="AM109" s="2570"/>
      <c r="AN109" s="2570"/>
      <c r="AO109" s="2570"/>
      <c r="AP109" s="2570"/>
      <c r="AQ109" s="2570"/>
      <c r="AR109" s="2570"/>
      <c r="AS109" s="2570"/>
      <c r="AT109" s="2570"/>
      <c r="AU109" s="2570"/>
      <c r="AV109" s="2570"/>
      <c r="AW109" s="2570"/>
      <c r="AX109" s="191"/>
      <c r="AY109" s="2571"/>
      <c r="AZ109" s="2576"/>
      <c r="BA109" s="2576"/>
      <c r="BB109" s="2576"/>
      <c r="BC109" s="2576"/>
      <c r="BD109" s="2576"/>
      <c r="BE109" s="2576"/>
      <c r="BF109" s="2576"/>
      <c r="BG109" s="2576"/>
      <c r="BH109" s="2576"/>
      <c r="BI109" s="2576"/>
      <c r="BJ109" s="2577"/>
    </row>
    <row r="110" spans="1:64" ht="15.75">
      <c r="B110" s="2573"/>
      <c r="C110" s="187" t="s">
        <v>35</v>
      </c>
      <c r="D110" s="2600" t="str">
        <f>preferences.energyunits&amp;"/year"</f>
        <v>TWh/year</v>
      </c>
      <c r="E110" s="187"/>
      <c r="F110" s="2600"/>
      <c r="G110" s="187"/>
      <c r="H110" s="2583"/>
      <c r="I110" s="2583"/>
      <c r="J110" s="2583"/>
      <c r="K110" s="2583"/>
      <c r="L110" s="2583"/>
      <c r="M110" s="2583"/>
      <c r="N110" s="2583"/>
      <c r="O110" s="2583"/>
      <c r="P110" s="2583"/>
      <c r="Q110" s="2583"/>
      <c r="R110" s="2583"/>
      <c r="S110" s="2583"/>
      <c r="T110" s="2583"/>
      <c r="U110" s="2583"/>
      <c r="V110" s="2583"/>
      <c r="W110" s="2583"/>
      <c r="X110" s="2583"/>
      <c r="Y110" s="2583"/>
      <c r="Z110" s="2583"/>
      <c r="AA110" s="2583"/>
      <c r="AB110" s="2583"/>
      <c r="AC110" s="2583"/>
      <c r="AD110" s="2583"/>
      <c r="AE110" s="2583"/>
      <c r="AF110" s="2583"/>
      <c r="AG110" s="2583"/>
      <c r="AH110" s="2583"/>
      <c r="AI110" s="2583"/>
      <c r="AJ110" s="2583"/>
      <c r="AK110" s="2583"/>
      <c r="AL110" s="2583"/>
      <c r="AM110" s="2583"/>
      <c r="AN110" s="2583"/>
      <c r="AO110" s="2583"/>
      <c r="AP110" s="2583"/>
      <c r="AQ110" s="2583"/>
      <c r="AR110" s="2583"/>
      <c r="AS110" s="2583"/>
      <c r="AT110" s="2583"/>
      <c r="AU110" s="2583"/>
      <c r="AV110" s="2583"/>
      <c r="AW110" s="2583"/>
      <c r="AX110" s="187"/>
      <c r="AY110" s="2601">
        <v>2007</v>
      </c>
      <c r="AZ110" s="2601"/>
      <c r="BA110" s="2601">
        <f>AY110+5</f>
        <v>2012</v>
      </c>
      <c r="BB110" s="2601">
        <f t="shared" ref="BB110:BI110" si="30">BA110+5</f>
        <v>2017</v>
      </c>
      <c r="BC110" s="2601">
        <f t="shared" si="30"/>
        <v>2022</v>
      </c>
      <c r="BD110" s="2601">
        <f t="shared" si="30"/>
        <v>2027</v>
      </c>
      <c r="BE110" s="2601">
        <f t="shared" si="30"/>
        <v>2032</v>
      </c>
      <c r="BF110" s="2601">
        <f t="shared" si="30"/>
        <v>2037</v>
      </c>
      <c r="BG110" s="2601">
        <f t="shared" si="30"/>
        <v>2042</v>
      </c>
      <c r="BH110" s="2601">
        <f t="shared" si="30"/>
        <v>2047</v>
      </c>
      <c r="BI110" s="2601">
        <f t="shared" si="30"/>
        <v>2052</v>
      </c>
      <c r="BJ110" s="194"/>
    </row>
    <row r="111" spans="1:64" ht="15.75">
      <c r="B111" s="2597"/>
      <c r="C111" s="1503" t="s">
        <v>248</v>
      </c>
      <c r="D111" s="187" t="str">
        <f>INDEX(Modules[Module], MATCH($C111, Modules[Code], 0))</f>
        <v>Gas Power Stations</v>
      </c>
      <c r="E111" s="1503"/>
      <c r="F111" s="2576"/>
      <c r="G111" s="2576"/>
      <c r="H111" s="2595"/>
      <c r="I111" s="2595"/>
      <c r="J111" s="2595"/>
      <c r="K111" s="2595"/>
      <c r="L111" s="2595"/>
      <c r="M111" s="2595"/>
      <c r="N111" s="2595"/>
      <c r="O111" s="2595"/>
      <c r="P111" s="2595"/>
      <c r="Q111" s="2595"/>
      <c r="R111" s="2595"/>
      <c r="S111" s="2595"/>
      <c r="T111" s="2595"/>
      <c r="U111" s="2595"/>
      <c r="V111" s="2595"/>
      <c r="W111" s="2595"/>
      <c r="X111" s="2595"/>
      <c r="Y111" s="2595"/>
      <c r="Z111" s="2595"/>
      <c r="AA111" s="2595"/>
      <c r="AB111" s="2595"/>
      <c r="AC111" s="2595"/>
      <c r="AD111" s="2595"/>
      <c r="AE111" s="2595"/>
      <c r="AF111" s="2595"/>
      <c r="AG111" s="2595"/>
      <c r="AH111" s="2595">
        <f>221.2*Unit.TWh</f>
        <v>221.2</v>
      </c>
      <c r="AI111" s="2595">
        <f>214.6*Unit.TWh</f>
        <v>214.6</v>
      </c>
      <c r="AJ111" s="2595">
        <f>221.2*Unit.TWh</f>
        <v>221.2</v>
      </c>
      <c r="AK111" s="2595">
        <f>226.3*Unit.TWh</f>
        <v>226.3</v>
      </c>
      <c r="AL111" s="2595">
        <f>241.6*Unit.TWh</f>
        <v>241.6</v>
      </c>
      <c r="AM111" s="2595">
        <f>248.5*Unit.TWh</f>
        <v>248.5</v>
      </c>
      <c r="AN111" s="2595">
        <f>250.7*Unit.TWh</f>
        <v>250.7</v>
      </c>
      <c r="AO111" s="2595">
        <f>258.7*Unit.TWh</f>
        <v>258.7</v>
      </c>
      <c r="AP111" s="2595">
        <f>262.6*Unit.TWh</f>
        <v>262.60000000000002</v>
      </c>
      <c r="AQ111" s="2595">
        <f>264.2*Unit.TWh</f>
        <v>264.2</v>
      </c>
      <c r="AR111" s="2595">
        <f>267.6*Unit.TWh</f>
        <v>267.60000000000002</v>
      </c>
      <c r="AS111" s="2595">
        <f>276.5*Unit.TWh</f>
        <v>276.5</v>
      </c>
      <c r="AT111" s="2595">
        <f>279.3*Unit.TWh</f>
        <v>279.3</v>
      </c>
      <c r="AU111" s="2595">
        <f>250.1*Unit.TWh</f>
        <v>250.1</v>
      </c>
      <c r="AV111" s="2595">
        <f>263.1*Unit.TWh</f>
        <v>263.10000000000002</v>
      </c>
      <c r="AW111" s="2595" t="s">
        <v>1150</v>
      </c>
      <c r="AX111" s="1503"/>
      <c r="AY111" s="2576">
        <f ca="1">INDEX(INDIRECT("'"&amp;AY$4&amp;"'!Year.Matrix"), MATCH($C111, INDIRECT("'"&amp;AY$4&amp;"'!Year.Modules"), 0), MATCH($C$110, INDIRECT("'"&amp;AY$4&amp;"'!Year.Vectors"), 0))</f>
        <v>64.008837597600007</v>
      </c>
      <c r="AZ111" s="2576"/>
      <c r="BA111" s="2576">
        <f t="shared" ref="BA111:BI114" ca="1" si="31">INDEX(INDIRECT("'"&amp;BA$4&amp;"'!Year.Matrix"), MATCH($C111, INDIRECT("'"&amp;BA$4&amp;"'!Year.Modules"), 0), MATCH($C$110, INDIRECT("'"&amp;BA$4&amp;"'!Year.Vectors"), 0))</f>
        <v>96.596143677000001</v>
      </c>
      <c r="BB111" s="2576">
        <f t="shared" ca="1" si="31"/>
        <v>109.8605340414</v>
      </c>
      <c r="BC111" s="2576">
        <f t="shared" ca="1" si="31"/>
        <v>109.8605340414</v>
      </c>
      <c r="BD111" s="2576">
        <f t="shared" ca="1" si="31"/>
        <v>109.8605340414</v>
      </c>
      <c r="BE111" s="2576">
        <f t="shared" ca="1" si="31"/>
        <v>109.8605340414</v>
      </c>
      <c r="BF111" s="2576">
        <f t="shared" ca="1" si="31"/>
        <v>109.8605340414</v>
      </c>
      <c r="BG111" s="2576">
        <f t="shared" ca="1" si="31"/>
        <v>109.8605340414</v>
      </c>
      <c r="BH111" s="2576">
        <f t="shared" ca="1" si="31"/>
        <v>109.8605340414</v>
      </c>
      <c r="BI111" s="2576">
        <f t="shared" ca="1" si="31"/>
        <v>109.8605340414</v>
      </c>
      <c r="BJ111" s="194"/>
      <c r="BL111" s="15"/>
    </row>
    <row r="112" spans="1:64" s="410" customFormat="1">
      <c r="B112" s="193"/>
      <c r="C112" s="2598" t="s">
        <v>278</v>
      </c>
      <c r="D112" s="187" t="str">
        <f>INDEX(Modules[Module], MATCH($C112, Modules[Code], 0))</f>
        <v>Coal power stations</v>
      </c>
      <c r="E112" s="1503"/>
      <c r="F112" s="2602"/>
      <c r="G112" s="2602"/>
      <c r="H112" s="2603"/>
      <c r="I112" s="2603"/>
      <c r="J112" s="2603"/>
      <c r="K112" s="2603"/>
      <c r="L112" s="2603"/>
      <c r="M112" s="2603"/>
      <c r="N112" s="2603"/>
      <c r="O112" s="2603"/>
      <c r="P112" s="2603"/>
      <c r="Q112" s="2603"/>
      <c r="R112" s="2603"/>
      <c r="S112" s="2603"/>
      <c r="T112" s="2603"/>
      <c r="U112" s="2603"/>
      <c r="V112" s="2603"/>
      <c r="W112" s="2603"/>
      <c r="X112" s="2603"/>
      <c r="Y112" s="2603"/>
      <c r="Z112" s="2603"/>
      <c r="AA112" s="2603"/>
      <c r="AB112" s="2603"/>
      <c r="AC112" s="2603"/>
      <c r="AD112" s="2603"/>
      <c r="AE112" s="2603"/>
      <c r="AF112" s="2603"/>
      <c r="AG112" s="2603"/>
      <c r="AH112" s="2603"/>
      <c r="AI112" s="2603"/>
      <c r="AJ112" s="2603"/>
      <c r="AK112" s="2603"/>
      <c r="AL112" s="2603"/>
      <c r="AM112" s="2603"/>
      <c r="AN112" s="2603"/>
      <c r="AO112" s="2603"/>
      <c r="AP112" s="2603"/>
      <c r="AQ112" s="2603"/>
      <c r="AR112" s="2603"/>
      <c r="AS112" s="2603"/>
      <c r="AT112" s="2603"/>
      <c r="AU112" s="2603"/>
      <c r="AV112" s="2603"/>
      <c r="AW112" s="2603"/>
      <c r="AX112" s="1503"/>
      <c r="AY112" s="2602">
        <f ca="1">INDEX(INDIRECT("'"&amp;AY$4&amp;"'!Year.Matrix"), MATCH($C112, INDIRECT("'"&amp;AY$4&amp;"'!Year.Modules"), 0), MATCH($C$110, INDIRECT("'"&amp;AY$4&amp;"'!Year.Vectors"), 0))</f>
        <v>489.68979840000003</v>
      </c>
      <c r="AZ112" s="2602"/>
      <c r="BA112" s="2602">
        <f t="shared" ca="1" si="31"/>
        <v>710.86285644904808</v>
      </c>
      <c r="BB112" s="2602">
        <f t="shared" ca="1" si="31"/>
        <v>987.43322456128158</v>
      </c>
      <c r="BC112" s="2602">
        <f t="shared" ca="1" si="31"/>
        <v>936.05697418960165</v>
      </c>
      <c r="BD112" s="2602">
        <f t="shared" ca="1" si="31"/>
        <v>857.50498844560173</v>
      </c>
      <c r="BE112" s="2602">
        <f t="shared" ca="1" si="31"/>
        <v>774.08352476560174</v>
      </c>
      <c r="BF112" s="2602">
        <f t="shared" ca="1" si="31"/>
        <v>711.69800024920607</v>
      </c>
      <c r="BG112" s="2602">
        <f t="shared" ca="1" si="31"/>
        <v>631.66170278920595</v>
      </c>
      <c r="BH112" s="2602">
        <f t="shared" ca="1" si="31"/>
        <v>563.12045398120586</v>
      </c>
      <c r="BI112" s="2602">
        <f t="shared" ca="1" si="31"/>
        <v>336.94328475400596</v>
      </c>
      <c r="BJ112" s="2604"/>
      <c r="BL112" s="1205"/>
    </row>
    <row r="113" spans="2:64" s="410" customFormat="1">
      <c r="B113" s="193"/>
      <c r="C113" s="2598" t="s">
        <v>696</v>
      </c>
      <c r="D113" s="187" t="str">
        <f>INDEX(Modules[Module], MATCH($C113, Modules[Code], 0))</f>
        <v>Carbon Capture Storage (CCS)</v>
      </c>
      <c r="E113" s="1503"/>
      <c r="F113" s="2602"/>
      <c r="G113" s="2602"/>
      <c r="H113" s="2603"/>
      <c r="I113" s="2603"/>
      <c r="J113" s="2603"/>
      <c r="K113" s="2603"/>
      <c r="L113" s="2603"/>
      <c r="M113" s="2603"/>
      <c r="N113" s="2603"/>
      <c r="O113" s="2603"/>
      <c r="P113" s="2603"/>
      <c r="Q113" s="2603"/>
      <c r="R113" s="2603"/>
      <c r="S113" s="2603"/>
      <c r="T113" s="2603"/>
      <c r="U113" s="2603"/>
      <c r="V113" s="2603"/>
      <c r="W113" s="2603"/>
      <c r="X113" s="2603"/>
      <c r="Y113" s="2603"/>
      <c r="Z113" s="2603"/>
      <c r="AA113" s="2603"/>
      <c r="AB113" s="2603"/>
      <c r="AC113" s="2603"/>
      <c r="AD113" s="2603"/>
      <c r="AE113" s="2603"/>
      <c r="AF113" s="2603"/>
      <c r="AG113" s="2603"/>
      <c r="AH113" s="2603"/>
      <c r="AI113" s="2603"/>
      <c r="AJ113" s="2603"/>
      <c r="AK113" s="2603"/>
      <c r="AL113" s="2603"/>
      <c r="AM113" s="2603"/>
      <c r="AN113" s="2603"/>
      <c r="AO113" s="2603"/>
      <c r="AP113" s="2603"/>
      <c r="AQ113" s="2603"/>
      <c r="AR113" s="2603"/>
      <c r="AS113" s="2603"/>
      <c r="AT113" s="2603"/>
      <c r="AU113" s="2603"/>
      <c r="AV113" s="2603"/>
      <c r="AW113" s="2603"/>
      <c r="AX113" s="1503"/>
      <c r="AY113" s="2602">
        <f ca="1">INDEX(INDIRECT("'"&amp;AY$4&amp;"'!Year.Matrix"), MATCH($C113, INDIRECT("'"&amp;AY$4&amp;"'!Year.Modules"), 0), MATCH($C$110, INDIRECT("'"&amp;AY$4&amp;"'!Year.Vectors"), 0))</f>
        <v>0</v>
      </c>
      <c r="AZ113" s="2602"/>
      <c r="BA113" s="2602">
        <f t="shared" ca="1" si="31"/>
        <v>0</v>
      </c>
      <c r="BB113" s="2602">
        <f t="shared" ca="1" si="31"/>
        <v>0</v>
      </c>
      <c r="BC113" s="2602">
        <f t="shared" ca="1" si="31"/>
        <v>0</v>
      </c>
      <c r="BD113" s="2602">
        <f t="shared" ca="1" si="31"/>
        <v>0</v>
      </c>
      <c r="BE113" s="2602">
        <f t="shared" ca="1" si="31"/>
        <v>2.5772040000000001</v>
      </c>
      <c r="BF113" s="2602">
        <f t="shared" ca="1" si="31"/>
        <v>6.1362000000000005</v>
      </c>
      <c r="BG113" s="2602">
        <f t="shared" ca="1" si="31"/>
        <v>14.358708</v>
      </c>
      <c r="BH113" s="2602">
        <f t="shared" ca="1" si="31"/>
        <v>19.513116000000004</v>
      </c>
      <c r="BI113" s="2602">
        <f t="shared" ca="1" si="31"/>
        <v>27.244728000000002</v>
      </c>
      <c r="BJ113" s="2604"/>
      <c r="BL113" s="1205"/>
    </row>
    <row r="114" spans="2:64" s="410" customFormat="1">
      <c r="B114" s="2599"/>
      <c r="C114" s="2598" t="s">
        <v>1819</v>
      </c>
      <c r="D114" s="187" t="str">
        <f>INDEX(Modules[Module], MATCH($C114, Modules[Code], 0))</f>
        <v>Electricity Balancing Requirement</v>
      </c>
      <c r="E114" s="1503"/>
      <c r="F114" s="2602"/>
      <c r="G114" s="2602"/>
      <c r="H114" s="2603"/>
      <c r="I114" s="2603"/>
      <c r="J114" s="2603"/>
      <c r="K114" s="2603"/>
      <c r="L114" s="2603"/>
      <c r="M114" s="2603"/>
      <c r="N114" s="2603"/>
      <c r="O114" s="2603"/>
      <c r="P114" s="2603"/>
      <c r="Q114" s="2603"/>
      <c r="R114" s="2603"/>
      <c r="S114" s="2603"/>
      <c r="T114" s="2603"/>
      <c r="U114" s="2603"/>
      <c r="V114" s="2603"/>
      <c r="W114" s="2603"/>
      <c r="X114" s="2603"/>
      <c r="Y114" s="2603"/>
      <c r="Z114" s="2603"/>
      <c r="AA114" s="2603"/>
      <c r="AB114" s="2603"/>
      <c r="AC114" s="2603"/>
      <c r="AD114" s="2603"/>
      <c r="AE114" s="2603"/>
      <c r="AF114" s="2603"/>
      <c r="AG114" s="2603"/>
      <c r="AH114" s="2603">
        <f>221.2*Unit.TWh</f>
        <v>221.2</v>
      </c>
      <c r="AI114" s="2603">
        <f>214.6*Unit.TWh</f>
        <v>214.6</v>
      </c>
      <c r="AJ114" s="2603">
        <f>221.2*Unit.TWh</f>
        <v>221.2</v>
      </c>
      <c r="AK114" s="2603">
        <f>226.3*Unit.TWh</f>
        <v>226.3</v>
      </c>
      <c r="AL114" s="2603">
        <f>241.6*Unit.TWh</f>
        <v>241.6</v>
      </c>
      <c r="AM114" s="2603">
        <f>248.5*Unit.TWh</f>
        <v>248.5</v>
      </c>
      <c r="AN114" s="2603">
        <f>250.7*Unit.TWh</f>
        <v>250.7</v>
      </c>
      <c r="AO114" s="2603">
        <f>258.7*Unit.TWh</f>
        <v>258.7</v>
      </c>
      <c r="AP114" s="2603">
        <f>262.6*Unit.TWh</f>
        <v>262.60000000000002</v>
      </c>
      <c r="AQ114" s="2603">
        <f>264.2*Unit.TWh</f>
        <v>264.2</v>
      </c>
      <c r="AR114" s="2603">
        <f>267.6*Unit.TWh</f>
        <v>267.60000000000002</v>
      </c>
      <c r="AS114" s="2603">
        <f>276.5*Unit.TWh</f>
        <v>276.5</v>
      </c>
      <c r="AT114" s="2603">
        <f>279.3*Unit.TWh</f>
        <v>279.3</v>
      </c>
      <c r="AU114" s="2603">
        <f>250.1*Unit.TWh</f>
        <v>250.1</v>
      </c>
      <c r="AV114" s="2603">
        <f>263.1*Unit.TWh</f>
        <v>263.10000000000002</v>
      </c>
      <c r="AW114" s="2603" t="s">
        <v>1135</v>
      </c>
      <c r="AX114" s="2602">
        <f>AX111+AX112+AX113</f>
        <v>0</v>
      </c>
      <c r="AY114" s="2602">
        <f ca="1">INDEX(INDIRECT("'"&amp;AY$4&amp;"'!Year.Matrix"), MATCH($C114, INDIRECT("'"&amp;AY$4&amp;"'!Year.Modules"), 0), MATCH($C$110, INDIRECT("'"&amp;AY$4&amp;"'!Year.Vectors"), 0))</f>
        <v>57.253185663040085</v>
      </c>
      <c r="AZ114" s="2602"/>
      <c r="BA114" s="2602">
        <f t="shared" ca="1" si="31"/>
        <v>2.5585518968521228</v>
      </c>
      <c r="BB114" s="2602">
        <f t="shared" ca="1" si="31"/>
        <v>26.676280792411944</v>
      </c>
      <c r="BC114" s="2602">
        <f t="shared" ca="1" si="31"/>
        <v>633.96028414856255</v>
      </c>
      <c r="BD114" s="2602">
        <f t="shared" ca="1" si="31"/>
        <v>1436.0672738769088</v>
      </c>
      <c r="BE114" s="2602">
        <f t="shared" ca="1" si="31"/>
        <v>2499.5140421615743</v>
      </c>
      <c r="BF114" s="2602">
        <f t="shared" ca="1" si="31"/>
        <v>3442.540621324436</v>
      </c>
      <c r="BG114" s="2602">
        <f t="shared" ca="1" si="31"/>
        <v>4538.886109711163</v>
      </c>
      <c r="BH114" s="2602">
        <f t="shared" ca="1" si="31"/>
        <v>5541.1197894407087</v>
      </c>
      <c r="BI114" s="2602">
        <f t="shared" ca="1" si="31"/>
        <v>6841.2588476361761</v>
      </c>
      <c r="BJ114" s="2604"/>
      <c r="BL114" s="1205"/>
    </row>
    <row r="115" spans="2:64" s="410" customFormat="1">
      <c r="B115" s="2599"/>
      <c r="C115" s="2598"/>
      <c r="D115" s="186" t="s">
        <v>1947</v>
      </c>
      <c r="E115" s="1503"/>
      <c r="F115" s="2602"/>
      <c r="G115" s="2602"/>
      <c r="H115" s="2603"/>
      <c r="I115" s="2603"/>
      <c r="J115" s="2603"/>
      <c r="K115" s="2603"/>
      <c r="L115" s="2603"/>
      <c r="M115" s="2603"/>
      <c r="N115" s="2603"/>
      <c r="O115" s="2603"/>
      <c r="P115" s="2603"/>
      <c r="Q115" s="2603"/>
      <c r="R115" s="2603"/>
      <c r="S115" s="2603"/>
      <c r="T115" s="2603"/>
      <c r="U115" s="2603"/>
      <c r="V115" s="2603"/>
      <c r="W115" s="2603"/>
      <c r="X115" s="2603"/>
      <c r="Y115" s="2603"/>
      <c r="Z115" s="2603"/>
      <c r="AA115" s="2603"/>
      <c r="AB115" s="2603"/>
      <c r="AC115" s="2603"/>
      <c r="AD115" s="2603"/>
      <c r="AE115" s="2603"/>
      <c r="AF115" s="2603"/>
      <c r="AG115" s="2603"/>
      <c r="AH115" s="2603"/>
      <c r="AI115" s="2603"/>
      <c r="AJ115" s="2603"/>
      <c r="AK115" s="2603"/>
      <c r="AL115" s="2603"/>
      <c r="AM115" s="2603"/>
      <c r="AN115" s="2603"/>
      <c r="AO115" s="2603"/>
      <c r="AP115" s="2603"/>
      <c r="AQ115" s="2603"/>
      <c r="AR115" s="2603"/>
      <c r="AS115" s="2603"/>
      <c r="AT115" s="2603"/>
      <c r="AU115" s="2603"/>
      <c r="AV115" s="2603"/>
      <c r="AW115" s="2603"/>
      <c r="AX115" s="2602"/>
      <c r="AY115" s="2602">
        <f ca="1">SUM(AY111:AY114)</f>
        <v>610.95182166064012</v>
      </c>
      <c r="AZ115" s="2602"/>
      <c r="BA115" s="2602">
        <f t="shared" ref="BA115:BI115" ca="1" si="32">SUM(BA111:BA114)</f>
        <v>810.01755202290019</v>
      </c>
      <c r="BB115" s="2602">
        <f t="shared" ca="1" si="32"/>
        <v>1123.9700393950934</v>
      </c>
      <c r="BC115" s="2602">
        <f t="shared" ca="1" si="32"/>
        <v>1679.8777923795642</v>
      </c>
      <c r="BD115" s="2602">
        <f t="shared" ca="1" si="32"/>
        <v>2403.4327963639107</v>
      </c>
      <c r="BE115" s="2602">
        <f t="shared" ca="1" si="32"/>
        <v>3386.0353049685759</v>
      </c>
      <c r="BF115" s="2602">
        <f t="shared" ca="1" si="32"/>
        <v>4270.235355615042</v>
      </c>
      <c r="BG115" s="2602">
        <f t="shared" ca="1" si="32"/>
        <v>5294.7670545417686</v>
      </c>
      <c r="BH115" s="2602">
        <f t="shared" ca="1" si="32"/>
        <v>6233.6138934633145</v>
      </c>
      <c r="BI115" s="2602">
        <f t="shared" ca="1" si="32"/>
        <v>7315.307394431582</v>
      </c>
      <c r="BJ115" s="2604"/>
      <c r="BL115" s="1205"/>
    </row>
    <row r="116" spans="2:64">
      <c r="B116" s="2599"/>
      <c r="C116" s="1503" t="s">
        <v>61</v>
      </c>
      <c r="D116" s="187" t="str">
        <f>INDEX(Modules[Module], MATCH($C116, Modules[Code], 0))</f>
        <v>Nuclear power</v>
      </c>
      <c r="E116" s="1503"/>
      <c r="F116" s="2576"/>
      <c r="G116" s="2576"/>
      <c r="H116" s="2595"/>
      <c r="I116" s="2595"/>
      <c r="J116" s="2595"/>
      <c r="K116" s="2595"/>
      <c r="L116" s="2595"/>
      <c r="M116" s="2595"/>
      <c r="N116" s="2595"/>
      <c r="O116" s="2595"/>
      <c r="P116" s="2595"/>
      <c r="Q116" s="2595"/>
      <c r="R116" s="2595"/>
      <c r="S116" s="2595"/>
      <c r="T116" s="2595"/>
      <c r="U116" s="2595"/>
      <c r="V116" s="2595"/>
      <c r="W116" s="2595"/>
      <c r="X116" s="2595"/>
      <c r="Y116" s="2595"/>
      <c r="Z116" s="2595"/>
      <c r="AA116" s="2595"/>
      <c r="AB116" s="2595"/>
      <c r="AC116" s="2595"/>
      <c r="AD116" s="2595"/>
      <c r="AE116" s="2595"/>
      <c r="AF116" s="2595"/>
      <c r="AG116" s="2595"/>
      <c r="AH116" s="2595"/>
      <c r="AI116" s="2595"/>
      <c r="AJ116" s="2595"/>
      <c r="AK116" s="2595"/>
      <c r="AL116" s="2595"/>
      <c r="AM116" s="2595"/>
      <c r="AN116" s="2595"/>
      <c r="AO116" s="2595"/>
      <c r="AP116" s="2595"/>
      <c r="AQ116" s="2595"/>
      <c r="AR116" s="2595"/>
      <c r="AS116" s="2595"/>
      <c r="AT116" s="2595"/>
      <c r="AU116" s="2595"/>
      <c r="AV116" s="2595"/>
      <c r="AW116" s="2595"/>
      <c r="AX116" s="1503"/>
      <c r="AY116" s="2576">
        <f ca="1">INDEX(INDIRECT("'"&amp;AY$4&amp;"'!Year.Matrix"), MATCH($C116, INDIRECT("'"&amp;AY$4&amp;"'!Year.Modules"), 0), MATCH($C$110, INDIRECT("'"&amp;AY$4&amp;"'!Year.Vectors"), 0))</f>
        <v>28.331712000000003</v>
      </c>
      <c r="AZ116" s="2576"/>
      <c r="BA116" s="2576">
        <f t="shared" ref="BA116:BI117" ca="1" si="33">INDEX(INDIRECT("'"&amp;BA$4&amp;"'!Year.Matrix"), MATCH($C116, INDIRECT("'"&amp;BA$4&amp;"'!Year.Modules"), 0), MATCH($C$110, INDIRECT("'"&amp;BA$4&amp;"'!Year.Vectors"), 0))</f>
        <v>32.819904000000001</v>
      </c>
      <c r="BB116" s="2576">
        <f t="shared" ca="1" si="33"/>
        <v>69.987744000000006</v>
      </c>
      <c r="BC116" s="2576">
        <f t="shared" ca="1" si="33"/>
        <v>67.743648000000007</v>
      </c>
      <c r="BD116" s="2576">
        <f t="shared" ca="1" si="33"/>
        <v>67.743648000000007</v>
      </c>
      <c r="BE116" s="2576">
        <f t="shared" ca="1" si="33"/>
        <v>66.341088000000013</v>
      </c>
      <c r="BF116" s="2576">
        <f t="shared" ca="1" si="33"/>
        <v>63.255456000000002</v>
      </c>
      <c r="BG116" s="2576">
        <f t="shared" ca="1" si="33"/>
        <v>61.712640000000007</v>
      </c>
      <c r="BH116" s="2576">
        <f t="shared" ca="1" si="33"/>
        <v>58.627007999999996</v>
      </c>
      <c r="BI116" s="2576">
        <f t="shared" ca="1" si="33"/>
        <v>58.627007999999996</v>
      </c>
      <c r="BJ116" s="194"/>
      <c r="BL116" s="15"/>
    </row>
    <row r="117" spans="2:64">
      <c r="B117" s="2599"/>
      <c r="C117" s="1503" t="s">
        <v>62</v>
      </c>
      <c r="D117" s="187" t="str">
        <f>INDEX(Modules[Module], MATCH($C117, Modules[Code], 0))</f>
        <v>Hydro Power Generation</v>
      </c>
      <c r="E117" s="1503"/>
      <c r="F117" s="2576"/>
      <c r="G117" s="2576"/>
      <c r="H117" s="2595"/>
      <c r="I117" s="2595"/>
      <c r="J117" s="2595"/>
      <c r="K117" s="2595"/>
      <c r="L117" s="2595"/>
      <c r="M117" s="2595"/>
      <c r="N117" s="2595"/>
      <c r="O117" s="2595"/>
      <c r="P117" s="2595"/>
      <c r="Q117" s="2595"/>
      <c r="R117" s="2595"/>
      <c r="S117" s="2595"/>
      <c r="T117" s="2595"/>
      <c r="U117" s="2595"/>
      <c r="V117" s="2595"/>
      <c r="W117" s="2595"/>
      <c r="X117" s="2595"/>
      <c r="Y117" s="2595"/>
      <c r="Z117" s="2595"/>
      <c r="AA117" s="2595"/>
      <c r="AB117" s="2595"/>
      <c r="AC117" s="2595"/>
      <c r="AD117" s="2595"/>
      <c r="AE117" s="2595"/>
      <c r="AF117" s="2595"/>
      <c r="AG117" s="2595"/>
      <c r="AH117" s="2595">
        <f>85.8*Unit.TWh</f>
        <v>85.8</v>
      </c>
      <c r="AI117" s="2595">
        <f>89.3*Unit.TWh</f>
        <v>89.3</v>
      </c>
      <c r="AJ117" s="2595">
        <f>90.6*Unit.TWh</f>
        <v>90.6</v>
      </c>
      <c r="AK117" s="2595">
        <f>87.7*Unit.TWh</f>
        <v>87.7</v>
      </c>
      <c r="AL117" s="2595">
        <f>78.3*Unit.TWh</f>
        <v>78.3</v>
      </c>
      <c r="AM117" s="2595">
        <f>83*Unit.TWh</f>
        <v>83</v>
      </c>
      <c r="AN117" s="2595">
        <f>81.1*Unit.TWh</f>
        <v>81.099999999999994</v>
      </c>
      <c r="AO117" s="2595">
        <f>81.9*Unit.TWh</f>
        <v>81.900000000000006</v>
      </c>
      <c r="AP117" s="2595">
        <f>73.7*Unit.TWh</f>
        <v>73.7</v>
      </c>
      <c r="AQ117" s="2595">
        <f>75.2*Unit.TWh</f>
        <v>75.2</v>
      </c>
      <c r="AR117" s="2595">
        <f>69.2*Unit.TWh</f>
        <v>69.2</v>
      </c>
      <c r="AS117" s="2595">
        <f>57.2*Unit.TWh</f>
        <v>57.2</v>
      </c>
      <c r="AT117" s="2595">
        <f>47.7*Unit.TWh</f>
        <v>47.7</v>
      </c>
      <c r="AU117" s="2595">
        <f>62.8*Unit.TWh</f>
        <v>62.8</v>
      </c>
      <c r="AV117" s="2595">
        <f>56.5 *Unit.TWh</f>
        <v>56.5</v>
      </c>
      <c r="AW117" s="2595" t="s">
        <v>1151</v>
      </c>
      <c r="AX117" s="1503"/>
      <c r="AY117" s="2576">
        <f ca="1">INDEX(INDIRECT("'"&amp;AY$4&amp;"'!Year.Matrix"), MATCH($C117, INDIRECT("'"&amp;AY$4&amp;"'!Year.Modules"), 0), MATCH($C$110, INDIRECT("'"&amp;AY$4&amp;"'!Year.Vectors"), 0))</f>
        <v>121.49675999999999</v>
      </c>
      <c r="AZ117" s="2576"/>
      <c r="BA117" s="2576">
        <f t="shared" ca="1" si="33"/>
        <v>143.76240000000001</v>
      </c>
      <c r="BB117" s="2576">
        <f t="shared" ca="1" si="33"/>
        <v>171.81360000000004</v>
      </c>
      <c r="BC117" s="2576">
        <f t="shared" ca="1" si="33"/>
        <v>171.81360000000004</v>
      </c>
      <c r="BD117" s="2576">
        <f t="shared" ca="1" si="33"/>
        <v>171.81360000000004</v>
      </c>
      <c r="BE117" s="2576">
        <f t="shared" ca="1" si="33"/>
        <v>171.81360000000004</v>
      </c>
      <c r="BF117" s="2576">
        <f t="shared" ca="1" si="33"/>
        <v>171.81360000000004</v>
      </c>
      <c r="BG117" s="2576">
        <f t="shared" ca="1" si="33"/>
        <v>171.81360000000004</v>
      </c>
      <c r="BH117" s="2576">
        <f t="shared" ca="1" si="33"/>
        <v>171.81360000000004</v>
      </c>
      <c r="BI117" s="2576">
        <f t="shared" ca="1" si="33"/>
        <v>171.81360000000004</v>
      </c>
      <c r="BJ117" s="194"/>
      <c r="BL117" s="15"/>
    </row>
    <row r="118" spans="2:64">
      <c r="B118" s="193"/>
      <c r="C118" s="1503"/>
      <c r="D118" s="186" t="s">
        <v>1949</v>
      </c>
      <c r="E118" s="1503"/>
      <c r="F118" s="2576"/>
      <c r="G118" s="2576"/>
      <c r="H118" s="2595"/>
      <c r="I118" s="2595"/>
      <c r="J118" s="2595"/>
      <c r="K118" s="2595"/>
      <c r="L118" s="2595"/>
      <c r="M118" s="2595"/>
      <c r="N118" s="2595"/>
      <c r="O118" s="2595"/>
      <c r="P118" s="2595"/>
      <c r="Q118" s="2595"/>
      <c r="R118" s="2595"/>
      <c r="S118" s="2595"/>
      <c r="T118" s="2595"/>
      <c r="U118" s="2595"/>
      <c r="V118" s="2595"/>
      <c r="W118" s="2595"/>
      <c r="X118" s="2595"/>
      <c r="Y118" s="2595"/>
      <c r="Z118" s="2595"/>
      <c r="AA118" s="2595"/>
      <c r="AB118" s="2595"/>
      <c r="AC118" s="2595"/>
      <c r="AD118" s="2595"/>
      <c r="AE118" s="2595"/>
      <c r="AF118" s="2595"/>
      <c r="AG118" s="2595"/>
      <c r="AH118" s="2595"/>
      <c r="AI118" s="2595"/>
      <c r="AJ118" s="2595"/>
      <c r="AK118" s="2595"/>
      <c r="AL118" s="2595"/>
      <c r="AM118" s="2595"/>
      <c r="AN118" s="2595"/>
      <c r="AO118" s="2595"/>
      <c r="AP118" s="2595"/>
      <c r="AQ118" s="2595"/>
      <c r="AR118" s="2595"/>
      <c r="AS118" s="2595"/>
      <c r="AT118" s="2595"/>
      <c r="AU118" s="2595"/>
      <c r="AV118" s="2595"/>
      <c r="AW118" s="2595"/>
      <c r="AX118" s="1503"/>
      <c r="AY118" s="2576">
        <f ca="1">AY117+AY116</f>
        <v>149.828472</v>
      </c>
      <c r="AZ118" s="2576"/>
      <c r="BA118" s="2576">
        <f t="shared" ref="BA118:BI118" ca="1" si="34">BA117+BA116</f>
        <v>176.58230400000002</v>
      </c>
      <c r="BB118" s="2576">
        <f t="shared" ca="1" si="34"/>
        <v>241.80134400000003</v>
      </c>
      <c r="BC118" s="2576">
        <f t="shared" ca="1" si="34"/>
        <v>239.55724800000004</v>
      </c>
      <c r="BD118" s="2576">
        <f t="shared" ca="1" si="34"/>
        <v>239.55724800000004</v>
      </c>
      <c r="BE118" s="2576">
        <f t="shared" ca="1" si="34"/>
        <v>238.15468800000005</v>
      </c>
      <c r="BF118" s="2576">
        <f t="shared" ca="1" si="34"/>
        <v>235.06905600000005</v>
      </c>
      <c r="BG118" s="2576">
        <f t="shared" ca="1" si="34"/>
        <v>233.52624000000003</v>
      </c>
      <c r="BH118" s="2576">
        <f t="shared" ca="1" si="34"/>
        <v>230.44060800000003</v>
      </c>
      <c r="BI118" s="2576">
        <f t="shared" ca="1" si="34"/>
        <v>230.44060800000003</v>
      </c>
      <c r="BJ118" s="194"/>
      <c r="BL118" s="15"/>
    </row>
    <row r="119" spans="2:64" s="410" customFormat="1">
      <c r="B119" s="193"/>
      <c r="C119" s="2598" t="s">
        <v>311</v>
      </c>
      <c r="D119" s="187" t="str">
        <f>INDEX(Modules[Module], MATCH($C119, Modules[Code], 0))</f>
        <v>Solar PV</v>
      </c>
      <c r="E119" s="1503"/>
      <c r="F119" s="2602"/>
      <c r="G119" s="2602"/>
      <c r="H119" s="2603"/>
      <c r="I119" s="2603"/>
      <c r="J119" s="2603"/>
      <c r="K119" s="2603"/>
      <c r="L119" s="2603"/>
      <c r="M119" s="2603"/>
      <c r="N119" s="2603"/>
      <c r="O119" s="2603"/>
      <c r="P119" s="2603"/>
      <c r="Q119" s="2603"/>
      <c r="R119" s="2603"/>
      <c r="S119" s="2603"/>
      <c r="T119" s="2603"/>
      <c r="U119" s="2603"/>
      <c r="V119" s="2603"/>
      <c r="W119" s="2603"/>
      <c r="X119" s="2603"/>
      <c r="Y119" s="2603"/>
      <c r="Z119" s="2603"/>
      <c r="AA119" s="2603"/>
      <c r="AB119" s="2603"/>
      <c r="AC119" s="2603"/>
      <c r="AD119" s="2603"/>
      <c r="AE119" s="2603"/>
      <c r="AF119" s="2603"/>
      <c r="AG119" s="2603"/>
      <c r="AH119" s="2603"/>
      <c r="AI119" s="2603"/>
      <c r="AJ119" s="2603"/>
      <c r="AK119" s="2603"/>
      <c r="AL119" s="2603"/>
      <c r="AM119" s="2603"/>
      <c r="AN119" s="2603"/>
      <c r="AO119" s="2603"/>
      <c r="AP119" s="2603"/>
      <c r="AQ119" s="2603"/>
      <c r="AR119" s="2603">
        <f>3.6*Unit.TWh</f>
        <v>3.6</v>
      </c>
      <c r="AS119" s="2603">
        <f>4.5*Unit.TWh</f>
        <v>4.5</v>
      </c>
      <c r="AT119" s="2603">
        <f>5.8*Unit.TWh</f>
        <v>5.8</v>
      </c>
      <c r="AU119" s="2603">
        <f>7.6*Unit.TWh</f>
        <v>7.6</v>
      </c>
      <c r="AV119" s="2603">
        <f>7.1*Unit.TWh</f>
        <v>7.1</v>
      </c>
      <c r="AW119" s="2603" t="s">
        <v>1152</v>
      </c>
      <c r="AX119" s="1503"/>
      <c r="AY119" s="2602">
        <f t="shared" ref="AY119:AY125" ca="1" si="35">INDEX(INDIRECT("'"&amp;AY$4&amp;"'!Year.Matrix"), MATCH($C119, INDIRECT("'"&amp;AY$4&amp;"'!Year.Modules"), 0), MATCH($C$110, INDIRECT("'"&amp;AY$4&amp;"'!Year.Vectors"), 0))</f>
        <v>0</v>
      </c>
      <c r="AZ119" s="2602"/>
      <c r="BA119" s="2602">
        <f t="shared" ref="BA119:BI125" ca="1" si="36">INDEX(INDIRECT("'"&amp;BA$4&amp;"'!Year.Matrix"), MATCH($C119, INDIRECT("'"&amp;BA$4&amp;"'!Year.Modules"), 0), MATCH($C$110, INDIRECT("'"&amp;BA$4&amp;"'!Year.Vectors"), 0))</f>
        <v>1.56727314</v>
      </c>
      <c r="BB119" s="2602">
        <f t="shared" ca="1" si="36"/>
        <v>8.2727459460000006</v>
      </c>
      <c r="BC119" s="2602">
        <f t="shared" ca="1" si="36"/>
        <v>18.558353960999998</v>
      </c>
      <c r="BD119" s="2602">
        <f t="shared" ca="1" si="36"/>
        <v>32.792269185000002</v>
      </c>
      <c r="BE119" s="2602">
        <f t="shared" ca="1" si="36"/>
        <v>47.823373215000004</v>
      </c>
      <c r="BF119" s="2602">
        <f t="shared" ca="1" si="36"/>
        <v>60.992995229999998</v>
      </c>
      <c r="BG119" s="2602">
        <f t="shared" ca="1" si="36"/>
        <v>69.119910000000004</v>
      </c>
      <c r="BH119" s="2602">
        <f t="shared" ca="1" si="36"/>
        <v>68.111819999999994</v>
      </c>
      <c r="BI119" s="2602">
        <f t="shared" ca="1" si="36"/>
        <v>59.608800000000002</v>
      </c>
      <c r="BJ119" s="2604"/>
      <c r="BL119" s="1205"/>
    </row>
    <row r="120" spans="2:64" s="410" customFormat="1">
      <c r="B120" s="193"/>
      <c r="C120" s="2598" t="s">
        <v>407</v>
      </c>
      <c r="D120" s="187" t="str">
        <f>INDEX(Modules[Module], MATCH($C120, Modules[Code], 0))</f>
        <v>Solar CSP</v>
      </c>
      <c r="E120" s="1503"/>
      <c r="F120" s="2602"/>
      <c r="G120" s="2602"/>
      <c r="H120" s="2603"/>
      <c r="I120" s="2603"/>
      <c r="J120" s="2603"/>
      <c r="K120" s="2603"/>
      <c r="L120" s="2603"/>
      <c r="M120" s="2603"/>
      <c r="N120" s="2603"/>
      <c r="O120" s="2603"/>
      <c r="P120" s="2603"/>
      <c r="Q120" s="2603"/>
      <c r="R120" s="2603"/>
      <c r="S120" s="2603"/>
      <c r="T120" s="2603"/>
      <c r="U120" s="2603"/>
      <c r="V120" s="2603"/>
      <c r="W120" s="2603"/>
      <c r="X120" s="2603"/>
      <c r="Y120" s="2603"/>
      <c r="Z120" s="2603"/>
      <c r="AA120" s="2603"/>
      <c r="AB120" s="2603"/>
      <c r="AC120" s="2603"/>
      <c r="AD120" s="2603"/>
      <c r="AE120" s="2603"/>
      <c r="AF120" s="2603"/>
      <c r="AG120" s="2603"/>
      <c r="AH120" s="2603"/>
      <c r="AI120" s="2603"/>
      <c r="AJ120" s="2603"/>
      <c r="AK120" s="2603"/>
      <c r="AL120" s="2603"/>
      <c r="AM120" s="2603"/>
      <c r="AN120" s="2603"/>
      <c r="AO120" s="2603"/>
      <c r="AP120" s="2603"/>
      <c r="AQ120" s="2603"/>
      <c r="AR120" s="2603">
        <f>0.7*Unit.TWh</f>
        <v>0.7</v>
      </c>
      <c r="AS120" s="2603">
        <f>0.8*Unit.TWh</f>
        <v>0.8</v>
      </c>
      <c r="AT120" s="2603">
        <f>1.3*Unit.TWh</f>
        <v>1.3</v>
      </c>
      <c r="AU120" s="2603">
        <f>1.7*Unit.TWh</f>
        <v>1.7</v>
      </c>
      <c r="AV120" s="2603">
        <f>3*Unit.TWh</f>
        <v>3</v>
      </c>
      <c r="AW120" s="2603" t="s">
        <v>1153</v>
      </c>
      <c r="AX120" s="1503"/>
      <c r="AY120" s="2602">
        <f t="shared" ca="1" si="35"/>
        <v>0</v>
      </c>
      <c r="AZ120" s="2602"/>
      <c r="BA120" s="2602">
        <f t="shared" ca="1" si="36"/>
        <v>0</v>
      </c>
      <c r="BB120" s="2602">
        <f t="shared" ca="1" si="36"/>
        <v>2.5246079999999997</v>
      </c>
      <c r="BC120" s="2602">
        <f t="shared" ca="1" si="36"/>
        <v>8.5731479999999998</v>
      </c>
      <c r="BD120" s="2602">
        <f t="shared" ca="1" si="36"/>
        <v>15.638544</v>
      </c>
      <c r="BE120" s="2602">
        <f t="shared" ca="1" si="36"/>
        <v>25.719444000000003</v>
      </c>
      <c r="BF120" s="2602">
        <f t="shared" ca="1" si="36"/>
        <v>33.784163999999997</v>
      </c>
      <c r="BG120" s="2602">
        <f t="shared" ca="1" si="36"/>
        <v>37.816524000000008</v>
      </c>
      <c r="BH120" s="2602">
        <f t="shared" ca="1" si="36"/>
        <v>35.291916000000001</v>
      </c>
      <c r="BI120" s="2602">
        <f t="shared" ca="1" si="36"/>
        <v>29.243376000000001</v>
      </c>
      <c r="BJ120" s="2604"/>
      <c r="BL120" s="1205"/>
    </row>
    <row r="121" spans="2:64" s="410" customFormat="1">
      <c r="B121" s="2599"/>
      <c r="C121" s="2598" t="s">
        <v>1071</v>
      </c>
      <c r="D121" s="187" t="str">
        <f>INDEX(Modules[Module], MATCH($C121, Modules[Code], 0))</f>
        <v>Onshore Wind</v>
      </c>
      <c r="E121" s="1503"/>
      <c r="F121" s="2602"/>
      <c r="G121" s="2602"/>
      <c r="H121" s="2603"/>
      <c r="I121" s="2603"/>
      <c r="J121" s="2603"/>
      <c r="K121" s="2603"/>
      <c r="L121" s="2603"/>
      <c r="M121" s="2603"/>
      <c r="N121" s="2603"/>
      <c r="O121" s="2603"/>
      <c r="P121" s="2603"/>
      <c r="Q121" s="2603"/>
      <c r="R121" s="2603"/>
      <c r="S121" s="2603"/>
      <c r="T121" s="2603"/>
      <c r="U121" s="2603"/>
      <c r="V121" s="2603"/>
      <c r="W121" s="2603"/>
      <c r="X121" s="2603"/>
      <c r="Y121" s="2603"/>
      <c r="Z121" s="2603"/>
      <c r="AA121" s="2603"/>
      <c r="AB121" s="2603"/>
      <c r="AC121" s="2603"/>
      <c r="AD121" s="2603"/>
      <c r="AE121" s="2603"/>
      <c r="AF121" s="2603"/>
      <c r="AG121" s="2603"/>
      <c r="AH121" s="2603">
        <f>2.8*Unit.TWh</f>
        <v>2.8</v>
      </c>
      <c r="AI121" s="2603">
        <f>3.3*Unit.TWh</f>
        <v>3.3</v>
      </c>
      <c r="AJ121" s="2603">
        <f>4.2*Unit.TWh</f>
        <v>4.2</v>
      </c>
      <c r="AK121" s="2603">
        <f>4.4*Unit.TWh</f>
        <v>4.4000000000000004</v>
      </c>
      <c r="AL121" s="2603">
        <f>4.3*Unit.TWh</f>
        <v>4.3</v>
      </c>
      <c r="AM121" s="2603">
        <f>3.2*Unit.TWh</f>
        <v>3.2</v>
      </c>
      <c r="AN121" s="2603">
        <f>3.9*Unit.TWh</f>
        <v>3.9</v>
      </c>
      <c r="AO121" s="2603">
        <f>2.6*Unit.TWh</f>
        <v>2.6</v>
      </c>
      <c r="AP121" s="2603">
        <f>3.9*Unit.TWh</f>
        <v>3.9</v>
      </c>
      <c r="AQ121" s="2603">
        <f>3.8*Unit.TWh</f>
        <v>3.8</v>
      </c>
      <c r="AR121" s="2603">
        <f>3.7*Unit.TWh</f>
        <v>3.7</v>
      </c>
      <c r="AS121" s="2603">
        <f>4.1*Unit.TWh</f>
        <v>4.0999999999999996</v>
      </c>
      <c r="AT121" s="2603">
        <f>4.2*Unit.TWh</f>
        <v>4.2</v>
      </c>
      <c r="AU121" s="2603">
        <f>4.3*Unit.TWh</f>
        <v>4.3</v>
      </c>
      <c r="AV121" s="2603">
        <f>2.7*Unit.TWh</f>
        <v>2.7</v>
      </c>
      <c r="AW121" s="2603" t="s">
        <v>1154</v>
      </c>
      <c r="AX121" s="1503"/>
      <c r="AY121" s="2602">
        <f t="shared" ca="1" si="35"/>
        <v>12.437183268</v>
      </c>
      <c r="AZ121" s="2602"/>
      <c r="BA121" s="2602">
        <f t="shared" ca="1" si="36"/>
        <v>18.722249233199999</v>
      </c>
      <c r="BB121" s="2602">
        <f t="shared" ca="1" si="36"/>
        <v>36.604889233199998</v>
      </c>
      <c r="BC121" s="2602">
        <f t="shared" ca="1" si="36"/>
        <v>58.519889233199997</v>
      </c>
      <c r="BD121" s="2602">
        <f t="shared" ca="1" si="36"/>
        <v>81.311489233199993</v>
      </c>
      <c r="BE121" s="2602">
        <f t="shared" ca="1" si="36"/>
        <v>110.89673923319999</v>
      </c>
      <c r="BF121" s="2602">
        <f t="shared" ca="1" si="36"/>
        <v>129.14055596519998</v>
      </c>
      <c r="BG121" s="2602">
        <f t="shared" ca="1" si="36"/>
        <v>139.86152999999999</v>
      </c>
      <c r="BH121" s="2602">
        <f t="shared" ca="1" si="36"/>
        <v>148.27688999999998</v>
      </c>
      <c r="BI121" s="2602">
        <f t="shared" ca="1" si="36"/>
        <v>148.80284999999998</v>
      </c>
      <c r="BJ121" s="2604"/>
      <c r="BL121" s="1205"/>
    </row>
    <row r="122" spans="2:64" s="410" customFormat="1">
      <c r="B122" s="2599"/>
      <c r="C122" s="2598" t="s">
        <v>1285</v>
      </c>
      <c r="D122" s="187" t="str">
        <f>INDEX(Modules[Module], MATCH($C122, Modules[Code], 0))</f>
        <v>Offshore Wind</v>
      </c>
      <c r="E122" s="1503"/>
      <c r="F122" s="2602"/>
      <c r="G122" s="2602"/>
      <c r="H122" s="2603"/>
      <c r="I122" s="2603"/>
      <c r="J122" s="2603"/>
      <c r="K122" s="2603"/>
      <c r="L122" s="2603"/>
      <c r="M122" s="2603"/>
      <c r="N122" s="2603"/>
      <c r="O122" s="2603"/>
      <c r="P122" s="2603"/>
      <c r="Q122" s="2603"/>
      <c r="R122" s="2603"/>
      <c r="S122" s="2603"/>
      <c r="T122" s="2603"/>
      <c r="U122" s="2603"/>
      <c r="V122" s="2603"/>
      <c r="W122" s="2603"/>
      <c r="X122" s="2603"/>
      <c r="Y122" s="2603"/>
      <c r="Z122" s="2603"/>
      <c r="AA122" s="2603"/>
      <c r="AB122" s="2603"/>
      <c r="AC122" s="2603"/>
      <c r="AD122" s="2603"/>
      <c r="AE122" s="2603"/>
      <c r="AF122" s="2603"/>
      <c r="AG122" s="2603"/>
      <c r="AH122" s="2603"/>
      <c r="AI122" s="2603"/>
      <c r="AJ122" s="2603"/>
      <c r="AK122" s="2603"/>
      <c r="AL122" s="2603"/>
      <c r="AM122" s="2603"/>
      <c r="AN122" s="2603"/>
      <c r="AO122" s="2603"/>
      <c r="AP122" s="2603"/>
      <c r="AQ122" s="2603"/>
      <c r="AR122" s="2603"/>
      <c r="AS122" s="2603"/>
      <c r="AT122" s="2603"/>
      <c r="AU122" s="2603"/>
      <c r="AV122" s="2603"/>
      <c r="AW122" s="2603"/>
      <c r="AX122" s="1503"/>
      <c r="AY122" s="2602">
        <f t="shared" ca="1" si="35"/>
        <v>0</v>
      </c>
      <c r="AZ122" s="2602"/>
      <c r="BA122" s="2602">
        <f t="shared" ca="1" si="36"/>
        <v>0</v>
      </c>
      <c r="BB122" s="2602">
        <f t="shared" ca="1" si="36"/>
        <v>0</v>
      </c>
      <c r="BC122" s="2602">
        <f t="shared" ca="1" si="36"/>
        <v>1.4463900000000003</v>
      </c>
      <c r="BD122" s="2602">
        <f t="shared" ca="1" si="36"/>
        <v>3.02427</v>
      </c>
      <c r="BE122" s="2602">
        <f t="shared" ca="1" si="36"/>
        <v>4.6021499999999991</v>
      </c>
      <c r="BF122" s="2602">
        <f t="shared" ca="1" si="36"/>
        <v>7.8455700000000004</v>
      </c>
      <c r="BG122" s="2602">
        <f t="shared" ca="1" si="36"/>
        <v>11.176649999999999</v>
      </c>
      <c r="BH122" s="2602">
        <f t="shared" ca="1" si="36"/>
        <v>12.88602</v>
      </c>
      <c r="BI122" s="2602">
        <f t="shared" ca="1" si="36"/>
        <v>13.148999999999999</v>
      </c>
      <c r="BJ122" s="2604"/>
      <c r="BL122" s="1205"/>
    </row>
    <row r="123" spans="2:64" s="410" customFormat="1">
      <c r="B123" s="2599"/>
      <c r="C123" s="2598" t="s">
        <v>1073</v>
      </c>
      <c r="D123" s="187" t="str">
        <f>INDEX(Modules[Module], MATCH($C123, Modules[Code], 0))</f>
        <v>Small Hydro</v>
      </c>
      <c r="E123" s="1503"/>
      <c r="F123" s="2602"/>
      <c r="G123" s="2602"/>
      <c r="H123" s="2603"/>
      <c r="I123" s="2603"/>
      <c r="J123" s="2603"/>
      <c r="K123" s="2603"/>
      <c r="L123" s="2603"/>
      <c r="M123" s="2603"/>
      <c r="N123" s="2603"/>
      <c r="O123" s="2603"/>
      <c r="P123" s="2603"/>
      <c r="Q123" s="2603"/>
      <c r="R123" s="2603"/>
      <c r="S123" s="2603"/>
      <c r="T123" s="2603"/>
      <c r="U123" s="2603"/>
      <c r="V123" s="2603"/>
      <c r="W123" s="2603"/>
      <c r="X123" s="2603"/>
      <c r="Y123" s="2603"/>
      <c r="Z123" s="2603"/>
      <c r="AA123" s="2603"/>
      <c r="AB123" s="2603"/>
      <c r="AC123" s="2603"/>
      <c r="AD123" s="2603"/>
      <c r="AE123" s="2603"/>
      <c r="AF123" s="2603"/>
      <c r="AG123" s="2603"/>
      <c r="AH123" s="2603"/>
      <c r="AI123" s="2603"/>
      <c r="AJ123" s="2603"/>
      <c r="AK123" s="2603"/>
      <c r="AL123" s="2603"/>
      <c r="AM123" s="2603"/>
      <c r="AN123" s="2603"/>
      <c r="AO123" s="2603"/>
      <c r="AP123" s="2603"/>
      <c r="AQ123" s="2603"/>
      <c r="AR123" s="2603"/>
      <c r="AS123" s="2603"/>
      <c r="AT123" s="2603"/>
      <c r="AU123" s="2603"/>
      <c r="AV123" s="2603"/>
      <c r="AW123" s="2603"/>
      <c r="AX123" s="1503"/>
      <c r="AY123" s="2602">
        <f t="shared" ca="1" si="35"/>
        <v>7.0138343880000011</v>
      </c>
      <c r="AZ123" s="2602"/>
      <c r="BA123" s="2602">
        <f t="shared" ca="1" si="36"/>
        <v>12.081458988000001</v>
      </c>
      <c r="BB123" s="2602">
        <f t="shared" ca="1" si="36"/>
        <v>17.604038988000003</v>
      </c>
      <c r="BC123" s="2602">
        <f t="shared" ca="1" si="36"/>
        <v>23.937473988000004</v>
      </c>
      <c r="BD123" s="2602">
        <f t="shared" ca="1" si="36"/>
        <v>27.750683988000002</v>
      </c>
      <c r="BE123" s="2602">
        <f t="shared" ca="1" si="36"/>
        <v>31.651553988000003</v>
      </c>
      <c r="BF123" s="2602">
        <f t="shared" ca="1" si="36"/>
        <v>33.623903988000002</v>
      </c>
      <c r="BG123" s="2602">
        <f t="shared" ca="1" si="36"/>
        <v>33.902259552000004</v>
      </c>
      <c r="BH123" s="2602">
        <f t="shared" ca="1" si="36"/>
        <v>34.790711183999996</v>
      </c>
      <c r="BI123" s="2602">
        <f t="shared" ca="1" si="36"/>
        <v>35.382416183999993</v>
      </c>
      <c r="BJ123" s="2604"/>
      <c r="BL123" s="1205"/>
    </row>
    <row r="124" spans="2:64" s="410" customFormat="1">
      <c r="B124" s="2599"/>
      <c r="C124" s="2598" t="s">
        <v>304</v>
      </c>
      <c r="D124" s="187" t="str">
        <f>INDEX(Modules[Module], MATCH($C124, Modules[Code], 0))</f>
        <v>Biomass Based Electricity&amp; Biogas</v>
      </c>
      <c r="E124" s="1503"/>
      <c r="F124" s="2602"/>
      <c r="G124" s="2602"/>
      <c r="H124" s="2603"/>
      <c r="I124" s="2603"/>
      <c r="J124" s="2603"/>
      <c r="K124" s="2603"/>
      <c r="L124" s="2603"/>
      <c r="M124" s="2603"/>
      <c r="N124" s="2603"/>
      <c r="O124" s="2603"/>
      <c r="P124" s="2603"/>
      <c r="Q124" s="2603"/>
      <c r="R124" s="2603"/>
      <c r="S124" s="2603"/>
      <c r="T124" s="2603"/>
      <c r="U124" s="2603"/>
      <c r="V124" s="2603"/>
      <c r="W124" s="2603"/>
      <c r="X124" s="2603"/>
      <c r="Y124" s="2603"/>
      <c r="Z124" s="2603"/>
      <c r="AA124" s="2603"/>
      <c r="AB124" s="2603"/>
      <c r="AC124" s="2603"/>
      <c r="AD124" s="2603"/>
      <c r="AE124" s="2603"/>
      <c r="AF124" s="2603"/>
      <c r="AG124" s="2603"/>
      <c r="AH124" s="2603"/>
      <c r="AI124" s="2603"/>
      <c r="AJ124" s="2603"/>
      <c r="AK124" s="2603"/>
      <c r="AL124" s="2603"/>
      <c r="AM124" s="2603"/>
      <c r="AN124" s="2603"/>
      <c r="AO124" s="2603"/>
      <c r="AP124" s="2603"/>
      <c r="AQ124" s="2603"/>
      <c r="AR124" s="2603"/>
      <c r="AS124" s="2603"/>
      <c r="AT124" s="2603"/>
      <c r="AU124" s="2603"/>
      <c r="AV124" s="2603"/>
      <c r="AW124" s="2603"/>
      <c r="AX124" s="1503"/>
      <c r="AY124" s="2602">
        <f t="shared" ca="1" si="35"/>
        <v>9.538388888888889</v>
      </c>
      <c r="AZ124" s="2602"/>
      <c r="BA124" s="2602">
        <f t="shared" ca="1" si="36"/>
        <v>9.7454499999999999</v>
      </c>
      <c r="BB124" s="2602">
        <f t="shared" ca="1" si="36"/>
        <v>11.119143750000001</v>
      </c>
      <c r="BC124" s="2602">
        <f t="shared" ca="1" si="36"/>
        <v>12.4928375</v>
      </c>
      <c r="BD124" s="2602">
        <f t="shared" ca="1" si="36"/>
        <v>13.866531250000003</v>
      </c>
      <c r="BE124" s="2602">
        <f t="shared" ca="1" si="36"/>
        <v>15.240225000000006</v>
      </c>
      <c r="BF124" s="2602">
        <f t="shared" ca="1" si="36"/>
        <v>16.613918750000003</v>
      </c>
      <c r="BG124" s="2602">
        <f t="shared" ca="1" si="36"/>
        <v>17.987612500000004</v>
      </c>
      <c r="BH124" s="2602">
        <f t="shared" ca="1" si="36"/>
        <v>19.361306250000005</v>
      </c>
      <c r="BI124" s="2602">
        <f t="shared" ca="1" si="36"/>
        <v>20.735000000000003</v>
      </c>
      <c r="BJ124" s="2604"/>
      <c r="BL124" s="1205"/>
    </row>
    <row r="125" spans="2:64" s="410" customFormat="1">
      <c r="B125" s="2599"/>
      <c r="C125" s="2598" t="s">
        <v>296</v>
      </c>
      <c r="D125" s="187" t="str">
        <f>INDEX(Modules[Module], MATCH($C125, Modules[Code], 0))</f>
        <v>Waste to Electricity</v>
      </c>
      <c r="E125" s="1503"/>
      <c r="F125" s="2602"/>
      <c r="G125" s="2602"/>
      <c r="H125" s="2603"/>
      <c r="I125" s="2603"/>
      <c r="J125" s="2603"/>
      <c r="K125" s="2603"/>
      <c r="L125" s="2603"/>
      <c r="M125" s="2603"/>
      <c r="N125" s="2603"/>
      <c r="O125" s="2603"/>
      <c r="P125" s="2603"/>
      <c r="Q125" s="2603"/>
      <c r="R125" s="2603"/>
      <c r="S125" s="2603"/>
      <c r="T125" s="2603"/>
      <c r="U125" s="2603"/>
      <c r="V125" s="2603"/>
      <c r="W125" s="2603"/>
      <c r="X125" s="2603"/>
      <c r="Y125" s="2603"/>
      <c r="Z125" s="2603"/>
      <c r="AA125" s="2603"/>
      <c r="AB125" s="2603"/>
      <c r="AC125" s="2603"/>
      <c r="AD125" s="2603"/>
      <c r="AE125" s="2603"/>
      <c r="AF125" s="2603"/>
      <c r="AG125" s="2603"/>
      <c r="AH125" s="2603"/>
      <c r="AI125" s="2603"/>
      <c r="AJ125" s="2603"/>
      <c r="AK125" s="2603"/>
      <c r="AL125" s="2603"/>
      <c r="AM125" s="2603"/>
      <c r="AN125" s="2603"/>
      <c r="AO125" s="2603"/>
      <c r="AP125" s="2603"/>
      <c r="AQ125" s="2603"/>
      <c r="AR125" s="2603"/>
      <c r="AS125" s="2603"/>
      <c r="AT125" s="2603"/>
      <c r="AU125" s="2603"/>
      <c r="AV125" s="2603"/>
      <c r="AW125" s="2603"/>
      <c r="AX125" s="1503"/>
      <c r="AY125" s="2602">
        <f t="shared" ca="1" si="35"/>
        <v>0</v>
      </c>
      <c r="AZ125" s="2602"/>
      <c r="BA125" s="2602">
        <f t="shared" ca="1" si="36"/>
        <v>0</v>
      </c>
      <c r="BB125" s="2602">
        <f t="shared" ca="1" si="36"/>
        <v>0</v>
      </c>
      <c r="BC125" s="2602">
        <f t="shared" ca="1" si="36"/>
        <v>0</v>
      </c>
      <c r="BD125" s="2602">
        <f t="shared" ca="1" si="36"/>
        <v>0</v>
      </c>
      <c r="BE125" s="2602">
        <f t="shared" ca="1" si="36"/>
        <v>0</v>
      </c>
      <c r="BF125" s="2602">
        <f t="shared" ca="1" si="36"/>
        <v>0</v>
      </c>
      <c r="BG125" s="2602">
        <f t="shared" ca="1" si="36"/>
        <v>0</v>
      </c>
      <c r="BH125" s="2602">
        <f t="shared" ca="1" si="36"/>
        <v>0</v>
      </c>
      <c r="BI125" s="2602">
        <f t="shared" ca="1" si="36"/>
        <v>0</v>
      </c>
      <c r="BJ125" s="2604"/>
      <c r="BL125" s="1205"/>
    </row>
    <row r="126" spans="2:64" s="410" customFormat="1">
      <c r="B126" s="2599"/>
      <c r="C126" s="2598"/>
      <c r="D126" s="186" t="s">
        <v>1948</v>
      </c>
      <c r="E126" s="1503"/>
      <c r="F126" s="2602"/>
      <c r="G126" s="2602"/>
      <c r="H126" s="2603"/>
      <c r="I126" s="2603"/>
      <c r="J126" s="2603"/>
      <c r="K126" s="2603"/>
      <c r="L126" s="2603"/>
      <c r="M126" s="2603"/>
      <c r="N126" s="2603"/>
      <c r="O126" s="2603"/>
      <c r="P126" s="2603"/>
      <c r="Q126" s="2603"/>
      <c r="R126" s="2603"/>
      <c r="S126" s="2603"/>
      <c r="T126" s="2603"/>
      <c r="U126" s="2603"/>
      <c r="V126" s="2603"/>
      <c r="W126" s="2603"/>
      <c r="X126" s="2603"/>
      <c r="Y126" s="2603"/>
      <c r="Z126" s="2603"/>
      <c r="AA126" s="2603"/>
      <c r="AB126" s="2603"/>
      <c r="AC126" s="2603"/>
      <c r="AD126" s="2603"/>
      <c r="AE126" s="2603"/>
      <c r="AF126" s="2603"/>
      <c r="AG126" s="2603"/>
      <c r="AH126" s="2603"/>
      <c r="AI126" s="2603"/>
      <c r="AJ126" s="2603"/>
      <c r="AK126" s="2603"/>
      <c r="AL126" s="2603"/>
      <c r="AM126" s="2603"/>
      <c r="AN126" s="2603"/>
      <c r="AO126" s="2603"/>
      <c r="AP126" s="2603"/>
      <c r="AQ126" s="2603"/>
      <c r="AR126" s="2603"/>
      <c r="AS126" s="2603"/>
      <c r="AT126" s="2603"/>
      <c r="AU126" s="2603"/>
      <c r="AV126" s="2603"/>
      <c r="AW126" s="2603"/>
      <c r="AX126" s="1503"/>
      <c r="AY126" s="2602">
        <f ca="1">SUM(AY119:AY125)</f>
        <v>28.98940654488889</v>
      </c>
      <c r="AZ126" s="2602"/>
      <c r="BA126" s="2602">
        <f t="shared" ref="BA126:BI126" ca="1" si="37">SUM(BA119:BA125)</f>
        <v>42.1164313612</v>
      </c>
      <c r="BB126" s="2602">
        <f t="shared" ca="1" si="37"/>
        <v>76.125425917200005</v>
      </c>
      <c r="BC126" s="2602">
        <f t="shared" ca="1" si="37"/>
        <v>123.5280926822</v>
      </c>
      <c r="BD126" s="2602">
        <f t="shared" ca="1" si="37"/>
        <v>174.38378765619998</v>
      </c>
      <c r="BE126" s="2602">
        <f t="shared" ca="1" si="37"/>
        <v>235.93348543619999</v>
      </c>
      <c r="BF126" s="2602">
        <f t="shared" ca="1" si="37"/>
        <v>282.00110793319999</v>
      </c>
      <c r="BG126" s="2602">
        <f t="shared" ca="1" si="37"/>
        <v>309.86448605200002</v>
      </c>
      <c r="BH126" s="2602">
        <f t="shared" ca="1" si="37"/>
        <v>318.71866343399989</v>
      </c>
      <c r="BI126" s="2602">
        <f t="shared" ca="1" si="37"/>
        <v>306.92144218399994</v>
      </c>
      <c r="BJ126" s="2604"/>
      <c r="BL126" s="1205"/>
    </row>
    <row r="127" spans="2:64">
      <c r="B127" s="2599"/>
      <c r="C127" s="1503" t="s">
        <v>263</v>
      </c>
      <c r="D127" s="186" t="str">
        <f>INDEX(Modules[Module], MATCH($C127, Modules[Code], 0))</f>
        <v>Electricity imports</v>
      </c>
      <c r="E127" s="1503"/>
      <c r="F127" s="2576"/>
      <c r="G127" s="2576"/>
      <c r="H127" s="2595"/>
      <c r="I127" s="2595"/>
      <c r="J127" s="2595"/>
      <c r="K127" s="2595"/>
      <c r="L127" s="2595"/>
      <c r="M127" s="2595"/>
      <c r="N127" s="2595"/>
      <c r="O127" s="2595"/>
      <c r="P127" s="2595"/>
      <c r="Q127" s="2595"/>
      <c r="R127" s="2595"/>
      <c r="S127" s="2595"/>
      <c r="T127" s="2595"/>
      <c r="U127" s="2595"/>
      <c r="V127" s="2595"/>
      <c r="W127" s="2595"/>
      <c r="X127" s="2595"/>
      <c r="Y127" s="2595"/>
      <c r="Z127" s="2595"/>
      <c r="AA127" s="2595"/>
      <c r="AB127" s="2595"/>
      <c r="AC127" s="2595"/>
      <c r="AD127" s="2595"/>
      <c r="AE127" s="2595"/>
      <c r="AF127" s="2595"/>
      <c r="AG127" s="2595"/>
      <c r="AH127" s="2595"/>
      <c r="AI127" s="2595"/>
      <c r="AJ127" s="2595"/>
      <c r="AK127" s="2595"/>
      <c r="AL127" s="2595"/>
      <c r="AM127" s="2595"/>
      <c r="AN127" s="2595"/>
      <c r="AO127" s="2595"/>
      <c r="AP127" s="2595"/>
      <c r="AQ127" s="2595"/>
      <c r="AR127" s="2595">
        <f>7.9*Unit.TWh</f>
        <v>7.9</v>
      </c>
      <c r="AS127" s="2595">
        <f>9.4*Unit.TWh</f>
        <v>9.4</v>
      </c>
      <c r="AT127" s="2595">
        <f>11.3*Unit.TWh</f>
        <v>11.3</v>
      </c>
      <c r="AU127" s="2595">
        <f>13.6*Unit.TWh</f>
        <v>13.6</v>
      </c>
      <c r="AV127" s="2595">
        <f>12.9*Unit.TWh</f>
        <v>12.9</v>
      </c>
      <c r="AW127" s="2595" t="s">
        <v>1135</v>
      </c>
      <c r="AX127" s="1503"/>
      <c r="AY127" s="2602">
        <f ca="1">INDEX(INDIRECT("'"&amp;AY$4&amp;"'!Year.Matrix"), MATCH($C127, INDIRECT("'"&amp;AY$4&amp;"'!Year.Modules"), 0), MATCH($C$110, INDIRECT("'"&amp;AY$4&amp;"'!Year.Vectors"), 0))</f>
        <v>1</v>
      </c>
      <c r="AZ127" s="2602"/>
      <c r="BA127" s="2602">
        <f t="shared" ref="BA127:BI127" ca="1" si="38">INDEX(INDIRECT("'"&amp;BA$4&amp;"'!Year.Matrix"), MATCH($C127, INDIRECT("'"&amp;BA$4&amp;"'!Year.Modules"), 0), MATCH($C$110, INDIRECT("'"&amp;BA$4&amp;"'!Year.Vectors"), 0))</f>
        <v>4</v>
      </c>
      <c r="BB127" s="2602">
        <f t="shared" ca="1" si="38"/>
        <v>14</v>
      </c>
      <c r="BC127" s="2602">
        <f t="shared" ca="1" si="38"/>
        <v>21</v>
      </c>
      <c r="BD127" s="2602">
        <f t="shared" ca="1" si="38"/>
        <v>31</v>
      </c>
      <c r="BE127" s="2602">
        <f t="shared" ca="1" si="38"/>
        <v>40</v>
      </c>
      <c r="BF127" s="2602">
        <f t="shared" ca="1" si="38"/>
        <v>49</v>
      </c>
      <c r="BG127" s="2602">
        <f t="shared" ca="1" si="38"/>
        <v>55</v>
      </c>
      <c r="BH127" s="2602">
        <f t="shared" ca="1" si="38"/>
        <v>55</v>
      </c>
      <c r="BI127" s="2602">
        <f t="shared" ca="1" si="38"/>
        <v>55</v>
      </c>
      <c r="BJ127" s="194"/>
      <c r="BL127" s="15"/>
    </row>
    <row r="128" spans="2:64">
      <c r="B128" s="2599"/>
      <c r="C128" s="1503"/>
      <c r="D128" s="187"/>
      <c r="E128" s="1503"/>
      <c r="F128" s="2576"/>
      <c r="G128" s="2576"/>
      <c r="H128" s="2595"/>
      <c r="I128" s="2595"/>
      <c r="J128" s="2595"/>
      <c r="K128" s="2595"/>
      <c r="L128" s="2595"/>
      <c r="M128" s="2595"/>
      <c r="N128" s="2595"/>
      <c r="O128" s="2595"/>
      <c r="P128" s="2595"/>
      <c r="Q128" s="2595"/>
      <c r="R128" s="2595"/>
      <c r="S128" s="2595"/>
      <c r="T128" s="2595"/>
      <c r="U128" s="2595"/>
      <c r="V128" s="2595"/>
      <c r="W128" s="2595"/>
      <c r="X128" s="2595"/>
      <c r="Y128" s="2595"/>
      <c r="Z128" s="2595"/>
      <c r="AA128" s="2595"/>
      <c r="AB128" s="2595"/>
      <c r="AC128" s="2595"/>
      <c r="AD128" s="2595"/>
      <c r="AE128" s="2595"/>
      <c r="AF128" s="2595"/>
      <c r="AG128" s="2595"/>
      <c r="AH128" s="2595"/>
      <c r="AI128" s="2595"/>
      <c r="AJ128" s="2595"/>
      <c r="AK128" s="2595"/>
      <c r="AL128" s="2595"/>
      <c r="AM128" s="2595"/>
      <c r="AN128" s="2595"/>
      <c r="AO128" s="2595"/>
      <c r="AP128" s="2595"/>
      <c r="AQ128" s="2595"/>
      <c r="AR128" s="2595"/>
      <c r="AS128" s="2595"/>
      <c r="AT128" s="2595"/>
      <c r="AU128" s="2595"/>
      <c r="AV128" s="2595"/>
      <c r="AW128" s="2595"/>
      <c r="AX128" s="1503"/>
      <c r="AY128" s="2576"/>
      <c r="AZ128" s="2576"/>
      <c r="BA128" s="2576"/>
      <c r="BB128" s="2576"/>
      <c r="BC128" s="2576"/>
      <c r="BD128" s="2576"/>
      <c r="BE128" s="2576"/>
      <c r="BF128" s="2576"/>
      <c r="BG128" s="2576"/>
      <c r="BH128" s="2576"/>
      <c r="BI128" s="2576"/>
      <c r="BJ128" s="194"/>
      <c r="BL128" s="15"/>
    </row>
    <row r="129" spans="2:63">
      <c r="B129" s="193"/>
      <c r="C129" s="1503"/>
      <c r="D129" s="2605" t="s">
        <v>1155</v>
      </c>
      <c r="E129" s="1503"/>
      <c r="F129" s="2606"/>
      <c r="G129" s="2607"/>
      <c r="H129" s="2608"/>
      <c r="I129" s="2608"/>
      <c r="J129" s="2608"/>
      <c r="K129" s="2608"/>
      <c r="L129" s="2608"/>
      <c r="M129" s="2608"/>
      <c r="N129" s="2608"/>
      <c r="O129" s="2608"/>
      <c r="P129" s="2608"/>
      <c r="Q129" s="2608"/>
      <c r="R129" s="2608"/>
      <c r="S129" s="2608"/>
      <c r="T129" s="2608"/>
      <c r="U129" s="2608"/>
      <c r="V129" s="2608"/>
      <c r="W129" s="2608"/>
      <c r="X129" s="2608"/>
      <c r="Y129" s="2608"/>
      <c r="Z129" s="2608"/>
      <c r="AA129" s="2608"/>
      <c r="AB129" s="2608"/>
      <c r="AC129" s="2608"/>
      <c r="AD129" s="2608"/>
      <c r="AE129" s="2608"/>
      <c r="AF129" s="2608"/>
      <c r="AG129" s="2608"/>
      <c r="AH129" s="2608"/>
      <c r="AI129" s="2608"/>
      <c r="AJ129" s="2608"/>
      <c r="AK129" s="2608"/>
      <c r="AL129" s="2608"/>
      <c r="AM129" s="2608"/>
      <c r="AN129" s="2608"/>
      <c r="AO129" s="2608"/>
      <c r="AP129" s="2608"/>
      <c r="AQ129" s="2608"/>
      <c r="AR129" s="2608">
        <f>352.2*Unit.TWh</f>
        <v>352.2</v>
      </c>
      <c r="AS129" s="2608">
        <f>348.4*Unit.TWh</f>
        <v>348.4</v>
      </c>
      <c r="AT129" s="2608">
        <f>349.3*Unit.TWh</f>
        <v>349.3</v>
      </c>
      <c r="AU129" s="2608">
        <f>329.3*Unit.TWh</f>
        <v>329.3</v>
      </c>
      <c r="AV129" s="2608">
        <f>335.1*Unit.TWh</f>
        <v>335.1</v>
      </c>
      <c r="AW129" s="2608" t="s">
        <v>1135</v>
      </c>
      <c r="AX129" s="1503"/>
      <c r="AY129" s="2606">
        <f ca="1">AY115+AY118+AY126+AY127</f>
        <v>790.76970020552903</v>
      </c>
      <c r="AZ129" s="2606"/>
      <c r="BA129" s="2606">
        <f t="shared" ref="BA129:BI129" ca="1" si="39">BA115+BA118+BA126+BA127</f>
        <v>1032.7162873841003</v>
      </c>
      <c r="BB129" s="2606">
        <f t="shared" ca="1" si="39"/>
        <v>1455.8968093122935</v>
      </c>
      <c r="BC129" s="2606">
        <f t="shared" ca="1" si="39"/>
        <v>2063.963133061764</v>
      </c>
      <c r="BD129" s="2606">
        <f t="shared" ca="1" si="39"/>
        <v>2848.373832020111</v>
      </c>
      <c r="BE129" s="2606">
        <f t="shared" ca="1" si="39"/>
        <v>3900.1234784047761</v>
      </c>
      <c r="BF129" s="2606">
        <f t="shared" ca="1" si="39"/>
        <v>4836.305519548242</v>
      </c>
      <c r="BG129" s="2606">
        <f t="shared" ca="1" si="39"/>
        <v>5893.1577805937686</v>
      </c>
      <c r="BH129" s="2606">
        <f ca="1">BH115+BH118+BH126+BH127</f>
        <v>6837.773164897314</v>
      </c>
      <c r="BI129" s="2606">
        <f t="shared" ca="1" si="39"/>
        <v>7907.6694446155816</v>
      </c>
      <c r="BJ129" s="194"/>
      <c r="BK129" s="310">
        <f ca="1">BI129-BI99</f>
        <v>9134.7815890310267</v>
      </c>
    </row>
    <row r="130" spans="2:63">
      <c r="B130" s="193"/>
      <c r="C130" s="1503"/>
      <c r="D130" s="186" t="s">
        <v>2056</v>
      </c>
      <c r="E130" s="1503"/>
      <c r="F130" s="2607"/>
      <c r="G130" s="2607"/>
      <c r="H130" s="2608"/>
      <c r="I130" s="2608"/>
      <c r="J130" s="2608"/>
      <c r="K130" s="2608"/>
      <c r="L130" s="2608"/>
      <c r="M130" s="2608"/>
      <c r="N130" s="2608"/>
      <c r="O130" s="2608"/>
      <c r="P130" s="2608"/>
      <c r="Q130" s="2608"/>
      <c r="R130" s="2608"/>
      <c r="S130" s="2608"/>
      <c r="T130" s="2608"/>
      <c r="U130" s="2608"/>
      <c r="V130" s="2608"/>
      <c r="W130" s="2608"/>
      <c r="X130" s="2608"/>
      <c r="Y130" s="2608"/>
      <c r="Z130" s="2608"/>
      <c r="AA130" s="2608"/>
      <c r="AB130" s="2608"/>
      <c r="AC130" s="2608"/>
      <c r="AD130" s="2608"/>
      <c r="AE130" s="2608"/>
      <c r="AF130" s="2608"/>
      <c r="AG130" s="2608"/>
      <c r="AH130" s="2608"/>
      <c r="AI130" s="2608"/>
      <c r="AJ130" s="2608"/>
      <c r="AK130" s="2608"/>
      <c r="AL130" s="2608"/>
      <c r="AM130" s="2608"/>
      <c r="AN130" s="2608"/>
      <c r="AO130" s="2608"/>
      <c r="AP130" s="2608"/>
      <c r="AQ130" s="2608"/>
      <c r="AR130" s="2608"/>
      <c r="AS130" s="2608"/>
      <c r="AT130" s="2608"/>
      <c r="AU130" s="2608"/>
      <c r="AV130" s="2608"/>
      <c r="AW130" s="2608"/>
      <c r="AX130" s="1503"/>
      <c r="AY130" s="2609">
        <f ca="1">AY126/AY129</f>
        <v>3.6659733595450418E-2</v>
      </c>
      <c r="AZ130" s="2609"/>
      <c r="BA130" s="2609">
        <f t="shared" ref="BA130:BI130" ca="1" si="40">BA126/BA129</f>
        <v>4.0782189528434883E-2</v>
      </c>
      <c r="BB130" s="2609">
        <f t="shared" ca="1" si="40"/>
        <v>5.2287652140098145E-2</v>
      </c>
      <c r="BC130" s="2609">
        <f t="shared" ca="1" si="40"/>
        <v>5.9849951146633891E-2</v>
      </c>
      <c r="BD130" s="2609">
        <f t="shared" ca="1" si="40"/>
        <v>6.1222226414193774E-2</v>
      </c>
      <c r="BE130" s="2609">
        <f t="shared" ca="1" si="40"/>
        <v>6.0493850192840877E-2</v>
      </c>
      <c r="BF130" s="2609">
        <f t="shared" ca="1" si="40"/>
        <v>5.8309200440989022E-2</v>
      </c>
      <c r="BG130" s="2609">
        <f t="shared" ca="1" si="40"/>
        <v>5.2580381789944106E-2</v>
      </c>
      <c r="BH130" s="2609">
        <f t="shared" ca="1" si="40"/>
        <v>4.6611470686127421E-2</v>
      </c>
      <c r="BI130" s="2609">
        <f t="shared" ca="1" si="40"/>
        <v>3.8813135062567151E-2</v>
      </c>
      <c r="BJ130" s="194"/>
    </row>
    <row r="131" spans="2:63">
      <c r="B131" s="193"/>
      <c r="C131" s="187"/>
      <c r="D131" s="2585" t="s">
        <v>1156</v>
      </c>
      <c r="E131" s="187"/>
      <c r="F131" s="2610"/>
      <c r="G131" s="2610"/>
      <c r="H131" s="2595"/>
      <c r="I131" s="2595"/>
      <c r="J131" s="2595"/>
      <c r="K131" s="2595"/>
      <c r="L131" s="2595"/>
      <c r="M131" s="2595"/>
      <c r="N131" s="2595"/>
      <c r="O131" s="2595"/>
      <c r="P131" s="2595"/>
      <c r="Q131" s="2595"/>
      <c r="R131" s="2595"/>
      <c r="S131" s="2595"/>
      <c r="T131" s="2595"/>
      <c r="U131" s="2595"/>
      <c r="V131" s="2595"/>
      <c r="W131" s="2595"/>
      <c r="X131" s="2595"/>
      <c r="Y131" s="2595"/>
      <c r="Z131" s="2595"/>
      <c r="AA131" s="2595"/>
      <c r="AB131" s="2595"/>
      <c r="AC131" s="2595"/>
      <c r="AD131" s="2595"/>
      <c r="AE131" s="2595"/>
      <c r="AF131" s="2595"/>
      <c r="AG131" s="2595"/>
      <c r="AH131" s="2595"/>
      <c r="AI131" s="2595"/>
      <c r="AJ131" s="2595"/>
      <c r="AK131" s="2595"/>
      <c r="AL131" s="2595"/>
      <c r="AM131" s="2595"/>
      <c r="AN131" s="2595"/>
      <c r="AO131" s="2595"/>
      <c r="AP131" s="2595"/>
      <c r="AQ131" s="2595"/>
      <c r="AR131" s="2595"/>
      <c r="AS131" s="2595"/>
      <c r="AT131" s="2595"/>
      <c r="AU131" s="2595"/>
      <c r="AV131" s="2595"/>
      <c r="AW131" s="2595"/>
      <c r="AX131" s="2610">
        <f>AX33</f>
        <v>0</v>
      </c>
      <c r="AY131" s="2610">
        <f ca="1">AY33-AY127</f>
        <v>0</v>
      </c>
      <c r="AZ131" s="2610"/>
      <c r="BA131" s="2610">
        <f t="shared" ref="BA131:BI131" ca="1" si="41">BA33-BA127</f>
        <v>2.2737367544323206E-13</v>
      </c>
      <c r="BB131" s="2610">
        <f t="shared" ca="1" si="41"/>
        <v>4.5474735088646412E-13</v>
      </c>
      <c r="BC131" s="2610">
        <f t="shared" ca="1" si="41"/>
        <v>2.2737367544323206E-13</v>
      </c>
      <c r="BD131" s="2610">
        <f t="shared" ca="1" si="41"/>
        <v>-4.5474735088646412E-13</v>
      </c>
      <c r="BE131" s="2610">
        <f t="shared" ca="1" si="41"/>
        <v>-4.5474735088646412E-13</v>
      </c>
      <c r="BF131" s="2610">
        <f t="shared" ca="1" si="41"/>
        <v>0</v>
      </c>
      <c r="BG131" s="2610">
        <f t="shared" ca="1" si="41"/>
        <v>9.0949470177292824E-13</v>
      </c>
      <c r="BH131" s="2610">
        <f t="shared" ca="1" si="41"/>
        <v>9.0949470177292824E-13</v>
      </c>
      <c r="BI131" s="2610">
        <f t="shared" ca="1" si="41"/>
        <v>9.0949470177292824E-13</v>
      </c>
      <c r="BJ131" s="194" t="s">
        <v>1145</v>
      </c>
    </row>
    <row r="132" spans="2:63">
      <c r="B132" s="193"/>
      <c r="C132" s="187"/>
      <c r="D132" s="2585" t="s">
        <v>2076</v>
      </c>
      <c r="E132" s="187"/>
      <c r="F132" s="2610"/>
      <c r="G132" s="2610"/>
      <c r="H132" s="2595"/>
      <c r="I132" s="2595"/>
      <c r="J132" s="2595"/>
      <c r="K132" s="2595"/>
      <c r="L132" s="2595"/>
      <c r="M132" s="2595"/>
      <c r="N132" s="2595"/>
      <c r="O132" s="2595"/>
      <c r="P132" s="2595"/>
      <c r="Q132" s="2595"/>
      <c r="R132" s="2595"/>
      <c r="S132" s="2595"/>
      <c r="T132" s="2595"/>
      <c r="U132" s="2595"/>
      <c r="V132" s="2595"/>
      <c r="W132" s="2595"/>
      <c r="X132" s="2595"/>
      <c r="Y132" s="2595"/>
      <c r="Z132" s="2595"/>
      <c r="AA132" s="2595"/>
      <c r="AB132" s="2595"/>
      <c r="AC132" s="2595"/>
      <c r="AD132" s="2595"/>
      <c r="AE132" s="2595"/>
      <c r="AF132" s="2595"/>
      <c r="AG132" s="2595"/>
      <c r="AH132" s="2595"/>
      <c r="AI132" s="2595"/>
      <c r="AJ132" s="2595"/>
      <c r="AK132" s="2595"/>
      <c r="AL132" s="2595"/>
      <c r="AM132" s="2595"/>
      <c r="AN132" s="2595"/>
      <c r="AO132" s="2595"/>
      <c r="AP132" s="2595"/>
      <c r="AQ132" s="2595"/>
      <c r="AR132" s="2595"/>
      <c r="AS132" s="2595"/>
      <c r="AT132" s="2595"/>
      <c r="AU132" s="2595"/>
      <c r="AV132" s="2595"/>
      <c r="AW132" s="2595"/>
      <c r="AX132" s="2610">
        <f t="shared" ref="AX132:BI132" si="42">IF(AX131&lt;0,AX131+AX129,AX129)</f>
        <v>0</v>
      </c>
      <c r="AY132" s="2610">
        <f t="shared" ca="1" si="42"/>
        <v>790.76970020552903</v>
      </c>
      <c r="AZ132" s="2610"/>
      <c r="BA132" s="2610">
        <f t="shared" ca="1" si="42"/>
        <v>1032.7162873841003</v>
      </c>
      <c r="BB132" s="2610">
        <f t="shared" ca="1" si="42"/>
        <v>1455.8968093122935</v>
      </c>
      <c r="BC132" s="2610">
        <f t="shared" ca="1" si="42"/>
        <v>2063.963133061764</v>
      </c>
      <c r="BD132" s="2610">
        <f t="shared" ca="1" si="42"/>
        <v>2848.3738320201105</v>
      </c>
      <c r="BE132" s="2610">
        <f t="shared" ca="1" si="42"/>
        <v>3900.1234784047756</v>
      </c>
      <c r="BF132" s="2610">
        <f t="shared" ca="1" si="42"/>
        <v>4836.305519548242</v>
      </c>
      <c r="BG132" s="2610">
        <f t="shared" ca="1" si="42"/>
        <v>5893.1577805937686</v>
      </c>
      <c r="BH132" s="2610">
        <f t="shared" ca="1" si="42"/>
        <v>6837.773164897314</v>
      </c>
      <c r="BI132" s="2610">
        <f t="shared" ca="1" si="42"/>
        <v>7907.6694446155816</v>
      </c>
      <c r="BJ132" s="194"/>
    </row>
    <row r="133" spans="2:63">
      <c r="B133" s="193"/>
      <c r="C133" s="186"/>
      <c r="D133" s="187"/>
      <c r="E133" s="2607"/>
      <c r="F133" s="187"/>
      <c r="G133" s="187"/>
      <c r="H133" s="2583"/>
      <c r="I133" s="2583"/>
      <c r="J133" s="2583"/>
      <c r="K133" s="2583"/>
      <c r="L133" s="2583"/>
      <c r="M133" s="2583"/>
      <c r="N133" s="2583"/>
      <c r="O133" s="2583"/>
      <c r="P133" s="2583"/>
      <c r="Q133" s="2583"/>
      <c r="R133" s="2583"/>
      <c r="S133" s="2583"/>
      <c r="T133" s="2583"/>
      <c r="U133" s="2583"/>
      <c r="V133" s="2583"/>
      <c r="W133" s="2583"/>
      <c r="X133" s="2583"/>
      <c r="Y133" s="2583"/>
      <c r="Z133" s="2583"/>
      <c r="AA133" s="2583"/>
      <c r="AB133" s="2583"/>
      <c r="AC133" s="2583"/>
      <c r="AD133" s="2583"/>
      <c r="AE133" s="2583"/>
      <c r="AF133" s="2583"/>
      <c r="AG133" s="2583"/>
      <c r="AH133" s="2583"/>
      <c r="AI133" s="2583"/>
      <c r="AJ133" s="2583"/>
      <c r="AK133" s="2583"/>
      <c r="AL133" s="2583"/>
      <c r="AM133" s="2583"/>
      <c r="AN133" s="2583"/>
      <c r="AO133" s="2583"/>
      <c r="AP133" s="2583"/>
      <c r="AQ133" s="2583"/>
      <c r="AR133" s="2583"/>
      <c r="AS133" s="2583"/>
      <c r="AT133" s="2583"/>
      <c r="AU133" s="2583"/>
      <c r="AV133" s="2583"/>
      <c r="AW133" s="2583"/>
      <c r="AX133" s="2607"/>
      <c r="AY133" s="2607"/>
      <c r="AZ133" s="2607"/>
      <c r="BA133" s="2607"/>
      <c r="BB133" s="2607"/>
      <c r="BC133" s="2607"/>
      <c r="BD133" s="2607"/>
      <c r="BE133" s="2607"/>
      <c r="BF133" s="2607"/>
      <c r="BG133" s="2607"/>
      <c r="BH133" s="2607"/>
      <c r="BI133" s="2607"/>
      <c r="BJ133" s="194"/>
    </row>
    <row r="134" spans="2:63">
      <c r="B134" s="193"/>
      <c r="C134" s="2600"/>
      <c r="D134" s="2600" t="str">
        <f>Preferences.PowerUnits&amp;" installed capacity"</f>
        <v>GW installed capacity</v>
      </c>
      <c r="E134" s="2600"/>
      <c r="F134" s="2600"/>
      <c r="G134" s="2600"/>
      <c r="H134" s="2611"/>
      <c r="I134" s="2611"/>
      <c r="J134" s="2611"/>
      <c r="K134" s="2611"/>
      <c r="L134" s="2611"/>
      <c r="M134" s="2611"/>
      <c r="N134" s="2611"/>
      <c r="O134" s="2611"/>
      <c r="P134" s="2611"/>
      <c r="Q134" s="2611"/>
      <c r="R134" s="2611"/>
      <c r="S134" s="2611"/>
      <c r="T134" s="2611"/>
      <c r="U134" s="2611"/>
      <c r="V134" s="2611"/>
      <c r="W134" s="2611"/>
      <c r="X134" s="2611"/>
      <c r="Y134" s="2611"/>
      <c r="Z134" s="2611"/>
      <c r="AA134" s="2611"/>
      <c r="AB134" s="2611"/>
      <c r="AC134" s="2611"/>
      <c r="AD134" s="2611"/>
      <c r="AE134" s="2611"/>
      <c r="AF134" s="2611"/>
      <c r="AG134" s="2611"/>
      <c r="AH134" s="2611"/>
      <c r="AI134" s="2611"/>
      <c r="AJ134" s="2611"/>
      <c r="AK134" s="2611"/>
      <c r="AL134" s="2611"/>
      <c r="AM134" s="2611"/>
      <c r="AN134" s="2611"/>
      <c r="AO134" s="2611"/>
      <c r="AP134" s="2611"/>
      <c r="AQ134" s="2611"/>
      <c r="AR134" s="2611"/>
      <c r="AS134" s="2611"/>
      <c r="AT134" s="2611"/>
      <c r="AU134" s="2611"/>
      <c r="AV134" s="2611"/>
      <c r="AW134" s="2611"/>
      <c r="AX134" s="2600"/>
      <c r="AY134" s="2601">
        <v>2007</v>
      </c>
      <c r="AZ134" s="2601"/>
      <c r="BA134" s="2601">
        <f>AY134+5</f>
        <v>2012</v>
      </c>
      <c r="BB134" s="2601">
        <f t="shared" ref="BB134:BI134" si="43">BA134+5</f>
        <v>2017</v>
      </c>
      <c r="BC134" s="2601">
        <f t="shared" si="43"/>
        <v>2022</v>
      </c>
      <c r="BD134" s="2601">
        <f t="shared" si="43"/>
        <v>2027</v>
      </c>
      <c r="BE134" s="2601">
        <f t="shared" si="43"/>
        <v>2032</v>
      </c>
      <c r="BF134" s="2601">
        <f t="shared" si="43"/>
        <v>2037</v>
      </c>
      <c r="BG134" s="2601">
        <f t="shared" si="43"/>
        <v>2042</v>
      </c>
      <c r="BH134" s="2601">
        <f t="shared" si="43"/>
        <v>2047</v>
      </c>
      <c r="BI134" s="2601">
        <f t="shared" si="43"/>
        <v>2052</v>
      </c>
      <c r="BJ134" s="194"/>
    </row>
    <row r="135" spans="2:63">
      <c r="B135" s="193"/>
      <c r="C135" s="1503" t="s">
        <v>248</v>
      </c>
      <c r="D135" s="187" t="str">
        <f>INDEX(Modules[Module], MATCH($C135, Modules[Code], 0))</f>
        <v>Gas Power Stations</v>
      </c>
      <c r="E135" s="1503"/>
      <c r="F135" s="2607"/>
      <c r="G135" s="2607"/>
      <c r="H135" s="2608"/>
      <c r="I135" s="2608"/>
      <c r="J135" s="2608"/>
      <c r="K135" s="2608"/>
      <c r="L135" s="2608"/>
      <c r="M135" s="2608"/>
      <c r="N135" s="2608"/>
      <c r="O135" s="2608"/>
      <c r="P135" s="2608"/>
      <c r="Q135" s="2608"/>
      <c r="R135" s="2608"/>
      <c r="S135" s="2608"/>
      <c r="T135" s="2608"/>
      <c r="U135" s="2608"/>
      <c r="V135" s="2608"/>
      <c r="W135" s="2608"/>
      <c r="X135" s="2608"/>
      <c r="Y135" s="2608"/>
      <c r="Z135" s="2608"/>
      <c r="AA135" s="2608"/>
      <c r="AB135" s="2608"/>
      <c r="AC135" s="2608"/>
      <c r="AD135" s="2608"/>
      <c r="AE135" s="2608"/>
      <c r="AF135" s="2608"/>
      <c r="AG135" s="2608"/>
      <c r="AH135" s="2608"/>
      <c r="AI135" s="2608"/>
      <c r="AJ135" s="2608"/>
      <c r="AK135" s="2608"/>
      <c r="AL135" s="2608"/>
      <c r="AM135" s="2608"/>
      <c r="AN135" s="2608"/>
      <c r="AO135" s="2608"/>
      <c r="AP135" s="2608"/>
      <c r="AQ135" s="2608"/>
      <c r="AR135" s="2608">
        <f>63.6*Unit.GW</f>
        <v>63.6</v>
      </c>
      <c r="AS135" s="2608">
        <f>63.6*Unit.GW</f>
        <v>63.6</v>
      </c>
      <c r="AT135" s="2608">
        <f>63.7*Unit.GW</f>
        <v>63.7</v>
      </c>
      <c r="AU135" s="2608">
        <f>64.5*Unit.GW</f>
        <v>64.5</v>
      </c>
      <c r="AV135" s="2608">
        <f>69.3*Unit.GW</f>
        <v>69.3</v>
      </c>
      <c r="AW135" s="2608" t="s">
        <v>1157</v>
      </c>
      <c r="AX135" s="1503"/>
      <c r="AY135" s="2846">
        <f t="shared" ref="AY135:BI149" ca="1" si="44">IFERROR(INDEX(INDIRECT($C135&amp;".info["&amp;AY$134&amp;"]"), MATCH("B.02", INDIRECT($C135&amp;".info[Vector]"), 0)), 0)</f>
        <v>0</v>
      </c>
      <c r="AZ135" s="2846"/>
      <c r="BA135" s="2846">
        <f t="shared" ca="1" si="44"/>
        <v>18.381</v>
      </c>
      <c r="BB135" s="2846">
        <f t="shared" ca="1" si="44"/>
        <v>20.919</v>
      </c>
      <c r="BC135" s="2846">
        <f t="shared" ca="1" si="44"/>
        <v>20.919</v>
      </c>
      <c r="BD135" s="2846">
        <f t="shared" ca="1" si="44"/>
        <v>20.919</v>
      </c>
      <c r="BE135" s="2846">
        <f t="shared" ca="1" si="44"/>
        <v>20.919</v>
      </c>
      <c r="BF135" s="2846">
        <f t="shared" ca="1" si="44"/>
        <v>20.919</v>
      </c>
      <c r="BG135" s="2846">
        <f t="shared" ca="1" si="44"/>
        <v>20.919</v>
      </c>
      <c r="BH135" s="2846">
        <f t="shared" ca="1" si="44"/>
        <v>20.919</v>
      </c>
      <c r="BI135" s="2846">
        <f t="shared" ca="1" si="44"/>
        <v>20.919</v>
      </c>
      <c r="BJ135" s="194"/>
    </row>
    <row r="136" spans="2:63">
      <c r="B136" s="193"/>
      <c r="C136" s="2598" t="s">
        <v>278</v>
      </c>
      <c r="D136" s="187" t="str">
        <f>INDEX(Modules[Module], MATCH($C136, Modules[Code], 0))</f>
        <v>Coal power stations</v>
      </c>
      <c r="E136" s="1503"/>
      <c r="F136" s="2607"/>
      <c r="G136" s="2607"/>
      <c r="H136" s="2608"/>
      <c r="I136" s="2608"/>
      <c r="J136" s="2608"/>
      <c r="K136" s="2608"/>
      <c r="L136" s="2608"/>
      <c r="M136" s="2608"/>
      <c r="N136" s="2608"/>
      <c r="O136" s="2608"/>
      <c r="P136" s="2608"/>
      <c r="Q136" s="2608"/>
      <c r="R136" s="2608"/>
      <c r="S136" s="2608"/>
      <c r="T136" s="2608"/>
      <c r="U136" s="2608"/>
      <c r="V136" s="2608"/>
      <c r="W136" s="2608"/>
      <c r="X136" s="2608"/>
      <c r="Y136" s="2608"/>
      <c r="Z136" s="2608"/>
      <c r="AA136" s="2608"/>
      <c r="AB136" s="2608"/>
      <c r="AC136" s="2608"/>
      <c r="AD136" s="2608"/>
      <c r="AE136" s="2608"/>
      <c r="AF136" s="2608"/>
      <c r="AG136" s="2608"/>
      <c r="AH136" s="2608"/>
      <c r="AI136" s="2608"/>
      <c r="AJ136" s="2608"/>
      <c r="AK136" s="2608"/>
      <c r="AL136" s="2608"/>
      <c r="AM136" s="2608"/>
      <c r="AN136" s="2608"/>
      <c r="AO136" s="2608"/>
      <c r="AP136" s="2608"/>
      <c r="AQ136" s="2608"/>
      <c r="AR136" s="2608"/>
      <c r="AS136" s="2608"/>
      <c r="AT136" s="2608"/>
      <c r="AU136" s="2608"/>
      <c r="AV136" s="2608"/>
      <c r="AW136" s="2608" t="s">
        <v>1158</v>
      </c>
      <c r="AX136" s="1503"/>
      <c r="AY136" s="2846">
        <f t="shared" ca="1" si="44"/>
        <v>82</v>
      </c>
      <c r="AZ136" s="2846"/>
      <c r="BA136" s="2846">
        <f t="shared" ca="1" si="44"/>
        <v>125.02330000000001</v>
      </c>
      <c r="BB136" s="2846">
        <f t="shared" ca="1" si="44"/>
        <v>175.2914387382277</v>
      </c>
      <c r="BC136" s="2846">
        <f t="shared" ca="1" si="44"/>
        <v>165.92363873822771</v>
      </c>
      <c r="BD136" s="2846">
        <f t="shared" ca="1" si="44"/>
        <v>152.38363873822772</v>
      </c>
      <c r="BE136" s="2846">
        <f t="shared" ca="1" si="44"/>
        <v>137.6836387382277</v>
      </c>
      <c r="BF136" s="2846">
        <f t="shared" ca="1" si="44"/>
        <v>124.92613873822771</v>
      </c>
      <c r="BG136" s="2846">
        <f t="shared" ca="1" si="44"/>
        <v>109.53513873822772</v>
      </c>
      <c r="BH136" s="2846">
        <f t="shared" ca="1" si="44"/>
        <v>98.050138738227716</v>
      </c>
      <c r="BI136" s="2846">
        <f t="shared" ca="1" si="44"/>
        <v>60.151138738227722</v>
      </c>
      <c r="BJ136" s="194"/>
    </row>
    <row r="137" spans="2:63">
      <c r="B137" s="193"/>
      <c r="C137" s="2598" t="s">
        <v>696</v>
      </c>
      <c r="D137" s="187" t="str">
        <f>INDEX(Modules[Module], MATCH($C137, Modules[Code], 0))</f>
        <v>Carbon Capture Storage (CCS)</v>
      </c>
      <c r="E137" s="1503"/>
      <c r="F137" s="2607"/>
      <c r="G137" s="2607"/>
      <c r="H137" s="2608"/>
      <c r="I137" s="2608"/>
      <c r="J137" s="2608"/>
      <c r="K137" s="2608"/>
      <c r="L137" s="2608"/>
      <c r="M137" s="2608"/>
      <c r="N137" s="2608"/>
      <c r="O137" s="2608"/>
      <c r="P137" s="2608"/>
      <c r="Q137" s="2608"/>
      <c r="R137" s="2608"/>
      <c r="S137" s="2608"/>
      <c r="T137" s="2608"/>
      <c r="U137" s="2608"/>
      <c r="V137" s="2608"/>
      <c r="W137" s="2608"/>
      <c r="X137" s="2608"/>
      <c r="Y137" s="2608"/>
      <c r="Z137" s="2608"/>
      <c r="AA137" s="2608"/>
      <c r="AB137" s="2608"/>
      <c r="AC137" s="2608"/>
      <c r="AD137" s="2608"/>
      <c r="AE137" s="2608"/>
      <c r="AF137" s="2608"/>
      <c r="AG137" s="2608"/>
      <c r="AH137" s="2608"/>
      <c r="AI137" s="2608"/>
      <c r="AJ137" s="2608"/>
      <c r="AK137" s="2608"/>
      <c r="AL137" s="2608"/>
      <c r="AM137" s="2608"/>
      <c r="AN137" s="2608"/>
      <c r="AO137" s="2608"/>
      <c r="AP137" s="2608"/>
      <c r="AQ137" s="2608"/>
      <c r="AR137" s="2608"/>
      <c r="AS137" s="2608"/>
      <c r="AT137" s="2608"/>
      <c r="AU137" s="2608"/>
      <c r="AV137" s="2608"/>
      <c r="AW137" s="2608"/>
      <c r="AX137" s="1503"/>
      <c r="AY137" s="2846">
        <f t="shared" ca="1" si="44"/>
        <v>0</v>
      </c>
      <c r="AZ137" s="2846"/>
      <c r="BA137" s="2846">
        <f t="shared" ca="1" si="44"/>
        <v>0</v>
      </c>
      <c r="BB137" s="2846">
        <f t="shared" ca="1" si="44"/>
        <v>0</v>
      </c>
      <c r="BC137" s="2846">
        <f t="shared" ca="1" si="44"/>
        <v>0</v>
      </c>
      <c r="BD137" s="2846">
        <f t="shared" ca="1" si="44"/>
        <v>0</v>
      </c>
      <c r="BE137" s="2846">
        <f t="shared" ca="1" si="44"/>
        <v>1</v>
      </c>
      <c r="BF137" s="2846">
        <f t="shared" ca="1" si="44"/>
        <v>2</v>
      </c>
      <c r="BG137" s="2846">
        <f t="shared" ca="1" si="44"/>
        <v>5</v>
      </c>
      <c r="BH137" s="2846">
        <f t="shared" ca="1" si="44"/>
        <v>7</v>
      </c>
      <c r="BI137" s="2846">
        <f t="shared" ca="1" si="44"/>
        <v>10</v>
      </c>
      <c r="BJ137" s="194"/>
    </row>
    <row r="138" spans="2:63">
      <c r="B138" s="193"/>
      <c r="C138" s="2598" t="s">
        <v>1819</v>
      </c>
      <c r="D138" s="187" t="str">
        <f>INDEX(Modules[Module], MATCH($C138, Modules[Code], 0))</f>
        <v>Electricity Balancing Requirement</v>
      </c>
      <c r="E138" s="1503"/>
      <c r="F138" s="2607"/>
      <c r="G138" s="2607"/>
      <c r="H138" s="2608"/>
      <c r="I138" s="2608"/>
      <c r="J138" s="2608"/>
      <c r="K138" s="2608"/>
      <c r="L138" s="2608"/>
      <c r="M138" s="2608"/>
      <c r="N138" s="2608"/>
      <c r="O138" s="2608"/>
      <c r="P138" s="2608"/>
      <c r="Q138" s="2608"/>
      <c r="R138" s="2608"/>
      <c r="S138" s="2608"/>
      <c r="T138" s="2608"/>
      <c r="U138" s="2608"/>
      <c r="V138" s="2608"/>
      <c r="W138" s="2608"/>
      <c r="X138" s="2608"/>
      <c r="Y138" s="2608"/>
      <c r="Z138" s="2608"/>
      <c r="AA138" s="2608"/>
      <c r="AB138" s="2608"/>
      <c r="AC138" s="2608"/>
      <c r="AD138" s="2608"/>
      <c r="AE138" s="2608"/>
      <c r="AF138" s="2608"/>
      <c r="AG138" s="2608"/>
      <c r="AH138" s="2608"/>
      <c r="AI138" s="2608"/>
      <c r="AJ138" s="2608"/>
      <c r="AK138" s="2608"/>
      <c r="AL138" s="2608"/>
      <c r="AM138" s="2608"/>
      <c r="AN138" s="2608"/>
      <c r="AO138" s="2608"/>
      <c r="AP138" s="2608"/>
      <c r="AQ138" s="2608"/>
      <c r="AR138" s="2608"/>
      <c r="AS138" s="2608"/>
      <c r="AT138" s="2608"/>
      <c r="AU138" s="2608"/>
      <c r="AV138" s="2608"/>
      <c r="AW138" s="2608"/>
      <c r="AX138" s="1503"/>
      <c r="AY138" s="2846">
        <f t="shared" ca="1" si="44"/>
        <v>11.506446686594195</v>
      </c>
      <c r="AZ138" s="2846"/>
      <c r="BA138" s="2846">
        <f t="shared" ca="1" si="44"/>
        <v>0.51077638826046257</v>
      </c>
      <c r="BB138" s="2846">
        <f t="shared" ca="1" si="44"/>
        <v>4.5647297728288754</v>
      </c>
      <c r="BC138" s="2846">
        <f t="shared" ca="1" si="44"/>
        <v>94.920473755987715</v>
      </c>
      <c r="BD138" s="2846">
        <f t="shared" ca="1" si="44"/>
        <v>215.01691728992043</v>
      </c>
      <c r="BE138" s="2846">
        <f t="shared" ca="1" si="44"/>
        <v>374.24277667545812</v>
      </c>
      <c r="BF138" s="2846">
        <f t="shared" ca="1" si="44"/>
        <v>515.43857694368262</v>
      </c>
      <c r="BG138" s="2846">
        <f t="shared" ca="1" si="44"/>
        <v>679.59023716585682</v>
      </c>
      <c r="BH138" s="2846">
        <f t="shared" ca="1" si="44"/>
        <v>829.6508924983948</v>
      </c>
      <c r="BI138" s="2846">
        <f t="shared" ca="1" si="44"/>
        <v>1024.3157925533287</v>
      </c>
      <c r="BJ138" s="194"/>
    </row>
    <row r="139" spans="2:63">
      <c r="B139" s="193"/>
      <c r="C139" s="1503" t="s">
        <v>61</v>
      </c>
      <c r="D139" s="1503" t="str">
        <f>INDEX(Modules[Module], MATCH($C139, Modules[Code], 0))</f>
        <v>Nuclear power</v>
      </c>
      <c r="E139" s="1503"/>
      <c r="F139" s="2607"/>
      <c r="G139" s="2607"/>
      <c r="H139" s="2608"/>
      <c r="I139" s="2608"/>
      <c r="J139" s="2608"/>
      <c r="K139" s="2608"/>
      <c r="L139" s="2608"/>
      <c r="M139" s="2608"/>
      <c r="N139" s="2608"/>
      <c r="O139" s="2608"/>
      <c r="P139" s="2608"/>
      <c r="Q139" s="2608"/>
      <c r="R139" s="2608"/>
      <c r="S139" s="2608"/>
      <c r="T139" s="2608"/>
      <c r="U139" s="2608"/>
      <c r="V139" s="2608"/>
      <c r="W139" s="2608"/>
      <c r="X139" s="2608"/>
      <c r="Y139" s="2608"/>
      <c r="Z139" s="2608"/>
      <c r="AA139" s="2608"/>
      <c r="AB139" s="2608"/>
      <c r="AC139" s="2608"/>
      <c r="AD139" s="2608"/>
      <c r="AE139" s="2608"/>
      <c r="AF139" s="2608"/>
      <c r="AG139" s="2608"/>
      <c r="AH139" s="2608"/>
      <c r="AI139" s="2608"/>
      <c r="AJ139" s="2608"/>
      <c r="AK139" s="2608"/>
      <c r="AL139" s="2608"/>
      <c r="AM139" s="2608"/>
      <c r="AN139" s="2608"/>
      <c r="AO139" s="2608"/>
      <c r="AP139" s="2608"/>
      <c r="AQ139" s="2608"/>
      <c r="AR139" s="2608"/>
      <c r="AS139" s="2608"/>
      <c r="AT139" s="2608"/>
      <c r="AU139" s="2608"/>
      <c r="AV139" s="2608"/>
      <c r="AW139" s="2608"/>
      <c r="AX139" s="1503"/>
      <c r="AY139" s="2846">
        <f t="shared" ca="1" si="44"/>
        <v>4.04</v>
      </c>
      <c r="AZ139" s="2846"/>
      <c r="BA139" s="2846">
        <f t="shared" ca="1" si="44"/>
        <v>4.68</v>
      </c>
      <c r="BB139" s="2846">
        <f t="shared" ca="1" si="44"/>
        <v>9.98</v>
      </c>
      <c r="BC139" s="2846">
        <f t="shared" ca="1" si="44"/>
        <v>9.66</v>
      </c>
      <c r="BD139" s="2846">
        <f t="shared" ca="1" si="44"/>
        <v>9.66</v>
      </c>
      <c r="BE139" s="2846">
        <f t="shared" ca="1" si="44"/>
        <v>9.4600000000000009</v>
      </c>
      <c r="BF139" s="2846">
        <f t="shared" ca="1" si="44"/>
        <v>9.02</v>
      </c>
      <c r="BG139" s="2846">
        <f t="shared" ca="1" si="44"/>
        <v>8.8000000000000007</v>
      </c>
      <c r="BH139" s="2846">
        <f t="shared" ca="1" si="44"/>
        <v>8.36</v>
      </c>
      <c r="BI139" s="2846">
        <f t="shared" ca="1" si="44"/>
        <v>8.36</v>
      </c>
      <c r="BJ139" s="194"/>
    </row>
    <row r="140" spans="2:63">
      <c r="B140" s="193"/>
      <c r="C140" s="1503" t="s">
        <v>62</v>
      </c>
      <c r="D140" s="187" t="str">
        <f>INDEX(Modules[Module], MATCH($C140, Modules[Code], 0))</f>
        <v>Hydro Power Generation</v>
      </c>
      <c r="E140" s="1503"/>
      <c r="F140" s="2607"/>
      <c r="G140" s="2607"/>
      <c r="H140" s="2608"/>
      <c r="I140" s="2608"/>
      <c r="J140" s="2608"/>
      <c r="K140" s="2608"/>
      <c r="L140" s="2608"/>
      <c r="M140" s="2608"/>
      <c r="N140" s="2608"/>
      <c r="O140" s="2608"/>
      <c r="P140" s="2608"/>
      <c r="Q140" s="2608"/>
      <c r="R140" s="2608"/>
      <c r="S140" s="2608"/>
      <c r="T140" s="2608"/>
      <c r="U140" s="2608"/>
      <c r="V140" s="2608"/>
      <c r="W140" s="2608"/>
      <c r="X140" s="2608"/>
      <c r="Y140" s="2608"/>
      <c r="Z140" s="2608"/>
      <c r="AA140" s="2608"/>
      <c r="AB140" s="2608"/>
      <c r="AC140" s="2608"/>
      <c r="AD140" s="2608"/>
      <c r="AE140" s="2608"/>
      <c r="AF140" s="2608"/>
      <c r="AG140" s="2608"/>
      <c r="AH140" s="2608"/>
      <c r="AI140" s="2608"/>
      <c r="AJ140" s="2608"/>
      <c r="AK140" s="2608"/>
      <c r="AL140" s="2608"/>
      <c r="AM140" s="2608"/>
      <c r="AN140" s="2608"/>
      <c r="AO140" s="2608"/>
      <c r="AP140" s="2608"/>
      <c r="AQ140" s="2608"/>
      <c r="AR140" s="2608">
        <f>11*Unit.GW</f>
        <v>11</v>
      </c>
      <c r="AS140" s="2608">
        <f>11*Unit.GW</f>
        <v>11</v>
      </c>
      <c r="AT140" s="2608">
        <f>11*Unit.GW</f>
        <v>11</v>
      </c>
      <c r="AU140" s="2608">
        <f>10.9*Unit.GW</f>
        <v>10.9</v>
      </c>
      <c r="AV140" s="2608">
        <f>10.9*Unit.GW</f>
        <v>10.9</v>
      </c>
      <c r="AW140" s="2608" t="s">
        <v>1159</v>
      </c>
      <c r="AX140" s="1503"/>
      <c r="AY140" s="2846">
        <f t="shared" ca="1" si="44"/>
        <v>34.65</v>
      </c>
      <c r="AZ140" s="2846"/>
      <c r="BA140" s="2846">
        <f t="shared" ca="1" si="44"/>
        <v>41</v>
      </c>
      <c r="BB140" s="2846">
        <f t="shared" ca="1" si="44"/>
        <v>49</v>
      </c>
      <c r="BC140" s="2846">
        <f t="shared" ca="1" si="44"/>
        <v>49</v>
      </c>
      <c r="BD140" s="2846">
        <f t="shared" ca="1" si="44"/>
        <v>49</v>
      </c>
      <c r="BE140" s="2846">
        <f t="shared" ca="1" si="44"/>
        <v>49</v>
      </c>
      <c r="BF140" s="2846">
        <f t="shared" ca="1" si="44"/>
        <v>49</v>
      </c>
      <c r="BG140" s="2846">
        <f t="shared" ca="1" si="44"/>
        <v>49</v>
      </c>
      <c r="BH140" s="2846">
        <f t="shared" ca="1" si="44"/>
        <v>49</v>
      </c>
      <c r="BI140" s="2846">
        <f t="shared" ca="1" si="44"/>
        <v>49</v>
      </c>
      <c r="BJ140" s="194"/>
    </row>
    <row r="141" spans="2:63">
      <c r="B141" s="193"/>
      <c r="C141" s="2598" t="s">
        <v>311</v>
      </c>
      <c r="D141" s="187" t="str">
        <f>INDEX(Modules[Module], MATCH($C141, Modules[Code], 0))</f>
        <v>Solar PV</v>
      </c>
      <c r="E141" s="1503"/>
      <c r="F141" s="2607"/>
      <c r="G141" s="2607"/>
      <c r="H141" s="2608"/>
      <c r="I141" s="2608"/>
      <c r="J141" s="2608"/>
      <c r="K141" s="2608"/>
      <c r="L141" s="2608"/>
      <c r="M141" s="2608"/>
      <c r="N141" s="2608"/>
      <c r="O141" s="2608"/>
      <c r="P141" s="2608"/>
      <c r="Q141" s="2608"/>
      <c r="R141" s="2608"/>
      <c r="S141" s="2608"/>
      <c r="T141" s="2608"/>
      <c r="U141" s="2608"/>
      <c r="V141" s="2608"/>
      <c r="W141" s="2608"/>
      <c r="X141" s="2608"/>
      <c r="Y141" s="2608"/>
      <c r="Z141" s="2608"/>
      <c r="AA141" s="2608"/>
      <c r="AB141" s="2608"/>
      <c r="AC141" s="2608"/>
      <c r="AD141" s="2608"/>
      <c r="AE141" s="2608"/>
      <c r="AF141" s="2608"/>
      <c r="AG141" s="2608"/>
      <c r="AH141" s="2608"/>
      <c r="AI141" s="2608"/>
      <c r="AJ141" s="2608"/>
      <c r="AK141" s="2608"/>
      <c r="AL141" s="2608"/>
      <c r="AM141" s="2608"/>
      <c r="AN141" s="2608"/>
      <c r="AO141" s="2608"/>
      <c r="AP141" s="2608"/>
      <c r="AQ141" s="2608"/>
      <c r="AR141" s="2608"/>
      <c r="AS141" s="2608"/>
      <c r="AT141" s="2608"/>
      <c r="AU141" s="2608"/>
      <c r="AV141" s="2608"/>
      <c r="AW141" s="2608" t="s">
        <v>1160</v>
      </c>
      <c r="AX141" s="1503"/>
      <c r="AY141" s="2846">
        <f t="shared" ca="1" si="44"/>
        <v>0</v>
      </c>
      <c r="AZ141" s="2846"/>
      <c r="BA141" s="2846">
        <f t="shared" ca="1" si="44"/>
        <v>0.94100000000000006</v>
      </c>
      <c r="BB141" s="2846">
        <f t="shared" ca="1" si="44"/>
        <v>4.9409999999999998</v>
      </c>
      <c r="BC141" s="2846">
        <f t="shared" ca="1" si="44"/>
        <v>10.940999999999999</v>
      </c>
      <c r="BD141" s="2846">
        <f t="shared" ca="1" si="44"/>
        <v>18.940999999999999</v>
      </c>
      <c r="BE141" s="2846">
        <f t="shared" ca="1" si="44"/>
        <v>26.940999999999999</v>
      </c>
      <c r="BF141" s="2846">
        <f t="shared" ca="1" si="44"/>
        <v>33.941000000000003</v>
      </c>
      <c r="BG141" s="2846">
        <f t="shared" ca="1" si="44"/>
        <v>38</v>
      </c>
      <c r="BH141" s="2846">
        <f t="shared" ca="1" si="44"/>
        <v>37</v>
      </c>
      <c r="BI141" s="2846">
        <f t="shared" ca="1" si="44"/>
        <v>32</v>
      </c>
      <c r="BJ141" s="194"/>
    </row>
    <row r="142" spans="2:63">
      <c r="B142" s="193"/>
      <c r="C142" s="2598" t="s">
        <v>407</v>
      </c>
      <c r="D142" s="1503" t="str">
        <f>INDEX(Modules[Module], MATCH($C142, Modules[Code], 0))</f>
        <v>Solar CSP</v>
      </c>
      <c r="E142" s="1503"/>
      <c r="F142" s="2607"/>
      <c r="G142" s="2607"/>
      <c r="H142" s="2608"/>
      <c r="I142" s="2608"/>
      <c r="J142" s="2608"/>
      <c r="K142" s="2608"/>
      <c r="L142" s="2608"/>
      <c r="M142" s="2608"/>
      <c r="N142" s="2608"/>
      <c r="O142" s="2608"/>
      <c r="P142" s="2608"/>
      <c r="Q142" s="2608"/>
      <c r="R142" s="2608"/>
      <c r="S142" s="2608"/>
      <c r="T142" s="2608"/>
      <c r="U142" s="2608"/>
      <c r="V142" s="2608"/>
      <c r="W142" s="2608"/>
      <c r="X142" s="2608"/>
      <c r="Y142" s="2608"/>
      <c r="Z142" s="2608"/>
      <c r="AA142" s="2608"/>
      <c r="AB142" s="2608"/>
      <c r="AC142" s="2608"/>
      <c r="AD142" s="2608"/>
      <c r="AE142" s="2608"/>
      <c r="AF142" s="2608"/>
      <c r="AG142" s="2608"/>
      <c r="AH142" s="2608"/>
      <c r="AI142" s="2608"/>
      <c r="AJ142" s="2608"/>
      <c r="AK142" s="2608"/>
      <c r="AL142" s="2608"/>
      <c r="AM142" s="2608"/>
      <c r="AN142" s="2608"/>
      <c r="AO142" s="2608"/>
      <c r="AP142" s="2608"/>
      <c r="AQ142" s="2608"/>
      <c r="AR142" s="2608"/>
      <c r="AS142" s="2608"/>
      <c r="AT142" s="2608"/>
      <c r="AU142" s="2608"/>
      <c r="AV142" s="2608"/>
      <c r="AW142" s="2608"/>
      <c r="AX142" s="1503"/>
      <c r="AY142" s="2846">
        <f t="shared" ca="1" si="44"/>
        <v>0</v>
      </c>
      <c r="AZ142" s="2846"/>
      <c r="BA142" s="2846">
        <f t="shared" ca="1" si="44"/>
        <v>0</v>
      </c>
      <c r="BB142" s="2846">
        <f t="shared" ca="1" si="44"/>
        <v>1</v>
      </c>
      <c r="BC142" s="2846">
        <f t="shared" ca="1" si="44"/>
        <v>3</v>
      </c>
      <c r="BD142" s="2846">
        <f t="shared" ca="1" si="44"/>
        <v>5</v>
      </c>
      <c r="BE142" s="2846">
        <f t="shared" ca="1" si="44"/>
        <v>7.5</v>
      </c>
      <c r="BF142" s="2846">
        <f t="shared" ca="1" si="44"/>
        <v>9.5</v>
      </c>
      <c r="BG142" s="2846">
        <f t="shared" ca="1" si="44"/>
        <v>10.5</v>
      </c>
      <c r="BH142" s="2846">
        <f t="shared" ca="1" si="44"/>
        <v>9.5</v>
      </c>
      <c r="BI142" s="2846">
        <f t="shared" ca="1" si="44"/>
        <v>7.5</v>
      </c>
      <c r="BJ142" s="194"/>
    </row>
    <row r="143" spans="2:63">
      <c r="B143" s="193"/>
      <c r="C143" s="2598" t="s">
        <v>1071</v>
      </c>
      <c r="D143" s="187" t="str">
        <f>INDEX(Modules[Module], MATCH($C143, Modules[Code], 0))</f>
        <v>Onshore Wind</v>
      </c>
      <c r="E143" s="1503"/>
      <c r="F143" s="2607"/>
      <c r="G143" s="2607"/>
      <c r="H143" s="2608"/>
      <c r="I143" s="2608"/>
      <c r="J143" s="2608"/>
      <c r="K143" s="2608"/>
      <c r="L143" s="2608"/>
      <c r="M143" s="2608"/>
      <c r="N143" s="2608"/>
      <c r="O143" s="2608"/>
      <c r="P143" s="2608"/>
      <c r="Q143" s="2608"/>
      <c r="R143" s="2608"/>
      <c r="S143" s="2608"/>
      <c r="T143" s="2608"/>
      <c r="U143" s="2608"/>
      <c r="V143" s="2608"/>
      <c r="W143" s="2608"/>
      <c r="X143" s="2608"/>
      <c r="Y143" s="2608"/>
      <c r="Z143" s="2608"/>
      <c r="AA143" s="2608"/>
      <c r="AB143" s="2608"/>
      <c r="AC143" s="2608"/>
      <c r="AD143" s="2608"/>
      <c r="AE143" s="2608"/>
      <c r="AF143" s="2608"/>
      <c r="AG143" s="2608"/>
      <c r="AH143" s="2608"/>
      <c r="AI143" s="2608"/>
      <c r="AJ143" s="2608"/>
      <c r="AK143" s="2608"/>
      <c r="AL143" s="2608"/>
      <c r="AM143" s="2608"/>
      <c r="AN143" s="2608"/>
      <c r="AO143" s="2608"/>
      <c r="AP143" s="2608"/>
      <c r="AQ143" s="2608"/>
      <c r="AR143" s="2608">
        <f>1.4*Unit.GW</f>
        <v>1.4</v>
      </c>
      <c r="AS143" s="2608">
        <f>1.4*Unit.GW</f>
        <v>1.4</v>
      </c>
      <c r="AT143" s="2608">
        <f>1.5*Unit.GW</f>
        <v>1.5</v>
      </c>
      <c r="AU143" s="2608">
        <f>1.5*Unit.GW</f>
        <v>1.5</v>
      </c>
      <c r="AV143" s="2608">
        <f>1.5*Unit.GW</f>
        <v>1.5</v>
      </c>
      <c r="AW143" s="2608" t="s">
        <v>1161</v>
      </c>
      <c r="AX143" s="1503"/>
      <c r="AY143" s="2846">
        <f t="shared" ca="1" si="44"/>
        <v>7.0939899999999998</v>
      </c>
      <c r="AZ143" s="2846"/>
      <c r="BA143" s="2846">
        <f t="shared" ca="1" si="44"/>
        <v>10.353</v>
      </c>
      <c r="BB143" s="2846">
        <f t="shared" ca="1" si="44"/>
        <v>18.853000000000002</v>
      </c>
      <c r="BC143" s="2846">
        <f t="shared" ca="1" si="44"/>
        <v>28.853000000000002</v>
      </c>
      <c r="BD143" s="2846">
        <f t="shared" ca="1" si="44"/>
        <v>38.853000000000002</v>
      </c>
      <c r="BE143" s="2846">
        <f t="shared" ca="1" si="44"/>
        <v>51.353000000000002</v>
      </c>
      <c r="BF143" s="2846">
        <f t="shared" ca="1" si="44"/>
        <v>56.759010000000004</v>
      </c>
      <c r="BG143" s="2846">
        <f t="shared" ca="1" si="44"/>
        <v>58.5</v>
      </c>
      <c r="BH143" s="2846">
        <f t="shared" ca="1" si="44"/>
        <v>60</v>
      </c>
      <c r="BI143" s="2846">
        <f t="shared" ca="1" si="44"/>
        <v>58</v>
      </c>
      <c r="BJ143" s="194"/>
    </row>
    <row r="144" spans="2:63">
      <c r="B144" s="193"/>
      <c r="C144" s="2598" t="s">
        <v>1285</v>
      </c>
      <c r="D144" s="187" t="str">
        <f>INDEX(Modules[Module], MATCH($C144, Modules[Code], 0))</f>
        <v>Offshore Wind</v>
      </c>
      <c r="E144" s="1503"/>
      <c r="F144" s="2607"/>
      <c r="G144" s="2607"/>
      <c r="H144" s="2608"/>
      <c r="I144" s="2608"/>
      <c r="J144" s="2608"/>
      <c r="K144" s="2608"/>
      <c r="L144" s="2608"/>
      <c r="M144" s="2608"/>
      <c r="N144" s="2608"/>
      <c r="O144" s="2608"/>
      <c r="P144" s="2608"/>
      <c r="Q144" s="2608"/>
      <c r="R144" s="2608"/>
      <c r="S144" s="2608"/>
      <c r="T144" s="2608"/>
      <c r="U144" s="2608"/>
      <c r="V144" s="2608"/>
      <c r="W144" s="2608"/>
      <c r="X144" s="2608"/>
      <c r="Y144" s="2608"/>
      <c r="Z144" s="2608"/>
      <c r="AA144" s="2608"/>
      <c r="AB144" s="2608"/>
      <c r="AC144" s="2608"/>
      <c r="AD144" s="2608"/>
      <c r="AE144" s="2608"/>
      <c r="AF144" s="2608"/>
      <c r="AG144" s="2608"/>
      <c r="AH144" s="2608"/>
      <c r="AI144" s="2608"/>
      <c r="AJ144" s="2608"/>
      <c r="AK144" s="2608"/>
      <c r="AL144" s="2608"/>
      <c r="AM144" s="2608"/>
      <c r="AN144" s="2608"/>
      <c r="AO144" s="2608"/>
      <c r="AP144" s="2608"/>
      <c r="AQ144" s="2608"/>
      <c r="AR144" s="2608"/>
      <c r="AS144" s="2608"/>
      <c r="AT144" s="2608"/>
      <c r="AU144" s="2608"/>
      <c r="AV144" s="2608"/>
      <c r="AW144" s="2608"/>
      <c r="AX144" s="1503"/>
      <c r="AY144" s="2846">
        <f t="shared" ca="1" si="44"/>
        <v>0</v>
      </c>
      <c r="AZ144" s="2846"/>
      <c r="BA144" s="2846">
        <f t="shared" ca="1" si="44"/>
        <v>0</v>
      </c>
      <c r="BB144" s="2846">
        <f t="shared" ca="1" si="44"/>
        <v>0</v>
      </c>
      <c r="BC144" s="2846">
        <f t="shared" ca="1" si="44"/>
        <v>0.5</v>
      </c>
      <c r="BD144" s="2846">
        <f t="shared" ca="1" si="44"/>
        <v>1</v>
      </c>
      <c r="BE144" s="2846">
        <f t="shared" ca="1" si="44"/>
        <v>1.5</v>
      </c>
      <c r="BF144" s="2846">
        <f t="shared" ca="1" si="44"/>
        <v>2.5</v>
      </c>
      <c r="BG144" s="2846">
        <f t="shared" ca="1" si="44"/>
        <v>3.5</v>
      </c>
      <c r="BH144" s="2846">
        <f t="shared" ca="1" si="44"/>
        <v>4</v>
      </c>
      <c r="BI144" s="2846">
        <f t="shared" ca="1" si="44"/>
        <v>4</v>
      </c>
      <c r="BJ144" s="194"/>
    </row>
    <row r="145" spans="1:62">
      <c r="B145" s="193"/>
      <c r="C145" s="2598" t="s">
        <v>1073</v>
      </c>
      <c r="D145" s="187" t="str">
        <f>INDEX(Modules[Module], MATCH($C145, Modules[Code], 0))</f>
        <v>Small Hydro</v>
      </c>
      <c r="E145" s="1503"/>
      <c r="F145" s="2607"/>
      <c r="G145" s="2607"/>
      <c r="H145" s="2608"/>
      <c r="I145" s="2608"/>
      <c r="J145" s="2608"/>
      <c r="K145" s="2608"/>
      <c r="L145" s="2608"/>
      <c r="M145" s="2608"/>
      <c r="N145" s="2608"/>
      <c r="O145" s="2608"/>
      <c r="P145" s="2608"/>
      <c r="Q145" s="2608"/>
      <c r="R145" s="2608"/>
      <c r="S145" s="2608"/>
      <c r="T145" s="2608"/>
      <c r="U145" s="2608"/>
      <c r="V145" s="2608"/>
      <c r="W145" s="2608"/>
      <c r="X145" s="2608"/>
      <c r="Y145" s="2608"/>
      <c r="Z145" s="2608"/>
      <c r="AA145" s="2608"/>
      <c r="AB145" s="2608"/>
      <c r="AC145" s="2608"/>
      <c r="AD145" s="2608"/>
      <c r="AE145" s="2608"/>
      <c r="AF145" s="2608"/>
      <c r="AG145" s="2608"/>
      <c r="AH145" s="2608"/>
      <c r="AI145" s="2608"/>
      <c r="AJ145" s="2608"/>
      <c r="AK145" s="2608"/>
      <c r="AL145" s="2608"/>
      <c r="AM145" s="2608"/>
      <c r="AN145" s="2608"/>
      <c r="AO145" s="2608"/>
      <c r="AP145" s="2608"/>
      <c r="AQ145" s="2608"/>
      <c r="AR145" s="2608"/>
      <c r="AS145" s="2608"/>
      <c r="AT145" s="2608"/>
      <c r="AU145" s="2608"/>
      <c r="AV145" s="2608"/>
      <c r="AW145" s="2608"/>
      <c r="AX145" s="1503"/>
      <c r="AY145" s="2846">
        <f t="shared" ca="1" si="44"/>
        <v>1.9756</v>
      </c>
      <c r="AZ145" s="2846"/>
      <c r="BA145" s="2846">
        <f t="shared" ca="1" si="44"/>
        <v>3.3856000000000002</v>
      </c>
      <c r="BB145" s="2846">
        <f t="shared" ca="1" si="44"/>
        <v>4.8856000000000002</v>
      </c>
      <c r="BC145" s="2846">
        <f t="shared" ca="1" si="44"/>
        <v>6.5856000000000003</v>
      </c>
      <c r="BD145" s="2846">
        <f t="shared" ca="1" si="44"/>
        <v>7.5856000000000003</v>
      </c>
      <c r="BE145" s="2846">
        <f t="shared" ca="1" si="44"/>
        <v>8.5855999999999995</v>
      </c>
      <c r="BF145" s="2846">
        <f t="shared" ca="1" si="44"/>
        <v>9.0855999999999995</v>
      </c>
      <c r="BG145" s="2846">
        <f t="shared" ca="1" si="44"/>
        <v>8.9599999999999991</v>
      </c>
      <c r="BH145" s="2846">
        <f t="shared" ca="1" si="44"/>
        <v>9.0405999999999995</v>
      </c>
      <c r="BI145" s="2846">
        <f t="shared" ca="1" si="44"/>
        <v>9.0405999999999995</v>
      </c>
      <c r="BJ145" s="194"/>
    </row>
    <row r="146" spans="1:62">
      <c r="B146" s="193"/>
      <c r="C146" s="2598" t="s">
        <v>304</v>
      </c>
      <c r="D146" s="187" t="s">
        <v>499</v>
      </c>
      <c r="E146" s="1503"/>
      <c r="F146" s="2607"/>
      <c r="G146" s="2607"/>
      <c r="H146" s="2608"/>
      <c r="I146" s="2608"/>
      <c r="J146" s="2608"/>
      <c r="K146" s="2608"/>
      <c r="L146" s="2608"/>
      <c r="M146" s="2608"/>
      <c r="N146" s="2608"/>
      <c r="O146" s="2608"/>
      <c r="P146" s="2608"/>
      <c r="Q146" s="2608"/>
      <c r="R146" s="2608"/>
      <c r="S146" s="2608"/>
      <c r="T146" s="2608"/>
      <c r="U146" s="2608"/>
      <c r="V146" s="2608"/>
      <c r="W146" s="2608"/>
      <c r="X146" s="2608"/>
      <c r="Y146" s="2608"/>
      <c r="Z146" s="2608"/>
      <c r="AA146" s="2608"/>
      <c r="AB146" s="2608"/>
      <c r="AC146" s="2608"/>
      <c r="AD146" s="2608"/>
      <c r="AE146" s="2608"/>
      <c r="AF146" s="2608"/>
      <c r="AG146" s="2608"/>
      <c r="AH146" s="2608"/>
      <c r="AI146" s="2608"/>
      <c r="AJ146" s="2608"/>
      <c r="AK146" s="2608"/>
      <c r="AL146" s="2608"/>
      <c r="AM146" s="2608"/>
      <c r="AN146" s="2608"/>
      <c r="AO146" s="2608"/>
      <c r="AP146" s="2608"/>
      <c r="AQ146" s="2608"/>
      <c r="AR146" s="2608"/>
      <c r="AS146" s="2608"/>
      <c r="AT146" s="2608"/>
      <c r="AU146" s="2608"/>
      <c r="AV146" s="2608"/>
      <c r="AW146" s="2608"/>
      <c r="AX146" s="1503"/>
      <c r="AY146" s="2846">
        <f t="shared" ca="1" si="44"/>
        <v>1.0101398712196108</v>
      </c>
      <c r="AZ146" s="2846"/>
      <c r="BA146" s="2846">
        <f t="shared" ca="1" si="44"/>
        <v>1.3896660392425277</v>
      </c>
      <c r="BB146" s="2846">
        <f t="shared" ca="1" si="44"/>
        <v>1.5855498160506503</v>
      </c>
      <c r="BC146" s="2846">
        <f t="shared" ca="1" si="44"/>
        <v>1.7814335928587721</v>
      </c>
      <c r="BD146" s="2846">
        <f t="shared" ca="1" si="44"/>
        <v>1.9773173696668951</v>
      </c>
      <c r="BE146" s="2846">
        <f t="shared" ca="1" si="44"/>
        <v>2.1732011464750176</v>
      </c>
      <c r="BF146" s="2846">
        <f t="shared" ca="1" si="44"/>
        <v>2.3690849232831392</v>
      </c>
      <c r="BG146" s="2846">
        <f t="shared" ca="1" si="44"/>
        <v>2.5649687000912622</v>
      </c>
      <c r="BH146" s="2846">
        <f t="shared" ca="1" si="44"/>
        <v>2.7608524768993843</v>
      </c>
      <c r="BI146" s="2846">
        <f t="shared" ca="1" si="44"/>
        <v>2.9567362537075064</v>
      </c>
      <c r="BJ146" s="194"/>
    </row>
    <row r="147" spans="1:62">
      <c r="B147" s="193"/>
      <c r="C147" s="2598" t="s">
        <v>296</v>
      </c>
      <c r="D147" s="187" t="str">
        <f>INDEX(Modules[Module], MATCH($C147, Modules[Code], 0))</f>
        <v>Waste to Electricity</v>
      </c>
      <c r="E147" s="1503"/>
      <c r="F147" s="2607"/>
      <c r="G147" s="2607"/>
      <c r="H147" s="2608"/>
      <c r="I147" s="2608"/>
      <c r="J147" s="2608"/>
      <c r="K147" s="2608"/>
      <c r="L147" s="2608"/>
      <c r="M147" s="2608"/>
      <c r="N147" s="2608"/>
      <c r="O147" s="2608"/>
      <c r="P147" s="2608"/>
      <c r="Q147" s="2608"/>
      <c r="R147" s="2608"/>
      <c r="S147" s="2608"/>
      <c r="T147" s="2608"/>
      <c r="U147" s="2608"/>
      <c r="V147" s="2608"/>
      <c r="W147" s="2608"/>
      <c r="X147" s="2608"/>
      <c r="Y147" s="2608"/>
      <c r="Z147" s="2608"/>
      <c r="AA147" s="2608"/>
      <c r="AB147" s="2608"/>
      <c r="AC147" s="2608"/>
      <c r="AD147" s="2608"/>
      <c r="AE147" s="2608"/>
      <c r="AF147" s="2608"/>
      <c r="AG147" s="2608"/>
      <c r="AH147" s="2608"/>
      <c r="AI147" s="2608"/>
      <c r="AJ147" s="2608"/>
      <c r="AK147" s="2608"/>
      <c r="AL147" s="2608"/>
      <c r="AM147" s="2608"/>
      <c r="AN147" s="2608"/>
      <c r="AO147" s="2608"/>
      <c r="AP147" s="2608"/>
      <c r="AQ147" s="2608"/>
      <c r="AR147" s="2608"/>
      <c r="AS147" s="2608"/>
      <c r="AT147" s="2608"/>
      <c r="AU147" s="2608"/>
      <c r="AV147" s="2608"/>
      <c r="AW147" s="2608" t="s">
        <v>1162</v>
      </c>
      <c r="AX147" s="1503"/>
      <c r="AY147" s="2846">
        <f t="shared" ca="1" si="44"/>
        <v>0</v>
      </c>
      <c r="AZ147" s="2846"/>
      <c r="BA147" s="2846">
        <f t="shared" ca="1" si="44"/>
        <v>0</v>
      </c>
      <c r="BB147" s="2846">
        <f t="shared" ca="1" si="44"/>
        <v>0</v>
      </c>
      <c r="BC147" s="2846">
        <f t="shared" ca="1" si="44"/>
        <v>0</v>
      </c>
      <c r="BD147" s="2846">
        <f t="shared" ca="1" si="44"/>
        <v>0</v>
      </c>
      <c r="BE147" s="2846">
        <f t="shared" ca="1" si="44"/>
        <v>0</v>
      </c>
      <c r="BF147" s="2846">
        <f t="shared" ca="1" si="44"/>
        <v>0</v>
      </c>
      <c r="BG147" s="2846">
        <f t="shared" ca="1" si="44"/>
        <v>0</v>
      </c>
      <c r="BH147" s="2846">
        <f t="shared" ca="1" si="44"/>
        <v>0</v>
      </c>
      <c r="BI147" s="2846">
        <f t="shared" ca="1" si="44"/>
        <v>0</v>
      </c>
      <c r="BJ147" s="194"/>
    </row>
    <row r="148" spans="1:62">
      <c r="B148" s="193"/>
      <c r="C148" s="2598"/>
      <c r="D148" s="2598"/>
      <c r="E148" s="1503"/>
      <c r="F148" s="2598"/>
      <c r="G148" s="2598"/>
      <c r="H148" s="2612"/>
      <c r="I148" s="2612"/>
      <c r="J148" s="2612"/>
      <c r="K148" s="2612"/>
      <c r="L148" s="2612"/>
      <c r="M148" s="2612"/>
      <c r="N148" s="2612"/>
      <c r="O148" s="2612"/>
      <c r="P148" s="2612"/>
      <c r="Q148" s="2612"/>
      <c r="R148" s="2612"/>
      <c r="S148" s="2612"/>
      <c r="T148" s="2612"/>
      <c r="U148" s="2612"/>
      <c r="V148" s="2612"/>
      <c r="W148" s="2612"/>
      <c r="X148" s="2612"/>
      <c r="Y148" s="2612"/>
      <c r="Z148" s="2612"/>
      <c r="AA148" s="2612"/>
      <c r="AB148" s="2612"/>
      <c r="AC148" s="2612"/>
      <c r="AD148" s="2612"/>
      <c r="AE148" s="2612"/>
      <c r="AF148" s="2612"/>
      <c r="AG148" s="2612"/>
      <c r="AH148" s="2612"/>
      <c r="AI148" s="2612"/>
      <c r="AJ148" s="2612"/>
      <c r="AK148" s="2612"/>
      <c r="AL148" s="2612"/>
      <c r="AM148" s="2612"/>
      <c r="AN148" s="2612"/>
      <c r="AO148" s="2612"/>
      <c r="AP148" s="2612"/>
      <c r="AQ148" s="2612"/>
      <c r="AR148" s="2612"/>
      <c r="AS148" s="2612"/>
      <c r="AT148" s="2612"/>
      <c r="AU148" s="2612"/>
      <c r="AV148" s="2612"/>
      <c r="AW148" s="2612"/>
      <c r="AX148" s="1503"/>
      <c r="AY148" s="2846">
        <f t="shared" ca="1" si="44"/>
        <v>0</v>
      </c>
      <c r="AZ148" s="2846"/>
      <c r="BA148" s="2846">
        <f t="shared" ca="1" si="44"/>
        <v>0</v>
      </c>
      <c r="BB148" s="2846">
        <f t="shared" ca="1" si="44"/>
        <v>0</v>
      </c>
      <c r="BC148" s="2846">
        <f t="shared" ca="1" si="44"/>
        <v>0</v>
      </c>
      <c r="BD148" s="2846">
        <f t="shared" ca="1" si="44"/>
        <v>0</v>
      </c>
      <c r="BE148" s="2846">
        <f t="shared" ca="1" si="44"/>
        <v>0</v>
      </c>
      <c r="BF148" s="2846">
        <f t="shared" ca="1" si="44"/>
        <v>0</v>
      </c>
      <c r="BG148" s="2846">
        <f t="shared" ca="1" si="44"/>
        <v>0</v>
      </c>
      <c r="BH148" s="2846">
        <f t="shared" ca="1" si="44"/>
        <v>0</v>
      </c>
      <c r="BI148" s="2846">
        <f t="shared" ca="1" si="44"/>
        <v>0</v>
      </c>
      <c r="BJ148" s="194"/>
    </row>
    <row r="149" spans="1:62">
      <c r="B149" s="193"/>
      <c r="C149" s="2598" t="s">
        <v>267</v>
      </c>
      <c r="D149" s="2598" t="s">
        <v>1163</v>
      </c>
      <c r="E149" s="1503"/>
      <c r="F149" s="2598"/>
      <c r="G149" s="2598"/>
      <c r="H149" s="2612"/>
      <c r="I149" s="2612"/>
      <c r="J149" s="2612"/>
      <c r="K149" s="2612"/>
      <c r="L149" s="2612"/>
      <c r="M149" s="2612"/>
      <c r="N149" s="2612"/>
      <c r="O149" s="2612"/>
      <c r="P149" s="2612"/>
      <c r="Q149" s="2612"/>
      <c r="R149" s="2612"/>
      <c r="S149" s="2612"/>
      <c r="T149" s="2612"/>
      <c r="U149" s="2612"/>
      <c r="V149" s="2612"/>
      <c r="W149" s="2612"/>
      <c r="X149" s="2612"/>
      <c r="Y149" s="2612"/>
      <c r="Z149" s="2612"/>
      <c r="AA149" s="2612"/>
      <c r="AB149" s="2612"/>
      <c r="AC149" s="2612"/>
      <c r="AD149" s="2612"/>
      <c r="AE149" s="2612"/>
      <c r="AF149" s="2612"/>
      <c r="AG149" s="2612"/>
      <c r="AH149" s="2612"/>
      <c r="AI149" s="2612"/>
      <c r="AJ149" s="2612"/>
      <c r="AK149" s="2612"/>
      <c r="AL149" s="2612"/>
      <c r="AM149" s="2612"/>
      <c r="AN149" s="2612"/>
      <c r="AO149" s="2612"/>
      <c r="AP149" s="2612"/>
      <c r="AQ149" s="2612"/>
      <c r="AR149" s="2612"/>
      <c r="AS149" s="2612"/>
      <c r="AT149" s="2612"/>
      <c r="AU149" s="2612"/>
      <c r="AV149" s="2612"/>
      <c r="AW149" s="2612"/>
      <c r="AX149" s="1503"/>
      <c r="AY149" s="2846">
        <f t="shared" ca="1" si="44"/>
        <v>0</v>
      </c>
      <c r="AZ149" s="2846"/>
      <c r="BA149" s="2846">
        <f t="shared" ca="1" si="44"/>
        <v>0</v>
      </c>
      <c r="BB149" s="2846">
        <f t="shared" ca="1" si="44"/>
        <v>0</v>
      </c>
      <c r="BC149" s="2846">
        <f t="shared" ca="1" si="44"/>
        <v>0</v>
      </c>
      <c r="BD149" s="2846">
        <f t="shared" ca="1" si="44"/>
        <v>0</v>
      </c>
      <c r="BE149" s="2846">
        <f t="shared" ca="1" si="44"/>
        <v>0</v>
      </c>
      <c r="BF149" s="2846">
        <f t="shared" ca="1" si="44"/>
        <v>0</v>
      </c>
      <c r="BG149" s="2846">
        <f t="shared" ca="1" si="44"/>
        <v>0</v>
      </c>
      <c r="BH149" s="2846">
        <f t="shared" ca="1" si="44"/>
        <v>0</v>
      </c>
      <c r="BI149" s="2846">
        <f t="shared" ca="1" si="44"/>
        <v>0</v>
      </c>
      <c r="BJ149" s="194"/>
    </row>
    <row r="150" spans="1:62">
      <c r="B150" s="193"/>
      <c r="C150" s="1503"/>
      <c r="D150" s="2605" t="s">
        <v>1164</v>
      </c>
      <c r="E150" s="2605"/>
      <c r="F150" s="2605"/>
      <c r="G150" s="2605"/>
      <c r="H150" s="2613"/>
      <c r="I150" s="2613"/>
      <c r="J150" s="2613"/>
      <c r="K150" s="2613"/>
      <c r="L150" s="2613"/>
      <c r="M150" s="2613"/>
      <c r="N150" s="2613"/>
      <c r="O150" s="2613"/>
      <c r="P150" s="2613"/>
      <c r="Q150" s="2613"/>
      <c r="R150" s="2613"/>
      <c r="S150" s="2613"/>
      <c r="T150" s="2613"/>
      <c r="U150" s="2613"/>
      <c r="V150" s="2613"/>
      <c r="W150" s="2613"/>
      <c r="X150" s="2613"/>
      <c r="Y150" s="2613"/>
      <c r="Z150" s="2613"/>
      <c r="AA150" s="2613"/>
      <c r="AB150" s="2613"/>
      <c r="AC150" s="2613"/>
      <c r="AD150" s="2613"/>
      <c r="AE150" s="2613"/>
      <c r="AF150" s="2613"/>
      <c r="AG150" s="2613"/>
      <c r="AH150" s="2613"/>
      <c r="AI150" s="2613"/>
      <c r="AJ150" s="2613"/>
      <c r="AK150" s="2613"/>
      <c r="AL150" s="2613"/>
      <c r="AM150" s="2613"/>
      <c r="AN150" s="2613"/>
      <c r="AO150" s="2613"/>
      <c r="AP150" s="2613"/>
      <c r="AQ150" s="2613"/>
      <c r="AR150" s="2614">
        <f>74.996*Unit.GW</f>
        <v>74.995999999999995</v>
      </c>
      <c r="AS150" s="2614">
        <f>75.97856007*Unit.GW</f>
        <v>75.97856007</v>
      </c>
      <c r="AT150" s="2614">
        <f>76.78237735*Unit.GW</f>
        <v>76.782377350000004</v>
      </c>
      <c r="AU150" s="2614">
        <f>77.67526559*Unit.GW</f>
        <v>77.675265589999995</v>
      </c>
      <c r="AV150" s="2614">
        <f>83.19678575*Unit.GW</f>
        <v>83.196785750000004</v>
      </c>
      <c r="AW150" s="2613"/>
      <c r="AX150" s="2605"/>
      <c r="AY150" s="2847">
        <f t="shared" ref="AY150:BI150" ca="1" si="45">SUM(AY136:AY149)</f>
        <v>142.27617655781381</v>
      </c>
      <c r="AZ150" s="2847"/>
      <c r="BA150" s="2847">
        <f t="shared" ca="1" si="45"/>
        <v>187.28334242750304</v>
      </c>
      <c r="BB150" s="2847">
        <f t="shared" ca="1" si="45"/>
        <v>270.10131832710726</v>
      </c>
      <c r="BC150" s="2847">
        <f t="shared" ca="1" si="45"/>
        <v>371.16514608707422</v>
      </c>
      <c r="BD150" s="2847">
        <f t="shared" ca="1" si="45"/>
        <v>499.417473397815</v>
      </c>
      <c r="BE150" s="2847">
        <f t="shared" ca="1" si="45"/>
        <v>669.43921656016084</v>
      </c>
      <c r="BF150" s="2847">
        <f t="shared" ca="1" si="45"/>
        <v>814.53941060519344</v>
      </c>
      <c r="BG150" s="2847">
        <f t="shared" ca="1" si="45"/>
        <v>973.95034460417583</v>
      </c>
      <c r="BH150" s="2847">
        <f t="shared" ca="1" si="45"/>
        <v>1114.3624837135219</v>
      </c>
      <c r="BI150" s="2847">
        <f t="shared" ca="1" si="45"/>
        <v>1265.3242675452639</v>
      </c>
      <c r="BJ150" s="194"/>
    </row>
    <row r="151" spans="1:62">
      <c r="B151" s="193"/>
      <c r="C151" s="187"/>
      <c r="D151" s="186"/>
      <c r="E151" s="187"/>
      <c r="F151" s="2607"/>
      <c r="G151" s="2607"/>
      <c r="H151" s="2608"/>
      <c r="I151" s="2608"/>
      <c r="J151" s="2608"/>
      <c r="K151" s="2608"/>
      <c r="L151" s="2608"/>
      <c r="M151" s="2608"/>
      <c r="N151" s="2608"/>
      <c r="O151" s="2608"/>
      <c r="P151" s="2608"/>
      <c r="Q151" s="2608"/>
      <c r="R151" s="2608"/>
      <c r="S151" s="2608"/>
      <c r="T151" s="2608"/>
      <c r="U151" s="2608"/>
      <c r="V151" s="2608"/>
      <c r="W151" s="2608"/>
      <c r="X151" s="2608"/>
      <c r="Y151" s="2608"/>
      <c r="Z151" s="2608"/>
      <c r="AA151" s="2608"/>
      <c r="AB151" s="2608"/>
      <c r="AC151" s="2608"/>
      <c r="AD151" s="2608"/>
      <c r="AE151" s="2608"/>
      <c r="AF151" s="2608"/>
      <c r="AG151" s="2608"/>
      <c r="AH151" s="2608"/>
      <c r="AI151" s="2608"/>
      <c r="AJ151" s="2608"/>
      <c r="AK151" s="2608"/>
      <c r="AL151" s="2608"/>
      <c r="AM151" s="2608"/>
      <c r="AN151" s="2608"/>
      <c r="AO151" s="2608"/>
      <c r="AP151" s="2608"/>
      <c r="AQ151" s="2608"/>
      <c r="AR151" s="2608"/>
      <c r="AS151" s="2608"/>
      <c r="AT151" s="2608"/>
      <c r="AU151" s="2608"/>
      <c r="AV151" s="2608"/>
      <c r="AW151" s="2608"/>
      <c r="AX151" s="187"/>
      <c r="AY151" s="2607"/>
      <c r="AZ151" s="2607"/>
      <c r="BA151" s="2607"/>
      <c r="BB151" s="2607"/>
      <c r="BC151" s="2607"/>
      <c r="BD151" s="2607"/>
      <c r="BE151" s="2607"/>
      <c r="BF151" s="2607"/>
      <c r="BG151" s="2607"/>
      <c r="BH151" s="2607"/>
      <c r="BI151" s="2607"/>
      <c r="BJ151" s="194"/>
    </row>
    <row r="152" spans="1:62">
      <c r="B152" s="1201"/>
      <c r="H152" s="1207"/>
      <c r="I152" s="1207"/>
      <c r="J152" s="1207"/>
      <c r="K152" s="1207"/>
      <c r="L152" s="1207"/>
      <c r="M152" s="1207"/>
      <c r="N152" s="1207"/>
      <c r="O152" s="1207"/>
      <c r="P152" s="1207"/>
      <c r="Q152" s="1207"/>
      <c r="R152" s="1207"/>
      <c r="S152" s="1207"/>
      <c r="T152" s="1207"/>
      <c r="U152" s="1207"/>
      <c r="V152" s="1207"/>
      <c r="W152" s="1207"/>
      <c r="X152" s="1207"/>
      <c r="Y152" s="1207"/>
      <c r="Z152" s="1207"/>
      <c r="AA152" s="1207"/>
      <c r="AB152" s="1207"/>
      <c r="AC152" s="1207"/>
      <c r="AD152" s="1207"/>
      <c r="AE152" s="1207"/>
      <c r="AF152" s="1207"/>
      <c r="AG152" s="1207"/>
      <c r="AH152" s="1207"/>
      <c r="AI152" s="1207"/>
      <c r="AJ152" s="1207"/>
      <c r="AK152" s="1207"/>
      <c r="AL152" s="1207"/>
      <c r="AM152" s="1207"/>
      <c r="AN152" s="1207"/>
      <c r="AO152" s="1207"/>
      <c r="AP152" s="1207"/>
      <c r="AQ152" s="1207"/>
      <c r="AR152" s="1207"/>
      <c r="AS152" s="1207"/>
      <c r="AT152" s="1207"/>
      <c r="AU152" s="1207"/>
      <c r="AV152" s="1207"/>
      <c r="AW152" s="1207"/>
    </row>
    <row r="153" spans="1:62" ht="22.5">
      <c r="A153" s="420"/>
      <c r="B153" s="1208" t="s">
        <v>281</v>
      </c>
      <c r="C153" s="1209"/>
      <c r="D153" s="1209"/>
      <c r="E153" s="1209"/>
      <c r="F153" s="1209"/>
      <c r="G153" s="1209"/>
      <c r="H153" s="1210"/>
      <c r="I153" s="1210"/>
      <c r="J153" s="1210"/>
      <c r="K153" s="1210"/>
      <c r="L153" s="1210"/>
      <c r="M153" s="1210"/>
      <c r="N153" s="1210"/>
      <c r="O153" s="1210"/>
      <c r="P153" s="1210"/>
      <c r="Q153" s="1210"/>
      <c r="R153" s="1210"/>
      <c r="S153" s="1210"/>
      <c r="T153" s="1210"/>
      <c r="U153" s="1210"/>
      <c r="V153" s="1210"/>
      <c r="W153" s="1210"/>
      <c r="X153" s="1210"/>
      <c r="Y153" s="1210"/>
      <c r="Z153" s="1210"/>
      <c r="AA153" s="1210"/>
      <c r="AB153" s="1210"/>
      <c r="AC153" s="1210"/>
      <c r="AD153" s="1210"/>
      <c r="AE153" s="1210"/>
      <c r="AF153" s="1210"/>
      <c r="AG153" s="1210"/>
      <c r="AH153" s="1210"/>
      <c r="AI153" s="1210"/>
      <c r="AJ153" s="1210"/>
      <c r="AK153" s="1210"/>
      <c r="AL153" s="1210"/>
      <c r="AM153" s="1210"/>
      <c r="AN153" s="1210"/>
      <c r="AO153" s="1210"/>
      <c r="AP153" s="1210"/>
      <c r="AQ153" s="1210"/>
      <c r="AR153" s="1210"/>
      <c r="AS153" s="1210"/>
      <c r="AT153" s="1210"/>
      <c r="AU153" s="1210"/>
      <c r="AV153" s="1210"/>
      <c r="AW153" s="1210"/>
      <c r="AX153" s="1209"/>
      <c r="AY153" s="1209"/>
      <c r="AZ153" s="1209"/>
      <c r="BA153" s="1209"/>
      <c r="BB153" s="1209"/>
      <c r="BC153" s="1209"/>
      <c r="BD153" s="1209"/>
      <c r="BE153" s="1209"/>
      <c r="BF153" s="1209"/>
      <c r="BG153" s="1209"/>
      <c r="BH153" s="1209"/>
      <c r="BI153" s="1211"/>
      <c r="BJ153" s="1212"/>
    </row>
    <row r="154" spans="1:62">
      <c r="B154" s="1270"/>
      <c r="C154" s="1214"/>
      <c r="D154" s="1214"/>
      <c r="E154" s="1214"/>
      <c r="F154" s="1214"/>
      <c r="G154" s="1214"/>
      <c r="H154" s="1215"/>
      <c r="I154" s="1215"/>
      <c r="J154" s="1215"/>
      <c r="K154" s="1215"/>
      <c r="L154" s="1215"/>
      <c r="M154" s="1215"/>
      <c r="N154" s="1215"/>
      <c r="O154" s="1215"/>
      <c r="P154" s="1215"/>
      <c r="Q154" s="1215"/>
      <c r="R154" s="1215"/>
      <c r="S154" s="1215"/>
      <c r="T154" s="1215"/>
      <c r="U154" s="1215"/>
      <c r="V154" s="1215"/>
      <c r="W154" s="1215"/>
      <c r="X154" s="1215"/>
      <c r="Y154" s="1215"/>
      <c r="Z154" s="1215"/>
      <c r="AA154" s="1215"/>
      <c r="AB154" s="1215"/>
      <c r="AC154" s="1215"/>
      <c r="AD154" s="1215"/>
      <c r="AE154" s="1215"/>
      <c r="AF154" s="1215"/>
      <c r="AG154" s="1215"/>
      <c r="AH154" s="1215"/>
      <c r="AI154" s="1215"/>
      <c r="AJ154" s="1215"/>
      <c r="AK154" s="1215"/>
      <c r="AL154" s="1215"/>
      <c r="AM154" s="1215"/>
      <c r="AN154" s="1215"/>
      <c r="AO154" s="1215"/>
      <c r="AP154" s="1215"/>
      <c r="AQ154" s="1215"/>
      <c r="AR154" s="1215"/>
      <c r="AS154" s="1215"/>
      <c r="AT154" s="1215"/>
      <c r="AU154" s="1215"/>
      <c r="AV154" s="1215"/>
      <c r="AW154" s="1215"/>
      <c r="AX154" s="1214"/>
      <c r="AY154" s="1214"/>
      <c r="AZ154" s="1214"/>
      <c r="BA154" s="1214"/>
      <c r="BB154" s="1214"/>
      <c r="BC154" s="1214"/>
      <c r="BD154" s="1214"/>
      <c r="BE154" s="1214"/>
      <c r="BF154" s="1214"/>
      <c r="BG154" s="1214"/>
      <c r="BH154" s="1214"/>
      <c r="BI154" s="1216"/>
      <c r="BJ154" s="1217"/>
    </row>
    <row r="155" spans="1:62" ht="15.75">
      <c r="B155" s="2615"/>
      <c r="C155" s="1218" t="s">
        <v>1165</v>
      </c>
      <c r="D155" s="1214"/>
      <c r="E155" s="1214"/>
      <c r="F155" s="1214"/>
      <c r="G155" s="1214"/>
      <c r="H155" s="1215"/>
      <c r="I155" s="1215"/>
      <c r="J155" s="1215"/>
      <c r="K155" s="1215"/>
      <c r="L155" s="1215"/>
      <c r="M155" s="1215"/>
      <c r="N155" s="1215"/>
      <c r="O155" s="1215"/>
      <c r="P155" s="1215"/>
      <c r="Q155" s="1215"/>
      <c r="R155" s="1215"/>
      <c r="S155" s="1215"/>
      <c r="T155" s="1215"/>
      <c r="U155" s="1215"/>
      <c r="V155" s="1215"/>
      <c r="W155" s="1215"/>
      <c r="X155" s="1215"/>
      <c r="Y155" s="1215"/>
      <c r="Z155" s="1215"/>
      <c r="AA155" s="1215"/>
      <c r="AB155" s="1215"/>
      <c r="AC155" s="1215"/>
      <c r="AD155" s="1215"/>
      <c r="AE155" s="1215"/>
      <c r="AF155" s="1215"/>
      <c r="AG155" s="1215"/>
      <c r="AH155" s="1215"/>
      <c r="AI155" s="1215"/>
      <c r="AJ155" s="1215"/>
      <c r="AK155" s="1215"/>
      <c r="AL155" s="1215"/>
      <c r="AM155" s="1215"/>
      <c r="AN155" s="1215"/>
      <c r="AO155" s="1215"/>
      <c r="AP155" s="1215"/>
      <c r="AQ155" s="1215"/>
      <c r="AR155" s="1215"/>
      <c r="AS155" s="1215"/>
      <c r="AT155" s="1215"/>
      <c r="AU155" s="1215"/>
      <c r="AV155" s="1215"/>
      <c r="AW155" s="1215"/>
      <c r="AX155" s="1214"/>
      <c r="AY155" s="1214"/>
      <c r="AZ155" s="1214"/>
      <c r="BA155" s="1214"/>
      <c r="BB155" s="1214"/>
      <c r="BC155" s="1214"/>
      <c r="BD155" s="1214"/>
      <c r="BE155" s="1214"/>
      <c r="BF155" s="1214"/>
      <c r="BG155" s="1214"/>
      <c r="BH155" s="1214"/>
      <c r="BI155" s="1216"/>
      <c r="BJ155" s="1217"/>
    </row>
    <row r="156" spans="1:62" ht="15.75">
      <c r="B156" s="1213"/>
      <c r="C156" s="1214"/>
      <c r="D156" s="1220" t="s">
        <v>337</v>
      </c>
      <c r="E156" s="1214"/>
      <c r="F156" s="1214" t="s">
        <v>1166</v>
      </c>
      <c r="G156" s="1214"/>
      <c r="H156" s="1215"/>
      <c r="I156" s="1215"/>
      <c r="J156" s="1215"/>
      <c r="K156" s="1215"/>
      <c r="L156" s="1215"/>
      <c r="M156" s="1215"/>
      <c r="N156" s="1215"/>
      <c r="O156" s="1215"/>
      <c r="P156" s="1215"/>
      <c r="Q156" s="1215"/>
      <c r="R156" s="1215"/>
      <c r="S156" s="1215"/>
      <c r="T156" s="1215"/>
      <c r="U156" s="1215"/>
      <c r="V156" s="1215"/>
      <c r="W156" s="1215"/>
      <c r="X156" s="1215"/>
      <c r="Y156" s="1215"/>
      <c r="Z156" s="1215"/>
      <c r="AA156" s="1215"/>
      <c r="AB156" s="1215"/>
      <c r="AC156" s="1215"/>
      <c r="AD156" s="1215"/>
      <c r="AE156" s="1215"/>
      <c r="AF156" s="1215"/>
      <c r="AG156" s="1215"/>
      <c r="AH156" s="1215"/>
      <c r="AI156" s="1215"/>
      <c r="AJ156" s="1215"/>
      <c r="AK156" s="1215"/>
      <c r="AL156" s="1215"/>
      <c r="AM156" s="1215"/>
      <c r="AN156" s="1215"/>
      <c r="AO156" s="1215"/>
      <c r="AP156" s="1215"/>
      <c r="AQ156" s="1215"/>
      <c r="AR156" s="1215"/>
      <c r="AS156" s="1215"/>
      <c r="AT156" s="1215"/>
      <c r="AU156" s="1215"/>
      <c r="AV156" s="1215"/>
      <c r="AW156" s="1215"/>
      <c r="AX156" s="1214"/>
      <c r="AY156" s="2405">
        <v>2007</v>
      </c>
      <c r="AZ156" s="2405"/>
      <c r="BA156" s="2405">
        <f>AY156+5</f>
        <v>2012</v>
      </c>
      <c r="BB156" s="2405">
        <f t="shared" ref="BB156:BI156" si="46">BA156+5</f>
        <v>2017</v>
      </c>
      <c r="BC156" s="2405">
        <f t="shared" si="46"/>
        <v>2022</v>
      </c>
      <c r="BD156" s="2405">
        <f t="shared" si="46"/>
        <v>2027</v>
      </c>
      <c r="BE156" s="2405">
        <f t="shared" si="46"/>
        <v>2032</v>
      </c>
      <c r="BF156" s="2405">
        <f t="shared" si="46"/>
        <v>2037</v>
      </c>
      <c r="BG156" s="2405">
        <f t="shared" si="46"/>
        <v>2042</v>
      </c>
      <c r="BH156" s="2405">
        <f t="shared" si="46"/>
        <v>2047</v>
      </c>
      <c r="BI156" s="2405">
        <f t="shared" si="46"/>
        <v>2052</v>
      </c>
      <c r="BJ156" s="1217"/>
    </row>
    <row r="157" spans="1:62" s="410" customFormat="1" ht="15.75">
      <c r="B157" s="1213"/>
      <c r="C157" s="1222" t="s">
        <v>359</v>
      </c>
      <c r="D157" s="1223" t="str">
        <f>INDEX(IPCC[Sector_description], MATCH($C157, IPCC[Sector_code], 0))</f>
        <v>Fuel Combustion</v>
      </c>
      <c r="E157" s="1214"/>
      <c r="F157" s="1224"/>
      <c r="G157" s="1224"/>
      <c r="H157" s="1225"/>
      <c r="I157" s="1225"/>
      <c r="J157" s="1225"/>
      <c r="K157" s="1225"/>
      <c r="L157" s="1225"/>
      <c r="M157" s="1225"/>
      <c r="N157" s="1225"/>
      <c r="O157" s="1225"/>
      <c r="P157" s="1225"/>
      <c r="Q157" s="1225"/>
      <c r="R157" s="1225"/>
      <c r="S157" s="1225"/>
      <c r="T157" s="1225"/>
      <c r="U157" s="1225"/>
      <c r="V157" s="1225"/>
      <c r="W157" s="1225"/>
      <c r="X157" s="1225"/>
      <c r="Y157" s="1225"/>
      <c r="Z157" s="1225"/>
      <c r="AA157" s="1225"/>
      <c r="AB157" s="1225"/>
      <c r="AC157" s="1225"/>
      <c r="AD157" s="1225"/>
      <c r="AE157" s="1225"/>
      <c r="AF157" s="1225"/>
      <c r="AG157" s="1225"/>
      <c r="AH157" s="1225"/>
      <c r="AI157" s="1225"/>
      <c r="AJ157" s="1225"/>
      <c r="AK157" s="1225"/>
      <c r="AL157" s="1225"/>
      <c r="AM157" s="1225"/>
      <c r="AN157" s="1225"/>
      <c r="AO157" s="1225"/>
      <c r="AP157" s="1225"/>
      <c r="AQ157" s="1225"/>
      <c r="AR157" s="1225"/>
      <c r="AS157" s="1225"/>
      <c r="AT157" s="1225"/>
      <c r="AU157" s="1225"/>
      <c r="AV157" s="1225"/>
      <c r="AW157" s="1225"/>
      <c r="AX157" s="1226"/>
      <c r="AY157" s="1224"/>
      <c r="AZ157" s="1224"/>
      <c r="BA157" s="1224"/>
      <c r="BB157" s="1224"/>
      <c r="BC157" s="1224"/>
      <c r="BD157" s="1224"/>
      <c r="BE157" s="1224"/>
      <c r="BF157" s="1224"/>
      <c r="BG157" s="1224"/>
      <c r="BH157" s="1224"/>
      <c r="BI157" s="1224"/>
      <c r="BJ157" s="1227"/>
    </row>
    <row r="158" spans="1:62" s="410" customFormat="1">
      <c r="B158" s="1219"/>
      <c r="C158" s="1222" t="s">
        <v>358</v>
      </c>
      <c r="D158" s="1223" t="str">
        <f>INDEX(IPCC[Sector_description], MATCH($C158, IPCC[Sector_code], 0))</f>
        <v>Fugitive Emissions from Fuels</v>
      </c>
      <c r="E158" s="1214"/>
      <c r="F158" s="1224"/>
      <c r="G158" s="1224"/>
      <c r="H158" s="1225"/>
      <c r="I158" s="1225"/>
      <c r="J158" s="1225"/>
      <c r="K158" s="1225"/>
      <c r="L158" s="1225"/>
      <c r="M158" s="1225"/>
      <c r="N158" s="1225"/>
      <c r="O158" s="1225"/>
      <c r="P158" s="1225"/>
      <c r="Q158" s="1225"/>
      <c r="R158" s="1225"/>
      <c r="S158" s="1225"/>
      <c r="T158" s="1225"/>
      <c r="U158" s="1225"/>
      <c r="V158" s="1225"/>
      <c r="W158" s="1225"/>
      <c r="X158" s="1225"/>
      <c r="Y158" s="1225"/>
      <c r="Z158" s="1225"/>
      <c r="AA158" s="1225"/>
      <c r="AB158" s="1225"/>
      <c r="AC158" s="1225"/>
      <c r="AD158" s="1225"/>
      <c r="AE158" s="1225"/>
      <c r="AF158" s="1225"/>
      <c r="AG158" s="1225"/>
      <c r="AH158" s="1225"/>
      <c r="AI158" s="1225"/>
      <c r="AJ158" s="1225"/>
      <c r="AK158" s="1225"/>
      <c r="AL158" s="1225"/>
      <c r="AM158" s="1225"/>
      <c r="AN158" s="1225"/>
      <c r="AO158" s="1225"/>
      <c r="AP158" s="1225"/>
      <c r="AQ158" s="1225"/>
      <c r="AR158" s="1225"/>
      <c r="AS158" s="1225"/>
      <c r="AT158" s="1225"/>
      <c r="AU158" s="1225"/>
      <c r="AV158" s="1225"/>
      <c r="AW158" s="1225"/>
      <c r="AX158" s="1226"/>
      <c r="AY158" s="1224"/>
      <c r="AZ158" s="1224"/>
      <c r="BA158" s="1224"/>
      <c r="BB158" s="1224"/>
      <c r="BC158" s="1224"/>
      <c r="BD158" s="1224"/>
      <c r="BE158" s="1224"/>
      <c r="BF158" s="1224"/>
      <c r="BG158" s="1224"/>
      <c r="BH158" s="1224"/>
      <c r="BI158" s="1224"/>
      <c r="BJ158" s="1227"/>
    </row>
    <row r="159" spans="1:62">
      <c r="B159" s="1221"/>
      <c r="C159" s="1216">
        <v>1</v>
      </c>
      <c r="D159" s="1214" t="s">
        <v>338</v>
      </c>
      <c r="E159" s="1214"/>
      <c r="F159" s="1228"/>
      <c r="G159" s="1228"/>
      <c r="H159" s="1229"/>
      <c r="I159" s="1229"/>
      <c r="J159" s="1229"/>
      <c r="K159" s="1229"/>
      <c r="L159" s="1229"/>
      <c r="M159" s="1229"/>
      <c r="N159" s="1229"/>
      <c r="O159" s="1229"/>
      <c r="P159" s="1229"/>
      <c r="Q159" s="1229"/>
      <c r="R159" s="1229"/>
      <c r="S159" s="1229"/>
      <c r="T159" s="1229"/>
      <c r="U159" s="1229"/>
      <c r="V159" s="1229"/>
      <c r="W159" s="1229"/>
      <c r="X159" s="1229"/>
      <c r="Y159" s="1229"/>
      <c r="Z159" s="1229"/>
      <c r="AA159" s="1229"/>
      <c r="AB159" s="1229">
        <v>0.78066850625951545</v>
      </c>
      <c r="AC159" s="1229">
        <v>0.79303032723652089</v>
      </c>
      <c r="AD159" s="1229">
        <v>0.77229474496121564</v>
      </c>
      <c r="AE159" s="1229">
        <v>0.75219303835350082</v>
      </c>
      <c r="AF159" s="1229">
        <v>0.73578695789033777</v>
      </c>
      <c r="AG159" s="1229">
        <v>0.72618905012488555</v>
      </c>
      <c r="AH159" s="1229">
        <v>0.75184873958975085</v>
      </c>
      <c r="AI159" s="1229">
        <v>0.7201784237664568</v>
      </c>
      <c r="AJ159" s="1229">
        <v>0.72246178516056581</v>
      </c>
      <c r="AK159" s="1229">
        <v>0.70814678962938948</v>
      </c>
      <c r="AL159" s="1229">
        <v>0.71655214236841402</v>
      </c>
      <c r="AM159" s="1229">
        <v>0.73278215409989189</v>
      </c>
      <c r="AN159" s="1229">
        <v>0.71153756146931657</v>
      </c>
      <c r="AO159" s="1229">
        <v>0.71934758940799959</v>
      </c>
      <c r="AP159" s="1229">
        <v>0.7205408426019051</v>
      </c>
      <c r="AQ159" s="1229">
        <v>0.71432030961912574</v>
      </c>
      <c r="AR159" s="1229">
        <v>0.71223664220202376</v>
      </c>
      <c r="AS159" s="1229">
        <v>0.70043942142568083</v>
      </c>
      <c r="AT159" s="1229">
        <v>0.68490768791088796</v>
      </c>
      <c r="AU159" s="1229">
        <v>0.6244815767662123</v>
      </c>
      <c r="AV159" s="1229">
        <v>0.64593798340147146</v>
      </c>
      <c r="AW159" s="1229" t="s">
        <v>1167</v>
      </c>
      <c r="AX159" s="1230"/>
      <c r="AY159" s="1228"/>
      <c r="AZ159" s="1228"/>
      <c r="BA159" s="1228"/>
      <c r="BB159" s="1228"/>
      <c r="BC159" s="1228"/>
      <c r="BD159" s="1228"/>
      <c r="BE159" s="1228"/>
      <c r="BF159" s="1228"/>
      <c r="BG159" s="1228"/>
      <c r="BH159" s="1228"/>
      <c r="BI159" s="1228"/>
      <c r="BJ159" s="1217"/>
    </row>
    <row r="160" spans="1:62">
      <c r="B160" s="1221"/>
      <c r="C160" s="1216">
        <v>2</v>
      </c>
      <c r="D160" s="1223" t="str">
        <f>INDEX(IPCC[Sector_description], MATCH($C160, IPCC[Sector_code], 0))</f>
        <v>Industrial Processes</v>
      </c>
      <c r="E160" s="1214"/>
      <c r="F160" s="1228"/>
      <c r="G160" s="1228"/>
      <c r="H160" s="1229"/>
      <c r="I160" s="1229"/>
      <c r="J160" s="1229"/>
      <c r="K160" s="1229"/>
      <c r="L160" s="1229"/>
      <c r="M160" s="1229"/>
      <c r="N160" s="1229"/>
      <c r="O160" s="1229"/>
      <c r="P160" s="1229"/>
      <c r="Q160" s="1229"/>
      <c r="R160" s="1229"/>
      <c r="S160" s="1229"/>
      <c r="T160" s="1229"/>
      <c r="U160" s="1229"/>
      <c r="V160" s="1229"/>
      <c r="W160" s="1229"/>
      <c r="X160" s="1229"/>
      <c r="Y160" s="1229"/>
      <c r="Z160" s="1229"/>
      <c r="AA160" s="1229"/>
      <c r="AB160" s="1229">
        <v>6.9343482807534051E-2</v>
      </c>
      <c r="AC160" s="1229">
        <v>6.7201527667633432E-2</v>
      </c>
      <c r="AD160" s="1229">
        <v>6.0308740452555097E-2</v>
      </c>
      <c r="AE160" s="1229">
        <v>5.6069512654103593E-2</v>
      </c>
      <c r="AF160" s="1229">
        <v>5.9165018025826376E-2</v>
      </c>
      <c r="AG160" s="1229">
        <v>5.9469343411300474E-2</v>
      </c>
      <c r="AH160" s="1229">
        <v>6.1733706747177049E-2</v>
      </c>
      <c r="AI160" s="1229">
        <v>6.4683540079197119E-2</v>
      </c>
      <c r="AJ160" s="1229">
        <v>6.2693305864124527E-2</v>
      </c>
      <c r="AK160" s="1229">
        <v>4.1484572634347024E-2</v>
      </c>
      <c r="AL160" s="1229">
        <v>4.0566075608118368E-2</v>
      </c>
      <c r="AM160" s="1229">
        <v>3.8537288721952778E-2</v>
      </c>
      <c r="AN160" s="1229">
        <v>3.6084162089292063E-2</v>
      </c>
      <c r="AO160" s="1229">
        <v>3.8452603774106871E-2</v>
      </c>
      <c r="AP160" s="1229">
        <v>3.8792365320695729E-2</v>
      </c>
      <c r="AQ160" s="1229">
        <v>3.9211455411346581E-2</v>
      </c>
      <c r="AR160" s="1229">
        <v>3.8325588591845497E-2</v>
      </c>
      <c r="AS160" s="1229">
        <v>4.0488700222144139E-2</v>
      </c>
      <c r="AT160" s="1229">
        <v>3.944535219725577E-2</v>
      </c>
      <c r="AU160" s="1229">
        <v>3.2628142935156007E-2</v>
      </c>
      <c r="AV160" s="1229">
        <v>3.4335202352544399E-2</v>
      </c>
      <c r="AW160" s="1229" t="s">
        <v>1167</v>
      </c>
      <c r="AX160" s="1230"/>
      <c r="AY160" s="1228"/>
      <c r="AZ160" s="1228"/>
      <c r="BA160" s="1228"/>
      <c r="BB160" s="1228"/>
      <c r="BC160" s="1228"/>
      <c r="BD160" s="1228"/>
      <c r="BE160" s="1228"/>
      <c r="BF160" s="1228"/>
      <c r="BG160" s="1228"/>
      <c r="BH160" s="1228"/>
      <c r="BI160" s="1228"/>
      <c r="BJ160" s="1217"/>
    </row>
    <row r="161" spans="2:63">
      <c r="B161" s="1219"/>
      <c r="C161" s="1216">
        <v>3</v>
      </c>
      <c r="D161" s="1223" t="str">
        <f>INDEX(IPCC[Sector_description], MATCH($C161, IPCC[Sector_code], 0))</f>
        <v>Solvent and Other Product Use</v>
      </c>
      <c r="E161" s="1214"/>
      <c r="F161" s="1228"/>
      <c r="G161" s="1228"/>
      <c r="H161" s="1229"/>
      <c r="I161" s="1229"/>
      <c r="J161" s="1229"/>
      <c r="K161" s="1229"/>
      <c r="L161" s="1229"/>
      <c r="M161" s="1229"/>
      <c r="N161" s="1229"/>
      <c r="O161" s="1229"/>
      <c r="P161" s="1229"/>
      <c r="Q161" s="1229"/>
      <c r="R161" s="1229"/>
      <c r="S161" s="1229"/>
      <c r="T161" s="1229"/>
      <c r="U161" s="1229"/>
      <c r="V161" s="1229"/>
      <c r="W161" s="1229"/>
      <c r="X161" s="1229"/>
      <c r="Y161" s="1229"/>
      <c r="Z161" s="1229"/>
      <c r="AA161" s="1229"/>
      <c r="AB161" s="1229">
        <v>0</v>
      </c>
      <c r="AC161" s="1229">
        <v>0</v>
      </c>
      <c r="AD161" s="1229">
        <v>0</v>
      </c>
      <c r="AE161" s="1229">
        <v>0</v>
      </c>
      <c r="AF161" s="1229">
        <v>0</v>
      </c>
      <c r="AG161" s="1229">
        <v>0</v>
      </c>
      <c r="AH161" s="1229">
        <v>0</v>
      </c>
      <c r="AI161" s="1229">
        <v>0</v>
      </c>
      <c r="AJ161" s="1229">
        <v>0</v>
      </c>
      <c r="AK161" s="1229">
        <v>0</v>
      </c>
      <c r="AL161" s="1229">
        <v>0</v>
      </c>
      <c r="AM161" s="1229">
        <v>0</v>
      </c>
      <c r="AN161" s="1229">
        <v>0</v>
      </c>
      <c r="AO161" s="1229">
        <v>0</v>
      </c>
      <c r="AP161" s="1229">
        <v>0</v>
      </c>
      <c r="AQ161" s="1229">
        <v>0</v>
      </c>
      <c r="AR161" s="1229">
        <v>0</v>
      </c>
      <c r="AS161" s="1229">
        <v>0</v>
      </c>
      <c r="AT161" s="1229">
        <v>0</v>
      </c>
      <c r="AU161" s="1229">
        <v>0</v>
      </c>
      <c r="AV161" s="1229">
        <v>0</v>
      </c>
      <c r="AW161" s="1229" t="s">
        <v>1167</v>
      </c>
      <c r="AX161" s="1230"/>
      <c r="AY161" s="1228"/>
      <c r="AZ161" s="1228"/>
      <c r="BA161" s="1228"/>
      <c r="BB161" s="1228"/>
      <c r="BC161" s="1228"/>
      <c r="BD161" s="1228"/>
      <c r="BE161" s="1228"/>
      <c r="BF161" s="1228"/>
      <c r="BG161" s="1228"/>
      <c r="BH161" s="1228"/>
      <c r="BI161" s="1228"/>
      <c r="BJ161" s="1217"/>
    </row>
    <row r="162" spans="2:63">
      <c r="B162" s="1219"/>
      <c r="C162" s="1216">
        <v>4</v>
      </c>
      <c r="D162" s="1223" t="str">
        <f>INDEX(IPCC[Sector_description], MATCH($C162, IPCC[Sector_code], 0))</f>
        <v>Agriculture</v>
      </c>
      <c r="E162" s="1214"/>
      <c r="F162" s="1228"/>
      <c r="G162" s="1228"/>
      <c r="H162" s="1229"/>
      <c r="I162" s="1229"/>
      <c r="J162" s="1229"/>
      <c r="K162" s="1229"/>
      <c r="L162" s="1229"/>
      <c r="M162" s="1229"/>
      <c r="N162" s="1229"/>
      <c r="O162" s="1229"/>
      <c r="P162" s="1229"/>
      <c r="Q162" s="1229"/>
      <c r="R162" s="1229"/>
      <c r="S162" s="1229"/>
      <c r="T162" s="1229"/>
      <c r="U162" s="1229"/>
      <c r="V162" s="1229"/>
      <c r="W162" s="1229"/>
      <c r="X162" s="1229"/>
      <c r="Y162" s="1229"/>
      <c r="Z162" s="1229"/>
      <c r="AA162" s="1229"/>
      <c r="AB162" s="1229">
        <v>7.3637270562884535E-2</v>
      </c>
      <c r="AC162" s="1229">
        <v>7.3310664211066273E-2</v>
      </c>
      <c r="AD162" s="1229">
        <v>7.307789942306385E-2</v>
      </c>
      <c r="AE162" s="1229">
        <v>7.2162383125488991E-2</v>
      </c>
      <c r="AF162" s="1229">
        <v>7.233251461154927E-2</v>
      </c>
      <c r="AG162" s="1229">
        <v>7.1795116577178519E-2</v>
      </c>
      <c r="AH162" s="1229">
        <v>7.2276188394337998E-2</v>
      </c>
      <c r="AI162" s="1229">
        <v>7.1970485076200019E-2</v>
      </c>
      <c r="AJ162" s="1229">
        <v>7.1155859245786351E-2</v>
      </c>
      <c r="AK162" s="1229">
        <v>7.0293139708563074E-2</v>
      </c>
      <c r="AL162" s="1229">
        <v>6.7735970284910393E-2</v>
      </c>
      <c r="AM162" s="1229">
        <v>6.4151762853967925E-2</v>
      </c>
      <c r="AN162" s="1229">
        <v>6.4131985916650897E-2</v>
      </c>
      <c r="AO162" s="1229">
        <v>6.3578035995833143E-2</v>
      </c>
      <c r="AP162" s="1229">
        <v>6.3918783074347479E-2</v>
      </c>
      <c r="AQ162" s="1229">
        <v>6.4293092796044213E-2</v>
      </c>
      <c r="AR162" s="1229">
        <v>6.2203930708138899E-2</v>
      </c>
      <c r="AS162" s="1229">
        <v>6.0375061599688654E-2</v>
      </c>
      <c r="AT162" s="1229">
        <v>5.9536708630004403E-2</v>
      </c>
      <c r="AU162" s="1229">
        <v>5.8662754522045092E-2</v>
      </c>
      <c r="AV162" s="1229">
        <v>5.9166189388632114E-2</v>
      </c>
      <c r="AW162" s="1229" t="s">
        <v>1167</v>
      </c>
      <c r="AX162" s="1230"/>
      <c r="AY162" s="1228"/>
      <c r="AZ162" s="1228"/>
      <c r="BA162" s="1228"/>
      <c r="BB162" s="1228"/>
      <c r="BC162" s="1228"/>
      <c r="BD162" s="1228"/>
      <c r="BE162" s="1228"/>
      <c r="BF162" s="1228"/>
      <c r="BG162" s="1228"/>
      <c r="BH162" s="1228"/>
      <c r="BI162" s="1228"/>
      <c r="BJ162" s="1217"/>
    </row>
    <row r="163" spans="2:63">
      <c r="B163" s="1219"/>
      <c r="C163" s="1216">
        <v>5</v>
      </c>
      <c r="D163" s="1223" t="str">
        <f>INDEX(IPCC[Sector_description], MATCH($C163, IPCC[Sector_code], 0))</f>
        <v>Land Use, Land-Use Change and Forestry</v>
      </c>
      <c r="E163" s="1214"/>
      <c r="F163" s="1228"/>
      <c r="G163" s="1228"/>
      <c r="H163" s="1229"/>
      <c r="I163" s="1229"/>
      <c r="J163" s="1229"/>
      <c r="K163" s="1229"/>
      <c r="L163" s="1229"/>
      <c r="M163" s="1229"/>
      <c r="N163" s="1229"/>
      <c r="O163" s="1229"/>
      <c r="P163" s="1229"/>
      <c r="Q163" s="1229"/>
      <c r="R163" s="1229"/>
      <c r="S163" s="1229"/>
      <c r="T163" s="1229"/>
      <c r="U163" s="1229"/>
      <c r="V163" s="1229"/>
      <c r="W163" s="1229"/>
      <c r="X163" s="1229"/>
      <c r="Y163" s="1229"/>
      <c r="Z163" s="1229"/>
      <c r="AA163" s="1229"/>
      <c r="AB163" s="1229">
        <v>4.985445821672126E-3</v>
      </c>
      <c r="AC163" s="1229">
        <v>4.9541876781181602E-3</v>
      </c>
      <c r="AD163" s="1229">
        <v>4.2814993614007906E-3</v>
      </c>
      <c r="AE163" s="1229">
        <v>2.85139785334176E-3</v>
      </c>
      <c r="AF163" s="1229">
        <v>2.6295050724475699E-3</v>
      </c>
      <c r="AG163" s="1229">
        <v>3.1573278825746112E-3</v>
      </c>
      <c r="AH163" s="1229">
        <v>2.7934494919249478E-3</v>
      </c>
      <c r="AI163" s="1229">
        <v>2.4588709035687681E-3</v>
      </c>
      <c r="AJ163" s="1229">
        <v>1.5886960591720714E-3</v>
      </c>
      <c r="AK163" s="1229">
        <v>1.3600700980916927E-3</v>
      </c>
      <c r="AL163" s="1229">
        <v>4.8312545719096401E-4</v>
      </c>
      <c r="AM163" s="1229">
        <v>-1.4623827590729024E-4</v>
      </c>
      <c r="AN163" s="1229">
        <v>-1.1968507170436733E-3</v>
      </c>
      <c r="AO163" s="1229">
        <v>-1.6478975384083344E-3</v>
      </c>
      <c r="AP163" s="1229">
        <v>-3.0195909710430914E-3</v>
      </c>
      <c r="AQ163" s="1229">
        <v>-3.7712994763044764E-3</v>
      </c>
      <c r="AR163" s="1229">
        <v>-3.9659912657932167E-3</v>
      </c>
      <c r="AS163" s="1229">
        <v>-4.461209073727321E-3</v>
      </c>
      <c r="AT163" s="1229">
        <v>-4.9719007114346772E-3</v>
      </c>
      <c r="AU163" s="1229">
        <v>-5.3886085866594515E-3</v>
      </c>
      <c r="AV163" s="1229">
        <v>-4.9206320533610234E-3</v>
      </c>
      <c r="AW163" s="1229" t="s">
        <v>1167</v>
      </c>
      <c r="AX163" s="1230"/>
      <c r="AY163" s="1228"/>
      <c r="AZ163" s="1228"/>
      <c r="BA163" s="1228"/>
      <c r="BB163" s="1228"/>
      <c r="BC163" s="1228"/>
      <c r="BD163" s="1228"/>
      <c r="BE163" s="1228"/>
      <c r="BF163" s="1228"/>
      <c r="BG163" s="1228"/>
      <c r="BH163" s="1228"/>
      <c r="BI163" s="1228"/>
      <c r="BJ163" s="1217"/>
    </row>
    <row r="164" spans="2:63">
      <c r="B164" s="1219"/>
      <c r="C164" s="1216">
        <v>6</v>
      </c>
      <c r="D164" s="1223" t="str">
        <f>INDEX(IPCC[Sector_description], MATCH($C164, IPCC[Sector_code], 0))</f>
        <v>Waste</v>
      </c>
      <c r="E164" s="1214"/>
      <c r="F164" s="1228"/>
      <c r="G164" s="1228"/>
      <c r="H164" s="1229"/>
      <c r="I164" s="1229"/>
      <c r="J164" s="1229"/>
      <c r="K164" s="1229"/>
      <c r="L164" s="1229"/>
      <c r="M164" s="1229"/>
      <c r="N164" s="1229"/>
      <c r="O164" s="1229"/>
      <c r="P164" s="1229"/>
      <c r="Q164" s="1229"/>
      <c r="R164" s="1229"/>
      <c r="S164" s="1229"/>
      <c r="T164" s="1229"/>
      <c r="U164" s="1229"/>
      <c r="V164" s="1229"/>
      <c r="W164" s="1229"/>
      <c r="X164" s="1229"/>
      <c r="Y164" s="1229"/>
      <c r="Z164" s="1229"/>
      <c r="AA164" s="1229"/>
      <c r="AB164" s="1229">
        <v>5.891518004264519E-2</v>
      </c>
      <c r="AC164" s="1229">
        <v>5.7763754767127445E-2</v>
      </c>
      <c r="AD164" s="1229">
        <v>5.6093917262205951E-2</v>
      </c>
      <c r="AE164" s="1229">
        <v>5.429662701085268E-2</v>
      </c>
      <c r="AF164" s="1229">
        <v>5.2729999456029013E-2</v>
      </c>
      <c r="AG164" s="1229">
        <v>5.1327979005276206E-2</v>
      </c>
      <c r="AH164" s="1229">
        <v>5.0001887923747032E-2</v>
      </c>
      <c r="AI164" s="1229">
        <v>4.6033251120786184E-2</v>
      </c>
      <c r="AJ164" s="1229">
        <v>4.3417900556837259E-2</v>
      </c>
      <c r="AK164" s="1229">
        <v>3.9925678294356753E-2</v>
      </c>
      <c r="AL164" s="1229">
        <v>3.7678753821267202E-2</v>
      </c>
      <c r="AM164" s="1229">
        <v>3.3296983857234307E-2</v>
      </c>
      <c r="AN164" s="1229">
        <v>3.0624818715528856E-2</v>
      </c>
      <c r="AO164" s="1229">
        <v>2.6967867591497052E-2</v>
      </c>
      <c r="AP164" s="1229">
        <v>2.5021247166119889E-2</v>
      </c>
      <c r="AQ164" s="1229">
        <v>2.4379250511532797E-2</v>
      </c>
      <c r="AR164" s="1229">
        <v>2.3871769558427309E-2</v>
      </c>
      <c r="AS164" s="1229">
        <v>2.3398858470177794E-2</v>
      </c>
      <c r="AT164" s="1229">
        <v>2.2682335876657248E-2</v>
      </c>
      <c r="AU164" s="1229">
        <v>2.2024503390587171E-2</v>
      </c>
      <c r="AV164" s="1229">
        <v>2.1273529298134919E-2</v>
      </c>
      <c r="AW164" s="1229" t="s">
        <v>1167</v>
      </c>
      <c r="AX164" s="1230"/>
      <c r="AY164" s="1228"/>
      <c r="AZ164" s="1228"/>
      <c r="BA164" s="1228"/>
      <c r="BB164" s="1228"/>
      <c r="BC164" s="1228"/>
      <c r="BD164" s="1228"/>
      <c r="BE164" s="1228"/>
      <c r="BF164" s="1228"/>
      <c r="BG164" s="1228"/>
      <c r="BH164" s="1228"/>
      <c r="BI164" s="1228"/>
      <c r="BJ164" s="1217"/>
    </row>
    <row r="165" spans="2:63">
      <c r="B165" s="1219"/>
      <c r="C165" s="1216">
        <v>7</v>
      </c>
      <c r="D165" s="1223" t="str">
        <f>INDEX(IPCC[Sector_description], MATCH($C165, IPCC[Sector_code], 0))</f>
        <v>Other</v>
      </c>
      <c r="E165" s="1214"/>
      <c r="F165" s="1228"/>
      <c r="G165" s="1228"/>
      <c r="H165" s="1229"/>
      <c r="I165" s="1229"/>
      <c r="J165" s="1229"/>
      <c r="K165" s="1229"/>
      <c r="L165" s="1229"/>
      <c r="M165" s="1229"/>
      <c r="N165" s="1229"/>
      <c r="O165" s="1229"/>
      <c r="P165" s="1229"/>
      <c r="Q165" s="1229"/>
      <c r="R165" s="1229"/>
      <c r="S165" s="1229"/>
      <c r="T165" s="1229"/>
      <c r="U165" s="1229"/>
      <c r="V165" s="1229"/>
      <c r="W165" s="1229"/>
      <c r="X165" s="1229"/>
      <c r="Y165" s="1229"/>
      <c r="Z165" s="1229"/>
      <c r="AA165" s="1229"/>
      <c r="AB165" s="1229">
        <v>0</v>
      </c>
      <c r="AC165" s="1229">
        <v>0</v>
      </c>
      <c r="AD165" s="1229">
        <v>0</v>
      </c>
      <c r="AE165" s="1229">
        <v>0</v>
      </c>
      <c r="AF165" s="1229">
        <v>0</v>
      </c>
      <c r="AG165" s="1229">
        <v>0</v>
      </c>
      <c r="AH165" s="1229">
        <v>0</v>
      </c>
      <c r="AI165" s="1229">
        <v>0</v>
      </c>
      <c r="AJ165" s="1229">
        <v>0</v>
      </c>
      <c r="AK165" s="1229">
        <v>0</v>
      </c>
      <c r="AL165" s="1229">
        <v>0</v>
      </c>
      <c r="AM165" s="1229">
        <v>0</v>
      </c>
      <c r="AN165" s="1229">
        <v>0</v>
      </c>
      <c r="AO165" s="1229">
        <v>0</v>
      </c>
      <c r="AP165" s="1229">
        <v>0</v>
      </c>
      <c r="AQ165" s="1229">
        <v>0</v>
      </c>
      <c r="AR165" s="1229">
        <v>0</v>
      </c>
      <c r="AS165" s="1229">
        <v>0</v>
      </c>
      <c r="AT165" s="1229">
        <v>0</v>
      </c>
      <c r="AU165" s="1229">
        <v>0</v>
      </c>
      <c r="AV165" s="1229">
        <v>0</v>
      </c>
      <c r="AW165" s="1229" t="s">
        <v>1167</v>
      </c>
      <c r="AX165" s="1230"/>
      <c r="AY165" s="1228"/>
      <c r="AZ165" s="1228"/>
      <c r="BA165" s="1228"/>
      <c r="BB165" s="1228"/>
      <c r="BC165" s="1228"/>
      <c r="BD165" s="1228"/>
      <c r="BE165" s="1228"/>
      <c r="BF165" s="1228"/>
      <c r="BG165" s="1228"/>
      <c r="BH165" s="1228"/>
      <c r="BI165" s="1228"/>
      <c r="BJ165" s="1217"/>
    </row>
    <row r="166" spans="2:63">
      <c r="B166" s="1219"/>
      <c r="C166" s="1216" t="s">
        <v>345</v>
      </c>
      <c r="D166" s="1223" t="str">
        <f>INDEX(IPCC[Sector_description], MATCH($C166, IPCC[Sector_code], 0))</f>
        <v>International Aviation and Shipping</v>
      </c>
      <c r="E166" s="1214"/>
      <c r="F166" s="1228"/>
      <c r="G166" s="1228"/>
      <c r="H166" s="1229"/>
      <c r="I166" s="1229"/>
      <c r="J166" s="1229"/>
      <c r="K166" s="1229"/>
      <c r="L166" s="1229"/>
      <c r="M166" s="1229"/>
      <c r="N166" s="1229"/>
      <c r="O166" s="1229"/>
      <c r="P166" s="1229"/>
      <c r="Q166" s="1229"/>
      <c r="R166" s="1229"/>
      <c r="S166" s="1229"/>
      <c r="T166" s="1229"/>
      <c r="U166" s="1229"/>
      <c r="V166" s="1229"/>
      <c r="W166" s="1229"/>
      <c r="X166" s="1229"/>
      <c r="Y166" s="1229"/>
      <c r="Z166" s="1229"/>
      <c r="AA166" s="1229"/>
      <c r="AB166" s="1229">
        <v>3.1737423133451841E-2</v>
      </c>
      <c r="AC166" s="1229">
        <v>3.1401834014604092E-2</v>
      </c>
      <c r="AD166" s="1229">
        <v>3.370064471080534E-2</v>
      </c>
      <c r="AE166" s="1229">
        <v>3.5080277576749426E-2</v>
      </c>
      <c r="AF166" s="1229">
        <v>3.498646073499493E-2</v>
      </c>
      <c r="AG166" s="1229">
        <v>3.6854721398015496E-2</v>
      </c>
      <c r="AH166" s="1229">
        <v>3.9595940090069143E-2</v>
      </c>
      <c r="AI166" s="1229">
        <v>4.2348390762424769E-2</v>
      </c>
      <c r="AJ166" s="1229">
        <v>4.6261057726800003E-2</v>
      </c>
      <c r="AK166" s="1229">
        <v>4.5466986001059882E-2</v>
      </c>
      <c r="AL166" s="1229">
        <v>4.8153620412829522E-2</v>
      </c>
      <c r="AM166" s="1229">
        <v>4.7407544680983751E-2</v>
      </c>
      <c r="AN166" s="1229">
        <v>4.4704417121659366E-2</v>
      </c>
      <c r="AO166" s="1229">
        <v>4.6951156639025673E-2</v>
      </c>
      <c r="AP166" s="1229">
        <v>5.1755999103343713E-2</v>
      </c>
      <c r="AQ166" s="1229">
        <v>5.5831139470604634E-2</v>
      </c>
      <c r="AR166" s="1229">
        <v>5.9483094928962726E-2</v>
      </c>
      <c r="AS166" s="1229">
        <v>5.8669674297053533E-2</v>
      </c>
      <c r="AT166" s="1229">
        <v>5.902984569716286E-2</v>
      </c>
      <c r="AU166" s="1229">
        <v>5.5998995551261657E-2</v>
      </c>
      <c r="AV166" s="1229">
        <v>5.2417268836815141E-2</v>
      </c>
      <c r="AW166" s="1229" t="s">
        <v>1167</v>
      </c>
      <c r="AX166" s="1230"/>
      <c r="AY166" s="1228"/>
      <c r="AZ166" s="1228"/>
      <c r="BA166" s="1228"/>
      <c r="BB166" s="1228"/>
      <c r="BC166" s="1228"/>
      <c r="BD166" s="1228"/>
      <c r="BE166" s="1228"/>
      <c r="BF166" s="1228"/>
      <c r="BG166" s="1228"/>
      <c r="BH166" s="1228"/>
      <c r="BI166" s="1228"/>
      <c r="BJ166" s="1217"/>
    </row>
    <row r="167" spans="2:63" s="410" customFormat="1">
      <c r="B167" s="1219"/>
      <c r="C167" s="1216" t="s">
        <v>346</v>
      </c>
      <c r="D167" s="1223" t="str">
        <f>INDEX(IPCC[Sector_description], MATCH($C167, IPCC[Sector_code], 0))</f>
        <v>Bioenergy credit</v>
      </c>
      <c r="E167" s="1214"/>
      <c r="F167" s="1224"/>
      <c r="G167" s="1224"/>
      <c r="H167" s="1225"/>
      <c r="I167" s="1225"/>
      <c r="J167" s="1225"/>
      <c r="K167" s="1225"/>
      <c r="L167" s="1225"/>
      <c r="M167" s="1225"/>
      <c r="N167" s="1225"/>
      <c r="O167" s="1225"/>
      <c r="P167" s="1225"/>
      <c r="Q167" s="1225"/>
      <c r="R167" s="1225"/>
      <c r="S167" s="1225"/>
      <c r="T167" s="1225"/>
      <c r="U167" s="1225"/>
      <c r="V167" s="1225"/>
      <c r="W167" s="1225"/>
      <c r="X167" s="1225"/>
      <c r="Y167" s="1225"/>
      <c r="Z167" s="1225"/>
      <c r="AA167" s="1225"/>
      <c r="AB167" s="1225">
        <v>0</v>
      </c>
      <c r="AC167" s="1225">
        <v>0</v>
      </c>
      <c r="AD167" s="1225">
        <v>0</v>
      </c>
      <c r="AE167" s="1225">
        <v>0</v>
      </c>
      <c r="AF167" s="1225">
        <v>0</v>
      </c>
      <c r="AG167" s="1225">
        <v>0</v>
      </c>
      <c r="AH167" s="1225">
        <v>0</v>
      </c>
      <c r="AI167" s="1225">
        <v>0</v>
      </c>
      <c r="AJ167" s="1225">
        <v>0</v>
      </c>
      <c r="AK167" s="1225">
        <v>0</v>
      </c>
      <c r="AL167" s="1225">
        <v>0</v>
      </c>
      <c r="AM167" s="1225">
        <v>0</v>
      </c>
      <c r="AN167" s="1225">
        <v>0</v>
      </c>
      <c r="AO167" s="1225">
        <v>0</v>
      </c>
      <c r="AP167" s="1225">
        <v>0</v>
      </c>
      <c r="AQ167" s="1225">
        <v>0</v>
      </c>
      <c r="AR167" s="1225">
        <v>0</v>
      </c>
      <c r="AS167" s="1225">
        <v>0</v>
      </c>
      <c r="AT167" s="1225">
        <v>0</v>
      </c>
      <c r="AU167" s="1225">
        <v>0</v>
      </c>
      <c r="AV167" s="1225">
        <v>0</v>
      </c>
      <c r="AW167" s="1225" t="s">
        <v>1167</v>
      </c>
      <c r="AX167" s="1226"/>
      <c r="AY167" s="1228"/>
      <c r="AZ167" s="1228"/>
      <c r="BA167" s="1228"/>
      <c r="BB167" s="1228"/>
      <c r="BC167" s="1228"/>
      <c r="BD167" s="1228"/>
      <c r="BE167" s="1228"/>
      <c r="BF167" s="1228"/>
      <c r="BG167" s="1228"/>
      <c r="BH167" s="1228"/>
      <c r="BI167" s="1228"/>
      <c r="BJ167" s="1227"/>
    </row>
    <row r="168" spans="2:63">
      <c r="B168" s="1219"/>
      <c r="C168" s="1216" t="s">
        <v>369</v>
      </c>
      <c r="D168" s="1223" t="str">
        <f>INDEX(IPCC[Sector_description], MATCH($C168, IPCC[Sector_code], 0))</f>
        <v>Carbon capture</v>
      </c>
      <c r="E168" s="1214"/>
      <c r="F168" s="1224"/>
      <c r="G168" s="1224"/>
      <c r="H168" s="1225"/>
      <c r="I168" s="1225"/>
      <c r="J168" s="1225"/>
      <c r="K168" s="1225"/>
      <c r="L168" s="1225"/>
      <c r="M168" s="1225"/>
      <c r="N168" s="1225"/>
      <c r="O168" s="1225"/>
      <c r="P168" s="1225"/>
      <c r="Q168" s="1225"/>
      <c r="R168" s="1225"/>
      <c r="S168" s="1225"/>
      <c r="T168" s="1225"/>
      <c r="U168" s="1225"/>
      <c r="V168" s="1225"/>
      <c r="W168" s="1225"/>
      <c r="X168" s="1225"/>
      <c r="Y168" s="1225"/>
      <c r="Z168" s="1225"/>
      <c r="AA168" s="1225"/>
      <c r="AB168" s="1225">
        <v>0</v>
      </c>
      <c r="AC168" s="1225">
        <v>0</v>
      </c>
      <c r="AD168" s="1225">
        <v>0</v>
      </c>
      <c r="AE168" s="1225">
        <v>0</v>
      </c>
      <c r="AF168" s="1225">
        <v>0</v>
      </c>
      <c r="AG168" s="1225">
        <v>0</v>
      </c>
      <c r="AH168" s="1225">
        <v>0</v>
      </c>
      <c r="AI168" s="1225">
        <v>0</v>
      </c>
      <c r="AJ168" s="1225">
        <v>0</v>
      </c>
      <c r="AK168" s="1225">
        <v>0</v>
      </c>
      <c r="AL168" s="1225">
        <v>0</v>
      </c>
      <c r="AM168" s="1225">
        <v>0</v>
      </c>
      <c r="AN168" s="1225">
        <v>0</v>
      </c>
      <c r="AO168" s="1225">
        <v>0</v>
      </c>
      <c r="AP168" s="1225">
        <v>0</v>
      </c>
      <c r="AQ168" s="1225">
        <v>0</v>
      </c>
      <c r="AR168" s="1225">
        <v>0</v>
      </c>
      <c r="AS168" s="1225">
        <v>0</v>
      </c>
      <c r="AT168" s="1225">
        <v>0</v>
      </c>
      <c r="AU168" s="1225">
        <v>0</v>
      </c>
      <c r="AV168" s="1225">
        <v>0</v>
      </c>
      <c r="AW168" s="1225" t="s">
        <v>1167</v>
      </c>
      <c r="AX168" s="1226"/>
      <c r="AY168" s="1228"/>
      <c r="AZ168" s="1228"/>
      <c r="BA168" s="1228"/>
      <c r="BB168" s="1228"/>
      <c r="BC168" s="1228"/>
      <c r="BD168" s="1228"/>
      <c r="BE168" s="1228"/>
      <c r="BF168" s="1228"/>
      <c r="BG168" s="1228"/>
      <c r="BH168" s="1228"/>
      <c r="BI168" s="1228"/>
      <c r="BJ168" s="1217"/>
    </row>
    <row r="169" spans="2:63">
      <c r="B169" s="1221"/>
      <c r="C169" s="1214"/>
      <c r="D169" s="1220" t="s">
        <v>103</v>
      </c>
      <c r="E169" s="1214"/>
      <c r="F169" s="1231"/>
      <c r="G169" s="1231"/>
      <c r="H169" s="1232"/>
      <c r="I169" s="1232"/>
      <c r="J169" s="1232"/>
      <c r="K169" s="1232"/>
      <c r="L169" s="1232"/>
      <c r="M169" s="1232"/>
      <c r="N169" s="1232"/>
      <c r="O169" s="1232"/>
      <c r="P169" s="1232"/>
      <c r="Q169" s="1232"/>
      <c r="R169" s="1232"/>
      <c r="S169" s="1232"/>
      <c r="T169" s="1232"/>
      <c r="U169" s="1232"/>
      <c r="V169" s="1232"/>
      <c r="W169" s="1232"/>
      <c r="X169" s="1232"/>
      <c r="Y169" s="1232"/>
      <c r="Z169" s="1232"/>
      <c r="AA169" s="1232"/>
      <c r="AB169" s="1232">
        <v>1.019287308627703</v>
      </c>
      <c r="AC169" s="1232">
        <v>1.0276622955750703</v>
      </c>
      <c r="AD169" s="1232">
        <v>0.99975744617124662</v>
      </c>
      <c r="AE169" s="1232">
        <v>0.97265323657403735</v>
      </c>
      <c r="AF169" s="1232">
        <v>0.95763045579118489</v>
      </c>
      <c r="AG169" s="1232">
        <v>0.94879353839923086</v>
      </c>
      <c r="AH169" s="1232">
        <v>0.97824991223700708</v>
      </c>
      <c r="AI169" s="1232">
        <v>0.94767296170863369</v>
      </c>
      <c r="AJ169" s="1232">
        <v>0.94757860461328602</v>
      </c>
      <c r="AK169" s="1232">
        <v>0.90667723636580799</v>
      </c>
      <c r="AL169" s="1232">
        <v>0.91116968795273046</v>
      </c>
      <c r="AM169" s="1232">
        <v>0.91602949593812333</v>
      </c>
      <c r="AN169" s="1232">
        <v>0.88588609459540424</v>
      </c>
      <c r="AO169" s="1232">
        <v>0.89364935587005401</v>
      </c>
      <c r="AP169" s="1232">
        <v>0.89700964629536883</v>
      </c>
      <c r="AQ169" s="1232">
        <v>0.89426394833234946</v>
      </c>
      <c r="AR169" s="1232">
        <v>0.89215503472360502</v>
      </c>
      <c r="AS169" s="1232">
        <v>0.87891050694101758</v>
      </c>
      <c r="AT169" s="1232">
        <v>0.86063002960053347</v>
      </c>
      <c r="AU169" s="1232">
        <v>0.78840736457860272</v>
      </c>
      <c r="AV169" s="1232">
        <v>0.80820954122423716</v>
      </c>
      <c r="AW169" s="1232" t="s">
        <v>1167</v>
      </c>
      <c r="AX169" s="1228"/>
      <c r="AY169" s="1231"/>
      <c r="AZ169" s="1231"/>
      <c r="BA169" s="1231"/>
      <c r="BB169" s="1231"/>
      <c r="BC169" s="1231"/>
      <c r="BD169" s="1231"/>
      <c r="BE169" s="1231"/>
      <c r="BF169" s="1231"/>
      <c r="BG169" s="1231"/>
      <c r="BH169" s="1231"/>
      <c r="BI169" s="1231"/>
      <c r="BJ169" s="1217"/>
      <c r="BK169" s="1233"/>
    </row>
    <row r="170" spans="2:63" ht="5.25" customHeight="1">
      <c r="B170" s="1219"/>
      <c r="C170" s="1214"/>
      <c r="D170" s="1214"/>
      <c r="E170" s="1214"/>
      <c r="F170" s="1230"/>
      <c r="G170" s="1230"/>
      <c r="H170" s="1234"/>
      <c r="I170" s="1234"/>
      <c r="J170" s="1234"/>
      <c r="K170" s="1234"/>
      <c r="L170" s="1234"/>
      <c r="M170" s="1234"/>
      <c r="N170" s="1234"/>
      <c r="O170" s="1234"/>
      <c r="P170" s="1234"/>
      <c r="Q170" s="1234"/>
      <c r="R170" s="1234"/>
      <c r="S170" s="1234"/>
      <c r="T170" s="1234"/>
      <c r="U170" s="1234"/>
      <c r="V170" s="1234"/>
      <c r="W170" s="1234"/>
      <c r="X170" s="1234"/>
      <c r="Y170" s="1234"/>
      <c r="Z170" s="1234"/>
      <c r="AA170" s="1234"/>
      <c r="AB170" s="1234"/>
      <c r="AC170" s="1234"/>
      <c r="AD170" s="1234"/>
      <c r="AE170" s="1234"/>
      <c r="AF170" s="1234"/>
      <c r="AG170" s="1234"/>
      <c r="AH170" s="1234"/>
      <c r="AI170" s="1234"/>
      <c r="AJ170" s="1234"/>
      <c r="AK170" s="1234"/>
      <c r="AL170" s="1234"/>
      <c r="AM170" s="1234"/>
      <c r="AN170" s="1234"/>
      <c r="AO170" s="1234"/>
      <c r="AP170" s="1234"/>
      <c r="AQ170" s="1234"/>
      <c r="AR170" s="1234"/>
      <c r="AS170" s="1234"/>
      <c r="AT170" s="1234"/>
      <c r="AU170" s="1234"/>
      <c r="AV170" s="1234"/>
      <c r="AW170" s="1234"/>
      <c r="AX170" s="1230"/>
      <c r="AY170" s="1230"/>
      <c r="AZ170" s="1230"/>
      <c r="BA170" s="1230"/>
      <c r="BB170" s="1230"/>
      <c r="BC170" s="1230"/>
      <c r="BD170" s="1230"/>
      <c r="BE170" s="1230"/>
      <c r="BF170" s="1230"/>
      <c r="BG170" s="1230"/>
      <c r="BH170" s="1230"/>
      <c r="BI170" s="1230"/>
      <c r="BJ170" s="1217"/>
    </row>
    <row r="171" spans="2:63" s="37" customFormat="1">
      <c r="B171" s="1219"/>
      <c r="C171" s="1236" t="s">
        <v>1168</v>
      </c>
      <c r="D171" s="1236"/>
      <c r="E171" s="1236"/>
      <c r="F171" s="1237"/>
      <c r="G171" s="1237"/>
      <c r="H171" s="1238"/>
      <c r="I171" s="1238"/>
      <c r="J171" s="1238"/>
      <c r="K171" s="1238"/>
      <c r="L171" s="1238"/>
      <c r="M171" s="1238"/>
      <c r="N171" s="1238"/>
      <c r="O171" s="1238"/>
      <c r="P171" s="1238"/>
      <c r="Q171" s="1238"/>
      <c r="R171" s="1238"/>
      <c r="S171" s="1238"/>
      <c r="T171" s="1238"/>
      <c r="U171" s="1238"/>
      <c r="V171" s="1238"/>
      <c r="W171" s="1238"/>
      <c r="X171" s="1238"/>
      <c r="Y171" s="1238"/>
      <c r="Z171" s="1238"/>
      <c r="AA171" s="1238"/>
      <c r="AB171" s="1238"/>
      <c r="AC171" s="1238"/>
      <c r="AD171" s="1238"/>
      <c r="AE171" s="1238"/>
      <c r="AF171" s="1238"/>
      <c r="AG171" s="1238"/>
      <c r="AH171" s="1238"/>
      <c r="AI171" s="1238"/>
      <c r="AJ171" s="1238"/>
      <c r="AK171" s="1238"/>
      <c r="AL171" s="1238"/>
      <c r="AM171" s="1238"/>
      <c r="AN171" s="1238"/>
      <c r="AO171" s="1238"/>
      <c r="AP171" s="1238"/>
      <c r="AQ171" s="1238"/>
      <c r="AR171" s="1238"/>
      <c r="AS171" s="1238"/>
      <c r="AT171" s="1238"/>
      <c r="AU171" s="1238"/>
      <c r="AV171" s="1238"/>
      <c r="AW171" s="1238"/>
      <c r="AX171" s="1237"/>
      <c r="AY171" s="1237"/>
      <c r="AZ171" s="1237"/>
      <c r="BA171" s="1237"/>
      <c r="BB171" s="1237"/>
      <c r="BC171" s="1237"/>
      <c r="BD171" s="1237"/>
      <c r="BE171" s="1237"/>
      <c r="BF171" s="1237"/>
      <c r="BG171" s="1237"/>
      <c r="BH171" s="1237"/>
      <c r="BI171" s="1237"/>
      <c r="BJ171" s="1239"/>
    </row>
    <row r="172" spans="2:63">
      <c r="B172" s="1219"/>
      <c r="C172" s="1214"/>
      <c r="D172" s="1214"/>
      <c r="E172" s="1214"/>
      <c r="F172" s="1214"/>
      <c r="G172" s="1214"/>
      <c r="H172" s="1215"/>
      <c r="I172" s="1215"/>
      <c r="J172" s="1215"/>
      <c r="K172" s="1215"/>
      <c r="L172" s="1215"/>
      <c r="M172" s="1215"/>
      <c r="N172" s="1215"/>
      <c r="O172" s="1215"/>
      <c r="P172" s="1215"/>
      <c r="Q172" s="1215"/>
      <c r="R172" s="1215"/>
      <c r="S172" s="1215"/>
      <c r="T172" s="1215"/>
      <c r="U172" s="1215"/>
      <c r="V172" s="1215"/>
      <c r="W172" s="1215"/>
      <c r="X172" s="1215"/>
      <c r="Y172" s="1215"/>
      <c r="Z172" s="1215"/>
      <c r="AA172" s="1215"/>
      <c r="AB172" s="1215"/>
      <c r="AC172" s="1215"/>
      <c r="AD172" s="1215"/>
      <c r="AE172" s="1215"/>
      <c r="AF172" s="1215"/>
      <c r="AG172" s="1215"/>
      <c r="AH172" s="1215"/>
      <c r="AI172" s="1215"/>
      <c r="AJ172" s="1215"/>
      <c r="AK172" s="1215"/>
      <c r="AL172" s="1215"/>
      <c r="AM172" s="1215"/>
      <c r="AN172" s="1215"/>
      <c r="AO172" s="1215"/>
      <c r="AP172" s="1215"/>
      <c r="AQ172" s="1215"/>
      <c r="AR172" s="1215"/>
      <c r="AS172" s="1215"/>
      <c r="AT172" s="1215"/>
      <c r="AU172" s="1215"/>
      <c r="AV172" s="1215"/>
      <c r="AW172" s="1215"/>
      <c r="AX172" s="1214"/>
      <c r="AY172" s="1214"/>
      <c r="AZ172" s="1214"/>
      <c r="BA172" s="1214"/>
      <c r="BB172" s="1214"/>
      <c r="BC172" s="1214"/>
      <c r="BD172" s="1214"/>
      <c r="BE172" s="1214"/>
      <c r="BF172" s="1214"/>
      <c r="BG172" s="1214"/>
      <c r="BH172" s="1214"/>
      <c r="BI172" s="1214"/>
      <c r="BJ172" s="1217"/>
    </row>
    <row r="173" spans="2:63" s="51" customFormat="1" ht="13.5" customHeight="1">
      <c r="B173" s="1235"/>
      <c r="C173" s="1241"/>
      <c r="D173" s="1242"/>
      <c r="E173" s="1242" t="s">
        <v>1169</v>
      </c>
      <c r="F173" s="1243"/>
      <c r="G173" s="1243"/>
      <c r="H173" s="1244"/>
      <c r="I173" s="1244"/>
      <c r="J173" s="1244"/>
      <c r="K173" s="1244"/>
      <c r="L173" s="1244"/>
      <c r="M173" s="1244"/>
      <c r="N173" s="1244"/>
      <c r="O173" s="1244"/>
      <c r="P173" s="1244"/>
      <c r="Q173" s="1244"/>
      <c r="R173" s="1244"/>
      <c r="S173" s="1244"/>
      <c r="T173" s="1244"/>
      <c r="U173" s="1244"/>
      <c r="V173" s="1244"/>
      <c r="W173" s="1244"/>
      <c r="X173" s="1244"/>
      <c r="Y173" s="1244"/>
      <c r="Z173" s="1244"/>
      <c r="AA173" s="1244"/>
      <c r="AB173" s="1244"/>
      <c r="AC173" s="1244"/>
      <c r="AD173" s="1244"/>
      <c r="AE173" s="1244"/>
      <c r="AF173" s="1244"/>
      <c r="AG173" s="1244"/>
      <c r="AH173" s="1244"/>
      <c r="AI173" s="1244"/>
      <c r="AJ173" s="1244"/>
      <c r="AK173" s="1244"/>
      <c r="AL173" s="1244"/>
      <c r="AM173" s="1244"/>
      <c r="AN173" s="1244"/>
      <c r="AO173" s="1244"/>
      <c r="AP173" s="1244"/>
      <c r="AQ173" s="1244"/>
      <c r="AR173" s="1244"/>
      <c r="AS173" s="1244"/>
      <c r="AT173" s="1244"/>
      <c r="AU173" s="1244"/>
      <c r="AV173" s="1244"/>
      <c r="AW173" s="1244"/>
      <c r="AX173" s="1241"/>
      <c r="AY173" s="1245"/>
      <c r="AZ173" s="1245"/>
      <c r="BA173" s="1241"/>
      <c r="BB173" s="1241"/>
      <c r="BC173" s="1241"/>
      <c r="BD173" s="1241"/>
      <c r="BE173" s="1241"/>
      <c r="BF173" s="1241"/>
      <c r="BG173" s="1241"/>
      <c r="BH173" s="1246"/>
      <c r="BI173" s="1247"/>
      <c r="BJ173" s="1248"/>
    </row>
    <row r="174" spans="2:63" s="51" customFormat="1" ht="13.5" customHeight="1">
      <c r="B174" s="1219"/>
      <c r="C174" s="1241"/>
      <c r="D174" s="1242"/>
      <c r="E174" s="1242"/>
      <c r="F174" s="1243"/>
      <c r="G174" s="1243"/>
      <c r="H174" s="1244"/>
      <c r="I174" s="1244"/>
      <c r="J174" s="1244"/>
      <c r="K174" s="1244"/>
      <c r="L174" s="1244"/>
      <c r="M174" s="1244"/>
      <c r="N174" s="1244"/>
      <c r="O174" s="1244"/>
      <c r="P174" s="1244"/>
      <c r="Q174" s="1244"/>
      <c r="R174" s="1244"/>
      <c r="S174" s="1244"/>
      <c r="T174" s="1244"/>
      <c r="U174" s="1244"/>
      <c r="V174" s="1244"/>
      <c r="W174" s="1244"/>
      <c r="X174" s="1244"/>
      <c r="Y174" s="1244"/>
      <c r="Z174" s="1244"/>
      <c r="AA174" s="1244"/>
      <c r="AB174" s="1244"/>
      <c r="AC174" s="1244"/>
      <c r="AD174" s="1244"/>
      <c r="AE174" s="1244"/>
      <c r="AF174" s="1244"/>
      <c r="AG174" s="1244"/>
      <c r="AH174" s="1244"/>
      <c r="AI174" s="1244"/>
      <c r="AJ174" s="1244"/>
      <c r="AK174" s="1244"/>
      <c r="AL174" s="1244"/>
      <c r="AM174" s="1244"/>
      <c r="AN174" s="1244"/>
      <c r="AO174" s="1244"/>
      <c r="AP174" s="1244"/>
      <c r="AQ174" s="1244"/>
      <c r="AR174" s="1244"/>
      <c r="AS174" s="1244"/>
      <c r="AT174" s="1244"/>
      <c r="AU174" s="1244"/>
      <c r="AV174" s="1244"/>
      <c r="AW174" s="1244"/>
      <c r="AX174" s="1241"/>
      <c r="AY174" s="1245"/>
      <c r="AZ174" s="1245"/>
      <c r="BA174" s="1241"/>
      <c r="BB174" s="1241"/>
      <c r="BC174" s="1241"/>
      <c r="BD174" s="1241"/>
      <c r="BE174" s="1241"/>
      <c r="BF174" s="1241"/>
      <c r="BG174" s="1241"/>
      <c r="BH174" s="1246"/>
      <c r="BI174" s="1247"/>
      <c r="BJ174" s="1248"/>
    </row>
    <row r="175" spans="2:63" s="51" customFormat="1" ht="13.5" customHeight="1">
      <c r="B175" s="1240"/>
      <c r="C175" s="1241" t="s">
        <v>1170</v>
      </c>
      <c r="D175" s="1242"/>
      <c r="E175" s="1242"/>
      <c r="F175" s="1242" t="s">
        <v>109</v>
      </c>
      <c r="G175" s="1242"/>
      <c r="H175" s="1249"/>
      <c r="I175" s="1249"/>
      <c r="J175" s="1249"/>
      <c r="K175" s="1249"/>
      <c r="L175" s="1249"/>
      <c r="M175" s="1249"/>
      <c r="N175" s="1249"/>
      <c r="O175" s="1249"/>
      <c r="P175" s="1249"/>
      <c r="Q175" s="1249"/>
      <c r="R175" s="1249"/>
      <c r="S175" s="1249"/>
      <c r="T175" s="1249"/>
      <c r="U175" s="1249"/>
      <c r="V175" s="1249"/>
      <c r="W175" s="1249"/>
      <c r="X175" s="1249"/>
      <c r="Y175" s="1249"/>
      <c r="Z175" s="1249"/>
      <c r="AA175" s="1249"/>
      <c r="AB175" s="1249"/>
      <c r="AC175" s="1249"/>
      <c r="AD175" s="1249"/>
      <c r="AE175" s="1249"/>
      <c r="AF175" s="1249"/>
      <c r="AG175" s="1249"/>
      <c r="AH175" s="1249"/>
      <c r="AI175" s="1249"/>
      <c r="AJ175" s="1249"/>
      <c r="AK175" s="1249"/>
      <c r="AL175" s="1249"/>
      <c r="AM175" s="1249"/>
      <c r="AN175" s="1249"/>
      <c r="AO175" s="1249"/>
      <c r="AP175" s="1249"/>
      <c r="AQ175" s="1249"/>
      <c r="AR175" s="1249"/>
      <c r="AS175" s="1249"/>
      <c r="AT175" s="1249"/>
      <c r="AU175" s="1249"/>
      <c r="AV175" s="1249"/>
      <c r="AW175" s="1249"/>
      <c r="AX175" s="1241"/>
      <c r="AY175" s="2405">
        <v>2007</v>
      </c>
      <c r="AZ175" s="2405"/>
      <c r="BA175" s="2405">
        <f>AY175+5</f>
        <v>2012</v>
      </c>
      <c r="BB175" s="2405">
        <f t="shared" ref="BB175:BI175" si="47">BA175+5</f>
        <v>2017</v>
      </c>
      <c r="BC175" s="2405">
        <f t="shared" si="47"/>
        <v>2022</v>
      </c>
      <c r="BD175" s="2405">
        <f t="shared" si="47"/>
        <v>2027</v>
      </c>
      <c r="BE175" s="2405">
        <f t="shared" si="47"/>
        <v>2032</v>
      </c>
      <c r="BF175" s="2405">
        <v>2037</v>
      </c>
      <c r="BG175" s="2405">
        <f t="shared" si="47"/>
        <v>2042</v>
      </c>
      <c r="BH175" s="2405">
        <f t="shared" si="47"/>
        <v>2047</v>
      </c>
      <c r="BI175" s="2405">
        <f t="shared" si="47"/>
        <v>2052</v>
      </c>
      <c r="BJ175" s="1248"/>
    </row>
    <row r="176" spans="2:63" s="51" customFormat="1" ht="13.5" customHeight="1">
      <c r="B176" s="1240"/>
      <c r="C176" s="1242" t="s">
        <v>60</v>
      </c>
      <c r="D176" s="1242"/>
      <c r="E176" s="1242"/>
      <c r="F176" s="1242" t="str">
        <f>INDEX(Workstreams[Workstream], MATCH($C176, Workstreams[Code], 0))</f>
        <v>Hydrocarbon fuel power generation</v>
      </c>
      <c r="G176" s="1250"/>
      <c r="H176" s="1251"/>
      <c r="I176" s="1251"/>
      <c r="J176" s="1251"/>
      <c r="K176" s="1251"/>
      <c r="L176" s="1251"/>
      <c r="M176" s="1251"/>
      <c r="N176" s="1251"/>
      <c r="O176" s="1251"/>
      <c r="P176" s="1251"/>
      <c r="Q176" s="1251"/>
      <c r="R176" s="1251"/>
      <c r="S176" s="1251"/>
      <c r="T176" s="1251"/>
      <c r="U176" s="1251"/>
      <c r="V176" s="1251"/>
      <c r="W176" s="1251"/>
      <c r="X176" s="1251"/>
      <c r="Y176" s="1251"/>
      <c r="Z176" s="1251"/>
      <c r="AA176" s="1251"/>
      <c r="AB176" s="1251"/>
      <c r="AC176" s="1251"/>
      <c r="AD176" s="1251"/>
      <c r="AE176" s="1251"/>
      <c r="AF176" s="1251"/>
      <c r="AG176" s="1251"/>
      <c r="AH176" s="1251"/>
      <c r="AI176" s="1251"/>
      <c r="AJ176" s="1251"/>
      <c r="AK176" s="1251"/>
      <c r="AL176" s="1251"/>
      <c r="AM176" s="1251"/>
      <c r="AN176" s="1251"/>
      <c r="AO176" s="1251"/>
      <c r="AP176" s="1251"/>
      <c r="AQ176" s="1251"/>
      <c r="AR176" s="1251"/>
      <c r="AS176" s="1251"/>
      <c r="AT176" s="1251"/>
      <c r="AU176" s="1251"/>
      <c r="AV176" s="1251"/>
      <c r="AW176" s="1251"/>
      <c r="AX176" s="1241"/>
      <c r="AY176" s="1252">
        <f t="shared" ref="AY176:BI182" ca="1" si="48">SUMIFS(INDIRECT("'"&amp;AY$175&amp;"'!Year.EmissionsBySector"), INDIRECT("'"&amp;AY$175&amp;"'!Year.Modules"),$C176)</f>
        <v>595.06618519645599</v>
      </c>
      <c r="AZ176" s="1252"/>
      <c r="BA176" s="1252">
        <f t="shared" ca="1" si="48"/>
        <v>786.58498080937272</v>
      </c>
      <c r="BB176" s="1252">
        <f t="shared" ca="1" si="48"/>
        <v>1087.8432043865573</v>
      </c>
      <c r="BC176" s="1252">
        <f t="shared" ca="1" si="48"/>
        <v>1606.8342870120703</v>
      </c>
      <c r="BD176" s="1252">
        <f t="shared" ca="1" si="48"/>
        <v>2280.6290028913718</v>
      </c>
      <c r="BE176" s="1252">
        <f t="shared" ca="1" si="48"/>
        <v>3196.8110175540182</v>
      </c>
      <c r="BF176" s="1252">
        <f t="shared" ca="1" si="48"/>
        <v>4021.5588263312093</v>
      </c>
      <c r="BG176" s="1252">
        <f t="shared" ca="1" si="48"/>
        <v>4974.5893139179325</v>
      </c>
      <c r="BH176" s="1252">
        <f t="shared" ca="1" si="48"/>
        <v>5849.210459291693</v>
      </c>
      <c r="BI176" s="1252">
        <f t="shared" ca="1" si="48"/>
        <v>6837.1101374826903</v>
      </c>
      <c r="BJ176" s="1248"/>
    </row>
    <row r="177" spans="2:62" s="51" customFormat="1" ht="13.5" customHeight="1">
      <c r="B177" s="1240"/>
      <c r="C177" s="1242" t="s">
        <v>61</v>
      </c>
      <c r="D177" s="1242"/>
      <c r="E177" s="1242"/>
      <c r="F177" s="1242" t="str">
        <f>INDEX(Workstreams[Workstream], MATCH($C177, Workstreams[Code], 0))</f>
        <v>Nuclear power generation</v>
      </c>
      <c r="G177" s="1250"/>
      <c r="H177" s="1251"/>
      <c r="I177" s="1251"/>
      <c r="J177" s="1251"/>
      <c r="K177" s="1251"/>
      <c r="L177" s="1251"/>
      <c r="M177" s="1251"/>
      <c r="N177" s="1251"/>
      <c r="O177" s="1251"/>
      <c r="P177" s="1251"/>
      <c r="Q177" s="1251"/>
      <c r="R177" s="1251"/>
      <c r="S177" s="1251"/>
      <c r="T177" s="1251"/>
      <c r="U177" s="1251"/>
      <c r="V177" s="1251"/>
      <c r="W177" s="1251"/>
      <c r="X177" s="1251"/>
      <c r="Y177" s="1251"/>
      <c r="Z177" s="1251"/>
      <c r="AA177" s="1251"/>
      <c r="AB177" s="1251"/>
      <c r="AC177" s="1251"/>
      <c r="AD177" s="1251"/>
      <c r="AE177" s="1251"/>
      <c r="AF177" s="1251"/>
      <c r="AG177" s="1251"/>
      <c r="AH177" s="1251"/>
      <c r="AI177" s="1251"/>
      <c r="AJ177" s="1251"/>
      <c r="AK177" s="1251"/>
      <c r="AL177" s="1251"/>
      <c r="AM177" s="1251"/>
      <c r="AN177" s="1251"/>
      <c r="AO177" s="1251"/>
      <c r="AP177" s="1251"/>
      <c r="AQ177" s="1251"/>
      <c r="AR177" s="1251"/>
      <c r="AS177" s="1251"/>
      <c r="AT177" s="1251"/>
      <c r="AU177" s="1251"/>
      <c r="AV177" s="1251"/>
      <c r="AW177" s="1251"/>
      <c r="AX177" s="1241"/>
      <c r="AY177" s="1252">
        <f t="shared" ca="1" si="48"/>
        <v>0</v>
      </c>
      <c r="AZ177" s="1252"/>
      <c r="BA177" s="1252">
        <f t="shared" ca="1" si="48"/>
        <v>0</v>
      </c>
      <c r="BB177" s="1252">
        <f t="shared" ca="1" si="48"/>
        <v>0</v>
      </c>
      <c r="BC177" s="1252">
        <f t="shared" ca="1" si="48"/>
        <v>0</v>
      </c>
      <c r="BD177" s="1252">
        <f t="shared" ca="1" si="48"/>
        <v>0</v>
      </c>
      <c r="BE177" s="1252">
        <f t="shared" ca="1" si="48"/>
        <v>0</v>
      </c>
      <c r="BF177" s="1252">
        <f t="shared" ca="1" si="48"/>
        <v>0</v>
      </c>
      <c r="BG177" s="1252">
        <f t="shared" ca="1" si="48"/>
        <v>0</v>
      </c>
      <c r="BH177" s="1252">
        <f t="shared" ca="1" si="48"/>
        <v>0</v>
      </c>
      <c r="BI177" s="1252">
        <f t="shared" ca="1" si="48"/>
        <v>0</v>
      </c>
      <c r="BJ177" s="1248"/>
    </row>
    <row r="178" spans="2:62" s="51" customFormat="1" ht="13.5" customHeight="1">
      <c r="B178" s="1240"/>
      <c r="C178" s="1242" t="s">
        <v>62</v>
      </c>
      <c r="D178" s="1242"/>
      <c r="E178" s="1242"/>
      <c r="F178" s="1242" t="str">
        <f>INDEX(Workstreams[Workstream], MATCH($C178, Workstreams[Code], 0))</f>
        <v>Hydro Electric Power Generation</v>
      </c>
      <c r="G178" s="1250"/>
      <c r="H178" s="1251"/>
      <c r="I178" s="1251"/>
      <c r="J178" s="1251"/>
      <c r="K178" s="1251"/>
      <c r="L178" s="1251"/>
      <c r="M178" s="1251"/>
      <c r="N178" s="1251"/>
      <c r="O178" s="1251"/>
      <c r="P178" s="1251"/>
      <c r="Q178" s="1251"/>
      <c r="R178" s="1251"/>
      <c r="S178" s="1251"/>
      <c r="T178" s="1251"/>
      <c r="U178" s="1251"/>
      <c r="V178" s="1251"/>
      <c r="W178" s="1251"/>
      <c r="X178" s="1251"/>
      <c r="Y178" s="1251"/>
      <c r="Z178" s="1251"/>
      <c r="AA178" s="1251"/>
      <c r="AB178" s="1251"/>
      <c r="AC178" s="1251"/>
      <c r="AD178" s="1251"/>
      <c r="AE178" s="1251"/>
      <c r="AF178" s="1251"/>
      <c r="AG178" s="1251"/>
      <c r="AH178" s="1251"/>
      <c r="AI178" s="1251"/>
      <c r="AJ178" s="1251"/>
      <c r="AK178" s="1251"/>
      <c r="AL178" s="1251"/>
      <c r="AM178" s="1251"/>
      <c r="AN178" s="1251"/>
      <c r="AO178" s="1251"/>
      <c r="AP178" s="1251"/>
      <c r="AQ178" s="1251"/>
      <c r="AR178" s="1251"/>
      <c r="AS178" s="1251"/>
      <c r="AT178" s="1251"/>
      <c r="AU178" s="1251"/>
      <c r="AV178" s="1251"/>
      <c r="AW178" s="1251"/>
      <c r="AX178" s="1241"/>
      <c r="AY178" s="1252">
        <f t="shared" ca="1" si="48"/>
        <v>0</v>
      </c>
      <c r="AZ178" s="1252"/>
      <c r="BA178" s="1252">
        <f t="shared" ca="1" si="48"/>
        <v>0</v>
      </c>
      <c r="BB178" s="1252">
        <f t="shared" ca="1" si="48"/>
        <v>0</v>
      </c>
      <c r="BC178" s="1252">
        <f t="shared" ca="1" si="48"/>
        <v>0</v>
      </c>
      <c r="BD178" s="1252">
        <f t="shared" ca="1" si="48"/>
        <v>0</v>
      </c>
      <c r="BE178" s="1252">
        <f t="shared" ca="1" si="48"/>
        <v>0</v>
      </c>
      <c r="BF178" s="1252">
        <f t="shared" ca="1" si="48"/>
        <v>0</v>
      </c>
      <c r="BG178" s="1252">
        <f t="shared" ca="1" si="48"/>
        <v>0</v>
      </c>
      <c r="BH178" s="1252">
        <f t="shared" ca="1" si="48"/>
        <v>0</v>
      </c>
      <c r="BI178" s="1252">
        <f t="shared" ca="1" si="48"/>
        <v>0</v>
      </c>
      <c r="BJ178" s="1248"/>
    </row>
    <row r="179" spans="2:62" s="51" customFormat="1" ht="13.5" customHeight="1">
      <c r="B179" s="1240"/>
      <c r="C179" s="1242" t="s">
        <v>63</v>
      </c>
      <c r="D179" s="1242"/>
      <c r="E179" s="1242"/>
      <c r="F179" s="1242" t="str">
        <f>INDEX(Workstreams[Workstream], MATCH($C179, Workstreams[Code], 0))</f>
        <v>National  renewable power generation</v>
      </c>
      <c r="G179" s="1250"/>
      <c r="H179" s="1251"/>
      <c r="I179" s="1251"/>
      <c r="J179" s="1251"/>
      <c r="K179" s="1251"/>
      <c r="L179" s="1251"/>
      <c r="M179" s="1251"/>
      <c r="N179" s="1251"/>
      <c r="O179" s="1251"/>
      <c r="P179" s="1251"/>
      <c r="Q179" s="1251"/>
      <c r="R179" s="1251"/>
      <c r="S179" s="1251"/>
      <c r="T179" s="1251"/>
      <c r="U179" s="1251"/>
      <c r="V179" s="1251"/>
      <c r="W179" s="1251"/>
      <c r="X179" s="1251"/>
      <c r="Y179" s="1251"/>
      <c r="Z179" s="1251"/>
      <c r="AA179" s="1251"/>
      <c r="AB179" s="1251"/>
      <c r="AC179" s="1251"/>
      <c r="AD179" s="1251"/>
      <c r="AE179" s="1251"/>
      <c r="AF179" s="1251"/>
      <c r="AG179" s="1251"/>
      <c r="AH179" s="1251"/>
      <c r="AI179" s="1251"/>
      <c r="AJ179" s="1251"/>
      <c r="AK179" s="1251"/>
      <c r="AL179" s="1251"/>
      <c r="AM179" s="1251"/>
      <c r="AN179" s="1251"/>
      <c r="AO179" s="1251"/>
      <c r="AP179" s="1251"/>
      <c r="AQ179" s="1251"/>
      <c r="AR179" s="1251"/>
      <c r="AS179" s="1251"/>
      <c r="AT179" s="1251"/>
      <c r="AU179" s="1251"/>
      <c r="AV179" s="1251"/>
      <c r="AW179" s="1251"/>
      <c r="AX179" s="1241"/>
      <c r="AY179" s="1252">
        <f t="shared" ca="1" si="48"/>
        <v>0</v>
      </c>
      <c r="AZ179" s="1252"/>
      <c r="BA179" s="1252">
        <f t="shared" ca="1" si="48"/>
        <v>0</v>
      </c>
      <c r="BB179" s="1252">
        <f t="shared" ca="1" si="48"/>
        <v>0</v>
      </c>
      <c r="BC179" s="1252">
        <f t="shared" ca="1" si="48"/>
        <v>0</v>
      </c>
      <c r="BD179" s="1252">
        <f t="shared" ca="1" si="48"/>
        <v>0</v>
      </c>
      <c r="BE179" s="1252">
        <f t="shared" ca="1" si="48"/>
        <v>0</v>
      </c>
      <c r="BF179" s="1252">
        <f t="shared" ca="1" si="48"/>
        <v>0</v>
      </c>
      <c r="BG179" s="1252">
        <f t="shared" ca="1" si="48"/>
        <v>0</v>
      </c>
      <c r="BH179" s="1252">
        <f t="shared" ca="1" si="48"/>
        <v>0</v>
      </c>
      <c r="BI179" s="1252">
        <f t="shared" ca="1" si="48"/>
        <v>0</v>
      </c>
      <c r="BJ179" s="1248"/>
    </row>
    <row r="180" spans="2:62" s="51" customFormat="1" ht="13.5" customHeight="1">
      <c r="B180" s="1240"/>
      <c r="C180" s="1242" t="s">
        <v>190</v>
      </c>
      <c r="D180" s="1242"/>
      <c r="E180" s="1242"/>
      <c r="F180" s="1242" t="str">
        <f>INDEX(Workstreams[Workstream], MATCH($C180, Workstreams[Code], 0))</f>
        <v>Bioenergy</v>
      </c>
      <c r="G180" s="1250"/>
      <c r="H180" s="1251"/>
      <c r="I180" s="1251"/>
      <c r="J180" s="1251"/>
      <c r="K180" s="1251"/>
      <c r="L180" s="1251"/>
      <c r="M180" s="1251"/>
      <c r="N180" s="1251"/>
      <c r="O180" s="1251"/>
      <c r="P180" s="1251"/>
      <c r="Q180" s="1251"/>
      <c r="R180" s="1251"/>
      <c r="S180" s="1251"/>
      <c r="T180" s="1251"/>
      <c r="U180" s="1251"/>
      <c r="V180" s="1251"/>
      <c r="W180" s="1251"/>
      <c r="X180" s="1251"/>
      <c r="Y180" s="1251"/>
      <c r="Z180" s="1251"/>
      <c r="AA180" s="1251"/>
      <c r="AB180" s="1251"/>
      <c r="AC180" s="1251"/>
      <c r="AD180" s="1251"/>
      <c r="AE180" s="1251"/>
      <c r="AF180" s="1251"/>
      <c r="AG180" s="1251"/>
      <c r="AH180" s="1251"/>
      <c r="AI180" s="1251"/>
      <c r="AJ180" s="1251"/>
      <c r="AK180" s="1251"/>
      <c r="AL180" s="1251"/>
      <c r="AM180" s="1251"/>
      <c r="AN180" s="1251"/>
      <c r="AO180" s="1251"/>
      <c r="AP180" s="1251"/>
      <c r="AQ180" s="1251"/>
      <c r="AR180" s="1251"/>
      <c r="AS180" s="1251"/>
      <c r="AT180" s="1251"/>
      <c r="AU180" s="1251"/>
      <c r="AV180" s="1251"/>
      <c r="AW180" s="1251"/>
      <c r="AX180" s="1241"/>
      <c r="AY180" s="1252">
        <f t="shared" ca="1" si="48"/>
        <v>-313.89366247877757</v>
      </c>
      <c r="AZ180" s="1252"/>
      <c r="BA180" s="1252">
        <f t="shared" ca="1" si="48"/>
        <v>-317.74488604405229</v>
      </c>
      <c r="BB180" s="1252">
        <f t="shared" ca="1" si="48"/>
        <v>-316.49941332858305</v>
      </c>
      <c r="BC180" s="1252">
        <f t="shared" ca="1" si="48"/>
        <v>-315.46610321588201</v>
      </c>
      <c r="BD180" s="1252">
        <f t="shared" ca="1" si="48"/>
        <v>-314.6889283958385</v>
      </c>
      <c r="BE180" s="1252">
        <f t="shared" ca="1" si="48"/>
        <v>-314.23239533992523</v>
      </c>
      <c r="BF180" s="1252">
        <f t="shared" ca="1" si="48"/>
        <v>-313.99481361351673</v>
      </c>
      <c r="BG180" s="1252">
        <f t="shared" ca="1" si="48"/>
        <v>-312.92388420747147</v>
      </c>
      <c r="BH180" s="1252">
        <f t="shared" ca="1" si="48"/>
        <v>-312.11179177995979</v>
      </c>
      <c r="BI180" s="1252">
        <f t="shared" ca="1" si="48"/>
        <v>-311.84926752683651</v>
      </c>
      <c r="BJ180" s="1248"/>
    </row>
    <row r="181" spans="2:62" s="51" customFormat="1" ht="13.5" customHeight="1">
      <c r="B181" s="1240"/>
      <c r="C181" s="1242" t="s">
        <v>191</v>
      </c>
      <c r="D181" s="1242"/>
      <c r="E181" s="1242"/>
      <c r="F181" s="1242" t="str">
        <f>INDEX(Workstreams[Workstream], MATCH($C181, Workstreams[Code], 0))</f>
        <v>Waste</v>
      </c>
      <c r="G181" s="1250"/>
      <c r="H181" s="1251"/>
      <c r="I181" s="1251"/>
      <c r="J181" s="1251"/>
      <c r="K181" s="1251"/>
      <c r="L181" s="1251"/>
      <c r="M181" s="1251"/>
      <c r="N181" s="1251"/>
      <c r="O181" s="1251"/>
      <c r="P181" s="1251"/>
      <c r="Q181" s="1251"/>
      <c r="R181" s="1251"/>
      <c r="S181" s="1251"/>
      <c r="T181" s="1251"/>
      <c r="U181" s="1251"/>
      <c r="V181" s="1251"/>
      <c r="W181" s="1251"/>
      <c r="X181" s="1251"/>
      <c r="Y181" s="1251"/>
      <c r="Z181" s="1251"/>
      <c r="AA181" s="1251"/>
      <c r="AB181" s="1251"/>
      <c r="AC181" s="1251"/>
      <c r="AD181" s="1251"/>
      <c r="AE181" s="1251"/>
      <c r="AF181" s="1251"/>
      <c r="AG181" s="1251"/>
      <c r="AH181" s="1251"/>
      <c r="AI181" s="1251"/>
      <c r="AJ181" s="1251"/>
      <c r="AK181" s="1251"/>
      <c r="AL181" s="1251"/>
      <c r="AM181" s="1251"/>
      <c r="AN181" s="1251"/>
      <c r="AO181" s="1251"/>
      <c r="AP181" s="1251"/>
      <c r="AQ181" s="1251"/>
      <c r="AR181" s="1251"/>
      <c r="AS181" s="1251"/>
      <c r="AT181" s="1251"/>
      <c r="AU181" s="1251"/>
      <c r="AV181" s="1251"/>
      <c r="AW181" s="1251"/>
      <c r="AX181" s="1241"/>
      <c r="AY181" s="1252">
        <f t="shared" ca="1" si="48"/>
        <v>0</v>
      </c>
      <c r="AZ181" s="1252"/>
      <c r="BA181" s="1252">
        <f t="shared" ca="1" si="48"/>
        <v>0</v>
      </c>
      <c r="BB181" s="1252">
        <f t="shared" ca="1" si="48"/>
        <v>0</v>
      </c>
      <c r="BC181" s="1252">
        <f t="shared" ca="1" si="48"/>
        <v>0</v>
      </c>
      <c r="BD181" s="1252">
        <f t="shared" ca="1" si="48"/>
        <v>0</v>
      </c>
      <c r="BE181" s="1252">
        <f t="shared" ca="1" si="48"/>
        <v>0</v>
      </c>
      <c r="BF181" s="1252">
        <f t="shared" ca="1" si="48"/>
        <v>0</v>
      </c>
      <c r="BG181" s="1252">
        <f t="shared" ca="1" si="48"/>
        <v>0</v>
      </c>
      <c r="BH181" s="1252">
        <f t="shared" ca="1" si="48"/>
        <v>0</v>
      </c>
      <c r="BI181" s="1252">
        <f t="shared" ca="1" si="48"/>
        <v>0</v>
      </c>
      <c r="BJ181" s="1248"/>
    </row>
    <row r="182" spans="2:62" s="51" customFormat="1" ht="13.5" customHeight="1">
      <c r="B182" s="1240"/>
      <c r="C182" s="1242" t="s">
        <v>192</v>
      </c>
      <c r="D182" s="1242"/>
      <c r="E182" s="1242"/>
      <c r="F182" s="1242" t="str">
        <f>INDEX(Workstreams[Workstream], MATCH($C182, Workstreams[Code], 0))</f>
        <v>Electricity distribution, storage, and balancing</v>
      </c>
      <c r="G182" s="1250"/>
      <c r="H182" s="1251"/>
      <c r="I182" s="1251"/>
      <c r="J182" s="1251"/>
      <c r="K182" s="1251"/>
      <c r="L182" s="1251"/>
      <c r="M182" s="1251"/>
      <c r="N182" s="1251"/>
      <c r="O182" s="1251"/>
      <c r="P182" s="1251"/>
      <c r="Q182" s="1251"/>
      <c r="R182" s="1251"/>
      <c r="S182" s="1251"/>
      <c r="T182" s="1251"/>
      <c r="U182" s="1251"/>
      <c r="V182" s="1251"/>
      <c r="W182" s="1251"/>
      <c r="X182" s="1251"/>
      <c r="Y182" s="1251"/>
      <c r="Z182" s="1251"/>
      <c r="AA182" s="1251"/>
      <c r="AB182" s="1251"/>
      <c r="AC182" s="1251"/>
      <c r="AD182" s="1251"/>
      <c r="AE182" s="1251"/>
      <c r="AF182" s="1251"/>
      <c r="AG182" s="1251"/>
      <c r="AH182" s="1251"/>
      <c r="AI182" s="1251"/>
      <c r="AJ182" s="1251"/>
      <c r="AK182" s="1251"/>
      <c r="AL182" s="1251"/>
      <c r="AM182" s="1251"/>
      <c r="AN182" s="1251"/>
      <c r="AO182" s="1251"/>
      <c r="AP182" s="1251"/>
      <c r="AQ182" s="1251"/>
      <c r="AR182" s="1251"/>
      <c r="AS182" s="1251"/>
      <c r="AT182" s="1251"/>
      <c r="AU182" s="1251"/>
      <c r="AV182" s="1251"/>
      <c r="AW182" s="1251"/>
      <c r="AX182" s="1241"/>
      <c r="AY182" s="1252">
        <f t="shared" ca="1" si="48"/>
        <v>0</v>
      </c>
      <c r="AZ182" s="1252"/>
      <c r="BA182" s="1252">
        <f t="shared" ca="1" si="48"/>
        <v>0</v>
      </c>
      <c r="BB182" s="1252">
        <f t="shared" ca="1" si="48"/>
        <v>0</v>
      </c>
      <c r="BC182" s="1252">
        <f t="shared" ca="1" si="48"/>
        <v>0</v>
      </c>
      <c r="BD182" s="1252">
        <f t="shared" ca="1" si="48"/>
        <v>0</v>
      </c>
      <c r="BE182" s="1252">
        <f t="shared" ca="1" si="48"/>
        <v>0</v>
      </c>
      <c r="BF182" s="1252">
        <f t="shared" ca="1" si="48"/>
        <v>0</v>
      </c>
      <c r="BG182" s="1252">
        <f t="shared" ca="1" si="48"/>
        <v>0</v>
      </c>
      <c r="BH182" s="1252">
        <f t="shared" ca="1" si="48"/>
        <v>0</v>
      </c>
      <c r="BI182" s="1252">
        <f t="shared" ca="1" si="48"/>
        <v>0</v>
      </c>
      <c r="BJ182" s="1248"/>
    </row>
    <row r="183" spans="2:62" s="51" customFormat="1" ht="13.5" customHeight="1">
      <c r="B183" s="1240"/>
      <c r="C183" s="1242"/>
      <c r="D183" s="1242"/>
      <c r="E183" s="1242"/>
      <c r="F183" s="1242"/>
      <c r="G183" s="1250"/>
      <c r="H183" s="1251"/>
      <c r="I183" s="1251"/>
      <c r="J183" s="1251"/>
      <c r="K183" s="1251"/>
      <c r="L183" s="1251"/>
      <c r="M183" s="1251"/>
      <c r="N183" s="1251"/>
      <c r="O183" s="1251"/>
      <c r="P183" s="1251"/>
      <c r="Q183" s="1251"/>
      <c r="R183" s="1251"/>
      <c r="S183" s="1251"/>
      <c r="T183" s="1251"/>
      <c r="U183" s="1251"/>
      <c r="V183" s="1251"/>
      <c r="W183" s="1251"/>
      <c r="X183" s="1251"/>
      <c r="Y183" s="1251"/>
      <c r="Z183" s="1251"/>
      <c r="AA183" s="1251"/>
      <c r="AB183" s="1251"/>
      <c r="AC183" s="1251"/>
      <c r="AD183" s="1251"/>
      <c r="AE183" s="1251"/>
      <c r="AF183" s="1251"/>
      <c r="AG183" s="1251"/>
      <c r="AH183" s="1251"/>
      <c r="AI183" s="1251"/>
      <c r="AJ183" s="1251"/>
      <c r="AK183" s="1251"/>
      <c r="AL183" s="1251"/>
      <c r="AM183" s="1251"/>
      <c r="AN183" s="1251"/>
      <c r="AO183" s="1251"/>
      <c r="AP183" s="1251"/>
      <c r="AQ183" s="1251"/>
      <c r="AR183" s="1251"/>
      <c r="AS183" s="1251"/>
      <c r="AT183" s="1251"/>
      <c r="AU183" s="1251"/>
      <c r="AV183" s="1251"/>
      <c r="AW183" s="1251"/>
      <c r="AX183" s="1241"/>
      <c r="AY183" s="1252"/>
      <c r="AZ183" s="1252"/>
      <c r="BA183" s="1252"/>
      <c r="BB183" s="1252"/>
      <c r="BC183" s="1252"/>
      <c r="BD183" s="1252"/>
      <c r="BE183" s="1252"/>
      <c r="BF183" s="1252"/>
      <c r="BG183" s="1252"/>
      <c r="BH183" s="1252"/>
      <c r="BI183" s="1252"/>
      <c r="BJ183" s="1248"/>
    </row>
    <row r="184" spans="2:62" s="51" customFormat="1" ht="13.5" customHeight="1">
      <c r="B184" s="1240"/>
      <c r="C184" s="1242" t="s">
        <v>195</v>
      </c>
      <c r="D184" s="1242"/>
      <c r="E184" s="1242"/>
      <c r="F184" s="1242" t="str">
        <f>INDEX(Workstreams[Workstream], MATCH($C184, Workstreams[Code], 0))</f>
        <v>Buildings</v>
      </c>
      <c r="G184" s="1250"/>
      <c r="H184" s="1251"/>
      <c r="I184" s="1251"/>
      <c r="J184" s="1251"/>
      <c r="K184" s="1251"/>
      <c r="L184" s="1251"/>
      <c r="M184" s="1251"/>
      <c r="N184" s="1251"/>
      <c r="O184" s="1251"/>
      <c r="P184" s="1251"/>
      <c r="Q184" s="1251"/>
      <c r="R184" s="1251"/>
      <c r="S184" s="1251"/>
      <c r="T184" s="1251"/>
      <c r="U184" s="1251"/>
      <c r="V184" s="1251"/>
      <c r="W184" s="1251"/>
      <c r="X184" s="1251"/>
      <c r="Y184" s="1251"/>
      <c r="Z184" s="1251"/>
      <c r="AA184" s="1251"/>
      <c r="AB184" s="1251"/>
      <c r="AC184" s="1251"/>
      <c r="AD184" s="1251"/>
      <c r="AE184" s="1251"/>
      <c r="AF184" s="1251"/>
      <c r="AG184" s="1251"/>
      <c r="AH184" s="1251"/>
      <c r="AI184" s="1251"/>
      <c r="AJ184" s="1251"/>
      <c r="AK184" s="1251"/>
      <c r="AL184" s="1251"/>
      <c r="AM184" s="1251"/>
      <c r="AN184" s="1251"/>
      <c r="AO184" s="1251"/>
      <c r="AP184" s="1251"/>
      <c r="AQ184" s="1251"/>
      <c r="AR184" s="1251"/>
      <c r="AS184" s="1251"/>
      <c r="AT184" s="1251"/>
      <c r="AU184" s="1251"/>
      <c r="AV184" s="1251"/>
      <c r="AW184" s="1251"/>
      <c r="AX184" s="1241"/>
      <c r="AY184" s="1252">
        <f t="shared" ref="AY184:BI192" ca="1" si="49">SUMIFS(INDIRECT("'"&amp;AY$175&amp;"'!Year.EmissionsBySector"), INDIRECT("'"&amp;AY$175&amp;"'!Year.Modules"),$C184)</f>
        <v>0</v>
      </c>
      <c r="AZ184" s="1252"/>
      <c r="BA184" s="1252">
        <f t="shared" ca="1" si="49"/>
        <v>0</v>
      </c>
      <c r="BB184" s="1252">
        <f t="shared" ca="1" si="49"/>
        <v>0</v>
      </c>
      <c r="BC184" s="1252">
        <f t="shared" ca="1" si="49"/>
        <v>0</v>
      </c>
      <c r="BD184" s="1252">
        <f t="shared" ca="1" si="49"/>
        <v>0</v>
      </c>
      <c r="BE184" s="1252">
        <f t="shared" ca="1" si="49"/>
        <v>0</v>
      </c>
      <c r="BF184" s="1252">
        <f t="shared" ca="1" si="49"/>
        <v>0</v>
      </c>
      <c r="BG184" s="1252">
        <f t="shared" ca="1" si="49"/>
        <v>0</v>
      </c>
      <c r="BH184" s="1252">
        <f t="shared" ca="1" si="49"/>
        <v>0</v>
      </c>
      <c r="BI184" s="1252">
        <f t="shared" ca="1" si="49"/>
        <v>0</v>
      </c>
      <c r="BJ184" s="1248"/>
    </row>
    <row r="185" spans="2:62" s="51" customFormat="1" ht="13.5" customHeight="1">
      <c r="B185" s="1240"/>
      <c r="C185" s="1242" t="s">
        <v>196</v>
      </c>
      <c r="D185" s="1242"/>
      <c r="E185" s="1242"/>
      <c r="F185" s="1242" t="str">
        <f>INDEX(Workstreams[Workstream], MATCH($C185, Workstreams[Code], 0))</f>
        <v>Lighting and appliances</v>
      </c>
      <c r="G185" s="1250"/>
      <c r="H185" s="1251"/>
      <c r="I185" s="1251"/>
      <c r="J185" s="1251"/>
      <c r="K185" s="1251"/>
      <c r="L185" s="1251"/>
      <c r="M185" s="1251"/>
      <c r="N185" s="1251"/>
      <c r="O185" s="1251"/>
      <c r="P185" s="1251"/>
      <c r="Q185" s="1251"/>
      <c r="R185" s="1251"/>
      <c r="S185" s="1251"/>
      <c r="T185" s="1251"/>
      <c r="U185" s="1251"/>
      <c r="V185" s="1251"/>
      <c r="W185" s="1251"/>
      <c r="X185" s="1251"/>
      <c r="Y185" s="1251"/>
      <c r="Z185" s="1251"/>
      <c r="AA185" s="1251"/>
      <c r="AB185" s="1251"/>
      <c r="AC185" s="1251"/>
      <c r="AD185" s="1251"/>
      <c r="AE185" s="1251"/>
      <c r="AF185" s="1251"/>
      <c r="AG185" s="1251"/>
      <c r="AH185" s="1251"/>
      <c r="AI185" s="1251"/>
      <c r="AJ185" s="1251"/>
      <c r="AK185" s="1251"/>
      <c r="AL185" s="1251"/>
      <c r="AM185" s="1251"/>
      <c r="AN185" s="1251"/>
      <c r="AO185" s="1251"/>
      <c r="AP185" s="1251"/>
      <c r="AQ185" s="1251"/>
      <c r="AR185" s="1251"/>
      <c r="AS185" s="1251"/>
      <c r="AT185" s="1251"/>
      <c r="AU185" s="1251"/>
      <c r="AV185" s="1251"/>
      <c r="AW185" s="1251"/>
      <c r="AX185" s="1241"/>
      <c r="AY185" s="1252">
        <f t="shared" ca="1" si="49"/>
        <v>1.9940071140643392</v>
      </c>
      <c r="AZ185" s="1252"/>
      <c r="BA185" s="1252">
        <f t="shared" ca="1" si="49"/>
        <v>1.8329576632390179</v>
      </c>
      <c r="BB185" s="1252">
        <f t="shared" ca="1" si="49"/>
        <v>1.5593969490007227</v>
      </c>
      <c r="BC185" s="1252">
        <f t="shared" ca="1" si="49"/>
        <v>1.2520757241189449</v>
      </c>
      <c r="BD185" s="1252">
        <f t="shared" ca="1" si="49"/>
        <v>0.89960387313435453</v>
      </c>
      <c r="BE185" s="1252">
        <f t="shared" ca="1" si="49"/>
        <v>0.51206817193927345</v>
      </c>
      <c r="BF185" s="1252">
        <f t="shared" ca="1" si="49"/>
        <v>0.41076728618570002</v>
      </c>
      <c r="BG185" s="1252">
        <f t="shared" ca="1" si="49"/>
        <v>0.28960362076092644</v>
      </c>
      <c r="BH185" s="1252">
        <f t="shared" ca="1" si="49"/>
        <v>0.15320843556214719</v>
      </c>
      <c r="BI185" s="1252">
        <f t="shared" ca="1" si="49"/>
        <v>0</v>
      </c>
      <c r="BJ185" s="1248"/>
    </row>
    <row r="186" spans="2:62" s="51" customFormat="1" ht="13.5" customHeight="1">
      <c r="B186" s="1240"/>
      <c r="C186" s="1242" t="s">
        <v>197</v>
      </c>
      <c r="D186" s="1242"/>
      <c r="E186" s="1242"/>
      <c r="F186" s="1242" t="str">
        <f>INDEX(Workstreams[Workstream], MATCH($C186, Workstreams[Code], 0))</f>
        <v>Industry</v>
      </c>
      <c r="G186" s="1250"/>
      <c r="H186" s="1251"/>
      <c r="I186" s="1251"/>
      <c r="J186" s="1251"/>
      <c r="K186" s="1251"/>
      <c r="L186" s="1251"/>
      <c r="M186" s="1251"/>
      <c r="N186" s="1251"/>
      <c r="O186" s="1251"/>
      <c r="P186" s="1251"/>
      <c r="Q186" s="1251"/>
      <c r="R186" s="1251"/>
      <c r="S186" s="1251"/>
      <c r="T186" s="1251"/>
      <c r="U186" s="1251"/>
      <c r="V186" s="1251"/>
      <c r="W186" s="1251"/>
      <c r="X186" s="1251"/>
      <c r="Y186" s="1251"/>
      <c r="Z186" s="1251"/>
      <c r="AA186" s="1251"/>
      <c r="AB186" s="1251"/>
      <c r="AC186" s="1251"/>
      <c r="AD186" s="1251"/>
      <c r="AE186" s="1251"/>
      <c r="AF186" s="1251"/>
      <c r="AG186" s="1251"/>
      <c r="AH186" s="1251"/>
      <c r="AI186" s="1251"/>
      <c r="AJ186" s="1251"/>
      <c r="AK186" s="1251"/>
      <c r="AL186" s="1251"/>
      <c r="AM186" s="1251"/>
      <c r="AN186" s="1251"/>
      <c r="AO186" s="1251"/>
      <c r="AP186" s="1251"/>
      <c r="AQ186" s="1251"/>
      <c r="AR186" s="1251"/>
      <c r="AS186" s="1251"/>
      <c r="AT186" s="1251"/>
      <c r="AU186" s="1251"/>
      <c r="AV186" s="1251"/>
      <c r="AW186" s="1251"/>
      <c r="AX186" s="1241"/>
      <c r="AY186" s="1252">
        <f t="shared" ca="1" si="49"/>
        <v>656.32859095817719</v>
      </c>
      <c r="AZ186" s="1252"/>
      <c r="BA186" s="1252">
        <f t="shared" ca="1" si="49"/>
        <v>979.12998115429286</v>
      </c>
      <c r="BB186" s="1252">
        <f t="shared" ca="1" si="49"/>
        <v>1345.4936987492497</v>
      </c>
      <c r="BC186" s="1252">
        <f t="shared" ca="1" si="49"/>
        <v>1924.2235281328119</v>
      </c>
      <c r="BD186" s="1252">
        <f t="shared" ca="1" si="49"/>
        <v>2584.2470908653481</v>
      </c>
      <c r="BE186" s="1252">
        <f t="shared" ca="1" si="49"/>
        <v>3317.3344442972589</v>
      </c>
      <c r="BF186" s="1252">
        <f t="shared" ca="1" si="49"/>
        <v>4101.1617703764796</v>
      </c>
      <c r="BG186" s="1252">
        <f t="shared" ca="1" si="49"/>
        <v>4844.097183367986</v>
      </c>
      <c r="BH186" s="1252">
        <f t="shared" ca="1" si="49"/>
        <v>5519.430879030032</v>
      </c>
      <c r="BI186" s="1252">
        <f t="shared" ca="1" si="49"/>
        <v>6202.7146584073007</v>
      </c>
      <c r="BJ186" s="1248"/>
    </row>
    <row r="187" spans="2:62" s="51" customFormat="1" ht="13.5" customHeight="1">
      <c r="B187" s="1240"/>
      <c r="C187" s="1242" t="s">
        <v>198</v>
      </c>
      <c r="D187" s="1242"/>
      <c r="E187" s="1242"/>
      <c r="F187" s="1242" t="str">
        <f>INDEX(Workstreams[Workstream], MATCH($C187, Workstreams[Code], 0))</f>
        <v>Transport</v>
      </c>
      <c r="G187" s="1250"/>
      <c r="H187" s="1251"/>
      <c r="I187" s="1251"/>
      <c r="J187" s="1251"/>
      <c r="K187" s="1251"/>
      <c r="L187" s="1251"/>
      <c r="M187" s="1251"/>
      <c r="N187" s="1251"/>
      <c r="O187" s="1251"/>
      <c r="P187" s="1251"/>
      <c r="Q187" s="1251"/>
      <c r="R187" s="1251"/>
      <c r="S187" s="1251"/>
      <c r="T187" s="1251"/>
      <c r="U187" s="1251"/>
      <c r="V187" s="1251"/>
      <c r="W187" s="1251"/>
      <c r="X187" s="1251"/>
      <c r="Y187" s="1251"/>
      <c r="Z187" s="1251"/>
      <c r="AA187" s="1251"/>
      <c r="AB187" s="1251"/>
      <c r="AC187" s="1251"/>
      <c r="AD187" s="1251"/>
      <c r="AE187" s="1251"/>
      <c r="AF187" s="1251"/>
      <c r="AG187" s="1251"/>
      <c r="AH187" s="1251"/>
      <c r="AI187" s="1251"/>
      <c r="AJ187" s="1251"/>
      <c r="AK187" s="1251"/>
      <c r="AL187" s="1251"/>
      <c r="AM187" s="1251"/>
      <c r="AN187" s="1251"/>
      <c r="AO187" s="1251"/>
      <c r="AP187" s="1251"/>
      <c r="AQ187" s="1251"/>
      <c r="AR187" s="1251"/>
      <c r="AS187" s="1251"/>
      <c r="AT187" s="1251"/>
      <c r="AU187" s="1251"/>
      <c r="AV187" s="1251"/>
      <c r="AW187" s="1251"/>
      <c r="AX187" s="1241"/>
      <c r="AY187" s="1252">
        <f t="shared" ca="1" si="49"/>
        <v>221.70597052391258</v>
      </c>
      <c r="AZ187" s="1252"/>
      <c r="BA187" s="1252">
        <f t="shared" ca="1" si="49"/>
        <v>221.70597052391261</v>
      </c>
      <c r="BB187" s="1252">
        <f t="shared" ca="1" si="49"/>
        <v>332.72341446359428</v>
      </c>
      <c r="BC187" s="1252">
        <f t="shared" ca="1" si="49"/>
        <v>477.73809644813332</v>
      </c>
      <c r="BD187" s="1252">
        <f t="shared" ca="1" si="49"/>
        <v>649.49680855388033</v>
      </c>
      <c r="BE187" s="1252">
        <f t="shared" ca="1" si="49"/>
        <v>860.97101632540114</v>
      </c>
      <c r="BF187" s="1252">
        <f t="shared" ca="1" si="49"/>
        <v>1104.8989516151646</v>
      </c>
      <c r="BG187" s="1252">
        <f t="shared" ca="1" si="49"/>
        <v>1338.419311507872</v>
      </c>
      <c r="BH187" s="1252">
        <f t="shared" ca="1" si="49"/>
        <v>1594.8309940816716</v>
      </c>
      <c r="BI187" s="1252">
        <f t="shared" ca="1" si="49"/>
        <v>1853.5938094630712</v>
      </c>
      <c r="BJ187" s="1248"/>
    </row>
    <row r="188" spans="2:62" s="51" customFormat="1" ht="13.5" customHeight="1">
      <c r="B188" s="1240"/>
      <c r="C188" s="1242" t="s">
        <v>199</v>
      </c>
      <c r="D188" s="1242"/>
      <c r="E188" s="1242"/>
      <c r="F188" s="1242" t="str">
        <f>INDEX(Workstreams[Workstream], MATCH($C188, Workstreams[Code], 0))</f>
        <v>Cooking</v>
      </c>
      <c r="G188" s="1250"/>
      <c r="H188" s="1251"/>
      <c r="I188" s="1251"/>
      <c r="J188" s="1251"/>
      <c r="K188" s="1251"/>
      <c r="L188" s="1251"/>
      <c r="M188" s="1251"/>
      <c r="N188" s="1251"/>
      <c r="O188" s="1251"/>
      <c r="P188" s="1251"/>
      <c r="Q188" s="1251"/>
      <c r="R188" s="1251"/>
      <c r="S188" s="1251"/>
      <c r="T188" s="1251"/>
      <c r="U188" s="1251"/>
      <c r="V188" s="1251"/>
      <c r="W188" s="1251"/>
      <c r="X188" s="1251"/>
      <c r="Y188" s="1251"/>
      <c r="Z188" s="1251"/>
      <c r="AA188" s="1251"/>
      <c r="AB188" s="1251"/>
      <c r="AC188" s="1251"/>
      <c r="AD188" s="1251"/>
      <c r="AE188" s="1251"/>
      <c r="AF188" s="1251"/>
      <c r="AG188" s="1251"/>
      <c r="AH188" s="1251"/>
      <c r="AI188" s="1251"/>
      <c r="AJ188" s="1251"/>
      <c r="AK188" s="1251"/>
      <c r="AL188" s="1251"/>
      <c r="AM188" s="1251"/>
      <c r="AN188" s="1251"/>
      <c r="AO188" s="1251"/>
      <c r="AP188" s="1251"/>
      <c r="AQ188" s="1251"/>
      <c r="AR188" s="1251"/>
      <c r="AS188" s="1251"/>
      <c r="AT188" s="1251"/>
      <c r="AU188" s="1251"/>
      <c r="AV188" s="1251"/>
      <c r="AW188" s="1251"/>
      <c r="AX188" s="1241"/>
      <c r="AY188" s="1252">
        <f t="shared" ca="1" si="49"/>
        <v>10.704467295035755</v>
      </c>
      <c r="AZ188" s="1252"/>
      <c r="BA188" s="1252">
        <f t="shared" ca="1" si="49"/>
        <v>16.260888821331829</v>
      </c>
      <c r="BB188" s="1252">
        <f t="shared" ca="1" si="49"/>
        <v>24.239503543901211</v>
      </c>
      <c r="BC188" s="1252">
        <f t="shared" ca="1" si="49"/>
        <v>35.933460950189563</v>
      </c>
      <c r="BD188" s="1252">
        <f t="shared" ca="1" si="49"/>
        <v>52.751366453469238</v>
      </c>
      <c r="BE188" s="1252">
        <f t="shared" ca="1" si="49"/>
        <v>195.39740644307</v>
      </c>
      <c r="BF188" s="1252">
        <f t="shared" ca="1" si="49"/>
        <v>103.07922847908272</v>
      </c>
      <c r="BG188" s="1252">
        <f t="shared" ca="1" si="49"/>
        <v>137.80633413788036</v>
      </c>
      <c r="BH188" s="1252">
        <f t="shared" ca="1" si="49"/>
        <v>184.23361666422136</v>
      </c>
      <c r="BI188" s="1252">
        <f t="shared" ca="1" si="49"/>
        <v>246.3033097633579</v>
      </c>
      <c r="BJ188" s="1248"/>
    </row>
    <row r="189" spans="2:62" s="51" customFormat="1" ht="13.5" customHeight="1">
      <c r="B189" s="1240"/>
      <c r="C189" s="1242" t="s">
        <v>194</v>
      </c>
      <c r="D189" s="1242"/>
      <c r="E189" s="1242"/>
      <c r="F189" s="1242" t="str">
        <f>INDEX(Workstreams[Workstream], MATCH($C189, Workstreams[Code], 0))</f>
        <v>Agriculture</v>
      </c>
      <c r="G189" s="1250"/>
      <c r="H189" s="1251"/>
      <c r="I189" s="1251"/>
      <c r="J189" s="1251"/>
      <c r="K189" s="1251"/>
      <c r="L189" s="1251"/>
      <c r="M189" s="1251"/>
      <c r="N189" s="1251"/>
      <c r="O189" s="1251"/>
      <c r="P189" s="1251"/>
      <c r="Q189" s="1251"/>
      <c r="R189" s="1251"/>
      <c r="S189" s="1251"/>
      <c r="T189" s="1251"/>
      <c r="U189" s="1251"/>
      <c r="V189" s="1251"/>
      <c r="W189" s="1251"/>
      <c r="X189" s="1251"/>
      <c r="Y189" s="1251"/>
      <c r="Z189" s="1251"/>
      <c r="AA189" s="1251"/>
      <c r="AB189" s="1251"/>
      <c r="AC189" s="1251"/>
      <c r="AD189" s="1251"/>
      <c r="AE189" s="1251"/>
      <c r="AF189" s="1251"/>
      <c r="AG189" s="1251"/>
      <c r="AH189" s="1251"/>
      <c r="AI189" s="1251"/>
      <c r="AJ189" s="1251"/>
      <c r="AK189" s="1251"/>
      <c r="AL189" s="1251"/>
      <c r="AM189" s="1251"/>
      <c r="AN189" s="1251"/>
      <c r="AO189" s="1251"/>
      <c r="AP189" s="1251"/>
      <c r="AQ189" s="1251"/>
      <c r="AR189" s="1251"/>
      <c r="AS189" s="1251"/>
      <c r="AT189" s="1251"/>
      <c r="AU189" s="1251"/>
      <c r="AV189" s="1251"/>
      <c r="AW189" s="1251"/>
      <c r="AX189" s="1241"/>
      <c r="AY189" s="1252">
        <f t="shared" ca="1" si="49"/>
        <v>20.879036754401042</v>
      </c>
      <c r="AZ189" s="1252"/>
      <c r="BA189" s="1252">
        <f t="shared" ca="1" si="49"/>
        <v>27.03601947205911</v>
      </c>
      <c r="BB189" s="1252">
        <f t="shared" ca="1" si="49"/>
        <v>37.21072446431117</v>
      </c>
      <c r="BC189" s="1252">
        <f t="shared" ca="1" si="49"/>
        <v>50.995495766927469</v>
      </c>
      <c r="BD189" s="1252">
        <f t="shared" ca="1" si="49"/>
        <v>68.186469248991159</v>
      </c>
      <c r="BE189" s="1252">
        <f t="shared" ca="1" si="49"/>
        <v>85.704909681985981</v>
      </c>
      <c r="BF189" s="1252">
        <f t="shared" ca="1" si="49"/>
        <v>91.587093210349664</v>
      </c>
      <c r="BG189" s="1252">
        <f t="shared" ca="1" si="49"/>
        <v>98.698794368998193</v>
      </c>
      <c r="BH189" s="1252">
        <f t="shared" ca="1" si="49"/>
        <v>103.819221533879</v>
      </c>
      <c r="BI189" s="1252">
        <f t="shared" ca="1" si="49"/>
        <v>109.56385666370986</v>
      </c>
      <c r="BJ189" s="1248"/>
    </row>
    <row r="190" spans="2:62" s="51" customFormat="1" ht="13.5" customHeight="1">
      <c r="B190" s="1240"/>
      <c r="C190" s="1242" t="s">
        <v>308</v>
      </c>
      <c r="D190" s="1242"/>
      <c r="E190" s="1242"/>
      <c r="F190" s="1242" t="str">
        <f>INDEX(Workstreams[Workstream], MATCH($C190, Workstreams[Code], 0))</f>
        <v>Fossil fuel production</v>
      </c>
      <c r="G190" s="1250"/>
      <c r="H190" s="1251"/>
      <c r="I190" s="1251"/>
      <c r="J190" s="1251"/>
      <c r="K190" s="1251"/>
      <c r="L190" s="1251"/>
      <c r="M190" s="1251"/>
      <c r="N190" s="1251"/>
      <c r="O190" s="1251"/>
      <c r="P190" s="1251"/>
      <c r="Q190" s="1251"/>
      <c r="R190" s="1251"/>
      <c r="S190" s="1251"/>
      <c r="T190" s="1251"/>
      <c r="U190" s="1251"/>
      <c r="V190" s="1251"/>
      <c r="W190" s="1251"/>
      <c r="X190" s="1251"/>
      <c r="Y190" s="1251"/>
      <c r="Z190" s="1251"/>
      <c r="AA190" s="1251"/>
      <c r="AB190" s="1251"/>
      <c r="AC190" s="1251"/>
      <c r="AD190" s="1251"/>
      <c r="AE190" s="1251"/>
      <c r="AF190" s="1251"/>
      <c r="AG190" s="1251"/>
      <c r="AH190" s="1251"/>
      <c r="AI190" s="1251"/>
      <c r="AJ190" s="1251"/>
      <c r="AK190" s="1251"/>
      <c r="AL190" s="1251"/>
      <c r="AM190" s="1251"/>
      <c r="AN190" s="1251"/>
      <c r="AO190" s="1251"/>
      <c r="AP190" s="1251"/>
      <c r="AQ190" s="1251"/>
      <c r="AR190" s="1251"/>
      <c r="AS190" s="1251"/>
      <c r="AT190" s="1251"/>
      <c r="AU190" s="1251"/>
      <c r="AV190" s="1251"/>
      <c r="AW190" s="1251"/>
      <c r="AX190" s="1241"/>
      <c r="AY190" s="1252">
        <f t="shared" ca="1" si="49"/>
        <v>0</v>
      </c>
      <c r="AZ190" s="1252"/>
      <c r="BA190" s="1252">
        <f t="shared" ca="1" si="49"/>
        <v>0</v>
      </c>
      <c r="BB190" s="1252">
        <f t="shared" ca="1" si="49"/>
        <v>0</v>
      </c>
      <c r="BC190" s="1252">
        <f t="shared" ca="1" si="49"/>
        <v>0</v>
      </c>
      <c r="BD190" s="1252">
        <f t="shared" ca="1" si="49"/>
        <v>0</v>
      </c>
      <c r="BE190" s="1252">
        <f t="shared" ca="1" si="49"/>
        <v>0</v>
      </c>
      <c r="BF190" s="1252">
        <f t="shared" ca="1" si="49"/>
        <v>0</v>
      </c>
      <c r="BG190" s="1252">
        <f t="shared" ca="1" si="49"/>
        <v>0</v>
      </c>
      <c r="BH190" s="1252">
        <f t="shared" ca="1" si="49"/>
        <v>0</v>
      </c>
      <c r="BI190" s="1252">
        <f t="shared" ca="1" si="49"/>
        <v>0</v>
      </c>
      <c r="BJ190" s="1248"/>
    </row>
    <row r="191" spans="2:62" s="51" customFormat="1" ht="13.5" customHeight="1">
      <c r="B191" s="1240"/>
      <c r="C191" s="1242" t="s">
        <v>330</v>
      </c>
      <c r="D191" s="1242"/>
      <c r="E191" s="1242"/>
      <c r="F191" s="1242" t="str">
        <f>INDEX(Workstreams[Workstream], MATCH($C191, Workstreams[Code], 0))</f>
        <v>Telecom</v>
      </c>
      <c r="G191" s="1250"/>
      <c r="H191" s="1251"/>
      <c r="I191" s="1251"/>
      <c r="J191" s="1251"/>
      <c r="K191" s="1251"/>
      <c r="L191" s="1251"/>
      <c r="M191" s="1251"/>
      <c r="N191" s="1251"/>
      <c r="O191" s="1251"/>
      <c r="P191" s="1251"/>
      <c r="Q191" s="1251"/>
      <c r="R191" s="1251"/>
      <c r="S191" s="1251"/>
      <c r="T191" s="1251"/>
      <c r="U191" s="1251"/>
      <c r="V191" s="1251"/>
      <c r="W191" s="1251"/>
      <c r="X191" s="1251"/>
      <c r="Y191" s="1251"/>
      <c r="Z191" s="1251"/>
      <c r="AA191" s="1251"/>
      <c r="AB191" s="1251"/>
      <c r="AC191" s="1251"/>
      <c r="AD191" s="1251"/>
      <c r="AE191" s="1251"/>
      <c r="AF191" s="1251"/>
      <c r="AG191" s="1251"/>
      <c r="AH191" s="1251"/>
      <c r="AI191" s="1251"/>
      <c r="AJ191" s="1251"/>
      <c r="AK191" s="1251"/>
      <c r="AL191" s="1251"/>
      <c r="AM191" s="1251"/>
      <c r="AN191" s="1251"/>
      <c r="AO191" s="1251"/>
      <c r="AP191" s="1251"/>
      <c r="AQ191" s="1251"/>
      <c r="AR191" s="1251"/>
      <c r="AS191" s="1251"/>
      <c r="AT191" s="1251"/>
      <c r="AU191" s="1251"/>
      <c r="AV191" s="1251"/>
      <c r="AW191" s="1251"/>
      <c r="AX191" s="1241"/>
      <c r="AY191" s="1252">
        <f t="shared" ca="1" si="49"/>
        <v>3.0726872469131559</v>
      </c>
      <c r="AZ191" s="1252"/>
      <c r="BA191" s="1252">
        <f t="shared" ca="1" si="49"/>
        <v>18.29421654212566</v>
      </c>
      <c r="BB191" s="1252">
        <f t="shared" ca="1" si="49"/>
        <v>21.177514905456842</v>
      </c>
      <c r="BC191" s="1252">
        <f t="shared" ca="1" si="49"/>
        <v>25.074678438244892</v>
      </c>
      <c r="BD191" s="1252">
        <f t="shared" ca="1" si="49"/>
        <v>32.320342968977968</v>
      </c>
      <c r="BE191" s="1252">
        <f t="shared" ca="1" si="49"/>
        <v>36.462928193339295</v>
      </c>
      <c r="BF191" s="1252">
        <f t="shared" ca="1" si="49"/>
        <v>35.469500008939789</v>
      </c>
      <c r="BG191" s="1252">
        <f t="shared" ca="1" si="49"/>
        <v>36.23072660274935</v>
      </c>
      <c r="BH191" s="1252">
        <f t="shared" ca="1" si="49"/>
        <v>41.661688969135909</v>
      </c>
      <c r="BI191" s="1252">
        <f t="shared" ca="1" si="49"/>
        <v>52.715327395312691</v>
      </c>
      <c r="BJ191" s="1248"/>
    </row>
    <row r="192" spans="2:62" s="51" customFormat="1" ht="13.5" customHeight="1">
      <c r="B192" s="1240"/>
      <c r="C192" s="1242" t="s">
        <v>409</v>
      </c>
      <c r="D192" s="1242"/>
      <c r="E192" s="1242"/>
      <c r="F192" s="1242" t="str">
        <f>INDEX(Workstreams[Workstream], MATCH($C192, Workstreams[Code], 0))</f>
        <v>Transfer</v>
      </c>
      <c r="G192" s="1250"/>
      <c r="H192" s="1251"/>
      <c r="I192" s="1251"/>
      <c r="J192" s="1251"/>
      <c r="K192" s="1251"/>
      <c r="L192" s="1251"/>
      <c r="M192" s="1251"/>
      <c r="N192" s="1251"/>
      <c r="O192" s="1251"/>
      <c r="P192" s="1251"/>
      <c r="Q192" s="1251"/>
      <c r="R192" s="1251"/>
      <c r="S192" s="1251"/>
      <c r="T192" s="1251"/>
      <c r="U192" s="1251"/>
      <c r="V192" s="1251"/>
      <c r="W192" s="1251"/>
      <c r="X192" s="1251"/>
      <c r="Y192" s="1251"/>
      <c r="Z192" s="1251"/>
      <c r="AA192" s="1251"/>
      <c r="AB192" s="1251"/>
      <c r="AC192" s="1251"/>
      <c r="AD192" s="1251"/>
      <c r="AE192" s="1251"/>
      <c r="AF192" s="1251"/>
      <c r="AG192" s="1251"/>
      <c r="AH192" s="1251"/>
      <c r="AI192" s="1251"/>
      <c r="AJ192" s="1251"/>
      <c r="AK192" s="1251"/>
      <c r="AL192" s="1251"/>
      <c r="AM192" s="1251"/>
      <c r="AN192" s="1251"/>
      <c r="AO192" s="1251"/>
      <c r="AP192" s="1251"/>
      <c r="AQ192" s="1251"/>
      <c r="AR192" s="1251"/>
      <c r="AS192" s="1251"/>
      <c r="AT192" s="1251"/>
      <c r="AU192" s="1251"/>
      <c r="AV192" s="1251"/>
      <c r="AW192" s="1251"/>
      <c r="AX192" s="1241"/>
      <c r="AY192" s="1252">
        <f t="shared" ca="1" si="49"/>
        <v>0</v>
      </c>
      <c r="AZ192" s="1252"/>
      <c r="BA192" s="1252">
        <f t="shared" ca="1" si="49"/>
        <v>0</v>
      </c>
      <c r="BB192" s="1252">
        <f t="shared" ca="1" si="49"/>
        <v>0</v>
      </c>
      <c r="BC192" s="1252">
        <f t="shared" ca="1" si="49"/>
        <v>0</v>
      </c>
      <c r="BD192" s="1252">
        <f t="shared" ca="1" si="49"/>
        <v>0</v>
      </c>
      <c r="BE192" s="1252">
        <f t="shared" ca="1" si="49"/>
        <v>0</v>
      </c>
      <c r="BF192" s="1252">
        <f t="shared" ca="1" si="49"/>
        <v>0</v>
      </c>
      <c r="BG192" s="1252">
        <f t="shared" ca="1" si="49"/>
        <v>0</v>
      </c>
      <c r="BH192" s="1252">
        <f t="shared" ca="1" si="49"/>
        <v>0</v>
      </c>
      <c r="BI192" s="1252">
        <f t="shared" ca="1" si="49"/>
        <v>0</v>
      </c>
      <c r="BJ192" s="1248"/>
    </row>
    <row r="193" spans="2:62" s="51" customFormat="1" ht="13.5" customHeight="1">
      <c r="B193" s="1240"/>
      <c r="C193" s="1241"/>
      <c r="D193" s="1242"/>
      <c r="E193" s="1242"/>
      <c r="F193" s="1242" t="s">
        <v>103</v>
      </c>
      <c r="G193" s="1242"/>
      <c r="H193" s="1249"/>
      <c r="I193" s="1249"/>
      <c r="J193" s="1249"/>
      <c r="K193" s="1249"/>
      <c r="L193" s="1249"/>
      <c r="M193" s="1249"/>
      <c r="N193" s="1249"/>
      <c r="O193" s="1249"/>
      <c r="P193" s="1249"/>
      <c r="Q193" s="1249"/>
      <c r="R193" s="1249"/>
      <c r="S193" s="1249"/>
      <c r="T193" s="1249"/>
      <c r="U193" s="1249"/>
      <c r="V193" s="1249"/>
      <c r="W193" s="1249"/>
      <c r="X193" s="1249"/>
      <c r="Y193" s="1249"/>
      <c r="Z193" s="1249"/>
      <c r="AA193" s="1249"/>
      <c r="AB193" s="1249"/>
      <c r="AC193" s="1249"/>
      <c r="AD193" s="1249"/>
      <c r="AE193" s="1249"/>
      <c r="AF193" s="1249"/>
      <c r="AG193" s="1249"/>
      <c r="AH193" s="1249"/>
      <c r="AI193" s="1249"/>
      <c r="AJ193" s="1249"/>
      <c r="AK193" s="1249"/>
      <c r="AL193" s="1249"/>
      <c r="AM193" s="1249"/>
      <c r="AN193" s="1249"/>
      <c r="AO193" s="1249"/>
      <c r="AP193" s="1249"/>
      <c r="AQ193" s="1249"/>
      <c r="AR193" s="1249"/>
      <c r="AS193" s="1249"/>
      <c r="AT193" s="1249"/>
      <c r="AU193" s="1249"/>
      <c r="AV193" s="1249"/>
      <c r="AW193" s="1249"/>
      <c r="AX193" s="1241"/>
      <c r="AY193" s="1253">
        <f t="shared" ref="AY193:BI193" ca="1" si="50">SUM(AY176:AY192)</f>
        <v>1195.8572826101824</v>
      </c>
      <c r="AZ193" s="1253"/>
      <c r="BA193" s="1253">
        <f t="shared" ca="1" si="50"/>
        <v>1733.1001289422813</v>
      </c>
      <c r="BB193" s="1253">
        <f t="shared" ca="1" si="50"/>
        <v>2533.7480441334887</v>
      </c>
      <c r="BC193" s="1253">
        <f t="shared" ca="1" si="50"/>
        <v>3806.5855192566146</v>
      </c>
      <c r="BD193" s="1253">
        <f t="shared" ca="1" si="50"/>
        <v>5353.8417564593346</v>
      </c>
      <c r="BE193" s="1253">
        <f t="shared" ca="1" si="50"/>
        <v>7378.9613953270882</v>
      </c>
      <c r="BF193" s="1253">
        <f t="shared" ca="1" si="50"/>
        <v>9144.171323693894</v>
      </c>
      <c r="BG193" s="1253">
        <f t="shared" ca="1" si="50"/>
        <v>11117.207383316709</v>
      </c>
      <c r="BH193" s="1253">
        <f t="shared" ca="1" si="50"/>
        <v>12981.228276226235</v>
      </c>
      <c r="BI193" s="1253">
        <f t="shared" ca="1" si="50"/>
        <v>14990.151831648607</v>
      </c>
      <c r="BJ193" s="1248"/>
    </row>
    <row r="194" spans="2:62">
      <c r="B194" s="1240"/>
      <c r="C194" s="1214"/>
      <c r="D194" s="1214"/>
      <c r="E194" s="1214"/>
      <c r="F194" s="1236" t="s">
        <v>1171</v>
      </c>
      <c r="G194" s="1236"/>
      <c r="H194" s="1254"/>
      <c r="I194" s="1254"/>
      <c r="J194" s="1254"/>
      <c r="K194" s="1254"/>
      <c r="L194" s="1254"/>
      <c r="M194" s="1254"/>
      <c r="N194" s="1254"/>
      <c r="O194" s="1254"/>
      <c r="P194" s="1254"/>
      <c r="Q194" s="1254"/>
      <c r="R194" s="1254"/>
      <c r="S194" s="1254"/>
      <c r="T194" s="1254"/>
      <c r="U194" s="1254"/>
      <c r="V194" s="1254"/>
      <c r="W194" s="1254"/>
      <c r="X194" s="1254"/>
      <c r="Y194" s="1254"/>
      <c r="Z194" s="1254"/>
      <c r="AA194" s="1254"/>
      <c r="AB194" s="1254"/>
      <c r="AC194" s="1254"/>
      <c r="AD194" s="1254"/>
      <c r="AE194" s="1254"/>
      <c r="AF194" s="1254"/>
      <c r="AG194" s="1254"/>
      <c r="AH194" s="1254"/>
      <c r="AI194" s="1254"/>
      <c r="AJ194" s="1254"/>
      <c r="AK194" s="1254"/>
      <c r="AL194" s="1254"/>
      <c r="AM194" s="1254"/>
      <c r="AN194" s="1254"/>
      <c r="AO194" s="1254"/>
      <c r="AP194" s="1254"/>
      <c r="AQ194" s="1254"/>
      <c r="AR194" s="1254"/>
      <c r="AS194" s="1254"/>
      <c r="AT194" s="1254"/>
      <c r="AU194" s="1254"/>
      <c r="AV194" s="1254"/>
      <c r="AW194" s="1254"/>
      <c r="AX194" s="1214"/>
      <c r="AY194" s="1214"/>
      <c r="AZ194" s="1214"/>
      <c r="BA194" s="1255">
        <f ca="1">(AY193*(BA175-AY175))+BA193+((BA193-AY193)*6/(BA175-AY175))</f>
        <v>8357.0779575917113</v>
      </c>
      <c r="BB194" s="1255">
        <f t="shared" ref="BB194:BI194" ca="1" si="51">(BA193*(BB175-BA175-1))+BB193+((BB193-BA193)*10/(BB175-BA175))</f>
        <v>11067.444390285029</v>
      </c>
      <c r="BC194" s="1255">
        <f t="shared" ca="1" si="51"/>
        <v>16487.252646036821</v>
      </c>
      <c r="BD194" s="1255">
        <f t="shared" ca="1" si="51"/>
        <v>23674.696307891234</v>
      </c>
      <c r="BE194" s="1255">
        <f t="shared" ca="1" si="51"/>
        <v>32844.567698899933</v>
      </c>
      <c r="BF194" s="1255">
        <f t="shared" ca="1" si="51"/>
        <v>42190.436761735858</v>
      </c>
      <c r="BG194" s="1255">
        <f t="shared" ca="1" si="51"/>
        <v>51639.964797337918</v>
      </c>
      <c r="BH194" s="1255">
        <f t="shared" ca="1" si="51"/>
        <v>61178.099595312116</v>
      </c>
      <c r="BI194" s="1255">
        <f t="shared" ca="1" si="51"/>
        <v>70932.912047398291</v>
      </c>
      <c r="BJ194" s="1217" t="s">
        <v>1172</v>
      </c>
    </row>
    <row r="195" spans="2:62" ht="15.75">
      <c r="B195" s="1240"/>
      <c r="C195" s="1218" t="s">
        <v>1173</v>
      </c>
      <c r="D195" s="1214"/>
      <c r="E195" s="1214"/>
      <c r="F195" s="1236" t="s">
        <v>1174</v>
      </c>
      <c r="G195" s="1236"/>
      <c r="H195" s="1254"/>
      <c r="I195" s="1254"/>
      <c r="J195" s="1254"/>
      <c r="K195" s="1254"/>
      <c r="L195" s="1254"/>
      <c r="M195" s="1254"/>
      <c r="N195" s="1254"/>
      <c r="O195" s="1254"/>
      <c r="P195" s="1254"/>
      <c r="Q195" s="1254"/>
      <c r="R195" s="1254"/>
      <c r="S195" s="1254"/>
      <c r="T195" s="1254"/>
      <c r="U195" s="1254"/>
      <c r="V195" s="1254"/>
      <c r="W195" s="1254"/>
      <c r="X195" s="1254"/>
      <c r="Y195" s="1254"/>
      <c r="Z195" s="1254"/>
      <c r="AA195" s="1254"/>
      <c r="AB195" s="1254"/>
      <c r="AC195" s="1254"/>
      <c r="AD195" s="1254"/>
      <c r="AE195" s="1254"/>
      <c r="AF195" s="1254"/>
      <c r="AG195" s="1254"/>
      <c r="AH195" s="1254"/>
      <c r="AI195" s="1254"/>
      <c r="AJ195" s="1254"/>
      <c r="AK195" s="1254"/>
      <c r="AL195" s="1254"/>
      <c r="AM195" s="1254"/>
      <c r="AN195" s="1254"/>
      <c r="AO195" s="1254"/>
      <c r="AP195" s="1254"/>
      <c r="AQ195" s="1254"/>
      <c r="AR195" s="1254"/>
      <c r="AS195" s="1254"/>
      <c r="AT195" s="1254"/>
      <c r="AU195" s="1254"/>
      <c r="AV195" s="1254"/>
      <c r="AW195" s="1254"/>
      <c r="AX195" s="1214"/>
      <c r="AY195" s="1214"/>
      <c r="AZ195" s="1214"/>
      <c r="BA195" s="1256">
        <f ca="1">BA194</f>
        <v>8357.0779575917113</v>
      </c>
      <c r="BB195" s="1256">
        <f ca="1">BB194+BA194</f>
        <v>19424.52234787674</v>
      </c>
      <c r="BC195" s="1256">
        <f t="shared" ref="BC195:BI195" ca="1" si="52">BC194+BB195</f>
        <v>35911.774993913561</v>
      </c>
      <c r="BD195" s="1256">
        <f t="shared" ca="1" si="52"/>
        <v>59586.471301804791</v>
      </c>
      <c r="BE195" s="1256">
        <f t="shared" ca="1" si="52"/>
        <v>92431.039000704724</v>
      </c>
      <c r="BF195" s="1256">
        <f t="shared" ca="1" si="52"/>
        <v>134621.47576244059</v>
      </c>
      <c r="BG195" s="1256">
        <f t="shared" ca="1" si="52"/>
        <v>186261.44055977851</v>
      </c>
      <c r="BH195" s="1256">
        <f t="shared" ca="1" si="52"/>
        <v>247439.54015509062</v>
      </c>
      <c r="BI195" s="1256">
        <f t="shared" ca="1" si="52"/>
        <v>318372.4522024889</v>
      </c>
      <c r="BJ195" s="1217"/>
    </row>
    <row r="196" spans="2:62">
      <c r="B196" s="1219"/>
      <c r="C196" s="1214"/>
      <c r="D196" s="1214"/>
      <c r="E196" s="1214"/>
      <c r="F196" s="1214"/>
      <c r="G196" s="1214"/>
      <c r="H196" s="1215"/>
      <c r="I196" s="1215"/>
      <c r="J196" s="1215"/>
      <c r="K196" s="1215"/>
      <c r="L196" s="1215"/>
      <c r="M196" s="1215"/>
      <c r="N196" s="1215"/>
      <c r="O196" s="1215"/>
      <c r="P196" s="1215"/>
      <c r="Q196" s="1215"/>
      <c r="R196" s="1215"/>
      <c r="S196" s="1215"/>
      <c r="T196" s="1215"/>
      <c r="U196" s="1215"/>
      <c r="V196" s="1215"/>
      <c r="W196" s="1215"/>
      <c r="X196" s="1215"/>
      <c r="Y196" s="1215"/>
      <c r="Z196" s="1215"/>
      <c r="AA196" s="1215"/>
      <c r="AB196" s="1215"/>
      <c r="AC196" s="1215"/>
      <c r="AD196" s="1215"/>
      <c r="AE196" s="1215"/>
      <c r="AF196" s="1215"/>
      <c r="AG196" s="1215"/>
      <c r="AH196" s="1215"/>
      <c r="AI196" s="1215"/>
      <c r="AJ196" s="1215"/>
      <c r="AK196" s="1215"/>
      <c r="AL196" s="1215"/>
      <c r="AM196" s="1215"/>
      <c r="AN196" s="1215"/>
      <c r="AO196" s="1215"/>
      <c r="AP196" s="1215"/>
      <c r="AQ196" s="1215"/>
      <c r="AR196" s="1215"/>
      <c r="AS196" s="1215"/>
      <c r="AT196" s="1215"/>
      <c r="AU196" s="1215"/>
      <c r="AV196" s="1215"/>
      <c r="AW196" s="1215"/>
      <c r="AX196" s="1214"/>
      <c r="AY196" s="1214"/>
      <c r="AZ196" s="1214"/>
      <c r="BA196" s="1214"/>
      <c r="BB196" s="1214"/>
      <c r="BC196" s="1214"/>
      <c r="BD196" s="1214"/>
      <c r="BE196" s="1214"/>
      <c r="BF196" s="1214"/>
      <c r="BG196" s="1214"/>
      <c r="BH196" s="1214"/>
      <c r="BI196" s="1214"/>
      <c r="BJ196" s="1217"/>
    </row>
    <row r="197" spans="2:62">
      <c r="B197" s="1219"/>
      <c r="C197" s="1214"/>
      <c r="D197" s="1220" t="s">
        <v>337</v>
      </c>
      <c r="E197" s="1214"/>
      <c r="F197" s="1214" t="s">
        <v>1175</v>
      </c>
      <c r="G197" s="1214"/>
      <c r="H197" s="1215"/>
      <c r="I197" s="1215"/>
      <c r="J197" s="1215"/>
      <c r="K197" s="1215"/>
      <c r="L197" s="1215"/>
      <c r="M197" s="1215"/>
      <c r="N197" s="1215"/>
      <c r="O197" s="1215"/>
      <c r="P197" s="1215"/>
      <c r="Q197" s="1215"/>
      <c r="R197" s="1215"/>
      <c r="S197" s="1215"/>
      <c r="T197" s="1215"/>
      <c r="U197" s="1215"/>
      <c r="V197" s="1215"/>
      <c r="W197" s="1215"/>
      <c r="X197" s="1215"/>
      <c r="Y197" s="1215"/>
      <c r="Z197" s="1215"/>
      <c r="AA197" s="1215"/>
      <c r="AB197" s="1215">
        <v>1990</v>
      </c>
      <c r="AC197" s="1215">
        <v>1991</v>
      </c>
      <c r="AD197" s="1215">
        <v>1992</v>
      </c>
      <c r="AE197" s="1215">
        <v>1993</v>
      </c>
      <c r="AF197" s="1215">
        <v>1994</v>
      </c>
      <c r="AG197" s="1215">
        <v>1995</v>
      </c>
      <c r="AH197" s="1215">
        <v>1996</v>
      </c>
      <c r="AI197" s="1215">
        <v>1997</v>
      </c>
      <c r="AJ197" s="1215">
        <v>1998</v>
      </c>
      <c r="AK197" s="1215">
        <v>1999</v>
      </c>
      <c r="AL197" s="1215">
        <v>2000</v>
      </c>
      <c r="AM197" s="1215">
        <v>2001</v>
      </c>
      <c r="AN197" s="1215">
        <v>2002</v>
      </c>
      <c r="AO197" s="1215">
        <v>2003</v>
      </c>
      <c r="AP197" s="1215">
        <v>2004</v>
      </c>
      <c r="AQ197" s="1215">
        <v>2005</v>
      </c>
      <c r="AR197" s="1215">
        <v>2006</v>
      </c>
      <c r="AS197" s="1215">
        <v>2007</v>
      </c>
      <c r="AT197" s="1215">
        <v>2008</v>
      </c>
      <c r="AU197" s="1215">
        <v>2009</v>
      </c>
      <c r="AV197" s="1215">
        <v>2010</v>
      </c>
      <c r="AW197" s="1215"/>
      <c r="AX197" s="1214"/>
      <c r="AY197" s="1214"/>
      <c r="AZ197" s="1214"/>
      <c r="BA197" s="1214"/>
      <c r="BB197" s="1214"/>
      <c r="BC197" s="1214"/>
      <c r="BD197" s="1214"/>
      <c r="BE197" s="1214"/>
      <c r="BF197" s="1214"/>
      <c r="BG197" s="1214"/>
      <c r="BH197" s="1214"/>
      <c r="BI197" s="1216" t="s">
        <v>367</v>
      </c>
      <c r="BJ197" s="1217"/>
    </row>
    <row r="198" spans="2:62" s="410" customFormat="1">
      <c r="B198" s="1219"/>
      <c r="C198" s="1222" t="s">
        <v>359</v>
      </c>
      <c r="D198" s="1223" t="str">
        <f>INDEX(IPCC[Sector_description], MATCH($C198, IPCC[Sector_code], 0))</f>
        <v>Fuel Combustion</v>
      </c>
      <c r="E198" s="1214"/>
      <c r="F198" s="1224"/>
      <c r="G198" s="1224"/>
      <c r="H198" s="1225"/>
      <c r="I198" s="1225"/>
      <c r="J198" s="1225"/>
      <c r="K198" s="1225"/>
      <c r="L198" s="1225"/>
      <c r="M198" s="1225"/>
      <c r="N198" s="1225"/>
      <c r="O198" s="1225"/>
      <c r="P198" s="1225"/>
      <c r="Q198" s="1225"/>
      <c r="R198" s="1225"/>
      <c r="S198" s="1225"/>
      <c r="T198" s="1225"/>
      <c r="U198" s="1225"/>
      <c r="V198" s="1225"/>
      <c r="W198" s="1225"/>
      <c r="X198" s="1225"/>
      <c r="Y198" s="1225"/>
      <c r="Z198" s="1225"/>
      <c r="AA198" s="1225"/>
      <c r="AB198" s="1225">
        <v>574.32095470838158</v>
      </c>
      <c r="AC198" s="1225">
        <v>584.07437428245817</v>
      </c>
      <c r="AD198" s="1225">
        <v>567.77562980428604</v>
      </c>
      <c r="AE198" s="1225">
        <v>553.33753691323284</v>
      </c>
      <c r="AF198" s="1225">
        <v>546.2326953595707</v>
      </c>
      <c r="AG198" s="1225">
        <v>536.02033883393392</v>
      </c>
      <c r="AH198" s="1225">
        <v>556.6263616262188</v>
      </c>
      <c r="AI198" s="1225">
        <v>534.74891299255432</v>
      </c>
      <c r="AJ198" s="1225">
        <v>538.75473446895467</v>
      </c>
      <c r="AK198" s="1225">
        <v>530.66566313949943</v>
      </c>
      <c r="AL198" s="1225">
        <v>539.00049895868733</v>
      </c>
      <c r="AM198" s="1225">
        <v>552.19141203114191</v>
      </c>
      <c r="AN198" s="1225">
        <v>536.21693879087923</v>
      </c>
      <c r="AO198" s="1225">
        <v>545.64182602813037</v>
      </c>
      <c r="AP198" s="1225">
        <v>546.91526250414915</v>
      </c>
      <c r="AQ198" s="1225">
        <v>542.80240867747409</v>
      </c>
      <c r="AR198" s="1225">
        <v>542.65668632601535</v>
      </c>
      <c r="AS198" s="1225">
        <v>534.02574552989233</v>
      </c>
      <c r="AT198" s="1225">
        <v>522.9479251564137</v>
      </c>
      <c r="AU198" s="1225">
        <v>475.60178758150977</v>
      </c>
      <c r="AV198" s="1225">
        <v>492.7502706136072</v>
      </c>
      <c r="AW198" s="1257" t="s">
        <v>1176</v>
      </c>
      <c r="AX198" s="1226"/>
      <c r="AY198" s="1224">
        <f t="shared" ref="AY198:BI199" ca="1" si="53">SUMIFS(INDIRECT("'"&amp;AY$4&amp;"'!Year.Emissions"), INDIRECT("'"&amp;AY$4&amp;"'!Year.IPCC"), $C198)</f>
        <v>1178.5139623629584</v>
      </c>
      <c r="AZ198" s="1224"/>
      <c r="BA198" s="1224">
        <f t="shared" ca="1" si="53"/>
        <v>1542.9858078670618</v>
      </c>
      <c r="BB198" s="1224">
        <f t="shared" ca="1" si="53"/>
        <v>2156.3230931819899</v>
      </c>
      <c r="BC198" s="1224">
        <f t="shared" ca="1" si="53"/>
        <v>3134.8651799678455</v>
      </c>
      <c r="BD198" s="1224">
        <f t="shared" ca="1" si="53"/>
        <v>4344.0867964535209</v>
      </c>
      <c r="BE198" s="1224">
        <f t="shared" ca="1" si="53"/>
        <v>6004.0538581476249</v>
      </c>
      <c r="BF198" s="1224">
        <f t="shared" ca="1" si="53"/>
        <v>7384.0961877553927</v>
      </c>
      <c r="BG198" s="1224">
        <f t="shared" ca="1" si="53"/>
        <v>9000.8954295893436</v>
      </c>
      <c r="BH198" s="1224">
        <f t="shared" ca="1" si="53"/>
        <v>10532.623812014712</v>
      </c>
      <c r="BI198" s="1224">
        <f t="shared" ca="1" si="53"/>
        <v>12204.306963259591</v>
      </c>
      <c r="BJ198" s="1227"/>
    </row>
    <row r="199" spans="2:62" s="410" customFormat="1">
      <c r="B199" s="1219"/>
      <c r="C199" s="1222" t="s">
        <v>358</v>
      </c>
      <c r="D199" s="1223" t="str">
        <f>INDEX(IPCC[Sector_description], MATCH($C199, IPCC[Sector_code], 0))</f>
        <v>Fugitive Emissions from Fuels</v>
      </c>
      <c r="E199" s="1214"/>
      <c r="F199" s="1224"/>
      <c r="G199" s="1224"/>
      <c r="H199" s="1225"/>
      <c r="I199" s="1225"/>
      <c r="J199" s="1225"/>
      <c r="K199" s="1225"/>
      <c r="L199" s="1225"/>
      <c r="M199" s="1225"/>
      <c r="N199" s="1225"/>
      <c r="O199" s="1225"/>
      <c r="P199" s="1225"/>
      <c r="Q199" s="1225"/>
      <c r="R199" s="1225"/>
      <c r="S199" s="1225"/>
      <c r="T199" s="1225"/>
      <c r="U199" s="1225"/>
      <c r="V199" s="1225"/>
      <c r="W199" s="1225"/>
      <c r="X199" s="1225"/>
      <c r="Y199" s="1225"/>
      <c r="Z199" s="1225"/>
      <c r="AA199" s="1225"/>
      <c r="AB199" s="1225">
        <v>35.28336958104466</v>
      </c>
      <c r="AC199" s="1225">
        <v>35.182983866091305</v>
      </c>
      <c r="AD199" s="1225">
        <v>35.289835728726885</v>
      </c>
      <c r="AE199" s="1225">
        <v>34.031013507405163</v>
      </c>
      <c r="AF199" s="1225">
        <v>28.324761088666332</v>
      </c>
      <c r="AG199" s="1225">
        <v>31.042353791967415</v>
      </c>
      <c r="AH199" s="1225">
        <v>30.473334583513346</v>
      </c>
      <c r="AI199" s="1225">
        <v>27.620233281205483</v>
      </c>
      <c r="AJ199" s="1225">
        <v>25.397431061510737</v>
      </c>
      <c r="AK199" s="1225">
        <v>22.308283841071088</v>
      </c>
      <c r="AL199" s="1225">
        <v>20.536975736659553</v>
      </c>
      <c r="AM199" s="1225">
        <v>20.019669009851356</v>
      </c>
      <c r="AN199" s="1225">
        <v>19.40477630089951</v>
      </c>
      <c r="AO199" s="1225">
        <v>16.07854267407026</v>
      </c>
      <c r="AP199" s="1225">
        <v>15.736887486965456</v>
      </c>
      <c r="AQ199" s="1225">
        <v>14.992284178784804</v>
      </c>
      <c r="AR199" s="1225">
        <v>13.510923257815429</v>
      </c>
      <c r="AS199" s="1225">
        <v>12.929712235090694</v>
      </c>
      <c r="AT199" s="1225">
        <v>11.879194090477329</v>
      </c>
      <c r="AU199" s="1225">
        <v>12.040107260360204</v>
      </c>
      <c r="AV199" s="1225">
        <v>11.646390385331518</v>
      </c>
      <c r="AW199" s="1257" t="s">
        <v>1176</v>
      </c>
      <c r="AX199" s="1226"/>
      <c r="AY199" s="1224">
        <f t="shared" ca="1" si="53"/>
        <v>0</v>
      </c>
      <c r="AZ199" s="1224"/>
      <c r="BA199" s="1224">
        <f t="shared" ca="1" si="53"/>
        <v>0</v>
      </c>
      <c r="BB199" s="1224">
        <f t="shared" ca="1" si="53"/>
        <v>0</v>
      </c>
      <c r="BC199" s="1224">
        <f t="shared" ca="1" si="53"/>
        <v>0</v>
      </c>
      <c r="BD199" s="1224">
        <f t="shared" ca="1" si="53"/>
        <v>0</v>
      </c>
      <c r="BE199" s="1224">
        <f t="shared" ca="1" si="53"/>
        <v>0</v>
      </c>
      <c r="BF199" s="1224">
        <f t="shared" ca="1" si="53"/>
        <v>0</v>
      </c>
      <c r="BG199" s="1224">
        <f t="shared" ca="1" si="53"/>
        <v>0</v>
      </c>
      <c r="BH199" s="1224">
        <f t="shared" ca="1" si="53"/>
        <v>0</v>
      </c>
      <c r="BI199" s="1224">
        <f t="shared" ca="1" si="53"/>
        <v>0</v>
      </c>
      <c r="BJ199" s="1227"/>
    </row>
    <row r="200" spans="2:62">
      <c r="B200" s="1221"/>
      <c r="C200" s="1216">
        <v>1</v>
      </c>
      <c r="D200" s="1214" t="s">
        <v>338</v>
      </c>
      <c r="E200" s="1214"/>
      <c r="F200" s="1258"/>
      <c r="G200" s="1258"/>
      <c r="H200" s="1257"/>
      <c r="I200" s="1257"/>
      <c r="J200" s="1257"/>
      <c r="K200" s="1257"/>
      <c r="L200" s="1257"/>
      <c r="M200" s="1257"/>
      <c r="N200" s="1257"/>
      <c r="O200" s="1257"/>
      <c r="P200" s="1257"/>
      <c r="Q200" s="1257"/>
      <c r="R200" s="1257"/>
      <c r="S200" s="1257"/>
      <c r="T200" s="1257"/>
      <c r="U200" s="1257"/>
      <c r="V200" s="1257"/>
      <c r="W200" s="1257"/>
      <c r="X200" s="1257"/>
      <c r="Y200" s="1257"/>
      <c r="Z200" s="1257"/>
      <c r="AA200" s="1257"/>
      <c r="AB200" s="1257">
        <v>609.60432428942624</v>
      </c>
      <c r="AC200" s="1257">
        <v>619.25735814854954</v>
      </c>
      <c r="AD200" s="1257">
        <v>603.06546553301303</v>
      </c>
      <c r="AE200" s="1257">
        <v>587.36855042063803</v>
      </c>
      <c r="AF200" s="1257">
        <v>574.55745644823708</v>
      </c>
      <c r="AG200" s="1257">
        <v>567.06269262590126</v>
      </c>
      <c r="AH200" s="1257">
        <v>587.09969620973209</v>
      </c>
      <c r="AI200" s="1257">
        <v>562.36914627375972</v>
      </c>
      <c r="AJ200" s="1257">
        <v>564.15216553046548</v>
      </c>
      <c r="AK200" s="1257">
        <v>552.97394698057042</v>
      </c>
      <c r="AL200" s="1257">
        <v>559.53747469534676</v>
      </c>
      <c r="AM200" s="1257">
        <v>572.21108104099335</v>
      </c>
      <c r="AN200" s="1257">
        <v>555.62171509177858</v>
      </c>
      <c r="AO200" s="1257">
        <v>561.72036870220063</v>
      </c>
      <c r="AP200" s="1257">
        <v>562.65214999111447</v>
      </c>
      <c r="AQ200" s="1257">
        <v>557.79469285625896</v>
      </c>
      <c r="AR200" s="1257">
        <v>556.16760958383077</v>
      </c>
      <c r="AS200" s="1257">
        <v>546.95545776498307</v>
      </c>
      <c r="AT200" s="1257">
        <v>534.82711924689102</v>
      </c>
      <c r="AU200" s="1257">
        <v>487.64189484186994</v>
      </c>
      <c r="AV200" s="1257">
        <v>504.39666099893867</v>
      </c>
      <c r="AW200" s="1257" t="s">
        <v>1176</v>
      </c>
      <c r="AX200" s="1226"/>
      <c r="AY200" s="1258">
        <f t="shared" ref="AY200:BI200" ca="1" si="54">AY198+AY199</f>
        <v>1178.5139623629584</v>
      </c>
      <c r="AZ200" s="1258"/>
      <c r="BA200" s="1258">
        <f t="shared" ca="1" si="54"/>
        <v>1542.9858078670618</v>
      </c>
      <c r="BB200" s="1258">
        <f t="shared" ca="1" si="54"/>
        <v>2156.3230931819899</v>
      </c>
      <c r="BC200" s="1258">
        <f t="shared" ca="1" si="54"/>
        <v>3134.8651799678455</v>
      </c>
      <c r="BD200" s="1258">
        <f t="shared" ca="1" si="54"/>
        <v>4344.0867964535209</v>
      </c>
      <c r="BE200" s="1258">
        <f t="shared" ca="1" si="54"/>
        <v>6004.0538581476249</v>
      </c>
      <c r="BF200" s="1258">
        <f t="shared" ca="1" si="54"/>
        <v>7384.0961877553927</v>
      </c>
      <c r="BG200" s="1258">
        <f t="shared" ca="1" si="54"/>
        <v>9000.8954295893436</v>
      </c>
      <c r="BH200" s="1258">
        <f t="shared" ca="1" si="54"/>
        <v>10532.623812014712</v>
      </c>
      <c r="BI200" s="1258">
        <f t="shared" ca="1" si="54"/>
        <v>12204.306963259591</v>
      </c>
      <c r="BJ200" s="1217"/>
    </row>
    <row r="201" spans="2:62">
      <c r="B201" s="1221"/>
      <c r="C201" s="1216">
        <v>2</v>
      </c>
      <c r="D201" s="1223" t="str">
        <f>INDEX(IPCC[Sector_description], MATCH($C201, IPCC[Sector_code], 0))</f>
        <v>Industrial Processes</v>
      </c>
      <c r="E201" s="1214"/>
      <c r="F201" s="1258"/>
      <c r="G201" s="1258"/>
      <c r="H201" s="1257"/>
      <c r="I201" s="1257"/>
      <c r="J201" s="1257"/>
      <c r="K201" s="1257"/>
      <c r="L201" s="1257"/>
      <c r="M201" s="1257"/>
      <c r="N201" s="1257"/>
      <c r="O201" s="1257"/>
      <c r="P201" s="1257"/>
      <c r="Q201" s="1257"/>
      <c r="R201" s="1257"/>
      <c r="S201" s="1257"/>
      <c r="T201" s="1257"/>
      <c r="U201" s="1257"/>
      <c r="V201" s="1257"/>
      <c r="W201" s="1257"/>
      <c r="X201" s="1257"/>
      <c r="Y201" s="1257"/>
      <c r="Z201" s="1257"/>
      <c r="AA201" s="1257"/>
      <c r="AB201" s="1257">
        <v>54.14857476869939</v>
      </c>
      <c r="AC201" s="1257">
        <v>52.475976085330302</v>
      </c>
      <c r="AD201" s="1257">
        <v>47.09357259520948</v>
      </c>
      <c r="AE201" s="1257">
        <v>43.783266649903538</v>
      </c>
      <c r="AF201" s="1257">
        <v>46.200468631708674</v>
      </c>
      <c r="AG201" s="1257">
        <v>46.438108640865629</v>
      </c>
      <c r="AH201" s="1257">
        <v>48.20629279360756</v>
      </c>
      <c r="AI201" s="1257">
        <v>50.509743157896679</v>
      </c>
      <c r="AJ201" s="1257">
        <v>48.955619513700753</v>
      </c>
      <c r="AK201" s="1257">
        <v>32.394255265102153</v>
      </c>
      <c r="AL201" s="1257">
        <v>31.677024129804071</v>
      </c>
      <c r="AM201" s="1257">
        <v>30.092795678224793</v>
      </c>
      <c r="AN201" s="1257">
        <v>28.177211033386556</v>
      </c>
      <c r="AO201" s="1257">
        <v>30.026667340786869</v>
      </c>
      <c r="AP201" s="1257">
        <v>30.291978553378527</v>
      </c>
      <c r="AQ201" s="1257">
        <v>30.619235422944978</v>
      </c>
      <c r="AR201" s="1257">
        <v>29.927484392152323</v>
      </c>
      <c r="AS201" s="1257">
        <v>31.616603644661854</v>
      </c>
      <c r="AT201" s="1257">
        <v>30.80187951705711</v>
      </c>
      <c r="AU201" s="1257">
        <v>25.47849294203823</v>
      </c>
      <c r="AV201" s="1257">
        <v>26.811492537019994</v>
      </c>
      <c r="AW201" s="1257" t="s">
        <v>1176</v>
      </c>
      <c r="AX201" s="1226"/>
      <c r="AY201" s="1224">
        <f t="shared" ref="AY201:BI209" ca="1" si="55">SUMIFS(INDIRECT("'"&amp;AY$4&amp;"'!Year.Emissions"), INDIRECT("'"&amp;AY$4&amp;"'!Year.IPCC"), $C201)</f>
        <v>0</v>
      </c>
      <c r="AZ201" s="1224"/>
      <c r="BA201" s="1224">
        <f t="shared" ca="1" si="55"/>
        <v>0</v>
      </c>
      <c r="BB201" s="1224">
        <f t="shared" ca="1" si="55"/>
        <v>0</v>
      </c>
      <c r="BC201" s="1224">
        <f t="shared" ca="1" si="55"/>
        <v>0</v>
      </c>
      <c r="BD201" s="1224">
        <f t="shared" ca="1" si="55"/>
        <v>0</v>
      </c>
      <c r="BE201" s="1224">
        <f t="shared" ca="1" si="55"/>
        <v>0</v>
      </c>
      <c r="BF201" s="1224">
        <f t="shared" ca="1" si="55"/>
        <v>0</v>
      </c>
      <c r="BG201" s="1224">
        <f t="shared" ca="1" si="55"/>
        <v>0</v>
      </c>
      <c r="BH201" s="1224">
        <f t="shared" ca="1" si="55"/>
        <v>0</v>
      </c>
      <c r="BI201" s="1224">
        <f t="shared" ca="1" si="55"/>
        <v>0</v>
      </c>
      <c r="BJ201" s="1217"/>
    </row>
    <row r="202" spans="2:62">
      <c r="B202" s="1219"/>
      <c r="C202" s="1216">
        <v>3</v>
      </c>
      <c r="D202" s="1223" t="str">
        <f>INDEX(IPCC[Sector_description], MATCH($C202, IPCC[Sector_code], 0))</f>
        <v>Solvent and Other Product Use</v>
      </c>
      <c r="E202" s="1214"/>
      <c r="F202" s="1258"/>
      <c r="G202" s="1258"/>
      <c r="H202" s="1257"/>
      <c r="I202" s="1257"/>
      <c r="J202" s="1257"/>
      <c r="K202" s="1257"/>
      <c r="L202" s="1257"/>
      <c r="M202" s="1257"/>
      <c r="N202" s="1257"/>
      <c r="O202" s="1257"/>
      <c r="P202" s="1257"/>
      <c r="Q202" s="1257"/>
      <c r="R202" s="1257"/>
      <c r="S202" s="1257"/>
      <c r="T202" s="1257"/>
      <c r="U202" s="1257"/>
      <c r="V202" s="1257"/>
      <c r="W202" s="1257"/>
      <c r="X202" s="1257"/>
      <c r="Y202" s="1257"/>
      <c r="Z202" s="1257"/>
      <c r="AA202" s="1257"/>
      <c r="AB202" s="1257" t="s">
        <v>1177</v>
      </c>
      <c r="AC202" s="1257" t="s">
        <v>1177</v>
      </c>
      <c r="AD202" s="1257" t="s">
        <v>1177</v>
      </c>
      <c r="AE202" s="1257" t="s">
        <v>1177</v>
      </c>
      <c r="AF202" s="1257" t="s">
        <v>1177</v>
      </c>
      <c r="AG202" s="1257" t="s">
        <v>1177</v>
      </c>
      <c r="AH202" s="1257" t="s">
        <v>1177</v>
      </c>
      <c r="AI202" s="1257" t="s">
        <v>1177</v>
      </c>
      <c r="AJ202" s="1257" t="s">
        <v>1177</v>
      </c>
      <c r="AK202" s="1257" t="s">
        <v>1177</v>
      </c>
      <c r="AL202" s="1257" t="s">
        <v>1177</v>
      </c>
      <c r="AM202" s="1257" t="s">
        <v>1177</v>
      </c>
      <c r="AN202" s="1257" t="s">
        <v>1177</v>
      </c>
      <c r="AO202" s="1257" t="s">
        <v>1177</v>
      </c>
      <c r="AP202" s="1257" t="s">
        <v>1177</v>
      </c>
      <c r="AQ202" s="1257" t="s">
        <v>1177</v>
      </c>
      <c r="AR202" s="1257" t="s">
        <v>1177</v>
      </c>
      <c r="AS202" s="1257" t="s">
        <v>1177</v>
      </c>
      <c r="AT202" s="1257" t="s">
        <v>1177</v>
      </c>
      <c r="AU202" s="1257" t="s">
        <v>1177</v>
      </c>
      <c r="AV202" s="1257" t="s">
        <v>1177</v>
      </c>
      <c r="AW202" s="1257" t="s">
        <v>1176</v>
      </c>
      <c r="AX202" s="1226"/>
      <c r="AY202" s="1224">
        <f t="shared" ca="1" si="55"/>
        <v>0</v>
      </c>
      <c r="AZ202" s="1224"/>
      <c r="BA202" s="1224">
        <f t="shared" ca="1" si="55"/>
        <v>0</v>
      </c>
      <c r="BB202" s="1224">
        <f t="shared" ca="1" si="55"/>
        <v>0</v>
      </c>
      <c r="BC202" s="1224">
        <f t="shared" ca="1" si="55"/>
        <v>0</v>
      </c>
      <c r="BD202" s="1224">
        <f t="shared" ca="1" si="55"/>
        <v>0</v>
      </c>
      <c r="BE202" s="1224">
        <f t="shared" ca="1" si="55"/>
        <v>0</v>
      </c>
      <c r="BF202" s="1224">
        <f t="shared" ca="1" si="55"/>
        <v>0</v>
      </c>
      <c r="BG202" s="1224">
        <f t="shared" ca="1" si="55"/>
        <v>0</v>
      </c>
      <c r="BH202" s="1224">
        <f t="shared" ca="1" si="55"/>
        <v>0</v>
      </c>
      <c r="BI202" s="1224">
        <f t="shared" ca="1" si="55"/>
        <v>0</v>
      </c>
      <c r="BJ202" s="1217"/>
    </row>
    <row r="203" spans="2:62">
      <c r="B203" s="1219"/>
      <c r="C203" s="1216">
        <v>4</v>
      </c>
      <c r="D203" s="1223" t="str">
        <f>INDEX(IPCC[Sector_description], MATCH($C203, IPCC[Sector_code], 0))</f>
        <v>Agriculture</v>
      </c>
      <c r="E203" s="1214"/>
      <c r="F203" s="1258"/>
      <c r="G203" s="1258"/>
      <c r="H203" s="1257"/>
      <c r="I203" s="1257"/>
      <c r="J203" s="1257"/>
      <c r="K203" s="1257"/>
      <c r="L203" s="1257"/>
      <c r="M203" s="1257"/>
      <c r="N203" s="1257"/>
      <c r="O203" s="1257"/>
      <c r="P203" s="1257"/>
      <c r="Q203" s="1257"/>
      <c r="R203" s="1257"/>
      <c r="S203" s="1257"/>
      <c r="T203" s="1257"/>
      <c r="U203" s="1257"/>
      <c r="V203" s="1257"/>
      <c r="W203" s="1257"/>
      <c r="X203" s="1257"/>
      <c r="Y203" s="1257"/>
      <c r="Z203" s="1257"/>
      <c r="AA203" s="1257"/>
      <c r="AB203" s="1257">
        <v>57.50148520668305</v>
      </c>
      <c r="AC203" s="1257">
        <v>57.246446553512868</v>
      </c>
      <c r="AD203" s="1257">
        <v>57.064686407982649</v>
      </c>
      <c r="AE203" s="1257">
        <v>56.349782848425512</v>
      </c>
      <c r="AF203" s="1257">
        <v>56.482634229989579</v>
      </c>
      <c r="AG203" s="1257">
        <v>56.062993674503744</v>
      </c>
      <c r="AH203" s="1257">
        <v>56.438650509232893</v>
      </c>
      <c r="AI203" s="1257">
        <v>56.199934507252166</v>
      </c>
      <c r="AJ203" s="1257">
        <v>55.563813765969243</v>
      </c>
      <c r="AK203" s="1257">
        <v>54.890137863427519</v>
      </c>
      <c r="AL203" s="1257">
        <v>52.893308830233281</v>
      </c>
      <c r="AM203" s="1257">
        <v>50.094491750341383</v>
      </c>
      <c r="AN203" s="1257">
        <v>50.07904843936754</v>
      </c>
      <c r="AO203" s="1257">
        <v>49.646482933698181</v>
      </c>
      <c r="AP203" s="1257">
        <v>49.912563723285288</v>
      </c>
      <c r="AQ203" s="1257">
        <v>50.204852733460946</v>
      </c>
      <c r="AR203" s="1257">
        <v>48.573478811345488</v>
      </c>
      <c r="AS203" s="1257">
        <v>47.145361104365769</v>
      </c>
      <c r="AT203" s="1257">
        <v>46.490712439147927</v>
      </c>
      <c r="AU203" s="1257">
        <v>45.808263743996648</v>
      </c>
      <c r="AV203" s="1257">
        <v>46.201383319346213</v>
      </c>
      <c r="AW203" s="1257" t="s">
        <v>1176</v>
      </c>
      <c r="AX203" s="1226"/>
      <c r="AY203" s="1224">
        <f t="shared" ca="1" si="55"/>
        <v>0</v>
      </c>
      <c r="AZ203" s="1224"/>
      <c r="BA203" s="1224">
        <f t="shared" ca="1" si="55"/>
        <v>0</v>
      </c>
      <c r="BB203" s="1224">
        <f t="shared" ca="1" si="55"/>
        <v>0</v>
      </c>
      <c r="BC203" s="1224">
        <f t="shared" ca="1" si="55"/>
        <v>0</v>
      </c>
      <c r="BD203" s="1224">
        <f t="shared" ca="1" si="55"/>
        <v>0</v>
      </c>
      <c r="BE203" s="1224">
        <f t="shared" ca="1" si="55"/>
        <v>0</v>
      </c>
      <c r="BF203" s="1224">
        <f t="shared" ca="1" si="55"/>
        <v>0</v>
      </c>
      <c r="BG203" s="1224">
        <f t="shared" ca="1" si="55"/>
        <v>0</v>
      </c>
      <c r="BH203" s="1224">
        <f t="shared" ca="1" si="55"/>
        <v>0</v>
      </c>
      <c r="BI203" s="1224">
        <f t="shared" ca="1" si="55"/>
        <v>0</v>
      </c>
      <c r="BJ203" s="1217"/>
    </row>
    <row r="204" spans="2:62">
      <c r="B204" s="1219"/>
      <c r="C204" s="1216">
        <v>5</v>
      </c>
      <c r="D204" s="1223" t="str">
        <f>INDEX(IPCC[Sector_description], MATCH($C204, IPCC[Sector_code], 0))</f>
        <v>Land Use, Land-Use Change and Forestry</v>
      </c>
      <c r="E204" s="1214"/>
      <c r="F204" s="1258"/>
      <c r="G204" s="1258"/>
      <c r="H204" s="1257"/>
      <c r="I204" s="1257"/>
      <c r="J204" s="1257"/>
      <c r="K204" s="1257"/>
      <c r="L204" s="1257"/>
      <c r="M204" s="1257"/>
      <c r="N204" s="1257"/>
      <c r="O204" s="1257"/>
      <c r="P204" s="1257"/>
      <c r="Q204" s="1257"/>
      <c r="R204" s="1257"/>
      <c r="S204" s="1257"/>
      <c r="T204" s="1257"/>
      <c r="U204" s="1257"/>
      <c r="V204" s="1257"/>
      <c r="W204" s="1257"/>
      <c r="X204" s="1257"/>
      <c r="Y204" s="1257"/>
      <c r="Z204" s="1257"/>
      <c r="AA204" s="1257"/>
      <c r="AB204" s="1257">
        <v>3.8930087572812679</v>
      </c>
      <c r="AC204" s="1257">
        <v>3.8686000622628693</v>
      </c>
      <c r="AD204" s="1257">
        <v>3.3433147414361009</v>
      </c>
      <c r="AE204" s="1257">
        <v>2.2265845845315693</v>
      </c>
      <c r="AF204" s="1257">
        <v>2.0533141148288525</v>
      </c>
      <c r="AG204" s="1257">
        <v>2.4654776194817205</v>
      </c>
      <c r="AH204" s="1257">
        <v>2.1813341723246857</v>
      </c>
      <c r="AI204" s="1257">
        <v>1.920070200944781</v>
      </c>
      <c r="AJ204" s="1257">
        <v>1.2405726372813575</v>
      </c>
      <c r="AK204" s="1257">
        <v>1.0620443971872269</v>
      </c>
      <c r="AL204" s="1257">
        <v>0.37726047037436505</v>
      </c>
      <c r="AM204" s="1257">
        <v>-0.11419377707044237</v>
      </c>
      <c r="AN204" s="1257">
        <v>-0.93459050389331721</v>
      </c>
      <c r="AO204" s="1257">
        <v>-1.2868015775516333</v>
      </c>
      <c r="AP204" s="1257">
        <v>-2.3579223431888501</v>
      </c>
      <c r="AQ204" s="1257">
        <v>-2.9449125339525444</v>
      </c>
      <c r="AR204" s="1257">
        <v>-3.0969424363046301</v>
      </c>
      <c r="AS204" s="1257">
        <v>-3.4836455180367438</v>
      </c>
      <c r="AT204" s="1257">
        <v>-3.8824317227172771</v>
      </c>
      <c r="AU204" s="1257">
        <v>-4.2078283804095697</v>
      </c>
      <c r="AV204" s="1257">
        <v>-3.8423973221854002</v>
      </c>
      <c r="AW204" s="1257" t="s">
        <v>1176</v>
      </c>
      <c r="AX204" s="1226"/>
      <c r="AY204" s="1224">
        <f t="shared" ca="1" si="55"/>
        <v>0</v>
      </c>
      <c r="AZ204" s="1224"/>
      <c r="BA204" s="1224">
        <f t="shared" ca="1" si="55"/>
        <v>0</v>
      </c>
      <c r="BB204" s="1224">
        <f t="shared" ca="1" si="55"/>
        <v>0</v>
      </c>
      <c r="BC204" s="1224">
        <f t="shared" ca="1" si="55"/>
        <v>0</v>
      </c>
      <c r="BD204" s="1224">
        <f t="shared" ca="1" si="55"/>
        <v>0</v>
      </c>
      <c r="BE204" s="1224">
        <f t="shared" ca="1" si="55"/>
        <v>0</v>
      </c>
      <c r="BF204" s="1224">
        <f t="shared" ca="1" si="55"/>
        <v>0</v>
      </c>
      <c r="BG204" s="1224">
        <f t="shared" ca="1" si="55"/>
        <v>0</v>
      </c>
      <c r="BH204" s="1224">
        <f t="shared" ca="1" si="55"/>
        <v>0</v>
      </c>
      <c r="BI204" s="1224">
        <f t="shared" ca="1" si="55"/>
        <v>0</v>
      </c>
      <c r="BJ204" s="1217"/>
    </row>
    <row r="205" spans="2:62">
      <c r="B205" s="1219"/>
      <c r="C205" s="1216">
        <v>6</v>
      </c>
      <c r="D205" s="1223" t="str">
        <f>INDEX(IPCC[Sector_description], MATCH($C205, IPCC[Sector_code], 0))</f>
        <v>Waste</v>
      </c>
      <c r="E205" s="1214"/>
      <c r="F205" s="1258"/>
      <c r="G205" s="1258"/>
      <c r="H205" s="1257"/>
      <c r="I205" s="1257"/>
      <c r="J205" s="1257"/>
      <c r="K205" s="1257"/>
      <c r="L205" s="1257"/>
      <c r="M205" s="1257"/>
      <c r="N205" s="1257"/>
      <c r="O205" s="1257"/>
      <c r="P205" s="1257"/>
      <c r="Q205" s="1257"/>
      <c r="R205" s="1257"/>
      <c r="S205" s="1257"/>
      <c r="T205" s="1257"/>
      <c r="U205" s="1257"/>
      <c r="V205" s="1257"/>
      <c r="W205" s="1257"/>
      <c r="X205" s="1257"/>
      <c r="Y205" s="1257"/>
      <c r="Z205" s="1257"/>
      <c r="AA205" s="1257"/>
      <c r="AB205" s="1257">
        <v>46.005376459169604</v>
      </c>
      <c r="AC205" s="1257">
        <v>45.106257535550021</v>
      </c>
      <c r="AD205" s="1257">
        <v>43.802323592142784</v>
      </c>
      <c r="AE205" s="1257">
        <v>42.398865017289033</v>
      </c>
      <c r="AF205" s="1257">
        <v>41.175525117813187</v>
      </c>
      <c r="AG205" s="1257">
        <v>40.080722749499124</v>
      </c>
      <c r="AH205" s="1257">
        <v>39.045211708359346</v>
      </c>
      <c r="AI205" s="1257">
        <v>35.946203438881568</v>
      </c>
      <c r="AJ205" s="1257">
        <v>33.903942222331288</v>
      </c>
      <c r="AK205" s="1257">
        <v>31.176954037822373</v>
      </c>
      <c r="AL205" s="1257">
        <v>29.422387452691304</v>
      </c>
      <c r="AM205" s="1257">
        <v>26.000773929539882</v>
      </c>
      <c r="AN205" s="1257">
        <v>23.914147643814456</v>
      </c>
      <c r="AO205" s="1257">
        <v>21.058526850801719</v>
      </c>
      <c r="AP205" s="1257">
        <v>19.538460113710165</v>
      </c>
      <c r="AQ205" s="1257">
        <v>19.037141136861958</v>
      </c>
      <c r="AR205" s="1257">
        <v>18.640862074715724</v>
      </c>
      <c r="AS205" s="1257">
        <v>18.271577747130092</v>
      </c>
      <c r="AT205" s="1257">
        <v>17.712063346383925</v>
      </c>
      <c r="AU205" s="1257">
        <v>17.198378568592883</v>
      </c>
      <c r="AV205" s="1257">
        <v>16.611961862247568</v>
      </c>
      <c r="AW205" s="1257" t="s">
        <v>1176</v>
      </c>
      <c r="AX205" s="1226"/>
      <c r="AY205" s="1224">
        <f t="shared" ca="1" si="55"/>
        <v>0</v>
      </c>
      <c r="AZ205" s="1224"/>
      <c r="BA205" s="1224">
        <f t="shared" ca="1" si="55"/>
        <v>0</v>
      </c>
      <c r="BB205" s="1224">
        <f t="shared" ca="1" si="55"/>
        <v>0</v>
      </c>
      <c r="BC205" s="1224">
        <f t="shared" ca="1" si="55"/>
        <v>0</v>
      </c>
      <c r="BD205" s="1224">
        <f t="shared" ca="1" si="55"/>
        <v>0</v>
      </c>
      <c r="BE205" s="1224">
        <f t="shared" ca="1" si="55"/>
        <v>0</v>
      </c>
      <c r="BF205" s="1224">
        <f t="shared" ca="1" si="55"/>
        <v>0</v>
      </c>
      <c r="BG205" s="1224">
        <f t="shared" ca="1" si="55"/>
        <v>0</v>
      </c>
      <c r="BH205" s="1224">
        <f t="shared" ca="1" si="55"/>
        <v>0</v>
      </c>
      <c r="BI205" s="1224">
        <f t="shared" ca="1" si="55"/>
        <v>0</v>
      </c>
      <c r="BJ205" s="1217"/>
    </row>
    <row r="206" spans="2:62">
      <c r="B206" s="1219"/>
      <c r="C206" s="1216">
        <v>7</v>
      </c>
      <c r="D206" s="1223" t="str">
        <f>INDEX(IPCC[Sector_description], MATCH($C206, IPCC[Sector_code], 0))</f>
        <v>Other</v>
      </c>
      <c r="E206" s="1214"/>
      <c r="F206" s="1226"/>
      <c r="G206" s="1226"/>
      <c r="H206" s="1259"/>
      <c r="I206" s="1259"/>
      <c r="J206" s="1259"/>
      <c r="K206" s="1259"/>
      <c r="L206" s="1259"/>
      <c r="M206" s="1259"/>
      <c r="N206" s="1259"/>
      <c r="O206" s="1259"/>
      <c r="P206" s="1259"/>
      <c r="Q206" s="1259"/>
      <c r="R206" s="1259"/>
      <c r="S206" s="1259"/>
      <c r="T206" s="1259"/>
      <c r="U206" s="1259"/>
      <c r="V206" s="1259"/>
      <c r="W206" s="1259"/>
      <c r="X206" s="1259"/>
      <c r="Y206" s="1259"/>
      <c r="Z206" s="1259"/>
      <c r="AA206" s="1259"/>
      <c r="AB206" s="1259" t="s">
        <v>1178</v>
      </c>
      <c r="AC206" s="1259" t="s">
        <v>1178</v>
      </c>
      <c r="AD206" s="1259" t="s">
        <v>1178</v>
      </c>
      <c r="AE206" s="1259" t="s">
        <v>1178</v>
      </c>
      <c r="AF206" s="1259" t="s">
        <v>1178</v>
      </c>
      <c r="AG206" s="1259" t="s">
        <v>1178</v>
      </c>
      <c r="AH206" s="1259" t="s">
        <v>1178</v>
      </c>
      <c r="AI206" s="1259" t="s">
        <v>1178</v>
      </c>
      <c r="AJ206" s="1259" t="s">
        <v>1178</v>
      </c>
      <c r="AK206" s="1259" t="s">
        <v>1178</v>
      </c>
      <c r="AL206" s="1259" t="s">
        <v>1178</v>
      </c>
      <c r="AM206" s="1259" t="s">
        <v>1178</v>
      </c>
      <c r="AN206" s="1259" t="s">
        <v>1178</v>
      </c>
      <c r="AO206" s="1259" t="s">
        <v>1178</v>
      </c>
      <c r="AP206" s="1259" t="s">
        <v>1178</v>
      </c>
      <c r="AQ206" s="1259" t="s">
        <v>1178</v>
      </c>
      <c r="AR206" s="1259" t="s">
        <v>1178</v>
      </c>
      <c r="AS206" s="1259" t="s">
        <v>1178</v>
      </c>
      <c r="AT206" s="1259" t="s">
        <v>1178</v>
      </c>
      <c r="AU206" s="1259" t="s">
        <v>1178</v>
      </c>
      <c r="AV206" s="1259" t="s">
        <v>1178</v>
      </c>
      <c r="AW206" s="1259" t="s">
        <v>1176</v>
      </c>
      <c r="AX206" s="1226"/>
      <c r="AY206" s="1224">
        <f t="shared" ca="1" si="55"/>
        <v>0</v>
      </c>
      <c r="AZ206" s="1224"/>
      <c r="BA206" s="1224">
        <f t="shared" ca="1" si="55"/>
        <v>0</v>
      </c>
      <c r="BB206" s="1224">
        <f t="shared" ca="1" si="55"/>
        <v>0</v>
      </c>
      <c r="BC206" s="1224">
        <f t="shared" ca="1" si="55"/>
        <v>0</v>
      </c>
      <c r="BD206" s="1224">
        <f t="shared" ca="1" si="55"/>
        <v>0</v>
      </c>
      <c r="BE206" s="1224">
        <f t="shared" ca="1" si="55"/>
        <v>0</v>
      </c>
      <c r="BF206" s="1224">
        <f t="shared" ca="1" si="55"/>
        <v>0</v>
      </c>
      <c r="BG206" s="1224">
        <f t="shared" ca="1" si="55"/>
        <v>0</v>
      </c>
      <c r="BH206" s="1224">
        <f t="shared" ca="1" si="55"/>
        <v>0</v>
      </c>
      <c r="BI206" s="1224">
        <f t="shared" ca="1" si="55"/>
        <v>0</v>
      </c>
      <c r="BJ206" s="1217"/>
    </row>
    <row r="207" spans="2:62">
      <c r="B207" s="1219"/>
      <c r="C207" s="1216" t="s">
        <v>345</v>
      </c>
      <c r="D207" s="1223" t="str">
        <f>INDEX(IPCC[Sector_description], MATCH($C207, IPCC[Sector_code], 0))</f>
        <v>International Aviation and Shipping</v>
      </c>
      <c r="E207" s="1214"/>
      <c r="F207" s="1258"/>
      <c r="G207" s="1258"/>
      <c r="H207" s="1257"/>
      <c r="I207" s="1257"/>
      <c r="J207" s="1257"/>
      <c r="K207" s="1257"/>
      <c r="L207" s="1257"/>
      <c r="M207" s="1257"/>
      <c r="N207" s="1257"/>
      <c r="O207" s="1257"/>
      <c r="P207" s="1257"/>
      <c r="Q207" s="1257"/>
      <c r="R207" s="1257"/>
      <c r="S207" s="1257"/>
      <c r="T207" s="1257"/>
      <c r="U207" s="1257"/>
      <c r="V207" s="1257"/>
      <c r="W207" s="1257"/>
      <c r="X207" s="1257"/>
      <c r="Y207" s="1257"/>
      <c r="Z207" s="1257"/>
      <c r="AA207" s="1257"/>
      <c r="AB207" s="1257">
        <f t="shared" ref="AB207:AR207" si="56">0+0</f>
        <v>0</v>
      </c>
      <c r="AC207" s="1257">
        <f t="shared" si="56"/>
        <v>0</v>
      </c>
      <c r="AD207" s="1257">
        <f t="shared" si="56"/>
        <v>0</v>
      </c>
      <c r="AE207" s="1257">
        <f t="shared" si="56"/>
        <v>0</v>
      </c>
      <c r="AF207" s="1257">
        <f t="shared" si="56"/>
        <v>0</v>
      </c>
      <c r="AG207" s="1257">
        <f t="shared" si="56"/>
        <v>0</v>
      </c>
      <c r="AH207" s="1257">
        <f t="shared" si="56"/>
        <v>0</v>
      </c>
      <c r="AI207" s="1257">
        <f t="shared" si="56"/>
        <v>0</v>
      </c>
      <c r="AJ207" s="1257">
        <f t="shared" si="56"/>
        <v>0</v>
      </c>
      <c r="AK207" s="1257">
        <f t="shared" si="56"/>
        <v>0</v>
      </c>
      <c r="AL207" s="1257">
        <f t="shared" si="56"/>
        <v>0</v>
      </c>
      <c r="AM207" s="1257">
        <f t="shared" si="56"/>
        <v>0</v>
      </c>
      <c r="AN207" s="1257">
        <f t="shared" si="56"/>
        <v>0</v>
      </c>
      <c r="AO207" s="1257">
        <f t="shared" si="56"/>
        <v>0</v>
      </c>
      <c r="AP207" s="1257">
        <f t="shared" si="56"/>
        <v>0</v>
      </c>
      <c r="AQ207" s="1257">
        <f t="shared" si="56"/>
        <v>0</v>
      </c>
      <c r="AR207" s="1257">
        <f t="shared" si="56"/>
        <v>0</v>
      </c>
      <c r="AS207" s="1257"/>
      <c r="AT207" s="1257"/>
      <c r="AU207" s="1257"/>
      <c r="AV207" s="1257"/>
      <c r="AW207" s="1257" t="s">
        <v>1179</v>
      </c>
      <c r="AX207" s="1226"/>
      <c r="AY207" s="1224">
        <f t="shared" ca="1" si="55"/>
        <v>0</v>
      </c>
      <c r="AZ207" s="1224"/>
      <c r="BA207" s="1224">
        <f t="shared" ca="1" si="55"/>
        <v>0</v>
      </c>
      <c r="BB207" s="1224">
        <f t="shared" ca="1" si="55"/>
        <v>0</v>
      </c>
      <c r="BC207" s="1224">
        <f t="shared" ca="1" si="55"/>
        <v>0</v>
      </c>
      <c r="BD207" s="1224">
        <f t="shared" ca="1" si="55"/>
        <v>0</v>
      </c>
      <c r="BE207" s="1224">
        <f t="shared" ca="1" si="55"/>
        <v>0</v>
      </c>
      <c r="BF207" s="1224">
        <f t="shared" ca="1" si="55"/>
        <v>0</v>
      </c>
      <c r="BG207" s="1224">
        <f t="shared" ca="1" si="55"/>
        <v>0</v>
      </c>
      <c r="BH207" s="1224">
        <f t="shared" ca="1" si="55"/>
        <v>0</v>
      </c>
      <c r="BI207" s="1224">
        <f t="shared" ca="1" si="55"/>
        <v>0</v>
      </c>
      <c r="BJ207" s="1217"/>
    </row>
    <row r="208" spans="2:62" s="410" customFormat="1">
      <c r="B208" s="1219"/>
      <c r="C208" s="1216" t="s">
        <v>346</v>
      </c>
      <c r="D208" s="1223" t="str">
        <f>INDEX(IPCC[Sector_description], MATCH($C208, IPCC[Sector_code], 0))</f>
        <v>Bioenergy credit</v>
      </c>
      <c r="E208" s="1214"/>
      <c r="F208" s="1258"/>
      <c r="G208" s="1258"/>
      <c r="H208" s="1257"/>
      <c r="I208" s="1257"/>
      <c r="J208" s="1257"/>
      <c r="K208" s="1257"/>
      <c r="L208" s="1257"/>
      <c r="M208" s="1257"/>
      <c r="N208" s="1257"/>
      <c r="O208" s="1257"/>
      <c r="P208" s="1257"/>
      <c r="Q208" s="1257"/>
      <c r="R208" s="1257"/>
      <c r="S208" s="1257"/>
      <c r="T208" s="1257"/>
      <c r="U208" s="1257"/>
      <c r="V208" s="1257"/>
      <c r="W208" s="1257"/>
      <c r="X208" s="1257"/>
      <c r="Y208" s="1257"/>
      <c r="Z208" s="1257"/>
      <c r="AA208" s="1257"/>
      <c r="AB208" s="1257">
        <v>0</v>
      </c>
      <c r="AC208" s="1257">
        <v>0</v>
      </c>
      <c r="AD208" s="1257">
        <v>0</v>
      </c>
      <c r="AE208" s="1257">
        <v>0</v>
      </c>
      <c r="AF208" s="1257">
        <v>0</v>
      </c>
      <c r="AG208" s="1257">
        <v>0</v>
      </c>
      <c r="AH208" s="1257">
        <v>0</v>
      </c>
      <c r="AI208" s="1257">
        <v>0</v>
      </c>
      <c r="AJ208" s="1257">
        <v>0</v>
      </c>
      <c r="AK208" s="1257">
        <v>0</v>
      </c>
      <c r="AL208" s="1257">
        <v>0</v>
      </c>
      <c r="AM208" s="1257">
        <v>0</v>
      </c>
      <c r="AN208" s="1257">
        <v>0</v>
      </c>
      <c r="AO208" s="1257">
        <v>0</v>
      </c>
      <c r="AP208" s="1257">
        <v>0</v>
      </c>
      <c r="AQ208" s="1257">
        <v>0</v>
      </c>
      <c r="AR208" s="1257">
        <v>0</v>
      </c>
      <c r="AS208" s="1257">
        <v>0</v>
      </c>
      <c r="AT208" s="1257">
        <v>0</v>
      </c>
      <c r="AU208" s="1257">
        <v>0</v>
      </c>
      <c r="AV208" s="1257">
        <v>0</v>
      </c>
      <c r="AW208" s="1257" t="s">
        <v>1176</v>
      </c>
      <c r="AX208" s="1226"/>
      <c r="AY208" s="1224">
        <f t="shared" ca="1" si="55"/>
        <v>0</v>
      </c>
      <c r="AZ208" s="1224"/>
      <c r="BA208" s="1224">
        <f t="shared" ca="1" si="55"/>
        <v>0</v>
      </c>
      <c r="BB208" s="1224">
        <f t="shared" ca="1" si="55"/>
        <v>0</v>
      </c>
      <c r="BC208" s="1224">
        <f t="shared" ca="1" si="55"/>
        <v>0</v>
      </c>
      <c r="BD208" s="1224">
        <f t="shared" ca="1" si="55"/>
        <v>0</v>
      </c>
      <c r="BE208" s="1224">
        <f t="shared" ca="1" si="55"/>
        <v>0</v>
      </c>
      <c r="BF208" s="1224">
        <f t="shared" ca="1" si="55"/>
        <v>0</v>
      </c>
      <c r="BG208" s="1224">
        <f t="shared" ca="1" si="55"/>
        <v>0</v>
      </c>
      <c r="BH208" s="1224">
        <f t="shared" ca="1" si="55"/>
        <v>0</v>
      </c>
      <c r="BI208" s="1224">
        <f t="shared" ca="1" si="55"/>
        <v>0</v>
      </c>
      <c r="BJ208" s="1227"/>
    </row>
    <row r="209" spans="1:63">
      <c r="B209" s="1219"/>
      <c r="C209" s="1216" t="s">
        <v>369</v>
      </c>
      <c r="D209" s="1223" t="str">
        <f>INDEX(IPCC[Sector_description], MATCH($C209, IPCC[Sector_code], 0))</f>
        <v>Carbon capture</v>
      </c>
      <c r="E209" s="1214"/>
      <c r="F209" s="1258"/>
      <c r="G209" s="1258"/>
      <c r="H209" s="1257"/>
      <c r="I209" s="1257"/>
      <c r="J209" s="1257"/>
      <c r="K209" s="1257"/>
      <c r="L209" s="1257"/>
      <c r="M209" s="1257"/>
      <c r="N209" s="1257"/>
      <c r="O209" s="1257"/>
      <c r="P209" s="1257"/>
      <c r="Q209" s="1257"/>
      <c r="R209" s="1257"/>
      <c r="S209" s="1257"/>
      <c r="T209" s="1257"/>
      <c r="U209" s="1257"/>
      <c r="V209" s="1257"/>
      <c r="W209" s="1257"/>
      <c r="X209" s="1257"/>
      <c r="Y209" s="1257"/>
      <c r="Z209" s="1257"/>
      <c r="AA209" s="1257"/>
      <c r="AB209" s="1257">
        <v>0</v>
      </c>
      <c r="AC209" s="1257">
        <v>0</v>
      </c>
      <c r="AD209" s="1257">
        <v>0</v>
      </c>
      <c r="AE209" s="1257">
        <v>0</v>
      </c>
      <c r="AF209" s="1257">
        <v>0</v>
      </c>
      <c r="AG209" s="1257">
        <v>0</v>
      </c>
      <c r="AH209" s="1257">
        <v>0</v>
      </c>
      <c r="AI209" s="1257">
        <v>0</v>
      </c>
      <c r="AJ209" s="1257">
        <v>0</v>
      </c>
      <c r="AK209" s="1257">
        <v>0</v>
      </c>
      <c r="AL209" s="1257">
        <v>0</v>
      </c>
      <c r="AM209" s="1257">
        <v>0</v>
      </c>
      <c r="AN209" s="1257">
        <v>0</v>
      </c>
      <c r="AO209" s="1257">
        <v>0</v>
      </c>
      <c r="AP209" s="1257">
        <v>0</v>
      </c>
      <c r="AQ209" s="1257">
        <v>0</v>
      </c>
      <c r="AR209" s="1257">
        <v>0</v>
      </c>
      <c r="AS209" s="1257">
        <v>0</v>
      </c>
      <c r="AT209" s="1257">
        <v>0</v>
      </c>
      <c r="AU209" s="1257">
        <v>0</v>
      </c>
      <c r="AV209" s="1257">
        <v>0</v>
      </c>
      <c r="AW209" s="1257" t="s">
        <v>1176</v>
      </c>
      <c r="AX209" s="1226"/>
      <c r="AY209" s="2481">
        <f t="shared" ca="1" si="55"/>
        <v>0</v>
      </c>
      <c r="AZ209" s="2481"/>
      <c r="BA209" s="2481">
        <f t="shared" ca="1" si="55"/>
        <v>0</v>
      </c>
      <c r="BB209" s="2481">
        <f t="shared" ca="1" si="55"/>
        <v>0</v>
      </c>
      <c r="BC209" s="2481">
        <f t="shared" ca="1" si="55"/>
        <v>0</v>
      </c>
      <c r="BD209" s="2481">
        <f t="shared" ca="1" si="55"/>
        <v>0</v>
      </c>
      <c r="BE209" s="2481">
        <f t="shared" ca="1" si="55"/>
        <v>-5.9902178225806457</v>
      </c>
      <c r="BF209" s="2481">
        <f t="shared" ca="1" si="55"/>
        <v>-11.98043564516129</v>
      </c>
      <c r="BG209" s="2481">
        <f t="shared" ca="1" si="55"/>
        <v>-29.043480351906162</v>
      </c>
      <c r="BH209" s="2481">
        <f t="shared" ca="1" si="55"/>
        <v>-40.660872492668624</v>
      </c>
      <c r="BI209" s="2481">
        <f t="shared" ca="1" si="55"/>
        <v>-56.378520683111951</v>
      </c>
      <c r="BJ209" s="1217"/>
    </row>
    <row r="210" spans="1:63">
      <c r="B210" s="1221"/>
      <c r="C210" s="1214"/>
      <c r="D210" s="1214" t="s">
        <v>103</v>
      </c>
      <c r="E210" s="1214"/>
      <c r="F210" s="1260"/>
      <c r="G210" s="1260"/>
      <c r="H210" s="1261"/>
      <c r="I210" s="1261"/>
      <c r="J210" s="1261"/>
      <c r="K210" s="1261"/>
      <c r="L210" s="1261"/>
      <c r="M210" s="1261"/>
      <c r="N210" s="1261"/>
      <c r="O210" s="1261"/>
      <c r="P210" s="1261"/>
      <c r="Q210" s="1261"/>
      <c r="R210" s="1261"/>
      <c r="S210" s="1261"/>
      <c r="T210" s="1261"/>
      <c r="U210" s="1261"/>
      <c r="V210" s="1261"/>
      <c r="W210" s="1261"/>
      <c r="X210" s="1261"/>
      <c r="Y210" s="1261"/>
      <c r="Z210" s="1261"/>
      <c r="AA210" s="1261"/>
      <c r="AB210" s="1261">
        <v>795.93572182124274</v>
      </c>
      <c r="AC210" s="1261">
        <v>802.4755376560646</v>
      </c>
      <c r="AD210" s="1261">
        <v>780.68534536725031</v>
      </c>
      <c r="AE210" s="1261">
        <v>759.52035248688799</v>
      </c>
      <c r="AF210" s="1261">
        <v>747.78944230587103</v>
      </c>
      <c r="AG210" s="1261">
        <v>740.88891665083361</v>
      </c>
      <c r="AH210" s="1261">
        <v>763.89065519339613</v>
      </c>
      <c r="AI210" s="1261">
        <v>740.01388660823704</v>
      </c>
      <c r="AJ210" s="1261">
        <v>739.9402055350414</v>
      </c>
      <c r="AK210" s="1261">
        <v>708.00135984945894</v>
      </c>
      <c r="AL210" s="1261">
        <v>711.50940185716161</v>
      </c>
      <c r="AM210" s="1261">
        <v>715.30430320050698</v>
      </c>
      <c r="AN210" s="1261">
        <v>691.76608222710354</v>
      </c>
      <c r="AO210" s="1261">
        <v>697.82821693046253</v>
      </c>
      <c r="AP210" s="1261">
        <v>700.45218287466992</v>
      </c>
      <c r="AQ210" s="1261">
        <v>698.30813666551887</v>
      </c>
      <c r="AR210" s="1261">
        <v>696.66133927951546</v>
      </c>
      <c r="AS210" s="1261"/>
      <c r="AT210" s="1261"/>
      <c r="AU210" s="1261"/>
      <c r="AV210" s="1261"/>
      <c r="AW210" s="1261"/>
      <c r="AX210" s="1226"/>
      <c r="AY210" s="1260">
        <f t="shared" ref="AY210:BI210" ca="1" si="57">SUM(AY200:AY209)</f>
        <v>1178.5139623629584</v>
      </c>
      <c r="AZ210" s="1260"/>
      <c r="BA210" s="1260">
        <f t="shared" ca="1" si="57"/>
        <v>1542.9858078670618</v>
      </c>
      <c r="BB210" s="1260">
        <f t="shared" ca="1" si="57"/>
        <v>2156.3230931819899</v>
      </c>
      <c r="BC210" s="1260">
        <f t="shared" ca="1" si="57"/>
        <v>3134.8651799678455</v>
      </c>
      <c r="BD210" s="1260">
        <f t="shared" ca="1" si="57"/>
        <v>4344.0867964535209</v>
      </c>
      <c r="BE210" s="1260">
        <f t="shared" ca="1" si="57"/>
        <v>5998.0636403250446</v>
      </c>
      <c r="BF210" s="1260">
        <f t="shared" ca="1" si="57"/>
        <v>7372.1157521102314</v>
      </c>
      <c r="BG210" s="1260">
        <f t="shared" ca="1" si="57"/>
        <v>8971.851949237438</v>
      </c>
      <c r="BH210" s="1260">
        <f t="shared" ca="1" si="57"/>
        <v>10491.962939522044</v>
      </c>
      <c r="BI210" s="1260">
        <f t="shared" ca="1" si="57"/>
        <v>12147.928442576478</v>
      </c>
      <c r="BJ210" s="1217" t="s">
        <v>1172</v>
      </c>
      <c r="BK210" s="1233"/>
    </row>
    <row r="211" spans="1:63" ht="5.25" customHeight="1">
      <c r="B211" s="1219"/>
      <c r="C211" s="1214"/>
      <c r="D211" s="1214"/>
      <c r="E211" s="1214"/>
      <c r="F211" s="1226"/>
      <c r="G211" s="1226"/>
      <c r="H211" s="1259"/>
      <c r="I211" s="1259"/>
      <c r="J211" s="1259"/>
      <c r="K211" s="1259"/>
      <c r="L211" s="1259"/>
      <c r="M211" s="1259"/>
      <c r="N211" s="1259"/>
      <c r="O211" s="1259"/>
      <c r="P211" s="1259"/>
      <c r="Q211" s="1259"/>
      <c r="R211" s="1259"/>
      <c r="S211" s="1259"/>
      <c r="T211" s="1259"/>
      <c r="U211" s="1259"/>
      <c r="V211" s="1259"/>
      <c r="W211" s="1259"/>
      <c r="X211" s="1259"/>
      <c r="Y211" s="1259"/>
      <c r="Z211" s="1259"/>
      <c r="AA211" s="1259"/>
      <c r="AB211" s="1259"/>
      <c r="AC211" s="1259"/>
      <c r="AD211" s="1259"/>
      <c r="AE211" s="1259"/>
      <c r="AF211" s="1259"/>
      <c r="AG211" s="1259"/>
      <c r="AH211" s="1259"/>
      <c r="AI211" s="1259"/>
      <c r="AJ211" s="1259"/>
      <c r="AK211" s="1259"/>
      <c r="AL211" s="1259"/>
      <c r="AM211" s="1259"/>
      <c r="AN211" s="1259"/>
      <c r="AO211" s="1259"/>
      <c r="AP211" s="1259"/>
      <c r="AQ211" s="1259"/>
      <c r="AR211" s="1259"/>
      <c r="AS211" s="1259"/>
      <c r="AT211" s="1259"/>
      <c r="AU211" s="1259"/>
      <c r="AV211" s="1259"/>
      <c r="AW211" s="1259"/>
      <c r="AX211" s="1226"/>
      <c r="AY211" s="1226"/>
      <c r="AZ211" s="1226"/>
      <c r="BA211" s="1226"/>
      <c r="BB211" s="1226"/>
      <c r="BC211" s="1226"/>
      <c r="BD211" s="1226"/>
      <c r="BE211" s="1226"/>
      <c r="BF211" s="1226"/>
      <c r="BG211" s="1226"/>
      <c r="BH211" s="1226"/>
      <c r="BI211" s="1226"/>
      <c r="BJ211" s="1217"/>
    </row>
    <row r="212" spans="1:63" s="37" customFormat="1">
      <c r="B212" s="1219"/>
      <c r="C212" s="1236"/>
      <c r="D212" s="1236"/>
      <c r="E212" s="1236"/>
      <c r="F212" s="1262"/>
      <c r="G212" s="1262"/>
      <c r="H212" s="1263"/>
      <c r="I212" s="1263"/>
      <c r="J212" s="1263"/>
      <c r="K212" s="1263"/>
      <c r="L212" s="1263"/>
      <c r="M212" s="1263"/>
      <c r="N212" s="1263"/>
      <c r="O212" s="1263"/>
      <c r="P212" s="1263"/>
      <c r="Q212" s="1263"/>
      <c r="R212" s="1263"/>
      <c r="S212" s="1263"/>
      <c r="T212" s="1263"/>
      <c r="U212" s="1263"/>
      <c r="V212" s="1263"/>
      <c r="W212" s="1263"/>
      <c r="X212" s="1263"/>
      <c r="Y212" s="1263"/>
      <c r="Z212" s="1263"/>
      <c r="AA212" s="1263"/>
      <c r="AB212" s="1263"/>
      <c r="AC212" s="1263"/>
      <c r="AD212" s="1263"/>
      <c r="AE212" s="1263"/>
      <c r="AF212" s="1263"/>
      <c r="AG212" s="1263"/>
      <c r="AH212" s="1263"/>
      <c r="AI212" s="1263"/>
      <c r="AJ212" s="1263"/>
      <c r="AK212" s="1263"/>
      <c r="AL212" s="1263"/>
      <c r="AM212" s="1263"/>
      <c r="AN212" s="1263"/>
      <c r="AO212" s="1263"/>
      <c r="AP212" s="1263"/>
      <c r="AQ212" s="1263"/>
      <c r="AR212" s="1263"/>
      <c r="AS212" s="1263"/>
      <c r="AT212" s="1263"/>
      <c r="AU212" s="1263"/>
      <c r="AV212" s="1263"/>
      <c r="AW212" s="1263"/>
      <c r="AX212" s="1264"/>
      <c r="AY212" s="1262"/>
      <c r="AZ212" s="1262"/>
      <c r="BA212" s="1262"/>
      <c r="BB212" s="1262"/>
      <c r="BC212" s="1262"/>
      <c r="BD212" s="1262"/>
      <c r="BE212" s="1262"/>
      <c r="BF212" s="1262"/>
      <c r="BG212" s="1262"/>
      <c r="BH212" s="1262"/>
      <c r="BI212" s="1262"/>
      <c r="BJ212" s="1217"/>
    </row>
    <row r="213" spans="1:63">
      <c r="B213" s="1235"/>
      <c r="C213" s="1266"/>
      <c r="D213" s="1266"/>
      <c r="E213" s="1266"/>
      <c r="F213" s="1266"/>
      <c r="G213" s="1266"/>
      <c r="H213" s="1267"/>
      <c r="I213" s="1267"/>
      <c r="J213" s="1267"/>
      <c r="K213" s="1267"/>
      <c r="L213" s="1267"/>
      <c r="M213" s="1267"/>
      <c r="N213" s="1267"/>
      <c r="O213" s="1267"/>
      <c r="P213" s="1267"/>
      <c r="Q213" s="1267"/>
      <c r="R213" s="1267"/>
      <c r="S213" s="1267"/>
      <c r="T213" s="1267"/>
      <c r="U213" s="1267"/>
      <c r="V213" s="1267"/>
      <c r="W213" s="1267"/>
      <c r="X213" s="1267"/>
      <c r="Y213" s="1267"/>
      <c r="Z213" s="1267"/>
      <c r="AA213" s="1267"/>
      <c r="AB213" s="1267"/>
      <c r="AC213" s="1267"/>
      <c r="AD213" s="1267"/>
      <c r="AE213" s="1267"/>
      <c r="AF213" s="1267"/>
      <c r="AG213" s="1267"/>
      <c r="AH213" s="1267"/>
      <c r="AI213" s="1267"/>
      <c r="AJ213" s="1267"/>
      <c r="AK213" s="1267"/>
      <c r="AL213" s="1267"/>
      <c r="AM213" s="1267"/>
      <c r="AN213" s="1267"/>
      <c r="AO213" s="1267"/>
      <c r="AP213" s="1267"/>
      <c r="AQ213" s="1267"/>
      <c r="AR213" s="1267"/>
      <c r="AS213" s="1267"/>
      <c r="AT213" s="1267"/>
      <c r="AU213" s="1267"/>
      <c r="AV213" s="1267"/>
      <c r="AW213" s="1267"/>
      <c r="AX213" s="1266"/>
      <c r="AY213" s="1266"/>
      <c r="AZ213" s="1266"/>
      <c r="BA213" s="1266"/>
      <c r="BB213" s="1266"/>
      <c r="BC213" s="1266"/>
      <c r="BD213" s="1266"/>
      <c r="BE213" s="1266"/>
      <c r="BF213" s="1266"/>
      <c r="BG213" s="1266"/>
      <c r="BH213" s="1266"/>
      <c r="BI213" s="1266"/>
      <c r="BJ213" s="1268"/>
    </row>
    <row r="214" spans="1:63" s="242" customFormat="1">
      <c r="B214" s="1235"/>
      <c r="C214" s="35"/>
      <c r="D214" s="35"/>
      <c r="E214" s="35"/>
      <c r="F214" s="35"/>
      <c r="G214" s="35"/>
      <c r="H214" s="1203"/>
      <c r="I214" s="1203"/>
      <c r="J214" s="1203"/>
      <c r="K214" s="1203"/>
      <c r="L214" s="1203"/>
      <c r="M214" s="1203"/>
      <c r="N214" s="1203"/>
      <c r="O214" s="1203"/>
      <c r="P214" s="1203"/>
      <c r="Q214" s="1203"/>
      <c r="R214" s="1203"/>
      <c r="S214" s="1203"/>
      <c r="T214" s="1203"/>
      <c r="U214" s="1203"/>
      <c r="V214" s="1203"/>
      <c r="W214" s="1203"/>
      <c r="X214" s="1203"/>
      <c r="Y214" s="1203"/>
      <c r="Z214" s="1203"/>
      <c r="AA214" s="1203"/>
      <c r="AB214" s="1203"/>
      <c r="AC214" s="1203"/>
      <c r="AD214" s="1203"/>
      <c r="AE214" s="1203"/>
      <c r="AF214" s="1203"/>
      <c r="AG214" s="1203"/>
      <c r="AH214" s="1203"/>
      <c r="AI214" s="1203"/>
      <c r="AJ214" s="1203"/>
      <c r="AK214" s="1203"/>
      <c r="AL214" s="1203"/>
      <c r="AM214" s="1203"/>
      <c r="AN214" s="1203"/>
      <c r="AO214" s="1203"/>
      <c r="AP214" s="1203"/>
      <c r="AQ214" s="1203"/>
      <c r="AR214" s="1203"/>
      <c r="AS214" s="1203"/>
      <c r="AT214" s="1203"/>
      <c r="AU214" s="1203"/>
      <c r="AV214" s="1203"/>
      <c r="AW214" s="1203"/>
      <c r="AX214" s="35"/>
      <c r="AY214" s="35"/>
      <c r="AZ214" s="35"/>
      <c r="BA214" s="35"/>
      <c r="BB214" s="35"/>
      <c r="BC214" s="35"/>
      <c r="BD214" s="35"/>
      <c r="BE214" s="35"/>
      <c r="BF214" s="35"/>
      <c r="BG214" s="35"/>
      <c r="BH214" s="35"/>
      <c r="BI214" s="35"/>
      <c r="BJ214" s="35"/>
    </row>
    <row r="215" spans="1:63" ht="22.5">
      <c r="A215" s="420"/>
      <c r="B215" s="1208" t="s">
        <v>1180</v>
      </c>
      <c r="C215" s="1209"/>
      <c r="D215" s="1209"/>
      <c r="E215" s="1209"/>
      <c r="F215" s="1209"/>
      <c r="G215" s="1209"/>
      <c r="H215" s="1210"/>
      <c r="I215" s="1210"/>
      <c r="J215" s="1210"/>
      <c r="K215" s="1210"/>
      <c r="L215" s="1210"/>
      <c r="M215" s="1210"/>
      <c r="N215" s="1210"/>
      <c r="O215" s="1210"/>
      <c r="P215" s="1210"/>
      <c r="Q215" s="1210"/>
      <c r="R215" s="1210"/>
      <c r="S215" s="1210"/>
      <c r="T215" s="1210"/>
      <c r="U215" s="1210"/>
      <c r="V215" s="1210"/>
      <c r="W215" s="1210"/>
      <c r="X215" s="1210"/>
      <c r="Y215" s="1210"/>
      <c r="Z215" s="1210"/>
      <c r="AA215" s="1210"/>
      <c r="AB215" s="1210"/>
      <c r="AC215" s="1210"/>
      <c r="AD215" s="1210"/>
      <c r="AE215" s="1210"/>
      <c r="AF215" s="1210"/>
      <c r="AG215" s="1210"/>
      <c r="AH215" s="1210"/>
      <c r="AI215" s="1210"/>
      <c r="AJ215" s="1210"/>
      <c r="AK215" s="1210"/>
      <c r="AL215" s="1210"/>
      <c r="AM215" s="1210"/>
      <c r="AN215" s="1210"/>
      <c r="AO215" s="1210"/>
      <c r="AP215" s="1210"/>
      <c r="AQ215" s="1210"/>
      <c r="AR215" s="1210"/>
      <c r="AS215" s="1210"/>
      <c r="AT215" s="1210"/>
      <c r="AU215" s="1210"/>
      <c r="AV215" s="1210"/>
      <c r="AW215" s="1210"/>
      <c r="AX215" s="1209"/>
      <c r="AY215" s="1209"/>
      <c r="AZ215" s="1209"/>
      <c r="BA215" s="1209"/>
      <c r="BB215" s="1209"/>
      <c r="BC215" s="1209"/>
      <c r="BD215" s="1209"/>
      <c r="BE215" s="1209"/>
      <c r="BF215" s="1209"/>
      <c r="BG215" s="1209"/>
      <c r="BH215" s="1209"/>
      <c r="BI215" s="1211"/>
      <c r="BJ215" s="1212"/>
    </row>
    <row r="216" spans="1:63">
      <c r="B216" s="35"/>
      <c r="C216" s="1214"/>
      <c r="D216" s="1214"/>
      <c r="E216" s="1214"/>
      <c r="F216" s="1214"/>
      <c r="G216" s="1214"/>
      <c r="H216" s="1215"/>
      <c r="I216" s="1215"/>
      <c r="J216" s="1215"/>
      <c r="K216" s="1215"/>
      <c r="L216" s="1215"/>
      <c r="M216" s="1215"/>
      <c r="N216" s="1215"/>
      <c r="O216" s="1215"/>
      <c r="P216" s="1215"/>
      <c r="Q216" s="1215"/>
      <c r="R216" s="1215"/>
      <c r="S216" s="1215"/>
      <c r="T216" s="1215"/>
      <c r="U216" s="1215"/>
      <c r="V216" s="1215"/>
      <c r="W216" s="1215"/>
      <c r="X216" s="1215"/>
      <c r="Y216" s="1215"/>
      <c r="Z216" s="1215"/>
      <c r="AA216" s="1215"/>
      <c r="AB216" s="1215"/>
      <c r="AC216" s="1215"/>
      <c r="AD216" s="1215"/>
      <c r="AE216" s="1215"/>
      <c r="AF216" s="1215"/>
      <c r="AG216" s="1215"/>
      <c r="AH216" s="1215"/>
      <c r="AI216" s="1215"/>
      <c r="AJ216" s="1215"/>
      <c r="AK216" s="1215"/>
      <c r="AL216" s="1215"/>
      <c r="AM216" s="1215"/>
      <c r="AN216" s="1215"/>
      <c r="AO216" s="1215"/>
      <c r="AP216" s="1215"/>
      <c r="AQ216" s="1215"/>
      <c r="AR216" s="1215"/>
      <c r="AS216" s="1215"/>
      <c r="AT216" s="1215"/>
      <c r="AU216" s="1215"/>
      <c r="AV216" s="1215"/>
      <c r="AW216" s="1215"/>
      <c r="AX216" s="1214"/>
      <c r="AY216" s="1214"/>
      <c r="AZ216" s="1214"/>
      <c r="BA216" s="1214"/>
      <c r="BB216" s="1214"/>
      <c r="BC216" s="1214"/>
      <c r="BD216" s="1214"/>
      <c r="BE216" s="1214"/>
      <c r="BF216" s="1214"/>
      <c r="BG216" s="1214"/>
      <c r="BH216" s="1214"/>
      <c r="BI216" s="1214"/>
      <c r="BJ216" s="1214"/>
    </row>
    <row r="217" spans="1:63" ht="15.75">
      <c r="B217" s="1208" t="s">
        <v>1181</v>
      </c>
      <c r="C217" s="1214"/>
      <c r="D217" s="1214"/>
      <c r="E217" s="1214"/>
      <c r="F217" s="1214"/>
      <c r="G217" s="1214"/>
      <c r="H217" s="1215"/>
      <c r="I217" s="1215"/>
      <c r="J217" s="1215"/>
      <c r="K217" s="1215"/>
      <c r="L217" s="1215"/>
      <c r="M217" s="1215"/>
      <c r="N217" s="1215"/>
      <c r="O217" s="1215"/>
      <c r="P217" s="1215"/>
      <c r="Q217" s="1215"/>
      <c r="R217" s="1215"/>
      <c r="S217" s="1215"/>
      <c r="T217" s="1215"/>
      <c r="U217" s="1215"/>
      <c r="V217" s="1215"/>
      <c r="W217" s="1215"/>
      <c r="X217" s="1215"/>
      <c r="Y217" s="1215"/>
      <c r="Z217" s="1215"/>
      <c r="AA217" s="1215"/>
      <c r="AB217" s="1215"/>
      <c r="AC217" s="1215"/>
      <c r="AD217" s="1215"/>
      <c r="AE217" s="1215"/>
      <c r="AF217" s="1215"/>
      <c r="AG217" s="1215"/>
      <c r="AH217" s="1215"/>
      <c r="AI217" s="1215"/>
      <c r="AJ217" s="1215"/>
      <c r="AK217" s="1215"/>
      <c r="AL217" s="1215"/>
      <c r="AM217" s="1215"/>
      <c r="AN217" s="1215"/>
      <c r="AO217" s="1215"/>
      <c r="AP217" s="1215"/>
      <c r="AQ217" s="1215"/>
      <c r="AR217" s="1215"/>
      <c r="AS217" s="1215"/>
      <c r="AT217" s="1215"/>
      <c r="AU217" s="1215"/>
      <c r="AV217" s="1215"/>
      <c r="AW217" s="1215"/>
      <c r="AX217" s="1214"/>
      <c r="AY217" s="1214"/>
      <c r="AZ217" s="1214"/>
      <c r="BA217" s="1214"/>
      <c r="BB217" s="1214"/>
      <c r="BC217" s="1214"/>
      <c r="BD217" s="1214"/>
      <c r="BE217" s="1214"/>
      <c r="BF217" s="1214"/>
      <c r="BG217" s="1214"/>
      <c r="BH217" s="1214"/>
      <c r="BI217" s="1214"/>
      <c r="BJ217" s="1214"/>
    </row>
    <row r="218" spans="1:63">
      <c r="B218" s="1214"/>
      <c r="C218" s="1214"/>
      <c r="D218" s="1214"/>
      <c r="E218" s="1214"/>
      <c r="F218" s="1214"/>
      <c r="G218" s="1214"/>
      <c r="H218" s="1215"/>
      <c r="I218" s="1215"/>
      <c r="J218" s="1215"/>
      <c r="K218" s="1215"/>
      <c r="L218" s="1215"/>
      <c r="M218" s="1215"/>
      <c r="N218" s="1215"/>
      <c r="O218" s="1215"/>
      <c r="P218" s="1215"/>
      <c r="Q218" s="1215"/>
      <c r="R218" s="1215"/>
      <c r="S218" s="1215"/>
      <c r="T218" s="1215"/>
      <c r="U218" s="1215"/>
      <c r="V218" s="1215"/>
      <c r="W218" s="1215"/>
      <c r="X218" s="1215"/>
      <c r="Y218" s="1215"/>
      <c r="Z218" s="1215"/>
      <c r="AA218" s="1215"/>
      <c r="AB218" s="1215"/>
      <c r="AC218" s="1215"/>
      <c r="AD218" s="1215"/>
      <c r="AE218" s="1215"/>
      <c r="AF218" s="1215"/>
      <c r="AG218" s="1215"/>
      <c r="AH218" s="1215"/>
      <c r="AI218" s="1215"/>
      <c r="AJ218" s="1215"/>
      <c r="AK218" s="1215"/>
      <c r="AL218" s="1215"/>
      <c r="AM218" s="1215"/>
      <c r="AN218" s="1215"/>
      <c r="AO218" s="1215"/>
      <c r="AP218" s="1215"/>
      <c r="AQ218" s="1215"/>
      <c r="AR218" s="1215"/>
      <c r="AS218" s="1215"/>
      <c r="AT218" s="1215"/>
      <c r="AU218" s="1215"/>
      <c r="AV218" s="1215"/>
      <c r="AW218" s="1215"/>
      <c r="AX218" s="1214"/>
      <c r="AY218" s="1214"/>
      <c r="AZ218" s="1214"/>
      <c r="BA218" s="1214"/>
      <c r="BB218" s="1214"/>
      <c r="BC218" s="1214"/>
      <c r="BD218" s="1214"/>
      <c r="BE218" s="1214"/>
      <c r="BF218" s="1214"/>
      <c r="BG218" s="1214"/>
      <c r="BH218" s="1214"/>
      <c r="BI218" s="1214"/>
      <c r="BJ218" s="1214"/>
    </row>
    <row r="219" spans="1:63">
      <c r="B219" s="1220"/>
      <c r="C219" s="1236" t="s">
        <v>32</v>
      </c>
      <c r="D219" s="1214"/>
      <c r="E219" s="1214"/>
      <c r="F219" s="1214"/>
      <c r="G219" s="1214"/>
      <c r="H219" s="1215"/>
      <c r="I219" s="1215"/>
      <c r="J219" s="1215"/>
      <c r="K219" s="1215"/>
      <c r="L219" s="1215"/>
      <c r="M219" s="1215"/>
      <c r="N219" s="1215"/>
      <c r="O219" s="1215"/>
      <c r="P219" s="1215"/>
      <c r="Q219" s="1215"/>
      <c r="R219" s="1215"/>
      <c r="S219" s="1215"/>
      <c r="T219" s="1215"/>
      <c r="U219" s="1215"/>
      <c r="V219" s="1215"/>
      <c r="W219" s="1215"/>
      <c r="X219" s="1215"/>
      <c r="Y219" s="1215"/>
      <c r="Z219" s="1215"/>
      <c r="AA219" s="1215"/>
      <c r="AB219" s="1215"/>
      <c r="AC219" s="1215"/>
      <c r="AD219" s="1215"/>
      <c r="AE219" s="1215"/>
      <c r="AF219" s="1215"/>
      <c r="AG219" s="1215"/>
      <c r="AH219" s="1215"/>
      <c r="AI219" s="1215"/>
      <c r="AJ219" s="1215"/>
      <c r="AK219" s="1215"/>
      <c r="AL219" s="1215"/>
      <c r="AM219" s="1215"/>
      <c r="AN219" s="1215"/>
      <c r="AO219" s="1215"/>
      <c r="AP219" s="1215"/>
      <c r="AQ219" s="1215"/>
      <c r="AR219" s="1215"/>
      <c r="AS219" s="1215"/>
      <c r="AT219" s="1215"/>
      <c r="AU219" s="1215"/>
      <c r="AV219" s="1215"/>
      <c r="AW219" s="1215"/>
      <c r="AX219" s="1214"/>
      <c r="AY219" s="2405">
        <v>2007</v>
      </c>
      <c r="AZ219" s="2405"/>
      <c r="BA219" s="2405">
        <f>AY219+5</f>
        <v>2012</v>
      </c>
      <c r="BB219" s="2405">
        <f t="shared" ref="BB219:BI219" si="58">BA219+5</f>
        <v>2017</v>
      </c>
      <c r="BC219" s="2405">
        <f t="shared" si="58"/>
        <v>2022</v>
      </c>
      <c r="BD219" s="2405">
        <f t="shared" si="58"/>
        <v>2027</v>
      </c>
      <c r="BE219" s="2405">
        <f t="shared" si="58"/>
        <v>2032</v>
      </c>
      <c r="BF219" s="2405">
        <f t="shared" si="58"/>
        <v>2037</v>
      </c>
      <c r="BG219" s="2405">
        <f t="shared" si="58"/>
        <v>2042</v>
      </c>
      <c r="BH219" s="2405">
        <f t="shared" si="58"/>
        <v>2047</v>
      </c>
      <c r="BI219" s="2405">
        <f t="shared" si="58"/>
        <v>2052</v>
      </c>
      <c r="BJ219" s="1214"/>
    </row>
    <row r="220" spans="1:63">
      <c r="B220" s="1214"/>
      <c r="C220" s="1269" t="s">
        <v>304</v>
      </c>
      <c r="D220" s="1269" t="s">
        <v>36</v>
      </c>
      <c r="E220" s="166" t="str">
        <f>INDEX(Vectors[Description],MATCH($D220,Vectors[Code],0))</f>
        <v>Solid hydrocarbons</v>
      </c>
      <c r="F220" s="1270"/>
      <c r="G220" s="1270"/>
      <c r="H220" s="1271"/>
      <c r="I220" s="1271"/>
      <c r="J220" s="1271"/>
      <c r="K220" s="1271"/>
      <c r="L220" s="1271"/>
      <c r="M220" s="1271"/>
      <c r="N220" s="1271"/>
      <c r="O220" s="1271"/>
      <c r="P220" s="1271"/>
      <c r="Q220" s="1271"/>
      <c r="R220" s="1271"/>
      <c r="S220" s="1271"/>
      <c r="T220" s="1271"/>
      <c r="U220" s="1271"/>
      <c r="V220" s="1271"/>
      <c r="W220" s="1271"/>
      <c r="X220" s="1271"/>
      <c r="Y220" s="1271"/>
      <c r="Z220" s="1271"/>
      <c r="AA220" s="1271"/>
      <c r="AB220" s="1271"/>
      <c r="AC220" s="1271"/>
      <c r="AD220" s="1271"/>
      <c r="AE220" s="1271"/>
      <c r="AF220" s="1271"/>
      <c r="AG220" s="1271"/>
      <c r="AH220" s="1271"/>
      <c r="AI220" s="1271"/>
      <c r="AJ220" s="1271">
        <f>11.2811*Unit.TWh</f>
        <v>11.2811</v>
      </c>
      <c r="AK220" s="1271">
        <f>11.5128859*Unit.TWh</f>
        <v>11.512885900000001</v>
      </c>
      <c r="AL220" s="1271">
        <f>9.9829594*Unit.TWh</f>
        <v>9.9829594000000004</v>
      </c>
      <c r="AM220" s="1271">
        <f>10.7253023*Unit.TWh</f>
        <v>10.725302299999999</v>
      </c>
      <c r="AN220" s="1271">
        <f>11.7831671*Unit.TWh</f>
        <v>11.7831671</v>
      </c>
      <c r="AO220" s="1271">
        <f>11.9234249*Unit.TWh</f>
        <v>11.923424900000001</v>
      </c>
      <c r="AP220" s="1271">
        <f>8.2292717*Unit.TWh</f>
        <v>8.2292717</v>
      </c>
      <c r="AQ220" s="1271">
        <f>13.56519449*Unit.TWh</f>
        <v>13.56519449</v>
      </c>
      <c r="AR220" s="1271">
        <f>13.10799238*Unit.TWh</f>
        <v>13.107992380000001</v>
      </c>
      <c r="AS220" s="1271">
        <f>14.11044992*Unit.TWh</f>
        <v>14.110449920000001</v>
      </c>
      <c r="AT220" s="1271">
        <f>15.68101481*Unit.TWh</f>
        <v>15.681014810000001</v>
      </c>
      <c r="AU220" s="1271">
        <f>18.7866056*Unit.TWh</f>
        <v>18.786605600000001</v>
      </c>
      <c r="AV220" s="1271">
        <f>19.95985165*Unit.TWh</f>
        <v>19.959851650000001</v>
      </c>
      <c r="AW220" s="1271" t="s">
        <v>1182</v>
      </c>
      <c r="AX220" s="1272"/>
      <c r="AY220" s="1273"/>
      <c r="AZ220" s="1273"/>
      <c r="BA220" s="1273"/>
      <c r="BB220" s="1273"/>
      <c r="BC220" s="1273"/>
      <c r="BD220" s="1273"/>
      <c r="BE220" s="1273"/>
      <c r="BF220" s="1273"/>
      <c r="BG220" s="1273"/>
      <c r="BH220" s="1273"/>
      <c r="BI220" s="1273"/>
      <c r="BJ220" s="1214"/>
    </row>
    <row r="221" spans="1:63">
      <c r="B221" s="1214"/>
      <c r="C221" s="1269" t="s">
        <v>304</v>
      </c>
      <c r="D221" s="1269" t="s">
        <v>38</v>
      </c>
      <c r="E221" s="166" t="str">
        <f>INDEX(Vectors[Description],MATCH($D221,Vectors[Code],0))</f>
        <v>Liquid hydrocarbons</v>
      </c>
      <c r="F221" s="1270"/>
      <c r="G221" s="1270"/>
      <c r="H221" s="1271"/>
      <c r="I221" s="1271"/>
      <c r="J221" s="1271"/>
      <c r="K221" s="1271"/>
      <c r="L221" s="1271"/>
      <c r="M221" s="1271"/>
      <c r="N221" s="1271"/>
      <c r="O221" s="1271"/>
      <c r="P221" s="1271"/>
      <c r="Q221" s="1271"/>
      <c r="R221" s="1271"/>
      <c r="S221" s="1271"/>
      <c r="T221" s="1271"/>
      <c r="U221" s="1271"/>
      <c r="V221" s="1271"/>
      <c r="W221" s="1271"/>
      <c r="X221" s="1271"/>
      <c r="Y221" s="1271"/>
      <c r="Z221" s="1271"/>
      <c r="AA221" s="1271"/>
      <c r="AB221" s="1271"/>
      <c r="AC221" s="1271"/>
      <c r="AD221" s="1271"/>
      <c r="AE221" s="1271"/>
      <c r="AF221" s="1271"/>
      <c r="AG221" s="1271"/>
      <c r="AH221" s="1271"/>
      <c r="AI221" s="1271"/>
      <c r="AJ221" s="1271">
        <f t="shared" ref="AJ221:AP221" si="59">0*Unit.TWh</f>
        <v>0</v>
      </c>
      <c r="AK221" s="1271">
        <f t="shared" si="59"/>
        <v>0</v>
      </c>
      <c r="AL221" s="1271">
        <f t="shared" si="59"/>
        <v>0</v>
      </c>
      <c r="AM221" s="1271">
        <f t="shared" si="59"/>
        <v>0</v>
      </c>
      <c r="AN221" s="1271">
        <f t="shared" si="59"/>
        <v>0</v>
      </c>
      <c r="AO221" s="1271">
        <f t="shared" si="59"/>
        <v>0</v>
      </c>
      <c r="AP221" s="1271">
        <f t="shared" si="59"/>
        <v>0</v>
      </c>
      <c r="AQ221" s="1271">
        <f>0.09313615*Unit.TWh</f>
        <v>9.3136150000000001E-2</v>
      </c>
      <c r="AR221" s="1271">
        <f>2.691796244*Unit.TWh</f>
        <v>2.6917962439999998</v>
      </c>
      <c r="AS221" s="1271">
        <f>4.599912358*Unit.TWh</f>
        <v>4.5999123580000001</v>
      </c>
      <c r="AT221" s="1271">
        <f>3.516727083*Unit.TWh</f>
        <v>3.5167270830000001</v>
      </c>
      <c r="AU221" s="1271">
        <f>2.629156279*Unit.TWh</f>
        <v>2.629156279</v>
      </c>
      <c r="AV221" s="1271">
        <f>3.539047787*Unit.TWh</f>
        <v>3.5390477869999999</v>
      </c>
      <c r="AW221" s="1271" t="s">
        <v>1183</v>
      </c>
      <c r="AX221" s="1272"/>
      <c r="AY221" s="1273"/>
      <c r="AZ221" s="1273"/>
      <c r="BA221" s="1273"/>
      <c r="BB221" s="1273"/>
      <c r="BC221" s="1273"/>
      <c r="BD221" s="1273"/>
      <c r="BE221" s="1273"/>
      <c r="BF221" s="1273"/>
      <c r="BG221" s="1273"/>
      <c r="BH221" s="1273"/>
      <c r="BI221" s="1273"/>
      <c r="BJ221" s="1214"/>
    </row>
    <row r="222" spans="1:63">
      <c r="B222" s="1214"/>
      <c r="C222" s="1269" t="s">
        <v>304</v>
      </c>
      <c r="D222" s="1269" t="s">
        <v>39</v>
      </c>
      <c r="E222" s="166" t="str">
        <f>INDEX(Vectors[Description],MATCH($D222,Vectors[Code],0))</f>
        <v>Gaseous hydrocarbons</v>
      </c>
      <c r="F222" s="1270"/>
      <c r="G222" s="1270"/>
      <c r="H222" s="1271"/>
      <c r="I222" s="1271"/>
      <c r="J222" s="1271"/>
      <c r="K222" s="1271"/>
      <c r="L222" s="1271"/>
      <c r="M222" s="1271"/>
      <c r="N222" s="1271"/>
      <c r="O222" s="1271"/>
      <c r="P222" s="1271"/>
      <c r="Q222" s="1271"/>
      <c r="R222" s="1271"/>
      <c r="S222" s="1271"/>
      <c r="T222" s="1271"/>
      <c r="U222" s="1271"/>
      <c r="V222" s="1271"/>
      <c r="W222" s="1271"/>
      <c r="X222" s="1271"/>
      <c r="Y222" s="1271"/>
      <c r="Z222" s="1271"/>
      <c r="AA222" s="1271"/>
      <c r="AB222" s="1271"/>
      <c r="AC222" s="1271"/>
      <c r="AD222" s="1271"/>
      <c r="AE222" s="1271"/>
      <c r="AF222" s="1271"/>
      <c r="AG222" s="1271"/>
      <c r="AH222" s="1271"/>
      <c r="AI222" s="1271"/>
      <c r="AJ222" s="1271">
        <f>4.679912*Unit.TWh</f>
        <v>4.6799119999999998</v>
      </c>
      <c r="AK222" s="1271">
        <f>6.65236*Unit.TWh</f>
        <v>6.6523599999999998</v>
      </c>
      <c r="AL222" s="1271">
        <f>8.5030419*Unit.TWh</f>
        <v>8.5030418999999995</v>
      </c>
      <c r="AM222" s="1271">
        <f>9.7205866*Unit.TWh</f>
        <v>9.7205866000000007</v>
      </c>
      <c r="AN222" s="1271">
        <f>10.375123*Unit.TWh</f>
        <v>10.375123</v>
      </c>
      <c r="AO222" s="1271">
        <f>12.654603*Unit.TWh</f>
        <v>12.654603</v>
      </c>
      <c r="AP222" s="1271">
        <f>17.4844257*Unit.TWh</f>
        <v>17.484425699999999</v>
      </c>
      <c r="AQ222" s="1271">
        <f>18.91593462*Unit.TWh</f>
        <v>18.915934620000002</v>
      </c>
      <c r="AR222" s="1271">
        <f>19.24482717*Unit.TWh</f>
        <v>19.244827170000001</v>
      </c>
      <c r="AS222" s="1271">
        <f>20.29461125*Unit.TWh</f>
        <v>20.294611249999999</v>
      </c>
      <c r="AT222" s="1271">
        <f>20.91263605*Unit.TWh</f>
        <v>20.91263605</v>
      </c>
      <c r="AU222" s="1271">
        <f>21.92331406*Unit.TWh</f>
        <v>21.923314059999999</v>
      </c>
      <c r="AV222" s="1271">
        <f>22.89564828*Unit.TWh</f>
        <v>22.89564828</v>
      </c>
      <c r="AW222" s="1271" t="s">
        <v>1184</v>
      </c>
      <c r="AX222" s="1272"/>
      <c r="AY222" s="1273">
        <f t="shared" ref="AY222:BI222" ca="1" si="60">IFERROR(INDEX(INDIRECT($C222&amp;".Outputs["&amp;AY$4&amp;"]"),MATCH($D222,INDIRECT($C222&amp;".Outputs[Vector]"),0)),"na")</f>
        <v>9.1777777777777771</v>
      </c>
      <c r="AZ222" s="1273"/>
      <c r="BA222" s="1273">
        <f t="shared" ca="1" si="60"/>
        <v>10.305777777777783</v>
      </c>
      <c r="BB222" s="1273">
        <f t="shared" ca="1" si="60"/>
        <v>11.346016666666671</v>
      </c>
      <c r="BC222" s="1273">
        <f t="shared" ca="1" si="60"/>
        <v>12.386255555555559</v>
      </c>
      <c r="BD222" s="1273">
        <f t="shared" ca="1" si="60"/>
        <v>13.426494444444447</v>
      </c>
      <c r="BE222" s="1273">
        <f t="shared" ca="1" si="60"/>
        <v>14.466733333333337</v>
      </c>
      <c r="BF222" s="1273">
        <f t="shared" ca="1" si="60"/>
        <v>14.832036478670412</v>
      </c>
      <c r="BG222" s="1273">
        <f t="shared" ca="1" si="60"/>
        <v>15.206563986198885</v>
      </c>
      <c r="BH222" s="1273">
        <f t="shared" ca="1" si="60"/>
        <v>15.590548782623422</v>
      </c>
      <c r="BI222" s="1273">
        <f t="shared" ca="1" si="60"/>
        <v>15.984229676339865</v>
      </c>
      <c r="BJ222" s="1214"/>
    </row>
    <row r="223" spans="1:63">
      <c r="B223" s="1214"/>
      <c r="C223" s="1272"/>
      <c r="D223" s="1272"/>
      <c r="E223" s="1272"/>
      <c r="F223" s="1272"/>
      <c r="G223" s="1272"/>
      <c r="H223" s="1215"/>
      <c r="I223" s="1215"/>
      <c r="J223" s="1215"/>
      <c r="K223" s="1215"/>
      <c r="L223" s="1215"/>
      <c r="M223" s="1215"/>
      <c r="N223" s="1215"/>
      <c r="O223" s="1215"/>
      <c r="P223" s="1215"/>
      <c r="Q223" s="1215"/>
      <c r="R223" s="1215"/>
      <c r="S223" s="1215"/>
      <c r="T223" s="1215"/>
      <c r="U223" s="1215"/>
      <c r="V223" s="1215"/>
      <c r="W223" s="1215"/>
      <c r="X223" s="1215"/>
      <c r="Y223" s="1215"/>
      <c r="Z223" s="1215"/>
      <c r="AA223" s="1215"/>
      <c r="AB223" s="1215"/>
      <c r="AC223" s="1215"/>
      <c r="AD223" s="1215"/>
      <c r="AE223" s="1215"/>
      <c r="AF223" s="1215"/>
      <c r="AG223" s="1215"/>
      <c r="AH223" s="1215"/>
      <c r="AI223" s="1215"/>
      <c r="AJ223" s="1215"/>
      <c r="AK223" s="1215"/>
      <c r="AL223" s="1215"/>
      <c r="AM223" s="1215"/>
      <c r="AN223" s="1215"/>
      <c r="AO223" s="1215"/>
      <c r="AP223" s="1215"/>
      <c r="AQ223" s="1215"/>
      <c r="AR223" s="1215"/>
      <c r="AS223" s="1215"/>
      <c r="AT223" s="1215"/>
      <c r="AU223" s="1215"/>
      <c r="AV223" s="1215"/>
      <c r="AW223" s="1215"/>
      <c r="AX223" s="1272"/>
      <c r="AY223" s="1272"/>
      <c r="AZ223" s="1272"/>
      <c r="BA223" s="1272"/>
      <c r="BB223" s="1272"/>
      <c r="BC223" s="1272"/>
      <c r="BD223" s="1272"/>
      <c r="BE223" s="1272"/>
      <c r="BF223" s="1272"/>
      <c r="BG223" s="1272"/>
      <c r="BH223" s="1272"/>
      <c r="BI223" s="1272"/>
      <c r="BJ223" s="1214"/>
    </row>
    <row r="224" spans="1:63">
      <c r="B224" s="1214"/>
      <c r="C224" s="1274" t="s">
        <v>32</v>
      </c>
      <c r="D224" s="1272"/>
      <c r="E224" s="1272"/>
      <c r="F224" s="1272"/>
      <c r="G224" s="1272"/>
      <c r="H224" s="1215"/>
      <c r="I224" s="1215"/>
      <c r="J224" s="1215"/>
      <c r="K224" s="1215"/>
      <c r="L224" s="1215"/>
      <c r="M224" s="1215"/>
      <c r="N224" s="1215"/>
      <c r="O224" s="1215"/>
      <c r="P224" s="1215"/>
      <c r="Q224" s="1215"/>
      <c r="R224" s="1215"/>
      <c r="S224" s="1215"/>
      <c r="T224" s="1215"/>
      <c r="U224" s="1215"/>
      <c r="V224" s="1215"/>
      <c r="W224" s="1215"/>
      <c r="X224" s="1215"/>
      <c r="Y224" s="1215"/>
      <c r="Z224" s="1215"/>
      <c r="AA224" s="1215"/>
      <c r="AB224" s="1215"/>
      <c r="AC224" s="1215"/>
      <c r="AD224" s="1215"/>
      <c r="AE224" s="1215"/>
      <c r="AF224" s="1215"/>
      <c r="AG224" s="1215"/>
      <c r="AH224" s="1215"/>
      <c r="AI224" s="1215"/>
      <c r="AJ224" s="1215"/>
      <c r="AK224" s="1215"/>
      <c r="AL224" s="1215"/>
      <c r="AM224" s="1215"/>
      <c r="AN224" s="1215"/>
      <c r="AO224" s="1215"/>
      <c r="AP224" s="1215"/>
      <c r="AQ224" s="1215"/>
      <c r="AR224" s="1215"/>
      <c r="AS224" s="1215"/>
      <c r="AT224" s="1215"/>
      <c r="AU224" s="1215"/>
      <c r="AV224" s="1215"/>
      <c r="AW224" s="1215"/>
      <c r="AX224" s="1272"/>
      <c r="AY224" s="1272"/>
      <c r="AZ224" s="1272"/>
      <c r="BA224" s="1272"/>
      <c r="BB224" s="1272"/>
      <c r="BC224" s="1272"/>
      <c r="BD224" s="1272"/>
      <c r="BE224" s="1272"/>
      <c r="BF224" s="1272"/>
      <c r="BG224" s="1272"/>
      <c r="BH224" s="1272"/>
      <c r="BI224" s="1272"/>
      <c r="BJ224" s="1214"/>
    </row>
    <row r="225" spans="2:62">
      <c r="B225" s="1214"/>
      <c r="C225" s="1269" t="s">
        <v>432</v>
      </c>
      <c r="D225" s="1269" t="s">
        <v>36</v>
      </c>
      <c r="E225" s="1214" t="s">
        <v>49</v>
      </c>
      <c r="F225" s="1270"/>
      <c r="G225" s="1270"/>
      <c r="H225" s="1271"/>
      <c r="I225" s="1271"/>
      <c r="J225" s="1271"/>
      <c r="K225" s="1271"/>
      <c r="L225" s="1271"/>
      <c r="M225" s="1271"/>
      <c r="N225" s="1271"/>
      <c r="O225" s="1271"/>
      <c r="P225" s="1271"/>
      <c r="Q225" s="1271"/>
      <c r="R225" s="1271"/>
      <c r="S225" s="1271"/>
      <c r="T225" s="1271"/>
      <c r="U225" s="1271"/>
      <c r="V225" s="1271"/>
      <c r="W225" s="1271"/>
      <c r="X225" s="1271"/>
      <c r="Y225" s="1271"/>
      <c r="Z225" s="1271"/>
      <c r="AA225" s="1271"/>
      <c r="AB225" s="1271"/>
      <c r="AC225" s="1271"/>
      <c r="AD225" s="1271"/>
      <c r="AE225" s="1271"/>
      <c r="AF225" s="1271"/>
      <c r="AG225" s="1271"/>
      <c r="AH225" s="1271"/>
      <c r="AI225" s="1271"/>
      <c r="AJ225" s="1271">
        <f t="shared" ref="AJ225:AN227" si="61">0*Unit.TWh</f>
        <v>0</v>
      </c>
      <c r="AK225" s="1271">
        <f t="shared" si="61"/>
        <v>0</v>
      </c>
      <c r="AL225" s="1271">
        <f t="shared" si="61"/>
        <v>0</v>
      </c>
      <c r="AM225" s="1271">
        <f t="shared" si="61"/>
        <v>0</v>
      </c>
      <c r="AN225" s="1271">
        <f t="shared" si="61"/>
        <v>0</v>
      </c>
      <c r="AO225" s="1271">
        <f>1.2843009*Unit.TWh</f>
        <v>1.2843009000000001</v>
      </c>
      <c r="AP225" s="1271">
        <f>4.67526*Unit.TWh</f>
        <v>4.6752599999999997</v>
      </c>
      <c r="AQ225" s="1271">
        <f>4.89331583*Unit.TWh</f>
        <v>4.8933158299999997</v>
      </c>
      <c r="AR225" s="1271">
        <f>5.78000326*Unit.TWh</f>
        <v>5.78000326</v>
      </c>
      <c r="AS225" s="1271">
        <f>4.398455251*Unit.TWh</f>
        <v>4.3984552509999997</v>
      </c>
      <c r="AT225" s="1271">
        <f>5.033138643*Unit.TWh</f>
        <v>5.033138643</v>
      </c>
      <c r="AU225" s="1271">
        <f>4.917245238*Unit.TWh</f>
        <v>4.9172452379999996</v>
      </c>
      <c r="AV225" s="1271">
        <f>8.756573386*Unit.TWh</f>
        <v>8.7565733859999995</v>
      </c>
      <c r="AW225" s="1271" t="s">
        <v>1185</v>
      </c>
      <c r="AX225" s="1272"/>
      <c r="AY225" s="1273"/>
      <c r="AZ225" s="1273"/>
      <c r="BA225" s="1273"/>
      <c r="BB225" s="1273"/>
      <c r="BC225" s="1273"/>
      <c r="BD225" s="1273"/>
      <c r="BE225" s="1273"/>
      <c r="BF225" s="1273"/>
      <c r="BG225" s="1273"/>
      <c r="BH225" s="1273"/>
      <c r="BI225" s="1273"/>
      <c r="BJ225" s="1214"/>
    </row>
    <row r="226" spans="2:62">
      <c r="B226" s="1214"/>
      <c r="C226" s="1269" t="s">
        <v>432</v>
      </c>
      <c r="D226" s="1269" t="s">
        <v>38</v>
      </c>
      <c r="E226" s="1214" t="s">
        <v>50</v>
      </c>
      <c r="F226" s="1270"/>
      <c r="G226" s="1270"/>
      <c r="H226" s="1271"/>
      <c r="I226" s="1271"/>
      <c r="J226" s="1271"/>
      <c r="K226" s="1271"/>
      <c r="L226" s="1271"/>
      <c r="M226" s="1271"/>
      <c r="N226" s="1271"/>
      <c r="O226" s="1271"/>
      <c r="P226" s="1271"/>
      <c r="Q226" s="1271"/>
      <c r="R226" s="1271"/>
      <c r="S226" s="1271"/>
      <c r="T226" s="1271"/>
      <c r="U226" s="1271"/>
      <c r="V226" s="1271"/>
      <c r="W226" s="1271"/>
      <c r="X226" s="1271"/>
      <c r="Y226" s="1271"/>
      <c r="Z226" s="1271"/>
      <c r="AA226" s="1271"/>
      <c r="AB226" s="1271"/>
      <c r="AC226" s="1271"/>
      <c r="AD226" s="1271"/>
      <c r="AE226" s="1271"/>
      <c r="AF226" s="1271"/>
      <c r="AG226" s="1271"/>
      <c r="AH226" s="1271"/>
      <c r="AI226" s="1271"/>
      <c r="AJ226" s="1271">
        <f t="shared" si="61"/>
        <v>0</v>
      </c>
      <c r="AK226" s="1271">
        <f t="shared" si="61"/>
        <v>0</v>
      </c>
      <c r="AL226" s="1271">
        <f t="shared" si="61"/>
        <v>0</v>
      </c>
      <c r="AM226" s="1271">
        <f t="shared" si="61"/>
        <v>0</v>
      </c>
      <c r="AN226" s="1271">
        <f t="shared" si="61"/>
        <v>0</v>
      </c>
      <c r="AO226" s="1271">
        <f>0*Unit.TWh</f>
        <v>0</v>
      </c>
      <c r="AP226" s="1271">
        <f>0*Unit.TWh</f>
        <v>0</v>
      </c>
      <c r="AQ226" s="1271">
        <f>0.768079488*Unit.TWh</f>
        <v>0.76807948800000003</v>
      </c>
      <c r="AR226" s="1271">
        <f>0.621433135*Unit.TWh</f>
        <v>0.62143313499999997</v>
      </c>
      <c r="AS226" s="1271">
        <f>0.883831113*Unit.TWh</f>
        <v>0.88383111299999995</v>
      </c>
      <c r="AT226" s="1271">
        <f>6.362225731*Unit.TWh</f>
        <v>6.3622257309999997</v>
      </c>
      <c r="AU226" s="1271">
        <f>9.448472566*Unit.TWh</f>
        <v>9.4484725659999995</v>
      </c>
      <c r="AV226" s="1271">
        <f>11.52719409*Unit.TWh</f>
        <v>11.52719409</v>
      </c>
      <c r="AW226" s="1271" t="s">
        <v>1186</v>
      </c>
      <c r="AX226" s="1272"/>
      <c r="AY226" s="1273">
        <f t="shared" ref="AY226:BI226" ca="1" si="62">IFERROR(INDEX(INDIRECT($C226&amp;".Outputs["&amp;AY$4&amp;"]"),MATCH($D226,INDIRECT($C226&amp;".Outputs[Vector]"),0)),"na")</f>
        <v>0</v>
      </c>
      <c r="AZ226" s="1273"/>
      <c r="BA226" s="1273">
        <f t="shared" ca="1" si="62"/>
        <v>0.13142242804166665</v>
      </c>
      <c r="BB226" s="1273">
        <f t="shared" ca="1" si="62"/>
        <v>3.0140876139388606</v>
      </c>
      <c r="BC226" s="1273">
        <f t="shared" ca="1" si="62"/>
        <v>6.6403498055675261</v>
      </c>
      <c r="BD226" s="1273">
        <f t="shared" ca="1" si="62"/>
        <v>11.174550655547504</v>
      </c>
      <c r="BE226" s="1273">
        <f t="shared" ca="1" si="62"/>
        <v>16.858011722794185</v>
      </c>
      <c r="BF226" s="1273">
        <f t="shared" ca="1" si="62"/>
        <v>23.81237420320716</v>
      </c>
      <c r="BG226" s="1273">
        <f t="shared" ca="1" si="62"/>
        <v>32.28279205089418</v>
      </c>
      <c r="BH226" s="1273">
        <f t="shared" ca="1" si="62"/>
        <v>42.443260246537498</v>
      </c>
      <c r="BI226" s="1273">
        <f t="shared" ca="1" si="62"/>
        <v>54.656933937500007</v>
      </c>
      <c r="BJ226" s="1214"/>
    </row>
    <row r="227" spans="2:62">
      <c r="B227" s="1214"/>
      <c r="C227" s="1269" t="s">
        <v>432</v>
      </c>
      <c r="D227" s="1269" t="s">
        <v>39</v>
      </c>
      <c r="E227" s="1214" t="s">
        <v>163</v>
      </c>
      <c r="F227" s="1270"/>
      <c r="G227" s="1270"/>
      <c r="H227" s="1271"/>
      <c r="I227" s="1271"/>
      <c r="J227" s="1271"/>
      <c r="K227" s="1271"/>
      <c r="L227" s="1271"/>
      <c r="M227" s="1271"/>
      <c r="N227" s="1271"/>
      <c r="O227" s="1271"/>
      <c r="P227" s="1271"/>
      <c r="Q227" s="1271"/>
      <c r="R227" s="1271"/>
      <c r="S227" s="1271"/>
      <c r="T227" s="1271"/>
      <c r="U227" s="1271"/>
      <c r="V227" s="1271"/>
      <c r="W227" s="1271"/>
      <c r="X227" s="1271"/>
      <c r="Y227" s="1271"/>
      <c r="Z227" s="1271"/>
      <c r="AA227" s="1271"/>
      <c r="AB227" s="1271"/>
      <c r="AC227" s="1271"/>
      <c r="AD227" s="1271"/>
      <c r="AE227" s="1271"/>
      <c r="AF227" s="1271"/>
      <c r="AG227" s="1271"/>
      <c r="AH227" s="1271"/>
      <c r="AI227" s="1271"/>
      <c r="AJ227" s="1271">
        <f t="shared" si="61"/>
        <v>0</v>
      </c>
      <c r="AK227" s="1271">
        <f t="shared" si="61"/>
        <v>0</v>
      </c>
      <c r="AL227" s="1271">
        <f t="shared" si="61"/>
        <v>0</v>
      </c>
      <c r="AM227" s="1271">
        <f t="shared" si="61"/>
        <v>0</v>
      </c>
      <c r="AN227" s="1271">
        <f t="shared" si="61"/>
        <v>0</v>
      </c>
      <c r="AO227" s="1271">
        <f>0*Unit.TWh</f>
        <v>0</v>
      </c>
      <c r="AP227" s="1271">
        <f>0*Unit.TWh</f>
        <v>0</v>
      </c>
      <c r="AQ227" s="1271">
        <f t="shared" ref="AQ227:AV227" si="63">0*Unit.TWh</f>
        <v>0</v>
      </c>
      <c r="AR227" s="1271">
        <f t="shared" si="63"/>
        <v>0</v>
      </c>
      <c r="AS227" s="1271">
        <f t="shared" si="63"/>
        <v>0</v>
      </c>
      <c r="AT227" s="1271">
        <f t="shared" si="63"/>
        <v>0</v>
      </c>
      <c r="AU227" s="1271">
        <f t="shared" si="63"/>
        <v>0</v>
      </c>
      <c r="AV227" s="1271">
        <f t="shared" si="63"/>
        <v>0</v>
      </c>
      <c r="AW227" s="1271" t="s">
        <v>1187</v>
      </c>
      <c r="AX227" s="1272"/>
      <c r="AY227" s="1273"/>
      <c r="AZ227" s="1273"/>
      <c r="BA227" s="1273"/>
      <c r="BB227" s="1273"/>
      <c r="BC227" s="1273"/>
      <c r="BD227" s="1273"/>
      <c r="BE227" s="1273"/>
      <c r="BF227" s="1273"/>
      <c r="BG227" s="1273"/>
      <c r="BH227" s="1273"/>
      <c r="BI227" s="1273"/>
      <c r="BJ227" s="1214"/>
    </row>
    <row r="228" spans="2:62">
      <c r="B228" s="1214"/>
      <c r="C228" s="1214"/>
      <c r="D228" s="1214"/>
      <c r="E228" s="1214"/>
      <c r="F228" s="1214"/>
      <c r="G228" s="1214"/>
      <c r="H228" s="1215"/>
      <c r="I228" s="1215"/>
      <c r="J228" s="1215"/>
      <c r="K228" s="1215"/>
      <c r="L228" s="1215"/>
      <c r="M228" s="1215"/>
      <c r="N228" s="1215"/>
      <c r="O228" s="1215"/>
      <c r="P228" s="1215"/>
      <c r="Q228" s="1215"/>
      <c r="R228" s="1215"/>
      <c r="S228" s="1215"/>
      <c r="T228" s="1215"/>
      <c r="U228" s="1215"/>
      <c r="V228" s="1215"/>
      <c r="W228" s="1215"/>
      <c r="X228" s="1215"/>
      <c r="Y228" s="1215"/>
      <c r="Z228" s="1215"/>
      <c r="AA228" s="1215"/>
      <c r="AB228" s="1215"/>
      <c r="AC228" s="1215"/>
      <c r="AD228" s="1215"/>
      <c r="AE228" s="1215"/>
      <c r="AF228" s="1215"/>
      <c r="AG228" s="1215"/>
      <c r="AH228" s="1215"/>
      <c r="AI228" s="1215"/>
      <c r="AJ228" s="1215"/>
      <c r="AK228" s="1215"/>
      <c r="AL228" s="1215"/>
      <c r="AM228" s="1215"/>
      <c r="AN228" s="1215"/>
      <c r="AO228" s="1215"/>
      <c r="AP228" s="1215"/>
      <c r="AQ228" s="1215"/>
      <c r="AR228" s="1215"/>
      <c r="AS228" s="1215"/>
      <c r="AT228" s="1215"/>
      <c r="AU228" s="1215"/>
      <c r="AV228" s="1215"/>
      <c r="AW228" s="1215"/>
      <c r="AX228" s="1214"/>
      <c r="AY228" s="1214"/>
      <c r="AZ228" s="1214"/>
      <c r="BA228" s="1214"/>
      <c r="BB228" s="1214"/>
      <c r="BC228" s="1214"/>
      <c r="BD228" s="1214"/>
      <c r="BE228" s="1214"/>
      <c r="BF228" s="1214"/>
      <c r="BG228" s="1214"/>
      <c r="BH228" s="1214"/>
      <c r="BI228" s="1214"/>
      <c r="BJ228" s="1214"/>
    </row>
    <row r="229" spans="2:62">
      <c r="B229" s="1214"/>
      <c r="C229" s="1236" t="s">
        <v>32</v>
      </c>
      <c r="D229" s="1214"/>
      <c r="E229" s="1214"/>
      <c r="F229" s="1214"/>
      <c r="G229" s="1214"/>
      <c r="H229" s="1215"/>
      <c r="I229" s="1215"/>
      <c r="J229" s="1215"/>
      <c r="K229" s="1215"/>
      <c r="L229" s="1215"/>
      <c r="M229" s="1215"/>
      <c r="N229" s="1215"/>
      <c r="O229" s="1215"/>
      <c r="P229" s="1215"/>
      <c r="Q229" s="1215"/>
      <c r="R229" s="1215"/>
      <c r="S229" s="1215"/>
      <c r="T229" s="1215"/>
      <c r="U229" s="1215"/>
      <c r="V229" s="1215"/>
      <c r="W229" s="1215"/>
      <c r="X229" s="1215"/>
      <c r="Y229" s="1215"/>
      <c r="Z229" s="1215"/>
      <c r="AA229" s="1215"/>
      <c r="AB229" s="1215"/>
      <c r="AC229" s="1215"/>
      <c r="AD229" s="1215"/>
      <c r="AE229" s="1215"/>
      <c r="AF229" s="1215"/>
      <c r="AG229" s="1215"/>
      <c r="AH229" s="1215"/>
      <c r="AI229" s="1215"/>
      <c r="AJ229" s="1215"/>
      <c r="AK229" s="1215"/>
      <c r="AL229" s="1215"/>
      <c r="AM229" s="1215"/>
      <c r="AN229" s="1215"/>
      <c r="AO229" s="1215"/>
      <c r="AP229" s="1215"/>
      <c r="AQ229" s="1215"/>
      <c r="AR229" s="1215"/>
      <c r="AS229" s="1215"/>
      <c r="AT229" s="1215"/>
      <c r="AU229" s="1215"/>
      <c r="AV229" s="1215"/>
      <c r="AW229" s="1215"/>
      <c r="AX229" s="1214"/>
      <c r="AY229" s="1214"/>
      <c r="AZ229" s="1214"/>
      <c r="BA229" s="1214"/>
      <c r="BB229" s="1214"/>
      <c r="BC229" s="1214"/>
      <c r="BD229" s="1214"/>
      <c r="BE229" s="1214"/>
      <c r="BF229" s="1214"/>
      <c r="BG229" s="1214"/>
      <c r="BH229" s="1214"/>
      <c r="BI229" s="1214"/>
      <c r="BJ229" s="1214"/>
    </row>
    <row r="230" spans="2:62">
      <c r="B230" s="1214"/>
      <c r="C230" s="1269" t="s">
        <v>2068</v>
      </c>
      <c r="D230" s="1269" t="s">
        <v>36</v>
      </c>
      <c r="E230" s="1214" t="s">
        <v>49</v>
      </c>
      <c r="F230" s="1270"/>
      <c r="G230" s="1270"/>
      <c r="H230" s="1271"/>
      <c r="I230" s="1271"/>
      <c r="J230" s="1271"/>
      <c r="K230" s="1271"/>
      <c r="L230" s="1271"/>
      <c r="M230" s="1271"/>
      <c r="N230" s="1271"/>
      <c r="O230" s="1271"/>
      <c r="P230" s="1271"/>
      <c r="Q230" s="1271"/>
      <c r="R230" s="1271"/>
      <c r="S230" s="1271"/>
      <c r="T230" s="1271"/>
      <c r="U230" s="1271"/>
      <c r="V230" s="1271"/>
      <c r="W230" s="1271"/>
      <c r="X230" s="1271"/>
      <c r="Y230" s="1271"/>
      <c r="Z230" s="1271"/>
      <c r="AA230" s="1271"/>
      <c r="AB230" s="1271"/>
      <c r="AC230" s="1271"/>
      <c r="AD230" s="1271"/>
      <c r="AE230" s="1271"/>
      <c r="AF230" s="1271"/>
      <c r="AG230" s="1271"/>
      <c r="AH230" s="1271"/>
      <c r="AI230" s="1271"/>
      <c r="AJ230" s="1271">
        <f>11.2811*Unit.TWh</f>
        <v>11.2811</v>
      </c>
      <c r="AK230" s="1271">
        <f>11.5128859*Unit.TWh</f>
        <v>11.512885900000001</v>
      </c>
      <c r="AL230" s="1271">
        <f>9.9829594*Unit.TWh</f>
        <v>9.9829594000000004</v>
      </c>
      <c r="AM230" s="1271">
        <f>10.7253023*Unit.TWh</f>
        <v>10.725302299999999</v>
      </c>
      <c r="AN230" s="1271">
        <f>11.7831671*Unit.TWh</f>
        <v>11.7831671</v>
      </c>
      <c r="AO230" s="1271">
        <f>13.2077258*Unit.TWh</f>
        <v>13.2077258</v>
      </c>
      <c r="AP230" s="1271">
        <f>12.9045317*Unit.TWh</f>
        <v>12.9045317</v>
      </c>
      <c r="AQ230" s="1271">
        <f>18.45851032*Unit.TWh</f>
        <v>18.458510319999998</v>
      </c>
      <c r="AR230" s="1271">
        <f>18.88799564*Unit.TWh</f>
        <v>18.88799564</v>
      </c>
      <c r="AS230" s="1271">
        <f>18.50890517*Unit.TWh</f>
        <v>18.508905169999998</v>
      </c>
      <c r="AT230" s="1271">
        <f>20.71415345*Unit.TWh</f>
        <v>20.714153450000001</v>
      </c>
      <c r="AU230" s="1271">
        <f>23.70385084*Unit.TWh</f>
        <v>23.703850840000001</v>
      </c>
      <c r="AV230" s="1271">
        <f>28.71642504*Unit.TWh</f>
        <v>28.716425040000001</v>
      </c>
      <c r="AW230" s="1271" t="s">
        <v>1179</v>
      </c>
      <c r="AX230" s="1214"/>
      <c r="AY230" s="1273">
        <f t="shared" ref="AY230:BI230" ca="1" si="64">IFERROR(INDEX(INDIRECT($C230&amp;".Outputs["&amp;AY$4&amp;"]"),MATCH($D230,INDIRECT($C230&amp;".Outputs[Vector]"),0)),"na")</f>
        <v>937.23355555555554</v>
      </c>
      <c r="AZ230" s="1273"/>
      <c r="BA230" s="1273">
        <f t="shared" ca="1" si="64"/>
        <v>948.40980000000002</v>
      </c>
      <c r="BB230" s="1273">
        <f t="shared" ca="1" si="64"/>
        <v>947.50491464762865</v>
      </c>
      <c r="BC230" s="1273">
        <f t="shared" ca="1" si="64"/>
        <v>946.63986672306442</v>
      </c>
      <c r="BD230" s="1273">
        <f t="shared" ca="1" si="64"/>
        <v>945.81505619727227</v>
      </c>
      <c r="BE230" s="1273">
        <f t="shared" ca="1" si="64"/>
        <v>945.03088705695825</v>
      </c>
      <c r="BF230" s="1273">
        <f t="shared" ca="1" si="64"/>
        <v>944.28776734488724</v>
      </c>
      <c r="BG230" s="1273">
        <f t="shared" ca="1" si="64"/>
        <v>939.97345000000041</v>
      </c>
      <c r="BH230" s="1273">
        <f t="shared" ca="1" si="64"/>
        <v>935.10072500000024</v>
      </c>
      <c r="BI230" s="1273">
        <f t="shared" ca="1" si="64"/>
        <v>930.22800000000007</v>
      </c>
      <c r="BJ230" s="1214"/>
    </row>
    <row r="231" spans="2:62">
      <c r="B231" s="1214"/>
      <c r="C231" s="1269" t="s">
        <v>2068</v>
      </c>
      <c r="D231" s="1269" t="s">
        <v>38</v>
      </c>
      <c r="E231" s="1214" t="s">
        <v>50</v>
      </c>
      <c r="F231" s="1270"/>
      <c r="G231" s="1270"/>
      <c r="H231" s="1271"/>
      <c r="I231" s="1271"/>
      <c r="J231" s="1271"/>
      <c r="K231" s="1271"/>
      <c r="L231" s="1271"/>
      <c r="M231" s="1271"/>
      <c r="N231" s="1271"/>
      <c r="O231" s="1271"/>
      <c r="P231" s="1271"/>
      <c r="Q231" s="1271"/>
      <c r="R231" s="1271"/>
      <c r="S231" s="1271"/>
      <c r="T231" s="1271"/>
      <c r="U231" s="1271"/>
      <c r="V231" s="1271"/>
      <c r="W231" s="1271"/>
      <c r="X231" s="1271"/>
      <c r="Y231" s="1271"/>
      <c r="Z231" s="1271"/>
      <c r="AA231" s="1271"/>
      <c r="AB231" s="1271"/>
      <c r="AC231" s="1271"/>
      <c r="AD231" s="1271"/>
      <c r="AE231" s="1271"/>
      <c r="AF231" s="1271"/>
      <c r="AG231" s="1271"/>
      <c r="AH231" s="1271"/>
      <c r="AI231" s="1271"/>
      <c r="AJ231" s="1271">
        <f t="shared" ref="AJ231:AP231" si="65">0*Unit.TWh</f>
        <v>0</v>
      </c>
      <c r="AK231" s="1271">
        <f t="shared" si="65"/>
        <v>0</v>
      </c>
      <c r="AL231" s="1271">
        <f t="shared" si="65"/>
        <v>0</v>
      </c>
      <c r="AM231" s="1271">
        <f t="shared" si="65"/>
        <v>0</v>
      </c>
      <c r="AN231" s="1271">
        <f t="shared" si="65"/>
        <v>0</v>
      </c>
      <c r="AO231" s="1271">
        <f t="shared" si="65"/>
        <v>0</v>
      </c>
      <c r="AP231" s="1271">
        <f t="shared" si="65"/>
        <v>0</v>
      </c>
      <c r="AQ231" s="1271">
        <f>0.861215638*Unit.TWh</f>
        <v>0.86121563800000001</v>
      </c>
      <c r="AR231" s="1271">
        <f>3.313229379*Unit.TWh</f>
        <v>3.313229379</v>
      </c>
      <c r="AS231" s="1271">
        <f>5.483743472*Unit.TWh</f>
        <v>5.4837434719999996</v>
      </c>
      <c r="AT231" s="1271">
        <f>9.878952814*Unit.TWh</f>
        <v>9.8789528139999998</v>
      </c>
      <c r="AU231" s="1271">
        <f>12.07762885*Unit.TWh</f>
        <v>12.07762885</v>
      </c>
      <c r="AV231" s="1271">
        <f>15.06624188*Unit.TWh</f>
        <v>15.06624188</v>
      </c>
      <c r="AW231" s="1271" t="s">
        <v>1179</v>
      </c>
      <c r="AX231" s="1214"/>
      <c r="AY231" s="1273"/>
      <c r="AZ231" s="1273"/>
      <c r="BA231" s="1273"/>
      <c r="BB231" s="1273"/>
      <c r="BC231" s="1273"/>
      <c r="BD231" s="1273"/>
      <c r="BE231" s="1273"/>
      <c r="BF231" s="1273"/>
      <c r="BG231" s="1273"/>
      <c r="BH231" s="1273"/>
      <c r="BI231" s="1273"/>
      <c r="BJ231" s="1214"/>
    </row>
    <row r="232" spans="2:62">
      <c r="B232" s="1214"/>
      <c r="C232" s="1269" t="s">
        <v>2068</v>
      </c>
      <c r="D232" s="1269" t="s">
        <v>39</v>
      </c>
      <c r="E232" s="1214" t="s">
        <v>163</v>
      </c>
      <c r="F232" s="1270"/>
      <c r="G232" s="1270"/>
      <c r="H232" s="1271"/>
      <c r="I232" s="1271"/>
      <c r="J232" s="1271"/>
      <c r="K232" s="1271"/>
      <c r="L232" s="1271"/>
      <c r="M232" s="1271"/>
      <c r="N232" s="1271"/>
      <c r="O232" s="1271"/>
      <c r="P232" s="1271"/>
      <c r="Q232" s="1271"/>
      <c r="R232" s="1271"/>
      <c r="S232" s="1271"/>
      <c r="T232" s="1271"/>
      <c r="U232" s="1271"/>
      <c r="V232" s="1271"/>
      <c r="W232" s="1271"/>
      <c r="X232" s="1271"/>
      <c r="Y232" s="1271"/>
      <c r="Z232" s="1271"/>
      <c r="AA232" s="1271"/>
      <c r="AB232" s="1271"/>
      <c r="AC232" s="1271"/>
      <c r="AD232" s="1271"/>
      <c r="AE232" s="1271"/>
      <c r="AF232" s="1271"/>
      <c r="AG232" s="1271"/>
      <c r="AH232" s="1271"/>
      <c r="AI232" s="1271"/>
      <c r="AJ232" s="1271">
        <f>4.679912*Unit.TWh</f>
        <v>4.6799119999999998</v>
      </c>
      <c r="AK232" s="1271">
        <f>6.65236*Unit.TWh</f>
        <v>6.6523599999999998</v>
      </c>
      <c r="AL232" s="1271">
        <f>8.5030419*Unit.TWh</f>
        <v>8.5030418999999995</v>
      </c>
      <c r="AM232" s="1271">
        <f>9.7205866*Unit.TWh</f>
        <v>9.7205866000000007</v>
      </c>
      <c r="AN232" s="1271">
        <f>10.375123*Unit.TWh</f>
        <v>10.375123</v>
      </c>
      <c r="AO232" s="1271">
        <f>12.654603*Unit.TWh</f>
        <v>12.654603</v>
      </c>
      <c r="AP232" s="1271">
        <f>17.4844257*Unit.TWh</f>
        <v>17.484425699999999</v>
      </c>
      <c r="AQ232" s="1271">
        <f>18.91593462*Unit.TWh</f>
        <v>18.915934620000002</v>
      </c>
      <c r="AR232" s="1271">
        <f>19.24482717*Unit.TWh</f>
        <v>19.244827170000001</v>
      </c>
      <c r="AS232" s="1271">
        <f>20.29461125*Unit.TWh</f>
        <v>20.294611249999999</v>
      </c>
      <c r="AT232" s="1271">
        <f>20.91263605*Unit.TWh</f>
        <v>20.91263605</v>
      </c>
      <c r="AU232" s="1271">
        <f>21.92331406*Unit.TWh</f>
        <v>21.923314059999999</v>
      </c>
      <c r="AV232" s="1271">
        <f>22.89564828*Unit.TWh</f>
        <v>22.89564828</v>
      </c>
      <c r="AW232" s="1271" t="s">
        <v>1179</v>
      </c>
      <c r="AX232" s="1214"/>
      <c r="AY232" s="1273"/>
      <c r="AZ232" s="1273"/>
      <c r="BA232" s="1273"/>
      <c r="BB232" s="1273"/>
      <c r="BC232" s="1273"/>
      <c r="BD232" s="1273"/>
      <c r="BE232" s="1273"/>
      <c r="BF232" s="1273"/>
      <c r="BG232" s="1273"/>
      <c r="BH232" s="1273"/>
      <c r="BI232" s="1273"/>
      <c r="BJ232" s="1214"/>
    </row>
    <row r="233" spans="2:62">
      <c r="B233" s="1214"/>
      <c r="C233" s="1269"/>
      <c r="D233" s="1269"/>
      <c r="E233" s="1214"/>
      <c r="F233" s="1270"/>
      <c r="G233" s="1270"/>
      <c r="H233" s="1271"/>
      <c r="I233" s="1271"/>
      <c r="J233" s="1271"/>
      <c r="K233" s="1271"/>
      <c r="L233" s="1271"/>
      <c r="M233" s="1271"/>
      <c r="N233" s="1271"/>
      <c r="O233" s="1271"/>
      <c r="P233" s="1271"/>
      <c r="Q233" s="1271"/>
      <c r="R233" s="1271"/>
      <c r="S233" s="1271"/>
      <c r="T233" s="1271"/>
      <c r="U233" s="1271"/>
      <c r="V233" s="1271"/>
      <c r="W233" s="1271"/>
      <c r="X233" s="1271"/>
      <c r="Y233" s="1271"/>
      <c r="Z233" s="1271"/>
      <c r="AA233" s="1271"/>
      <c r="AB233" s="1271"/>
      <c r="AC233" s="1271"/>
      <c r="AD233" s="1271"/>
      <c r="AE233" s="1271"/>
      <c r="AF233" s="1271"/>
      <c r="AG233" s="1271"/>
      <c r="AH233" s="1271"/>
      <c r="AI233" s="1271"/>
      <c r="AJ233" s="1271"/>
      <c r="AK233" s="1271"/>
      <c r="AL233" s="1271"/>
      <c r="AM233" s="1271"/>
      <c r="AN233" s="1271"/>
      <c r="AO233" s="1271"/>
      <c r="AP233" s="1271"/>
      <c r="AQ233" s="1271"/>
      <c r="AR233" s="1271"/>
      <c r="AS233" s="1271"/>
      <c r="AT233" s="1271"/>
      <c r="AU233" s="1271"/>
      <c r="AV233" s="1271"/>
      <c r="AW233" s="1271"/>
      <c r="AX233" s="1214"/>
      <c r="AY233" s="1273"/>
      <c r="AZ233" s="1273"/>
      <c r="BA233" s="1273"/>
      <c r="BB233" s="1273"/>
      <c r="BC233" s="1273"/>
      <c r="BD233" s="1273"/>
      <c r="BE233" s="1273"/>
      <c r="BF233" s="1273"/>
      <c r="BG233" s="1273"/>
      <c r="BH233" s="1273"/>
      <c r="BI233" s="1273"/>
      <c r="BJ233" s="1214"/>
    </row>
    <row r="234" spans="2:62">
      <c r="B234" s="1214"/>
      <c r="C234" s="1236" t="s">
        <v>2091</v>
      </c>
      <c r="D234" s="1214"/>
      <c r="E234" s="1214"/>
      <c r="F234" s="1214"/>
      <c r="G234" s="1214"/>
      <c r="H234" s="1215"/>
      <c r="I234" s="1215"/>
      <c r="J234" s="1215"/>
      <c r="K234" s="1215"/>
      <c r="L234" s="1215"/>
      <c r="M234" s="1215"/>
      <c r="N234" s="1215"/>
      <c r="O234" s="1215"/>
      <c r="P234" s="1215"/>
      <c r="Q234" s="1215"/>
      <c r="R234" s="1215"/>
      <c r="S234" s="1215"/>
      <c r="T234" s="1215"/>
      <c r="U234" s="1215"/>
      <c r="V234" s="1215"/>
      <c r="W234" s="1215"/>
      <c r="X234" s="1215"/>
      <c r="Y234" s="1215"/>
      <c r="Z234" s="1215"/>
      <c r="AA234" s="1215"/>
      <c r="AB234" s="1215"/>
      <c r="AC234" s="1215"/>
      <c r="AD234" s="1215"/>
      <c r="AE234" s="1215"/>
      <c r="AF234" s="1215"/>
      <c r="AG234" s="1215"/>
      <c r="AH234" s="1215"/>
      <c r="AI234" s="1215"/>
      <c r="AJ234" s="1215"/>
      <c r="AK234" s="1215"/>
      <c r="AL234" s="1215"/>
      <c r="AM234" s="1215"/>
      <c r="AN234" s="1215"/>
      <c r="AO234" s="1215"/>
      <c r="AP234" s="1215"/>
      <c r="AQ234" s="1215"/>
      <c r="AR234" s="1215"/>
      <c r="AS234" s="1215"/>
      <c r="AT234" s="1215"/>
      <c r="AU234" s="1215"/>
      <c r="AV234" s="1215"/>
      <c r="AW234" s="1215"/>
      <c r="AX234" s="1214"/>
      <c r="AY234" s="1214"/>
      <c r="AZ234" s="1214"/>
      <c r="BA234" s="1214"/>
      <c r="BB234" s="1214"/>
      <c r="BC234" s="1214"/>
      <c r="BD234" s="1214"/>
      <c r="BE234" s="1214"/>
      <c r="BF234" s="1214"/>
      <c r="BG234" s="1214"/>
      <c r="BH234" s="1214"/>
      <c r="BI234" s="1214"/>
      <c r="BJ234" s="1214"/>
    </row>
    <row r="235" spans="2:62">
      <c r="B235" s="1214"/>
      <c r="C235" s="1269" t="s">
        <v>296</v>
      </c>
      <c r="D235" s="1269" t="s">
        <v>36</v>
      </c>
      <c r="E235" s="1214" t="s">
        <v>49</v>
      </c>
      <c r="F235" s="1270"/>
      <c r="G235" s="1270"/>
      <c r="H235" s="1271"/>
      <c r="I235" s="1271"/>
      <c r="J235" s="1271"/>
      <c r="K235" s="1271"/>
      <c r="L235" s="1271"/>
      <c r="M235" s="1271"/>
      <c r="N235" s="1271"/>
      <c r="O235" s="1271"/>
      <c r="P235" s="1271"/>
      <c r="Q235" s="1271"/>
      <c r="R235" s="1271"/>
      <c r="S235" s="1271"/>
      <c r="T235" s="1271"/>
      <c r="U235" s="1271"/>
      <c r="V235" s="1271"/>
      <c r="W235" s="1271"/>
      <c r="X235" s="1271"/>
      <c r="Y235" s="1271"/>
      <c r="Z235" s="1271"/>
      <c r="AA235" s="1271"/>
      <c r="AB235" s="1271"/>
      <c r="AC235" s="1271"/>
      <c r="AD235" s="1271"/>
      <c r="AE235" s="1271"/>
      <c r="AF235" s="1271"/>
      <c r="AG235" s="1271"/>
      <c r="AH235" s="1271"/>
      <c r="AI235" s="1271"/>
      <c r="AJ235" s="1271">
        <f>11.2811*Unit.TWh</f>
        <v>11.2811</v>
      </c>
      <c r="AK235" s="1271">
        <f>11.5128859*Unit.TWh</f>
        <v>11.512885900000001</v>
      </c>
      <c r="AL235" s="1271">
        <f>9.9829594*Unit.TWh</f>
        <v>9.9829594000000004</v>
      </c>
      <c r="AM235" s="1271">
        <f>10.7253023*Unit.TWh</f>
        <v>10.725302299999999</v>
      </c>
      <c r="AN235" s="1271">
        <f>11.7831671*Unit.TWh</f>
        <v>11.7831671</v>
      </c>
      <c r="AO235" s="1271">
        <f>13.2077258*Unit.TWh</f>
        <v>13.2077258</v>
      </c>
      <c r="AP235" s="1271">
        <f>12.9045317*Unit.TWh</f>
        <v>12.9045317</v>
      </c>
      <c r="AQ235" s="1271">
        <f>18.45851032*Unit.TWh</f>
        <v>18.458510319999998</v>
      </c>
      <c r="AR235" s="1271">
        <f>18.88799564*Unit.TWh</f>
        <v>18.88799564</v>
      </c>
      <c r="AS235" s="1271">
        <f>18.50890517*Unit.TWh</f>
        <v>18.508905169999998</v>
      </c>
      <c r="AT235" s="1271">
        <f>20.71415345*Unit.TWh</f>
        <v>20.714153450000001</v>
      </c>
      <c r="AU235" s="1271">
        <f>23.70385084*Unit.TWh</f>
        <v>23.703850840000001</v>
      </c>
      <c r="AV235" s="1271">
        <f>28.71642504*Unit.TWh</f>
        <v>28.716425040000001</v>
      </c>
      <c r="AW235" s="1271" t="s">
        <v>1179</v>
      </c>
      <c r="AX235" s="1214"/>
      <c r="AY235" s="1273">
        <f t="shared" ref="AY235:BI237" ca="1" si="66">IFERROR(INDEX(INDIRECT($C235&amp;".Outputs["&amp;AY$4&amp;"]"),MATCH($D235,INDIRECT($C235&amp;".Outputs[Vector]"),0)),"na")</f>
        <v>0</v>
      </c>
      <c r="AZ235" s="1273"/>
      <c r="BA235" s="1273">
        <f t="shared" ca="1" si="66"/>
        <v>0</v>
      </c>
      <c r="BB235" s="1273">
        <f t="shared" ca="1" si="66"/>
        <v>0</v>
      </c>
      <c r="BC235" s="1273">
        <f t="shared" ca="1" si="66"/>
        <v>0</v>
      </c>
      <c r="BD235" s="1273">
        <f t="shared" ca="1" si="66"/>
        <v>0</v>
      </c>
      <c r="BE235" s="1273">
        <f t="shared" ca="1" si="66"/>
        <v>0</v>
      </c>
      <c r="BF235" s="1273">
        <f t="shared" ca="1" si="66"/>
        <v>0</v>
      </c>
      <c r="BG235" s="1273">
        <f t="shared" ca="1" si="66"/>
        <v>0</v>
      </c>
      <c r="BH235" s="1273">
        <f t="shared" ca="1" si="66"/>
        <v>0</v>
      </c>
      <c r="BI235" s="1273">
        <f t="shared" ca="1" si="66"/>
        <v>0</v>
      </c>
      <c r="BJ235" s="1214"/>
    </row>
    <row r="236" spans="2:62">
      <c r="B236" s="1214"/>
      <c r="C236" s="1269" t="s">
        <v>296</v>
      </c>
      <c r="D236" s="1269" t="s">
        <v>38</v>
      </c>
      <c r="E236" s="1214" t="s">
        <v>50</v>
      </c>
      <c r="F236" s="1270"/>
      <c r="G236" s="1270"/>
      <c r="H236" s="1271"/>
      <c r="I236" s="1271"/>
      <c r="J236" s="1271"/>
      <c r="K236" s="1271"/>
      <c r="L236" s="1271"/>
      <c r="M236" s="1271"/>
      <c r="N236" s="1271"/>
      <c r="O236" s="1271"/>
      <c r="P236" s="1271"/>
      <c r="Q236" s="1271"/>
      <c r="R236" s="1271"/>
      <c r="S236" s="1271"/>
      <c r="T236" s="1271"/>
      <c r="U236" s="1271"/>
      <c r="V236" s="1271"/>
      <c r="W236" s="1271"/>
      <c r="X236" s="1271"/>
      <c r="Y236" s="1271"/>
      <c r="Z236" s="1271"/>
      <c r="AA236" s="1271"/>
      <c r="AB236" s="1271"/>
      <c r="AC236" s="1271"/>
      <c r="AD236" s="1271"/>
      <c r="AE236" s="1271"/>
      <c r="AF236" s="1271"/>
      <c r="AG236" s="1271"/>
      <c r="AH236" s="1271"/>
      <c r="AI236" s="1271"/>
      <c r="AJ236" s="1271">
        <f t="shared" ref="AJ236:AP236" si="67">0*Unit.TWh</f>
        <v>0</v>
      </c>
      <c r="AK236" s="1271">
        <f t="shared" si="67"/>
        <v>0</v>
      </c>
      <c r="AL236" s="1271">
        <f t="shared" si="67"/>
        <v>0</v>
      </c>
      <c r="AM236" s="1271">
        <f t="shared" si="67"/>
        <v>0</v>
      </c>
      <c r="AN236" s="1271">
        <f t="shared" si="67"/>
        <v>0</v>
      </c>
      <c r="AO236" s="1271">
        <f t="shared" si="67"/>
        <v>0</v>
      </c>
      <c r="AP236" s="1271">
        <f t="shared" si="67"/>
        <v>0</v>
      </c>
      <c r="AQ236" s="1271">
        <f>0.861215638*Unit.TWh</f>
        <v>0.86121563800000001</v>
      </c>
      <c r="AR236" s="1271">
        <f>3.313229379*Unit.TWh</f>
        <v>3.313229379</v>
      </c>
      <c r="AS236" s="1271">
        <f>5.483743472*Unit.TWh</f>
        <v>5.4837434719999996</v>
      </c>
      <c r="AT236" s="1271">
        <f>9.878952814*Unit.TWh</f>
        <v>9.8789528139999998</v>
      </c>
      <c r="AU236" s="1271">
        <f>12.07762885*Unit.TWh</f>
        <v>12.07762885</v>
      </c>
      <c r="AV236" s="1271">
        <f>15.06624188*Unit.TWh</f>
        <v>15.06624188</v>
      </c>
      <c r="AW236" s="1271" t="s">
        <v>1179</v>
      </c>
      <c r="AX236" s="1214"/>
      <c r="AY236" s="1273"/>
      <c r="AZ236" s="1273"/>
      <c r="BA236" s="1273"/>
      <c r="BB236" s="1273"/>
      <c r="BC236" s="1273"/>
      <c r="BD236" s="1273"/>
      <c r="BE236" s="1273"/>
      <c r="BF236" s="1273"/>
      <c r="BG236" s="1273"/>
      <c r="BH236" s="1273"/>
      <c r="BI236" s="1273"/>
      <c r="BJ236" s="1214"/>
    </row>
    <row r="237" spans="2:62">
      <c r="B237" s="1214"/>
      <c r="C237" s="1269" t="s">
        <v>296</v>
      </c>
      <c r="D237" s="1269" t="s">
        <v>39</v>
      </c>
      <c r="E237" s="1214" t="s">
        <v>163</v>
      </c>
      <c r="F237" s="1270"/>
      <c r="G237" s="1270"/>
      <c r="H237" s="1271"/>
      <c r="I237" s="1271"/>
      <c r="J237" s="1271"/>
      <c r="K237" s="1271"/>
      <c r="L237" s="1271"/>
      <c r="M237" s="1271"/>
      <c r="N237" s="1271"/>
      <c r="O237" s="1271"/>
      <c r="P237" s="1271"/>
      <c r="Q237" s="1271"/>
      <c r="R237" s="1271"/>
      <c r="S237" s="1271"/>
      <c r="T237" s="1271"/>
      <c r="U237" s="1271"/>
      <c r="V237" s="1271"/>
      <c r="W237" s="1271"/>
      <c r="X237" s="1271"/>
      <c r="Y237" s="1271"/>
      <c r="Z237" s="1271"/>
      <c r="AA237" s="1271"/>
      <c r="AB237" s="1271"/>
      <c r="AC237" s="1271"/>
      <c r="AD237" s="1271"/>
      <c r="AE237" s="1271"/>
      <c r="AF237" s="1271"/>
      <c r="AG237" s="1271"/>
      <c r="AH237" s="1271"/>
      <c r="AI237" s="1271"/>
      <c r="AJ237" s="1271">
        <f>4.679912*Unit.TWh</f>
        <v>4.6799119999999998</v>
      </c>
      <c r="AK237" s="1271">
        <f>6.65236*Unit.TWh</f>
        <v>6.6523599999999998</v>
      </c>
      <c r="AL237" s="1271">
        <f>8.5030419*Unit.TWh</f>
        <v>8.5030418999999995</v>
      </c>
      <c r="AM237" s="1271">
        <f>9.7205866*Unit.TWh</f>
        <v>9.7205866000000007</v>
      </c>
      <c r="AN237" s="1271">
        <f>10.375123*Unit.TWh</f>
        <v>10.375123</v>
      </c>
      <c r="AO237" s="1271">
        <f>12.654603*Unit.TWh</f>
        <v>12.654603</v>
      </c>
      <c r="AP237" s="1271">
        <f>17.4844257*Unit.TWh</f>
        <v>17.484425699999999</v>
      </c>
      <c r="AQ237" s="1271">
        <f>18.91593462*Unit.TWh</f>
        <v>18.915934620000002</v>
      </c>
      <c r="AR237" s="1271">
        <f>19.24482717*Unit.TWh</f>
        <v>19.244827170000001</v>
      </c>
      <c r="AS237" s="1271">
        <f>20.29461125*Unit.TWh</f>
        <v>20.294611249999999</v>
      </c>
      <c r="AT237" s="1271">
        <f>20.91263605*Unit.TWh</f>
        <v>20.91263605</v>
      </c>
      <c r="AU237" s="1271">
        <f>21.92331406*Unit.TWh</f>
        <v>21.923314059999999</v>
      </c>
      <c r="AV237" s="1271">
        <f>22.89564828*Unit.TWh</f>
        <v>22.89564828</v>
      </c>
      <c r="AW237" s="1271" t="s">
        <v>1179</v>
      </c>
      <c r="AX237" s="1214"/>
      <c r="AY237" s="1273">
        <f t="shared" ca="1" si="66"/>
        <v>0</v>
      </c>
      <c r="AZ237" s="1273"/>
      <c r="BA237" s="1273">
        <f t="shared" ca="1" si="66"/>
        <v>0</v>
      </c>
      <c r="BB237" s="1273">
        <f t="shared" ca="1" si="66"/>
        <v>0</v>
      </c>
      <c r="BC237" s="1273">
        <f t="shared" ca="1" si="66"/>
        <v>0</v>
      </c>
      <c r="BD237" s="1273">
        <f t="shared" ca="1" si="66"/>
        <v>0</v>
      </c>
      <c r="BE237" s="1273">
        <f t="shared" ca="1" si="66"/>
        <v>0</v>
      </c>
      <c r="BF237" s="1273">
        <f t="shared" ca="1" si="66"/>
        <v>0</v>
      </c>
      <c r="BG237" s="1273">
        <f t="shared" ca="1" si="66"/>
        <v>0</v>
      </c>
      <c r="BH237" s="1273">
        <f t="shared" ca="1" si="66"/>
        <v>0</v>
      </c>
      <c r="BI237" s="1273">
        <f t="shared" ca="1" si="66"/>
        <v>0</v>
      </c>
      <c r="BJ237" s="1214"/>
    </row>
    <row r="238" spans="2:62">
      <c r="B238" s="1214"/>
      <c r="C238" s="1269"/>
      <c r="D238" s="1269"/>
      <c r="E238" s="1214"/>
      <c r="F238" s="1270"/>
      <c r="G238" s="1270"/>
      <c r="H238" s="1271"/>
      <c r="I238" s="1271"/>
      <c r="J238" s="1271"/>
      <c r="K238" s="1271"/>
      <c r="L238" s="1271"/>
      <c r="M238" s="1271"/>
      <c r="N238" s="1271"/>
      <c r="O238" s="1271"/>
      <c r="P238" s="1271"/>
      <c r="Q238" s="1271"/>
      <c r="R238" s="1271"/>
      <c r="S238" s="1271"/>
      <c r="T238" s="1271"/>
      <c r="U238" s="1271"/>
      <c r="V238" s="1271"/>
      <c r="W238" s="1271"/>
      <c r="X238" s="1271"/>
      <c r="Y238" s="1271"/>
      <c r="Z238" s="1271"/>
      <c r="AA238" s="1271"/>
      <c r="AB238" s="1271"/>
      <c r="AC238" s="1271"/>
      <c r="AD238" s="1271"/>
      <c r="AE238" s="1271"/>
      <c r="AF238" s="1271"/>
      <c r="AG238" s="1271"/>
      <c r="AH238" s="1271"/>
      <c r="AI238" s="1271"/>
      <c r="AJ238" s="1271"/>
      <c r="AK238" s="1271"/>
      <c r="AL238" s="1271"/>
      <c r="AM238" s="1271"/>
      <c r="AN238" s="1271"/>
      <c r="AO238" s="1271"/>
      <c r="AP238" s="1271"/>
      <c r="AQ238" s="1271"/>
      <c r="AR238" s="1271"/>
      <c r="AS238" s="1271"/>
      <c r="AT238" s="1271"/>
      <c r="AU238" s="1271"/>
      <c r="AV238" s="1271"/>
      <c r="AW238" s="1271"/>
      <c r="AX238" s="1214"/>
      <c r="AY238" s="1273"/>
      <c r="AZ238" s="1273"/>
      <c r="BA238" s="1273"/>
      <c r="BB238" s="1273"/>
      <c r="BC238" s="1273"/>
      <c r="BD238" s="1273"/>
      <c r="BE238" s="1273"/>
      <c r="BF238" s="1273"/>
      <c r="BG238" s="1273"/>
      <c r="BH238" s="1273"/>
      <c r="BI238" s="1273"/>
      <c r="BJ238" s="1214"/>
    </row>
    <row r="239" spans="2:62">
      <c r="B239" s="1214"/>
      <c r="C239" s="1236" t="s">
        <v>2092</v>
      </c>
      <c r="D239" s="1214"/>
      <c r="E239" s="1214"/>
      <c r="F239" s="1214"/>
      <c r="G239" s="1214"/>
      <c r="H239" s="1215"/>
      <c r="I239" s="1215"/>
      <c r="J239" s="1215"/>
      <c r="K239" s="1215"/>
      <c r="L239" s="1215"/>
      <c r="M239" s="1215"/>
      <c r="N239" s="1215"/>
      <c r="O239" s="1215"/>
      <c r="P239" s="1215"/>
      <c r="Q239" s="1215"/>
      <c r="R239" s="1215"/>
      <c r="S239" s="1215"/>
      <c r="T239" s="1215"/>
      <c r="U239" s="1215"/>
      <c r="V239" s="1215"/>
      <c r="W239" s="1215"/>
      <c r="X239" s="1215"/>
      <c r="Y239" s="1215"/>
      <c r="Z239" s="1215"/>
      <c r="AA239" s="1215"/>
      <c r="AB239" s="1215"/>
      <c r="AC239" s="1215"/>
      <c r="AD239" s="1215"/>
      <c r="AE239" s="1215"/>
      <c r="AF239" s="1215"/>
      <c r="AG239" s="1215"/>
      <c r="AH239" s="1215"/>
      <c r="AI239" s="1215"/>
      <c r="AJ239" s="1215"/>
      <c r="AK239" s="1215"/>
      <c r="AL239" s="1215"/>
      <c r="AM239" s="1215"/>
      <c r="AN239" s="1215"/>
      <c r="AO239" s="1215"/>
      <c r="AP239" s="1215"/>
      <c r="AQ239" s="1215"/>
      <c r="AR239" s="1215"/>
      <c r="AS239" s="1215"/>
      <c r="AT239" s="1215"/>
      <c r="AU239" s="1215"/>
      <c r="AV239" s="1215"/>
      <c r="AW239" s="1215"/>
      <c r="AX239" s="1214"/>
      <c r="AY239" s="1214"/>
      <c r="AZ239" s="1214"/>
      <c r="BA239" s="1214"/>
      <c r="BB239" s="1214"/>
      <c r="BC239" s="1214"/>
      <c r="BD239" s="1214"/>
      <c r="BE239" s="1214"/>
      <c r="BF239" s="1214"/>
      <c r="BG239" s="1214"/>
      <c r="BH239" s="1214"/>
      <c r="BI239" s="1214"/>
      <c r="BJ239" s="1214"/>
    </row>
    <row r="240" spans="2:62">
      <c r="B240" s="1214"/>
      <c r="C240" s="1269" t="s">
        <v>190</v>
      </c>
      <c r="D240" s="1269" t="s">
        <v>36</v>
      </c>
      <c r="E240" s="1214" t="s">
        <v>49</v>
      </c>
      <c r="F240" s="1270"/>
      <c r="G240" s="1270"/>
      <c r="H240" s="1271"/>
      <c r="I240" s="1271"/>
      <c r="J240" s="1271"/>
      <c r="K240" s="1271"/>
      <c r="L240" s="1271"/>
      <c r="M240" s="1271"/>
      <c r="N240" s="1271"/>
      <c r="O240" s="1271"/>
      <c r="P240" s="1271"/>
      <c r="Q240" s="1271"/>
      <c r="R240" s="1271"/>
      <c r="S240" s="1271"/>
      <c r="T240" s="1271"/>
      <c r="U240" s="1271"/>
      <c r="V240" s="1271"/>
      <c r="W240" s="1271"/>
      <c r="X240" s="1271"/>
      <c r="Y240" s="1271"/>
      <c r="Z240" s="1271"/>
      <c r="AA240" s="1271"/>
      <c r="AB240" s="1271"/>
      <c r="AC240" s="1271"/>
      <c r="AD240" s="1271"/>
      <c r="AE240" s="1271"/>
      <c r="AF240" s="1271"/>
      <c r="AG240" s="1271"/>
      <c r="AH240" s="1271"/>
      <c r="AI240" s="1271"/>
      <c r="AJ240" s="1271">
        <f>11.2811*Unit.TWh</f>
        <v>11.2811</v>
      </c>
      <c r="AK240" s="1271">
        <f>11.5128859*Unit.TWh</f>
        <v>11.512885900000001</v>
      </c>
      <c r="AL240" s="1271">
        <f>9.9829594*Unit.TWh</f>
        <v>9.9829594000000004</v>
      </c>
      <c r="AM240" s="1271">
        <f>10.7253023*Unit.TWh</f>
        <v>10.725302299999999</v>
      </c>
      <c r="AN240" s="1271">
        <f>11.7831671*Unit.TWh</f>
        <v>11.7831671</v>
      </c>
      <c r="AO240" s="1271">
        <f>13.2077258*Unit.TWh</f>
        <v>13.2077258</v>
      </c>
      <c r="AP240" s="1271">
        <f>12.9045317*Unit.TWh</f>
        <v>12.9045317</v>
      </c>
      <c r="AQ240" s="1271">
        <f>18.45851032*Unit.TWh</f>
        <v>18.458510319999998</v>
      </c>
      <c r="AR240" s="1271">
        <f>18.88799564*Unit.TWh</f>
        <v>18.88799564</v>
      </c>
      <c r="AS240" s="1271">
        <f>18.50890517*Unit.TWh</f>
        <v>18.508905169999998</v>
      </c>
      <c r="AT240" s="1271">
        <f>20.71415345*Unit.TWh</f>
        <v>20.714153450000001</v>
      </c>
      <c r="AU240" s="1271">
        <f>23.70385084*Unit.TWh</f>
        <v>23.703850840000001</v>
      </c>
      <c r="AV240" s="1271">
        <f>28.71642504*Unit.TWh</f>
        <v>28.716425040000001</v>
      </c>
      <c r="AW240" s="1271" t="s">
        <v>1179</v>
      </c>
      <c r="AX240" s="1214"/>
      <c r="AY240" s="1273">
        <f ca="1">AY220+AY225+AY230+AY235</f>
        <v>937.23355555555554</v>
      </c>
      <c r="AZ240" s="1273"/>
      <c r="BA240" s="1273">
        <f t="shared" ref="BA240:BI240" ca="1" si="68">BA220+BA225+BA230+BA235</f>
        <v>948.40980000000002</v>
      </c>
      <c r="BB240" s="1273">
        <f t="shared" ca="1" si="68"/>
        <v>947.50491464762865</v>
      </c>
      <c r="BC240" s="1273">
        <f t="shared" ca="1" si="68"/>
        <v>946.63986672306442</v>
      </c>
      <c r="BD240" s="1273">
        <f t="shared" ca="1" si="68"/>
        <v>945.81505619727227</v>
      </c>
      <c r="BE240" s="1273">
        <f t="shared" ca="1" si="68"/>
        <v>945.03088705695825</v>
      </c>
      <c r="BF240" s="1273">
        <f t="shared" ca="1" si="68"/>
        <v>944.28776734488724</v>
      </c>
      <c r="BG240" s="1273">
        <f t="shared" ca="1" si="68"/>
        <v>939.97345000000041</v>
      </c>
      <c r="BH240" s="1273">
        <f t="shared" ca="1" si="68"/>
        <v>935.10072500000024</v>
      </c>
      <c r="BI240" s="1273">
        <f t="shared" ca="1" si="68"/>
        <v>930.22800000000007</v>
      </c>
      <c r="BJ240" s="1214"/>
    </row>
    <row r="241" spans="1:62">
      <c r="B241" s="1214"/>
      <c r="C241" s="1269" t="s">
        <v>190</v>
      </c>
      <c r="D241" s="1269" t="s">
        <v>38</v>
      </c>
      <c r="E241" s="1214" t="s">
        <v>50</v>
      </c>
      <c r="F241" s="1270"/>
      <c r="G241" s="1270"/>
      <c r="H241" s="1271"/>
      <c r="I241" s="1271"/>
      <c r="J241" s="1271"/>
      <c r="K241" s="1271"/>
      <c r="L241" s="1271"/>
      <c r="M241" s="1271"/>
      <c r="N241" s="1271"/>
      <c r="O241" s="1271"/>
      <c r="P241" s="1271"/>
      <c r="Q241" s="1271"/>
      <c r="R241" s="1271"/>
      <c r="S241" s="1271"/>
      <c r="T241" s="1271"/>
      <c r="U241" s="1271"/>
      <c r="V241" s="1271"/>
      <c r="W241" s="1271"/>
      <c r="X241" s="1271"/>
      <c r="Y241" s="1271"/>
      <c r="Z241" s="1271"/>
      <c r="AA241" s="1271"/>
      <c r="AB241" s="1271"/>
      <c r="AC241" s="1271"/>
      <c r="AD241" s="1271"/>
      <c r="AE241" s="1271"/>
      <c r="AF241" s="1271"/>
      <c r="AG241" s="1271"/>
      <c r="AH241" s="1271"/>
      <c r="AI241" s="1271"/>
      <c r="AJ241" s="1271">
        <f t="shared" ref="AJ241:AP241" si="69">0*Unit.TWh</f>
        <v>0</v>
      </c>
      <c r="AK241" s="1271">
        <f t="shared" si="69"/>
        <v>0</v>
      </c>
      <c r="AL241" s="1271">
        <f t="shared" si="69"/>
        <v>0</v>
      </c>
      <c r="AM241" s="1271">
        <f t="shared" si="69"/>
        <v>0</v>
      </c>
      <c r="AN241" s="1271">
        <f t="shared" si="69"/>
        <v>0</v>
      </c>
      <c r="AO241" s="1271">
        <f t="shared" si="69"/>
        <v>0</v>
      </c>
      <c r="AP241" s="1271">
        <f t="shared" si="69"/>
        <v>0</v>
      </c>
      <c r="AQ241" s="1271">
        <f>0.861215638*Unit.TWh</f>
        <v>0.86121563800000001</v>
      </c>
      <c r="AR241" s="1271">
        <f>3.313229379*Unit.TWh</f>
        <v>3.313229379</v>
      </c>
      <c r="AS241" s="1271">
        <f>5.483743472*Unit.TWh</f>
        <v>5.4837434719999996</v>
      </c>
      <c r="AT241" s="1271">
        <f>9.878952814*Unit.TWh</f>
        <v>9.8789528139999998</v>
      </c>
      <c r="AU241" s="1271">
        <f>12.07762885*Unit.TWh</f>
        <v>12.07762885</v>
      </c>
      <c r="AV241" s="1271">
        <f>15.06624188*Unit.TWh</f>
        <v>15.06624188</v>
      </c>
      <c r="AW241" s="1271" t="s">
        <v>1179</v>
      </c>
      <c r="AX241" s="1214"/>
      <c r="AY241" s="1273">
        <f t="shared" ref="AY241:BI242" ca="1" si="70">AY221+AY226+AY231+AY236</f>
        <v>0</v>
      </c>
      <c r="AZ241" s="1273"/>
      <c r="BA241" s="1273">
        <f t="shared" ca="1" si="70"/>
        <v>0.13142242804166665</v>
      </c>
      <c r="BB241" s="1273">
        <f t="shared" ca="1" si="70"/>
        <v>3.0140876139388606</v>
      </c>
      <c r="BC241" s="1273">
        <f t="shared" ca="1" si="70"/>
        <v>6.6403498055675261</v>
      </c>
      <c r="BD241" s="1273">
        <f t="shared" ca="1" si="70"/>
        <v>11.174550655547504</v>
      </c>
      <c r="BE241" s="1273">
        <f t="shared" ca="1" si="70"/>
        <v>16.858011722794185</v>
      </c>
      <c r="BF241" s="1273">
        <f t="shared" ca="1" si="70"/>
        <v>23.81237420320716</v>
      </c>
      <c r="BG241" s="1273">
        <f t="shared" ca="1" si="70"/>
        <v>32.28279205089418</v>
      </c>
      <c r="BH241" s="1273">
        <f t="shared" ca="1" si="70"/>
        <v>42.443260246537498</v>
      </c>
      <c r="BI241" s="1273">
        <f t="shared" ca="1" si="70"/>
        <v>54.656933937500007</v>
      </c>
      <c r="BJ241" s="1214"/>
    </row>
    <row r="242" spans="1:62">
      <c r="B242" s="1214"/>
      <c r="C242" s="1269" t="s">
        <v>190</v>
      </c>
      <c r="D242" s="1269" t="s">
        <v>39</v>
      </c>
      <c r="E242" s="1214" t="s">
        <v>163</v>
      </c>
      <c r="F242" s="1270"/>
      <c r="G242" s="1270"/>
      <c r="H242" s="1271"/>
      <c r="I242" s="1271"/>
      <c r="J242" s="1271"/>
      <c r="K242" s="1271"/>
      <c r="L242" s="1271"/>
      <c r="M242" s="1271"/>
      <c r="N242" s="1271"/>
      <c r="O242" s="1271"/>
      <c r="P242" s="1271"/>
      <c r="Q242" s="1271"/>
      <c r="R242" s="1271"/>
      <c r="S242" s="1271"/>
      <c r="T242" s="1271"/>
      <c r="U242" s="1271"/>
      <c r="V242" s="1271"/>
      <c r="W242" s="1271"/>
      <c r="X242" s="1271"/>
      <c r="Y242" s="1271"/>
      <c r="Z242" s="1271"/>
      <c r="AA242" s="1271"/>
      <c r="AB242" s="1271"/>
      <c r="AC242" s="1271"/>
      <c r="AD242" s="1271"/>
      <c r="AE242" s="1271"/>
      <c r="AF242" s="1271"/>
      <c r="AG242" s="1271"/>
      <c r="AH242" s="1271"/>
      <c r="AI242" s="1271"/>
      <c r="AJ242" s="1271">
        <f>4.679912*Unit.TWh</f>
        <v>4.6799119999999998</v>
      </c>
      <c r="AK242" s="1271">
        <f>6.65236*Unit.TWh</f>
        <v>6.6523599999999998</v>
      </c>
      <c r="AL242" s="1271">
        <f>8.5030419*Unit.TWh</f>
        <v>8.5030418999999995</v>
      </c>
      <c r="AM242" s="1271">
        <f>9.7205866*Unit.TWh</f>
        <v>9.7205866000000007</v>
      </c>
      <c r="AN242" s="1271">
        <f>10.375123*Unit.TWh</f>
        <v>10.375123</v>
      </c>
      <c r="AO242" s="1271">
        <f>12.654603*Unit.TWh</f>
        <v>12.654603</v>
      </c>
      <c r="AP242" s="1271">
        <f>17.4844257*Unit.TWh</f>
        <v>17.484425699999999</v>
      </c>
      <c r="AQ242" s="1271">
        <f>18.91593462*Unit.TWh</f>
        <v>18.915934620000002</v>
      </c>
      <c r="AR242" s="1271">
        <f>19.24482717*Unit.TWh</f>
        <v>19.244827170000001</v>
      </c>
      <c r="AS242" s="1271">
        <f>20.29461125*Unit.TWh</f>
        <v>20.294611249999999</v>
      </c>
      <c r="AT242" s="1271">
        <f>20.91263605*Unit.TWh</f>
        <v>20.91263605</v>
      </c>
      <c r="AU242" s="1271">
        <f>21.92331406*Unit.TWh</f>
        <v>21.923314059999999</v>
      </c>
      <c r="AV242" s="1271">
        <f>22.89564828*Unit.TWh</f>
        <v>22.89564828</v>
      </c>
      <c r="AW242" s="1271" t="s">
        <v>1179</v>
      </c>
      <c r="AX242" s="1214"/>
      <c r="AY242" s="1273">
        <f t="shared" ca="1" si="70"/>
        <v>9.1777777777777771</v>
      </c>
      <c r="AZ242" s="1273"/>
      <c r="BA242" s="1273">
        <f t="shared" ca="1" si="70"/>
        <v>10.305777777777783</v>
      </c>
      <c r="BB242" s="1273">
        <f t="shared" ca="1" si="70"/>
        <v>11.346016666666671</v>
      </c>
      <c r="BC242" s="1273">
        <f t="shared" ca="1" si="70"/>
        <v>12.386255555555559</v>
      </c>
      <c r="BD242" s="1273">
        <f t="shared" ca="1" si="70"/>
        <v>13.426494444444447</v>
      </c>
      <c r="BE242" s="1273">
        <f t="shared" ca="1" si="70"/>
        <v>14.466733333333337</v>
      </c>
      <c r="BF242" s="1273">
        <f t="shared" ca="1" si="70"/>
        <v>14.832036478670412</v>
      </c>
      <c r="BG242" s="1273">
        <f t="shared" ca="1" si="70"/>
        <v>15.206563986198885</v>
      </c>
      <c r="BH242" s="1273">
        <f t="shared" ca="1" si="70"/>
        <v>15.590548782623422</v>
      </c>
      <c r="BI242" s="1273">
        <f t="shared" ca="1" si="70"/>
        <v>15.984229676339865</v>
      </c>
      <c r="BJ242" s="1214"/>
    </row>
    <row r="243" spans="1:62">
      <c r="B243" s="1214"/>
      <c r="C243" s="1269"/>
      <c r="D243" s="1269"/>
      <c r="E243" s="1214"/>
      <c r="F243" s="1270"/>
      <c r="G243" s="1270"/>
      <c r="H243" s="1271"/>
      <c r="I243" s="1271"/>
      <c r="J243" s="1271"/>
      <c r="K243" s="1271"/>
      <c r="L243" s="1271"/>
      <c r="M243" s="1271"/>
      <c r="N243" s="1271"/>
      <c r="O243" s="1271"/>
      <c r="P243" s="1271"/>
      <c r="Q243" s="1271"/>
      <c r="R243" s="1271"/>
      <c r="S243" s="1271"/>
      <c r="T243" s="1271"/>
      <c r="U243" s="1271"/>
      <c r="V243" s="1271"/>
      <c r="W243" s="1271"/>
      <c r="X243" s="1271"/>
      <c r="Y243" s="1271"/>
      <c r="Z243" s="1271"/>
      <c r="AA243" s="1271"/>
      <c r="AB243" s="1271"/>
      <c r="AC243" s="1271"/>
      <c r="AD243" s="1271"/>
      <c r="AE243" s="1271"/>
      <c r="AF243" s="1271"/>
      <c r="AG243" s="1271"/>
      <c r="AH243" s="1271"/>
      <c r="AI243" s="1271"/>
      <c r="AJ243" s="1271"/>
      <c r="AK243" s="1271"/>
      <c r="AL243" s="1271"/>
      <c r="AM243" s="1271"/>
      <c r="AN243" s="1271"/>
      <c r="AO243" s="1271"/>
      <c r="AP243" s="1271"/>
      <c r="AQ243" s="1271"/>
      <c r="AR243" s="1271"/>
      <c r="AS243" s="1271"/>
      <c r="AT243" s="1271"/>
      <c r="AU243" s="1271"/>
      <c r="AV243" s="1271"/>
      <c r="AW243" s="1271"/>
      <c r="AX243" s="1214"/>
      <c r="AY243" s="1273"/>
      <c r="AZ243" s="1273"/>
      <c r="BA243" s="1273"/>
      <c r="BB243" s="1273"/>
      <c r="BC243" s="1273"/>
      <c r="BD243" s="1273"/>
      <c r="BE243" s="1273"/>
      <c r="BF243" s="1273"/>
      <c r="BG243" s="1273"/>
      <c r="BH243" s="1273"/>
      <c r="BI243" s="1273"/>
      <c r="BJ243" s="1214"/>
    </row>
    <row r="244" spans="1:62">
      <c r="B244" s="1214"/>
      <c r="C244" s="1214"/>
      <c r="D244" s="1214"/>
      <c r="E244" s="1214"/>
      <c r="F244" s="1214"/>
      <c r="G244" s="1214"/>
      <c r="H244" s="1215"/>
      <c r="I244" s="1215"/>
      <c r="J244" s="1215"/>
      <c r="K244" s="1215"/>
      <c r="L244" s="1215"/>
      <c r="M244" s="1215"/>
      <c r="N244" s="1215"/>
      <c r="O244" s="1215"/>
      <c r="P244" s="1215"/>
      <c r="Q244" s="1215"/>
      <c r="R244" s="1215"/>
      <c r="S244" s="1215"/>
      <c r="T244" s="1215"/>
      <c r="U244" s="1215"/>
      <c r="V244" s="1215"/>
      <c r="W244" s="1215"/>
      <c r="X244" s="1215"/>
      <c r="Y244" s="1215"/>
      <c r="Z244" s="1215"/>
      <c r="AA244" s="1215"/>
      <c r="AB244" s="1215"/>
      <c r="AC244" s="1215"/>
      <c r="AD244" s="1215"/>
      <c r="AE244" s="1215"/>
      <c r="AF244" s="1215"/>
      <c r="AG244" s="1215"/>
      <c r="AH244" s="1215"/>
      <c r="AI244" s="1215"/>
      <c r="AJ244" s="1215"/>
      <c r="AK244" s="1215"/>
      <c r="AL244" s="1215"/>
      <c r="AM244" s="1215"/>
      <c r="AN244" s="1215"/>
      <c r="AO244" s="1215"/>
      <c r="AP244" s="1215"/>
      <c r="AQ244" s="1215"/>
      <c r="AR244" s="1215"/>
      <c r="AS244" s="1215"/>
      <c r="AT244" s="1215"/>
      <c r="AU244" s="1215"/>
      <c r="AV244" s="1215"/>
      <c r="AW244" s="1215"/>
      <c r="AX244" s="1214"/>
      <c r="AY244" s="1214"/>
      <c r="AZ244" s="1214"/>
      <c r="BA244" s="1214"/>
      <c r="BB244" s="1214"/>
      <c r="BC244" s="1214"/>
      <c r="BD244" s="1214"/>
      <c r="BE244" s="1214"/>
      <c r="BF244" s="1214"/>
      <c r="BG244" s="1214"/>
      <c r="BH244" s="1214"/>
      <c r="BI244" s="1214"/>
      <c r="BJ244" s="1214"/>
    </row>
    <row r="245" spans="1:62">
      <c r="B245" s="1214"/>
    </row>
    <row r="246" spans="1:62" ht="22.5">
      <c r="A246" s="420"/>
      <c r="B246" s="1276" t="s">
        <v>1190</v>
      </c>
      <c r="C246" s="1277"/>
      <c r="D246" s="1277"/>
      <c r="E246" s="1277"/>
      <c r="F246" s="1277"/>
      <c r="G246" s="1277"/>
      <c r="H246" s="1277"/>
      <c r="I246" s="1277"/>
      <c r="J246" s="1277"/>
      <c r="K246" s="1277"/>
      <c r="L246" s="1277"/>
      <c r="M246" s="1277"/>
      <c r="N246" s="1277"/>
      <c r="O246" s="1277"/>
      <c r="P246" s="1277"/>
      <c r="Q246" s="1277"/>
      <c r="R246" s="1277"/>
      <c r="S246" s="1277"/>
      <c r="T246" s="1277"/>
      <c r="U246" s="1277"/>
      <c r="V246" s="1277"/>
      <c r="W246" s="1277"/>
      <c r="X246" s="1277"/>
      <c r="Y246" s="1277"/>
      <c r="Z246" s="1277"/>
      <c r="AA246" s="1277"/>
      <c r="AB246" s="1277"/>
      <c r="AC246" s="1277"/>
      <c r="AD246" s="1277"/>
      <c r="AE246" s="1277"/>
      <c r="AF246" s="1277"/>
      <c r="AG246" s="1277"/>
      <c r="AH246" s="1277"/>
      <c r="AI246" s="1277"/>
      <c r="AJ246" s="1277"/>
      <c r="AK246" s="1277"/>
      <c r="AL246" s="1277"/>
      <c r="AM246" s="1277"/>
      <c r="AN246" s="1277"/>
      <c r="AO246" s="1277"/>
      <c r="AP246" s="1277"/>
      <c r="AQ246" s="1277"/>
      <c r="AR246" s="1277"/>
      <c r="AS246" s="1277"/>
      <c r="AT246" s="1277"/>
      <c r="AU246" s="1277"/>
      <c r="AV246" s="1277"/>
      <c r="AW246" s="1277"/>
      <c r="AX246" s="1277"/>
      <c r="AY246" s="1278"/>
      <c r="AZ246" s="1278"/>
      <c r="BA246" s="1278"/>
      <c r="BB246" s="1278"/>
      <c r="BC246" s="1278"/>
      <c r="BD246" s="1278"/>
      <c r="BE246" s="1278"/>
      <c r="BF246" s="1278"/>
      <c r="BG246" s="1278"/>
      <c r="BH246" s="1278"/>
      <c r="BI246" s="1278"/>
      <c r="BJ246" s="1279"/>
    </row>
    <row r="247" spans="1:62">
      <c r="C247" s="1281"/>
      <c r="D247" s="1281"/>
      <c r="E247" s="1281"/>
      <c r="F247" s="1281"/>
      <c r="G247" s="1281"/>
      <c r="H247" s="1281"/>
      <c r="I247" s="1281"/>
      <c r="J247" s="1281"/>
      <c r="K247" s="1281"/>
      <c r="L247" s="1281"/>
      <c r="M247" s="1281"/>
      <c r="N247" s="1281"/>
      <c r="O247" s="1281"/>
      <c r="P247" s="1281"/>
      <c r="Q247" s="1281"/>
      <c r="R247" s="1281"/>
      <c r="S247" s="1281"/>
      <c r="T247" s="1281"/>
      <c r="U247" s="1281"/>
      <c r="V247" s="1281"/>
      <c r="W247" s="1281"/>
      <c r="X247" s="1281"/>
      <c r="Y247" s="1281"/>
      <c r="Z247" s="1281"/>
      <c r="AA247" s="1281"/>
      <c r="AB247" s="1281"/>
      <c r="AC247" s="1281"/>
      <c r="AD247" s="1281"/>
      <c r="AE247" s="1281"/>
      <c r="AF247" s="1281"/>
      <c r="AG247" s="1281"/>
      <c r="AH247" s="1281"/>
      <c r="AI247" s="1281"/>
      <c r="AJ247" s="1281"/>
      <c r="AK247" s="1281"/>
      <c r="AL247" s="1281"/>
      <c r="AM247" s="1281"/>
      <c r="AN247" s="1281"/>
      <c r="AO247" s="1281"/>
      <c r="AP247" s="1281"/>
      <c r="AQ247" s="1281"/>
      <c r="AR247" s="1281"/>
      <c r="AS247" s="1281"/>
      <c r="AT247" s="1281"/>
      <c r="AU247" s="1281"/>
      <c r="AV247" s="1281"/>
      <c r="AW247" s="1281"/>
      <c r="AX247" s="1281"/>
      <c r="AY247" s="1282"/>
      <c r="AZ247" s="1282"/>
      <c r="BA247" s="1282"/>
      <c r="BB247" s="1282"/>
      <c r="BC247" s="1282"/>
      <c r="BD247" s="1282"/>
      <c r="BE247" s="1282"/>
      <c r="BF247" s="1282"/>
      <c r="BG247" s="1282"/>
      <c r="BH247" s="1282"/>
      <c r="BI247" s="1282"/>
      <c r="BJ247" s="1283"/>
    </row>
    <row r="248" spans="1:62" ht="15.75">
      <c r="B248" s="1276"/>
      <c r="C248" s="1285" t="s">
        <v>7</v>
      </c>
      <c r="D248" s="1285" t="str">
        <f>INDEX(Vectors[Description], MATCH($C248, Vectors[Code], 0))</f>
        <v>Nuclear fission</v>
      </c>
      <c r="E248" s="1285">
        <f t="shared" ref="E248:F254" si="71">E26</f>
        <v>0</v>
      </c>
      <c r="F248" s="1286">
        <f t="shared" si="71"/>
        <v>0</v>
      </c>
      <c r="G248" s="1286"/>
      <c r="H248" s="1286"/>
      <c r="I248" s="1286"/>
      <c r="J248" s="1286"/>
      <c r="K248" s="1286"/>
      <c r="L248" s="1286"/>
      <c r="M248" s="1286"/>
      <c r="N248" s="1286"/>
      <c r="O248" s="1286"/>
      <c r="P248" s="1286"/>
      <c r="Q248" s="1286"/>
      <c r="R248" s="1286"/>
      <c r="S248" s="1286"/>
      <c r="T248" s="1286"/>
      <c r="U248" s="1286"/>
      <c r="V248" s="1286"/>
      <c r="W248" s="1286"/>
      <c r="X248" s="1286"/>
      <c r="Y248" s="1286"/>
      <c r="Z248" s="1286"/>
      <c r="AA248" s="1286"/>
      <c r="AB248" s="1286"/>
      <c r="AC248" s="1286"/>
      <c r="AD248" s="1286"/>
      <c r="AE248" s="1286"/>
      <c r="AF248" s="1286"/>
      <c r="AG248" s="1286"/>
      <c r="AH248" s="1286"/>
      <c r="AI248" s="1286"/>
      <c r="AJ248" s="1286"/>
      <c r="AK248" s="1286"/>
      <c r="AL248" s="1286"/>
      <c r="AM248" s="1286"/>
      <c r="AN248" s="1286"/>
      <c r="AO248" s="1286"/>
      <c r="AP248" s="1286"/>
      <c r="AQ248" s="1286"/>
      <c r="AR248" s="1286"/>
      <c r="AS248" s="1286"/>
      <c r="AT248" s="1286"/>
      <c r="AU248" s="1286"/>
      <c r="AV248" s="1286"/>
      <c r="AW248" s="1286"/>
      <c r="AX248" s="1286">
        <f t="shared" ref="AX248:AY254" si="72">AX26</f>
        <v>0</v>
      </c>
      <c r="AY248" s="1286">
        <f t="shared" ca="1" si="72"/>
        <v>80.94774857142859</v>
      </c>
      <c r="AZ248" s="1286"/>
      <c r="BA248" s="1286">
        <f t="shared" ref="BA248:BI254" ca="1" si="73">BA26</f>
        <v>93.771154285714289</v>
      </c>
      <c r="BB248" s="1286">
        <f t="shared" ca="1" si="73"/>
        <v>199.9649828571429</v>
      </c>
      <c r="BC248" s="1286">
        <f t="shared" ca="1" si="73"/>
        <v>193.55328000000003</v>
      </c>
      <c r="BD248" s="1286">
        <f t="shared" ca="1" si="73"/>
        <v>193.55328000000003</v>
      </c>
      <c r="BE248" s="1286">
        <f t="shared" ca="1" si="73"/>
        <v>189.54596571428576</v>
      </c>
      <c r="BF248" s="1286">
        <f t="shared" ca="1" si="73"/>
        <v>180.72987428571432</v>
      </c>
      <c r="BG248" s="1286">
        <f t="shared" ca="1" si="73"/>
        <v>176.3218285714286</v>
      </c>
      <c r="BH248" s="1286">
        <f t="shared" ca="1" si="73"/>
        <v>167.50573714285716</v>
      </c>
      <c r="BI248" s="1286">
        <f t="shared" ca="1" si="73"/>
        <v>167.50573714285716</v>
      </c>
      <c r="BJ248" s="1287"/>
    </row>
    <row r="249" spans="1:62" ht="15.75">
      <c r="B249" s="1280"/>
      <c r="C249" s="1285" t="s">
        <v>24</v>
      </c>
      <c r="D249" s="1285" t="str">
        <f>INDEX(Vectors[Description], MATCH($C249, Vectors[Code], 0))</f>
        <v>Solar</v>
      </c>
      <c r="E249" s="1285">
        <f t="shared" si="71"/>
        <v>0</v>
      </c>
      <c r="F249" s="1286">
        <f t="shared" si="71"/>
        <v>0</v>
      </c>
      <c r="G249" s="1286"/>
      <c r="H249" s="1286"/>
      <c r="I249" s="1286"/>
      <c r="J249" s="1286"/>
      <c r="K249" s="1286"/>
      <c r="L249" s="1286"/>
      <c r="M249" s="1286"/>
      <c r="N249" s="1286"/>
      <c r="O249" s="1286"/>
      <c r="P249" s="1286"/>
      <c r="Q249" s="1286"/>
      <c r="R249" s="1286"/>
      <c r="S249" s="1286"/>
      <c r="T249" s="1286"/>
      <c r="U249" s="1286"/>
      <c r="V249" s="1286"/>
      <c r="W249" s="1286"/>
      <c r="X249" s="1286"/>
      <c r="Y249" s="1286"/>
      <c r="Z249" s="1286"/>
      <c r="AA249" s="1286"/>
      <c r="AB249" s="1286"/>
      <c r="AC249" s="1286"/>
      <c r="AD249" s="1286"/>
      <c r="AE249" s="1286"/>
      <c r="AF249" s="1286"/>
      <c r="AG249" s="1286"/>
      <c r="AH249" s="1286"/>
      <c r="AI249" s="1286"/>
      <c r="AJ249" s="1286"/>
      <c r="AK249" s="1286"/>
      <c r="AL249" s="1286"/>
      <c r="AM249" s="1286"/>
      <c r="AN249" s="1286"/>
      <c r="AO249" s="1286"/>
      <c r="AP249" s="1286"/>
      <c r="AQ249" s="1286"/>
      <c r="AR249" s="1286"/>
      <c r="AS249" s="1286"/>
      <c r="AT249" s="1286"/>
      <c r="AU249" s="1286"/>
      <c r="AV249" s="1286"/>
      <c r="AW249" s="1286"/>
      <c r="AX249" s="1286">
        <f t="shared" si="72"/>
        <v>0</v>
      </c>
      <c r="AY249" s="1286">
        <f t="shared" ca="1" si="72"/>
        <v>0</v>
      </c>
      <c r="AZ249" s="1286"/>
      <c r="BA249" s="1286">
        <f t="shared" ca="1" si="73"/>
        <v>1.56727314</v>
      </c>
      <c r="BB249" s="1286">
        <f t="shared" ca="1" si="73"/>
        <v>10.99938034075161</v>
      </c>
      <c r="BC249" s="1286">
        <f t="shared" ca="1" si="73"/>
        <v>27.366299513783936</v>
      </c>
      <c r="BD249" s="1286">
        <f t="shared" ca="1" si="73"/>
        <v>49.233277769900653</v>
      </c>
      <c r="BE249" s="1286">
        <f t="shared" ca="1" si="73"/>
        <v>74.393168287263421</v>
      </c>
      <c r="BF249" s="1286">
        <f t="shared" ca="1" si="73"/>
        <v>96.634101460999375</v>
      </c>
      <c r="BG249" s="1286">
        <f t="shared" ca="1" si="73"/>
        <v>108.73461587841729</v>
      </c>
      <c r="BH249" s="1286">
        <f t="shared" ca="1" si="73"/>
        <v>106.76952554064533</v>
      </c>
      <c r="BI249" s="1286">
        <f t="shared" ca="1" si="73"/>
        <v>93.110973518033461</v>
      </c>
      <c r="BJ249" s="1287"/>
    </row>
    <row r="250" spans="1:62">
      <c r="B250" s="1284"/>
      <c r="C250" s="1285" t="s">
        <v>8</v>
      </c>
      <c r="D250" s="1285" t="str">
        <f>INDEX(Vectors[Description], MATCH($C250, Vectors[Code], 0))</f>
        <v>Wind</v>
      </c>
      <c r="E250" s="1285">
        <f t="shared" si="71"/>
        <v>0</v>
      </c>
      <c r="F250" s="1286">
        <f t="shared" si="71"/>
        <v>0</v>
      </c>
      <c r="G250" s="1286"/>
      <c r="H250" s="1286"/>
      <c r="I250" s="1286"/>
      <c r="J250" s="1286"/>
      <c r="K250" s="1286"/>
      <c r="L250" s="1286"/>
      <c r="M250" s="1286"/>
      <c r="N250" s="1286"/>
      <c r="O250" s="1286"/>
      <c r="P250" s="1286"/>
      <c r="Q250" s="1286"/>
      <c r="R250" s="1286"/>
      <c r="S250" s="1286"/>
      <c r="T250" s="1286"/>
      <c r="U250" s="1286"/>
      <c r="V250" s="1286"/>
      <c r="W250" s="1286"/>
      <c r="X250" s="1286"/>
      <c r="Y250" s="1286"/>
      <c r="Z250" s="1286"/>
      <c r="AA250" s="1286"/>
      <c r="AB250" s="1286"/>
      <c r="AC250" s="1286"/>
      <c r="AD250" s="1286"/>
      <c r="AE250" s="1286"/>
      <c r="AF250" s="1286"/>
      <c r="AG250" s="1286"/>
      <c r="AH250" s="1286"/>
      <c r="AI250" s="1286"/>
      <c r="AJ250" s="1286"/>
      <c r="AK250" s="1286"/>
      <c r="AL250" s="1286"/>
      <c r="AM250" s="1286"/>
      <c r="AN250" s="1286"/>
      <c r="AO250" s="1286"/>
      <c r="AP250" s="1286"/>
      <c r="AQ250" s="1286"/>
      <c r="AR250" s="1286"/>
      <c r="AS250" s="1286"/>
      <c r="AT250" s="1286"/>
      <c r="AU250" s="1286"/>
      <c r="AV250" s="1286"/>
      <c r="AW250" s="1286"/>
      <c r="AX250" s="1286">
        <f t="shared" si="72"/>
        <v>0</v>
      </c>
      <c r="AY250" s="1286">
        <f t="shared" ca="1" si="72"/>
        <v>12.437183268</v>
      </c>
      <c r="AZ250" s="1286"/>
      <c r="BA250" s="1286">
        <f t="shared" ca="1" si="73"/>
        <v>18.722249233199999</v>
      </c>
      <c r="BB250" s="1286">
        <f t="shared" ca="1" si="73"/>
        <v>36.604889233199998</v>
      </c>
      <c r="BC250" s="1286">
        <f t="shared" ca="1" si="73"/>
        <v>59.966279233199998</v>
      </c>
      <c r="BD250" s="1286">
        <f t="shared" ca="1" si="73"/>
        <v>84.335759233199994</v>
      </c>
      <c r="BE250" s="1286">
        <f t="shared" ca="1" si="73"/>
        <v>115.49888923319999</v>
      </c>
      <c r="BF250" s="1286">
        <f t="shared" ca="1" si="73"/>
        <v>136.98612596519999</v>
      </c>
      <c r="BG250" s="1286">
        <f t="shared" ca="1" si="73"/>
        <v>151.03817999999998</v>
      </c>
      <c r="BH250" s="1286">
        <f t="shared" ca="1" si="73"/>
        <v>161.16290999999998</v>
      </c>
      <c r="BI250" s="1286">
        <f t="shared" ca="1" si="73"/>
        <v>161.95184999999998</v>
      </c>
      <c r="BJ250" s="1287"/>
    </row>
    <row r="251" spans="1:62">
      <c r="B251" s="1284"/>
      <c r="C251" s="1285" t="s">
        <v>9</v>
      </c>
      <c r="D251" s="1285" t="str">
        <f>INDEX(Vectors[Description], MATCH($C251, Vectors[Code], 0))</f>
        <v>Tidal</v>
      </c>
      <c r="E251" s="1285">
        <f t="shared" si="71"/>
        <v>0</v>
      </c>
      <c r="F251" s="1286">
        <f t="shared" si="71"/>
        <v>0</v>
      </c>
      <c r="G251" s="1286"/>
      <c r="H251" s="1286"/>
      <c r="I251" s="1286"/>
      <c r="J251" s="1286"/>
      <c r="K251" s="1286"/>
      <c r="L251" s="1286"/>
      <c r="M251" s="1286"/>
      <c r="N251" s="1286"/>
      <c r="O251" s="1286"/>
      <c r="P251" s="1286"/>
      <c r="Q251" s="1286"/>
      <c r="R251" s="1286"/>
      <c r="S251" s="1286"/>
      <c r="T251" s="1286"/>
      <c r="U251" s="1286"/>
      <c r="V251" s="1286"/>
      <c r="W251" s="1286"/>
      <c r="X251" s="1286"/>
      <c r="Y251" s="1286"/>
      <c r="Z251" s="1286"/>
      <c r="AA251" s="1286"/>
      <c r="AB251" s="1286"/>
      <c r="AC251" s="1286"/>
      <c r="AD251" s="1286"/>
      <c r="AE251" s="1286"/>
      <c r="AF251" s="1286"/>
      <c r="AG251" s="1286"/>
      <c r="AH251" s="1286"/>
      <c r="AI251" s="1286"/>
      <c r="AJ251" s="1286"/>
      <c r="AK251" s="1286"/>
      <c r="AL251" s="1286"/>
      <c r="AM251" s="1286"/>
      <c r="AN251" s="1286"/>
      <c r="AO251" s="1286"/>
      <c r="AP251" s="1286"/>
      <c r="AQ251" s="1286"/>
      <c r="AR251" s="1286"/>
      <c r="AS251" s="1286"/>
      <c r="AT251" s="1286"/>
      <c r="AU251" s="1286"/>
      <c r="AV251" s="1286"/>
      <c r="AW251" s="1286"/>
      <c r="AX251" s="1286">
        <f t="shared" si="72"/>
        <v>0</v>
      </c>
      <c r="AY251" s="1286">
        <f t="shared" ca="1" si="72"/>
        <v>0</v>
      </c>
      <c r="AZ251" s="1286"/>
      <c r="BA251" s="1286">
        <f t="shared" ca="1" si="73"/>
        <v>0</v>
      </c>
      <c r="BB251" s="1286">
        <f t="shared" ca="1" si="73"/>
        <v>0</v>
      </c>
      <c r="BC251" s="1286">
        <f t="shared" ca="1" si="73"/>
        <v>0</v>
      </c>
      <c r="BD251" s="1286">
        <f t="shared" ca="1" si="73"/>
        <v>0</v>
      </c>
      <c r="BE251" s="1286">
        <f t="shared" ca="1" si="73"/>
        <v>0</v>
      </c>
      <c r="BF251" s="1286">
        <f t="shared" ca="1" si="73"/>
        <v>0</v>
      </c>
      <c r="BG251" s="1286">
        <f t="shared" ca="1" si="73"/>
        <v>0</v>
      </c>
      <c r="BH251" s="1286">
        <f t="shared" ca="1" si="73"/>
        <v>0</v>
      </c>
      <c r="BI251" s="1286">
        <f t="shared" ca="1" si="73"/>
        <v>0</v>
      </c>
      <c r="BJ251" s="1287"/>
    </row>
    <row r="252" spans="1:62">
      <c r="B252" s="1284"/>
      <c r="C252" s="1285" t="s">
        <v>10</v>
      </c>
      <c r="D252" s="1285" t="str">
        <f>INDEX(Vectors[Description], MATCH($C252, Vectors[Code], 0))</f>
        <v>Wave</v>
      </c>
      <c r="E252" s="1285">
        <f t="shared" si="71"/>
        <v>0</v>
      </c>
      <c r="F252" s="1286">
        <f t="shared" si="71"/>
        <v>0</v>
      </c>
      <c r="G252" s="1286"/>
      <c r="H252" s="1286"/>
      <c r="I252" s="1286"/>
      <c r="J252" s="1286"/>
      <c r="K252" s="1286"/>
      <c r="L252" s="1286"/>
      <c r="M252" s="1286"/>
      <c r="N252" s="1286"/>
      <c r="O252" s="1286"/>
      <c r="P252" s="1286"/>
      <c r="Q252" s="1286"/>
      <c r="R252" s="1286"/>
      <c r="S252" s="1286"/>
      <c r="T252" s="1286"/>
      <c r="U252" s="1286"/>
      <c r="V252" s="1286"/>
      <c r="W252" s="1286"/>
      <c r="X252" s="1286"/>
      <c r="Y252" s="1286"/>
      <c r="Z252" s="1286"/>
      <c r="AA252" s="1286"/>
      <c r="AB252" s="1286"/>
      <c r="AC252" s="1286"/>
      <c r="AD252" s="1286"/>
      <c r="AE252" s="1286"/>
      <c r="AF252" s="1286"/>
      <c r="AG252" s="1286"/>
      <c r="AH252" s="1286"/>
      <c r="AI252" s="1286"/>
      <c r="AJ252" s="1286"/>
      <c r="AK252" s="1286"/>
      <c r="AL252" s="1286"/>
      <c r="AM252" s="1286"/>
      <c r="AN252" s="1286"/>
      <c r="AO252" s="1286"/>
      <c r="AP252" s="1286"/>
      <c r="AQ252" s="1286"/>
      <c r="AR252" s="1286"/>
      <c r="AS252" s="1286"/>
      <c r="AT252" s="1286"/>
      <c r="AU252" s="1286"/>
      <c r="AV252" s="1286"/>
      <c r="AW252" s="1286"/>
      <c r="AX252" s="1286">
        <f t="shared" si="72"/>
        <v>0</v>
      </c>
      <c r="AY252" s="1286">
        <f t="shared" ca="1" si="72"/>
        <v>0</v>
      </c>
      <c r="AZ252" s="1286"/>
      <c r="BA252" s="1286">
        <f t="shared" ca="1" si="73"/>
        <v>0</v>
      </c>
      <c r="BB252" s="1286">
        <f t="shared" ca="1" si="73"/>
        <v>0</v>
      </c>
      <c r="BC252" s="1286">
        <f t="shared" ca="1" si="73"/>
        <v>0</v>
      </c>
      <c r="BD252" s="1286">
        <f t="shared" ca="1" si="73"/>
        <v>0</v>
      </c>
      <c r="BE252" s="1286">
        <f t="shared" ca="1" si="73"/>
        <v>0</v>
      </c>
      <c r="BF252" s="1286">
        <f t="shared" ca="1" si="73"/>
        <v>0</v>
      </c>
      <c r="BG252" s="1286">
        <f t="shared" ca="1" si="73"/>
        <v>0</v>
      </c>
      <c r="BH252" s="1286">
        <f t="shared" ca="1" si="73"/>
        <v>0</v>
      </c>
      <c r="BI252" s="1286">
        <f t="shared" ca="1" si="73"/>
        <v>0</v>
      </c>
      <c r="BJ252" s="1287"/>
    </row>
    <row r="253" spans="1:62">
      <c r="B253" s="1284"/>
      <c r="C253" s="1285" t="s">
        <v>11</v>
      </c>
      <c r="D253" s="1285" t="str">
        <f>INDEX(Vectors[Description], MATCH($C253, Vectors[Code], 0))</f>
        <v>Geothermal</v>
      </c>
      <c r="E253" s="1285">
        <f t="shared" si="71"/>
        <v>0</v>
      </c>
      <c r="F253" s="1286">
        <f t="shared" si="71"/>
        <v>0</v>
      </c>
      <c r="G253" s="1286"/>
      <c r="H253" s="1286"/>
      <c r="I253" s="1286"/>
      <c r="J253" s="1286"/>
      <c r="K253" s="1286"/>
      <c r="L253" s="1286"/>
      <c r="M253" s="1286"/>
      <c r="N253" s="1286"/>
      <c r="O253" s="1286"/>
      <c r="P253" s="1286"/>
      <c r="Q253" s="1286"/>
      <c r="R253" s="1286"/>
      <c r="S253" s="1286"/>
      <c r="T253" s="1286"/>
      <c r="U253" s="1286"/>
      <c r="V253" s="1286"/>
      <c r="W253" s="1286"/>
      <c r="X253" s="1286"/>
      <c r="Y253" s="1286"/>
      <c r="Z253" s="1286"/>
      <c r="AA253" s="1286"/>
      <c r="AB253" s="1286"/>
      <c r="AC253" s="1286"/>
      <c r="AD253" s="1286"/>
      <c r="AE253" s="1286"/>
      <c r="AF253" s="1286"/>
      <c r="AG253" s="1286"/>
      <c r="AH253" s="1286"/>
      <c r="AI253" s="1286"/>
      <c r="AJ253" s="1286"/>
      <c r="AK253" s="1286"/>
      <c r="AL253" s="1286"/>
      <c r="AM253" s="1286"/>
      <c r="AN253" s="1286"/>
      <c r="AO253" s="1286"/>
      <c r="AP253" s="1286"/>
      <c r="AQ253" s="1286"/>
      <c r="AR253" s="1286"/>
      <c r="AS253" s="1286"/>
      <c r="AT253" s="1286"/>
      <c r="AU253" s="1286"/>
      <c r="AV253" s="1286"/>
      <c r="AW253" s="1286"/>
      <c r="AX253" s="1286">
        <f t="shared" si="72"/>
        <v>0</v>
      </c>
      <c r="AY253" s="1286">
        <f t="shared" ca="1" si="72"/>
        <v>0</v>
      </c>
      <c r="AZ253" s="1286"/>
      <c r="BA253" s="1286">
        <f t="shared" ca="1" si="73"/>
        <v>0</v>
      </c>
      <c r="BB253" s="1286">
        <f t="shared" ca="1" si="73"/>
        <v>0</v>
      </c>
      <c r="BC253" s="1286">
        <f t="shared" ca="1" si="73"/>
        <v>0</v>
      </c>
      <c r="BD253" s="1286">
        <f t="shared" ca="1" si="73"/>
        <v>0</v>
      </c>
      <c r="BE253" s="1286">
        <f t="shared" ca="1" si="73"/>
        <v>0</v>
      </c>
      <c r="BF253" s="1286">
        <f t="shared" ca="1" si="73"/>
        <v>0</v>
      </c>
      <c r="BG253" s="1286">
        <f t="shared" ca="1" si="73"/>
        <v>0</v>
      </c>
      <c r="BH253" s="1286">
        <f t="shared" ca="1" si="73"/>
        <v>0</v>
      </c>
      <c r="BI253" s="1286">
        <f t="shared" ca="1" si="73"/>
        <v>0</v>
      </c>
      <c r="BJ253" s="1287"/>
    </row>
    <row r="254" spans="1:62">
      <c r="B254" s="1284"/>
      <c r="C254" s="1285" t="s">
        <v>12</v>
      </c>
      <c r="D254" s="1285" t="str">
        <f>INDEX(Vectors[Description], MATCH($C254, Vectors[Code], 0))</f>
        <v>Hydro</v>
      </c>
      <c r="E254" s="1285">
        <f t="shared" si="71"/>
        <v>0</v>
      </c>
      <c r="F254" s="1286">
        <f t="shared" si="71"/>
        <v>0</v>
      </c>
      <c r="G254" s="1286"/>
      <c r="H254" s="1286"/>
      <c r="I254" s="1286"/>
      <c r="J254" s="1286"/>
      <c r="K254" s="1286"/>
      <c r="L254" s="1286"/>
      <c r="M254" s="1286"/>
      <c r="N254" s="1286"/>
      <c r="O254" s="1286"/>
      <c r="P254" s="1286"/>
      <c r="Q254" s="1286"/>
      <c r="R254" s="1286"/>
      <c r="S254" s="1286"/>
      <c r="T254" s="1286"/>
      <c r="U254" s="1286"/>
      <c r="V254" s="1286"/>
      <c r="W254" s="1286"/>
      <c r="X254" s="1286"/>
      <c r="Y254" s="1286"/>
      <c r="Z254" s="1286"/>
      <c r="AA254" s="1286"/>
      <c r="AB254" s="1286"/>
      <c r="AC254" s="1286"/>
      <c r="AD254" s="1286"/>
      <c r="AE254" s="1286"/>
      <c r="AF254" s="1286"/>
      <c r="AG254" s="1286"/>
      <c r="AH254" s="1286"/>
      <c r="AI254" s="1286"/>
      <c r="AJ254" s="1286"/>
      <c r="AK254" s="1286"/>
      <c r="AL254" s="1286"/>
      <c r="AM254" s="1286"/>
      <c r="AN254" s="1286"/>
      <c r="AO254" s="1286"/>
      <c r="AP254" s="1286"/>
      <c r="AQ254" s="1286"/>
      <c r="AR254" s="1286"/>
      <c r="AS254" s="1286"/>
      <c r="AT254" s="1286"/>
      <c r="AU254" s="1286"/>
      <c r="AV254" s="1286"/>
      <c r="AW254" s="1286"/>
      <c r="AX254" s="1286">
        <f t="shared" si="72"/>
        <v>0</v>
      </c>
      <c r="AY254" s="1286">
        <f t="shared" ca="1" si="72"/>
        <v>128.51059438799999</v>
      </c>
      <c r="AZ254" s="1286"/>
      <c r="BA254" s="1286">
        <f t="shared" ca="1" si="73"/>
        <v>155.84385898800002</v>
      </c>
      <c r="BB254" s="1286">
        <f t="shared" ca="1" si="73"/>
        <v>189.41763898800005</v>
      </c>
      <c r="BC254" s="1286">
        <f t="shared" ca="1" si="73"/>
        <v>195.75107398800003</v>
      </c>
      <c r="BD254" s="1286">
        <f t="shared" ca="1" si="73"/>
        <v>199.56428398800003</v>
      </c>
      <c r="BE254" s="1286">
        <f t="shared" ca="1" si="73"/>
        <v>203.46515398800005</v>
      </c>
      <c r="BF254" s="1286">
        <f t="shared" ca="1" si="73"/>
        <v>205.43750398800003</v>
      </c>
      <c r="BG254" s="1286">
        <f t="shared" ca="1" si="73"/>
        <v>205.71585955200004</v>
      </c>
      <c r="BH254" s="1286">
        <f t="shared" ca="1" si="73"/>
        <v>206.60431118400004</v>
      </c>
      <c r="BI254" s="1286">
        <f t="shared" ca="1" si="73"/>
        <v>207.19601618400003</v>
      </c>
      <c r="BJ254" s="1287"/>
    </row>
    <row r="255" spans="1:62">
      <c r="B255" s="1284"/>
      <c r="C255" s="1285" t="s">
        <v>47</v>
      </c>
      <c r="D255" s="1285" t="str">
        <f>INDEX(Vectors[Description], MATCH($C255, Vectors[Code], 0))</f>
        <v>Electricity oversupply (imports)</v>
      </c>
      <c r="E255" s="1285">
        <f>E33</f>
        <v>0</v>
      </c>
      <c r="F255" s="1286">
        <f>MAX(F33, 0)</f>
        <v>0</v>
      </c>
      <c r="G255" s="1286"/>
      <c r="H255" s="1286"/>
      <c r="I255" s="1286"/>
      <c r="J255" s="1286"/>
      <c r="K255" s="1286"/>
      <c r="L255" s="1286"/>
      <c r="M255" s="1286"/>
      <c r="N255" s="1286"/>
      <c r="O255" s="1286"/>
      <c r="P255" s="1286"/>
      <c r="Q255" s="1286"/>
      <c r="R255" s="1286"/>
      <c r="S255" s="1286"/>
      <c r="T255" s="1286"/>
      <c r="U255" s="1286"/>
      <c r="V255" s="1286"/>
      <c r="W255" s="1286"/>
      <c r="X255" s="1286"/>
      <c r="Y255" s="1286"/>
      <c r="Z255" s="1286"/>
      <c r="AA255" s="1286"/>
      <c r="AB255" s="1286"/>
      <c r="AC255" s="1286"/>
      <c r="AD255" s="1286"/>
      <c r="AE255" s="1286"/>
      <c r="AF255" s="1286"/>
      <c r="AG255" s="1286"/>
      <c r="AH255" s="1286"/>
      <c r="AI255" s="1286"/>
      <c r="AJ255" s="1286"/>
      <c r="AK255" s="1286"/>
      <c r="AL255" s="1286"/>
      <c r="AM255" s="1286"/>
      <c r="AN255" s="1286"/>
      <c r="AO255" s="1286"/>
      <c r="AP255" s="1286"/>
      <c r="AQ255" s="1286"/>
      <c r="AR255" s="1286"/>
      <c r="AS255" s="1286"/>
      <c r="AT255" s="1286"/>
      <c r="AU255" s="1286"/>
      <c r="AV255" s="1286"/>
      <c r="AW255" s="1286"/>
      <c r="AX255" s="1286">
        <f>MAX(AX33, 0)</f>
        <v>0</v>
      </c>
      <c r="AY255" s="1286">
        <f ca="1">MAX(AY33, 0)</f>
        <v>1</v>
      </c>
      <c r="AZ255" s="1286"/>
      <c r="BA255" s="1286">
        <f t="shared" ref="BA255:BI255" ca="1" si="74">MAX(BA33, 0)</f>
        <v>4.0000000000002274</v>
      </c>
      <c r="BB255" s="1286">
        <f t="shared" ca="1" si="74"/>
        <v>14.000000000000455</v>
      </c>
      <c r="BC255" s="1286">
        <f t="shared" ca="1" si="74"/>
        <v>21.000000000000227</v>
      </c>
      <c r="BD255" s="1286">
        <f t="shared" ca="1" si="74"/>
        <v>30.999999999999545</v>
      </c>
      <c r="BE255" s="1286">
        <f t="shared" ca="1" si="74"/>
        <v>39.999999999999545</v>
      </c>
      <c r="BF255" s="1286">
        <f t="shared" ca="1" si="74"/>
        <v>49</v>
      </c>
      <c r="BG255" s="1286">
        <f t="shared" ca="1" si="74"/>
        <v>55.000000000000909</v>
      </c>
      <c r="BH255" s="1286">
        <f t="shared" ca="1" si="74"/>
        <v>55.000000000000909</v>
      </c>
      <c r="BI255" s="1286">
        <f t="shared" ca="1" si="74"/>
        <v>55.000000000000909</v>
      </c>
      <c r="BJ255" s="1287"/>
    </row>
    <row r="256" spans="1:62">
      <c r="B256" s="1284"/>
      <c r="C256" s="1285" t="str">
        <f>C36</f>
        <v>R.07</v>
      </c>
      <c r="D256" s="1285" t="str">
        <f>D36</f>
        <v>Environmental heat</v>
      </c>
      <c r="E256" s="1285">
        <f>E36</f>
        <v>0</v>
      </c>
      <c r="F256" s="1286">
        <f>F36</f>
        <v>0</v>
      </c>
      <c r="G256" s="1286"/>
      <c r="H256" s="1286"/>
      <c r="I256" s="1286"/>
      <c r="J256" s="1286"/>
      <c r="K256" s="1286"/>
      <c r="L256" s="1286"/>
      <c r="M256" s="1286"/>
      <c r="N256" s="1286"/>
      <c r="O256" s="1286"/>
      <c r="P256" s="1286"/>
      <c r="Q256" s="1286"/>
      <c r="R256" s="1286"/>
      <c r="S256" s="1286"/>
      <c r="T256" s="1286"/>
      <c r="U256" s="1286"/>
      <c r="V256" s="1286"/>
      <c r="W256" s="1286"/>
      <c r="X256" s="1286"/>
      <c r="Y256" s="1286"/>
      <c r="Z256" s="1286"/>
      <c r="AA256" s="1286"/>
      <c r="AB256" s="1286"/>
      <c r="AC256" s="1286"/>
      <c r="AD256" s="1286"/>
      <c r="AE256" s="1286"/>
      <c r="AF256" s="1286"/>
      <c r="AG256" s="1286"/>
      <c r="AH256" s="1286"/>
      <c r="AI256" s="1286"/>
      <c r="AJ256" s="1286"/>
      <c r="AK256" s="1286"/>
      <c r="AL256" s="1286"/>
      <c r="AM256" s="1286"/>
      <c r="AN256" s="1286"/>
      <c r="AO256" s="1286"/>
      <c r="AP256" s="1286"/>
      <c r="AQ256" s="1286"/>
      <c r="AR256" s="1286"/>
      <c r="AS256" s="1286"/>
      <c r="AT256" s="1286"/>
      <c r="AU256" s="1286"/>
      <c r="AV256" s="1286"/>
      <c r="AW256" s="1286"/>
      <c r="AX256" s="1286">
        <f>AX36</f>
        <v>0</v>
      </c>
      <c r="AY256" s="1286">
        <f ca="1">AY36</f>
        <v>0</v>
      </c>
      <c r="AZ256" s="1286"/>
      <c r="BA256" s="1286">
        <f t="shared" ref="BA256:BI256" ca="1" si="75">BA36</f>
        <v>0</v>
      </c>
      <c r="BB256" s="1286">
        <f t="shared" ca="1" si="75"/>
        <v>0</v>
      </c>
      <c r="BC256" s="1286">
        <f t="shared" ca="1" si="75"/>
        <v>0</v>
      </c>
      <c r="BD256" s="1286">
        <f t="shared" ca="1" si="75"/>
        <v>0</v>
      </c>
      <c r="BE256" s="1286">
        <f t="shared" ca="1" si="75"/>
        <v>0</v>
      </c>
      <c r="BF256" s="1286">
        <f t="shared" ca="1" si="75"/>
        <v>0</v>
      </c>
      <c r="BG256" s="1286">
        <f t="shared" ca="1" si="75"/>
        <v>0</v>
      </c>
      <c r="BH256" s="1286">
        <f t="shared" ca="1" si="75"/>
        <v>0</v>
      </c>
      <c r="BI256" s="1286">
        <f t="shared" ca="1" si="75"/>
        <v>0</v>
      </c>
      <c r="BJ256" s="1287"/>
    </row>
    <row r="257" spans="2:65">
      <c r="B257" s="1284"/>
      <c r="C257" s="1285"/>
      <c r="D257" s="1285" t="s">
        <v>2037</v>
      </c>
      <c r="E257" s="1285">
        <f>E40</f>
        <v>0</v>
      </c>
      <c r="F257" s="1286">
        <f>F40</f>
        <v>0</v>
      </c>
      <c r="G257" s="1286"/>
      <c r="H257" s="1286"/>
      <c r="I257" s="1286"/>
      <c r="J257" s="1286"/>
      <c r="K257" s="1286"/>
      <c r="L257" s="1286"/>
      <c r="M257" s="1286"/>
      <c r="N257" s="1286"/>
      <c r="O257" s="1286"/>
      <c r="P257" s="1286"/>
      <c r="Q257" s="1286"/>
      <c r="R257" s="1286"/>
      <c r="S257" s="1286"/>
      <c r="T257" s="1286"/>
      <c r="U257" s="1286"/>
      <c r="V257" s="1286"/>
      <c r="W257" s="1286"/>
      <c r="X257" s="1286"/>
      <c r="Y257" s="1286"/>
      <c r="Z257" s="1286"/>
      <c r="AA257" s="1286"/>
      <c r="AB257" s="1286"/>
      <c r="AC257" s="1286"/>
      <c r="AD257" s="1286"/>
      <c r="AE257" s="1286"/>
      <c r="AF257" s="1286"/>
      <c r="AG257" s="1286"/>
      <c r="AH257" s="1286"/>
      <c r="AI257" s="1286"/>
      <c r="AJ257" s="1286"/>
      <c r="AK257" s="1286"/>
      <c r="AL257" s="1286"/>
      <c r="AM257" s="1286"/>
      <c r="AN257" s="1286"/>
      <c r="AO257" s="1286"/>
      <c r="AP257" s="1286"/>
      <c r="AQ257" s="1286"/>
      <c r="AR257" s="1286"/>
      <c r="AS257" s="1286"/>
      <c r="AT257" s="1286"/>
      <c r="AU257" s="1286"/>
      <c r="AV257" s="1286"/>
      <c r="AW257" s="1286"/>
      <c r="AX257" s="1286">
        <f>AX40</f>
        <v>0</v>
      </c>
      <c r="AY257" s="1286">
        <f ca="1">AY40</f>
        <v>946.41133333333335</v>
      </c>
      <c r="AZ257" s="1286"/>
      <c r="BA257" s="1286">
        <f t="shared" ref="BA257:BI257" ca="1" si="76">BA40</f>
        <v>958.84700020581943</v>
      </c>
      <c r="BB257" s="1286">
        <f t="shared" ca="1" si="76"/>
        <v>961.86501892823412</v>
      </c>
      <c r="BC257" s="1286">
        <f t="shared" ca="1" si="76"/>
        <v>965.66647208418749</v>
      </c>
      <c r="BD257" s="1286">
        <f t="shared" ca="1" si="76"/>
        <v>970.41610129726416</v>
      </c>
      <c r="BE257" s="1286">
        <f t="shared" ca="1" si="76"/>
        <v>976.35563211308579</v>
      </c>
      <c r="BF257" s="1286">
        <f t="shared" ca="1" si="76"/>
        <v>982.93217802676475</v>
      </c>
      <c r="BG257" s="1286">
        <f t="shared" ca="1" si="76"/>
        <v>987.4628060370934</v>
      </c>
      <c r="BH257" s="1286">
        <f t="shared" ca="1" si="76"/>
        <v>993.13453402916116</v>
      </c>
      <c r="BI257" s="1286">
        <f t="shared" ca="1" si="76"/>
        <v>1000.8691636138399</v>
      </c>
      <c r="BJ257" s="1287"/>
    </row>
    <row r="258" spans="2:65">
      <c r="B258" s="1284"/>
      <c r="C258" s="1285"/>
      <c r="D258" s="1285" t="str">
        <f>D43</f>
        <v>Coal</v>
      </c>
      <c r="E258" s="1285">
        <f>E43</f>
        <v>0</v>
      </c>
      <c r="F258" s="1286">
        <f>MAX(F43,0)</f>
        <v>0</v>
      </c>
      <c r="G258" s="1286"/>
      <c r="H258" s="1286"/>
      <c r="I258" s="1286"/>
      <c r="J258" s="1286"/>
      <c r="K258" s="1286"/>
      <c r="L258" s="1286"/>
      <c r="M258" s="1286"/>
      <c r="N258" s="1286"/>
      <c r="O258" s="1286"/>
      <c r="P258" s="1286"/>
      <c r="Q258" s="1286"/>
      <c r="R258" s="1286"/>
      <c r="S258" s="1286"/>
      <c r="T258" s="1286"/>
      <c r="U258" s="1286"/>
      <c r="V258" s="1286"/>
      <c r="W258" s="1286"/>
      <c r="X258" s="1286"/>
      <c r="Y258" s="1286"/>
      <c r="Z258" s="1286"/>
      <c r="AA258" s="1286"/>
      <c r="AB258" s="1286"/>
      <c r="AC258" s="1286"/>
      <c r="AD258" s="1286"/>
      <c r="AE258" s="1286"/>
      <c r="AF258" s="1286"/>
      <c r="AG258" s="1286"/>
      <c r="AH258" s="1286"/>
      <c r="AI258" s="1286"/>
      <c r="AJ258" s="1286"/>
      <c r="AK258" s="1286"/>
      <c r="AL258" s="1286"/>
      <c r="AM258" s="1286"/>
      <c r="AN258" s="1286"/>
      <c r="AO258" s="1286"/>
      <c r="AP258" s="1286"/>
      <c r="AQ258" s="1286"/>
      <c r="AR258" s="1286"/>
      <c r="AS258" s="1286"/>
      <c r="AT258" s="1286"/>
      <c r="AU258" s="1286"/>
      <c r="AV258" s="1286"/>
      <c r="AW258" s="1286"/>
      <c r="AX258" s="1286">
        <f>MAX(AX43,0)</f>
        <v>0</v>
      </c>
      <c r="AY258" s="1286">
        <f ca="1">AY43</f>
        <v>2316.2462455929053</v>
      </c>
      <c r="AZ258" s="1286"/>
      <c r="BA258" s="1286">
        <f t="shared" ref="BA258:BI258" ca="1" si="77">BA43</f>
        <v>3238.2489822140624</v>
      </c>
      <c r="BB258" s="1286">
        <f t="shared" ca="1" si="77"/>
        <v>4492.7367614435316</v>
      </c>
      <c r="BC258" s="1286">
        <f t="shared" ca="1" si="77"/>
        <v>6652.3651747013391</v>
      </c>
      <c r="BD258" s="1286">
        <f t="shared" ca="1" si="77"/>
        <v>9337.4357162545803</v>
      </c>
      <c r="BE258" s="1286">
        <f t="shared" ca="1" si="77"/>
        <v>12807.871055210169</v>
      </c>
      <c r="BF258" s="1286">
        <f t="shared" ca="1" si="77"/>
        <v>16014.06130301861</v>
      </c>
      <c r="BG258" s="1286">
        <f t="shared" ca="1" si="77"/>
        <v>19519.972798371477</v>
      </c>
      <c r="BH258" s="1286">
        <f t="shared" ca="1" si="77"/>
        <v>22648.081872617422</v>
      </c>
      <c r="BI258" s="1286">
        <f t="shared" ca="1" si="77"/>
        <v>26136.766339922484</v>
      </c>
      <c r="BJ258" s="1287"/>
    </row>
    <row r="259" spans="2:65">
      <c r="B259" s="1284"/>
      <c r="C259" s="1285"/>
      <c r="D259" s="1285" t="s">
        <v>110</v>
      </c>
      <c r="E259" s="1285">
        <f>E46</f>
        <v>0</v>
      </c>
      <c r="F259" s="1286">
        <f>F46</f>
        <v>0</v>
      </c>
      <c r="G259" s="1286"/>
      <c r="H259" s="1286"/>
      <c r="I259" s="1286"/>
      <c r="J259" s="1286"/>
      <c r="K259" s="1286"/>
      <c r="L259" s="1286"/>
      <c r="M259" s="1286"/>
      <c r="N259" s="1286"/>
      <c r="O259" s="1286"/>
      <c r="P259" s="1286"/>
      <c r="Q259" s="1286"/>
      <c r="R259" s="1286"/>
      <c r="S259" s="1286"/>
      <c r="T259" s="1286"/>
      <c r="U259" s="1286"/>
      <c r="V259" s="1286"/>
      <c r="W259" s="1286"/>
      <c r="X259" s="1286"/>
      <c r="Y259" s="1286"/>
      <c r="Z259" s="1286"/>
      <c r="AA259" s="1286"/>
      <c r="AB259" s="1286"/>
      <c r="AC259" s="1286"/>
      <c r="AD259" s="1286"/>
      <c r="AE259" s="1286"/>
      <c r="AF259" s="1286"/>
      <c r="AG259" s="1286"/>
      <c r="AH259" s="1286"/>
      <c r="AI259" s="1286"/>
      <c r="AJ259" s="1286"/>
      <c r="AK259" s="1286"/>
      <c r="AL259" s="1286"/>
      <c r="AM259" s="1286"/>
      <c r="AN259" s="1286"/>
      <c r="AO259" s="1286"/>
      <c r="AP259" s="1286"/>
      <c r="AQ259" s="1286"/>
      <c r="AR259" s="1286"/>
      <c r="AS259" s="1286"/>
      <c r="AT259" s="1286"/>
      <c r="AU259" s="1286"/>
      <c r="AV259" s="1286"/>
      <c r="AW259" s="1286"/>
      <c r="AX259" s="1286">
        <f>AX46</f>
        <v>0</v>
      </c>
      <c r="AY259" s="1286">
        <f ca="1">AY46</f>
        <v>1612.6260395924837</v>
      </c>
      <c r="AZ259" s="1286"/>
      <c r="BA259" s="1286">
        <f t="shared" ref="BA259:BI259" ca="1" si="78">BA46</f>
        <v>1909.5772800259967</v>
      </c>
      <c r="BB259" s="1286">
        <f t="shared" ca="1" si="78"/>
        <v>2580.7414083504682</v>
      </c>
      <c r="BC259" s="1286">
        <f t="shared" ca="1" si="78"/>
        <v>3461.0760192506468</v>
      </c>
      <c r="BD259" s="1286">
        <f t="shared" ca="1" si="78"/>
        <v>4507.4722912926109</v>
      </c>
      <c r="BE259" s="1286">
        <f t="shared" ca="1" si="78"/>
        <v>5733.5036530053567</v>
      </c>
      <c r="BF259" s="1286">
        <f t="shared" ca="1" si="78"/>
        <v>7104.9780416879994</v>
      </c>
      <c r="BG259" s="1286">
        <f t="shared" ca="1" si="78"/>
        <v>8497.5521704450966</v>
      </c>
      <c r="BH259" s="1286">
        <f t="shared" ca="1" si="78"/>
        <v>10064.421013056954</v>
      </c>
      <c r="BI259" s="1286">
        <f t="shared" ca="1" si="78"/>
        <v>11740.454555189404</v>
      </c>
      <c r="BJ259" s="1287"/>
    </row>
    <row r="260" spans="2:65">
      <c r="B260" s="1284"/>
      <c r="C260" s="1285"/>
      <c r="D260" s="1285" t="str">
        <f t="shared" ref="D260:F261" si="79">D49</f>
        <v>Natural gas</v>
      </c>
      <c r="E260" s="1285">
        <f t="shared" si="79"/>
        <v>0</v>
      </c>
      <c r="F260" s="1286">
        <f t="shared" si="79"/>
        <v>0</v>
      </c>
      <c r="G260" s="1286"/>
      <c r="H260" s="1286"/>
      <c r="I260" s="1286"/>
      <c r="J260" s="1286"/>
      <c r="K260" s="1286"/>
      <c r="L260" s="1286"/>
      <c r="M260" s="1286"/>
      <c r="N260" s="1286"/>
      <c r="O260" s="1286"/>
      <c r="P260" s="1286"/>
      <c r="Q260" s="1286"/>
      <c r="R260" s="1286"/>
      <c r="S260" s="1286"/>
      <c r="T260" s="1286"/>
      <c r="U260" s="1286"/>
      <c r="V260" s="1286"/>
      <c r="W260" s="1286"/>
      <c r="X260" s="1286"/>
      <c r="Y260" s="1286"/>
      <c r="Z260" s="1286"/>
      <c r="AA260" s="1286"/>
      <c r="AB260" s="1286"/>
      <c r="AC260" s="1286"/>
      <c r="AD260" s="1286"/>
      <c r="AE260" s="1286"/>
      <c r="AF260" s="1286"/>
      <c r="AG260" s="1286"/>
      <c r="AH260" s="1286"/>
      <c r="AI260" s="1286"/>
      <c r="AJ260" s="1286"/>
      <c r="AK260" s="1286"/>
      <c r="AL260" s="1286"/>
      <c r="AM260" s="1286"/>
      <c r="AN260" s="1286"/>
      <c r="AO260" s="1286"/>
      <c r="AP260" s="1286"/>
      <c r="AQ260" s="1286"/>
      <c r="AR260" s="1286"/>
      <c r="AS260" s="1286"/>
      <c r="AT260" s="1286"/>
      <c r="AU260" s="1286"/>
      <c r="AV260" s="1286"/>
      <c r="AW260" s="1286"/>
      <c r="AX260" s="1286">
        <f>AX49</f>
        <v>0</v>
      </c>
      <c r="AY260" s="1286">
        <f ca="1">AY49</f>
        <v>450.37586718740386</v>
      </c>
      <c r="AZ260" s="1286"/>
      <c r="BA260" s="1286">
        <f t="shared" ref="BA260:BI261" ca="1" si="80">BA49</f>
        <v>607.99706212180251</v>
      </c>
      <c r="BB260" s="1286">
        <f t="shared" ca="1" si="80"/>
        <v>954.37407948436692</v>
      </c>
      <c r="BC260" s="1286">
        <f t="shared" ca="1" si="80"/>
        <v>1129.3893445499402</v>
      </c>
      <c r="BD260" s="1286">
        <f t="shared" ca="1" si="80"/>
        <v>1306.3655615252346</v>
      </c>
      <c r="BE260" s="1286">
        <f t="shared" ca="1" si="80"/>
        <v>1524.5511448106251</v>
      </c>
      <c r="BF260" s="1286">
        <f t="shared" ca="1" si="80"/>
        <v>1771.6776988819261</v>
      </c>
      <c r="BG260" s="1286">
        <f t="shared" ca="1" si="80"/>
        <v>2046.6620023011292</v>
      </c>
      <c r="BH260" s="1286">
        <f t="shared" ca="1" si="80"/>
        <v>2346.3840289711452</v>
      </c>
      <c r="BI260" s="1286">
        <f t="shared" ca="1" si="80"/>
        <v>2682.6666261638215</v>
      </c>
      <c r="BJ260" s="1287"/>
    </row>
    <row r="261" spans="2:65">
      <c r="B261" s="1284"/>
      <c r="C261" s="1285"/>
      <c r="D261" s="1288" t="str">
        <f t="shared" si="79"/>
        <v>Total Primary Supply</v>
      </c>
      <c r="E261" s="1285">
        <f t="shared" si="79"/>
        <v>0</v>
      </c>
      <c r="F261" s="1289">
        <f t="shared" si="79"/>
        <v>0</v>
      </c>
      <c r="G261" s="1289"/>
      <c r="H261" s="1289"/>
      <c r="I261" s="1289"/>
      <c r="J261" s="1289"/>
      <c r="K261" s="1289"/>
      <c r="L261" s="1289"/>
      <c r="M261" s="1289"/>
      <c r="N261" s="1289"/>
      <c r="O261" s="1289"/>
      <c r="P261" s="1289"/>
      <c r="Q261" s="1289"/>
      <c r="R261" s="1289"/>
      <c r="S261" s="1289"/>
      <c r="T261" s="1289"/>
      <c r="U261" s="1289"/>
      <c r="V261" s="1289"/>
      <c r="W261" s="1289"/>
      <c r="X261" s="1289"/>
      <c r="Y261" s="1289"/>
      <c r="Z261" s="1289"/>
      <c r="AA261" s="1289"/>
      <c r="AB261" s="1289"/>
      <c r="AC261" s="1289"/>
      <c r="AD261" s="1289"/>
      <c r="AE261" s="1289"/>
      <c r="AF261" s="1289"/>
      <c r="AG261" s="1289"/>
      <c r="AH261" s="1289"/>
      <c r="AI261" s="1289"/>
      <c r="AJ261" s="1289"/>
      <c r="AK261" s="1289"/>
      <c r="AL261" s="1289"/>
      <c r="AM261" s="1289"/>
      <c r="AN261" s="1289"/>
      <c r="AO261" s="1289"/>
      <c r="AP261" s="1289"/>
      <c r="AQ261" s="1289"/>
      <c r="AR261" s="1289"/>
      <c r="AS261" s="1289"/>
      <c r="AT261" s="1289"/>
      <c r="AU261" s="1289"/>
      <c r="AV261" s="1289"/>
      <c r="AW261" s="1289"/>
      <c r="AX261" s="1289">
        <f>AX50</f>
        <v>0</v>
      </c>
      <c r="AY261" s="1289">
        <f ca="1">AY50</f>
        <v>5548.5550119335549</v>
      </c>
      <c r="AZ261" s="1289"/>
      <c r="BA261" s="1289">
        <f t="shared" ca="1" si="80"/>
        <v>6988.574860214595</v>
      </c>
      <c r="BB261" s="1289">
        <f t="shared" ca="1" si="80"/>
        <v>9440.704159625695</v>
      </c>
      <c r="BC261" s="1289">
        <f t="shared" ca="1" si="80"/>
        <v>12706.133943321098</v>
      </c>
      <c r="BD261" s="1289">
        <f t="shared" ca="1" si="80"/>
        <v>16679.37627136079</v>
      </c>
      <c r="BE261" s="1289">
        <f t="shared" ca="1" si="80"/>
        <v>21665.184662361986</v>
      </c>
      <c r="BF261" s="1289">
        <f t="shared" ca="1" si="80"/>
        <v>26542.436827315214</v>
      </c>
      <c r="BG261" s="1289">
        <f t="shared" ca="1" si="80"/>
        <v>31748.460261156637</v>
      </c>
      <c r="BH261" s="1289">
        <f t="shared" ca="1" si="80"/>
        <v>36749.063932542187</v>
      </c>
      <c r="BI261" s="1289">
        <f t="shared" ca="1" si="80"/>
        <v>42245.521261734444</v>
      </c>
      <c r="BJ261" s="1287"/>
    </row>
    <row r="262" spans="2:65">
      <c r="B262" s="1284"/>
      <c r="C262" s="1285"/>
      <c r="D262" s="1285" t="s">
        <v>2080</v>
      </c>
      <c r="E262" s="1285"/>
      <c r="F262" s="1290">
        <f>MAX(0,F33)+MAX(0,F39)+MAX(0,F41)+MAX(0,F45)+MAX(0,F47)+F26</f>
        <v>0</v>
      </c>
      <c r="G262" s="1290"/>
      <c r="H262" s="1290"/>
      <c r="I262" s="1290"/>
      <c r="J262" s="1290"/>
      <c r="K262" s="1290"/>
      <c r="L262" s="1290"/>
      <c r="M262" s="1290"/>
      <c r="N262" s="1290"/>
      <c r="O262" s="1290"/>
      <c r="P262" s="1290"/>
      <c r="Q262" s="1290"/>
      <c r="R262" s="1290"/>
      <c r="S262" s="1290"/>
      <c r="T262" s="1290"/>
      <c r="U262" s="1290"/>
      <c r="V262" s="1290"/>
      <c r="W262" s="1290"/>
      <c r="X262" s="1290"/>
      <c r="Y262" s="1290"/>
      <c r="Z262" s="1290"/>
      <c r="AA262" s="1290"/>
      <c r="AB262" s="1290"/>
      <c r="AC262" s="1290"/>
      <c r="AD262" s="1290"/>
      <c r="AE262" s="1290"/>
      <c r="AF262" s="1290"/>
      <c r="AG262" s="1290"/>
      <c r="AH262" s="1290"/>
      <c r="AI262" s="1290"/>
      <c r="AJ262" s="1290"/>
      <c r="AK262" s="1290"/>
      <c r="AL262" s="1290"/>
      <c r="AM262" s="1290"/>
      <c r="AN262" s="1290"/>
      <c r="AO262" s="1290"/>
      <c r="AP262" s="1290"/>
      <c r="AQ262" s="1290"/>
      <c r="AR262" s="1290"/>
      <c r="AS262" s="1290"/>
      <c r="AT262" s="1290"/>
      <c r="AU262" s="1290"/>
      <c r="AV262" s="1290"/>
      <c r="AW262" s="1290"/>
      <c r="AX262" s="1290">
        <f>MAX(0,AX33)+MAX(0,AX39)+MAX(0,AX41)+MAX(0,AX45)+MAX(0,AX47)</f>
        <v>0</v>
      </c>
      <c r="AY262" s="1290">
        <f ca="1">MAX(0,AY33)+MAX(0,AY39)+MAX(0,AY41)+MAX(0,AY45)+MAX(0,AY47)+AY26</f>
        <v>1766.0046484442212</v>
      </c>
      <c r="AZ262" s="1290"/>
      <c r="BA262" s="1290">
        <f t="shared" ref="BA262:BI262" ca="1" si="81">MAX(0,BA33)+MAX(0,BA39)+MAX(0,BA41)+MAX(0,BA45)+MAX(0,BA47)+BA26</f>
        <v>2257.0221861475761</v>
      </c>
      <c r="BB262" s="1290">
        <f t="shared" ca="1" si="81"/>
        <v>4111.112413098982</v>
      </c>
      <c r="BC262" s="1290">
        <f t="shared" ca="1" si="81"/>
        <v>6917.8501700579873</v>
      </c>
      <c r="BD262" s="1290">
        <f t="shared" ca="1" si="81"/>
        <v>10510.055990600831</v>
      </c>
      <c r="BE262" s="1290">
        <f t="shared" ca="1" si="81"/>
        <v>15292.611416418711</v>
      </c>
      <c r="BF262" s="1290">
        <f t="shared" ca="1" si="81"/>
        <v>20012.648543574265</v>
      </c>
      <c r="BG262" s="1290">
        <f t="shared" ca="1" si="81"/>
        <v>25764.84661723821</v>
      </c>
      <c r="BH262" s="1290">
        <f t="shared" ca="1" si="81"/>
        <v>31232.867757917629</v>
      </c>
      <c r="BI262" s="1290">
        <f t="shared" ca="1" si="81"/>
        <v>37142.170306654822</v>
      </c>
      <c r="BJ262" s="1287"/>
    </row>
    <row r="263" spans="2:65">
      <c r="B263" s="1284"/>
      <c r="C263" s="1285"/>
      <c r="D263" s="1285"/>
      <c r="E263" s="1285"/>
      <c r="F263" s="1290"/>
      <c r="G263" s="1290"/>
      <c r="H263" s="1290"/>
      <c r="I263" s="1290"/>
      <c r="J263" s="1290"/>
      <c r="K263" s="1290"/>
      <c r="L263" s="1290"/>
      <c r="M263" s="1290"/>
      <c r="N263" s="1290"/>
      <c r="O263" s="1290"/>
      <c r="P263" s="1290"/>
      <c r="Q263" s="1290"/>
      <c r="R263" s="1290"/>
      <c r="S263" s="1290"/>
      <c r="T263" s="1290"/>
      <c r="U263" s="1290"/>
      <c r="V263" s="1290"/>
      <c r="W263" s="1290"/>
      <c r="X263" s="1290"/>
      <c r="Y263" s="1290"/>
      <c r="Z263" s="1290"/>
      <c r="AA263" s="1290"/>
      <c r="AB263" s="1290"/>
      <c r="AC263" s="1290"/>
      <c r="AD263" s="1290"/>
      <c r="AE263" s="1290"/>
      <c r="AF263" s="1290"/>
      <c r="AG263" s="1290"/>
      <c r="AH263" s="1290"/>
      <c r="AI263" s="1290"/>
      <c r="AJ263" s="1290"/>
      <c r="AK263" s="1290"/>
      <c r="AL263" s="1290"/>
      <c r="AM263" s="1290"/>
      <c r="AN263" s="1290"/>
      <c r="AO263" s="1290"/>
      <c r="AP263" s="1290"/>
      <c r="AQ263" s="1290"/>
      <c r="AR263" s="1290"/>
      <c r="AS263" s="1290"/>
      <c r="AT263" s="1290"/>
      <c r="AU263" s="1290"/>
      <c r="AV263" s="1290"/>
      <c r="AW263" s="1290"/>
      <c r="AX263" s="1290"/>
      <c r="AY263" s="1290"/>
      <c r="AZ263" s="1290"/>
      <c r="BA263" s="1290"/>
      <c r="BB263" s="1290"/>
      <c r="BC263" s="1290"/>
      <c r="BD263" s="1290"/>
      <c r="BE263" s="1290"/>
      <c r="BF263" s="1290"/>
      <c r="BG263" s="1290"/>
      <c r="BH263" s="1290" t="s">
        <v>1191</v>
      </c>
      <c r="BI263" s="1291">
        <f ca="1">BI262/BI261</f>
        <v>0.87919782257007717</v>
      </c>
      <c r="BJ263" s="1287"/>
    </row>
    <row r="264" spans="2:65">
      <c r="B264" s="1284"/>
      <c r="C264" s="1285"/>
      <c r="D264" s="1285" t="s">
        <v>1192</v>
      </c>
      <c r="E264" s="1285"/>
      <c r="F264" s="1290"/>
      <c r="G264" s="1290"/>
      <c r="H264" s="1290"/>
      <c r="I264" s="1290"/>
      <c r="J264" s="1290"/>
      <c r="K264" s="1290"/>
      <c r="L264" s="1290"/>
      <c r="M264" s="1290"/>
      <c r="N264" s="1290"/>
      <c r="O264" s="1290"/>
      <c r="P264" s="1290"/>
      <c r="Q264" s="1290"/>
      <c r="R264" s="1290"/>
      <c r="S264" s="1290"/>
      <c r="T264" s="1290"/>
      <c r="U264" s="1290"/>
      <c r="V264" s="1290"/>
      <c r="W264" s="1290"/>
      <c r="X264" s="1290"/>
      <c r="Y264" s="1290"/>
      <c r="Z264" s="1290"/>
      <c r="AA264" s="1290"/>
      <c r="AB264" s="1290"/>
      <c r="AC264" s="1290"/>
      <c r="AD264" s="1290"/>
      <c r="AE264" s="1290"/>
      <c r="AF264" s="1290"/>
      <c r="AG264" s="1290"/>
      <c r="AH264" s="1290"/>
      <c r="AI264" s="1290"/>
      <c r="AJ264" s="1290"/>
      <c r="AK264" s="1290"/>
      <c r="AL264" s="1290"/>
      <c r="AM264" s="1290"/>
      <c r="AN264" s="1290"/>
      <c r="AO264" s="1290"/>
      <c r="AP264" s="1290"/>
      <c r="AQ264" s="1290"/>
      <c r="AR264" s="1290"/>
      <c r="AS264" s="1290"/>
      <c r="AT264" s="1290"/>
      <c r="AU264" s="1290"/>
      <c r="AV264" s="1290"/>
      <c r="AW264" s="1290"/>
      <c r="AX264" s="1290">
        <f>AX21+AX55+AX56</f>
        <v>0</v>
      </c>
      <c r="AY264" s="1290">
        <f ca="1">AY21+AY55+AY56</f>
        <v>5548.5550119335549</v>
      </c>
      <c r="AZ264" s="1290"/>
      <c r="BA264" s="1290">
        <f t="shared" ref="BA264:BI264" ca="1" si="82">BA21+BA55+BA56</f>
        <v>6988.574860214595</v>
      </c>
      <c r="BB264" s="1290">
        <f t="shared" ca="1" si="82"/>
        <v>9440.704159625695</v>
      </c>
      <c r="BC264" s="1290">
        <f t="shared" ca="1" si="82"/>
        <v>12706.133943321096</v>
      </c>
      <c r="BD264" s="1290">
        <f t="shared" ca="1" si="82"/>
        <v>16679.376271360794</v>
      </c>
      <c r="BE264" s="1290">
        <f t="shared" ca="1" si="82"/>
        <v>21665.184662361982</v>
      </c>
      <c r="BF264" s="1290">
        <f t="shared" ca="1" si="82"/>
        <v>26542.436827315214</v>
      </c>
      <c r="BG264" s="1290">
        <f t="shared" ca="1" si="82"/>
        <v>31748.460261156637</v>
      </c>
      <c r="BH264" s="1290">
        <f t="shared" ca="1" si="82"/>
        <v>36749.063932542187</v>
      </c>
      <c r="BI264" s="1290">
        <f t="shared" ca="1" si="82"/>
        <v>42245.521261734444</v>
      </c>
      <c r="BJ264" s="1287"/>
    </row>
    <row r="265" spans="2:65">
      <c r="B265" s="1284"/>
      <c r="C265" s="1285"/>
      <c r="D265" s="1285"/>
      <c r="E265" s="1285"/>
      <c r="F265" s="1290"/>
      <c r="G265" s="1290"/>
      <c r="H265" s="1290"/>
      <c r="I265" s="1290"/>
      <c r="J265" s="1290"/>
      <c r="K265" s="1290"/>
      <c r="L265" s="1290"/>
      <c r="M265" s="1290"/>
      <c r="N265" s="1290"/>
      <c r="O265" s="1290"/>
      <c r="P265" s="1290"/>
      <c r="Q265" s="1290"/>
      <c r="R265" s="1290"/>
      <c r="S265" s="1290"/>
      <c r="T265" s="1290"/>
      <c r="U265" s="1290"/>
      <c r="V265" s="1290"/>
      <c r="W265" s="1290"/>
      <c r="X265" s="1290"/>
      <c r="Y265" s="1290"/>
      <c r="Z265" s="1290"/>
      <c r="AA265" s="1290"/>
      <c r="AB265" s="1290"/>
      <c r="AC265" s="1290"/>
      <c r="AD265" s="1290"/>
      <c r="AE265" s="1290"/>
      <c r="AF265" s="1290"/>
      <c r="AG265" s="1290"/>
      <c r="AH265" s="1290"/>
      <c r="AI265" s="1290"/>
      <c r="AJ265" s="1290"/>
      <c r="AK265" s="1290"/>
      <c r="AL265" s="1290"/>
      <c r="AM265" s="1290"/>
      <c r="AN265" s="1290"/>
      <c r="AO265" s="1290"/>
      <c r="AP265" s="1290"/>
      <c r="AQ265" s="1290"/>
      <c r="AR265" s="1290"/>
      <c r="AS265" s="1290"/>
      <c r="AT265" s="1290"/>
      <c r="AU265" s="1290"/>
      <c r="AV265" s="1290"/>
      <c r="AW265" s="1290"/>
      <c r="AX265" s="1290"/>
      <c r="AY265" s="1290"/>
      <c r="AZ265" s="1290"/>
      <c r="BA265" s="1290"/>
      <c r="BB265" s="1290"/>
      <c r="BC265" s="1290"/>
      <c r="BD265" s="1290"/>
      <c r="BE265" s="1290"/>
      <c r="BF265" s="1290"/>
      <c r="BG265" s="1290"/>
      <c r="BH265" s="1290"/>
      <c r="BI265" s="1290"/>
      <c r="BJ265" s="1287"/>
    </row>
    <row r="266" spans="2:65">
      <c r="B266" s="1284"/>
      <c r="F266" s="310"/>
      <c r="G266" s="310"/>
      <c r="H266" s="310"/>
      <c r="I266" s="310"/>
      <c r="J266" s="310"/>
      <c r="K266" s="310"/>
      <c r="L266" s="310"/>
      <c r="M266" s="310"/>
      <c r="N266" s="310"/>
      <c r="O266" s="310"/>
      <c r="P266" s="310"/>
      <c r="Q266" s="310"/>
      <c r="R266" s="310"/>
      <c r="S266" s="310"/>
      <c r="T266" s="310"/>
      <c r="U266" s="310"/>
      <c r="V266" s="310"/>
      <c r="W266" s="310"/>
      <c r="X266" s="310"/>
      <c r="Y266" s="310"/>
      <c r="Z266" s="310"/>
      <c r="AA266" s="310"/>
      <c r="AB266" s="310"/>
      <c r="AC266" s="310"/>
      <c r="AD266" s="310"/>
      <c r="AE266" s="310"/>
      <c r="AF266" s="310"/>
      <c r="AG266" s="310"/>
      <c r="AH266" s="310"/>
      <c r="AI266" s="310"/>
      <c r="AJ266" s="310"/>
      <c r="AK266" s="310"/>
      <c r="AL266" s="310"/>
      <c r="AM266" s="310"/>
      <c r="AN266" s="310"/>
      <c r="AO266" s="310"/>
      <c r="AP266" s="310"/>
      <c r="AQ266" s="310"/>
      <c r="AR266" s="310"/>
      <c r="AS266" s="310"/>
      <c r="AT266" s="310"/>
      <c r="AU266" s="310"/>
      <c r="AV266" s="310"/>
      <c r="AW266" s="310"/>
      <c r="AX266" s="310"/>
      <c r="AY266" s="310"/>
      <c r="AZ266" s="310"/>
      <c r="BA266" s="310"/>
      <c r="BB266" s="310"/>
      <c r="BC266" s="310"/>
      <c r="BD266" s="310"/>
      <c r="BE266" s="310"/>
      <c r="BF266" s="310"/>
      <c r="BG266" s="310"/>
      <c r="BH266" s="310"/>
      <c r="BI266" s="310"/>
    </row>
    <row r="267" spans="2:65" ht="15.75">
      <c r="B267" s="1276" t="s">
        <v>1193</v>
      </c>
      <c r="C267" s="1277"/>
      <c r="D267" s="1277"/>
      <c r="E267" s="1277"/>
      <c r="F267" s="1277"/>
      <c r="G267" s="1277"/>
      <c r="H267" s="1277"/>
      <c r="I267" s="1277"/>
      <c r="J267" s="1277"/>
      <c r="K267" s="1277"/>
      <c r="L267" s="1277"/>
      <c r="M267" s="1277"/>
      <c r="N267" s="1277"/>
      <c r="O267" s="1277"/>
      <c r="P267" s="1277"/>
      <c r="Q267" s="1277"/>
      <c r="R267" s="1277"/>
      <c r="S267" s="1277"/>
      <c r="T267" s="1277"/>
      <c r="U267" s="1277"/>
      <c r="V267" s="1277"/>
      <c r="W267" s="1277"/>
      <c r="X267" s="1277"/>
      <c r="Y267" s="1277"/>
      <c r="Z267" s="1277"/>
      <c r="AA267" s="1277"/>
      <c r="AB267" s="1277"/>
      <c r="AC267" s="1277"/>
      <c r="AD267" s="1277"/>
      <c r="AE267" s="1277"/>
      <c r="AF267" s="1277"/>
      <c r="AG267" s="1277"/>
      <c r="AH267" s="1277"/>
      <c r="AI267" s="1277"/>
      <c r="AJ267" s="1277"/>
      <c r="AK267" s="1277"/>
      <c r="AL267" s="1277"/>
      <c r="AM267" s="1277"/>
      <c r="AN267" s="1277"/>
      <c r="AO267" s="1277"/>
      <c r="AP267" s="1277"/>
      <c r="AQ267" s="1277"/>
      <c r="AR267" s="1277"/>
      <c r="AS267" s="1277"/>
      <c r="AT267" s="1277"/>
      <c r="AU267" s="1277"/>
      <c r="AV267" s="1277"/>
      <c r="AW267" s="1277"/>
      <c r="AX267" s="1277"/>
      <c r="AY267" s="1278"/>
      <c r="AZ267" s="1278"/>
      <c r="BA267" s="1278"/>
      <c r="BB267" s="1278"/>
      <c r="BC267" s="1278"/>
      <c r="BD267" s="1278"/>
      <c r="BE267" s="1278"/>
      <c r="BF267" s="1278"/>
      <c r="BG267" s="1278"/>
      <c r="BH267" s="1278"/>
      <c r="BI267" s="1278"/>
      <c r="BJ267" s="1279"/>
    </row>
    <row r="268" spans="2:65">
      <c r="C268" s="1281"/>
      <c r="D268" s="1281"/>
      <c r="E268" s="1281"/>
      <c r="F268" s="1281"/>
      <c r="G268" s="1281"/>
      <c r="H268" s="1281"/>
      <c r="I268" s="1281"/>
      <c r="J268" s="1281"/>
      <c r="K268" s="1281"/>
      <c r="L268" s="1281"/>
      <c r="M268" s="1281"/>
      <c r="N268" s="1281"/>
      <c r="O268" s="1281"/>
      <c r="P268" s="1281"/>
      <c r="Q268" s="1281"/>
      <c r="R268" s="1281"/>
      <c r="S268" s="1281"/>
      <c r="T268" s="1281"/>
      <c r="U268" s="1281"/>
      <c r="V268" s="1281"/>
      <c r="W268" s="1281"/>
      <c r="X268" s="1281"/>
      <c r="Y268" s="1281"/>
      <c r="Z268" s="1281"/>
      <c r="AA268" s="1281"/>
      <c r="AB268" s="1281"/>
      <c r="AC268" s="1281"/>
      <c r="AD268" s="1281"/>
      <c r="AE268" s="1281"/>
      <c r="AF268" s="1281"/>
      <c r="AG268" s="1281"/>
      <c r="AH268" s="1281"/>
      <c r="AI268" s="1281"/>
      <c r="AJ268" s="1281"/>
      <c r="AK268" s="1281"/>
      <c r="AL268" s="1281"/>
      <c r="AM268" s="1281"/>
      <c r="AN268" s="1281"/>
      <c r="AO268" s="1281"/>
      <c r="AP268" s="1281"/>
      <c r="AQ268" s="1281"/>
      <c r="AR268" s="1281"/>
      <c r="AS268" s="1281"/>
      <c r="AT268" s="1281"/>
      <c r="AU268" s="1281"/>
      <c r="AV268" s="1281"/>
      <c r="AW268" s="1281"/>
      <c r="AX268" s="1281"/>
      <c r="AY268" s="1282"/>
      <c r="AZ268" s="1282"/>
      <c r="BA268" s="1282"/>
      <c r="BB268" s="1282"/>
      <c r="BC268" s="1282"/>
      <c r="BD268" s="1282"/>
      <c r="BE268" s="1282"/>
      <c r="BF268" s="1282"/>
      <c r="BG268" s="1282"/>
      <c r="BH268" s="1282"/>
      <c r="BI268" s="1282"/>
      <c r="BJ268" s="1283"/>
    </row>
    <row r="269" spans="2:65" ht="15.75">
      <c r="B269" s="1276"/>
      <c r="C269" s="1292" t="s">
        <v>34</v>
      </c>
      <c r="D269" s="1293"/>
      <c r="E269" s="1288"/>
      <c r="F269" s="1294"/>
      <c r="G269" s="1294"/>
      <c r="H269" s="1294"/>
      <c r="I269" s="1294"/>
      <c r="J269" s="1294"/>
      <c r="K269" s="1294"/>
      <c r="L269" s="1294"/>
      <c r="M269" s="1294"/>
      <c r="N269" s="1294"/>
      <c r="O269" s="1294"/>
      <c r="P269" s="1294"/>
      <c r="Q269" s="1294"/>
      <c r="R269" s="1294"/>
      <c r="S269" s="1294"/>
      <c r="T269" s="1294"/>
      <c r="U269" s="1294"/>
      <c r="V269" s="1294"/>
      <c r="W269" s="1294"/>
      <c r="X269" s="1294"/>
      <c r="Y269" s="1294"/>
      <c r="Z269" s="1294"/>
      <c r="AA269" s="1294"/>
      <c r="AB269" s="1294"/>
      <c r="AC269" s="1294"/>
      <c r="AD269" s="1294"/>
      <c r="AE269" s="1294"/>
      <c r="AF269" s="1294"/>
      <c r="AG269" s="1294"/>
      <c r="AH269" s="1294"/>
      <c r="AI269" s="1294"/>
      <c r="AJ269" s="1294"/>
      <c r="AK269" s="1294"/>
      <c r="AL269" s="1294"/>
      <c r="AM269" s="1294"/>
      <c r="AN269" s="1294"/>
      <c r="AO269" s="1294"/>
      <c r="AP269" s="1294"/>
      <c r="AQ269" s="1294"/>
      <c r="AR269" s="1294"/>
      <c r="AS269" s="1294"/>
      <c r="AT269" s="1294"/>
      <c r="AU269" s="1294"/>
      <c r="AV269" s="1294"/>
      <c r="AW269" s="1294"/>
      <c r="AX269" s="1294"/>
      <c r="AY269" s="2410" t="s">
        <v>203</v>
      </c>
      <c r="AZ269" s="2410"/>
      <c r="BA269" s="2410" t="s">
        <v>712</v>
      </c>
      <c r="BB269" s="2410" t="s">
        <v>713</v>
      </c>
      <c r="BC269" s="2410" t="s">
        <v>714</v>
      </c>
      <c r="BD269" s="2410" t="s">
        <v>715</v>
      </c>
      <c r="BE269" s="2410" t="s">
        <v>716</v>
      </c>
      <c r="BF269" s="2410" t="s">
        <v>717</v>
      </c>
      <c r="BG269" s="2410" t="s">
        <v>718</v>
      </c>
      <c r="BH269" s="2410" t="s">
        <v>719</v>
      </c>
      <c r="BI269" s="2411" t="s">
        <v>720</v>
      </c>
      <c r="BJ269" s="1287" t="str">
        <f>preferences.energyunits</f>
        <v>TWh</v>
      </c>
    </row>
    <row r="270" spans="2:65" ht="4.5" customHeight="1">
      <c r="B270" s="1280"/>
      <c r="C270" s="1288"/>
      <c r="D270" s="1285"/>
      <c r="E270" s="1285"/>
      <c r="F270" s="1286"/>
      <c r="G270" s="1286"/>
      <c r="H270" s="1286"/>
      <c r="I270" s="1286"/>
      <c r="J270" s="1286"/>
      <c r="K270" s="1286"/>
      <c r="L270" s="1286"/>
      <c r="M270" s="1286"/>
      <c r="N270" s="1286"/>
      <c r="O270" s="1286"/>
      <c r="P270" s="1286"/>
      <c r="Q270" s="1286"/>
      <c r="R270" s="1286"/>
      <c r="S270" s="1286"/>
      <c r="T270" s="1286"/>
      <c r="U270" s="1286"/>
      <c r="V270" s="1286"/>
      <c r="W270" s="1286"/>
      <c r="X270" s="1286"/>
      <c r="Y270" s="1286"/>
      <c r="Z270" s="1286"/>
      <c r="AA270" s="1286"/>
      <c r="AB270" s="1286"/>
      <c r="AC270" s="1286"/>
      <c r="AD270" s="1286"/>
      <c r="AE270" s="1286"/>
      <c r="AF270" s="1286"/>
      <c r="AG270" s="1286"/>
      <c r="AH270" s="1286"/>
      <c r="AI270" s="1286"/>
      <c r="AJ270" s="1286"/>
      <c r="AK270" s="1286"/>
      <c r="AL270" s="1286"/>
      <c r="AM270" s="1286"/>
      <c r="AN270" s="1286"/>
      <c r="AO270" s="1286"/>
      <c r="AP270" s="1286"/>
      <c r="AQ270" s="1286"/>
      <c r="AR270" s="1286"/>
      <c r="AS270" s="1286"/>
      <c r="AT270" s="1286"/>
      <c r="AU270" s="1286"/>
      <c r="AV270" s="1286"/>
      <c r="AW270" s="1286"/>
      <c r="AX270" s="1286"/>
      <c r="AY270" s="1286"/>
      <c r="AZ270" s="1286"/>
      <c r="BA270" s="1286"/>
      <c r="BB270" s="1286"/>
      <c r="BC270" s="1286"/>
      <c r="BD270" s="1286"/>
      <c r="BE270" s="1286"/>
      <c r="BF270" s="1286"/>
      <c r="BG270" s="1286"/>
      <c r="BH270" s="1286"/>
      <c r="BI270" s="1286"/>
      <c r="BJ270" s="1287"/>
    </row>
    <row r="271" spans="2:65">
      <c r="B271" s="1284"/>
      <c r="C271" s="1296" t="s">
        <v>300</v>
      </c>
      <c r="D271" s="1296" t="str">
        <f>INDEX(Modules[Module], MATCH($C271, Modules[Code], 0))</f>
        <v>Domestic Lighting &amp; Appliances</v>
      </c>
      <c r="E271" s="1297"/>
      <c r="F271" s="1298"/>
      <c r="G271" s="1298"/>
      <c r="H271" s="1298"/>
      <c r="I271" s="1298"/>
      <c r="J271" s="1298"/>
      <c r="K271" s="1298"/>
      <c r="L271" s="1298"/>
      <c r="M271" s="1298"/>
      <c r="N271" s="1298"/>
      <c r="O271" s="1298"/>
      <c r="P271" s="1298"/>
      <c r="Q271" s="1298"/>
      <c r="R271" s="1298"/>
      <c r="S271" s="1298"/>
      <c r="T271" s="1298"/>
      <c r="U271" s="1298"/>
      <c r="V271" s="1298"/>
      <c r="W271" s="1298"/>
      <c r="X271" s="1298"/>
      <c r="Y271" s="1298"/>
      <c r="Z271" s="1298"/>
      <c r="AA271" s="1298"/>
      <c r="AB271" s="1298"/>
      <c r="AC271" s="1298"/>
      <c r="AD271" s="1298"/>
      <c r="AE271" s="1298"/>
      <c r="AF271" s="1298"/>
      <c r="AG271" s="1298"/>
      <c r="AH271" s="1298"/>
      <c r="AI271" s="1298"/>
      <c r="AJ271" s="1298"/>
      <c r="AK271" s="1298"/>
      <c r="AL271" s="1298"/>
      <c r="AM271" s="1298"/>
      <c r="AN271" s="1298"/>
      <c r="AO271" s="1298"/>
      <c r="AP271" s="1298"/>
      <c r="AQ271" s="1298"/>
      <c r="AR271" s="1298"/>
      <c r="AS271" s="1298"/>
      <c r="AT271" s="1298"/>
      <c r="AU271" s="1298"/>
      <c r="AV271" s="1298"/>
      <c r="AW271" s="1298"/>
      <c r="AX271" s="1297"/>
      <c r="AY271" s="368">
        <f t="shared" ref="AY271:BI283" ca="1" si="83">-INDEX(INDIRECT($C271&amp;".Outputs["&amp;AY$269&amp;"]"),MATCH($C$269,INDIRECT($C271&amp;".Outputs[Vector]"),0))</f>
        <v>117.75237224936291</v>
      </c>
      <c r="AZ271" s="368"/>
      <c r="BA271" s="368">
        <f t="shared" ca="1" si="83"/>
        <v>162.82294056639219</v>
      </c>
      <c r="BB271" s="368">
        <f t="shared" ca="1" si="83"/>
        <v>294.19783287152961</v>
      </c>
      <c r="BC271" s="368">
        <f t="shared" ca="1" si="83"/>
        <v>491.61145515036219</v>
      </c>
      <c r="BD271" s="368">
        <f t="shared" ca="1" si="83"/>
        <v>770.89941292875449</v>
      </c>
      <c r="BE271" s="368">
        <f t="shared" ca="1" si="83"/>
        <v>1157.9120424167459</v>
      </c>
      <c r="BF271" s="368">
        <f t="shared" ca="1" si="83"/>
        <v>1452.2441557318687</v>
      </c>
      <c r="BG271" s="368">
        <f t="shared" ca="1" si="83"/>
        <v>1803.3634131162555</v>
      </c>
      <c r="BH271" s="368">
        <f t="shared" ca="1" si="83"/>
        <v>2203.8937916546888</v>
      </c>
      <c r="BI271" s="368">
        <f t="shared" ca="1" si="83"/>
        <v>2671.8455088986316</v>
      </c>
      <c r="BJ271" s="1287"/>
      <c r="BL271" s="260"/>
      <c r="BM271" s="260"/>
    </row>
    <row r="272" spans="2:65">
      <c r="B272" s="1284"/>
      <c r="C272" s="1296" t="s">
        <v>301</v>
      </c>
      <c r="D272" s="1296" t="str">
        <f>INDEX(Modules[Module], MATCH($C272, Modules[Code], 0))</f>
        <v>Commercial Lighting &amp; Appliances</v>
      </c>
      <c r="E272" s="1297"/>
      <c r="F272" s="1298"/>
      <c r="G272" s="1298"/>
      <c r="H272" s="1298"/>
      <c r="I272" s="1298"/>
      <c r="J272" s="1298"/>
      <c r="K272" s="1298"/>
      <c r="L272" s="1298"/>
      <c r="M272" s="1298"/>
      <c r="N272" s="1298"/>
      <c r="O272" s="1298"/>
      <c r="P272" s="1298"/>
      <c r="Q272" s="1298"/>
      <c r="R272" s="1298"/>
      <c r="S272" s="1298"/>
      <c r="T272" s="1298"/>
      <c r="U272" s="1298"/>
      <c r="V272" s="1298"/>
      <c r="W272" s="1298"/>
      <c r="X272" s="1298"/>
      <c r="Y272" s="1298"/>
      <c r="Z272" s="1298"/>
      <c r="AA272" s="1298"/>
      <c r="AB272" s="1298"/>
      <c r="AC272" s="1298"/>
      <c r="AD272" s="1298"/>
      <c r="AE272" s="1298"/>
      <c r="AF272" s="1298"/>
      <c r="AG272" s="1298"/>
      <c r="AH272" s="1298"/>
      <c r="AI272" s="1298"/>
      <c r="AJ272" s="1298"/>
      <c r="AK272" s="1298"/>
      <c r="AL272" s="1298"/>
      <c r="AM272" s="1298"/>
      <c r="AN272" s="1298"/>
      <c r="AO272" s="1298"/>
      <c r="AP272" s="1298"/>
      <c r="AQ272" s="1298"/>
      <c r="AR272" s="1298"/>
      <c r="AS272" s="1298"/>
      <c r="AT272" s="1298"/>
      <c r="AU272" s="1298"/>
      <c r="AV272" s="1298"/>
      <c r="AW272" s="1298"/>
      <c r="AX272" s="1297"/>
      <c r="AY272" s="368">
        <f t="shared" ca="1" si="83"/>
        <v>69.818571670709545</v>
      </c>
      <c r="AZ272" s="368"/>
      <c r="BA272" s="368">
        <f t="shared" ca="1" si="83"/>
        <v>69.818518207485297</v>
      </c>
      <c r="BB272" s="368">
        <f t="shared" ca="1" si="83"/>
        <v>115.39506380103352</v>
      </c>
      <c r="BC272" s="368">
        <f t="shared" ca="1" si="83"/>
        <v>190.74035461227521</v>
      </c>
      <c r="BD272" s="368">
        <f t="shared" ca="1" si="83"/>
        <v>315.3108276463584</v>
      </c>
      <c r="BE272" s="368">
        <f t="shared" ca="1" si="83"/>
        <v>521.28261048106583</v>
      </c>
      <c r="BF272" s="368">
        <f t="shared" ca="1" si="83"/>
        <v>689.40510635890666</v>
      </c>
      <c r="BG272" s="368">
        <f t="shared" ca="1" si="83"/>
        <v>911.74990255642501</v>
      </c>
      <c r="BH272" s="368">
        <f t="shared" ca="1" si="83"/>
        <v>970.17528463991505</v>
      </c>
      <c r="BI272" s="368">
        <f t="shared" ca="1" si="83"/>
        <v>1032.3445308366922</v>
      </c>
      <c r="BJ272" s="1287"/>
      <c r="BL272" s="260"/>
      <c r="BM272" s="260"/>
    </row>
    <row r="273" spans="2:65">
      <c r="B273" s="1284"/>
      <c r="C273" s="1296" t="s">
        <v>282</v>
      </c>
      <c r="D273" s="1296" t="str">
        <f>INDEX(Modules[Module], MATCH($C273, Modules[Code], 0))</f>
        <v>Domestic passenger transport</v>
      </c>
      <c r="E273" s="1297"/>
      <c r="F273" s="1298"/>
      <c r="G273" s="1298"/>
      <c r="H273" s="1298"/>
      <c r="I273" s="1298"/>
      <c r="J273" s="1298"/>
      <c r="K273" s="1298"/>
      <c r="L273" s="1298"/>
      <c r="M273" s="1298"/>
      <c r="N273" s="1298"/>
      <c r="O273" s="1298"/>
      <c r="P273" s="1298"/>
      <c r="Q273" s="1298"/>
      <c r="R273" s="1298"/>
      <c r="S273" s="1298"/>
      <c r="T273" s="1298"/>
      <c r="U273" s="1298"/>
      <c r="V273" s="1298"/>
      <c r="W273" s="1298"/>
      <c r="X273" s="1298"/>
      <c r="Y273" s="1298"/>
      <c r="Z273" s="1298"/>
      <c r="AA273" s="1298"/>
      <c r="AB273" s="1298"/>
      <c r="AC273" s="1298"/>
      <c r="AD273" s="1298"/>
      <c r="AE273" s="1298"/>
      <c r="AF273" s="1298"/>
      <c r="AG273" s="1298"/>
      <c r="AH273" s="1298"/>
      <c r="AI273" s="1298"/>
      <c r="AJ273" s="1298"/>
      <c r="AK273" s="1298"/>
      <c r="AL273" s="1298"/>
      <c r="AM273" s="1298"/>
      <c r="AN273" s="1298"/>
      <c r="AO273" s="1298"/>
      <c r="AP273" s="1298"/>
      <c r="AQ273" s="1298"/>
      <c r="AR273" s="1298"/>
      <c r="AS273" s="1298"/>
      <c r="AT273" s="1298"/>
      <c r="AU273" s="1298"/>
      <c r="AV273" s="1298"/>
      <c r="AW273" s="1298"/>
      <c r="AX273" s="1297"/>
      <c r="AY273" s="368">
        <f t="shared" ca="1" si="83"/>
        <v>7.8045578920344294</v>
      </c>
      <c r="AZ273" s="368"/>
      <c r="BA273" s="368">
        <f t="shared" ca="1" si="83"/>
        <v>7.8045578920344294</v>
      </c>
      <c r="BB273" s="368">
        <f t="shared" ca="1" si="83"/>
        <v>9.9812057374247392</v>
      </c>
      <c r="BC273" s="368">
        <f t="shared" ca="1" si="83"/>
        <v>12.677744583468431</v>
      </c>
      <c r="BD273" s="368">
        <f t="shared" ca="1" si="83"/>
        <v>15.183119042462815</v>
      </c>
      <c r="BE273" s="368">
        <f t="shared" ca="1" si="83"/>
        <v>17.97800145980359</v>
      </c>
      <c r="BF273" s="368">
        <f t="shared" ca="1" si="83"/>
        <v>20.996398618954622</v>
      </c>
      <c r="BG273" s="368">
        <f t="shared" ca="1" si="83"/>
        <v>23.918000610343412</v>
      </c>
      <c r="BH273" s="368">
        <f t="shared" ca="1" si="83"/>
        <v>26.470016839940651</v>
      </c>
      <c r="BI273" s="368">
        <f t="shared" ca="1" si="83"/>
        <v>28.239990009727272</v>
      </c>
      <c r="BJ273" s="1287"/>
      <c r="BL273" s="260"/>
      <c r="BM273" s="260"/>
    </row>
    <row r="274" spans="2:65">
      <c r="B274" s="1284"/>
      <c r="C274" s="1296" t="s">
        <v>294</v>
      </c>
      <c r="D274" s="1296" t="str">
        <f>INDEX(Modules[Module], MATCH($C274, Modules[Code], 0))</f>
        <v>Domestic freight</v>
      </c>
      <c r="E274" s="1297"/>
      <c r="F274" s="1298"/>
      <c r="G274" s="1298"/>
      <c r="H274" s="1298"/>
      <c r="I274" s="1298"/>
      <c r="J274" s="1298"/>
      <c r="K274" s="1298"/>
      <c r="L274" s="1298"/>
      <c r="M274" s="1298"/>
      <c r="N274" s="1298"/>
      <c r="O274" s="1298"/>
      <c r="P274" s="1298"/>
      <c r="Q274" s="1298"/>
      <c r="R274" s="1298"/>
      <c r="S274" s="1298"/>
      <c r="T274" s="1298"/>
      <c r="U274" s="1298"/>
      <c r="V274" s="1298"/>
      <c r="W274" s="1298"/>
      <c r="X274" s="1298"/>
      <c r="Y274" s="1298"/>
      <c r="Z274" s="1298"/>
      <c r="AA274" s="1298"/>
      <c r="AB274" s="1298"/>
      <c r="AC274" s="1298"/>
      <c r="AD274" s="1298"/>
      <c r="AE274" s="1298"/>
      <c r="AF274" s="1298"/>
      <c r="AG274" s="1298"/>
      <c r="AH274" s="1298"/>
      <c r="AI274" s="1298"/>
      <c r="AJ274" s="1298"/>
      <c r="AK274" s="1298"/>
      <c r="AL274" s="1298"/>
      <c r="AM274" s="1298"/>
      <c r="AN274" s="1298"/>
      <c r="AO274" s="1298"/>
      <c r="AP274" s="1298"/>
      <c r="AQ274" s="1298"/>
      <c r="AR274" s="1298"/>
      <c r="AS274" s="1298"/>
      <c r="AT274" s="1298"/>
      <c r="AU274" s="1298"/>
      <c r="AV274" s="1298"/>
      <c r="AW274" s="1298"/>
      <c r="AX274" s="1297"/>
      <c r="AY274" s="368">
        <f t="shared" ca="1" si="83"/>
        <v>6.3710415000000058</v>
      </c>
      <c r="AZ274" s="368"/>
      <c r="BA274" s="368">
        <f t="shared" ca="1" si="83"/>
        <v>6.3710415000000058</v>
      </c>
      <c r="BB274" s="368">
        <f t="shared" ca="1" si="83"/>
        <v>9.4068797025169406</v>
      </c>
      <c r="BC274" s="368">
        <f t="shared" ca="1" si="83"/>
        <v>13.140797584316113</v>
      </c>
      <c r="BD274" s="368">
        <f t="shared" ca="1" si="83"/>
        <v>17.610110958084224</v>
      </c>
      <c r="BE274" s="368">
        <f t="shared" ca="1" si="83"/>
        <v>22.892634286083435</v>
      </c>
      <c r="BF274" s="368">
        <f t="shared" ca="1" si="83"/>
        <v>28.404926019576415</v>
      </c>
      <c r="BG274" s="368">
        <f t="shared" ca="1" si="83"/>
        <v>30.876418737637415</v>
      </c>
      <c r="BH274" s="368">
        <f t="shared" ca="1" si="83"/>
        <v>33.484784986368169</v>
      </c>
      <c r="BI274" s="368">
        <f t="shared" ca="1" si="83"/>
        <v>35.946658228245852</v>
      </c>
      <c r="BJ274" s="1287"/>
      <c r="BL274" s="260"/>
      <c r="BM274" s="260"/>
    </row>
    <row r="275" spans="2:65">
      <c r="B275" s="1284"/>
      <c r="C275" s="1296" t="s">
        <v>298</v>
      </c>
      <c r="D275" s="1296" t="str">
        <f>INDEX(Modules[Module], MATCH($C275, Modules[Code], 0))</f>
        <v>Domestic Cooking</v>
      </c>
      <c r="E275" s="1297"/>
      <c r="F275" s="1298"/>
      <c r="G275" s="1298"/>
      <c r="H275" s="1298"/>
      <c r="I275" s="1298"/>
      <c r="J275" s="1298"/>
      <c r="K275" s="1298"/>
      <c r="L275" s="1298"/>
      <c r="M275" s="1298"/>
      <c r="N275" s="1298"/>
      <c r="O275" s="1298"/>
      <c r="P275" s="1298"/>
      <c r="Q275" s="1298"/>
      <c r="R275" s="1298"/>
      <c r="S275" s="1298"/>
      <c r="T275" s="1298"/>
      <c r="U275" s="1298"/>
      <c r="V275" s="1298"/>
      <c r="W275" s="1298"/>
      <c r="X275" s="1298"/>
      <c r="Y275" s="1298"/>
      <c r="Z275" s="1298"/>
      <c r="AA275" s="1298"/>
      <c r="AB275" s="1298"/>
      <c r="AC275" s="1298"/>
      <c r="AD275" s="1298"/>
      <c r="AE275" s="1298"/>
      <c r="AF275" s="1298"/>
      <c r="AG275" s="1298"/>
      <c r="AH275" s="1298"/>
      <c r="AI275" s="1298"/>
      <c r="AJ275" s="1298"/>
      <c r="AK275" s="1298"/>
      <c r="AL275" s="1298"/>
      <c r="AM275" s="1298"/>
      <c r="AN275" s="1298"/>
      <c r="AO275" s="1298"/>
      <c r="AP275" s="1298"/>
      <c r="AQ275" s="1298"/>
      <c r="AR275" s="1298"/>
      <c r="AS275" s="1298"/>
      <c r="AT275" s="1298"/>
      <c r="AU275" s="1298"/>
      <c r="AV275" s="1298"/>
      <c r="AW275" s="1298"/>
      <c r="AX275" s="1297"/>
      <c r="AY275" s="368">
        <f t="shared" ca="1" si="83"/>
        <v>0.30660334104356374</v>
      </c>
      <c r="AZ275" s="368"/>
      <c r="BA275" s="368">
        <f t="shared" ca="1" si="83"/>
        <v>0.40568124773609537</v>
      </c>
      <c r="BB275" s="368">
        <f t="shared" ca="1" si="83"/>
        <v>1.9119107308416539</v>
      </c>
      <c r="BC275" s="368">
        <f t="shared" ca="1" si="83"/>
        <v>3.0737404888957927</v>
      </c>
      <c r="BD275" s="368">
        <f t="shared" ca="1" si="83"/>
        <v>5.9878453050571316</v>
      </c>
      <c r="BE275" s="368">
        <f t="shared" ca="1" si="83"/>
        <v>10.924338830969084</v>
      </c>
      <c r="BF275" s="368">
        <f t="shared" ca="1" si="83"/>
        <v>14.605179460099949</v>
      </c>
      <c r="BG275" s="368">
        <f t="shared" ca="1" si="83"/>
        <v>19.221420721203312</v>
      </c>
      <c r="BH275" s="368">
        <f t="shared" ca="1" si="83"/>
        <v>25.37842895536987</v>
      </c>
      <c r="BI275" s="368">
        <f t="shared" ca="1" si="83"/>
        <v>29.2476501509129</v>
      </c>
      <c r="BJ275" s="1287"/>
      <c r="BL275" s="260"/>
      <c r="BM275" s="260"/>
    </row>
    <row r="276" spans="2:65">
      <c r="B276" s="1284"/>
      <c r="C276" s="1296" t="s">
        <v>1083</v>
      </c>
      <c r="D276" s="1296" t="str">
        <f>INDEX(Modules[Module], MATCH($C276, Modules[Code], 0))</f>
        <v>Commercial Cooking</v>
      </c>
      <c r="E276" s="1297"/>
      <c r="F276" s="1298"/>
      <c r="G276" s="1298"/>
      <c r="H276" s="1298"/>
      <c r="I276" s="1298"/>
      <c r="J276" s="1298"/>
      <c r="K276" s="1298"/>
      <c r="L276" s="1298"/>
      <c r="M276" s="1298"/>
      <c r="N276" s="1298"/>
      <c r="O276" s="1298"/>
      <c r="P276" s="1298"/>
      <c r="Q276" s="1298"/>
      <c r="R276" s="1298"/>
      <c r="S276" s="1298"/>
      <c r="T276" s="1298"/>
      <c r="U276" s="1298"/>
      <c r="V276" s="1298"/>
      <c r="W276" s="1298"/>
      <c r="X276" s="1298"/>
      <c r="Y276" s="1298"/>
      <c r="Z276" s="1298"/>
      <c r="AA276" s="1298"/>
      <c r="AB276" s="1298"/>
      <c r="AC276" s="1298"/>
      <c r="AD276" s="1298"/>
      <c r="AE276" s="1298"/>
      <c r="AF276" s="1298"/>
      <c r="AG276" s="1298"/>
      <c r="AH276" s="1298"/>
      <c r="AI276" s="1298"/>
      <c r="AJ276" s="1298"/>
      <c r="AK276" s="1298"/>
      <c r="AL276" s="1298"/>
      <c r="AM276" s="1298"/>
      <c r="AN276" s="1298"/>
      <c r="AO276" s="1298"/>
      <c r="AP276" s="1298"/>
      <c r="AQ276" s="1298"/>
      <c r="AR276" s="1298"/>
      <c r="AS276" s="1298"/>
      <c r="AT276" s="1298"/>
      <c r="AU276" s="1298"/>
      <c r="AV276" s="1298"/>
      <c r="AW276" s="1298"/>
      <c r="AX276" s="1297"/>
      <c r="AY276" s="368">
        <f t="shared" ca="1" si="83"/>
        <v>0</v>
      </c>
      <c r="AZ276" s="368"/>
      <c r="BA276" s="368">
        <f t="shared" ca="1" si="83"/>
        <v>0</v>
      </c>
      <c r="BB276" s="368">
        <f t="shared" ca="1" si="83"/>
        <v>0</v>
      </c>
      <c r="BC276" s="368">
        <f t="shared" ca="1" si="83"/>
        <v>0</v>
      </c>
      <c r="BD276" s="368">
        <f t="shared" ca="1" si="83"/>
        <v>0</v>
      </c>
      <c r="BE276" s="368">
        <f t="shared" ca="1" si="83"/>
        <v>0</v>
      </c>
      <c r="BF276" s="368">
        <f t="shared" ca="1" si="83"/>
        <v>0</v>
      </c>
      <c r="BG276" s="368">
        <f t="shared" ca="1" si="83"/>
        <v>0</v>
      </c>
      <c r="BH276" s="368">
        <f t="shared" ca="1" si="83"/>
        <v>0</v>
      </c>
      <c r="BI276" s="368">
        <f t="shared" ca="1" si="83"/>
        <v>0</v>
      </c>
      <c r="BJ276" s="1287"/>
      <c r="BL276" s="260"/>
      <c r="BM276" s="260"/>
    </row>
    <row r="277" spans="2:65">
      <c r="B277" s="1284"/>
      <c r="C277" s="1296" t="s">
        <v>194</v>
      </c>
      <c r="D277" s="1296" t="s">
        <v>106</v>
      </c>
      <c r="E277" s="1297"/>
      <c r="F277" s="1298"/>
      <c r="G277" s="1298"/>
      <c r="H277" s="1298"/>
      <c r="I277" s="1298"/>
      <c r="J277" s="1298"/>
      <c r="K277" s="1298"/>
      <c r="L277" s="1298"/>
      <c r="M277" s="1298"/>
      <c r="N277" s="1298"/>
      <c r="O277" s="1298"/>
      <c r="P277" s="1298"/>
      <c r="Q277" s="1298"/>
      <c r="R277" s="1298"/>
      <c r="S277" s="1298"/>
      <c r="T277" s="1298"/>
      <c r="U277" s="1298"/>
      <c r="V277" s="1298"/>
      <c r="W277" s="1298"/>
      <c r="X277" s="1298"/>
      <c r="Y277" s="1298"/>
      <c r="Z277" s="1298"/>
      <c r="AA277" s="1298"/>
      <c r="AB277" s="1298"/>
      <c r="AC277" s="1298"/>
      <c r="AD277" s="1298"/>
      <c r="AE277" s="1298"/>
      <c r="AF277" s="1298"/>
      <c r="AG277" s="1298"/>
      <c r="AH277" s="1298"/>
      <c r="AI277" s="1298"/>
      <c r="AJ277" s="1298"/>
      <c r="AK277" s="1298"/>
      <c r="AL277" s="1298"/>
      <c r="AM277" s="1298"/>
      <c r="AN277" s="1298"/>
      <c r="AO277" s="1298"/>
      <c r="AP277" s="1298"/>
      <c r="AQ277" s="1298"/>
      <c r="AR277" s="1298"/>
      <c r="AS277" s="1298"/>
      <c r="AT277" s="1298"/>
      <c r="AU277" s="1298"/>
      <c r="AV277" s="1298"/>
      <c r="AW277" s="1298"/>
      <c r="AX277" s="1297"/>
      <c r="AY277" s="368">
        <f t="shared" ca="1" si="83"/>
        <v>99.549000000000007</v>
      </c>
      <c r="AZ277" s="368"/>
      <c r="BA277" s="368">
        <f t="shared" ca="1" si="83"/>
        <v>135.84360999999998</v>
      </c>
      <c r="BB277" s="368">
        <f t="shared" ca="1" si="83"/>
        <v>188.77501314929791</v>
      </c>
      <c r="BC277" s="368">
        <f t="shared" ca="1" si="83"/>
        <v>262.32571067939568</v>
      </c>
      <c r="BD277" s="368">
        <f t="shared" ca="1" si="83"/>
        <v>335.74068575957824</v>
      </c>
      <c r="BE277" s="368">
        <f t="shared" ca="1" si="83"/>
        <v>428.7780628500808</v>
      </c>
      <c r="BF277" s="368">
        <f t="shared" ca="1" si="83"/>
        <v>506.91064092382578</v>
      </c>
      <c r="BG277" s="368">
        <f t="shared" ca="1" si="83"/>
        <v>599.26784878596698</v>
      </c>
      <c r="BH277" s="368">
        <f t="shared" ca="1" si="83"/>
        <v>658.56749564700988</v>
      </c>
      <c r="BI277" s="368">
        <f t="shared" ca="1" si="83"/>
        <v>723.71929535837114</v>
      </c>
      <c r="BJ277" s="1287"/>
      <c r="BL277" s="260"/>
      <c r="BM277" s="260"/>
    </row>
    <row r="278" spans="2:65">
      <c r="B278" s="1284"/>
      <c r="C278" s="1296" t="s">
        <v>330</v>
      </c>
      <c r="D278" s="1296" t="s">
        <v>1078</v>
      </c>
      <c r="E278" s="1297"/>
      <c r="F278" s="1298"/>
      <c r="G278" s="1298"/>
      <c r="H278" s="1298"/>
      <c r="I278" s="1298"/>
      <c r="J278" s="1298"/>
      <c r="K278" s="1298"/>
      <c r="L278" s="1298"/>
      <c r="M278" s="1298"/>
      <c r="N278" s="1298"/>
      <c r="O278" s="1298"/>
      <c r="P278" s="1298"/>
      <c r="Q278" s="1298"/>
      <c r="R278" s="1298"/>
      <c r="S278" s="1298"/>
      <c r="T278" s="1298"/>
      <c r="U278" s="1298"/>
      <c r="V278" s="1298"/>
      <c r="W278" s="1298"/>
      <c r="X278" s="1298"/>
      <c r="Y278" s="1298"/>
      <c r="Z278" s="1298"/>
      <c r="AA278" s="1298"/>
      <c r="AB278" s="1298"/>
      <c r="AC278" s="1298"/>
      <c r="AD278" s="1298"/>
      <c r="AE278" s="1298"/>
      <c r="AF278" s="1298"/>
      <c r="AG278" s="1298"/>
      <c r="AH278" s="1298"/>
      <c r="AI278" s="1298"/>
      <c r="AJ278" s="1298"/>
      <c r="AK278" s="1298"/>
      <c r="AL278" s="1298"/>
      <c r="AM278" s="1298"/>
      <c r="AN278" s="1298"/>
      <c r="AO278" s="1298"/>
      <c r="AP278" s="1298"/>
      <c r="AQ278" s="1298"/>
      <c r="AR278" s="1298"/>
      <c r="AS278" s="1298"/>
      <c r="AT278" s="1298"/>
      <c r="AU278" s="1298"/>
      <c r="AV278" s="1298"/>
      <c r="AW278" s="1298"/>
      <c r="AX278" s="1297"/>
      <c r="AY278" s="368">
        <f t="shared" ca="1" si="83"/>
        <v>2.3668199999999997</v>
      </c>
      <c r="AZ278" s="368"/>
      <c r="BA278" s="368">
        <f t="shared" ca="1" si="83"/>
        <v>14.091612362999999</v>
      </c>
      <c r="BB278" s="368">
        <f t="shared" ca="1" si="83"/>
        <v>20.064265232180411</v>
      </c>
      <c r="BC278" s="368">
        <f t="shared" ca="1" si="83"/>
        <v>28.249080569317663</v>
      </c>
      <c r="BD278" s="368">
        <f t="shared" ca="1" si="83"/>
        <v>37.448347295363597</v>
      </c>
      <c r="BE278" s="368">
        <f t="shared" ca="1" si="83"/>
        <v>44.542199023321331</v>
      </c>
      <c r="BF278" s="368">
        <f t="shared" ca="1" si="83"/>
        <v>57.224138138960534</v>
      </c>
      <c r="BG278" s="368">
        <f t="shared" ca="1" si="83"/>
        <v>63.627974159380635</v>
      </c>
      <c r="BH278" s="368">
        <f t="shared" ca="1" si="83"/>
        <v>77.413159434842669</v>
      </c>
      <c r="BI278" s="368">
        <f t="shared" ca="1" si="83"/>
        <v>97.952342914769488</v>
      </c>
      <c r="BJ278" s="1287"/>
      <c r="BL278" s="260"/>
      <c r="BM278" s="260"/>
    </row>
    <row r="279" spans="2:65">
      <c r="B279" s="1284"/>
      <c r="C279" s="1296" t="s">
        <v>310</v>
      </c>
      <c r="D279" s="1296" t="str">
        <f>INDEX(Modules[Module], MATCH($C279, Modules[Code], 0))</f>
        <v>Domestic Gas Production</v>
      </c>
      <c r="E279" s="1297"/>
      <c r="F279" s="1298"/>
      <c r="G279" s="1298"/>
      <c r="H279" s="1298"/>
      <c r="I279" s="1298"/>
      <c r="J279" s="1298"/>
      <c r="K279" s="1298"/>
      <c r="L279" s="1298"/>
      <c r="M279" s="1298"/>
      <c r="N279" s="1298"/>
      <c r="O279" s="1298"/>
      <c r="P279" s="1298"/>
      <c r="Q279" s="1298"/>
      <c r="R279" s="1298"/>
      <c r="S279" s="1298"/>
      <c r="T279" s="1298"/>
      <c r="U279" s="1298"/>
      <c r="V279" s="1298"/>
      <c r="W279" s="1298"/>
      <c r="X279" s="1298"/>
      <c r="Y279" s="1298"/>
      <c r="Z279" s="1298"/>
      <c r="AA279" s="1298"/>
      <c r="AB279" s="1298"/>
      <c r="AC279" s="1298"/>
      <c r="AD279" s="1298"/>
      <c r="AE279" s="1298"/>
      <c r="AF279" s="1298"/>
      <c r="AG279" s="1298"/>
      <c r="AH279" s="1298"/>
      <c r="AI279" s="1298"/>
      <c r="AJ279" s="1298"/>
      <c r="AK279" s="1298"/>
      <c r="AL279" s="1298"/>
      <c r="AM279" s="1298"/>
      <c r="AN279" s="1298"/>
      <c r="AO279" s="1298"/>
      <c r="AP279" s="1298"/>
      <c r="AQ279" s="1298"/>
      <c r="AR279" s="1298"/>
      <c r="AS279" s="1298"/>
      <c r="AT279" s="1298"/>
      <c r="AU279" s="1298"/>
      <c r="AV279" s="1298"/>
      <c r="AW279" s="1298"/>
      <c r="AX279" s="1297"/>
      <c r="AY279" s="368">
        <f t="shared" ca="1" si="83"/>
        <v>0</v>
      </c>
      <c r="AZ279" s="368"/>
      <c r="BA279" s="368">
        <f t="shared" ca="1" si="83"/>
        <v>0</v>
      </c>
      <c r="BB279" s="368">
        <f t="shared" ca="1" si="83"/>
        <v>0</v>
      </c>
      <c r="BC279" s="368">
        <f t="shared" ca="1" si="83"/>
        <v>0</v>
      </c>
      <c r="BD279" s="368">
        <f t="shared" ca="1" si="83"/>
        <v>0</v>
      </c>
      <c r="BE279" s="368">
        <f t="shared" ca="1" si="83"/>
        <v>0</v>
      </c>
      <c r="BF279" s="368">
        <f t="shared" ca="1" si="83"/>
        <v>0</v>
      </c>
      <c r="BG279" s="368">
        <f t="shared" ca="1" si="83"/>
        <v>0</v>
      </c>
      <c r="BH279" s="368">
        <f t="shared" ca="1" si="83"/>
        <v>0</v>
      </c>
      <c r="BI279" s="368">
        <f t="shared" ca="1" si="83"/>
        <v>0</v>
      </c>
      <c r="BJ279" s="1287"/>
      <c r="BL279" s="260"/>
      <c r="BM279" s="260"/>
    </row>
    <row r="280" spans="2:65">
      <c r="B280" s="1284"/>
      <c r="C280" s="1296" t="s">
        <v>314</v>
      </c>
      <c r="D280" s="1296" t="str">
        <f>INDEX(Modules[Module], MATCH($C280, Modules[Code], 0))</f>
        <v>Domestic Coal Production</v>
      </c>
      <c r="E280" s="1297"/>
      <c r="F280" s="1298"/>
      <c r="G280" s="1298"/>
      <c r="H280" s="1298"/>
      <c r="I280" s="1298"/>
      <c r="J280" s="1298"/>
      <c r="K280" s="1298"/>
      <c r="L280" s="1298"/>
      <c r="M280" s="1298"/>
      <c r="N280" s="1298"/>
      <c r="O280" s="1298"/>
      <c r="P280" s="1298"/>
      <c r="Q280" s="1298"/>
      <c r="R280" s="1298"/>
      <c r="S280" s="1298"/>
      <c r="T280" s="1298"/>
      <c r="U280" s="1298"/>
      <c r="V280" s="1298"/>
      <c r="W280" s="1298"/>
      <c r="X280" s="1298"/>
      <c r="Y280" s="1298"/>
      <c r="Z280" s="1298"/>
      <c r="AA280" s="1298"/>
      <c r="AB280" s="1298"/>
      <c r="AC280" s="1298"/>
      <c r="AD280" s="1298"/>
      <c r="AE280" s="1298"/>
      <c r="AF280" s="1298"/>
      <c r="AG280" s="1298"/>
      <c r="AH280" s="1298"/>
      <c r="AI280" s="1298"/>
      <c r="AJ280" s="1298"/>
      <c r="AK280" s="1298"/>
      <c r="AL280" s="1298"/>
      <c r="AM280" s="1298"/>
      <c r="AN280" s="1298"/>
      <c r="AO280" s="1298"/>
      <c r="AP280" s="1298"/>
      <c r="AQ280" s="1298"/>
      <c r="AR280" s="1298"/>
      <c r="AS280" s="1298"/>
      <c r="AT280" s="1298"/>
      <c r="AU280" s="1298"/>
      <c r="AV280" s="1298"/>
      <c r="AW280" s="1298"/>
      <c r="AX280" s="1297"/>
      <c r="AY280" s="368">
        <f t="shared" ca="1" si="83"/>
        <v>0</v>
      </c>
      <c r="AZ280" s="368"/>
      <c r="BA280" s="368">
        <f t="shared" ca="1" si="83"/>
        <v>0</v>
      </c>
      <c r="BB280" s="368">
        <f t="shared" ca="1" si="83"/>
        <v>0</v>
      </c>
      <c r="BC280" s="368">
        <f t="shared" ca="1" si="83"/>
        <v>0</v>
      </c>
      <c r="BD280" s="368">
        <f t="shared" ca="1" si="83"/>
        <v>0</v>
      </c>
      <c r="BE280" s="368">
        <f t="shared" ca="1" si="83"/>
        <v>0</v>
      </c>
      <c r="BF280" s="368">
        <f t="shared" ca="1" si="83"/>
        <v>0</v>
      </c>
      <c r="BG280" s="368">
        <f t="shared" ca="1" si="83"/>
        <v>0</v>
      </c>
      <c r="BH280" s="368">
        <f t="shared" ca="1" si="83"/>
        <v>0</v>
      </c>
      <c r="BI280" s="368">
        <f t="shared" ca="1" si="83"/>
        <v>0</v>
      </c>
      <c r="BJ280" s="1287"/>
      <c r="BL280" s="260"/>
      <c r="BM280" s="260"/>
    </row>
    <row r="281" spans="2:65">
      <c r="B281" s="1284"/>
      <c r="C281" s="1296" t="s">
        <v>818</v>
      </c>
      <c r="D281" s="1296" t="str">
        <f>INDEX(Modules[Module], MATCH($C281, Modules[Code], 0))</f>
        <v>Domestic Oil Production</v>
      </c>
      <c r="E281" s="1297"/>
      <c r="F281" s="1298"/>
      <c r="G281" s="1298"/>
      <c r="H281" s="1298"/>
      <c r="I281" s="1298"/>
      <c r="J281" s="1298"/>
      <c r="K281" s="1298"/>
      <c r="L281" s="1298"/>
      <c r="M281" s="1298"/>
      <c r="N281" s="1298"/>
      <c r="O281" s="1298"/>
      <c r="P281" s="1298"/>
      <c r="Q281" s="1298"/>
      <c r="R281" s="1298"/>
      <c r="S281" s="1298"/>
      <c r="T281" s="1298"/>
      <c r="U281" s="1298"/>
      <c r="V281" s="1298"/>
      <c r="W281" s="1298"/>
      <c r="X281" s="1298"/>
      <c r="Y281" s="1298"/>
      <c r="Z281" s="1298"/>
      <c r="AA281" s="1298"/>
      <c r="AB281" s="1298"/>
      <c r="AC281" s="1298"/>
      <c r="AD281" s="1298"/>
      <c r="AE281" s="1298"/>
      <c r="AF281" s="1298"/>
      <c r="AG281" s="1298"/>
      <c r="AH281" s="1298"/>
      <c r="AI281" s="1298"/>
      <c r="AJ281" s="1298"/>
      <c r="AK281" s="1298"/>
      <c r="AL281" s="1298"/>
      <c r="AM281" s="1298"/>
      <c r="AN281" s="1298"/>
      <c r="AO281" s="1298"/>
      <c r="AP281" s="1298"/>
      <c r="AQ281" s="1298"/>
      <c r="AR281" s="1298"/>
      <c r="AS281" s="1298"/>
      <c r="AT281" s="1298"/>
      <c r="AU281" s="1298"/>
      <c r="AV281" s="1298"/>
      <c r="AW281" s="1298"/>
      <c r="AX281" s="1297"/>
      <c r="AY281" s="368"/>
      <c r="AZ281" s="368"/>
      <c r="BA281" s="368"/>
      <c r="BB281" s="368"/>
      <c r="BC281" s="368"/>
      <c r="BD281" s="368"/>
      <c r="BE281" s="368"/>
      <c r="BF281" s="368"/>
      <c r="BG281" s="368"/>
      <c r="BH281" s="368"/>
      <c r="BI281" s="368"/>
      <c r="BJ281" s="1287"/>
      <c r="BL281" s="260"/>
      <c r="BM281" s="260"/>
    </row>
    <row r="282" spans="2:65">
      <c r="B282" s="1284"/>
      <c r="C282" s="1296" t="s">
        <v>410</v>
      </c>
      <c r="D282" s="1296" t="str">
        <f>INDEX(Modules[Module], MATCH($C282, Modules[Code], 0))</f>
        <v>Fossil Fuel Transfer</v>
      </c>
      <c r="E282" s="1297"/>
      <c r="F282" s="1298"/>
      <c r="G282" s="1298"/>
      <c r="H282" s="1298"/>
      <c r="I282" s="1298"/>
      <c r="J282" s="1298"/>
      <c r="K282" s="1298"/>
      <c r="L282" s="1298"/>
      <c r="M282" s="1298"/>
      <c r="N282" s="1298"/>
      <c r="O282" s="1298"/>
      <c r="P282" s="1298"/>
      <c r="Q282" s="1298"/>
      <c r="R282" s="1298"/>
      <c r="S282" s="1298"/>
      <c r="T282" s="1298"/>
      <c r="U282" s="1298"/>
      <c r="V282" s="1298"/>
      <c r="W282" s="1298"/>
      <c r="X282" s="1298"/>
      <c r="Y282" s="1298"/>
      <c r="Z282" s="1298"/>
      <c r="AA282" s="1298"/>
      <c r="AB282" s="1298"/>
      <c r="AC282" s="1298"/>
      <c r="AD282" s="1298"/>
      <c r="AE282" s="1298"/>
      <c r="AF282" s="1298"/>
      <c r="AG282" s="1298"/>
      <c r="AH282" s="1298"/>
      <c r="AI282" s="1298"/>
      <c r="AJ282" s="1298"/>
      <c r="AK282" s="1298"/>
      <c r="AL282" s="1298"/>
      <c r="AM282" s="1298"/>
      <c r="AN282" s="1298"/>
      <c r="AO282" s="1298"/>
      <c r="AP282" s="1298"/>
      <c r="AQ282" s="1298"/>
      <c r="AR282" s="1298"/>
      <c r="AS282" s="1298"/>
      <c r="AT282" s="1298"/>
      <c r="AU282" s="1298"/>
      <c r="AV282" s="1298"/>
      <c r="AW282" s="1298"/>
      <c r="AX282" s="1297"/>
      <c r="AY282" s="368"/>
      <c r="AZ282" s="368"/>
      <c r="BA282" s="368"/>
      <c r="BB282" s="368"/>
      <c r="BC282" s="368"/>
      <c r="BD282" s="368"/>
      <c r="BE282" s="368"/>
      <c r="BF282" s="368"/>
      <c r="BG282" s="368"/>
      <c r="BH282" s="368"/>
      <c r="BI282" s="368"/>
      <c r="BJ282" s="1287"/>
      <c r="BL282" s="260"/>
      <c r="BM282" s="260"/>
    </row>
    <row r="283" spans="2:65">
      <c r="B283" s="1284"/>
      <c r="C283" s="1296" t="s">
        <v>197</v>
      </c>
      <c r="D283" s="1296" t="str">
        <f>INDEX(Modules[Module], MATCH($C283, Modules[Code], 0))</f>
        <v>Industry</v>
      </c>
      <c r="E283" s="1297"/>
      <c r="F283" s="1298"/>
      <c r="G283" s="1298"/>
      <c r="H283" s="1298"/>
      <c r="I283" s="1298"/>
      <c r="J283" s="1298"/>
      <c r="K283" s="1298"/>
      <c r="L283" s="1298"/>
      <c r="M283" s="1298"/>
      <c r="N283" s="1298"/>
      <c r="O283" s="1298"/>
      <c r="P283" s="1298"/>
      <c r="Q283" s="1298"/>
      <c r="R283" s="1298"/>
      <c r="S283" s="1298"/>
      <c r="T283" s="1298"/>
      <c r="U283" s="1298"/>
      <c r="V283" s="1298"/>
      <c r="W283" s="1298"/>
      <c r="X283" s="1298"/>
      <c r="Y283" s="1298"/>
      <c r="Z283" s="1298"/>
      <c r="AA283" s="1298"/>
      <c r="AB283" s="1298"/>
      <c r="AC283" s="1298"/>
      <c r="AD283" s="1298"/>
      <c r="AE283" s="1298"/>
      <c r="AF283" s="1298"/>
      <c r="AG283" s="1298"/>
      <c r="AH283" s="1298"/>
      <c r="AI283" s="1298"/>
      <c r="AJ283" s="1298"/>
      <c r="AK283" s="1298"/>
      <c r="AL283" s="1298"/>
      <c r="AM283" s="1298"/>
      <c r="AN283" s="1298"/>
      <c r="AO283" s="1298"/>
      <c r="AP283" s="1298"/>
      <c r="AQ283" s="1298"/>
      <c r="AR283" s="1298"/>
      <c r="AS283" s="1298"/>
      <c r="AT283" s="1298"/>
      <c r="AU283" s="1298"/>
      <c r="AV283" s="1298"/>
      <c r="AW283" s="1298"/>
      <c r="AX283" s="1297"/>
      <c r="AY283" s="368">
        <f t="shared" ca="1" si="83"/>
        <v>291.71784851167462</v>
      </c>
      <c r="AZ283" s="368"/>
      <c r="BA283" s="368">
        <f t="shared" ca="1" si="83"/>
        <v>401.23500000000001</v>
      </c>
      <c r="BB283" s="368">
        <f t="shared" ca="1" si="83"/>
        <v>503.11770614913962</v>
      </c>
      <c r="BC283" s="368">
        <f t="shared" ca="1" si="83"/>
        <v>638.20622186284686</v>
      </c>
      <c r="BD283" s="368">
        <f t="shared" ca="1" si="83"/>
        <v>792.48188677491407</v>
      </c>
      <c r="BE283" s="368">
        <f t="shared" ca="1" si="83"/>
        <v>966.17848871674005</v>
      </c>
      <c r="BF283" s="368">
        <f t="shared" ca="1" si="83"/>
        <v>1200.6228340761327</v>
      </c>
      <c r="BG283" s="368">
        <f t="shared" ca="1" si="83"/>
        <v>1462.2792945499318</v>
      </c>
      <c r="BH283" s="368">
        <f t="shared" ca="1" si="83"/>
        <v>1752.1756493279522</v>
      </c>
      <c r="BI283" s="368">
        <f t="shared" ca="1" si="83"/>
        <v>2061.261323802787</v>
      </c>
      <c r="BJ283" s="1287"/>
      <c r="BL283" s="359"/>
    </row>
    <row r="284" spans="2:65">
      <c r="B284" s="1284"/>
      <c r="C284" s="1296"/>
      <c r="D284" s="1296"/>
      <c r="E284" s="1297"/>
      <c r="F284" s="1298"/>
      <c r="G284" s="1298"/>
      <c r="H284" s="1298"/>
      <c r="I284" s="1298"/>
      <c r="J284" s="1298"/>
      <c r="K284" s="1298"/>
      <c r="L284" s="1298"/>
      <c r="M284" s="1298"/>
      <c r="N284" s="1298"/>
      <c r="O284" s="1298"/>
      <c r="P284" s="1298"/>
      <c r="Q284" s="1298"/>
      <c r="R284" s="1298"/>
      <c r="S284" s="1298"/>
      <c r="T284" s="1298"/>
      <c r="U284" s="1298"/>
      <c r="V284" s="1298"/>
      <c r="W284" s="1298"/>
      <c r="X284" s="1298"/>
      <c r="Y284" s="1298"/>
      <c r="Z284" s="1298"/>
      <c r="AA284" s="1298"/>
      <c r="AB284" s="1298"/>
      <c r="AC284" s="1298"/>
      <c r="AD284" s="1298"/>
      <c r="AE284" s="1298"/>
      <c r="AF284" s="1298"/>
      <c r="AG284" s="1298"/>
      <c r="AH284" s="1298"/>
      <c r="AI284" s="1298"/>
      <c r="AJ284" s="1298"/>
      <c r="AK284" s="1298"/>
      <c r="AL284" s="1298"/>
      <c r="AM284" s="1298"/>
      <c r="AN284" s="1298"/>
      <c r="AO284" s="1298"/>
      <c r="AP284" s="1298"/>
      <c r="AQ284" s="1298"/>
      <c r="AR284" s="1298"/>
      <c r="AS284" s="1298"/>
      <c r="AT284" s="1298"/>
      <c r="AU284" s="1298"/>
      <c r="AV284" s="1298"/>
      <c r="AW284" s="1298"/>
      <c r="AX284" s="1297"/>
      <c r="AY284" s="368"/>
      <c r="AZ284" s="368"/>
      <c r="BA284" s="368"/>
      <c r="BB284" s="368"/>
      <c r="BC284" s="368"/>
      <c r="BD284" s="368"/>
      <c r="BE284" s="368"/>
      <c r="BF284" s="368"/>
      <c r="BG284" s="368"/>
      <c r="BH284" s="368"/>
      <c r="BI284" s="368"/>
      <c r="BJ284" s="1287"/>
    </row>
    <row r="285" spans="2:65">
      <c r="B285" s="1284"/>
      <c r="C285" s="1296"/>
      <c r="D285" s="1296" t="s">
        <v>103</v>
      </c>
      <c r="E285" s="1297"/>
      <c r="F285" s="1298"/>
      <c r="G285" s="1298"/>
      <c r="H285" s="1298"/>
      <c r="I285" s="1298"/>
      <c r="J285" s="1298"/>
      <c r="K285" s="1298"/>
      <c r="L285" s="1298"/>
      <c r="M285" s="1298"/>
      <c r="N285" s="1298"/>
      <c r="O285" s="1298"/>
      <c r="P285" s="1298"/>
      <c r="Q285" s="1298"/>
      <c r="R285" s="1298"/>
      <c r="S285" s="1298"/>
      <c r="T285" s="1298"/>
      <c r="U285" s="1298"/>
      <c r="V285" s="1298"/>
      <c r="W285" s="1298"/>
      <c r="X285" s="1298"/>
      <c r="Y285" s="1298"/>
      <c r="Z285" s="1298"/>
      <c r="AA285" s="1298"/>
      <c r="AB285" s="1298"/>
      <c r="AC285" s="1298"/>
      <c r="AD285" s="1298"/>
      <c r="AE285" s="1298"/>
      <c r="AF285" s="1298"/>
      <c r="AG285" s="1298"/>
      <c r="AH285" s="1298"/>
      <c r="AI285" s="1298"/>
      <c r="AJ285" s="1298"/>
      <c r="AK285" s="1298"/>
      <c r="AL285" s="1298"/>
      <c r="AM285" s="1298"/>
      <c r="AN285" s="1298"/>
      <c r="AO285" s="1298"/>
      <c r="AP285" s="1298"/>
      <c r="AQ285" s="1298"/>
      <c r="AR285" s="1298"/>
      <c r="AS285" s="1298"/>
      <c r="AT285" s="1298"/>
      <c r="AU285" s="1298"/>
      <c r="AV285" s="1298"/>
      <c r="AW285" s="1298"/>
      <c r="AX285" s="1297"/>
      <c r="AY285" s="368">
        <f t="shared" ref="AY285:BI285" ca="1" si="84">SUM(AY271:AY284)</f>
        <v>595.68681516482513</v>
      </c>
      <c r="AZ285" s="368"/>
      <c r="BA285" s="368">
        <f t="shared" ca="1" si="84"/>
        <v>798.39296177664801</v>
      </c>
      <c r="BB285" s="368">
        <f t="shared" ca="1" si="84"/>
        <v>1142.8498773739643</v>
      </c>
      <c r="BC285" s="368">
        <f t="shared" ca="1" si="84"/>
        <v>1640.0251055308781</v>
      </c>
      <c r="BD285" s="368">
        <f t="shared" ca="1" si="84"/>
        <v>2290.6622357105734</v>
      </c>
      <c r="BE285" s="368">
        <f t="shared" ca="1" si="84"/>
        <v>3170.4883780648101</v>
      </c>
      <c r="BF285" s="368">
        <f t="shared" ca="1" si="84"/>
        <v>3970.4133793283249</v>
      </c>
      <c r="BG285" s="368">
        <f t="shared" ca="1" si="84"/>
        <v>4914.3042732371441</v>
      </c>
      <c r="BH285" s="368">
        <f t="shared" ca="1" si="84"/>
        <v>5747.5586114860871</v>
      </c>
      <c r="BI285" s="368">
        <f t="shared" ca="1" si="84"/>
        <v>6680.5573002001365</v>
      </c>
      <c r="BJ285" s="1287"/>
    </row>
    <row r="286" spans="2:65">
      <c r="B286" s="1284"/>
      <c r="C286" s="1296"/>
      <c r="D286" s="1296"/>
      <c r="E286" s="1297"/>
      <c r="F286" s="1298"/>
      <c r="G286" s="1298"/>
      <c r="H286" s="1298"/>
      <c r="I286" s="1298"/>
      <c r="J286" s="1298"/>
      <c r="K286" s="1298"/>
      <c r="L286" s="1298"/>
      <c r="M286" s="1298"/>
      <c r="N286" s="1298"/>
      <c r="O286" s="1298"/>
      <c r="P286" s="1298"/>
      <c r="Q286" s="1298"/>
      <c r="R286" s="1298"/>
      <c r="S286" s="1298"/>
      <c r="T286" s="1298"/>
      <c r="U286" s="1298"/>
      <c r="V286" s="1298"/>
      <c r="W286" s="1298"/>
      <c r="X286" s="1298"/>
      <c r="Y286" s="1298"/>
      <c r="Z286" s="1298"/>
      <c r="AA286" s="1298"/>
      <c r="AB286" s="1298"/>
      <c r="AC286" s="1298"/>
      <c r="AD286" s="1298"/>
      <c r="AE286" s="1298"/>
      <c r="AF286" s="1298"/>
      <c r="AG286" s="1298"/>
      <c r="AH286" s="1298"/>
      <c r="AI286" s="1298"/>
      <c r="AJ286" s="1298"/>
      <c r="AK286" s="1298"/>
      <c r="AL286" s="1298"/>
      <c r="AM286" s="1298"/>
      <c r="AN286" s="1298"/>
      <c r="AO286" s="1298"/>
      <c r="AP286" s="1298"/>
      <c r="AQ286" s="1298"/>
      <c r="AR286" s="1298"/>
      <c r="AS286" s="1298"/>
      <c r="AT286" s="1298"/>
      <c r="AU286" s="1298"/>
      <c r="AV286" s="1298"/>
      <c r="AW286" s="1298"/>
      <c r="AX286" s="1297"/>
      <c r="AY286" s="368"/>
      <c r="AZ286" s="368"/>
      <c r="BA286" s="368"/>
      <c r="BB286" s="368"/>
      <c r="BC286" s="368"/>
      <c r="BD286" s="368"/>
      <c r="BE286" s="368"/>
      <c r="BF286" s="368"/>
      <c r="BG286" s="368"/>
      <c r="BH286" s="368"/>
      <c r="BI286" s="368"/>
      <c r="BJ286" s="1287"/>
    </row>
    <row r="287" spans="2:65">
      <c r="B287" s="1284"/>
      <c r="C287" s="1296"/>
      <c r="D287" s="1299" t="s">
        <v>113</v>
      </c>
      <c r="E287" s="1297"/>
      <c r="F287" s="1298"/>
      <c r="G287" s="1298"/>
      <c r="H287" s="1298"/>
      <c r="I287" s="1298"/>
      <c r="J287" s="1298"/>
      <c r="K287" s="1298"/>
      <c r="L287" s="1298"/>
      <c r="M287" s="1298"/>
      <c r="N287" s="1298"/>
      <c r="O287" s="1298"/>
      <c r="P287" s="1298"/>
      <c r="Q287" s="1298"/>
      <c r="R287" s="1298"/>
      <c r="S287" s="1298"/>
      <c r="T287" s="1298"/>
      <c r="U287" s="1298"/>
      <c r="V287" s="1298"/>
      <c r="W287" s="1298"/>
      <c r="X287" s="1298"/>
      <c r="Y287" s="1298"/>
      <c r="Z287" s="1298"/>
      <c r="AA287" s="1298"/>
      <c r="AB287" s="1298"/>
      <c r="AC287" s="1298"/>
      <c r="AD287" s="1298"/>
      <c r="AE287" s="1298"/>
      <c r="AF287" s="1298"/>
      <c r="AG287" s="1298"/>
      <c r="AH287" s="1298"/>
      <c r="AI287" s="1298"/>
      <c r="AJ287" s="1298"/>
      <c r="AK287" s="1298"/>
      <c r="AL287" s="1298"/>
      <c r="AM287" s="1298"/>
      <c r="AN287" s="1298"/>
      <c r="AO287" s="1298"/>
      <c r="AP287" s="1298"/>
      <c r="AQ287" s="1298"/>
      <c r="AR287" s="1298"/>
      <c r="AS287" s="1298"/>
      <c r="AT287" s="1298"/>
      <c r="AU287" s="1298"/>
      <c r="AV287" s="1298"/>
      <c r="AW287" s="1298"/>
      <c r="AX287" s="1297"/>
      <c r="AY287" s="368">
        <f ca="1">SUM(AY273,AY274)</f>
        <v>14.175599392034435</v>
      </c>
      <c r="AZ287" s="368"/>
      <c r="BA287" s="368">
        <f t="shared" ref="BA287:BI287" ca="1" si="85">SUM(BA273,BA274)</f>
        <v>14.175599392034435</v>
      </c>
      <c r="BB287" s="368">
        <f t="shared" ca="1" si="85"/>
        <v>19.38808543994168</v>
      </c>
      <c r="BC287" s="368">
        <f t="shared" ca="1" si="85"/>
        <v>25.818542167784543</v>
      </c>
      <c r="BD287" s="368">
        <f t="shared" ca="1" si="85"/>
        <v>32.793230000547041</v>
      </c>
      <c r="BE287" s="368">
        <f t="shared" ca="1" si="85"/>
        <v>40.870635745887029</v>
      </c>
      <c r="BF287" s="368">
        <f t="shared" ca="1" si="85"/>
        <v>49.401324638531037</v>
      </c>
      <c r="BG287" s="368">
        <f t="shared" ca="1" si="85"/>
        <v>54.794419347980828</v>
      </c>
      <c r="BH287" s="368">
        <f t="shared" ca="1" si="85"/>
        <v>59.954801826308824</v>
      </c>
      <c r="BI287" s="368">
        <f t="shared" ca="1" si="85"/>
        <v>64.186648237973117</v>
      </c>
      <c r="BJ287" s="1287"/>
    </row>
    <row r="288" spans="2:65">
      <c r="B288" s="1284"/>
      <c r="C288" s="1296"/>
      <c r="D288" s="1299" t="s">
        <v>33</v>
      </c>
      <c r="E288" s="1297"/>
      <c r="F288" s="1298"/>
      <c r="G288" s="1298"/>
      <c r="H288" s="1298"/>
      <c r="I288" s="1298"/>
      <c r="J288" s="1298"/>
      <c r="K288" s="1298"/>
      <c r="L288" s="1298"/>
      <c r="M288" s="1298"/>
      <c r="N288" s="1298"/>
      <c r="O288" s="1298"/>
      <c r="P288" s="1298"/>
      <c r="Q288" s="1298"/>
      <c r="R288" s="1298"/>
      <c r="S288" s="1298"/>
      <c r="T288" s="1298"/>
      <c r="U288" s="1298"/>
      <c r="V288" s="1298"/>
      <c r="W288" s="1298"/>
      <c r="X288" s="1298"/>
      <c r="Y288" s="1298"/>
      <c r="Z288" s="1298"/>
      <c r="AA288" s="1298"/>
      <c r="AB288" s="1298"/>
      <c r="AC288" s="1298"/>
      <c r="AD288" s="1298"/>
      <c r="AE288" s="1298"/>
      <c r="AF288" s="1298"/>
      <c r="AG288" s="1298"/>
      <c r="AH288" s="1298"/>
      <c r="AI288" s="1298"/>
      <c r="AJ288" s="1298"/>
      <c r="AK288" s="1298"/>
      <c r="AL288" s="1298"/>
      <c r="AM288" s="1298"/>
      <c r="AN288" s="1298"/>
      <c r="AO288" s="1298"/>
      <c r="AP288" s="1298"/>
      <c r="AQ288" s="1298"/>
      <c r="AR288" s="1298"/>
      <c r="AS288" s="1298"/>
      <c r="AT288" s="1298"/>
      <c r="AU288" s="1298"/>
      <c r="AV288" s="1298"/>
      <c r="AW288" s="1298"/>
      <c r="AX288" s="1297"/>
      <c r="AY288" s="368">
        <f ca="1">AY283</f>
        <v>291.71784851167462</v>
      </c>
      <c r="AZ288" s="368"/>
      <c r="BA288" s="368">
        <f t="shared" ref="BA288:BI288" ca="1" si="86">BA283</f>
        <v>401.23500000000001</v>
      </c>
      <c r="BB288" s="368">
        <f t="shared" ca="1" si="86"/>
        <v>503.11770614913962</v>
      </c>
      <c r="BC288" s="368">
        <f t="shared" ca="1" si="86"/>
        <v>638.20622186284686</v>
      </c>
      <c r="BD288" s="368">
        <f t="shared" ca="1" si="86"/>
        <v>792.48188677491407</v>
      </c>
      <c r="BE288" s="368">
        <f t="shared" ca="1" si="86"/>
        <v>966.17848871674005</v>
      </c>
      <c r="BF288" s="368">
        <f t="shared" ca="1" si="86"/>
        <v>1200.6228340761327</v>
      </c>
      <c r="BG288" s="368">
        <f t="shared" ca="1" si="86"/>
        <v>1462.2792945499318</v>
      </c>
      <c r="BH288" s="368">
        <f t="shared" ca="1" si="86"/>
        <v>1752.1756493279522</v>
      </c>
      <c r="BI288" s="368">
        <f t="shared" ca="1" si="86"/>
        <v>2061.261323802787</v>
      </c>
      <c r="BJ288" s="1287"/>
    </row>
    <row r="289" spans="1:62">
      <c r="B289" s="1284"/>
      <c r="C289" s="1296"/>
      <c r="D289" s="1299" t="s">
        <v>1051</v>
      </c>
      <c r="E289" s="1297"/>
      <c r="F289" s="1298"/>
      <c r="G289" s="1298"/>
      <c r="H289" s="1298"/>
      <c r="I289" s="1298"/>
      <c r="J289" s="1298"/>
      <c r="K289" s="1298"/>
      <c r="L289" s="1298"/>
      <c r="M289" s="1298"/>
      <c r="N289" s="1298"/>
      <c r="O289" s="1298"/>
      <c r="P289" s="1298"/>
      <c r="Q289" s="1298"/>
      <c r="R289" s="1298"/>
      <c r="S289" s="1298"/>
      <c r="T289" s="1298"/>
      <c r="U289" s="1298"/>
      <c r="V289" s="1298"/>
      <c r="W289" s="1298"/>
      <c r="X289" s="1298"/>
      <c r="Y289" s="1298"/>
      <c r="Z289" s="1298"/>
      <c r="AA289" s="1298"/>
      <c r="AB289" s="1298"/>
      <c r="AC289" s="1298"/>
      <c r="AD289" s="1298"/>
      <c r="AE289" s="1298"/>
      <c r="AF289" s="1298"/>
      <c r="AG289" s="1298"/>
      <c r="AH289" s="1298"/>
      <c r="AI289" s="1298"/>
      <c r="AJ289" s="1298"/>
      <c r="AK289" s="1298"/>
      <c r="AL289" s="1298"/>
      <c r="AM289" s="1298"/>
      <c r="AN289" s="1298"/>
      <c r="AO289" s="1298"/>
      <c r="AP289" s="1298"/>
      <c r="AQ289" s="1298"/>
      <c r="AR289" s="1298"/>
      <c r="AS289" s="1298"/>
      <c r="AT289" s="1298"/>
      <c r="AU289" s="1298"/>
      <c r="AV289" s="1298"/>
      <c r="AW289" s="1298"/>
      <c r="AX289" s="1297"/>
      <c r="AY289" s="368">
        <f ca="1">SUM(AY275,AY276)</f>
        <v>0.30660334104356374</v>
      </c>
      <c r="AZ289" s="368"/>
      <c r="BA289" s="368">
        <f t="shared" ref="BA289:BI289" ca="1" si="87">SUM(BA275,BA276)</f>
        <v>0.40568124773609537</v>
      </c>
      <c r="BB289" s="368">
        <f t="shared" ca="1" si="87"/>
        <v>1.9119107308416539</v>
      </c>
      <c r="BC289" s="368">
        <f t="shared" ca="1" si="87"/>
        <v>3.0737404888957927</v>
      </c>
      <c r="BD289" s="368">
        <f t="shared" ca="1" si="87"/>
        <v>5.9878453050571316</v>
      </c>
      <c r="BE289" s="368">
        <f t="shared" ca="1" si="87"/>
        <v>10.924338830969084</v>
      </c>
      <c r="BF289" s="368">
        <f t="shared" ca="1" si="87"/>
        <v>14.605179460099949</v>
      </c>
      <c r="BG289" s="368">
        <f t="shared" ca="1" si="87"/>
        <v>19.221420721203312</v>
      </c>
      <c r="BH289" s="368">
        <f t="shared" ca="1" si="87"/>
        <v>25.37842895536987</v>
      </c>
      <c r="BI289" s="368">
        <f t="shared" ca="1" si="87"/>
        <v>29.2476501509129</v>
      </c>
      <c r="BJ289" s="1287"/>
    </row>
    <row r="290" spans="1:62">
      <c r="B290" s="1284"/>
      <c r="C290" s="1296"/>
      <c r="D290" s="1299" t="s">
        <v>1194</v>
      </c>
      <c r="E290" s="1297"/>
      <c r="F290" s="1298"/>
      <c r="G290" s="1298"/>
      <c r="H290" s="1298"/>
      <c r="I290" s="1298"/>
      <c r="J290" s="1298"/>
      <c r="K290" s="1298"/>
      <c r="L290" s="1298"/>
      <c r="M290" s="1298"/>
      <c r="N290" s="1298"/>
      <c r="O290" s="1298"/>
      <c r="P290" s="1298"/>
      <c r="Q290" s="1298"/>
      <c r="R290" s="1298"/>
      <c r="S290" s="1298"/>
      <c r="T290" s="1298"/>
      <c r="U290" s="1298"/>
      <c r="V290" s="1298"/>
      <c r="W290" s="1298"/>
      <c r="X290" s="1298"/>
      <c r="Y290" s="1298"/>
      <c r="Z290" s="1298"/>
      <c r="AA290" s="1298"/>
      <c r="AB290" s="1298"/>
      <c r="AC290" s="1298"/>
      <c r="AD290" s="1298"/>
      <c r="AE290" s="1298"/>
      <c r="AF290" s="1298"/>
      <c r="AG290" s="1298"/>
      <c r="AH290" s="1298"/>
      <c r="AI290" s="1298"/>
      <c r="AJ290" s="1298"/>
      <c r="AK290" s="1298"/>
      <c r="AL290" s="1298"/>
      <c r="AM290" s="1298"/>
      <c r="AN290" s="1298"/>
      <c r="AO290" s="1298"/>
      <c r="AP290" s="1298"/>
      <c r="AQ290" s="1298"/>
      <c r="AR290" s="1298"/>
      <c r="AS290" s="1298"/>
      <c r="AT290" s="1298"/>
      <c r="AU290" s="1298"/>
      <c r="AV290" s="1298"/>
      <c r="AW290" s="1298"/>
      <c r="AX290" s="1297"/>
      <c r="AY290" s="368">
        <f ca="1">SUM(AY271,AY272)</f>
        <v>187.57094392007247</v>
      </c>
      <c r="AZ290" s="368"/>
      <c r="BA290" s="368">
        <f t="shared" ref="BA290:BI290" ca="1" si="88">SUM(BA271,BA272)</f>
        <v>232.6414587738775</v>
      </c>
      <c r="BB290" s="368">
        <f t="shared" ca="1" si="88"/>
        <v>409.59289667256314</v>
      </c>
      <c r="BC290" s="368">
        <f t="shared" ca="1" si="88"/>
        <v>682.35180976263746</v>
      </c>
      <c r="BD290" s="368">
        <f t="shared" ca="1" si="88"/>
        <v>1086.2102405751129</v>
      </c>
      <c r="BE290" s="368">
        <f t="shared" ca="1" si="88"/>
        <v>1679.1946528978117</v>
      </c>
      <c r="BF290" s="368">
        <f t="shared" ca="1" si="88"/>
        <v>2141.6492620907752</v>
      </c>
      <c r="BG290" s="368">
        <f t="shared" ca="1" si="88"/>
        <v>2715.1133156726805</v>
      </c>
      <c r="BH290" s="368">
        <f t="shared" ca="1" si="88"/>
        <v>3174.0690762946037</v>
      </c>
      <c r="BI290" s="368">
        <f t="shared" ca="1" si="88"/>
        <v>3704.1900397353238</v>
      </c>
      <c r="BJ290" s="1287"/>
    </row>
    <row r="291" spans="1:62">
      <c r="B291" s="1284"/>
      <c r="C291" s="1296"/>
      <c r="D291" s="1299" t="s">
        <v>1078</v>
      </c>
      <c r="E291" s="1297"/>
      <c r="F291" s="1298"/>
      <c r="G291" s="1298"/>
      <c r="H291" s="1298"/>
      <c r="I291" s="1298"/>
      <c r="J291" s="1298"/>
      <c r="K291" s="1298"/>
      <c r="L291" s="1298"/>
      <c r="M291" s="1298"/>
      <c r="N291" s="1298"/>
      <c r="O291" s="1298"/>
      <c r="P291" s="1298"/>
      <c r="Q291" s="1298"/>
      <c r="R291" s="1298"/>
      <c r="S291" s="1298"/>
      <c r="T291" s="1298"/>
      <c r="U291" s="1298"/>
      <c r="V291" s="1298"/>
      <c r="W291" s="1298"/>
      <c r="X291" s="1298"/>
      <c r="Y291" s="1298"/>
      <c r="Z291" s="1298"/>
      <c r="AA291" s="1298"/>
      <c r="AB291" s="1298"/>
      <c r="AC291" s="1298"/>
      <c r="AD291" s="1298"/>
      <c r="AE291" s="1298"/>
      <c r="AF291" s="1298"/>
      <c r="AG291" s="1298"/>
      <c r="AH291" s="1298"/>
      <c r="AI291" s="1298"/>
      <c r="AJ291" s="1298"/>
      <c r="AK291" s="1298"/>
      <c r="AL291" s="1298"/>
      <c r="AM291" s="1298"/>
      <c r="AN291" s="1298"/>
      <c r="AO291" s="1298"/>
      <c r="AP291" s="1298"/>
      <c r="AQ291" s="1298"/>
      <c r="AR291" s="1298"/>
      <c r="AS291" s="1298"/>
      <c r="AT291" s="1298"/>
      <c r="AU291" s="1298"/>
      <c r="AV291" s="1298"/>
      <c r="AW291" s="1298"/>
      <c r="AX291" s="1297"/>
      <c r="AY291" s="368">
        <f ca="1">AY277</f>
        <v>99.549000000000007</v>
      </c>
      <c r="AZ291" s="368"/>
      <c r="BA291" s="368">
        <f t="shared" ref="BA291:BI292" ca="1" si="89">BA277</f>
        <v>135.84360999999998</v>
      </c>
      <c r="BB291" s="368">
        <f t="shared" ca="1" si="89"/>
        <v>188.77501314929791</v>
      </c>
      <c r="BC291" s="368">
        <f t="shared" ca="1" si="89"/>
        <v>262.32571067939568</v>
      </c>
      <c r="BD291" s="368">
        <f t="shared" ca="1" si="89"/>
        <v>335.74068575957824</v>
      </c>
      <c r="BE291" s="368">
        <f t="shared" ca="1" si="89"/>
        <v>428.7780628500808</v>
      </c>
      <c r="BF291" s="368">
        <f t="shared" ca="1" si="89"/>
        <v>506.91064092382578</v>
      </c>
      <c r="BG291" s="368">
        <f t="shared" ca="1" si="89"/>
        <v>599.26784878596698</v>
      </c>
      <c r="BH291" s="368">
        <f t="shared" ca="1" si="89"/>
        <v>658.56749564700988</v>
      </c>
      <c r="BI291" s="368">
        <f t="shared" ca="1" si="89"/>
        <v>723.71929535837114</v>
      </c>
      <c r="BJ291" s="1287"/>
    </row>
    <row r="292" spans="1:62">
      <c r="B292" s="1284"/>
      <c r="C292" s="1296"/>
      <c r="D292" s="1299" t="s">
        <v>106</v>
      </c>
      <c r="E292" s="1297"/>
      <c r="F292" s="1298"/>
      <c r="G292" s="1298"/>
      <c r="H292" s="1298"/>
      <c r="I292" s="1298"/>
      <c r="J292" s="1298"/>
      <c r="K292" s="1298"/>
      <c r="L292" s="1298"/>
      <c r="M292" s="1298"/>
      <c r="N292" s="1298"/>
      <c r="O292" s="1298"/>
      <c r="P292" s="1298"/>
      <c r="Q292" s="1298"/>
      <c r="R292" s="1298"/>
      <c r="S292" s="1298"/>
      <c r="T292" s="1298"/>
      <c r="U292" s="1298"/>
      <c r="V292" s="1298"/>
      <c r="W292" s="1298"/>
      <c r="X292" s="1298"/>
      <c r="Y292" s="1298"/>
      <c r="Z292" s="1298"/>
      <c r="AA292" s="1298"/>
      <c r="AB292" s="1298"/>
      <c r="AC292" s="1298"/>
      <c r="AD292" s="1298"/>
      <c r="AE292" s="1298"/>
      <c r="AF292" s="1298"/>
      <c r="AG292" s="1298"/>
      <c r="AH292" s="1298"/>
      <c r="AI292" s="1298"/>
      <c r="AJ292" s="1298"/>
      <c r="AK292" s="1298"/>
      <c r="AL292" s="1298"/>
      <c r="AM292" s="1298"/>
      <c r="AN292" s="1298"/>
      <c r="AO292" s="1298"/>
      <c r="AP292" s="1298"/>
      <c r="AQ292" s="1298"/>
      <c r="AR292" s="1298"/>
      <c r="AS292" s="1298"/>
      <c r="AT292" s="1298"/>
      <c r="AU292" s="1298"/>
      <c r="AV292" s="1298"/>
      <c r="AW292" s="1298"/>
      <c r="AX292" s="1297"/>
      <c r="AY292" s="368">
        <f ca="1">AY278</f>
        <v>2.3668199999999997</v>
      </c>
      <c r="AZ292" s="368"/>
      <c r="BA292" s="368">
        <f t="shared" ca="1" si="89"/>
        <v>14.091612362999999</v>
      </c>
      <c r="BB292" s="368">
        <f t="shared" ca="1" si="89"/>
        <v>20.064265232180411</v>
      </c>
      <c r="BC292" s="368">
        <f t="shared" ca="1" si="89"/>
        <v>28.249080569317663</v>
      </c>
      <c r="BD292" s="368">
        <f t="shared" ca="1" si="89"/>
        <v>37.448347295363597</v>
      </c>
      <c r="BE292" s="368">
        <f t="shared" ca="1" si="89"/>
        <v>44.542199023321331</v>
      </c>
      <c r="BF292" s="368">
        <f t="shared" ca="1" si="89"/>
        <v>57.224138138960534</v>
      </c>
      <c r="BG292" s="368">
        <f t="shared" ca="1" si="89"/>
        <v>63.627974159380635</v>
      </c>
      <c r="BH292" s="368">
        <f t="shared" ca="1" si="89"/>
        <v>77.413159434842669</v>
      </c>
      <c r="BI292" s="368">
        <f t="shared" ca="1" si="89"/>
        <v>97.952342914769488</v>
      </c>
      <c r="BJ292" s="1287"/>
    </row>
    <row r="293" spans="1:62">
      <c r="B293" s="1284"/>
      <c r="C293" s="1296"/>
      <c r="D293" s="1299" t="s">
        <v>103</v>
      </c>
      <c r="E293" s="1297"/>
      <c r="F293" s="1298"/>
      <c r="G293" s="1298"/>
      <c r="H293" s="1298"/>
      <c r="I293" s="1298"/>
      <c r="J293" s="1298"/>
      <c r="K293" s="1298"/>
      <c r="L293" s="1298"/>
      <c r="M293" s="1298"/>
      <c r="N293" s="1298"/>
      <c r="O293" s="1298"/>
      <c r="P293" s="1298"/>
      <c r="Q293" s="1298"/>
      <c r="R293" s="1298"/>
      <c r="S293" s="1298"/>
      <c r="T293" s="1298"/>
      <c r="U293" s="1298"/>
      <c r="V293" s="1298"/>
      <c r="W293" s="1298"/>
      <c r="X293" s="1298"/>
      <c r="Y293" s="1298"/>
      <c r="Z293" s="1298"/>
      <c r="AA293" s="1298"/>
      <c r="AB293" s="1298"/>
      <c r="AC293" s="1298"/>
      <c r="AD293" s="1298"/>
      <c r="AE293" s="1298"/>
      <c r="AF293" s="1298"/>
      <c r="AG293" s="1298"/>
      <c r="AH293" s="1298"/>
      <c r="AI293" s="1298"/>
      <c r="AJ293" s="1298"/>
      <c r="AK293" s="1298"/>
      <c r="AL293" s="1298"/>
      <c r="AM293" s="1298"/>
      <c r="AN293" s="1298"/>
      <c r="AO293" s="1298"/>
      <c r="AP293" s="1298"/>
      <c r="AQ293" s="1298"/>
      <c r="AR293" s="1298"/>
      <c r="AS293" s="1298"/>
      <c r="AT293" s="1298"/>
      <c r="AU293" s="1298"/>
      <c r="AV293" s="1298"/>
      <c r="AW293" s="1298"/>
      <c r="AX293" s="1297"/>
      <c r="AY293" s="368">
        <f ca="1">SUM(AY287:AY292)</f>
        <v>595.68681516482502</v>
      </c>
      <c r="AZ293" s="368"/>
      <c r="BA293" s="368">
        <f t="shared" ref="BA293:BI293" ca="1" si="90">SUM(BA287:BA292)</f>
        <v>798.39296177664801</v>
      </c>
      <c r="BB293" s="368">
        <f t="shared" ca="1" si="90"/>
        <v>1142.8498773739643</v>
      </c>
      <c r="BC293" s="368">
        <f t="shared" ca="1" si="90"/>
        <v>1640.0251055308779</v>
      </c>
      <c r="BD293" s="368">
        <f t="shared" ca="1" si="90"/>
        <v>2290.662235710573</v>
      </c>
      <c r="BE293" s="368">
        <f t="shared" ca="1" si="90"/>
        <v>3170.4883780648101</v>
      </c>
      <c r="BF293" s="368">
        <f t="shared" ca="1" si="90"/>
        <v>3970.4133793283249</v>
      </c>
      <c r="BG293" s="368">
        <f t="shared" ca="1" si="90"/>
        <v>4914.3042732371441</v>
      </c>
      <c r="BH293" s="368">
        <f t="shared" ca="1" si="90"/>
        <v>5747.558611486088</v>
      </c>
      <c r="BI293" s="368">
        <f t="shared" ca="1" si="90"/>
        <v>6680.5573002001374</v>
      </c>
      <c r="BJ293" s="1287"/>
    </row>
    <row r="294" spans="1:62" s="3020" customFormat="1">
      <c r="A294" s="3012"/>
      <c r="B294" s="3013"/>
      <c r="C294" s="3014"/>
      <c r="D294" s="3015"/>
      <c r="E294" s="3016"/>
      <c r="F294" s="3017"/>
      <c r="G294" s="3017"/>
      <c r="H294" s="3017"/>
      <c r="I294" s="3017"/>
      <c r="J294" s="3017"/>
      <c r="K294" s="3017"/>
      <c r="L294" s="3017"/>
      <c r="M294" s="3017"/>
      <c r="N294" s="3017"/>
      <c r="O294" s="3017"/>
      <c r="P294" s="3017"/>
      <c r="Q294" s="3017"/>
      <c r="R294" s="3017"/>
      <c r="S294" s="3017"/>
      <c r="T294" s="3017"/>
      <c r="U294" s="3017"/>
      <c r="V294" s="3017"/>
      <c r="W294" s="3017"/>
      <c r="X294" s="3017"/>
      <c r="Y294" s="3017"/>
      <c r="Z294" s="3017"/>
      <c r="AA294" s="3017"/>
      <c r="AB294" s="3017"/>
      <c r="AC294" s="3017"/>
      <c r="AD294" s="3017"/>
      <c r="AE294" s="3017"/>
      <c r="AF294" s="3017"/>
      <c r="AG294" s="3017"/>
      <c r="AH294" s="3017"/>
      <c r="AI294" s="3017"/>
      <c r="AJ294" s="3017"/>
      <c r="AK294" s="3017"/>
      <c r="AL294" s="3017"/>
      <c r="AM294" s="3017"/>
      <c r="AN294" s="3017"/>
      <c r="AO294" s="3017"/>
      <c r="AP294" s="3017"/>
      <c r="AQ294" s="3017"/>
      <c r="AR294" s="3017"/>
      <c r="AS294" s="3017"/>
      <c r="AT294" s="3017"/>
      <c r="AU294" s="3017"/>
      <c r="AV294" s="3017"/>
      <c r="AW294" s="3017"/>
      <c r="AX294" s="3016"/>
      <c r="AY294" s="3018"/>
      <c r="AZ294" s="3018"/>
      <c r="BA294" s="3018"/>
      <c r="BB294" s="3018"/>
      <c r="BC294" s="3018"/>
      <c r="BD294" s="3018"/>
      <c r="BE294" s="3018"/>
      <c r="BF294" s="3018"/>
      <c r="BG294" s="3018"/>
      <c r="BH294" s="3018"/>
      <c r="BI294" s="3019"/>
    </row>
    <row r="295" spans="1:62" s="3020" customFormat="1">
      <c r="A295" s="3012"/>
      <c r="B295" s="3013"/>
    </row>
    <row r="296" spans="1:62" s="3020" customFormat="1">
      <c r="A296" s="3012"/>
      <c r="B296" s="3013"/>
    </row>
    <row r="297" spans="1:62" s="3020" customFormat="1">
      <c r="A297" s="3012"/>
    </row>
    <row r="298" spans="1:62" s="3022" customFormat="1">
      <c r="A298" s="3012"/>
      <c r="B298" s="3021" t="s">
        <v>281</v>
      </c>
    </row>
    <row r="299" spans="1:62" s="3024" customFormat="1">
      <c r="A299" s="3012"/>
      <c r="B299" s="3023"/>
    </row>
    <row r="300" spans="1:62" s="3024" customFormat="1">
      <c r="A300" s="3012"/>
      <c r="B300" s="3023"/>
      <c r="C300" s="1242" t="s">
        <v>60</v>
      </c>
      <c r="D300" s="1242" t="str">
        <f>INDEX(Workstreams[Workstream], MATCH($C300, Workstreams[Code], 0))</f>
        <v>Hydrocarbon fuel power generation</v>
      </c>
      <c r="E300" s="1242"/>
      <c r="AY300" s="3031">
        <f t="shared" ref="AY300:AY308" ca="1" si="91">SUMIFS(INDIRECT("'"&amp;AY$175&amp;"'!Year.EmissionsBySector"), INDIRECT("'"&amp;AY$175&amp;"'!Year.Modules"),$C300)</f>
        <v>595.06618519645599</v>
      </c>
      <c r="BA300" s="3031">
        <f t="shared" ref="BA300:BI308" ca="1" si="92">SUMIFS(INDIRECT("'"&amp;BA$175&amp;"'!Year.EmissionsBySector"), INDIRECT("'"&amp;BA$175&amp;"'!Year.Modules"),$C300)</f>
        <v>786.58498080937272</v>
      </c>
      <c r="BB300" s="3031">
        <f t="shared" ca="1" si="92"/>
        <v>1087.8432043865573</v>
      </c>
      <c r="BC300" s="3031">
        <f t="shared" ca="1" si="92"/>
        <v>1606.8342870120703</v>
      </c>
      <c r="BD300" s="3031">
        <f t="shared" ca="1" si="92"/>
        <v>2280.6290028913718</v>
      </c>
      <c r="BE300" s="3031">
        <f t="shared" ca="1" si="92"/>
        <v>3196.8110175540182</v>
      </c>
      <c r="BF300" s="3031">
        <f t="shared" ca="1" si="92"/>
        <v>4021.5588263312093</v>
      </c>
      <c r="BG300" s="3031">
        <f t="shared" ca="1" si="92"/>
        <v>4974.5893139179325</v>
      </c>
      <c r="BH300" s="3031">
        <f t="shared" ca="1" si="92"/>
        <v>5849.210459291693</v>
      </c>
      <c r="BI300" s="3031">
        <f t="shared" ca="1" si="92"/>
        <v>6837.1101374826903</v>
      </c>
    </row>
    <row r="301" spans="1:62" s="3028" customFormat="1" ht="13.5" customHeight="1">
      <c r="A301" s="3025"/>
      <c r="B301" s="3026"/>
      <c r="C301" s="3027" t="s">
        <v>195</v>
      </c>
      <c r="D301" s="3027" t="str">
        <f>INDEX(Workstreams[Workstream], MATCH($C301, Workstreams[Code], 0))</f>
        <v>Buildings</v>
      </c>
      <c r="E301" s="3027"/>
      <c r="G301" s="3029"/>
      <c r="H301" s="3030"/>
      <c r="I301" s="3030"/>
      <c r="J301" s="3030"/>
      <c r="K301" s="3030"/>
      <c r="L301" s="3030"/>
      <c r="M301" s="3030"/>
      <c r="N301" s="3030"/>
      <c r="O301" s="3030"/>
      <c r="P301" s="3030"/>
      <c r="Q301" s="3030"/>
      <c r="R301" s="3030"/>
      <c r="S301" s="3030"/>
      <c r="T301" s="3030"/>
      <c r="U301" s="3030"/>
      <c r="V301" s="3030"/>
      <c r="W301" s="3030"/>
      <c r="X301" s="3030"/>
      <c r="Y301" s="3030"/>
      <c r="Z301" s="3030"/>
      <c r="AA301" s="3030"/>
      <c r="AB301" s="3030"/>
      <c r="AC301" s="3030"/>
      <c r="AD301" s="3030"/>
      <c r="AE301" s="3030"/>
      <c r="AF301" s="3030"/>
      <c r="AG301" s="3030"/>
      <c r="AH301" s="3030"/>
      <c r="AI301" s="3030"/>
      <c r="AJ301" s="3030"/>
      <c r="AK301" s="3030"/>
      <c r="AL301" s="3030"/>
      <c r="AM301" s="3030"/>
      <c r="AN301" s="3030"/>
      <c r="AO301" s="3030"/>
      <c r="AP301" s="3030"/>
      <c r="AQ301" s="3030"/>
      <c r="AR301" s="3030"/>
      <c r="AS301" s="3030"/>
      <c r="AT301" s="3030"/>
      <c r="AU301" s="3030"/>
      <c r="AV301" s="3030"/>
      <c r="AW301" s="3030"/>
      <c r="AX301" s="1333"/>
      <c r="AY301" s="3031">
        <f t="shared" ca="1" si="91"/>
        <v>0</v>
      </c>
      <c r="BA301" s="3031">
        <f t="shared" ca="1" si="92"/>
        <v>0</v>
      </c>
      <c r="BB301" s="3031">
        <f t="shared" ca="1" si="92"/>
        <v>0</v>
      </c>
      <c r="BC301" s="3031">
        <f t="shared" ca="1" si="92"/>
        <v>0</v>
      </c>
      <c r="BD301" s="3031">
        <f t="shared" ca="1" si="92"/>
        <v>0</v>
      </c>
      <c r="BE301" s="3031">
        <f t="shared" ca="1" si="92"/>
        <v>0</v>
      </c>
      <c r="BF301" s="3031">
        <f t="shared" ca="1" si="92"/>
        <v>0</v>
      </c>
      <c r="BG301" s="3031">
        <f t="shared" ca="1" si="92"/>
        <v>0</v>
      </c>
      <c r="BH301" s="3031">
        <f t="shared" ca="1" si="92"/>
        <v>0</v>
      </c>
      <c r="BI301" s="3031">
        <f t="shared" ca="1" si="92"/>
        <v>0</v>
      </c>
    </row>
    <row r="302" spans="1:62" s="3028" customFormat="1" ht="13.5" customHeight="1">
      <c r="A302" s="3025"/>
      <c r="B302" s="3026"/>
      <c r="C302" s="3027" t="s">
        <v>196</v>
      </c>
      <c r="D302" s="3027" t="str">
        <f>INDEX(Workstreams[Workstream], MATCH($C302, Workstreams[Code], 0))</f>
        <v>Lighting and appliances</v>
      </c>
      <c r="E302" s="3027"/>
      <c r="G302" s="3029"/>
      <c r="H302" s="3030"/>
      <c r="I302" s="3030"/>
      <c r="J302" s="3030"/>
      <c r="K302" s="3030"/>
      <c r="L302" s="3030"/>
      <c r="M302" s="3030"/>
      <c r="N302" s="3030"/>
      <c r="O302" s="3030"/>
      <c r="P302" s="3030"/>
      <c r="Q302" s="3030"/>
      <c r="R302" s="3030"/>
      <c r="S302" s="3030"/>
      <c r="T302" s="3030"/>
      <c r="U302" s="3030"/>
      <c r="V302" s="3030"/>
      <c r="W302" s="3030"/>
      <c r="X302" s="3030"/>
      <c r="Y302" s="3030"/>
      <c r="Z302" s="3030"/>
      <c r="AA302" s="3030"/>
      <c r="AB302" s="3030"/>
      <c r="AC302" s="3030"/>
      <c r="AD302" s="3030"/>
      <c r="AE302" s="3030"/>
      <c r="AF302" s="3030"/>
      <c r="AG302" s="3030"/>
      <c r="AH302" s="3030"/>
      <c r="AI302" s="3030"/>
      <c r="AJ302" s="3030"/>
      <c r="AK302" s="3030"/>
      <c r="AL302" s="3030"/>
      <c r="AM302" s="3030"/>
      <c r="AN302" s="3030"/>
      <c r="AO302" s="3030"/>
      <c r="AP302" s="3030"/>
      <c r="AQ302" s="3030"/>
      <c r="AR302" s="3030"/>
      <c r="AS302" s="3030"/>
      <c r="AT302" s="3030"/>
      <c r="AU302" s="3030"/>
      <c r="AV302" s="3030"/>
      <c r="AW302" s="3030"/>
      <c r="AX302" s="1333"/>
      <c r="AY302" s="3031">
        <f t="shared" ca="1" si="91"/>
        <v>1.9940071140643392</v>
      </c>
      <c r="BA302" s="3031">
        <f t="shared" ca="1" si="92"/>
        <v>1.8329576632390179</v>
      </c>
      <c r="BB302" s="3031">
        <f t="shared" ca="1" si="92"/>
        <v>1.5593969490007227</v>
      </c>
      <c r="BC302" s="3031">
        <f t="shared" ca="1" si="92"/>
        <v>1.2520757241189449</v>
      </c>
      <c r="BD302" s="3031">
        <f t="shared" ca="1" si="92"/>
        <v>0.89960387313435453</v>
      </c>
      <c r="BE302" s="3031">
        <f t="shared" ca="1" si="92"/>
        <v>0.51206817193927345</v>
      </c>
      <c r="BF302" s="3031">
        <f t="shared" ca="1" si="92"/>
        <v>0.41076728618570002</v>
      </c>
      <c r="BG302" s="3031">
        <f t="shared" ca="1" si="92"/>
        <v>0.28960362076092644</v>
      </c>
      <c r="BH302" s="3031">
        <f t="shared" ca="1" si="92"/>
        <v>0.15320843556214719</v>
      </c>
      <c r="BI302" s="3031">
        <f t="shared" ca="1" si="92"/>
        <v>0</v>
      </c>
    </row>
    <row r="303" spans="1:62" s="3028" customFormat="1" ht="13.5" customHeight="1">
      <c r="A303" s="3025"/>
      <c r="B303" s="3026"/>
      <c r="C303" s="3027" t="s">
        <v>197</v>
      </c>
      <c r="D303" s="3027" t="str">
        <f>INDEX(Workstreams[Workstream], MATCH($C303, Workstreams[Code], 0))</f>
        <v>Industry</v>
      </c>
      <c r="E303" s="3027"/>
      <c r="G303" s="3029"/>
      <c r="H303" s="3030"/>
      <c r="I303" s="3030"/>
      <c r="J303" s="3030"/>
      <c r="K303" s="3030"/>
      <c r="L303" s="3030"/>
      <c r="M303" s="3030"/>
      <c r="N303" s="3030"/>
      <c r="O303" s="3030"/>
      <c r="P303" s="3030"/>
      <c r="Q303" s="3030"/>
      <c r="R303" s="3030"/>
      <c r="S303" s="3030"/>
      <c r="T303" s="3030"/>
      <c r="U303" s="3030"/>
      <c r="V303" s="3030"/>
      <c r="W303" s="3030"/>
      <c r="X303" s="3030"/>
      <c r="Y303" s="3030"/>
      <c r="Z303" s="3030"/>
      <c r="AA303" s="3030"/>
      <c r="AB303" s="3030"/>
      <c r="AC303" s="3030"/>
      <c r="AD303" s="3030"/>
      <c r="AE303" s="3030"/>
      <c r="AF303" s="3030"/>
      <c r="AG303" s="3030"/>
      <c r="AH303" s="3030"/>
      <c r="AI303" s="3030"/>
      <c r="AJ303" s="3030"/>
      <c r="AK303" s="3030"/>
      <c r="AL303" s="3030"/>
      <c r="AM303" s="3030"/>
      <c r="AN303" s="3030"/>
      <c r="AO303" s="3030"/>
      <c r="AP303" s="3030"/>
      <c r="AQ303" s="3030"/>
      <c r="AR303" s="3030"/>
      <c r="AS303" s="3030"/>
      <c r="AT303" s="3030"/>
      <c r="AU303" s="3030"/>
      <c r="AV303" s="3030"/>
      <c r="AW303" s="3030"/>
      <c r="AX303" s="1333"/>
      <c r="AY303" s="3031">
        <f t="shared" ca="1" si="91"/>
        <v>656.32859095817719</v>
      </c>
      <c r="BA303" s="3031">
        <f t="shared" ca="1" si="92"/>
        <v>979.12998115429286</v>
      </c>
      <c r="BB303" s="3031">
        <f t="shared" ca="1" si="92"/>
        <v>1345.4936987492497</v>
      </c>
      <c r="BC303" s="3031">
        <f t="shared" ca="1" si="92"/>
        <v>1924.2235281328119</v>
      </c>
      <c r="BD303" s="3031">
        <f t="shared" ca="1" si="92"/>
        <v>2584.2470908653481</v>
      </c>
      <c r="BE303" s="3031">
        <f t="shared" ca="1" si="92"/>
        <v>3317.3344442972589</v>
      </c>
      <c r="BF303" s="3031">
        <f t="shared" ca="1" si="92"/>
        <v>4101.1617703764796</v>
      </c>
      <c r="BG303" s="3031">
        <f t="shared" ca="1" si="92"/>
        <v>4844.097183367986</v>
      </c>
      <c r="BH303" s="3031">
        <f t="shared" ca="1" si="92"/>
        <v>5519.430879030032</v>
      </c>
      <c r="BI303" s="3031">
        <f t="shared" ca="1" si="92"/>
        <v>6202.7146584073007</v>
      </c>
    </row>
    <row r="304" spans="1:62" s="3028" customFormat="1" ht="13.5" customHeight="1">
      <c r="A304" s="3025"/>
      <c r="B304" s="3026"/>
      <c r="C304" s="3027" t="s">
        <v>198</v>
      </c>
      <c r="D304" s="3027" t="str">
        <f>INDEX(Workstreams[Workstream], MATCH($C304, Workstreams[Code], 0))</f>
        <v>Transport</v>
      </c>
      <c r="E304" s="3027"/>
      <c r="G304" s="3029"/>
      <c r="H304" s="3030"/>
      <c r="I304" s="3030"/>
      <c r="J304" s="3030"/>
      <c r="K304" s="3030"/>
      <c r="L304" s="3030"/>
      <c r="M304" s="3030"/>
      <c r="N304" s="3030"/>
      <c r="O304" s="3030"/>
      <c r="P304" s="3030"/>
      <c r="Q304" s="3030"/>
      <c r="R304" s="3030"/>
      <c r="S304" s="3030"/>
      <c r="T304" s="3030"/>
      <c r="U304" s="3030"/>
      <c r="V304" s="3030"/>
      <c r="W304" s="3030"/>
      <c r="X304" s="3030"/>
      <c r="Y304" s="3030"/>
      <c r="Z304" s="3030"/>
      <c r="AA304" s="3030"/>
      <c r="AB304" s="3030"/>
      <c r="AC304" s="3030"/>
      <c r="AD304" s="3030"/>
      <c r="AE304" s="3030"/>
      <c r="AF304" s="3030"/>
      <c r="AG304" s="3030"/>
      <c r="AH304" s="3030"/>
      <c r="AI304" s="3030"/>
      <c r="AJ304" s="3030"/>
      <c r="AK304" s="3030"/>
      <c r="AL304" s="3030"/>
      <c r="AM304" s="3030"/>
      <c r="AN304" s="3030"/>
      <c r="AO304" s="3030"/>
      <c r="AP304" s="3030"/>
      <c r="AQ304" s="3030"/>
      <c r="AR304" s="3030"/>
      <c r="AS304" s="3030"/>
      <c r="AT304" s="3030"/>
      <c r="AU304" s="3030"/>
      <c r="AV304" s="3030"/>
      <c r="AW304" s="3030"/>
      <c r="AX304" s="1333"/>
      <c r="AY304" s="3031">
        <f t="shared" ca="1" si="91"/>
        <v>221.70597052391258</v>
      </c>
      <c r="BA304" s="3031">
        <f t="shared" ca="1" si="92"/>
        <v>221.70597052391261</v>
      </c>
      <c r="BB304" s="3031">
        <f t="shared" ca="1" si="92"/>
        <v>332.72341446359428</v>
      </c>
      <c r="BC304" s="3031">
        <f t="shared" ca="1" si="92"/>
        <v>477.73809644813332</v>
      </c>
      <c r="BD304" s="3031">
        <f t="shared" ca="1" si="92"/>
        <v>649.49680855388033</v>
      </c>
      <c r="BE304" s="3031">
        <f t="shared" ca="1" si="92"/>
        <v>860.97101632540114</v>
      </c>
      <c r="BF304" s="3031">
        <f t="shared" ca="1" si="92"/>
        <v>1104.8989516151646</v>
      </c>
      <c r="BG304" s="3031">
        <f t="shared" ca="1" si="92"/>
        <v>1338.419311507872</v>
      </c>
      <c r="BH304" s="3031">
        <f t="shared" ca="1" si="92"/>
        <v>1594.8309940816716</v>
      </c>
      <c r="BI304" s="3031">
        <f t="shared" ca="1" si="92"/>
        <v>1853.5938094630712</v>
      </c>
    </row>
    <row r="305" spans="1:61" s="3028" customFormat="1" ht="13.5" customHeight="1">
      <c r="A305" s="3025"/>
      <c r="B305" s="3026"/>
      <c r="C305" s="3027" t="s">
        <v>199</v>
      </c>
      <c r="D305" s="3027" t="str">
        <f>INDEX(Workstreams[Workstream], MATCH($C305, Workstreams[Code], 0))</f>
        <v>Cooking</v>
      </c>
      <c r="E305" s="3027"/>
      <c r="G305" s="3029"/>
      <c r="H305" s="3030"/>
      <c r="I305" s="3030"/>
      <c r="J305" s="3030"/>
      <c r="K305" s="3030"/>
      <c r="L305" s="3030"/>
      <c r="M305" s="3030"/>
      <c r="N305" s="3030"/>
      <c r="O305" s="3030"/>
      <c r="P305" s="3030"/>
      <c r="Q305" s="3030"/>
      <c r="R305" s="3030"/>
      <c r="S305" s="3030"/>
      <c r="T305" s="3030"/>
      <c r="U305" s="3030"/>
      <c r="V305" s="3030"/>
      <c r="W305" s="3030"/>
      <c r="X305" s="3030"/>
      <c r="Y305" s="3030"/>
      <c r="Z305" s="3030"/>
      <c r="AA305" s="3030"/>
      <c r="AB305" s="3030"/>
      <c r="AC305" s="3030"/>
      <c r="AD305" s="3030"/>
      <c r="AE305" s="3030"/>
      <c r="AF305" s="3030"/>
      <c r="AG305" s="3030"/>
      <c r="AH305" s="3030"/>
      <c r="AI305" s="3030"/>
      <c r="AJ305" s="3030"/>
      <c r="AK305" s="3030"/>
      <c r="AL305" s="3030"/>
      <c r="AM305" s="3030"/>
      <c r="AN305" s="3030"/>
      <c r="AO305" s="3030"/>
      <c r="AP305" s="3030"/>
      <c r="AQ305" s="3030"/>
      <c r="AR305" s="3030"/>
      <c r="AS305" s="3030"/>
      <c r="AT305" s="3030"/>
      <c r="AU305" s="3030"/>
      <c r="AV305" s="3030"/>
      <c r="AW305" s="3030"/>
      <c r="AX305" s="1333"/>
      <c r="AY305" s="3031">
        <f t="shared" ca="1" si="91"/>
        <v>10.704467295035755</v>
      </c>
      <c r="BA305" s="3031">
        <f t="shared" ca="1" si="92"/>
        <v>16.260888821331829</v>
      </c>
      <c r="BB305" s="3031">
        <f t="shared" ca="1" si="92"/>
        <v>24.239503543901211</v>
      </c>
      <c r="BC305" s="3031">
        <f t="shared" ca="1" si="92"/>
        <v>35.933460950189563</v>
      </c>
      <c r="BD305" s="3031">
        <f t="shared" ca="1" si="92"/>
        <v>52.751366453469238</v>
      </c>
      <c r="BE305" s="3031">
        <f t="shared" ca="1" si="92"/>
        <v>195.39740644307</v>
      </c>
      <c r="BF305" s="3031">
        <f t="shared" ca="1" si="92"/>
        <v>103.07922847908272</v>
      </c>
      <c r="BG305" s="3031">
        <f t="shared" ca="1" si="92"/>
        <v>137.80633413788036</v>
      </c>
      <c r="BH305" s="3031">
        <f t="shared" ca="1" si="92"/>
        <v>184.23361666422136</v>
      </c>
      <c r="BI305" s="3031">
        <f t="shared" ca="1" si="92"/>
        <v>246.3033097633579</v>
      </c>
    </row>
    <row r="306" spans="1:61" s="3028" customFormat="1" ht="13.5" customHeight="1">
      <c r="A306" s="3025"/>
      <c r="B306" s="3026"/>
      <c r="C306" s="3027" t="s">
        <v>194</v>
      </c>
      <c r="D306" s="3027" t="str">
        <f>INDEX(Workstreams[Workstream], MATCH($C306, Workstreams[Code], 0))</f>
        <v>Agriculture</v>
      </c>
      <c r="E306" s="3027"/>
      <c r="G306" s="3029"/>
      <c r="H306" s="3030"/>
      <c r="I306" s="3030"/>
      <c r="J306" s="3030"/>
      <c r="K306" s="3030"/>
      <c r="L306" s="3030"/>
      <c r="M306" s="3030"/>
      <c r="N306" s="3030"/>
      <c r="O306" s="3030"/>
      <c r="P306" s="3030"/>
      <c r="Q306" s="3030"/>
      <c r="R306" s="3030"/>
      <c r="S306" s="3030"/>
      <c r="T306" s="3030"/>
      <c r="U306" s="3030"/>
      <c r="V306" s="3030"/>
      <c r="W306" s="3030"/>
      <c r="X306" s="3030"/>
      <c r="Y306" s="3030"/>
      <c r="Z306" s="3030"/>
      <c r="AA306" s="3030"/>
      <c r="AB306" s="3030"/>
      <c r="AC306" s="3030"/>
      <c r="AD306" s="3030"/>
      <c r="AE306" s="3030"/>
      <c r="AF306" s="3030"/>
      <c r="AG306" s="3030"/>
      <c r="AH306" s="3030"/>
      <c r="AI306" s="3030"/>
      <c r="AJ306" s="3030"/>
      <c r="AK306" s="3030"/>
      <c r="AL306" s="3030"/>
      <c r="AM306" s="3030"/>
      <c r="AN306" s="3030"/>
      <c r="AO306" s="3030"/>
      <c r="AP306" s="3030"/>
      <c r="AQ306" s="3030"/>
      <c r="AR306" s="3030"/>
      <c r="AS306" s="3030"/>
      <c r="AT306" s="3030"/>
      <c r="AU306" s="3030"/>
      <c r="AV306" s="3030"/>
      <c r="AW306" s="3030"/>
      <c r="AX306" s="1333"/>
      <c r="AY306" s="3031">
        <f t="shared" ca="1" si="91"/>
        <v>20.879036754401042</v>
      </c>
      <c r="BA306" s="3031">
        <f t="shared" ca="1" si="92"/>
        <v>27.03601947205911</v>
      </c>
      <c r="BB306" s="3031">
        <f t="shared" ca="1" si="92"/>
        <v>37.21072446431117</v>
      </c>
      <c r="BC306" s="3031">
        <f t="shared" ca="1" si="92"/>
        <v>50.995495766927469</v>
      </c>
      <c r="BD306" s="3031">
        <f t="shared" ca="1" si="92"/>
        <v>68.186469248991159</v>
      </c>
      <c r="BE306" s="3031">
        <f t="shared" ca="1" si="92"/>
        <v>85.704909681985981</v>
      </c>
      <c r="BF306" s="3031">
        <f t="shared" ca="1" si="92"/>
        <v>91.587093210349664</v>
      </c>
      <c r="BG306" s="3031">
        <f t="shared" ca="1" si="92"/>
        <v>98.698794368998193</v>
      </c>
      <c r="BH306" s="3031">
        <f t="shared" ca="1" si="92"/>
        <v>103.819221533879</v>
      </c>
      <c r="BI306" s="3031">
        <f t="shared" ca="1" si="92"/>
        <v>109.56385666370986</v>
      </c>
    </row>
    <row r="307" spans="1:61" s="3028" customFormat="1" ht="13.5" customHeight="1">
      <c r="A307" s="3025"/>
      <c r="B307" s="3026"/>
      <c r="C307" s="3027" t="s">
        <v>330</v>
      </c>
      <c r="D307" s="3027" t="str">
        <f>INDEX(Workstreams[Workstream], MATCH($C307, Workstreams[Code], 0))</f>
        <v>Telecom</v>
      </c>
      <c r="E307" s="3027"/>
      <c r="G307" s="3029"/>
      <c r="H307" s="3030"/>
      <c r="I307" s="3030"/>
      <c r="J307" s="3030"/>
      <c r="K307" s="3030"/>
      <c r="L307" s="3030"/>
      <c r="M307" s="3030"/>
      <c r="N307" s="3030"/>
      <c r="O307" s="3030"/>
      <c r="P307" s="3030"/>
      <c r="Q307" s="3030"/>
      <c r="R307" s="3030"/>
      <c r="S307" s="3030"/>
      <c r="T307" s="3030"/>
      <c r="U307" s="3030"/>
      <c r="V307" s="3030"/>
      <c r="W307" s="3030"/>
      <c r="X307" s="3030"/>
      <c r="Y307" s="3030"/>
      <c r="Z307" s="3030"/>
      <c r="AA307" s="3030"/>
      <c r="AB307" s="3030"/>
      <c r="AC307" s="3030"/>
      <c r="AD307" s="3030"/>
      <c r="AE307" s="3030"/>
      <c r="AF307" s="3030"/>
      <c r="AG307" s="3030"/>
      <c r="AH307" s="3030"/>
      <c r="AI307" s="3030"/>
      <c r="AJ307" s="3030"/>
      <c r="AK307" s="3030"/>
      <c r="AL307" s="3030"/>
      <c r="AM307" s="3030"/>
      <c r="AN307" s="3030"/>
      <c r="AO307" s="3030"/>
      <c r="AP307" s="3030"/>
      <c r="AQ307" s="3030"/>
      <c r="AR307" s="3030"/>
      <c r="AS307" s="3030"/>
      <c r="AT307" s="3030"/>
      <c r="AU307" s="3030"/>
      <c r="AV307" s="3030"/>
      <c r="AW307" s="3030"/>
      <c r="AX307" s="1333"/>
      <c r="AY307" s="3031">
        <f t="shared" ca="1" si="91"/>
        <v>3.0726872469131559</v>
      </c>
      <c r="BA307" s="3031">
        <f t="shared" ca="1" si="92"/>
        <v>18.29421654212566</v>
      </c>
      <c r="BB307" s="3031">
        <f t="shared" ca="1" si="92"/>
        <v>21.177514905456842</v>
      </c>
      <c r="BC307" s="3031">
        <f t="shared" ca="1" si="92"/>
        <v>25.074678438244892</v>
      </c>
      <c r="BD307" s="3031">
        <f t="shared" ca="1" si="92"/>
        <v>32.320342968977968</v>
      </c>
      <c r="BE307" s="3031">
        <f t="shared" ca="1" si="92"/>
        <v>36.462928193339295</v>
      </c>
      <c r="BF307" s="3031">
        <f t="shared" ca="1" si="92"/>
        <v>35.469500008939789</v>
      </c>
      <c r="BG307" s="3031">
        <f t="shared" ca="1" si="92"/>
        <v>36.23072660274935</v>
      </c>
      <c r="BH307" s="3031">
        <f t="shared" ca="1" si="92"/>
        <v>41.661688969135909</v>
      </c>
      <c r="BI307" s="3031">
        <f t="shared" ca="1" si="92"/>
        <v>52.715327395312691</v>
      </c>
    </row>
    <row r="308" spans="1:61" s="3028" customFormat="1" ht="13.5" customHeight="1">
      <c r="A308" s="3025"/>
      <c r="B308" s="3026"/>
      <c r="C308" s="3027" t="s">
        <v>190</v>
      </c>
      <c r="D308" s="3027" t="s">
        <v>492</v>
      </c>
      <c r="E308" s="3027"/>
      <c r="G308" s="3029"/>
      <c r="H308" s="3030"/>
      <c r="I308" s="3030"/>
      <c r="J308" s="3030"/>
      <c r="K308" s="3030"/>
      <c r="L308" s="3030"/>
      <c r="M308" s="3030"/>
      <c r="N308" s="3030"/>
      <c r="O308" s="3030"/>
      <c r="P308" s="3030"/>
      <c r="Q308" s="3030"/>
      <c r="R308" s="3030"/>
      <c r="S308" s="3030"/>
      <c r="T308" s="3030"/>
      <c r="U308" s="3030"/>
      <c r="V308" s="3030"/>
      <c r="W308" s="3030"/>
      <c r="X308" s="3030"/>
      <c r="Y308" s="3030"/>
      <c r="Z308" s="3030"/>
      <c r="AA308" s="3030"/>
      <c r="AB308" s="3030"/>
      <c r="AC308" s="3030"/>
      <c r="AD308" s="3030"/>
      <c r="AE308" s="3030"/>
      <c r="AF308" s="3030"/>
      <c r="AG308" s="3030"/>
      <c r="AH308" s="3030"/>
      <c r="AI308" s="3030"/>
      <c r="AJ308" s="3030"/>
      <c r="AK308" s="3030"/>
      <c r="AL308" s="3030"/>
      <c r="AM308" s="3030"/>
      <c r="AN308" s="3030"/>
      <c r="AO308" s="3030"/>
      <c r="AP308" s="3030"/>
      <c r="AQ308" s="3030"/>
      <c r="AR308" s="3030"/>
      <c r="AS308" s="3030"/>
      <c r="AT308" s="3030"/>
      <c r="AU308" s="3030"/>
      <c r="AV308" s="3030"/>
      <c r="AW308" s="3030"/>
      <c r="AX308" s="1333"/>
      <c r="AY308" s="3031">
        <f t="shared" ca="1" si="91"/>
        <v>-313.89366247877757</v>
      </c>
      <c r="BA308" s="3031">
        <f t="shared" ca="1" si="92"/>
        <v>-317.74488604405229</v>
      </c>
      <c r="BB308" s="3031">
        <f t="shared" ca="1" si="92"/>
        <v>-316.49941332858305</v>
      </c>
      <c r="BC308" s="3031">
        <f t="shared" ca="1" si="92"/>
        <v>-315.46610321588201</v>
      </c>
      <c r="BD308" s="3031">
        <f t="shared" ca="1" si="92"/>
        <v>-314.6889283958385</v>
      </c>
      <c r="BE308" s="3031">
        <f t="shared" ca="1" si="92"/>
        <v>-314.23239533992523</v>
      </c>
      <c r="BF308" s="3031">
        <f t="shared" ca="1" si="92"/>
        <v>-313.99481361351673</v>
      </c>
      <c r="BG308" s="3031">
        <f t="shared" ca="1" si="92"/>
        <v>-312.92388420747147</v>
      </c>
      <c r="BH308" s="3031">
        <f t="shared" ca="1" si="92"/>
        <v>-312.11179177995979</v>
      </c>
      <c r="BI308" s="3031">
        <f t="shared" ca="1" si="92"/>
        <v>-311.84926752683651</v>
      </c>
    </row>
    <row r="309" spans="1:61" s="3028" customFormat="1" ht="13.5" customHeight="1">
      <c r="A309" s="3025"/>
      <c r="B309" s="3026"/>
      <c r="C309" s="1333"/>
      <c r="D309" s="3027" t="s">
        <v>103</v>
      </c>
      <c r="E309" s="3027"/>
      <c r="G309" s="3027"/>
      <c r="H309" s="3032"/>
      <c r="I309" s="3032"/>
      <c r="J309" s="3032"/>
      <c r="K309" s="3032"/>
      <c r="L309" s="3032"/>
      <c r="M309" s="3032"/>
      <c r="N309" s="3032"/>
      <c r="O309" s="3032"/>
      <c r="P309" s="3032"/>
      <c r="Q309" s="3032"/>
      <c r="R309" s="3032"/>
      <c r="S309" s="3032"/>
      <c r="T309" s="3032"/>
      <c r="U309" s="3032"/>
      <c r="V309" s="3032"/>
      <c r="W309" s="3032"/>
      <c r="X309" s="3032"/>
      <c r="Y309" s="3032"/>
      <c r="Z309" s="3032"/>
      <c r="AA309" s="3032"/>
      <c r="AB309" s="3032"/>
      <c r="AC309" s="3032"/>
      <c r="AD309" s="3032"/>
      <c r="AE309" s="3032"/>
      <c r="AF309" s="3032"/>
      <c r="AG309" s="3032"/>
      <c r="AH309" s="3032"/>
      <c r="AI309" s="3032"/>
      <c r="AJ309" s="3032"/>
      <c r="AK309" s="3032"/>
      <c r="AL309" s="3032"/>
      <c r="AM309" s="3032"/>
      <c r="AN309" s="3032"/>
      <c r="AO309" s="3032"/>
      <c r="AP309" s="3032"/>
      <c r="AQ309" s="3032"/>
      <c r="AR309" s="3032"/>
      <c r="AS309" s="3032"/>
      <c r="AT309" s="3032"/>
      <c r="AU309" s="3032"/>
      <c r="AV309" s="3032"/>
      <c r="AW309" s="3032"/>
      <c r="AX309" s="1333"/>
      <c r="AY309" s="3033">
        <f ca="1">SUM(AY300:AY308)</f>
        <v>1195.8572826101824</v>
      </c>
      <c r="BA309" s="3033">
        <f t="shared" ref="BA309:BI309" ca="1" si="93">SUM(BA300:BA308)</f>
        <v>1733.1001289422811</v>
      </c>
      <c r="BB309" s="3033">
        <f t="shared" ca="1" si="93"/>
        <v>2533.7480441334883</v>
      </c>
      <c r="BC309" s="3033">
        <f t="shared" ca="1" si="93"/>
        <v>3806.5855192566141</v>
      </c>
      <c r="BD309" s="3033">
        <f t="shared" ca="1" si="93"/>
        <v>5353.8417564593346</v>
      </c>
      <c r="BE309" s="3033">
        <f t="shared" ca="1" si="93"/>
        <v>7378.9613953270873</v>
      </c>
      <c r="BF309" s="3033">
        <f t="shared" ca="1" si="93"/>
        <v>9144.171323693894</v>
      </c>
      <c r="BG309" s="3033">
        <f t="shared" ca="1" si="93"/>
        <v>11117.207383316707</v>
      </c>
      <c r="BH309" s="3033">
        <f t="shared" ca="1" si="93"/>
        <v>12981.228276226235</v>
      </c>
      <c r="BI309" s="3033">
        <f t="shared" ca="1" si="93"/>
        <v>14990.151831648607</v>
      </c>
    </row>
    <row r="310" spans="1:61" s="3020" customFormat="1">
      <c r="A310" s="3012"/>
      <c r="B310" s="3024"/>
      <c r="C310" s="3024"/>
      <c r="D310" s="3024"/>
      <c r="E310" s="3024"/>
      <c r="F310" s="3024"/>
      <c r="G310" s="3024"/>
      <c r="H310" s="3024"/>
      <c r="I310" s="3024"/>
      <c r="J310" s="3024"/>
      <c r="K310" s="3024"/>
      <c r="L310" s="3024"/>
      <c r="M310" s="3024"/>
      <c r="N310" s="3024"/>
      <c r="O310" s="3024"/>
      <c r="P310" s="3024"/>
      <c r="Q310" s="3024"/>
      <c r="R310" s="3024"/>
      <c r="S310" s="3024"/>
      <c r="T310" s="3024"/>
      <c r="U310" s="3024"/>
      <c r="V310" s="3024"/>
      <c r="W310" s="3024"/>
      <c r="X310" s="3024"/>
      <c r="Y310" s="3024"/>
      <c r="Z310" s="3024"/>
      <c r="AA310" s="3024"/>
      <c r="AB310" s="3024"/>
      <c r="AC310" s="3024"/>
      <c r="AD310" s="3024"/>
      <c r="AE310" s="3024"/>
      <c r="AF310" s="3024"/>
      <c r="AG310" s="3024"/>
      <c r="AH310" s="3024"/>
      <c r="AI310" s="3024"/>
      <c r="AJ310" s="3024"/>
      <c r="AK310" s="3024"/>
      <c r="AL310" s="3024"/>
      <c r="AM310" s="3024"/>
      <c r="AN310" s="3024"/>
      <c r="AO310" s="3024"/>
      <c r="AP310" s="3024"/>
      <c r="AQ310" s="3024"/>
      <c r="AR310" s="3024"/>
      <c r="AS310" s="3024"/>
      <c r="AT310" s="3024"/>
      <c r="AU310" s="3024"/>
      <c r="AV310" s="3024"/>
      <c r="AW310" s="3024"/>
      <c r="AX310" s="3024"/>
      <c r="AY310" s="3024"/>
      <c r="BA310" s="3024"/>
      <c r="BB310" s="3024"/>
      <c r="BC310" s="3024"/>
      <c r="BD310" s="3024"/>
      <c r="BE310" s="3024"/>
      <c r="BF310" s="3024"/>
      <c r="BG310" s="3024"/>
      <c r="BH310" s="3024"/>
      <c r="BI310" s="3024"/>
    </row>
    <row r="311" spans="1:61" s="3020" customFormat="1">
      <c r="A311" s="3012"/>
      <c r="B311" s="3024"/>
      <c r="C311" s="3024"/>
      <c r="D311" s="3024"/>
      <c r="E311" s="3024"/>
      <c r="F311" s="3024"/>
      <c r="G311" s="3024"/>
      <c r="H311" s="3024"/>
      <c r="I311" s="3024"/>
      <c r="J311" s="3024"/>
      <c r="K311" s="3024"/>
      <c r="L311" s="3024"/>
      <c r="M311" s="3024"/>
      <c r="N311" s="3024"/>
      <c r="O311" s="3024"/>
      <c r="P311" s="3024"/>
      <c r="Q311" s="3024"/>
      <c r="R311" s="3024"/>
      <c r="S311" s="3024"/>
      <c r="T311" s="3024"/>
      <c r="U311" s="3024"/>
      <c r="V311" s="3024"/>
      <c r="W311" s="3024"/>
      <c r="X311" s="3024"/>
      <c r="Y311" s="3024"/>
      <c r="Z311" s="3024"/>
      <c r="AA311" s="3024"/>
      <c r="AB311" s="3024"/>
      <c r="AC311" s="3024"/>
      <c r="AD311" s="3024"/>
      <c r="AE311" s="3024"/>
      <c r="AF311" s="3024"/>
      <c r="AG311" s="3024"/>
      <c r="AH311" s="3024"/>
      <c r="AI311" s="3024"/>
      <c r="AJ311" s="3024"/>
      <c r="AK311" s="3024"/>
      <c r="AL311" s="3024"/>
      <c r="AM311" s="3024"/>
      <c r="AN311" s="3024"/>
      <c r="AO311" s="3024"/>
      <c r="AP311" s="3024"/>
      <c r="AQ311" s="3024"/>
      <c r="AR311" s="3024"/>
      <c r="AS311" s="3024"/>
      <c r="AT311" s="3024"/>
      <c r="AU311" s="3024"/>
      <c r="AV311" s="3024"/>
      <c r="AW311" s="3024"/>
      <c r="AX311" s="3024"/>
      <c r="AY311" s="3024"/>
      <c r="BA311" s="3024"/>
      <c r="BB311" s="3024"/>
      <c r="BC311" s="3024"/>
      <c r="BD311" s="3024"/>
      <c r="BE311" s="3024"/>
      <c r="BF311" s="3024"/>
      <c r="BG311" s="3024"/>
      <c r="BH311" s="3024"/>
      <c r="BI311" s="3024"/>
    </row>
    <row r="312" spans="1:61" s="3020" customFormat="1">
      <c r="A312" s="3012"/>
      <c r="B312" s="3024"/>
      <c r="C312" s="3023" t="s">
        <v>2357</v>
      </c>
      <c r="D312" s="3024"/>
      <c r="E312" s="3024"/>
      <c r="F312" s="3024"/>
      <c r="G312" s="3024"/>
      <c r="H312" s="3024"/>
      <c r="I312" s="3024"/>
      <c r="J312" s="3024"/>
      <c r="K312" s="3024"/>
      <c r="L312" s="3024"/>
      <c r="M312" s="3024"/>
      <c r="N312" s="3024"/>
      <c r="O312" s="3024"/>
      <c r="P312" s="3024"/>
      <c r="Q312" s="3024"/>
      <c r="R312" s="3024"/>
      <c r="S312" s="3024"/>
      <c r="T312" s="3024"/>
      <c r="U312" s="3024"/>
      <c r="V312" s="3024"/>
      <c r="W312" s="3024"/>
      <c r="X312" s="3024"/>
      <c r="Y312" s="3024"/>
      <c r="Z312" s="3024"/>
      <c r="AA312" s="3024"/>
      <c r="AB312" s="3024"/>
      <c r="AC312" s="3024"/>
      <c r="AD312" s="3024"/>
      <c r="AE312" s="3024"/>
      <c r="AF312" s="3024"/>
      <c r="AG312" s="3024"/>
      <c r="AH312" s="3024"/>
      <c r="AI312" s="3024"/>
      <c r="AJ312" s="3024"/>
      <c r="AK312" s="3024"/>
      <c r="AL312" s="3024"/>
      <c r="AM312" s="3024"/>
      <c r="AN312" s="3024"/>
      <c r="AO312" s="3024"/>
      <c r="AP312" s="3024"/>
      <c r="AQ312" s="3024"/>
      <c r="AR312" s="3024"/>
      <c r="AS312" s="3024"/>
      <c r="AT312" s="3024"/>
      <c r="AU312" s="3024"/>
      <c r="AV312" s="3024"/>
      <c r="AW312" s="3024"/>
      <c r="AX312" s="3024"/>
      <c r="AY312" s="3024"/>
      <c r="BA312" s="3024"/>
      <c r="BB312" s="3024"/>
      <c r="BC312" s="3024"/>
      <c r="BD312" s="3024"/>
      <c r="BE312" s="3024"/>
      <c r="BF312" s="3024"/>
      <c r="BG312" s="3024"/>
      <c r="BH312" s="3024"/>
      <c r="BI312" s="3024"/>
    </row>
    <row r="313" spans="1:61" s="3020" customFormat="1">
      <c r="A313" s="3012"/>
      <c r="B313" s="3024"/>
      <c r="C313" s="3024"/>
      <c r="D313" s="3024"/>
      <c r="E313" s="3024"/>
      <c r="F313" s="3024"/>
      <c r="G313" s="3024"/>
      <c r="H313" s="3024"/>
      <c r="I313" s="3024"/>
      <c r="J313" s="3024"/>
      <c r="K313" s="3024"/>
      <c r="L313" s="3024"/>
      <c r="M313" s="3024"/>
      <c r="N313" s="3024"/>
      <c r="O313" s="3024"/>
      <c r="P313" s="3024"/>
      <c r="Q313" s="3024"/>
      <c r="R313" s="3024"/>
      <c r="S313" s="3024"/>
      <c r="T313" s="3024"/>
      <c r="U313" s="3024"/>
      <c r="V313" s="3024"/>
      <c r="W313" s="3024"/>
      <c r="X313" s="3024"/>
      <c r="Y313" s="3024"/>
      <c r="Z313" s="3024"/>
      <c r="AA313" s="3024"/>
      <c r="AB313" s="3024"/>
      <c r="AC313" s="3024"/>
      <c r="AD313" s="3024"/>
      <c r="AE313" s="3024"/>
      <c r="AF313" s="3024"/>
      <c r="AG313" s="3024"/>
      <c r="AH313" s="3024"/>
      <c r="AI313" s="3024"/>
      <c r="AJ313" s="3024"/>
      <c r="AK313" s="3024"/>
      <c r="AL313" s="3024"/>
      <c r="AM313" s="3024"/>
      <c r="AN313" s="3024"/>
      <c r="AO313" s="3024"/>
      <c r="AP313" s="3024"/>
      <c r="AQ313" s="3024"/>
      <c r="AR313" s="3024"/>
      <c r="AS313" s="3024"/>
      <c r="AT313" s="3024"/>
      <c r="AU313" s="3024"/>
      <c r="AV313" s="3024"/>
      <c r="AW313" s="3024"/>
      <c r="AX313" s="3024"/>
      <c r="AY313" s="3024">
        <v>2007</v>
      </c>
      <c r="BA313" s="3024">
        <f>AY313+5</f>
        <v>2012</v>
      </c>
      <c r="BB313" s="3024">
        <f t="shared" ref="BB313:BI313" si="94">BA313+5</f>
        <v>2017</v>
      </c>
      <c r="BC313" s="3024">
        <f t="shared" si="94"/>
        <v>2022</v>
      </c>
      <c r="BD313" s="3024">
        <f t="shared" si="94"/>
        <v>2027</v>
      </c>
      <c r="BE313" s="3024">
        <f t="shared" si="94"/>
        <v>2032</v>
      </c>
      <c r="BF313" s="3024">
        <f t="shared" si="94"/>
        <v>2037</v>
      </c>
      <c r="BG313" s="3024">
        <f t="shared" si="94"/>
        <v>2042</v>
      </c>
      <c r="BH313" s="3024">
        <f t="shared" si="94"/>
        <v>2047</v>
      </c>
      <c r="BI313" s="3024">
        <f t="shared" si="94"/>
        <v>2052</v>
      </c>
    </row>
    <row r="314" spans="1:61" s="3020" customFormat="1">
      <c r="A314" s="3012"/>
      <c r="B314" s="3024"/>
      <c r="C314" s="3057" t="s">
        <v>60</v>
      </c>
      <c r="D314" s="3057" t="s">
        <v>157</v>
      </c>
      <c r="E314" s="3024"/>
      <c r="F314" s="3024"/>
      <c r="G314" s="3024"/>
      <c r="H314" s="3024"/>
      <c r="I314" s="3024"/>
      <c r="J314" s="3024"/>
      <c r="K314" s="3024"/>
      <c r="L314" s="3024"/>
      <c r="M314" s="3024"/>
      <c r="N314" s="3024"/>
      <c r="O314" s="3024"/>
      <c r="P314" s="3024"/>
      <c r="Q314" s="3024"/>
      <c r="R314" s="3024"/>
      <c r="S314" s="3024"/>
      <c r="T314" s="3024"/>
      <c r="U314" s="3024"/>
      <c r="V314" s="3024"/>
      <c r="W314" s="3024"/>
      <c r="X314" s="3024"/>
      <c r="Y314" s="3024"/>
      <c r="Z314" s="3024"/>
      <c r="AA314" s="3024"/>
      <c r="AB314" s="3024"/>
      <c r="AC314" s="3024"/>
      <c r="AD314" s="3024"/>
      <c r="AE314" s="3024"/>
      <c r="AF314" s="3024"/>
      <c r="AG314" s="3024"/>
      <c r="AH314" s="3024"/>
      <c r="AI314" s="3024"/>
      <c r="AJ314" s="3024"/>
      <c r="AK314" s="3024"/>
      <c r="AL314" s="3024"/>
      <c r="AM314" s="3024"/>
      <c r="AN314" s="3024"/>
      <c r="AO314" s="3024"/>
      <c r="AP314" s="3024"/>
      <c r="AQ314" s="3024"/>
      <c r="AR314" s="3024"/>
      <c r="AS314" s="3024"/>
      <c r="AT314" s="3024"/>
      <c r="AU314" s="3024"/>
      <c r="AV314" s="3024"/>
      <c r="AW314" s="3024"/>
      <c r="AX314" s="3024"/>
      <c r="AY314" s="3024">
        <f ca="1">(AY300*10^6)/'Global assumptions'!$C$6</f>
        <v>0.48938468879926023</v>
      </c>
      <c r="BA314" s="3024">
        <f ca="1">(BA300*10^6)/'Global assumptions'!$C$7</f>
        <v>0.64689047306642289</v>
      </c>
      <c r="BB314" s="3024">
        <f ca="1">(BB300*10^6)/'Global assumptions'!$C$8</f>
        <v>0.8409683923431307</v>
      </c>
      <c r="BC314" s="3024">
        <f ca="1">(BC300*10^6)/'Global assumptions'!$C$9</f>
        <v>1.1613498817541481</v>
      </c>
      <c r="BD314" s="3024">
        <f ca="1">(BD300*10^6)/'Global assumptions'!$C$10</f>
        <v>1.5690959178345096</v>
      </c>
      <c r="BE314" s="3024">
        <f ca="1">(BE300*10^6)/'Global assumptions'!$C$11</f>
        <v>2.084055482026296</v>
      </c>
      <c r="BF314" s="3024">
        <f ca="1">(BF300*10^6)/'Global assumptions'!$C$12</f>
        <v>2.5258677225809634</v>
      </c>
      <c r="BG314" s="3024">
        <f ca="1">(BG300*10^6)/'Global assumptions'!$C$13</f>
        <v>2.997500606581319</v>
      </c>
      <c r="BH314" s="3024">
        <f ca="1">(BH300*10^6)/'Global assumptions'!$C$14</f>
        <v>3.4322870171928224</v>
      </c>
      <c r="BI314" s="3024">
        <f ca="1">(BI300*10^6)/'Global assumptions'!$C$15</f>
        <v>3.889090710177689</v>
      </c>
    </row>
    <row r="315" spans="1:61" s="3020" customFormat="1">
      <c r="A315" s="3012"/>
      <c r="B315" s="3024"/>
      <c r="C315" s="3027" t="s">
        <v>195</v>
      </c>
      <c r="D315" s="3027" t="str">
        <f>INDEX(Workstreams[Workstream], MATCH($C315, Workstreams[Code], 0))</f>
        <v>Buildings</v>
      </c>
      <c r="E315" s="3027"/>
      <c r="G315" s="3024"/>
      <c r="H315" s="3024"/>
      <c r="I315" s="3024"/>
      <c r="J315" s="3024"/>
      <c r="K315" s="3024"/>
      <c r="L315" s="3024"/>
      <c r="M315" s="3024"/>
      <c r="N315" s="3024"/>
      <c r="O315" s="3024"/>
      <c r="P315" s="3024"/>
      <c r="Q315" s="3024"/>
      <c r="R315" s="3024"/>
      <c r="S315" s="3024"/>
      <c r="T315" s="3024"/>
      <c r="U315" s="3024"/>
      <c r="V315" s="3024"/>
      <c r="W315" s="3024"/>
      <c r="X315" s="3024"/>
      <c r="Y315" s="3024"/>
      <c r="Z315" s="3024"/>
      <c r="AA315" s="3024"/>
      <c r="AB315" s="3024"/>
      <c r="AC315" s="3024"/>
      <c r="AD315" s="3024"/>
      <c r="AE315" s="3024"/>
      <c r="AF315" s="3024"/>
      <c r="AG315" s="3024"/>
      <c r="AH315" s="3024"/>
      <c r="AI315" s="3024"/>
      <c r="AJ315" s="3024"/>
      <c r="AK315" s="3024"/>
      <c r="AL315" s="3024"/>
      <c r="AM315" s="3024"/>
      <c r="AN315" s="3024"/>
      <c r="AO315" s="3024"/>
      <c r="AP315" s="3024"/>
      <c r="AQ315" s="3024"/>
      <c r="AR315" s="3024"/>
      <c r="AS315" s="3024"/>
      <c r="AT315" s="3024"/>
      <c r="AU315" s="3024"/>
      <c r="AV315" s="3024"/>
      <c r="AW315" s="3024"/>
      <c r="AX315" s="3024"/>
      <c r="AY315" s="3024">
        <f ca="1">(AY301*10^6)/'Global assumptions'!$C$6</f>
        <v>0</v>
      </c>
      <c r="BA315" s="3024">
        <f ca="1">(BA301*10^6)/'Global assumptions'!$C$7</f>
        <v>0</v>
      </c>
      <c r="BB315" s="3024">
        <f ca="1">(BB301*10^6)/'Global assumptions'!$C$8</f>
        <v>0</v>
      </c>
      <c r="BC315" s="3024">
        <f ca="1">(BC301*10^6)/'Global assumptions'!$C$9</f>
        <v>0</v>
      </c>
      <c r="BD315" s="3024">
        <f ca="1">(BD301*10^6)/'Global assumptions'!$C$10</f>
        <v>0</v>
      </c>
      <c r="BE315" s="3024">
        <f ca="1">(BE301*10^6)/'Global assumptions'!$C$11</f>
        <v>0</v>
      </c>
      <c r="BF315" s="3024">
        <f ca="1">(BF301*10^6)/'Global assumptions'!$C$12</f>
        <v>0</v>
      </c>
      <c r="BG315" s="3024">
        <f ca="1">(BG301*10^6)/'Global assumptions'!$C$13</f>
        <v>0</v>
      </c>
      <c r="BH315" s="3024">
        <f ca="1">(BH301*10^6)/'Global assumptions'!$C$14</f>
        <v>0</v>
      </c>
      <c r="BI315" s="3024">
        <f ca="1">(BI301*10^6)/'Global assumptions'!$C$15</f>
        <v>0</v>
      </c>
    </row>
    <row r="316" spans="1:61" s="3020" customFormat="1">
      <c r="A316" s="3012"/>
      <c r="B316" s="3024"/>
      <c r="C316" s="3027" t="s">
        <v>196</v>
      </c>
      <c r="D316" s="3027" t="str">
        <f>INDEX(Workstreams[Workstream], MATCH($C316, Workstreams[Code], 0))</f>
        <v>Lighting and appliances</v>
      </c>
      <c r="E316" s="3027"/>
      <c r="G316" s="3024"/>
      <c r="H316" s="3024"/>
      <c r="I316" s="3024"/>
      <c r="J316" s="3024"/>
      <c r="K316" s="3024"/>
      <c r="L316" s="3024"/>
      <c r="M316" s="3024"/>
      <c r="N316" s="3024"/>
      <c r="O316" s="3024"/>
      <c r="P316" s="3024"/>
      <c r="Q316" s="3024"/>
      <c r="R316" s="3024"/>
      <c r="S316" s="3024"/>
      <c r="T316" s="3024"/>
      <c r="U316" s="3024"/>
      <c r="V316" s="3024"/>
      <c r="W316" s="3024"/>
      <c r="X316" s="3024"/>
      <c r="Y316" s="3024"/>
      <c r="Z316" s="3024"/>
      <c r="AA316" s="3024"/>
      <c r="AB316" s="3024"/>
      <c r="AC316" s="3024"/>
      <c r="AD316" s="3024"/>
      <c r="AE316" s="3024"/>
      <c r="AF316" s="3024"/>
      <c r="AG316" s="3024"/>
      <c r="AH316" s="3024"/>
      <c r="AI316" s="3024"/>
      <c r="AJ316" s="3024"/>
      <c r="AK316" s="3024"/>
      <c r="AL316" s="3024"/>
      <c r="AM316" s="3024"/>
      <c r="AN316" s="3024"/>
      <c r="AO316" s="3024"/>
      <c r="AP316" s="3024"/>
      <c r="AQ316" s="3024"/>
      <c r="AR316" s="3024"/>
      <c r="AS316" s="3024"/>
      <c r="AT316" s="3024"/>
      <c r="AU316" s="3024"/>
      <c r="AV316" s="3024"/>
      <c r="AW316" s="3024"/>
      <c r="AX316" s="3024"/>
      <c r="AY316" s="3024">
        <f ca="1">(AY302*10^6)/'Global assumptions'!$C$6</f>
        <v>1.639879017252045E-3</v>
      </c>
      <c r="BA316" s="3024">
        <f ca="1">(BA302*10^6)/'Global assumptions'!$C$7</f>
        <v>1.507431337760021E-3</v>
      </c>
      <c r="BB316" s="3024">
        <f ca="1">(BB302*10^6)/'Global assumptions'!$C$8</f>
        <v>1.205507870930196E-3</v>
      </c>
      <c r="BC316" s="3024">
        <f ca="1">(BC302*10^6)/'Global assumptions'!$C$9</f>
        <v>9.0494583412001415E-4</v>
      </c>
      <c r="BD316" s="3024">
        <f ca="1">(BD302*10^6)/'Global assumptions'!$C$10</f>
        <v>6.1893660179435323E-4</v>
      </c>
      <c r="BE316" s="3024">
        <f ca="1">(BE302*10^6)/'Global assumptions'!$C$11</f>
        <v>3.3382595187555353E-4</v>
      </c>
      <c r="BF316" s="3024">
        <f ca="1">(BF302*10^6)/'Global assumptions'!$C$12</f>
        <v>2.5799543770821035E-4</v>
      </c>
      <c r="BG316" s="3024">
        <f ca="1">(BG302*10^6)/'Global assumptions'!$C$13</f>
        <v>1.7450426037588364E-4</v>
      </c>
      <c r="BH316" s="3024">
        <f ca="1">(BH302*10^6)/'Global assumptions'!$C$14</f>
        <v>8.9901932570923281E-5</v>
      </c>
      <c r="BI316" s="3024">
        <f ca="1">(BI302*10^6)/'Global assumptions'!$C$15</f>
        <v>0</v>
      </c>
    </row>
    <row r="317" spans="1:61" s="3020" customFormat="1">
      <c r="A317" s="3012"/>
      <c r="B317" s="3024"/>
      <c r="C317" s="3027" t="s">
        <v>197</v>
      </c>
      <c r="D317" s="3027" t="str">
        <f>INDEX(Workstreams[Workstream], MATCH($C317, Workstreams[Code], 0))</f>
        <v>Industry</v>
      </c>
      <c r="E317" s="3027"/>
      <c r="G317" s="3024"/>
      <c r="H317" s="3024"/>
      <c r="I317" s="3024"/>
      <c r="J317" s="3024"/>
      <c r="K317" s="3024"/>
      <c r="L317" s="3024"/>
      <c r="M317" s="3024"/>
      <c r="N317" s="3024"/>
      <c r="O317" s="3024"/>
      <c r="P317" s="3024"/>
      <c r="Q317" s="3024"/>
      <c r="R317" s="3024"/>
      <c r="S317" s="3024"/>
      <c r="T317" s="3024"/>
      <c r="U317" s="3024"/>
      <c r="V317" s="3024"/>
      <c r="W317" s="3024"/>
      <c r="X317" s="3024"/>
      <c r="Y317" s="3024"/>
      <c r="Z317" s="3024"/>
      <c r="AA317" s="3024"/>
      <c r="AB317" s="3024"/>
      <c r="AC317" s="3024"/>
      <c r="AD317" s="3024"/>
      <c r="AE317" s="3024"/>
      <c r="AF317" s="3024"/>
      <c r="AG317" s="3024"/>
      <c r="AH317" s="3024"/>
      <c r="AI317" s="3024"/>
      <c r="AJ317" s="3024"/>
      <c r="AK317" s="3024"/>
      <c r="AL317" s="3024"/>
      <c r="AM317" s="3024"/>
      <c r="AN317" s="3024"/>
      <c r="AO317" s="3024"/>
      <c r="AP317" s="3024"/>
      <c r="AQ317" s="3024"/>
      <c r="AR317" s="3024"/>
      <c r="AS317" s="3024"/>
      <c r="AT317" s="3024"/>
      <c r="AU317" s="3024"/>
      <c r="AV317" s="3024"/>
      <c r="AW317" s="3024"/>
      <c r="AX317" s="3024"/>
      <c r="AY317" s="3024">
        <f ca="1">(AY303*10^6)/'Global assumptions'!$C$6</f>
        <v>0.53976712376974345</v>
      </c>
      <c r="BA317" s="3024">
        <f ca="1">(BA303*10^6)/'Global assumptions'!$C$7</f>
        <v>0.80524021199931717</v>
      </c>
      <c r="BB317" s="3024">
        <f ca="1">(BB303*10^6)/'Global assumptions'!$C$8</f>
        <v>1.0401477604330305</v>
      </c>
      <c r="BC317" s="3024">
        <f ca="1">(BC303*10^6)/'Global assumptions'!$C$9</f>
        <v>1.390745010190839</v>
      </c>
      <c r="BD317" s="3024">
        <f ca="1">(BD303*10^6)/'Global assumptions'!$C$10</f>
        <v>1.7779882461424896</v>
      </c>
      <c r="BE317" s="3024">
        <f ca="1">(BE303*10^6)/'Global assumptions'!$C$11</f>
        <v>2.1626267540963697</v>
      </c>
      <c r="BF317" s="3024">
        <f ca="1">(BF303*10^6)/'Global assumptions'!$C$12</f>
        <v>2.5758648793227428</v>
      </c>
      <c r="BG317" s="3024">
        <f ca="1">(BG303*10^6)/'Global assumptions'!$C$13</f>
        <v>2.918870951790884</v>
      </c>
      <c r="BH317" s="3024">
        <f ca="1">(BH303*10^6)/'Global assumptions'!$C$14</f>
        <v>3.2387740328772501</v>
      </c>
      <c r="BI317" s="3024">
        <f ca="1">(BI303*10^6)/'Global assumptions'!$C$15</f>
        <v>3.5282333428632566</v>
      </c>
    </row>
    <row r="318" spans="1:61" s="3020" customFormat="1">
      <c r="A318" s="3012"/>
      <c r="B318" s="3024"/>
      <c r="C318" s="3027" t="s">
        <v>198</v>
      </c>
      <c r="D318" s="3027" t="str">
        <f>INDEX(Workstreams[Workstream], MATCH($C318, Workstreams[Code], 0))</f>
        <v>Transport</v>
      </c>
      <c r="E318" s="3027"/>
      <c r="G318" s="3024"/>
      <c r="H318" s="3024"/>
      <c r="I318" s="3024"/>
      <c r="J318" s="3024"/>
      <c r="K318" s="3024"/>
      <c r="L318" s="3024"/>
      <c r="M318" s="3024"/>
      <c r="N318" s="3024"/>
      <c r="O318" s="3024"/>
      <c r="P318" s="3024"/>
      <c r="Q318" s="3024"/>
      <c r="R318" s="3024"/>
      <c r="S318" s="3024"/>
      <c r="T318" s="3024"/>
      <c r="U318" s="3024"/>
      <c r="V318" s="3024"/>
      <c r="W318" s="3024"/>
      <c r="X318" s="3024"/>
      <c r="Y318" s="3024"/>
      <c r="Z318" s="3024"/>
      <c r="AA318" s="3024"/>
      <c r="AB318" s="3024"/>
      <c r="AC318" s="3024"/>
      <c r="AD318" s="3024"/>
      <c r="AE318" s="3024"/>
      <c r="AF318" s="3024"/>
      <c r="AG318" s="3024"/>
      <c r="AH318" s="3024"/>
      <c r="AI318" s="3024"/>
      <c r="AJ318" s="3024"/>
      <c r="AK318" s="3024"/>
      <c r="AL318" s="3024"/>
      <c r="AM318" s="3024"/>
      <c r="AN318" s="3024"/>
      <c r="AO318" s="3024"/>
      <c r="AP318" s="3024"/>
      <c r="AQ318" s="3024"/>
      <c r="AR318" s="3024"/>
      <c r="AS318" s="3024"/>
      <c r="AT318" s="3024"/>
      <c r="AU318" s="3024"/>
      <c r="AV318" s="3024"/>
      <c r="AW318" s="3024"/>
      <c r="AX318" s="3024"/>
      <c r="AY318" s="3024">
        <f ca="1">(AY304*10^6)/'Global assumptions'!$C$6</f>
        <v>0.18233183146503737</v>
      </c>
      <c r="BA318" s="3024">
        <f ca="1">(BA304*10^6)/'Global assumptions'!$C$7</f>
        <v>0.1823318314650374</v>
      </c>
      <c r="BB318" s="3024">
        <f ca="1">(BB304*10^6)/'Global assumptions'!$C$8</f>
        <v>0.25721526211505163</v>
      </c>
      <c r="BC318" s="3024">
        <f ca="1">(BC304*10^6)/'Global assumptions'!$C$9</f>
        <v>0.34528830154053319</v>
      </c>
      <c r="BD318" s="3024">
        <f ca="1">(BD304*10^6)/'Global assumptions'!$C$10</f>
        <v>0.44686040108075276</v>
      </c>
      <c r="BE318" s="3024">
        <f ca="1">(BE304*10^6)/'Global assumptions'!$C$11</f>
        <v>0.56128165117861384</v>
      </c>
      <c r="BF318" s="3024">
        <f ca="1">(BF304*10^6)/'Global assumptions'!$C$12</f>
        <v>0.69396687183221173</v>
      </c>
      <c r="BG318" s="3024">
        <f ca="1">(BG304*10^6)/'Global assumptions'!$C$13</f>
        <v>0.80648118767924148</v>
      </c>
      <c r="BH318" s="3024">
        <f ca="1">(BH304*10^6)/'Global assumptions'!$C$14</f>
        <v>0.93583873476594071</v>
      </c>
      <c r="BI318" s="3024">
        <f ca="1">(BI304*10^6)/'Global assumptions'!$C$15</f>
        <v>1.0543627819164929</v>
      </c>
    </row>
    <row r="319" spans="1:61" s="3020" customFormat="1">
      <c r="A319" s="3012"/>
      <c r="B319" s="3024"/>
      <c r="C319" s="3027" t="s">
        <v>199</v>
      </c>
      <c r="D319" s="3027" t="str">
        <f>INDEX(Workstreams[Workstream], MATCH($C319, Workstreams[Code], 0))</f>
        <v>Cooking</v>
      </c>
      <c r="E319" s="3027"/>
      <c r="G319" s="3024"/>
      <c r="H319" s="3024"/>
      <c r="I319" s="3024"/>
      <c r="J319" s="3024"/>
      <c r="K319" s="3024"/>
      <c r="L319" s="3024"/>
      <c r="M319" s="3024"/>
      <c r="N319" s="3024"/>
      <c r="O319" s="3024"/>
      <c r="P319" s="3024"/>
      <c r="Q319" s="3024"/>
      <c r="R319" s="3024"/>
      <c r="S319" s="3024"/>
      <c r="T319" s="3024"/>
      <c r="U319" s="3024"/>
      <c r="V319" s="3024"/>
      <c r="W319" s="3024"/>
      <c r="X319" s="3024"/>
      <c r="Y319" s="3024"/>
      <c r="Z319" s="3024"/>
      <c r="AA319" s="3024"/>
      <c r="AB319" s="3024"/>
      <c r="AC319" s="3024"/>
      <c r="AD319" s="3024"/>
      <c r="AE319" s="3024"/>
      <c r="AF319" s="3024"/>
      <c r="AG319" s="3024"/>
      <c r="AH319" s="3024"/>
      <c r="AI319" s="3024"/>
      <c r="AJ319" s="3024"/>
      <c r="AK319" s="3024"/>
      <c r="AL319" s="3024"/>
      <c r="AM319" s="3024"/>
      <c r="AN319" s="3024"/>
      <c r="AO319" s="3024"/>
      <c r="AP319" s="3024"/>
      <c r="AQ319" s="3024"/>
      <c r="AR319" s="3024"/>
      <c r="AS319" s="3024"/>
      <c r="AT319" s="3024"/>
      <c r="AU319" s="3024"/>
      <c r="AV319" s="3024"/>
      <c r="AW319" s="3024"/>
      <c r="AX319" s="3024"/>
      <c r="AY319" s="3024">
        <f ca="1">(AY305*10^6)/'Global assumptions'!$C$6</f>
        <v>8.8033945236082479E-3</v>
      </c>
      <c r="BA319" s="3024">
        <f ca="1">(BA305*10^6)/'Global assumptions'!$C$7</f>
        <v>1.3373016671749947E-2</v>
      </c>
      <c r="BB319" s="3024">
        <f ca="1">(BB305*10^6)/'Global assumptions'!$C$8</f>
        <v>1.8738597846006011E-2</v>
      </c>
      <c r="BC319" s="3024">
        <f ca="1">(BC305*10^6)/'Global assumptions'!$C$9</f>
        <v>2.5971141494073972E-2</v>
      </c>
      <c r="BD319" s="3024">
        <f ca="1">(BD305*10^6)/'Global assumptions'!$C$10</f>
        <v>3.6293475903969016E-2</v>
      </c>
      <c r="BE319" s="3024">
        <f ca="1">(BE305*10^6)/'Global assumptions'!$C$11</f>
        <v>0.12738289308793005</v>
      </c>
      <c r="BF319" s="3024">
        <f ca="1">(BF305*10^6)/'Global assumptions'!$C$12</f>
        <v>6.4742182652936353E-2</v>
      </c>
      <c r="BG319" s="3024">
        <f ca="1">(BG305*10^6)/'Global assumptions'!$C$13</f>
        <v>8.3036919050451463E-2</v>
      </c>
      <c r="BH319" s="3024">
        <f ca="1">(BH305*10^6)/'Global assumptions'!$C$14</f>
        <v>0.10810735141228947</v>
      </c>
      <c r="BI319" s="3024">
        <f ca="1">(BI305*10^6)/'Global assumptions'!$C$15</f>
        <v>0.14010245478353142</v>
      </c>
    </row>
    <row r="320" spans="1:61" s="3020" customFormat="1">
      <c r="A320" s="3012"/>
      <c r="B320" s="3024"/>
      <c r="C320" s="3027" t="s">
        <v>194</v>
      </c>
      <c r="D320" s="3027" t="str">
        <f>INDEX(Workstreams[Workstream], MATCH($C320, Workstreams[Code], 0))</f>
        <v>Agriculture</v>
      </c>
      <c r="E320" s="3027"/>
      <c r="G320" s="3024"/>
      <c r="H320" s="3024"/>
      <c r="I320" s="3024"/>
      <c r="J320" s="3024"/>
      <c r="K320" s="3024"/>
      <c r="L320" s="3024"/>
      <c r="M320" s="3024"/>
      <c r="N320" s="3024"/>
      <c r="O320" s="3024"/>
      <c r="P320" s="3024"/>
      <c r="Q320" s="3024"/>
      <c r="R320" s="3024"/>
      <c r="S320" s="3024"/>
      <c r="T320" s="3024"/>
      <c r="U320" s="3024"/>
      <c r="V320" s="3024"/>
      <c r="W320" s="3024"/>
      <c r="X320" s="3024"/>
      <c r="Y320" s="3024"/>
      <c r="Z320" s="3024"/>
      <c r="AA320" s="3024"/>
      <c r="AB320" s="3024"/>
      <c r="AC320" s="3024"/>
      <c r="AD320" s="3024"/>
      <c r="AE320" s="3024"/>
      <c r="AF320" s="3024"/>
      <c r="AG320" s="3024"/>
      <c r="AH320" s="3024"/>
      <c r="AI320" s="3024"/>
      <c r="AJ320" s="3024"/>
      <c r="AK320" s="3024"/>
      <c r="AL320" s="3024"/>
      <c r="AM320" s="3024"/>
      <c r="AN320" s="3024"/>
      <c r="AO320" s="3024"/>
      <c r="AP320" s="3024"/>
      <c r="AQ320" s="3024"/>
      <c r="AR320" s="3024"/>
      <c r="AS320" s="3024"/>
      <c r="AT320" s="3024"/>
      <c r="AU320" s="3024"/>
      <c r="AV320" s="3024"/>
      <c r="AW320" s="3024"/>
      <c r="AX320" s="3024"/>
      <c r="AY320" s="3024">
        <f ca="1">(AY306*10^6)/'Global assumptions'!$C$6</f>
        <v>1.7170999056361311E-2</v>
      </c>
      <c r="BA320" s="3024">
        <f ca="1">(BA306*10^6)/'Global assumptions'!$C$7</f>
        <v>2.223452500722467E-2</v>
      </c>
      <c r="BB320" s="3024">
        <f ca="1">(BB306*10^6)/'Global assumptions'!$C$8</f>
        <v>2.8766133763110963E-2</v>
      </c>
      <c r="BC320" s="3024">
        <f ca="1">(BC306*10^6)/'Global assumptions'!$C$9</f>
        <v>3.6857324652340144E-2</v>
      </c>
      <c r="BD320" s="3024">
        <f ca="1">(BD306*10^6)/'Global assumptions'!$C$10</f>
        <v>4.6912983398219296E-2</v>
      </c>
      <c r="BE320" s="3024">
        <f ca="1">(BE306*10^6)/'Global assumptions'!$C$11</f>
        <v>5.5872488513873601E-2</v>
      </c>
      <c r="BF320" s="3024">
        <f ca="1">(BF306*10^6)/'Global assumptions'!$C$12</f>
        <v>5.7524182172931315E-2</v>
      </c>
      <c r="BG320" s="3024">
        <f ca="1">(BG306*10^6)/'Global assumptions'!$C$13</f>
        <v>5.9472185002727183E-2</v>
      </c>
      <c r="BH320" s="3024">
        <f ca="1">(BH306*10^6)/'Global assumptions'!$C$14</f>
        <v>6.0920592392045489E-2</v>
      </c>
      <c r="BI320" s="3024">
        <f ca="1">(BI306*10^6)/'Global assumptions'!$C$15</f>
        <v>6.2322204638195017E-2</v>
      </c>
    </row>
    <row r="321" spans="1:99" s="3020" customFormat="1">
      <c r="A321" s="3012"/>
      <c r="B321" s="3024"/>
      <c r="C321" s="3027" t="s">
        <v>330</v>
      </c>
      <c r="D321" s="3027" t="str">
        <f>INDEX(Workstreams[Workstream], MATCH($C321, Workstreams[Code], 0))</f>
        <v>Telecom</v>
      </c>
      <c r="E321" s="3027"/>
      <c r="G321" s="3024"/>
      <c r="H321" s="3024"/>
      <c r="I321" s="3024"/>
      <c r="J321" s="3024"/>
      <c r="K321" s="3024"/>
      <c r="L321" s="3024"/>
      <c r="M321" s="3024"/>
      <c r="N321" s="3024"/>
      <c r="O321" s="3024"/>
      <c r="P321" s="3024"/>
      <c r="Q321" s="3024"/>
      <c r="R321" s="3024"/>
      <c r="S321" s="3024"/>
      <c r="T321" s="3024"/>
      <c r="U321" s="3024"/>
      <c r="V321" s="3024"/>
      <c r="W321" s="3024"/>
      <c r="X321" s="3024"/>
      <c r="Y321" s="3024"/>
      <c r="Z321" s="3024"/>
      <c r="AA321" s="3024"/>
      <c r="AB321" s="3024"/>
      <c r="AC321" s="3024"/>
      <c r="AD321" s="3024"/>
      <c r="AE321" s="3024"/>
      <c r="AF321" s="3024"/>
      <c r="AG321" s="3024"/>
      <c r="AH321" s="3024"/>
      <c r="AI321" s="3024"/>
      <c r="AJ321" s="3024"/>
      <c r="AK321" s="3024"/>
      <c r="AL321" s="3024"/>
      <c r="AM321" s="3024"/>
      <c r="AN321" s="3024"/>
      <c r="AO321" s="3024"/>
      <c r="AP321" s="3024"/>
      <c r="AQ321" s="3024"/>
      <c r="AR321" s="3024"/>
      <c r="AS321" s="3024"/>
      <c r="AT321" s="3024"/>
      <c r="AU321" s="3024"/>
      <c r="AV321" s="3024"/>
      <c r="AW321" s="3024"/>
      <c r="AX321" s="3024"/>
      <c r="AY321" s="3024">
        <f ca="1">(AY307*10^6)/'Global assumptions'!$C$6</f>
        <v>2.5269896517672373E-3</v>
      </c>
      <c r="BA321" s="3024">
        <f ca="1">(BA307*10^6)/'Global assumptions'!$C$7</f>
        <v>1.5045233105185971E-2</v>
      </c>
      <c r="BB321" s="3024">
        <f ca="1">(BB307*10^6)/'Global assumptions'!$C$8</f>
        <v>1.637149599505721E-2</v>
      </c>
      <c r="BC321" s="3024">
        <f ca="1">(BC307*10^6)/'Global assumptions'!$C$9</f>
        <v>1.8122886146168131E-2</v>
      </c>
      <c r="BD321" s="3024">
        <f ca="1">(BD307*10^6)/'Global assumptions'!$C$10</f>
        <v>2.223672423324442E-2</v>
      </c>
      <c r="BE321" s="3024">
        <f ca="1">(BE307*10^6)/'Global assumptions'!$C$11</f>
        <v>2.3770803145630705E-2</v>
      </c>
      <c r="BF321" s="3024">
        <f ca="1">(BF307*10^6)/'Global assumptions'!$C$12</f>
        <v>2.2277745789037382E-2</v>
      </c>
      <c r="BG321" s="3024">
        <f ca="1">(BG307*10^6)/'Global assumptions'!$C$13</f>
        <v>2.183127452647737E-2</v>
      </c>
      <c r="BH321" s="3024">
        <f ca="1">(BH307*10^6)/'Global assumptions'!$C$14</f>
        <v>2.4446867685524603E-2</v>
      </c>
      <c r="BI321" s="3024">
        <f ca="1">(BI307*10^6)/'Global assumptions'!$C$15</f>
        <v>2.9985576644896497E-2</v>
      </c>
    </row>
    <row r="322" spans="1:99" s="3020" customFormat="1">
      <c r="A322" s="3012"/>
      <c r="B322" s="3024"/>
      <c r="C322" s="3027" t="s">
        <v>190</v>
      </c>
      <c r="D322" s="3027" t="s">
        <v>492</v>
      </c>
      <c r="E322" s="3027"/>
      <c r="G322" s="3024"/>
      <c r="H322" s="3024"/>
      <c r="I322" s="3024"/>
      <c r="J322" s="3024"/>
      <c r="K322" s="3024"/>
      <c r="L322" s="3024"/>
      <c r="M322" s="3024"/>
      <c r="N322" s="3024"/>
      <c r="O322" s="3024"/>
      <c r="P322" s="3024"/>
      <c r="Q322" s="3024"/>
      <c r="R322" s="3024"/>
      <c r="S322" s="3024"/>
      <c r="T322" s="3024"/>
      <c r="U322" s="3024"/>
      <c r="V322" s="3024"/>
      <c r="W322" s="3024"/>
      <c r="X322" s="3024"/>
      <c r="Y322" s="3024"/>
      <c r="Z322" s="3024"/>
      <c r="AA322" s="3024"/>
      <c r="AB322" s="3024"/>
      <c r="AC322" s="3024"/>
      <c r="AD322" s="3024"/>
      <c r="AE322" s="3024"/>
      <c r="AF322" s="3024"/>
      <c r="AG322" s="3024"/>
      <c r="AH322" s="3024"/>
      <c r="AI322" s="3024"/>
      <c r="AJ322" s="3024"/>
      <c r="AK322" s="3024"/>
      <c r="AL322" s="3024"/>
      <c r="AM322" s="3024"/>
      <c r="AN322" s="3024"/>
      <c r="AO322" s="3024"/>
      <c r="AP322" s="3024"/>
      <c r="AQ322" s="3024"/>
      <c r="AR322" s="3024"/>
      <c r="AS322" s="3024"/>
      <c r="AT322" s="3024"/>
      <c r="AU322" s="3024"/>
      <c r="AV322" s="3024"/>
      <c r="AW322" s="3024"/>
      <c r="AX322" s="3024"/>
      <c r="AY322" s="3024">
        <f ca="1">(AY308*10^6)/'Global assumptions'!C6</f>
        <v>-0.2581473391527398</v>
      </c>
      <c r="BA322" s="3024">
        <f ca="1">(BA308*10^6)/'Global assumptions'!C7</f>
        <v>-0.26131460002703422</v>
      </c>
      <c r="BB322" s="3024">
        <f ca="1">(BB308*10^6)/'Global assumptions'!C8</f>
        <v>-0.24467313095417595</v>
      </c>
      <c r="BC322" s="3024">
        <f ca="1">(BC308*10^6)/'Global assumptions'!C9</f>
        <v>-0.22800516806774759</v>
      </c>
      <c r="BD322" s="3024">
        <f ca="1">(BD308*10^6)/'Global assumptions'!C10</f>
        <v>-0.21650917896230293</v>
      </c>
      <c r="BE322" s="3024">
        <f ca="1">(BE308*10^6)/'Global assumptions'!C11</f>
        <v>-0.20485344380459916</v>
      </c>
      <c r="BF322" s="3024">
        <f ca="1">(BF308*10^6)/'Global assumptions'!C12</f>
        <v>-0.19721441336909304</v>
      </c>
      <c r="BG322" s="3024">
        <f ca="1">(BG308*10^6)/'Global assumptions'!C13</f>
        <v>-0.18855617489897428</v>
      </c>
      <c r="BH322" s="3024">
        <f ca="1">(BH308*10^6)/'Global assumptions'!C14</f>
        <v>-0.18314561568517554</v>
      </c>
      <c r="BI322" s="3024">
        <f ca="1">(BI308*10^6)/'Global assumptions'!C15</f>
        <v>-0.17738636133202226</v>
      </c>
    </row>
    <row r="323" spans="1:99" s="3020" customFormat="1">
      <c r="A323" s="3012"/>
      <c r="B323" s="3024"/>
      <c r="C323" s="1333"/>
      <c r="D323" s="3027" t="s">
        <v>103</v>
      </c>
      <c r="E323" s="3027"/>
      <c r="G323" s="3024"/>
      <c r="H323" s="3024"/>
      <c r="I323" s="3024"/>
      <c r="J323" s="3024"/>
      <c r="K323" s="3024"/>
      <c r="L323" s="3024"/>
      <c r="M323" s="3024"/>
      <c r="N323" s="3024"/>
      <c r="O323" s="3024"/>
      <c r="P323" s="3024"/>
      <c r="Q323" s="3024"/>
      <c r="R323" s="3024"/>
      <c r="S323" s="3024"/>
      <c r="T323" s="3024"/>
      <c r="U323" s="3024"/>
      <c r="V323" s="3024"/>
      <c r="W323" s="3024"/>
      <c r="X323" s="3024"/>
      <c r="Y323" s="3024"/>
      <c r="Z323" s="3024"/>
      <c r="AA323" s="3024"/>
      <c r="AB323" s="3024"/>
      <c r="AC323" s="3024"/>
      <c r="AD323" s="3024"/>
      <c r="AE323" s="3024"/>
      <c r="AF323" s="3024"/>
      <c r="AG323" s="3024"/>
      <c r="AH323" s="3024"/>
      <c r="AI323" s="3024"/>
      <c r="AJ323" s="3024"/>
      <c r="AK323" s="3024"/>
      <c r="AL323" s="3024"/>
      <c r="AM323" s="3024"/>
      <c r="AN323" s="3024"/>
      <c r="AO323" s="3024"/>
      <c r="AP323" s="3024"/>
      <c r="AQ323" s="3024"/>
      <c r="AR323" s="3024"/>
      <c r="AS323" s="3024"/>
      <c r="AT323" s="3024"/>
      <c r="AU323" s="3024"/>
      <c r="AV323" s="3024"/>
      <c r="AW323" s="3024"/>
      <c r="AX323" s="3024"/>
      <c r="AY323" s="3024">
        <f ca="1">SUM(AY315:AY321)</f>
        <v>0.75224021748376968</v>
      </c>
      <c r="BA323" s="3024">
        <f ca="1">SUM(BA315:BA321)</f>
        <v>1.0397322495862751</v>
      </c>
      <c r="BB323" s="3024">
        <f ca="1">SUM(BB316:BB321)</f>
        <v>1.3624447580231862</v>
      </c>
      <c r="BC323" s="3024">
        <f t="shared" ref="BC323:BI323" ca="1" si="95">SUM(BC316:BC321)</f>
        <v>1.8178896098580744</v>
      </c>
      <c r="BD323" s="3024">
        <f t="shared" ca="1" si="95"/>
        <v>2.3309107673604692</v>
      </c>
      <c r="BE323" s="3024">
        <f t="shared" ca="1" si="95"/>
        <v>2.9312684159742939</v>
      </c>
      <c r="BF323" s="3024">
        <f t="shared" ca="1" si="95"/>
        <v>3.4146338572075678</v>
      </c>
      <c r="BG323" s="3024">
        <f t="shared" ca="1" si="95"/>
        <v>3.8898670223101575</v>
      </c>
      <c r="BH323" s="3024">
        <f t="shared" ca="1" si="95"/>
        <v>4.3681774810656213</v>
      </c>
      <c r="BI323" s="3024">
        <f t="shared" ca="1" si="95"/>
        <v>4.8150063608463727</v>
      </c>
    </row>
    <row r="324" spans="1:99" s="3020" customFormat="1">
      <c r="A324" s="3012"/>
      <c r="B324" s="3024"/>
      <c r="C324" s="3024"/>
      <c r="D324" s="3024"/>
      <c r="E324" s="3024"/>
      <c r="F324" s="3024"/>
      <c r="G324" s="3024"/>
      <c r="H324" s="3024"/>
      <c r="I324" s="3024"/>
      <c r="J324" s="3024"/>
      <c r="K324" s="3024"/>
      <c r="L324" s="3024"/>
      <c r="M324" s="3024"/>
      <c r="N324" s="3024"/>
      <c r="O324" s="3024"/>
      <c r="P324" s="3024"/>
      <c r="Q324" s="3024"/>
      <c r="R324" s="3024"/>
      <c r="S324" s="3024"/>
      <c r="T324" s="3024"/>
      <c r="U324" s="3024"/>
      <c r="V324" s="3024"/>
      <c r="W324" s="3024"/>
      <c r="X324" s="3024"/>
      <c r="Y324" s="3024"/>
      <c r="Z324" s="3024"/>
      <c r="AA324" s="3024"/>
      <c r="AB324" s="3024"/>
      <c r="AC324" s="3024"/>
      <c r="AD324" s="3024"/>
      <c r="AE324" s="3024"/>
      <c r="AF324" s="3024"/>
      <c r="AG324" s="3024"/>
      <c r="AH324" s="3024"/>
      <c r="AI324" s="3024"/>
      <c r="AJ324" s="3024"/>
      <c r="AK324" s="3024"/>
      <c r="AL324" s="3024"/>
      <c r="AM324" s="3024"/>
      <c r="AN324" s="3024"/>
      <c r="AO324" s="3024"/>
      <c r="AP324" s="3024"/>
      <c r="AQ324" s="3024"/>
      <c r="AR324" s="3024"/>
      <c r="AS324" s="3024"/>
      <c r="AT324" s="3024"/>
      <c r="AU324" s="3024"/>
      <c r="AV324" s="3024"/>
      <c r="AW324" s="3024"/>
      <c r="AX324" s="3024"/>
      <c r="AY324" s="3024"/>
      <c r="BA324" s="3024"/>
      <c r="BB324" s="3024"/>
      <c r="BC324" s="3024"/>
      <c r="BD324" s="3024"/>
      <c r="BE324" s="3024"/>
      <c r="BF324" s="3024"/>
      <c r="BG324" s="3024"/>
      <c r="BH324" s="3024"/>
      <c r="BI324" s="3024"/>
      <c r="CR324" s="3020">
        <v>2020</v>
      </c>
      <c r="CS324" s="3020">
        <v>2025</v>
      </c>
      <c r="CT324" s="3020">
        <v>2030</v>
      </c>
      <c r="CU324" s="3020">
        <v>2035</v>
      </c>
    </row>
    <row r="325" spans="1:99" s="3020" customFormat="1">
      <c r="A325" s="3012"/>
      <c r="B325" s="3024"/>
      <c r="C325" s="3024"/>
      <c r="D325" s="3024"/>
      <c r="E325" s="3024"/>
      <c r="F325" s="3024"/>
      <c r="G325" s="3024"/>
      <c r="H325" s="3024"/>
      <c r="I325" s="3024"/>
      <c r="J325" s="3024"/>
      <c r="K325" s="3024"/>
      <c r="L325" s="3024"/>
      <c r="M325" s="3024"/>
      <c r="N325" s="3024"/>
      <c r="O325" s="3024"/>
      <c r="P325" s="3024"/>
      <c r="Q325" s="3024"/>
      <c r="R325" s="3024"/>
      <c r="S325" s="3024"/>
      <c r="T325" s="3024"/>
      <c r="U325" s="3024"/>
      <c r="V325" s="3024"/>
      <c r="W325" s="3024"/>
      <c r="X325" s="3024"/>
      <c r="Y325" s="3024"/>
      <c r="Z325" s="3024"/>
      <c r="AA325" s="3024"/>
      <c r="AB325" s="3024"/>
      <c r="AC325" s="3024"/>
      <c r="AD325" s="3024"/>
      <c r="AE325" s="3024"/>
      <c r="AF325" s="3024"/>
      <c r="AG325" s="3024"/>
      <c r="AH325" s="3024"/>
      <c r="AI325" s="3024"/>
      <c r="AJ325" s="3024"/>
      <c r="AK325" s="3024"/>
      <c r="AL325" s="3024"/>
      <c r="AM325" s="3024"/>
      <c r="AN325" s="3024"/>
      <c r="AO325" s="3024"/>
      <c r="AP325" s="3024"/>
      <c r="AQ325" s="3024"/>
      <c r="AR325" s="3024"/>
      <c r="AS325" s="3024"/>
      <c r="AT325" s="3024"/>
      <c r="AU325" s="3024"/>
      <c r="AV325" s="3024"/>
      <c r="AW325" s="3024"/>
      <c r="AX325" s="3024"/>
      <c r="AY325" s="3024"/>
      <c r="BA325" s="3024"/>
      <c r="BB325" s="3024"/>
      <c r="BC325" s="3024"/>
      <c r="BD325" s="3024"/>
      <c r="BE325" s="3024"/>
      <c r="BF325" s="3024"/>
      <c r="BG325" s="3024"/>
      <c r="BH325" s="3024"/>
      <c r="BI325" s="3024"/>
      <c r="CR325" s="3020">
        <v>120</v>
      </c>
      <c r="CS325" s="3020">
        <v>127</v>
      </c>
      <c r="CT325" s="3020">
        <v>136</v>
      </c>
      <c r="CU325" s="3020">
        <v>145</v>
      </c>
    </row>
    <row r="326" spans="1:99" s="3020" customFormat="1">
      <c r="A326" s="3012"/>
      <c r="B326" s="3024"/>
      <c r="C326" s="3024"/>
      <c r="D326" s="3024"/>
      <c r="E326" s="3024"/>
      <c r="F326" s="3024"/>
      <c r="G326" s="3024"/>
      <c r="H326" s="3024"/>
      <c r="I326" s="3024"/>
      <c r="J326" s="3024"/>
      <c r="K326" s="3024"/>
      <c r="L326" s="3024"/>
      <c r="M326" s="3024"/>
      <c r="N326" s="3024"/>
      <c r="O326" s="3024"/>
      <c r="P326" s="3024"/>
      <c r="Q326" s="3024"/>
      <c r="R326" s="3024"/>
      <c r="S326" s="3024"/>
      <c r="T326" s="3024"/>
      <c r="U326" s="3024"/>
      <c r="V326" s="3024"/>
      <c r="W326" s="3024"/>
      <c r="X326" s="3024"/>
      <c r="Y326" s="3024"/>
      <c r="Z326" s="3024"/>
      <c r="AA326" s="3024"/>
      <c r="AB326" s="3024"/>
      <c r="AC326" s="3024"/>
      <c r="AD326" s="3024"/>
      <c r="AE326" s="3024"/>
      <c r="AF326" s="3024"/>
      <c r="AG326" s="3024"/>
      <c r="AH326" s="3024"/>
      <c r="AI326" s="3024"/>
      <c r="AJ326" s="3024"/>
      <c r="AK326" s="3024"/>
      <c r="AL326" s="3024"/>
      <c r="AM326" s="3024"/>
      <c r="AN326" s="3024"/>
      <c r="AO326" s="3024"/>
      <c r="AP326" s="3024"/>
      <c r="AQ326" s="3024"/>
      <c r="AR326" s="3024"/>
      <c r="AS326" s="3024"/>
      <c r="AT326" s="3024"/>
      <c r="AU326" s="3024"/>
      <c r="AV326" s="3024"/>
      <c r="AW326" s="3024"/>
      <c r="AX326" s="3024"/>
      <c r="AY326" s="3024"/>
      <c r="BA326" s="3024"/>
      <c r="BB326" s="3024"/>
      <c r="BC326" s="3024"/>
      <c r="BD326" s="3024"/>
      <c r="BE326" s="3024"/>
      <c r="BF326" s="3024"/>
      <c r="BG326" s="3024"/>
      <c r="BH326" s="3024"/>
      <c r="BI326" s="3024"/>
      <c r="CR326" s="3020">
        <v>5.2</v>
      </c>
      <c r="CS326" s="3020">
        <v>5.8</v>
      </c>
      <c r="CT326" s="3020">
        <v>6.2</v>
      </c>
      <c r="CU326" s="3020">
        <v>6.9</v>
      </c>
    </row>
    <row r="327" spans="1:99" s="3020" customFormat="1">
      <c r="A327" s="3012"/>
      <c r="B327" s="3024"/>
      <c r="C327" s="3024"/>
      <c r="D327" s="3024"/>
      <c r="E327" s="3024"/>
      <c r="F327" s="3024"/>
      <c r="G327" s="3024"/>
      <c r="H327" s="3024"/>
      <c r="I327" s="3024"/>
      <c r="J327" s="3024"/>
      <c r="K327" s="3024"/>
      <c r="L327" s="3024"/>
      <c r="M327" s="3024"/>
      <c r="N327" s="3024"/>
      <c r="O327" s="3024"/>
      <c r="P327" s="3024"/>
      <c r="Q327" s="3024"/>
      <c r="R327" s="3024"/>
      <c r="S327" s="3024"/>
      <c r="T327" s="3024"/>
      <c r="U327" s="3024"/>
      <c r="V327" s="3024"/>
      <c r="W327" s="3024"/>
      <c r="X327" s="3024"/>
      <c r="Y327" s="3024"/>
      <c r="Z327" s="3024"/>
      <c r="AA327" s="3024"/>
      <c r="AB327" s="3024"/>
      <c r="AC327" s="3024"/>
      <c r="AD327" s="3024"/>
      <c r="AE327" s="3024"/>
      <c r="AF327" s="3024"/>
      <c r="AG327" s="3024"/>
      <c r="AH327" s="3024"/>
      <c r="AI327" s="3024"/>
      <c r="AJ327" s="3024"/>
      <c r="AK327" s="3024"/>
      <c r="AL327" s="3024"/>
      <c r="AM327" s="3024"/>
      <c r="AN327" s="3024"/>
      <c r="AO327" s="3024"/>
      <c r="AP327" s="3024"/>
      <c r="AQ327" s="3024"/>
      <c r="AR327" s="3024"/>
      <c r="AS327" s="3024"/>
      <c r="AT327" s="3024"/>
      <c r="AU327" s="3024"/>
      <c r="AV327" s="3024"/>
      <c r="AW327" s="3024"/>
      <c r="AX327" s="3024"/>
      <c r="AY327" s="3024"/>
      <c r="BA327" s="3024"/>
      <c r="BB327" s="3024"/>
      <c r="BC327" s="3024"/>
      <c r="BD327" s="3024"/>
      <c r="BE327" s="3024"/>
      <c r="BF327" s="3024"/>
      <c r="BG327" s="3024"/>
      <c r="BH327" s="3024"/>
      <c r="BI327" s="3024"/>
      <c r="CR327" s="3020">
        <v>12.4</v>
      </c>
      <c r="CS327" s="3020">
        <v>12.9</v>
      </c>
      <c r="CT327" s="3020">
        <v>13.4</v>
      </c>
      <c r="CU327" s="3020">
        <v>14</v>
      </c>
    </row>
    <row r="328" spans="1:99" s="3020" customFormat="1">
      <c r="A328" s="3012"/>
    </row>
    <row r="329" spans="1:99" s="3020" customFormat="1">
      <c r="A329" s="3012"/>
      <c r="BA329" s="3146"/>
      <c r="BB329" s="3146"/>
      <c r="BC329" s="3146"/>
      <c r="BD329" s="3146"/>
      <c r="CR329" s="3020">
        <v>112</v>
      </c>
      <c r="CS329" s="3020">
        <v>116</v>
      </c>
      <c r="CT329" s="3020">
        <v>118</v>
      </c>
      <c r="CU329" s="3020">
        <v>120</v>
      </c>
    </row>
    <row r="330" spans="1:99" s="3035" customFormat="1">
      <c r="A330" s="3012"/>
      <c r="B330" s="3034" t="s">
        <v>2422</v>
      </c>
    </row>
    <row r="331" spans="1:99" s="3036" customFormat="1">
      <c r="A331" s="3012"/>
      <c r="B331" s="3036" t="s">
        <v>2423</v>
      </c>
    </row>
    <row r="332" spans="1:99" s="3036" customFormat="1">
      <c r="A332" s="3012"/>
    </row>
    <row r="333" spans="1:99" s="3036" customFormat="1">
      <c r="A333" s="3012"/>
      <c r="AY333" s="3037">
        <v>2007</v>
      </c>
      <c r="BA333" s="3037">
        <v>2012</v>
      </c>
      <c r="BB333" s="3037">
        <v>2017</v>
      </c>
      <c r="BC333" s="3037">
        <v>2022</v>
      </c>
      <c r="BD333" s="3037">
        <v>2027</v>
      </c>
      <c r="BE333" s="3037">
        <v>2032</v>
      </c>
      <c r="BF333" s="3037">
        <v>2037</v>
      </c>
      <c r="BG333" s="3037">
        <v>2042</v>
      </c>
      <c r="BH333" s="3037">
        <v>2047</v>
      </c>
      <c r="BI333" s="3037">
        <v>2052</v>
      </c>
    </row>
    <row r="334" spans="1:99" s="3036" customFormat="1">
      <c r="A334" s="3012"/>
    </row>
    <row r="335" spans="1:99" s="3036" customFormat="1">
      <c r="A335" s="3012"/>
      <c r="D335" s="3036" t="str">
        <f>"Coal Imports in "&amp;preferences.energyunits</f>
        <v>Coal Imports in TWh</v>
      </c>
      <c r="E335" s="3038"/>
      <c r="AY335" s="3039">
        <f ca="1">AY41</f>
        <v>312.87744559290513</v>
      </c>
      <c r="AZ335" s="3039"/>
      <c r="BA335" s="3039">
        <f t="shared" ref="BA335:BI335" ca="1" si="96">BA41</f>
        <v>533.85548221406225</v>
      </c>
      <c r="BB335" s="3039">
        <f t="shared" ca="1" si="96"/>
        <v>1349.5453480108031</v>
      </c>
      <c r="BC335" s="3039">
        <f t="shared" ca="1" si="96"/>
        <v>3068.214410803027</v>
      </c>
      <c r="BD335" s="3039">
        <f t="shared" ca="1" si="96"/>
        <v>5462.9307882709118</v>
      </c>
      <c r="BE335" s="3039">
        <f t="shared" ca="1" si="96"/>
        <v>8849.3886004507167</v>
      </c>
      <c r="BF335" s="3039">
        <f t="shared" ca="1" si="96"/>
        <v>11988.489821833136</v>
      </c>
      <c r="BG335" s="3039">
        <f t="shared" ca="1" si="96"/>
        <v>16113.370591179753</v>
      </c>
      <c r="BH335" s="3039">
        <f t="shared" ca="1" si="96"/>
        <v>19769.818192917424</v>
      </c>
      <c r="BI335" s="3039">
        <f t="shared" ca="1" si="96"/>
        <v>23701.654511114481</v>
      </c>
      <c r="BK335" s="3036">
        <v>46.5364</v>
      </c>
    </row>
    <row r="336" spans="1:99" s="3036" customFormat="1">
      <c r="A336" s="3012"/>
      <c r="D336" s="3036" t="str">
        <f>"Cost of Coal Imports in " &amp;Preferences.moneyunits&amp;"/"&amp;preferences.energyunits</f>
        <v>Cost of Coal Imports in INR Cr/TWh</v>
      </c>
      <c r="E336" s="3038"/>
      <c r="AY336" s="3036">
        <f>99*(USD2012_/unit.tce)</f>
        <v>127.74193548387096</v>
      </c>
      <c r="AZ336" s="3036">
        <f>0*(USD2012_/unit.tce)</f>
        <v>0</v>
      </c>
      <c r="BA336" s="3036">
        <f>99*(USD2012_/unit.tce)</f>
        <v>127.74193548387096</v>
      </c>
      <c r="BB336" s="3036">
        <f>99*(USD2012_/unit.tce)</f>
        <v>127.74193548387096</v>
      </c>
      <c r="BC336" s="3036">
        <f>112*(USD2012_/unit.tce)</f>
        <v>144.51612903225805</v>
      </c>
      <c r="BD336" s="3036">
        <f>116*(USD2012_/unit.tce)</f>
        <v>149.67741935483872</v>
      </c>
      <c r="BE336" s="3036">
        <f>118*(USD2012_/unit.tce)</f>
        <v>152.25806451612902</v>
      </c>
      <c r="BF336" s="3036">
        <f>120*(USD2012_/unit.tce)</f>
        <v>154.83870967741936</v>
      </c>
      <c r="BG336" s="3036">
        <f>120*(USD2012_/unit.tce)</f>
        <v>154.83870967741936</v>
      </c>
      <c r="BH336" s="3036">
        <f>120*(USD2012_/unit.tce)</f>
        <v>154.83870967741936</v>
      </c>
      <c r="BI336" s="3036">
        <f>120*(USD2012_/unit.tce)</f>
        <v>154.83870967741936</v>
      </c>
    </row>
    <row r="337" spans="1:64" s="3036" customFormat="1">
      <c r="A337" s="3012"/>
      <c r="D337" s="3036" t="str">
        <f>"Total Cost of Coal Imports "&amp;Preferences.moneyunits</f>
        <v>Total Cost of Coal Imports INR Cr</v>
      </c>
      <c r="E337" s="3038"/>
      <c r="AY337" s="3039">
        <f ca="1">AY335*AY336</f>
        <v>39967.570469287231</v>
      </c>
      <c r="AZ337" s="3039"/>
      <c r="BA337" s="3039">
        <f t="shared" ref="BA337:BI337" ca="1" si="97">BA335*BA336</f>
        <v>68195.73256669956</v>
      </c>
      <c r="BB337" s="3039">
        <f t="shared" ca="1" si="97"/>
        <v>172393.53477815419</v>
      </c>
      <c r="BC337" s="3039">
        <f t="shared" ca="1" si="97"/>
        <v>443406.46969024389</v>
      </c>
      <c r="BD337" s="3039">
        <f t="shared" ca="1" si="97"/>
        <v>817677.38250248495</v>
      </c>
      <c r="BE337" s="3039">
        <f t="shared" ca="1" si="97"/>
        <v>1347390.780455722</v>
      </c>
      <c r="BF337" s="3039">
        <f t="shared" ca="1" si="97"/>
        <v>1856282.2949935179</v>
      </c>
      <c r="BG337" s="3039">
        <f t="shared" ca="1" si="97"/>
        <v>2494973.5108923488</v>
      </c>
      <c r="BH337" s="3039">
        <f t="shared" ca="1" si="97"/>
        <v>3061133.1395485047</v>
      </c>
      <c r="BI337" s="3039">
        <f t="shared" ca="1" si="97"/>
        <v>3669933.601720952</v>
      </c>
    </row>
    <row r="338" spans="1:64" s="3036" customFormat="1">
      <c r="A338" s="3012"/>
      <c r="E338" s="3038"/>
      <c r="AY338" s="3039"/>
      <c r="AZ338" s="3039"/>
      <c r="BA338" s="3039"/>
      <c r="BB338" s="3039"/>
      <c r="BC338" s="3039"/>
      <c r="BD338" s="3039"/>
      <c r="BE338" s="3039"/>
      <c r="BF338" s="3039"/>
      <c r="BG338" s="3039"/>
      <c r="BH338" s="3039"/>
      <c r="BI338" s="3039"/>
    </row>
    <row r="339" spans="1:64" s="3036" customFormat="1">
      <c r="A339" s="3012"/>
      <c r="D339" s="3036" t="str">
        <f>"Oil Imports in "&amp;preferences.energyunits</f>
        <v>Oil Imports in TWh</v>
      </c>
      <c r="E339" s="3038"/>
      <c r="AY339" s="3039">
        <f ca="1">AY45</f>
        <v>1217.3455995924837</v>
      </c>
      <c r="AZ339" s="3039"/>
      <c r="BA339" s="3039">
        <f t="shared" ref="BA339:BI339" ca="1" si="98">BA45</f>
        <v>1466.5905800259968</v>
      </c>
      <c r="BB339" s="3039">
        <f t="shared" ca="1" si="98"/>
        <v>2100.3206137516681</v>
      </c>
      <c r="BC339" s="3039">
        <f t="shared" ca="1" si="98"/>
        <v>3054.2541317150194</v>
      </c>
      <c r="BD339" s="3039">
        <f t="shared" ca="1" si="98"/>
        <v>4102.7795788608364</v>
      </c>
      <c r="BE339" s="3039">
        <f t="shared" ca="1" si="98"/>
        <v>5330.667265334645</v>
      </c>
      <c r="BF339" s="3039">
        <f t="shared" ca="1" si="98"/>
        <v>6703.2930240172882</v>
      </c>
      <c r="BG339" s="3039">
        <f t="shared" ca="1" si="98"/>
        <v>8096.4219235944875</v>
      </c>
      <c r="BH339" s="3039">
        <f t="shared" ca="1" si="98"/>
        <v>9663.2311319982509</v>
      </c>
      <c r="BI339" s="3039">
        <f t="shared" ca="1" si="98"/>
        <v>11338.566432233665</v>
      </c>
    </row>
    <row r="340" spans="1:64" s="3036" customFormat="1">
      <c r="A340" s="3012"/>
      <c r="D340" s="3036" t="str">
        <f>"Cost of Oil Imports in " &amp;Preferences.moneyunits&amp;"/"&amp;preferences.energyunits</f>
        <v>Cost of Oil Imports in INR Cr/TWh</v>
      </c>
      <c r="E340" s="3038"/>
      <c r="AY340" s="3036">
        <f>109*(USD2012_/Unit.boe)</f>
        <v>401.67055644269749</v>
      </c>
      <c r="AZ340" s="3036">
        <f>0*(USD2012_/Unit.boe)</f>
        <v>0</v>
      </c>
      <c r="BA340" s="3036">
        <f>109*(USD2012_/Unit.boe)</f>
        <v>401.67055644269749</v>
      </c>
      <c r="BB340" s="3036">
        <f>109*(USD2012_/Unit.boe)</f>
        <v>401.67055644269749</v>
      </c>
      <c r="BC340" s="3036">
        <f>120*(USD2012_/Unit.boe)</f>
        <v>442.20611718462112</v>
      </c>
      <c r="BD340" s="3036">
        <f>127*(USD2012_/Unit.boe)</f>
        <v>468.00147402039067</v>
      </c>
      <c r="BE340" s="3036">
        <f>136*(USD2012_/Unit.boe)</f>
        <v>501.16693280923721</v>
      </c>
      <c r="BF340" s="3036">
        <f>145*(USD2012_/Unit.boe)</f>
        <v>534.33239159808386</v>
      </c>
      <c r="BG340" s="3036">
        <f>145*(USD2012_/Unit.boe)</f>
        <v>534.33239159808386</v>
      </c>
      <c r="BH340" s="3036">
        <f>145*(USD2012_/Unit.boe)</f>
        <v>534.33239159808386</v>
      </c>
      <c r="BI340" s="3036">
        <f>145*(USD2012_/Unit.boe)</f>
        <v>534.33239159808386</v>
      </c>
    </row>
    <row r="341" spans="1:64" s="3036" customFormat="1">
      <c r="A341" s="3012"/>
      <c r="D341" s="3036" t="str">
        <f>"Total Cost of Oil Imports "&amp;Preferences.moneyunits</f>
        <v>Total Cost of Oil Imports INR Cr</v>
      </c>
      <c r="E341" s="3038"/>
      <c r="AY341" s="3039">
        <f ca="1">AY339*AY340</f>
        <v>488971.88437138213</v>
      </c>
      <c r="AZ341" s="3039"/>
      <c r="BA341" s="3039">
        <f t="shared" ref="BA341:BI341" ca="1" si="99">BA339*BA340</f>
        <v>589086.25435266062</v>
      </c>
      <c r="BB341" s="3039">
        <f t="shared" ca="1" si="99"/>
        <v>843636.94963370042</v>
      </c>
      <c r="BC341" s="3039">
        <f t="shared" ca="1" si="99"/>
        <v>1350609.8604807851</v>
      </c>
      <c r="BD341" s="3039">
        <f t="shared" ca="1" si="99"/>
        <v>1920106.8904876292</v>
      </c>
      <c r="BE341" s="3039">
        <f t="shared" ca="1" si="99"/>
        <v>2671554.1631943681</v>
      </c>
      <c r="BF341" s="3039">
        <f t="shared" ca="1" si="99"/>
        <v>3581786.5931059094</v>
      </c>
      <c r="BG341" s="3039">
        <f t="shared" ca="1" si="99"/>
        <v>4326180.4898214014</v>
      </c>
      <c r="BH341" s="3039">
        <f t="shared" ca="1" si="99"/>
        <v>5163377.401325685</v>
      </c>
      <c r="BI341" s="3039">
        <f t="shared" ca="1" si="99"/>
        <v>6058563.3190291673</v>
      </c>
    </row>
    <row r="342" spans="1:64" s="3036" customFormat="1">
      <c r="A342" s="3012"/>
      <c r="E342" s="3038"/>
      <c r="AY342" s="3039"/>
      <c r="AZ342" s="3039"/>
      <c r="BA342" s="3039"/>
      <c r="BB342" s="3039"/>
      <c r="BC342" s="3039"/>
      <c r="BD342" s="3039"/>
      <c r="BE342" s="3039"/>
      <c r="BF342" s="3039"/>
      <c r="BG342" s="3039"/>
      <c r="BH342" s="3039"/>
      <c r="BI342" s="3039"/>
    </row>
    <row r="343" spans="1:64" s="3036" customFormat="1">
      <c r="A343" s="3012"/>
      <c r="D343" s="3036" t="str">
        <f>"Gas Imports in "&amp;preferences.energyunits</f>
        <v>Gas Imports in TWh</v>
      </c>
      <c r="E343" s="3038"/>
      <c r="AY343" s="3039">
        <f ca="1">AY47</f>
        <v>153.83385468740386</v>
      </c>
      <c r="AZ343" s="3039"/>
      <c r="BA343" s="3039">
        <f t="shared" ref="BA343:BI343" ca="1" si="100">BA47</f>
        <v>158.80496962180251</v>
      </c>
      <c r="BB343" s="3039">
        <f t="shared" ca="1" si="100"/>
        <v>447.28146847936694</v>
      </c>
      <c r="BC343" s="3039">
        <f t="shared" ca="1" si="100"/>
        <v>580.82834753994018</v>
      </c>
      <c r="BD343" s="3039">
        <f t="shared" ca="1" si="100"/>
        <v>719.79234346908368</v>
      </c>
      <c r="BE343" s="3039">
        <f t="shared" ca="1" si="100"/>
        <v>883.00958491906431</v>
      </c>
      <c r="BF343" s="3039">
        <f t="shared" ca="1" si="100"/>
        <v>1091.1358234381285</v>
      </c>
      <c r="BG343" s="3039">
        <f t="shared" ca="1" si="100"/>
        <v>1323.7322738925393</v>
      </c>
      <c r="BH343" s="3039">
        <f t="shared" ca="1" si="100"/>
        <v>1577.3126958590992</v>
      </c>
      <c r="BI343" s="3039">
        <f t="shared" ca="1" si="100"/>
        <v>1879.4436261638216</v>
      </c>
    </row>
    <row r="344" spans="1:64" s="3036" customFormat="1">
      <c r="A344" s="3012"/>
      <c r="D344" s="3036" t="str">
        <f>"Cost of Gas Imports in " &amp;Preferences.moneyunits&amp;"/"&amp;preferences.energyunits</f>
        <v>Cost of Gas Imports in INR Cr/TWh</v>
      </c>
      <c r="E344" s="3038"/>
      <c r="AY344" s="3036">
        <f>10.4*(USD2012_/unit.mmbtu)</f>
        <v>212.92890995260666</v>
      </c>
      <c r="AZ344" s="3036">
        <f>0*(USD2012_/unit.mmbtu)</f>
        <v>0</v>
      </c>
      <c r="BA344" s="3036">
        <f>10.4*(USD2012_/unit.mmbtu)</f>
        <v>212.92890995260666</v>
      </c>
      <c r="BB344" s="3036">
        <f>10.4*(USD2012_/unit.mmbtu)</f>
        <v>212.92890995260666</v>
      </c>
      <c r="BC344" s="3036">
        <f>10.8*(USD2012_/unit.mmbtu)</f>
        <v>221.11848341232232</v>
      </c>
      <c r="BD344" s="3036">
        <f>11.3*(USD2012_/unit.mmbtu)</f>
        <v>231.35545023696685</v>
      </c>
      <c r="BE344" s="3036">
        <f>11.8*(USD2012_/unit.mmbtu)</f>
        <v>241.5924170616114</v>
      </c>
      <c r="BF344" s="3036">
        <f>12.5*(USD2012_/unit.mmbtu)</f>
        <v>255.92417061611377</v>
      </c>
      <c r="BG344" s="3036">
        <f>12.5*(USD2012_/unit.mmbtu)</f>
        <v>255.92417061611377</v>
      </c>
      <c r="BH344" s="3036">
        <f>12.5*(USD2012_/unit.mmbtu)</f>
        <v>255.92417061611377</v>
      </c>
      <c r="BI344" s="3036">
        <f>12.5*(USD2012_/unit.mmbtu)</f>
        <v>255.92417061611377</v>
      </c>
    </row>
    <row r="345" spans="1:64" s="3036" customFormat="1">
      <c r="A345" s="3012"/>
      <c r="C345" s="3039"/>
      <c r="D345" s="3036" t="str">
        <f>"Total Cost of Gas Imports "&amp;Preferences.moneyunits</f>
        <v>Total Cost of Gas Imports INR Cr</v>
      </c>
      <c r="E345" s="3038"/>
      <c r="G345" s="3039"/>
      <c r="H345" s="3039"/>
      <c r="I345" s="3039"/>
      <c r="J345" s="3039"/>
      <c r="K345" s="3039"/>
      <c r="L345" s="3039"/>
      <c r="M345" s="3039"/>
      <c r="N345" s="3039"/>
      <c r="O345" s="3039"/>
      <c r="P345" s="3039"/>
      <c r="Q345" s="3039"/>
      <c r="R345" s="3039"/>
      <c r="S345" s="3039"/>
      <c r="T345" s="3039"/>
      <c r="U345" s="3039"/>
      <c r="V345" s="3039"/>
      <c r="W345" s="3039"/>
      <c r="X345" s="3039"/>
      <c r="Y345" s="3039"/>
      <c r="Z345" s="3039"/>
      <c r="AA345" s="3039"/>
      <c r="AB345" s="3039"/>
      <c r="AC345" s="3039"/>
      <c r="AD345" s="3039"/>
      <c r="AE345" s="3039"/>
      <c r="AF345" s="3039"/>
      <c r="AG345" s="3039"/>
      <c r="AH345" s="3039"/>
      <c r="AI345" s="3039"/>
      <c r="AJ345" s="3039"/>
      <c r="AK345" s="3039"/>
      <c r="AL345" s="3039"/>
      <c r="AM345" s="3039"/>
      <c r="AN345" s="3039"/>
      <c r="AO345" s="3039"/>
      <c r="AP345" s="3039"/>
      <c r="AQ345" s="3039"/>
      <c r="AR345" s="3039"/>
      <c r="AS345" s="3039"/>
      <c r="AT345" s="3039"/>
      <c r="AU345" s="3039"/>
      <c r="AV345" s="3039"/>
      <c r="AW345" s="3039"/>
      <c r="AY345" s="3039">
        <f ca="1">AY343*AY344</f>
        <v>32755.674992396594</v>
      </c>
      <c r="AZ345" s="3039"/>
      <c r="BA345" s="3039">
        <f t="shared" ref="BA345:BI345" ca="1" si="101">BA343*BA344</f>
        <v>33814.169076627222</v>
      </c>
      <c r="BB345" s="3039">
        <f t="shared" ca="1" si="101"/>
        <v>95239.155525312803</v>
      </c>
      <c r="BC345" s="3039">
        <f t="shared" ca="1" si="101"/>
        <v>128431.88333091684</v>
      </c>
      <c r="BD345" s="3039">
        <f t="shared" ca="1" si="101"/>
        <v>166527.88170041132</v>
      </c>
      <c r="BE345" s="3039">
        <f t="shared" ca="1" si="101"/>
        <v>213328.41990916696</v>
      </c>
      <c r="BF345" s="3039">
        <f t="shared" ca="1" si="101"/>
        <v>279248.03064293339</v>
      </c>
      <c r="BG345" s="3039">
        <f t="shared" ca="1" si="101"/>
        <v>338775.08431373048</v>
      </c>
      <c r="BH345" s="3039">
        <f t="shared" ca="1" si="101"/>
        <v>403672.4434900065</v>
      </c>
      <c r="BI345" s="3039">
        <f t="shared" ca="1" si="101"/>
        <v>480995.05124571745</v>
      </c>
      <c r="BJ345" s="3039"/>
      <c r="BK345" s="3039"/>
      <c r="BL345" s="3039"/>
    </row>
    <row r="346" spans="1:64" s="3036" customFormat="1">
      <c r="A346" s="3012"/>
      <c r="C346" s="3039"/>
      <c r="D346" s="3039"/>
      <c r="G346" s="3039"/>
      <c r="H346" s="3039"/>
      <c r="I346" s="3039"/>
      <c r="J346" s="3039"/>
      <c r="K346" s="3039"/>
      <c r="L346" s="3039"/>
      <c r="M346" s="3039"/>
      <c r="N346" s="3039"/>
      <c r="O346" s="3039"/>
      <c r="P346" s="3039"/>
      <c r="Q346" s="3039"/>
      <c r="R346" s="3039"/>
      <c r="S346" s="3039"/>
      <c r="T346" s="3039"/>
      <c r="U346" s="3039"/>
      <c r="V346" s="3039"/>
      <c r="W346" s="3039"/>
      <c r="X346" s="3039"/>
      <c r="Y346" s="3039"/>
      <c r="Z346" s="3039"/>
      <c r="AA346" s="3039"/>
      <c r="AB346" s="3039"/>
      <c r="AC346" s="3039"/>
      <c r="AD346" s="3039"/>
      <c r="AE346" s="3039"/>
      <c r="AF346" s="3039"/>
      <c r="AG346" s="3039"/>
      <c r="AH346" s="3039"/>
      <c r="AI346" s="3039"/>
      <c r="AJ346" s="3039"/>
      <c r="AK346" s="3039"/>
      <c r="AL346" s="3039"/>
      <c r="AM346" s="3039"/>
      <c r="AN346" s="3039"/>
      <c r="AO346" s="3039"/>
      <c r="AP346" s="3039"/>
      <c r="AQ346" s="3039"/>
      <c r="AR346" s="3039"/>
      <c r="AS346" s="3039"/>
      <c r="AT346" s="3039"/>
      <c r="AU346" s="3039"/>
      <c r="AV346" s="3039"/>
      <c r="AW346" s="3039"/>
      <c r="AY346" s="3045"/>
      <c r="AZ346" s="3039"/>
      <c r="BA346" s="3041"/>
      <c r="BB346" s="3102"/>
      <c r="BC346" s="3039"/>
      <c r="BD346" s="3039"/>
      <c r="BE346" s="3039"/>
      <c r="BF346" s="3045"/>
      <c r="BG346" s="3043"/>
      <c r="BH346" s="3043"/>
      <c r="BI346" s="3039"/>
      <c r="BJ346" s="3039"/>
      <c r="BK346" s="3039"/>
      <c r="BL346" s="3039"/>
    </row>
    <row r="347" spans="1:64" s="3036" customFormat="1">
      <c r="A347" s="3012"/>
      <c r="C347" s="3039"/>
      <c r="D347" s="3039"/>
      <c r="G347" s="3039"/>
      <c r="H347" s="3039"/>
      <c r="I347" s="3039"/>
      <c r="J347" s="3039"/>
      <c r="K347" s="3039"/>
      <c r="L347" s="3039"/>
      <c r="M347" s="3039"/>
      <c r="N347" s="3039"/>
      <c r="O347" s="3039"/>
      <c r="P347" s="3039"/>
      <c r="Q347" s="3039"/>
      <c r="R347" s="3039"/>
      <c r="S347" s="3039"/>
      <c r="T347" s="3039"/>
      <c r="U347" s="3039"/>
      <c r="V347" s="3039"/>
      <c r="W347" s="3039"/>
      <c r="X347" s="3039"/>
      <c r="Y347" s="3039"/>
      <c r="Z347" s="3039"/>
      <c r="AA347" s="3039"/>
      <c r="AB347" s="3039"/>
      <c r="AC347" s="3039"/>
      <c r="AD347" s="3039"/>
      <c r="AE347" s="3039"/>
      <c r="AF347" s="3039"/>
      <c r="AG347" s="3039"/>
      <c r="AH347" s="3039"/>
      <c r="AI347" s="3039"/>
      <c r="AJ347" s="3039"/>
      <c r="AK347" s="3039"/>
      <c r="AL347" s="3039"/>
      <c r="AM347" s="3039"/>
      <c r="AN347" s="3039"/>
      <c r="AO347" s="3039"/>
      <c r="AP347" s="3039"/>
      <c r="AQ347" s="3039"/>
      <c r="AR347" s="3039"/>
      <c r="AS347" s="3039"/>
      <c r="AT347" s="3039"/>
      <c r="AU347" s="3039"/>
      <c r="AV347" s="3039"/>
      <c r="AW347" s="3039"/>
      <c r="AY347" s="3045"/>
      <c r="AZ347" s="3039"/>
      <c r="BA347" s="3041"/>
      <c r="BB347" s="3102"/>
      <c r="BC347" s="3039"/>
      <c r="BD347" s="3039"/>
      <c r="BE347" s="3039"/>
      <c r="BF347" s="3045"/>
      <c r="BG347" s="3043"/>
      <c r="BH347" s="3043"/>
      <c r="BI347" s="3039"/>
      <c r="BJ347" s="3039"/>
      <c r="BK347" s="3039"/>
      <c r="BL347" s="3039"/>
    </row>
    <row r="348" spans="1:64" s="3036" customFormat="1">
      <c r="A348" s="3012"/>
      <c r="D348" s="3036" t="str">
        <f>"Total Cost of Coal Imports "&amp;Preferences.moneyunits</f>
        <v>Total Cost of Coal Imports INR Cr</v>
      </c>
      <c r="E348" s="3038"/>
      <c r="AY348" s="3039">
        <f ca="1">AY337</f>
        <v>39967.570469287231</v>
      </c>
      <c r="AZ348" s="3039"/>
      <c r="BA348" s="3039">
        <f t="shared" ref="BA348:BI348" ca="1" si="102">BA337</f>
        <v>68195.73256669956</v>
      </c>
      <c r="BB348" s="3039">
        <f t="shared" ca="1" si="102"/>
        <v>172393.53477815419</v>
      </c>
      <c r="BC348" s="3039">
        <f t="shared" ca="1" si="102"/>
        <v>443406.46969024389</v>
      </c>
      <c r="BD348" s="3039">
        <f t="shared" ca="1" si="102"/>
        <v>817677.38250248495</v>
      </c>
      <c r="BE348" s="3039">
        <f t="shared" ca="1" si="102"/>
        <v>1347390.780455722</v>
      </c>
      <c r="BF348" s="3039">
        <f t="shared" ca="1" si="102"/>
        <v>1856282.2949935179</v>
      </c>
      <c r="BG348" s="3039">
        <f t="shared" ca="1" si="102"/>
        <v>2494973.5108923488</v>
      </c>
      <c r="BH348" s="3039">
        <f t="shared" ca="1" si="102"/>
        <v>3061133.1395485047</v>
      </c>
      <c r="BI348" s="3039">
        <f t="shared" ca="1" si="102"/>
        <v>3669933.601720952</v>
      </c>
    </row>
    <row r="349" spans="1:64" s="3036" customFormat="1">
      <c r="A349" s="3012"/>
      <c r="C349" s="3039"/>
      <c r="D349" s="3036" t="str">
        <f>"Total Cost of Oil Imports "&amp;Preferences.moneyunits</f>
        <v>Total Cost of Oil Imports INR Cr</v>
      </c>
      <c r="E349" s="3038"/>
      <c r="G349" s="3039"/>
      <c r="H349" s="3039"/>
      <c r="I349" s="3039"/>
      <c r="J349" s="3039"/>
      <c r="K349" s="3039"/>
      <c r="L349" s="3039"/>
      <c r="M349" s="3039"/>
      <c r="N349" s="3039"/>
      <c r="O349" s="3039"/>
      <c r="P349" s="3039"/>
      <c r="Q349" s="3039"/>
      <c r="R349" s="3039"/>
      <c r="S349" s="3039"/>
      <c r="T349" s="3039"/>
      <c r="U349" s="3039"/>
      <c r="V349" s="3039"/>
      <c r="W349" s="3039"/>
      <c r="X349" s="3039"/>
      <c r="Y349" s="3039"/>
      <c r="Z349" s="3039"/>
      <c r="AA349" s="3039"/>
      <c r="AB349" s="3039"/>
      <c r="AC349" s="3039"/>
      <c r="AD349" s="3039"/>
      <c r="AE349" s="3039"/>
      <c r="AF349" s="3039"/>
      <c r="AG349" s="3039"/>
      <c r="AH349" s="3039"/>
      <c r="AI349" s="3039"/>
      <c r="AJ349" s="3039"/>
      <c r="AK349" s="3039"/>
      <c r="AL349" s="3039"/>
      <c r="AM349" s="3039"/>
      <c r="AN349" s="3039"/>
      <c r="AO349" s="3039"/>
      <c r="AP349" s="3039"/>
      <c r="AQ349" s="3039"/>
      <c r="AR349" s="3039"/>
      <c r="AS349" s="3039"/>
      <c r="AT349" s="3039"/>
      <c r="AU349" s="3039"/>
      <c r="AV349" s="3039"/>
      <c r="AW349" s="3039"/>
      <c r="AY349" s="3045">
        <f ca="1">AY341</f>
        <v>488971.88437138213</v>
      </c>
      <c r="AZ349" s="3039"/>
      <c r="BA349" s="3045">
        <f t="shared" ref="BA349:BI349" ca="1" si="103">BA341</f>
        <v>589086.25435266062</v>
      </c>
      <c r="BB349" s="3045">
        <f t="shared" ca="1" si="103"/>
        <v>843636.94963370042</v>
      </c>
      <c r="BC349" s="3045">
        <f t="shared" ca="1" si="103"/>
        <v>1350609.8604807851</v>
      </c>
      <c r="BD349" s="3045">
        <f t="shared" ca="1" si="103"/>
        <v>1920106.8904876292</v>
      </c>
      <c r="BE349" s="3045">
        <f t="shared" ca="1" si="103"/>
        <v>2671554.1631943681</v>
      </c>
      <c r="BF349" s="3045">
        <f t="shared" ca="1" si="103"/>
        <v>3581786.5931059094</v>
      </c>
      <c r="BG349" s="3045">
        <f t="shared" ca="1" si="103"/>
        <v>4326180.4898214014</v>
      </c>
      <c r="BH349" s="3045">
        <f t="shared" ca="1" si="103"/>
        <v>5163377.401325685</v>
      </c>
      <c r="BI349" s="3045">
        <f t="shared" ca="1" si="103"/>
        <v>6058563.3190291673</v>
      </c>
      <c r="BJ349" s="3039"/>
      <c r="BK349" s="3039"/>
      <c r="BL349" s="3039"/>
    </row>
    <row r="350" spans="1:64" s="3036" customFormat="1">
      <c r="A350" s="3012"/>
      <c r="C350" s="3039"/>
      <c r="D350" s="3036" t="str">
        <f>"Total Cost of Gas Imports "&amp;Preferences.moneyunits</f>
        <v>Total Cost of Gas Imports INR Cr</v>
      </c>
      <c r="E350" s="3038"/>
      <c r="G350" s="3039"/>
      <c r="H350" s="3039"/>
      <c r="I350" s="3039"/>
      <c r="J350" s="3039"/>
      <c r="K350" s="3039"/>
      <c r="L350" s="3039"/>
      <c r="M350" s="3039"/>
      <c r="N350" s="3039"/>
      <c r="O350" s="3039"/>
      <c r="P350" s="3039"/>
      <c r="Q350" s="3039"/>
      <c r="R350" s="3039"/>
      <c r="S350" s="3039"/>
      <c r="T350" s="3039"/>
      <c r="U350" s="3039"/>
      <c r="V350" s="3039"/>
      <c r="W350" s="3039"/>
      <c r="X350" s="3039"/>
      <c r="Y350" s="3039"/>
      <c r="Z350" s="3039"/>
      <c r="AA350" s="3039"/>
      <c r="AB350" s="3039"/>
      <c r="AC350" s="3039"/>
      <c r="AD350" s="3039"/>
      <c r="AE350" s="3039"/>
      <c r="AF350" s="3039"/>
      <c r="AG350" s="3039"/>
      <c r="AH350" s="3039"/>
      <c r="AI350" s="3039"/>
      <c r="AJ350" s="3039"/>
      <c r="AK350" s="3039"/>
      <c r="AL350" s="3039"/>
      <c r="AM350" s="3039"/>
      <c r="AN350" s="3039"/>
      <c r="AO350" s="3039"/>
      <c r="AP350" s="3039"/>
      <c r="AQ350" s="3039"/>
      <c r="AR350" s="3039"/>
      <c r="AS350" s="3039"/>
      <c r="AT350" s="3039"/>
      <c r="AU350" s="3039"/>
      <c r="AV350" s="3039"/>
      <c r="AW350" s="3039"/>
      <c r="AY350" s="3045">
        <f ca="1">AY345</f>
        <v>32755.674992396594</v>
      </c>
      <c r="AZ350" s="3039"/>
      <c r="BA350" s="3045">
        <f t="shared" ref="BA350:BI350" ca="1" si="104">BA345</f>
        <v>33814.169076627222</v>
      </c>
      <c r="BB350" s="3045">
        <f t="shared" ca="1" si="104"/>
        <v>95239.155525312803</v>
      </c>
      <c r="BC350" s="3045">
        <f t="shared" ca="1" si="104"/>
        <v>128431.88333091684</v>
      </c>
      <c r="BD350" s="3045">
        <f t="shared" ca="1" si="104"/>
        <v>166527.88170041132</v>
      </c>
      <c r="BE350" s="3045">
        <f t="shared" ca="1" si="104"/>
        <v>213328.41990916696</v>
      </c>
      <c r="BF350" s="3045">
        <f t="shared" ca="1" si="104"/>
        <v>279248.03064293339</v>
      </c>
      <c r="BG350" s="3045">
        <f t="shared" ca="1" si="104"/>
        <v>338775.08431373048</v>
      </c>
      <c r="BH350" s="3045">
        <f t="shared" ca="1" si="104"/>
        <v>403672.4434900065</v>
      </c>
      <c r="BI350" s="3045">
        <f t="shared" ca="1" si="104"/>
        <v>480995.05124571745</v>
      </c>
      <c r="BJ350" s="3039"/>
      <c r="BK350" s="3039"/>
      <c r="BL350" s="3039"/>
    </row>
    <row r="351" spans="1:64" s="3036" customFormat="1">
      <c r="A351" s="3012"/>
      <c r="C351" s="3039"/>
      <c r="D351" s="3043"/>
      <c r="F351" s="3039"/>
      <c r="G351" s="3039"/>
      <c r="H351" s="3039"/>
      <c r="I351" s="3039"/>
      <c r="J351" s="3039"/>
      <c r="K351" s="3039"/>
      <c r="L351" s="3039"/>
      <c r="M351" s="3039"/>
      <c r="N351" s="3039"/>
      <c r="O351" s="3039"/>
      <c r="P351" s="3039"/>
      <c r="Q351" s="3039"/>
      <c r="R351" s="3039"/>
      <c r="S351" s="3039"/>
      <c r="T351" s="3039"/>
      <c r="U351" s="3039"/>
      <c r="V351" s="3039"/>
      <c r="W351" s="3039"/>
      <c r="X351" s="3039"/>
      <c r="Y351" s="3039"/>
      <c r="Z351" s="3039"/>
      <c r="AA351" s="3039"/>
      <c r="AB351" s="3039"/>
      <c r="AC351" s="3039"/>
      <c r="AD351" s="3039"/>
      <c r="AE351" s="3039"/>
      <c r="AF351" s="3039"/>
      <c r="AG351" s="3039"/>
      <c r="AH351" s="3039"/>
      <c r="AI351" s="3039"/>
      <c r="AJ351" s="3039"/>
      <c r="AK351" s="3039"/>
      <c r="AL351" s="3039"/>
      <c r="AM351" s="3039"/>
      <c r="AN351" s="3039"/>
      <c r="AO351" s="3039"/>
      <c r="AP351" s="3039"/>
      <c r="AQ351" s="3039"/>
      <c r="AR351" s="3039"/>
      <c r="AS351" s="3039"/>
      <c r="AT351" s="3039"/>
      <c r="AU351" s="3039"/>
      <c r="AV351" s="3039"/>
      <c r="AW351" s="3039"/>
      <c r="AY351" s="3040"/>
      <c r="BA351" s="3041"/>
      <c r="BB351" s="3044"/>
      <c r="BF351" s="3040"/>
      <c r="BG351" s="3043"/>
      <c r="BH351" s="3043"/>
      <c r="BI351" s="3039"/>
      <c r="BJ351" s="3039"/>
      <c r="BK351" s="3039"/>
      <c r="BL351" s="3039"/>
    </row>
    <row r="352" spans="1:64" s="3036" customFormat="1">
      <c r="A352" s="3012"/>
      <c r="C352" s="3039"/>
      <c r="D352" s="3043" t="s">
        <v>179</v>
      </c>
      <c r="E352" s="3036" t="str">
        <f>"The costs will be in "&amp;Preferences.moneyunits</f>
        <v>The costs will be in INR Cr</v>
      </c>
      <c r="F352" s="3039"/>
      <c r="G352" s="3039"/>
      <c r="H352" s="3039"/>
      <c r="I352" s="3039"/>
      <c r="J352" s="3039"/>
      <c r="K352" s="3039"/>
      <c r="L352" s="3039"/>
      <c r="M352" s="3039"/>
      <c r="N352" s="3039"/>
      <c r="O352" s="3039"/>
      <c r="P352" s="3039"/>
      <c r="Q352" s="3039"/>
      <c r="R352" s="3039"/>
      <c r="S352" s="3039"/>
      <c r="T352" s="3039"/>
      <c r="U352" s="3039"/>
      <c r="V352" s="3039"/>
      <c r="W352" s="3039"/>
      <c r="X352" s="3039"/>
      <c r="Y352" s="3039"/>
      <c r="Z352" s="3039"/>
      <c r="AA352" s="3039"/>
      <c r="AB352" s="3039"/>
      <c r="AC352" s="3039"/>
      <c r="AD352" s="3039"/>
      <c r="AE352" s="3039"/>
      <c r="AF352" s="3039"/>
      <c r="AG352" s="3039"/>
      <c r="AH352" s="3039"/>
      <c r="AI352" s="3039"/>
      <c r="AJ352" s="3039"/>
      <c r="AK352" s="3039"/>
      <c r="AL352" s="3039"/>
      <c r="AM352" s="3039"/>
      <c r="AN352" s="3039"/>
      <c r="AO352" s="3039"/>
      <c r="AP352" s="3039"/>
      <c r="AQ352" s="3039"/>
      <c r="AR352" s="3039"/>
      <c r="AS352" s="3039"/>
      <c r="AT352" s="3039"/>
      <c r="AU352" s="3039"/>
      <c r="AV352" s="3039"/>
      <c r="AW352" s="3039"/>
      <c r="AY352" s="3040"/>
      <c r="BA352" s="3041"/>
      <c r="BB352" s="3042"/>
      <c r="BF352" s="3040"/>
      <c r="BG352" s="3043"/>
      <c r="BH352" s="3043"/>
      <c r="BI352" s="3039"/>
      <c r="BJ352" s="3039"/>
      <c r="BK352" s="3039"/>
      <c r="BL352" s="3039"/>
    </row>
    <row r="353" spans="1:64" s="3036" customFormat="1">
      <c r="A353" s="3012"/>
      <c r="C353" s="3039"/>
      <c r="D353" s="3043"/>
      <c r="F353" s="3039"/>
      <c r="G353" s="3039"/>
      <c r="H353" s="3039"/>
      <c r="I353" s="3039"/>
      <c r="J353" s="3039"/>
      <c r="K353" s="3039"/>
      <c r="L353" s="3039"/>
      <c r="M353" s="3039"/>
      <c r="N353" s="3039"/>
      <c r="O353" s="3039"/>
      <c r="P353" s="3039"/>
      <c r="Q353" s="3039"/>
      <c r="R353" s="3039"/>
      <c r="S353" s="3039"/>
      <c r="T353" s="3039"/>
      <c r="U353" s="3039"/>
      <c r="V353" s="3039"/>
      <c r="W353" s="3039"/>
      <c r="X353" s="3039"/>
      <c r="Y353" s="3039"/>
      <c r="Z353" s="3039"/>
      <c r="AA353" s="3039"/>
      <c r="AB353" s="3039"/>
      <c r="AC353" s="3039"/>
      <c r="AD353" s="3039"/>
      <c r="AE353" s="3039"/>
      <c r="AF353" s="3039"/>
      <c r="AG353" s="3039"/>
      <c r="AH353" s="3039"/>
      <c r="AI353" s="3039"/>
      <c r="AJ353" s="3039"/>
      <c r="AK353" s="3039"/>
      <c r="AL353" s="3039"/>
      <c r="AM353" s="3039"/>
      <c r="AN353" s="3039"/>
      <c r="AO353" s="3039"/>
      <c r="AP353" s="3039"/>
      <c r="AQ353" s="3039"/>
      <c r="AR353" s="3039"/>
      <c r="AS353" s="3039"/>
      <c r="AT353" s="3039"/>
      <c r="AU353" s="3039"/>
      <c r="AV353" s="3039"/>
      <c r="AW353" s="3039"/>
      <c r="AY353" s="3040"/>
      <c r="BA353" s="3041"/>
      <c r="BB353" s="3042"/>
      <c r="BF353" s="3040"/>
      <c r="BG353" s="3043"/>
      <c r="BH353" s="3043"/>
      <c r="BI353" s="3039"/>
      <c r="BJ353" s="3039"/>
      <c r="BK353" s="3039"/>
      <c r="BL353" s="3039"/>
    </row>
    <row r="354" spans="1:64" s="3036" customFormat="1">
      <c r="A354" s="3012"/>
      <c r="C354" s="3039"/>
      <c r="D354" s="3043"/>
      <c r="F354" s="3039"/>
      <c r="G354" s="3039"/>
      <c r="H354" s="3039"/>
      <c r="I354" s="3039"/>
      <c r="J354" s="3039"/>
      <c r="K354" s="3039"/>
      <c r="L354" s="3039"/>
      <c r="M354" s="3039"/>
      <c r="N354" s="3039"/>
      <c r="O354" s="3039"/>
      <c r="P354" s="3039"/>
      <c r="Q354" s="3039"/>
      <c r="R354" s="3039"/>
      <c r="S354" s="3039"/>
      <c r="T354" s="3039"/>
      <c r="U354" s="3039"/>
      <c r="V354" s="3039"/>
      <c r="W354" s="3039"/>
      <c r="X354" s="3039"/>
      <c r="Y354" s="3039"/>
      <c r="Z354" s="3039"/>
      <c r="AA354" s="3039"/>
      <c r="AB354" s="3039"/>
      <c r="AC354" s="3039"/>
      <c r="AD354" s="3039"/>
      <c r="AE354" s="3039"/>
      <c r="AF354" s="3039"/>
      <c r="AG354" s="3039"/>
      <c r="AH354" s="3039"/>
      <c r="AI354" s="3039"/>
      <c r="AJ354" s="3039"/>
      <c r="AK354" s="3039"/>
      <c r="AL354" s="3039"/>
      <c r="AM354" s="3039"/>
      <c r="AN354" s="3039"/>
      <c r="AO354" s="3039"/>
      <c r="AP354" s="3039"/>
      <c r="AQ354" s="3039"/>
      <c r="AR354" s="3039"/>
      <c r="AS354" s="3039"/>
      <c r="AT354" s="3039"/>
      <c r="AU354" s="3039"/>
      <c r="AV354" s="3039"/>
      <c r="AW354" s="3039"/>
      <c r="AY354" s="3040"/>
      <c r="BA354" s="3041"/>
      <c r="BB354" s="3042"/>
      <c r="BF354" s="3040"/>
      <c r="BG354" s="3043"/>
      <c r="BH354" s="3043"/>
      <c r="BI354" s="3039"/>
      <c r="BJ354" s="3039"/>
      <c r="BK354" s="3039"/>
      <c r="BL354" s="3039"/>
    </row>
    <row r="355" spans="1:64" s="3036" customFormat="1">
      <c r="A355" s="3012"/>
      <c r="C355" s="3039"/>
      <c r="D355" s="3043"/>
      <c r="F355" s="3039"/>
      <c r="G355" s="3039"/>
      <c r="H355" s="3039"/>
      <c r="I355" s="3039"/>
      <c r="J355" s="3039"/>
      <c r="K355" s="3039"/>
      <c r="L355" s="3039"/>
      <c r="M355" s="3039"/>
      <c r="N355" s="3039"/>
      <c r="O355" s="3039"/>
      <c r="P355" s="3039"/>
      <c r="Q355" s="3039"/>
      <c r="R355" s="3039"/>
      <c r="S355" s="3039"/>
      <c r="T355" s="3039"/>
      <c r="U355" s="3039"/>
      <c r="V355" s="3039"/>
      <c r="W355" s="3039"/>
      <c r="X355" s="3039"/>
      <c r="Y355" s="3039"/>
      <c r="Z355" s="3039"/>
      <c r="AA355" s="3039"/>
      <c r="AB355" s="3039"/>
      <c r="AC355" s="3039"/>
      <c r="AD355" s="3039"/>
      <c r="AE355" s="3039"/>
      <c r="AF355" s="3039"/>
      <c r="AG355" s="3039"/>
      <c r="AH355" s="3039"/>
      <c r="AI355" s="3039"/>
      <c r="AJ355" s="3039"/>
      <c r="AK355" s="3039"/>
      <c r="AL355" s="3039"/>
      <c r="AM355" s="3039"/>
      <c r="AN355" s="3039"/>
      <c r="AO355" s="3039"/>
      <c r="AP355" s="3039"/>
      <c r="AQ355" s="3039"/>
      <c r="AR355" s="3039"/>
      <c r="AS355" s="3039"/>
      <c r="AT355" s="3039"/>
      <c r="AU355" s="3039"/>
      <c r="AV355" s="3039"/>
      <c r="AW355" s="3039"/>
      <c r="AY355" s="3040"/>
      <c r="BA355" s="3041"/>
      <c r="BB355" s="3042"/>
      <c r="BF355" s="3045"/>
      <c r="BG355" s="3043"/>
      <c r="BH355" s="3043"/>
      <c r="BI355" s="3039"/>
      <c r="BJ355" s="3039"/>
      <c r="BK355" s="3039"/>
      <c r="BL355" s="3039"/>
    </row>
    <row r="356" spans="1:64" s="3020" customFormat="1">
      <c r="A356" s="3012"/>
      <c r="C356" s="3046"/>
      <c r="D356" s="3047"/>
      <c r="F356" s="3046"/>
      <c r="G356" s="3046"/>
      <c r="H356" s="3046"/>
      <c r="I356" s="3046"/>
      <c r="J356" s="3046"/>
      <c r="K356" s="3046"/>
      <c r="L356" s="3046"/>
      <c r="M356" s="3046"/>
      <c r="N356" s="3046"/>
      <c r="O356" s="3046"/>
      <c r="P356" s="3046"/>
      <c r="Q356" s="3046"/>
      <c r="R356" s="3046"/>
      <c r="S356" s="3046"/>
      <c r="T356" s="3046"/>
      <c r="U356" s="3046"/>
      <c r="V356" s="3046"/>
      <c r="W356" s="3046"/>
      <c r="X356" s="3046"/>
      <c r="Y356" s="3046"/>
      <c r="Z356" s="3046"/>
      <c r="AA356" s="3046"/>
      <c r="AB356" s="3046"/>
      <c r="AC356" s="3046"/>
      <c r="AD356" s="3046"/>
      <c r="AE356" s="3046"/>
      <c r="AF356" s="3046"/>
      <c r="AG356" s="3046"/>
      <c r="AH356" s="3046"/>
      <c r="AI356" s="3046"/>
      <c r="AJ356" s="3046"/>
      <c r="AK356" s="3046"/>
      <c r="AL356" s="3046"/>
      <c r="AM356" s="3046"/>
      <c r="AN356" s="3046"/>
      <c r="AO356" s="3046"/>
      <c r="AP356" s="3046"/>
      <c r="AQ356" s="3046"/>
      <c r="AR356" s="3046"/>
      <c r="AS356" s="3046"/>
      <c r="AT356" s="3046"/>
      <c r="AU356" s="3046"/>
      <c r="AV356" s="3046"/>
      <c r="AW356" s="3046"/>
      <c r="AY356" s="3048"/>
      <c r="BA356" s="3049"/>
      <c r="BB356" s="3050"/>
      <c r="BF356" s="3051"/>
      <c r="BG356" s="3052"/>
      <c r="BH356" s="3052"/>
      <c r="BI356" s="3053"/>
      <c r="BJ356" s="3053"/>
      <c r="BK356" s="3053"/>
      <c r="BL356" s="3053"/>
    </row>
    <row r="357" spans="1:64" s="3020" customFormat="1">
      <c r="A357" s="3012"/>
      <c r="B357" s="3020" t="s">
        <v>2358</v>
      </c>
      <c r="C357" s="3046"/>
      <c r="D357" s="3047"/>
      <c r="F357" s="3046"/>
      <c r="G357" s="3046"/>
      <c r="H357" s="3046"/>
      <c r="I357" s="3046"/>
      <c r="J357" s="3046"/>
      <c r="K357" s="3046"/>
      <c r="L357" s="3046"/>
      <c r="M357" s="3046"/>
      <c r="N357" s="3046"/>
      <c r="O357" s="3046"/>
      <c r="P357" s="3046"/>
      <c r="Q357" s="3046"/>
      <c r="R357" s="3046"/>
      <c r="S357" s="3046"/>
      <c r="T357" s="3046"/>
      <c r="U357" s="3046"/>
      <c r="V357" s="3046"/>
      <c r="W357" s="3046"/>
      <c r="X357" s="3046"/>
      <c r="Y357" s="3046"/>
      <c r="Z357" s="3046"/>
      <c r="AA357" s="3046"/>
      <c r="AB357" s="3046"/>
      <c r="AC357" s="3046"/>
      <c r="AD357" s="3046"/>
      <c r="AE357" s="3046"/>
      <c r="AF357" s="3046"/>
      <c r="AG357" s="3046"/>
      <c r="AH357" s="3046"/>
      <c r="AI357" s="3046"/>
      <c r="AJ357" s="3046"/>
      <c r="AK357" s="3046"/>
      <c r="AL357" s="3046"/>
      <c r="AM357" s="3046"/>
      <c r="AN357" s="3046"/>
      <c r="AO357" s="3046"/>
      <c r="AP357" s="3046"/>
      <c r="AQ357" s="3046"/>
      <c r="AR357" s="3046"/>
      <c r="AS357" s="3046"/>
      <c r="AT357" s="3046"/>
      <c r="AU357" s="3046"/>
      <c r="AV357" s="3046"/>
      <c r="AW357" s="3046"/>
      <c r="AY357" s="3048"/>
      <c r="BA357" s="3049"/>
      <c r="BB357" s="3050"/>
      <c r="BF357" s="3054"/>
      <c r="BG357" s="3055"/>
      <c r="BH357" s="3055"/>
      <c r="BI357" s="3056"/>
      <c r="BJ357" s="3056"/>
      <c r="BK357" s="3056"/>
      <c r="BL357" s="3056"/>
    </row>
    <row r="358" spans="1:64" s="3020" customFormat="1">
      <c r="A358" s="3012"/>
      <c r="C358" s="3046"/>
      <c r="D358" s="3047"/>
      <c r="F358" s="3046"/>
      <c r="G358" s="3046"/>
      <c r="H358" s="3046"/>
      <c r="I358" s="3046"/>
      <c r="J358" s="3046"/>
      <c r="K358" s="3046"/>
      <c r="L358" s="3046"/>
      <c r="M358" s="3046"/>
      <c r="N358" s="3046"/>
      <c r="O358" s="3046"/>
      <c r="P358" s="3046"/>
      <c r="Q358" s="3046"/>
      <c r="R358" s="3046"/>
      <c r="S358" s="3046"/>
      <c r="T358" s="3046"/>
      <c r="U358" s="3046"/>
      <c r="V358" s="3046"/>
      <c r="W358" s="3046"/>
      <c r="X358" s="3046"/>
      <c r="Y358" s="3046"/>
      <c r="Z358" s="3046"/>
      <c r="AA358" s="3046"/>
      <c r="AB358" s="3046"/>
      <c r="AC358" s="3046"/>
      <c r="AD358" s="3046"/>
      <c r="AE358" s="3046"/>
      <c r="AF358" s="3046"/>
      <c r="AG358" s="3046"/>
      <c r="AH358" s="3046"/>
      <c r="AI358" s="3046"/>
      <c r="AJ358" s="3046"/>
      <c r="AK358" s="3046"/>
      <c r="AL358" s="3046"/>
      <c r="AM358" s="3046"/>
      <c r="AN358" s="3046"/>
      <c r="AO358" s="3046"/>
      <c r="AP358" s="3046"/>
      <c r="AQ358" s="3046"/>
      <c r="AR358" s="3046"/>
      <c r="AS358" s="3046"/>
      <c r="AT358" s="3046"/>
      <c r="AU358" s="3046"/>
      <c r="AV358" s="3046"/>
      <c r="AW358" s="3046"/>
      <c r="AY358" s="3048"/>
      <c r="BA358" s="3049"/>
      <c r="BB358" s="3050"/>
      <c r="BF358" s="3048"/>
      <c r="BG358" s="3047"/>
      <c r="BH358" s="3047"/>
      <c r="BI358" s="3046"/>
      <c r="BJ358" s="3046"/>
      <c r="BK358" s="3046"/>
      <c r="BL358" s="3046"/>
    </row>
    <row r="359" spans="1:64" s="3020" customFormat="1">
      <c r="A359" s="3012"/>
      <c r="C359" s="3046" t="s">
        <v>35</v>
      </c>
      <c r="D359" s="3047" t="str">
        <f>preferences.energyunits&amp;"/year"</f>
        <v>TWh/year</v>
      </c>
      <c r="F359" s="3046"/>
      <c r="G359" s="3046"/>
      <c r="H359" s="3046"/>
      <c r="I359" s="3046"/>
      <c r="J359" s="3046"/>
      <c r="K359" s="3046"/>
      <c r="L359" s="3046"/>
      <c r="M359" s="3046"/>
      <c r="N359" s="3046"/>
      <c r="O359" s="3046"/>
      <c r="P359" s="3046"/>
      <c r="Q359" s="3046"/>
      <c r="R359" s="3046"/>
      <c r="S359" s="3046"/>
      <c r="T359" s="3046"/>
      <c r="U359" s="3046"/>
      <c r="V359" s="3046"/>
      <c r="W359" s="3046"/>
      <c r="X359" s="3046"/>
      <c r="Y359" s="3046"/>
      <c r="Z359" s="3046"/>
      <c r="AA359" s="3046"/>
      <c r="AB359" s="3046"/>
      <c r="AC359" s="3046"/>
      <c r="AD359" s="3046"/>
      <c r="AE359" s="3046"/>
      <c r="AF359" s="3046"/>
      <c r="AG359" s="3046"/>
      <c r="AH359" s="3046"/>
      <c r="AI359" s="3046"/>
      <c r="AJ359" s="3046"/>
      <c r="AK359" s="3046"/>
      <c r="AL359" s="3046"/>
      <c r="AM359" s="3046"/>
      <c r="AN359" s="3046"/>
      <c r="AO359" s="3046"/>
      <c r="AP359" s="3046"/>
      <c r="AQ359" s="3046"/>
      <c r="AR359" s="3046"/>
      <c r="AS359" s="3046"/>
      <c r="AT359" s="3046"/>
      <c r="AU359" s="3046"/>
      <c r="AV359" s="3046"/>
      <c r="AW359" s="3046"/>
      <c r="AY359" s="3048">
        <v>2007</v>
      </c>
      <c r="BA359" s="3049">
        <f>AY359+5</f>
        <v>2012</v>
      </c>
      <c r="BB359" s="3050">
        <f t="shared" ref="BB359:BI359" si="105">BA359+5</f>
        <v>2017</v>
      </c>
      <c r="BC359" s="3020">
        <f t="shared" si="105"/>
        <v>2022</v>
      </c>
      <c r="BD359" s="3020">
        <f t="shared" si="105"/>
        <v>2027</v>
      </c>
      <c r="BE359" s="3020">
        <f t="shared" si="105"/>
        <v>2032</v>
      </c>
      <c r="BF359" s="3048">
        <f t="shared" si="105"/>
        <v>2037</v>
      </c>
      <c r="BG359" s="3047">
        <f t="shared" si="105"/>
        <v>2042</v>
      </c>
      <c r="BH359" s="3047">
        <f t="shared" si="105"/>
        <v>2047</v>
      </c>
      <c r="BI359" s="3046">
        <f t="shared" si="105"/>
        <v>2052</v>
      </c>
      <c r="BJ359" s="3046"/>
      <c r="BK359" s="3046"/>
      <c r="BL359" s="3046"/>
    </row>
    <row r="360" spans="1:64" s="3020" customFormat="1">
      <c r="A360" s="3012"/>
      <c r="C360" s="3046" t="s">
        <v>248</v>
      </c>
      <c r="D360" s="3047" t="str">
        <f>INDEX(Modules[Module], MATCH($C360, Modules[Code], 0))</f>
        <v>Gas Power Stations</v>
      </c>
      <c r="F360" s="3046"/>
      <c r="G360" s="3046"/>
      <c r="H360" s="3046"/>
      <c r="I360" s="3046"/>
      <c r="J360" s="3046"/>
      <c r="K360" s="3046"/>
      <c r="L360" s="3046"/>
      <c r="M360" s="3046"/>
      <c r="N360" s="3046"/>
      <c r="O360" s="3046"/>
      <c r="P360" s="3046"/>
      <c r="Q360" s="3046"/>
      <c r="R360" s="3046"/>
      <c r="S360" s="3046"/>
      <c r="T360" s="3046"/>
      <c r="U360" s="3046"/>
      <c r="V360" s="3046"/>
      <c r="W360" s="3046"/>
      <c r="X360" s="3046"/>
      <c r="Y360" s="3046"/>
      <c r="Z360" s="3046"/>
      <c r="AA360" s="3046"/>
      <c r="AB360" s="3046"/>
      <c r="AC360" s="3046"/>
      <c r="AD360" s="3046"/>
      <c r="AE360" s="3046"/>
      <c r="AF360" s="3046"/>
      <c r="AG360" s="3046"/>
      <c r="AH360" s="3046">
        <f>221.2*Unit.TWh</f>
        <v>221.2</v>
      </c>
      <c r="AI360" s="3046">
        <f>214.6*Unit.TWh</f>
        <v>214.6</v>
      </c>
      <c r="AJ360" s="3046">
        <f>221.2*Unit.TWh</f>
        <v>221.2</v>
      </c>
      <c r="AK360" s="3046">
        <f>226.3*Unit.TWh</f>
        <v>226.3</v>
      </c>
      <c r="AL360" s="3046">
        <f>241.6*Unit.TWh</f>
        <v>241.6</v>
      </c>
      <c r="AM360" s="3046">
        <f>248.5*Unit.TWh</f>
        <v>248.5</v>
      </c>
      <c r="AN360" s="3046">
        <f>250.7*Unit.TWh</f>
        <v>250.7</v>
      </c>
      <c r="AO360" s="3046">
        <f>258.7*Unit.TWh</f>
        <v>258.7</v>
      </c>
      <c r="AP360" s="3046">
        <f>262.6*Unit.TWh</f>
        <v>262.60000000000002</v>
      </c>
      <c r="AQ360" s="3046">
        <f>264.2*Unit.TWh</f>
        <v>264.2</v>
      </c>
      <c r="AR360" s="3046">
        <f>267.6*Unit.TWh</f>
        <v>267.60000000000002</v>
      </c>
      <c r="AS360" s="3046">
        <f>276.5*Unit.TWh</f>
        <v>276.5</v>
      </c>
      <c r="AT360" s="3046">
        <f>279.3*Unit.TWh</f>
        <v>279.3</v>
      </c>
      <c r="AU360" s="3046">
        <f>250.1*Unit.TWh</f>
        <v>250.1</v>
      </c>
      <c r="AV360" s="3046">
        <f>263.1*Unit.TWh</f>
        <v>263.10000000000002</v>
      </c>
      <c r="AW360" s="3046" t="s">
        <v>1150</v>
      </c>
      <c r="AY360" s="3058">
        <f t="shared" ref="AY360:AY373" ca="1" si="106">INDEX(INDIRECT("'"&amp;AY$4&amp;"'!Year.Matrix"), MATCH($C360, INDIRECT("'"&amp;AY$4&amp;"'!Year.Modules"), 0), MATCH($C$110, INDIRECT("'"&amp;AY$4&amp;"'!Year.Vectors"), 0))</f>
        <v>64.008837597600007</v>
      </c>
      <c r="BA360" s="3058">
        <f t="shared" ref="BA360:BI373" ca="1" si="107">INDEX(INDIRECT("'"&amp;BA$4&amp;"'!Year.Matrix"), MATCH($C360, INDIRECT("'"&amp;BA$4&amp;"'!Year.Modules"), 0), MATCH($C$110, INDIRECT("'"&amp;BA$4&amp;"'!Year.Vectors"), 0))</f>
        <v>96.596143677000001</v>
      </c>
      <c r="BB360" s="3058">
        <f t="shared" ca="1" si="107"/>
        <v>109.8605340414</v>
      </c>
      <c r="BC360" s="3058">
        <f t="shared" ca="1" si="107"/>
        <v>109.8605340414</v>
      </c>
      <c r="BD360" s="3058">
        <f t="shared" ca="1" si="107"/>
        <v>109.8605340414</v>
      </c>
      <c r="BE360" s="3058">
        <f t="shared" ca="1" si="107"/>
        <v>109.8605340414</v>
      </c>
      <c r="BF360" s="3058">
        <f t="shared" ca="1" si="107"/>
        <v>109.8605340414</v>
      </c>
      <c r="BG360" s="3058">
        <f t="shared" ca="1" si="107"/>
        <v>109.8605340414</v>
      </c>
      <c r="BH360" s="3058">
        <f t="shared" ca="1" si="107"/>
        <v>109.8605340414</v>
      </c>
      <c r="BI360" s="3058">
        <f t="shared" ca="1" si="107"/>
        <v>109.8605340414</v>
      </c>
      <c r="BJ360" s="3046"/>
      <c r="BK360" s="3046"/>
      <c r="BL360" s="3046"/>
    </row>
    <row r="361" spans="1:64" s="3020" customFormat="1">
      <c r="A361" s="3012"/>
      <c r="C361" s="3046" t="s">
        <v>278</v>
      </c>
      <c r="D361" s="3047" t="str">
        <f>INDEX(Modules[Module], MATCH($C361, Modules[Code], 0))</f>
        <v>Coal power stations</v>
      </c>
      <c r="F361" s="3046"/>
      <c r="G361" s="3046"/>
      <c r="H361" s="3046"/>
      <c r="I361" s="3046"/>
      <c r="J361" s="3046"/>
      <c r="K361" s="3046"/>
      <c r="L361" s="3046"/>
      <c r="M361" s="3046"/>
      <c r="N361" s="3046"/>
      <c r="O361" s="3046"/>
      <c r="P361" s="3046"/>
      <c r="Q361" s="3046"/>
      <c r="R361" s="3046"/>
      <c r="S361" s="3046"/>
      <c r="T361" s="3046"/>
      <c r="U361" s="3046"/>
      <c r="V361" s="3046"/>
      <c r="W361" s="3046"/>
      <c r="X361" s="3046"/>
      <c r="Y361" s="3046"/>
      <c r="Z361" s="3046"/>
      <c r="AA361" s="3046"/>
      <c r="AB361" s="3046"/>
      <c r="AC361" s="3046"/>
      <c r="AD361" s="3046"/>
      <c r="AE361" s="3046"/>
      <c r="AF361" s="3046"/>
      <c r="AG361" s="3046"/>
      <c r="AH361" s="3046"/>
      <c r="AI361" s="3046"/>
      <c r="AJ361" s="3046"/>
      <c r="AK361" s="3046"/>
      <c r="AL361" s="3046"/>
      <c r="AM361" s="3046"/>
      <c r="AN361" s="3046"/>
      <c r="AO361" s="3046"/>
      <c r="AP361" s="3046"/>
      <c r="AQ361" s="3046"/>
      <c r="AR361" s="3046"/>
      <c r="AS361" s="3046"/>
      <c r="AT361" s="3046"/>
      <c r="AU361" s="3046"/>
      <c r="AV361" s="3046"/>
      <c r="AW361" s="3046"/>
      <c r="AY361" s="3059">
        <f t="shared" ca="1" si="106"/>
        <v>489.68979840000003</v>
      </c>
      <c r="BA361" s="3058">
        <f t="shared" ca="1" si="107"/>
        <v>710.86285644904808</v>
      </c>
      <c r="BB361" s="3058">
        <f t="shared" ca="1" si="107"/>
        <v>987.43322456128158</v>
      </c>
      <c r="BC361" s="3058">
        <f t="shared" ca="1" si="107"/>
        <v>936.05697418960165</v>
      </c>
      <c r="BD361" s="3058">
        <f t="shared" ca="1" si="107"/>
        <v>857.50498844560173</v>
      </c>
      <c r="BE361" s="3058">
        <f t="shared" ca="1" si="107"/>
        <v>774.08352476560174</v>
      </c>
      <c r="BF361" s="3058">
        <f t="shared" ca="1" si="107"/>
        <v>711.69800024920607</v>
      </c>
      <c r="BG361" s="3058">
        <f t="shared" ca="1" si="107"/>
        <v>631.66170278920595</v>
      </c>
      <c r="BH361" s="3058">
        <f t="shared" ca="1" si="107"/>
        <v>563.12045398120586</v>
      </c>
      <c r="BI361" s="3058">
        <f t="shared" ca="1" si="107"/>
        <v>336.94328475400596</v>
      </c>
      <c r="BJ361" s="3046"/>
      <c r="BK361" s="3046"/>
      <c r="BL361" s="3046"/>
    </row>
    <row r="362" spans="1:64" s="3020" customFormat="1">
      <c r="A362" s="3012"/>
      <c r="C362" s="3046" t="s">
        <v>696</v>
      </c>
      <c r="D362" s="3047" t="str">
        <f>INDEX(Modules[Module], MATCH($C362, Modules[Code], 0))</f>
        <v>Carbon Capture Storage (CCS)</v>
      </c>
      <c r="F362" s="3046"/>
      <c r="G362" s="3046"/>
      <c r="H362" s="3046"/>
      <c r="I362" s="3046"/>
      <c r="J362" s="3046"/>
      <c r="K362" s="3046"/>
      <c r="L362" s="3046"/>
      <c r="M362" s="3046"/>
      <c r="N362" s="3046"/>
      <c r="O362" s="3046"/>
      <c r="P362" s="3046"/>
      <c r="Q362" s="3046"/>
      <c r="R362" s="3046"/>
      <c r="S362" s="3046"/>
      <c r="T362" s="3046"/>
      <c r="U362" s="3046"/>
      <c r="V362" s="3046"/>
      <c r="W362" s="3046"/>
      <c r="X362" s="3046"/>
      <c r="Y362" s="3046"/>
      <c r="Z362" s="3046"/>
      <c r="AA362" s="3046"/>
      <c r="AB362" s="3046"/>
      <c r="AC362" s="3046"/>
      <c r="AD362" s="3046"/>
      <c r="AE362" s="3046"/>
      <c r="AF362" s="3046"/>
      <c r="AG362" s="3046"/>
      <c r="AH362" s="3046"/>
      <c r="AI362" s="3046"/>
      <c r="AJ362" s="3046"/>
      <c r="AK362" s="3046"/>
      <c r="AL362" s="3046"/>
      <c r="AM362" s="3046"/>
      <c r="AN362" s="3046"/>
      <c r="AO362" s="3046"/>
      <c r="AP362" s="3046"/>
      <c r="AQ362" s="3046"/>
      <c r="AR362" s="3046"/>
      <c r="AS362" s="3046"/>
      <c r="AT362" s="3046"/>
      <c r="AU362" s="3046"/>
      <c r="AV362" s="3046"/>
      <c r="AW362" s="3046"/>
      <c r="AY362" s="3059">
        <f t="shared" ca="1" si="106"/>
        <v>0</v>
      </c>
      <c r="BA362" s="3058">
        <f t="shared" ca="1" si="107"/>
        <v>0</v>
      </c>
      <c r="BB362" s="3058">
        <f t="shared" ca="1" si="107"/>
        <v>0</v>
      </c>
      <c r="BC362" s="3058">
        <f t="shared" ca="1" si="107"/>
        <v>0</v>
      </c>
      <c r="BD362" s="3058">
        <f t="shared" ca="1" si="107"/>
        <v>0</v>
      </c>
      <c r="BE362" s="3058">
        <f t="shared" ca="1" si="107"/>
        <v>2.5772040000000001</v>
      </c>
      <c r="BF362" s="3058">
        <f t="shared" ca="1" si="107"/>
        <v>6.1362000000000005</v>
      </c>
      <c r="BG362" s="3058">
        <f t="shared" ca="1" si="107"/>
        <v>14.358708</v>
      </c>
      <c r="BH362" s="3058">
        <f t="shared" ca="1" si="107"/>
        <v>19.513116000000004</v>
      </c>
      <c r="BI362" s="3058">
        <f t="shared" ca="1" si="107"/>
        <v>27.244728000000002</v>
      </c>
      <c r="BJ362" s="3046"/>
      <c r="BK362" s="3046"/>
      <c r="BL362" s="3046"/>
    </row>
    <row r="363" spans="1:64" s="3020" customFormat="1">
      <c r="A363" s="3012"/>
      <c r="C363" s="3046" t="s">
        <v>1819</v>
      </c>
      <c r="D363" s="3047" t="str">
        <f>INDEX(Modules[Module], MATCH($C363, Modules[Code], 0))</f>
        <v>Electricity Balancing Requirement</v>
      </c>
      <c r="F363" s="3046"/>
      <c r="G363" s="3046"/>
      <c r="H363" s="3046"/>
      <c r="I363" s="3046"/>
      <c r="J363" s="3046"/>
      <c r="K363" s="3046"/>
      <c r="L363" s="3046"/>
      <c r="M363" s="3046"/>
      <c r="N363" s="3046"/>
      <c r="O363" s="3046"/>
      <c r="P363" s="3046"/>
      <c r="Q363" s="3046"/>
      <c r="R363" s="3046"/>
      <c r="S363" s="3046"/>
      <c r="T363" s="3046"/>
      <c r="U363" s="3046"/>
      <c r="V363" s="3046"/>
      <c r="W363" s="3046"/>
      <c r="X363" s="3046"/>
      <c r="Y363" s="3046"/>
      <c r="Z363" s="3046"/>
      <c r="AA363" s="3046"/>
      <c r="AB363" s="3046"/>
      <c r="AC363" s="3046"/>
      <c r="AD363" s="3046"/>
      <c r="AE363" s="3046"/>
      <c r="AF363" s="3046"/>
      <c r="AG363" s="3046"/>
      <c r="AH363" s="3046">
        <f>221.2*Unit.TWh</f>
        <v>221.2</v>
      </c>
      <c r="AI363" s="3046">
        <f>214.6*Unit.TWh</f>
        <v>214.6</v>
      </c>
      <c r="AJ363" s="3046">
        <f>221.2*Unit.TWh</f>
        <v>221.2</v>
      </c>
      <c r="AK363" s="3046">
        <f>226.3*Unit.TWh</f>
        <v>226.3</v>
      </c>
      <c r="AL363" s="3046">
        <f>241.6*Unit.TWh</f>
        <v>241.6</v>
      </c>
      <c r="AM363" s="3046">
        <f>248.5*Unit.TWh</f>
        <v>248.5</v>
      </c>
      <c r="AN363" s="3046">
        <f>250.7*Unit.TWh</f>
        <v>250.7</v>
      </c>
      <c r="AO363" s="3046">
        <f>258.7*Unit.TWh</f>
        <v>258.7</v>
      </c>
      <c r="AP363" s="3046">
        <f>262.6*Unit.TWh</f>
        <v>262.60000000000002</v>
      </c>
      <c r="AQ363" s="3046">
        <f>264.2*Unit.TWh</f>
        <v>264.2</v>
      </c>
      <c r="AR363" s="3046">
        <f>267.6*Unit.TWh</f>
        <v>267.60000000000002</v>
      </c>
      <c r="AS363" s="3046">
        <f>276.5*Unit.TWh</f>
        <v>276.5</v>
      </c>
      <c r="AT363" s="3046">
        <f>279.3*Unit.TWh</f>
        <v>279.3</v>
      </c>
      <c r="AU363" s="3046">
        <f>250.1*Unit.TWh</f>
        <v>250.1</v>
      </c>
      <c r="AV363" s="3046">
        <f>263.1*Unit.TWh</f>
        <v>263.10000000000002</v>
      </c>
      <c r="AW363" s="3046" t="s">
        <v>1135</v>
      </c>
      <c r="AX363" s="3020">
        <f t="shared" ref="AX363" si="108">AX360+AX361+AX362</f>
        <v>0</v>
      </c>
      <c r="AY363" s="3059">
        <f t="shared" ca="1" si="106"/>
        <v>57.253185663040085</v>
      </c>
      <c r="BA363" s="3058">
        <f t="shared" ca="1" si="107"/>
        <v>2.5585518968521228</v>
      </c>
      <c r="BB363" s="3058">
        <f t="shared" ca="1" si="107"/>
        <v>26.676280792411944</v>
      </c>
      <c r="BC363" s="3058">
        <f t="shared" ca="1" si="107"/>
        <v>633.96028414856255</v>
      </c>
      <c r="BD363" s="3058">
        <f t="shared" ca="1" si="107"/>
        <v>1436.0672738769088</v>
      </c>
      <c r="BE363" s="3058">
        <f t="shared" ca="1" si="107"/>
        <v>2499.5140421615743</v>
      </c>
      <c r="BF363" s="3058">
        <f t="shared" ca="1" si="107"/>
        <v>3442.540621324436</v>
      </c>
      <c r="BG363" s="3058">
        <f t="shared" ca="1" si="107"/>
        <v>4538.886109711163</v>
      </c>
      <c r="BH363" s="3058">
        <f t="shared" ca="1" si="107"/>
        <v>5541.1197894407087</v>
      </c>
      <c r="BI363" s="3058">
        <f t="shared" ca="1" si="107"/>
        <v>6841.2588476361761</v>
      </c>
      <c r="BJ363" s="3046"/>
      <c r="BK363" s="3046"/>
      <c r="BL363" s="3046"/>
    </row>
    <row r="364" spans="1:64" s="3020" customFormat="1">
      <c r="A364" s="3012"/>
      <c r="C364" s="3046" t="s">
        <v>61</v>
      </c>
      <c r="D364" s="3047" t="str">
        <f>INDEX(Modules[Module], MATCH($C364, Modules[Code], 0))</f>
        <v>Nuclear power</v>
      </c>
      <c r="F364" s="3046"/>
      <c r="G364" s="3046"/>
      <c r="H364" s="3046"/>
      <c r="I364" s="3046"/>
      <c r="J364" s="3046"/>
      <c r="K364" s="3046"/>
      <c r="L364" s="3046"/>
      <c r="M364" s="3046"/>
      <c r="N364" s="3046"/>
      <c r="O364" s="3046"/>
      <c r="P364" s="3046"/>
      <c r="Q364" s="3046"/>
      <c r="R364" s="3046"/>
      <c r="S364" s="3046"/>
      <c r="T364" s="3046"/>
      <c r="U364" s="3046"/>
      <c r="V364" s="3046"/>
      <c r="W364" s="3046"/>
      <c r="X364" s="3046"/>
      <c r="Y364" s="3046"/>
      <c r="Z364" s="3046"/>
      <c r="AA364" s="3046"/>
      <c r="AB364" s="3046"/>
      <c r="AC364" s="3046"/>
      <c r="AD364" s="3046"/>
      <c r="AE364" s="3046"/>
      <c r="AF364" s="3046"/>
      <c r="AG364" s="3046"/>
      <c r="AH364" s="3046"/>
      <c r="AI364" s="3046"/>
      <c r="AJ364" s="3046"/>
      <c r="AK364" s="3046"/>
      <c r="AL364" s="3046"/>
      <c r="AM364" s="3046"/>
      <c r="AN364" s="3046"/>
      <c r="AO364" s="3046"/>
      <c r="AP364" s="3046"/>
      <c r="AQ364" s="3046"/>
      <c r="AR364" s="3046"/>
      <c r="AS364" s="3046"/>
      <c r="AT364" s="3046"/>
      <c r="AU364" s="3046"/>
      <c r="AV364" s="3046"/>
      <c r="AW364" s="3046"/>
      <c r="AY364" s="3059">
        <f t="shared" ca="1" si="106"/>
        <v>28.331712000000003</v>
      </c>
      <c r="BA364" s="3058">
        <f t="shared" ca="1" si="107"/>
        <v>32.819904000000001</v>
      </c>
      <c r="BB364" s="3058">
        <f t="shared" ca="1" si="107"/>
        <v>69.987744000000006</v>
      </c>
      <c r="BC364" s="3058">
        <f t="shared" ca="1" si="107"/>
        <v>67.743648000000007</v>
      </c>
      <c r="BD364" s="3058">
        <f t="shared" ca="1" si="107"/>
        <v>67.743648000000007</v>
      </c>
      <c r="BE364" s="3058">
        <f t="shared" ca="1" si="107"/>
        <v>66.341088000000013</v>
      </c>
      <c r="BF364" s="3058">
        <f t="shared" ca="1" si="107"/>
        <v>63.255456000000002</v>
      </c>
      <c r="BG364" s="3058">
        <f t="shared" ca="1" si="107"/>
        <v>61.712640000000007</v>
      </c>
      <c r="BH364" s="3058">
        <f t="shared" ca="1" si="107"/>
        <v>58.627007999999996</v>
      </c>
      <c r="BI364" s="3058">
        <f t="shared" ca="1" si="107"/>
        <v>58.627007999999996</v>
      </c>
      <c r="BJ364" s="3046"/>
      <c r="BK364" s="3046"/>
      <c r="BL364" s="3046"/>
    </row>
    <row r="365" spans="1:64" s="3020" customFormat="1">
      <c r="A365" s="3012"/>
      <c r="C365" s="3046" t="s">
        <v>62</v>
      </c>
      <c r="D365" s="3047" t="str">
        <f>INDEX(Modules[Module], MATCH($C365, Modules[Code], 0))</f>
        <v>Hydro Power Generation</v>
      </c>
      <c r="F365" s="3046"/>
      <c r="G365" s="3046"/>
      <c r="H365" s="3046"/>
      <c r="I365" s="3046"/>
      <c r="J365" s="3046"/>
      <c r="K365" s="3046"/>
      <c r="L365" s="3046"/>
      <c r="M365" s="3046"/>
      <c r="N365" s="3046"/>
      <c r="O365" s="3046"/>
      <c r="P365" s="3046"/>
      <c r="Q365" s="3046"/>
      <c r="R365" s="3046"/>
      <c r="S365" s="3046"/>
      <c r="T365" s="3046"/>
      <c r="U365" s="3046"/>
      <c r="V365" s="3046"/>
      <c r="W365" s="3046"/>
      <c r="X365" s="3046"/>
      <c r="Y365" s="3046"/>
      <c r="Z365" s="3046"/>
      <c r="AA365" s="3046"/>
      <c r="AB365" s="3046"/>
      <c r="AC365" s="3046"/>
      <c r="AD365" s="3046"/>
      <c r="AE365" s="3046"/>
      <c r="AF365" s="3046"/>
      <c r="AG365" s="3046"/>
      <c r="AH365" s="3046">
        <f>85.8*Unit.TWh</f>
        <v>85.8</v>
      </c>
      <c r="AI365" s="3046">
        <f>89.3*Unit.TWh</f>
        <v>89.3</v>
      </c>
      <c r="AJ365" s="3046">
        <f>90.6*Unit.TWh</f>
        <v>90.6</v>
      </c>
      <c r="AK365" s="3046">
        <f>87.7*Unit.TWh</f>
        <v>87.7</v>
      </c>
      <c r="AL365" s="3046">
        <f>78.3*Unit.TWh</f>
        <v>78.3</v>
      </c>
      <c r="AM365" s="3046">
        <f>83*Unit.TWh</f>
        <v>83</v>
      </c>
      <c r="AN365" s="3046">
        <f>81.1*Unit.TWh</f>
        <v>81.099999999999994</v>
      </c>
      <c r="AO365" s="3046">
        <f>81.9*Unit.TWh</f>
        <v>81.900000000000006</v>
      </c>
      <c r="AP365" s="3046">
        <f>73.7*Unit.TWh</f>
        <v>73.7</v>
      </c>
      <c r="AQ365" s="3046">
        <f>75.2*Unit.TWh</f>
        <v>75.2</v>
      </c>
      <c r="AR365" s="3046">
        <f>69.2*Unit.TWh</f>
        <v>69.2</v>
      </c>
      <c r="AS365" s="3046">
        <f>57.2*Unit.TWh</f>
        <v>57.2</v>
      </c>
      <c r="AT365" s="3046">
        <f>47.7*Unit.TWh</f>
        <v>47.7</v>
      </c>
      <c r="AU365" s="3046">
        <f>62.8*Unit.TWh</f>
        <v>62.8</v>
      </c>
      <c r="AV365" s="3046">
        <f>56.5 *Unit.TWh</f>
        <v>56.5</v>
      </c>
      <c r="AW365" s="3046" t="s">
        <v>1151</v>
      </c>
      <c r="AY365" s="3058">
        <f t="shared" ca="1" si="106"/>
        <v>121.49675999999999</v>
      </c>
      <c r="BA365" s="3058">
        <f t="shared" ca="1" si="107"/>
        <v>143.76240000000001</v>
      </c>
      <c r="BB365" s="3058">
        <f t="shared" ca="1" si="107"/>
        <v>171.81360000000004</v>
      </c>
      <c r="BC365" s="3058">
        <f t="shared" ca="1" si="107"/>
        <v>171.81360000000004</v>
      </c>
      <c r="BD365" s="3058">
        <f t="shared" ca="1" si="107"/>
        <v>171.81360000000004</v>
      </c>
      <c r="BE365" s="3058">
        <f t="shared" ca="1" si="107"/>
        <v>171.81360000000004</v>
      </c>
      <c r="BF365" s="3058">
        <f t="shared" ca="1" si="107"/>
        <v>171.81360000000004</v>
      </c>
      <c r="BG365" s="3058">
        <f t="shared" ca="1" si="107"/>
        <v>171.81360000000004</v>
      </c>
      <c r="BH365" s="3058">
        <f t="shared" ca="1" si="107"/>
        <v>171.81360000000004</v>
      </c>
      <c r="BI365" s="3058">
        <f t="shared" ca="1" si="107"/>
        <v>171.81360000000004</v>
      </c>
      <c r="BJ365" s="3046"/>
      <c r="BK365" s="3046"/>
      <c r="BL365" s="3046"/>
    </row>
    <row r="366" spans="1:64" s="3020" customFormat="1">
      <c r="A366" s="3012"/>
      <c r="C366" s="3046" t="s">
        <v>311</v>
      </c>
      <c r="D366" s="3047" t="str">
        <f>INDEX(Modules[Module], MATCH($C366, Modules[Code], 0))</f>
        <v>Solar PV</v>
      </c>
      <c r="F366" s="3046"/>
      <c r="G366" s="3046"/>
      <c r="H366" s="3046"/>
      <c r="I366" s="3046"/>
      <c r="J366" s="3046"/>
      <c r="K366" s="3046"/>
      <c r="L366" s="3046"/>
      <c r="M366" s="3046"/>
      <c r="N366" s="3046"/>
      <c r="O366" s="3046"/>
      <c r="P366" s="3046"/>
      <c r="Q366" s="3046"/>
      <c r="R366" s="3046"/>
      <c r="S366" s="3046"/>
      <c r="T366" s="3046"/>
      <c r="U366" s="3046"/>
      <c r="V366" s="3046"/>
      <c r="W366" s="3046"/>
      <c r="X366" s="3046"/>
      <c r="Y366" s="3046"/>
      <c r="Z366" s="3046"/>
      <c r="AA366" s="3046"/>
      <c r="AB366" s="3046"/>
      <c r="AC366" s="3046"/>
      <c r="AD366" s="3046"/>
      <c r="AE366" s="3046"/>
      <c r="AF366" s="3046"/>
      <c r="AG366" s="3046"/>
      <c r="AH366" s="3046"/>
      <c r="AI366" s="3046"/>
      <c r="AJ366" s="3046"/>
      <c r="AK366" s="3046"/>
      <c r="AL366" s="3046"/>
      <c r="AM366" s="3046"/>
      <c r="AN366" s="3046"/>
      <c r="AO366" s="3046"/>
      <c r="AP366" s="3046"/>
      <c r="AQ366" s="3046"/>
      <c r="AR366" s="3046">
        <f>3.6*Unit.TWh</f>
        <v>3.6</v>
      </c>
      <c r="AS366" s="3046">
        <f>4.5*Unit.TWh</f>
        <v>4.5</v>
      </c>
      <c r="AT366" s="3046">
        <f>5.8*Unit.TWh</f>
        <v>5.8</v>
      </c>
      <c r="AU366" s="3046">
        <f>7.6*Unit.TWh</f>
        <v>7.6</v>
      </c>
      <c r="AV366" s="3046">
        <f>7.1*Unit.TWh</f>
        <v>7.1</v>
      </c>
      <c r="AW366" s="3046" t="s">
        <v>1152</v>
      </c>
      <c r="AY366" s="3058">
        <f t="shared" ca="1" si="106"/>
        <v>0</v>
      </c>
      <c r="BA366" s="3058">
        <f t="shared" ca="1" si="107"/>
        <v>1.56727314</v>
      </c>
      <c r="BB366" s="3058">
        <f t="shared" ca="1" si="107"/>
        <v>8.2727459460000006</v>
      </c>
      <c r="BC366" s="3058">
        <f t="shared" ca="1" si="107"/>
        <v>18.558353960999998</v>
      </c>
      <c r="BD366" s="3058">
        <f t="shared" ca="1" si="107"/>
        <v>32.792269185000002</v>
      </c>
      <c r="BE366" s="3058">
        <f t="shared" ca="1" si="107"/>
        <v>47.823373215000004</v>
      </c>
      <c r="BF366" s="3058">
        <f t="shared" ca="1" si="107"/>
        <v>60.992995229999998</v>
      </c>
      <c r="BG366" s="3058">
        <f t="shared" ca="1" si="107"/>
        <v>69.119910000000004</v>
      </c>
      <c r="BH366" s="3058">
        <f t="shared" ca="1" si="107"/>
        <v>68.111819999999994</v>
      </c>
      <c r="BI366" s="3058">
        <f t="shared" ca="1" si="107"/>
        <v>59.608800000000002</v>
      </c>
      <c r="BJ366" s="3046"/>
      <c r="BK366" s="3046"/>
      <c r="BL366" s="3046"/>
    </row>
    <row r="367" spans="1:64" s="3020" customFormat="1">
      <c r="A367" s="3012"/>
      <c r="C367" s="3046" t="s">
        <v>407</v>
      </c>
      <c r="D367" s="3047" t="str">
        <f>INDEX(Modules[Module], MATCH($C367, Modules[Code], 0))</f>
        <v>Solar CSP</v>
      </c>
      <c r="F367" s="3046"/>
      <c r="G367" s="3046"/>
      <c r="H367" s="3046"/>
      <c r="I367" s="3046"/>
      <c r="J367" s="3046"/>
      <c r="K367" s="3046"/>
      <c r="L367" s="3046"/>
      <c r="M367" s="3046"/>
      <c r="N367" s="3046"/>
      <c r="O367" s="3046"/>
      <c r="P367" s="3046"/>
      <c r="Q367" s="3046"/>
      <c r="R367" s="3046"/>
      <c r="S367" s="3046"/>
      <c r="T367" s="3046"/>
      <c r="U367" s="3046"/>
      <c r="V367" s="3046"/>
      <c r="W367" s="3046"/>
      <c r="X367" s="3046"/>
      <c r="Y367" s="3046"/>
      <c r="Z367" s="3046"/>
      <c r="AA367" s="3046"/>
      <c r="AB367" s="3046"/>
      <c r="AC367" s="3046"/>
      <c r="AD367" s="3046"/>
      <c r="AE367" s="3046"/>
      <c r="AF367" s="3046"/>
      <c r="AG367" s="3046"/>
      <c r="AH367" s="3046"/>
      <c r="AI367" s="3046"/>
      <c r="AJ367" s="3046"/>
      <c r="AK367" s="3046"/>
      <c r="AL367" s="3046"/>
      <c r="AM367" s="3046"/>
      <c r="AN367" s="3046"/>
      <c r="AO367" s="3046"/>
      <c r="AP367" s="3046"/>
      <c r="AQ367" s="3046"/>
      <c r="AR367" s="3046">
        <f>0.7*Unit.TWh</f>
        <v>0.7</v>
      </c>
      <c r="AS367" s="3046">
        <f>0.8*Unit.TWh</f>
        <v>0.8</v>
      </c>
      <c r="AT367" s="3046">
        <f>1.3*Unit.TWh</f>
        <v>1.3</v>
      </c>
      <c r="AU367" s="3046">
        <f>1.7*Unit.TWh</f>
        <v>1.7</v>
      </c>
      <c r="AV367" s="3046">
        <f>3*Unit.TWh</f>
        <v>3</v>
      </c>
      <c r="AW367" s="3046" t="s">
        <v>1153</v>
      </c>
      <c r="AY367" s="3058">
        <f t="shared" ca="1" si="106"/>
        <v>0</v>
      </c>
      <c r="BA367" s="3058">
        <f t="shared" ca="1" si="107"/>
        <v>0</v>
      </c>
      <c r="BB367" s="3058">
        <f t="shared" ca="1" si="107"/>
        <v>2.5246079999999997</v>
      </c>
      <c r="BC367" s="3058">
        <f t="shared" ca="1" si="107"/>
        <v>8.5731479999999998</v>
      </c>
      <c r="BD367" s="3058">
        <f t="shared" ca="1" si="107"/>
        <v>15.638544</v>
      </c>
      <c r="BE367" s="3058">
        <f t="shared" ca="1" si="107"/>
        <v>25.719444000000003</v>
      </c>
      <c r="BF367" s="3058">
        <f t="shared" ca="1" si="107"/>
        <v>33.784163999999997</v>
      </c>
      <c r="BG367" s="3058">
        <f t="shared" ca="1" si="107"/>
        <v>37.816524000000008</v>
      </c>
      <c r="BH367" s="3058">
        <f t="shared" ca="1" si="107"/>
        <v>35.291916000000001</v>
      </c>
      <c r="BI367" s="3058">
        <f t="shared" ca="1" si="107"/>
        <v>29.243376000000001</v>
      </c>
      <c r="BJ367" s="3046"/>
      <c r="BK367" s="3046"/>
      <c r="BL367" s="3046"/>
    </row>
    <row r="368" spans="1:64" s="3020" customFormat="1">
      <c r="A368" s="3012"/>
      <c r="C368" s="3046" t="s">
        <v>1071</v>
      </c>
      <c r="D368" s="3047" t="str">
        <f>INDEX(Modules[Module], MATCH($C368, Modules[Code], 0))</f>
        <v>Onshore Wind</v>
      </c>
      <c r="F368" s="3046"/>
      <c r="G368" s="3046"/>
      <c r="H368" s="3046"/>
      <c r="I368" s="3046"/>
      <c r="J368" s="3046"/>
      <c r="K368" s="3046"/>
      <c r="L368" s="3046"/>
      <c r="M368" s="3046"/>
      <c r="N368" s="3046"/>
      <c r="O368" s="3046"/>
      <c r="P368" s="3046"/>
      <c r="Q368" s="3046"/>
      <c r="R368" s="3046"/>
      <c r="S368" s="3046"/>
      <c r="T368" s="3046"/>
      <c r="U368" s="3046"/>
      <c r="V368" s="3046"/>
      <c r="W368" s="3046"/>
      <c r="X368" s="3046"/>
      <c r="Y368" s="3046"/>
      <c r="Z368" s="3046"/>
      <c r="AA368" s="3046"/>
      <c r="AB368" s="3046"/>
      <c r="AC368" s="3046"/>
      <c r="AD368" s="3046"/>
      <c r="AE368" s="3046"/>
      <c r="AF368" s="3046"/>
      <c r="AG368" s="3046"/>
      <c r="AH368" s="3046">
        <f>2.8*Unit.TWh</f>
        <v>2.8</v>
      </c>
      <c r="AI368" s="3046">
        <f>3.3*Unit.TWh</f>
        <v>3.3</v>
      </c>
      <c r="AJ368" s="3046">
        <f>4.2*Unit.TWh</f>
        <v>4.2</v>
      </c>
      <c r="AK368" s="3046">
        <f>4.4*Unit.TWh</f>
        <v>4.4000000000000004</v>
      </c>
      <c r="AL368" s="3046">
        <f>4.3*Unit.TWh</f>
        <v>4.3</v>
      </c>
      <c r="AM368" s="3046">
        <f>3.2*Unit.TWh</f>
        <v>3.2</v>
      </c>
      <c r="AN368" s="3046">
        <f>3.9*Unit.TWh</f>
        <v>3.9</v>
      </c>
      <c r="AO368" s="3046">
        <f>2.6*Unit.TWh</f>
        <v>2.6</v>
      </c>
      <c r="AP368" s="3046">
        <f>3.9*Unit.TWh</f>
        <v>3.9</v>
      </c>
      <c r="AQ368" s="3046">
        <f>3.8*Unit.TWh</f>
        <v>3.8</v>
      </c>
      <c r="AR368" s="3046">
        <f>3.7*Unit.TWh</f>
        <v>3.7</v>
      </c>
      <c r="AS368" s="3046">
        <f>4.1*Unit.TWh</f>
        <v>4.0999999999999996</v>
      </c>
      <c r="AT368" s="3046">
        <f>4.2*Unit.TWh</f>
        <v>4.2</v>
      </c>
      <c r="AU368" s="3046">
        <f>4.3*Unit.TWh</f>
        <v>4.3</v>
      </c>
      <c r="AV368" s="3046">
        <f>2.7*Unit.TWh</f>
        <v>2.7</v>
      </c>
      <c r="AW368" s="3046" t="s">
        <v>1154</v>
      </c>
      <c r="AY368" s="3058">
        <f t="shared" ca="1" si="106"/>
        <v>12.437183268</v>
      </c>
      <c r="BA368" s="3058">
        <f t="shared" ca="1" si="107"/>
        <v>18.722249233199999</v>
      </c>
      <c r="BB368" s="3058">
        <f t="shared" ca="1" si="107"/>
        <v>36.604889233199998</v>
      </c>
      <c r="BC368" s="3058">
        <f t="shared" ca="1" si="107"/>
        <v>58.519889233199997</v>
      </c>
      <c r="BD368" s="3058">
        <f t="shared" ca="1" si="107"/>
        <v>81.311489233199993</v>
      </c>
      <c r="BE368" s="3058">
        <f t="shared" ca="1" si="107"/>
        <v>110.89673923319999</v>
      </c>
      <c r="BF368" s="3058">
        <f t="shared" ca="1" si="107"/>
        <v>129.14055596519998</v>
      </c>
      <c r="BG368" s="3058">
        <f t="shared" ca="1" si="107"/>
        <v>139.86152999999999</v>
      </c>
      <c r="BH368" s="3058">
        <f t="shared" ca="1" si="107"/>
        <v>148.27688999999998</v>
      </c>
      <c r="BI368" s="3058">
        <f t="shared" ca="1" si="107"/>
        <v>148.80284999999998</v>
      </c>
      <c r="BJ368" s="3046"/>
      <c r="BK368" s="3046"/>
      <c r="BL368" s="3046"/>
    </row>
    <row r="369" spans="1:66" s="3020" customFormat="1">
      <c r="A369" s="3012"/>
      <c r="C369" s="3046" t="s">
        <v>1285</v>
      </c>
      <c r="D369" s="3047" t="str">
        <f>INDEX(Modules[Module], MATCH($C369, Modules[Code], 0))</f>
        <v>Offshore Wind</v>
      </c>
      <c r="F369" s="3046"/>
      <c r="G369" s="3046"/>
      <c r="H369" s="3046"/>
      <c r="I369" s="3046"/>
      <c r="J369" s="3046"/>
      <c r="K369" s="3046"/>
      <c r="L369" s="3046"/>
      <c r="M369" s="3046"/>
      <c r="N369" s="3046"/>
      <c r="O369" s="3046"/>
      <c r="P369" s="3046"/>
      <c r="Q369" s="3046"/>
      <c r="R369" s="3046"/>
      <c r="S369" s="3046"/>
      <c r="T369" s="3046"/>
      <c r="U369" s="3046"/>
      <c r="V369" s="3046"/>
      <c r="W369" s="3046"/>
      <c r="X369" s="3046"/>
      <c r="Y369" s="3046"/>
      <c r="Z369" s="3046"/>
      <c r="AA369" s="3046"/>
      <c r="AB369" s="3046"/>
      <c r="AC369" s="3046"/>
      <c r="AD369" s="3046"/>
      <c r="AE369" s="3046"/>
      <c r="AF369" s="3046"/>
      <c r="AG369" s="3046"/>
      <c r="AH369" s="3046"/>
      <c r="AI369" s="3046"/>
      <c r="AJ369" s="3046"/>
      <c r="AK369" s="3046"/>
      <c r="AL369" s="3046"/>
      <c r="AM369" s="3046"/>
      <c r="AN369" s="3046"/>
      <c r="AO369" s="3046"/>
      <c r="AP369" s="3046"/>
      <c r="AQ369" s="3046"/>
      <c r="AR369" s="3046"/>
      <c r="AS369" s="3046"/>
      <c r="AT369" s="3046"/>
      <c r="AU369" s="3046"/>
      <c r="AV369" s="3046"/>
      <c r="AW369" s="3046"/>
      <c r="AY369" s="3058">
        <f t="shared" ca="1" si="106"/>
        <v>0</v>
      </c>
      <c r="BA369" s="3058">
        <f t="shared" ca="1" si="107"/>
        <v>0</v>
      </c>
      <c r="BB369" s="3058">
        <f t="shared" ca="1" si="107"/>
        <v>0</v>
      </c>
      <c r="BC369" s="3058">
        <f t="shared" ca="1" si="107"/>
        <v>1.4463900000000003</v>
      </c>
      <c r="BD369" s="3058">
        <f t="shared" ca="1" si="107"/>
        <v>3.02427</v>
      </c>
      <c r="BE369" s="3058">
        <f t="shared" ca="1" si="107"/>
        <v>4.6021499999999991</v>
      </c>
      <c r="BF369" s="3058">
        <f t="shared" ca="1" si="107"/>
        <v>7.8455700000000004</v>
      </c>
      <c r="BG369" s="3058">
        <f t="shared" ca="1" si="107"/>
        <v>11.176649999999999</v>
      </c>
      <c r="BH369" s="3058">
        <f t="shared" ca="1" si="107"/>
        <v>12.88602</v>
      </c>
      <c r="BI369" s="3058">
        <f t="shared" ca="1" si="107"/>
        <v>13.148999999999999</v>
      </c>
      <c r="BJ369" s="3046"/>
      <c r="BK369" s="3046"/>
      <c r="BL369" s="3046"/>
    </row>
    <row r="370" spans="1:66" s="3020" customFormat="1">
      <c r="A370" s="3012"/>
      <c r="C370" s="3046" t="s">
        <v>1073</v>
      </c>
      <c r="D370" s="3047" t="str">
        <f>INDEX(Modules[Module], MATCH($C370, Modules[Code], 0))</f>
        <v>Small Hydro</v>
      </c>
      <c r="F370" s="3046"/>
      <c r="G370" s="3046"/>
      <c r="H370" s="3046"/>
      <c r="I370" s="3046"/>
      <c r="J370" s="3046"/>
      <c r="K370" s="3046"/>
      <c r="L370" s="3046"/>
      <c r="M370" s="3046"/>
      <c r="N370" s="3046"/>
      <c r="O370" s="3046"/>
      <c r="P370" s="3046"/>
      <c r="Q370" s="3046"/>
      <c r="R370" s="3046"/>
      <c r="S370" s="3046"/>
      <c r="T370" s="3046"/>
      <c r="U370" s="3046"/>
      <c r="V370" s="3046"/>
      <c r="W370" s="3046"/>
      <c r="X370" s="3046"/>
      <c r="Y370" s="3046"/>
      <c r="Z370" s="3046"/>
      <c r="AA370" s="3046"/>
      <c r="AB370" s="3046"/>
      <c r="AC370" s="3046"/>
      <c r="AD370" s="3046"/>
      <c r="AE370" s="3046"/>
      <c r="AF370" s="3046"/>
      <c r="AG370" s="3046"/>
      <c r="AH370" s="3046"/>
      <c r="AI370" s="3046"/>
      <c r="AJ370" s="3046"/>
      <c r="AK370" s="3046"/>
      <c r="AL370" s="3046"/>
      <c r="AM370" s="3046"/>
      <c r="AN370" s="3046"/>
      <c r="AO370" s="3046"/>
      <c r="AP370" s="3046"/>
      <c r="AQ370" s="3046"/>
      <c r="AR370" s="3046"/>
      <c r="AS370" s="3046"/>
      <c r="AT370" s="3046"/>
      <c r="AU370" s="3046"/>
      <c r="AV370" s="3046"/>
      <c r="AW370" s="3046"/>
      <c r="AY370" s="3058">
        <f t="shared" ca="1" si="106"/>
        <v>7.0138343880000011</v>
      </c>
      <c r="BA370" s="3058">
        <f t="shared" ca="1" si="107"/>
        <v>12.081458988000001</v>
      </c>
      <c r="BB370" s="3058">
        <f t="shared" ca="1" si="107"/>
        <v>17.604038988000003</v>
      </c>
      <c r="BC370" s="3058">
        <f t="shared" ca="1" si="107"/>
        <v>23.937473988000004</v>
      </c>
      <c r="BD370" s="3058">
        <f t="shared" ca="1" si="107"/>
        <v>27.750683988000002</v>
      </c>
      <c r="BE370" s="3058">
        <f t="shared" ca="1" si="107"/>
        <v>31.651553988000003</v>
      </c>
      <c r="BF370" s="3058">
        <f t="shared" ca="1" si="107"/>
        <v>33.623903988000002</v>
      </c>
      <c r="BG370" s="3058">
        <f t="shared" ca="1" si="107"/>
        <v>33.902259552000004</v>
      </c>
      <c r="BH370" s="3058">
        <f t="shared" ca="1" si="107"/>
        <v>34.790711183999996</v>
      </c>
      <c r="BI370" s="3058">
        <f t="shared" ca="1" si="107"/>
        <v>35.382416183999993</v>
      </c>
      <c r="BJ370" s="3046"/>
      <c r="BK370" s="3046"/>
      <c r="BL370" s="3046"/>
    </row>
    <row r="371" spans="1:66" s="3020" customFormat="1">
      <c r="A371" s="3012"/>
      <c r="C371" s="3046" t="s">
        <v>304</v>
      </c>
      <c r="D371" s="3047" t="str">
        <f>INDEX(Modules[Module], MATCH($C371, Modules[Code], 0))</f>
        <v>Biomass Based Electricity&amp; Biogas</v>
      </c>
      <c r="F371" s="3046"/>
      <c r="G371" s="3046"/>
      <c r="H371" s="3046"/>
      <c r="I371" s="3046"/>
      <c r="J371" s="3046"/>
      <c r="K371" s="3046"/>
      <c r="L371" s="3046"/>
      <c r="M371" s="3046"/>
      <c r="N371" s="3046"/>
      <c r="O371" s="3046"/>
      <c r="P371" s="3046"/>
      <c r="Q371" s="3046"/>
      <c r="R371" s="3046"/>
      <c r="S371" s="3046"/>
      <c r="T371" s="3046"/>
      <c r="U371" s="3046"/>
      <c r="V371" s="3046"/>
      <c r="W371" s="3046"/>
      <c r="X371" s="3046"/>
      <c r="Y371" s="3046"/>
      <c r="Z371" s="3046"/>
      <c r="AA371" s="3046"/>
      <c r="AB371" s="3046"/>
      <c r="AC371" s="3046"/>
      <c r="AD371" s="3046"/>
      <c r="AE371" s="3046"/>
      <c r="AF371" s="3046"/>
      <c r="AG371" s="3046"/>
      <c r="AH371" s="3046"/>
      <c r="AI371" s="3046"/>
      <c r="AJ371" s="3046"/>
      <c r="AK371" s="3046"/>
      <c r="AL371" s="3046"/>
      <c r="AM371" s="3046"/>
      <c r="AN371" s="3046"/>
      <c r="AO371" s="3046"/>
      <c r="AP371" s="3046"/>
      <c r="AQ371" s="3046"/>
      <c r="AR371" s="3046"/>
      <c r="AS371" s="3046"/>
      <c r="AT371" s="3046"/>
      <c r="AU371" s="3046"/>
      <c r="AV371" s="3046"/>
      <c r="AW371" s="3046"/>
      <c r="AY371" s="3058">
        <f t="shared" ca="1" si="106"/>
        <v>9.538388888888889</v>
      </c>
      <c r="BA371" s="3058">
        <f t="shared" ca="1" si="107"/>
        <v>9.7454499999999999</v>
      </c>
      <c r="BB371" s="3058">
        <f t="shared" ca="1" si="107"/>
        <v>11.119143750000001</v>
      </c>
      <c r="BC371" s="3058">
        <f t="shared" ca="1" si="107"/>
        <v>12.4928375</v>
      </c>
      <c r="BD371" s="3058">
        <f t="shared" ca="1" si="107"/>
        <v>13.866531250000003</v>
      </c>
      <c r="BE371" s="3058">
        <f t="shared" ca="1" si="107"/>
        <v>15.240225000000006</v>
      </c>
      <c r="BF371" s="3058">
        <f t="shared" ca="1" si="107"/>
        <v>16.613918750000003</v>
      </c>
      <c r="BG371" s="3058">
        <f t="shared" ca="1" si="107"/>
        <v>17.987612500000004</v>
      </c>
      <c r="BH371" s="3058">
        <f t="shared" ca="1" si="107"/>
        <v>19.361306250000005</v>
      </c>
      <c r="BI371" s="3058">
        <f t="shared" ca="1" si="107"/>
        <v>20.735000000000003</v>
      </c>
      <c r="BJ371" s="3046"/>
      <c r="BK371" s="3046"/>
      <c r="BL371" s="3046"/>
    </row>
    <row r="372" spans="1:66" s="3020" customFormat="1">
      <c r="A372" s="3012"/>
      <c r="C372" s="3046" t="s">
        <v>296</v>
      </c>
      <c r="D372" s="3047" t="str">
        <f>INDEX(Modules[Module], MATCH($C372, Modules[Code], 0))</f>
        <v>Waste to Electricity</v>
      </c>
      <c r="F372" s="3046"/>
      <c r="G372" s="3046"/>
      <c r="H372" s="3046"/>
      <c r="I372" s="3046"/>
      <c r="J372" s="3046"/>
      <c r="K372" s="3046"/>
      <c r="L372" s="3046"/>
      <c r="M372" s="3046"/>
      <c r="N372" s="3046"/>
      <c r="O372" s="3046"/>
      <c r="P372" s="3046"/>
      <c r="Q372" s="3046"/>
      <c r="R372" s="3046"/>
      <c r="S372" s="3046"/>
      <c r="T372" s="3046"/>
      <c r="U372" s="3046"/>
      <c r="V372" s="3046"/>
      <c r="W372" s="3046"/>
      <c r="X372" s="3046"/>
      <c r="Y372" s="3046"/>
      <c r="Z372" s="3046"/>
      <c r="AA372" s="3046"/>
      <c r="AB372" s="3046"/>
      <c r="AC372" s="3046"/>
      <c r="AD372" s="3046"/>
      <c r="AE372" s="3046"/>
      <c r="AF372" s="3046"/>
      <c r="AG372" s="3046"/>
      <c r="AH372" s="3046"/>
      <c r="AI372" s="3046"/>
      <c r="AJ372" s="3046"/>
      <c r="AK372" s="3046"/>
      <c r="AL372" s="3046"/>
      <c r="AM372" s="3046"/>
      <c r="AN372" s="3046"/>
      <c r="AO372" s="3046"/>
      <c r="AP372" s="3046"/>
      <c r="AQ372" s="3046"/>
      <c r="AR372" s="3046"/>
      <c r="AS372" s="3046"/>
      <c r="AT372" s="3046"/>
      <c r="AU372" s="3046"/>
      <c r="AV372" s="3046"/>
      <c r="AW372" s="3046"/>
      <c r="AY372" s="3058">
        <f t="shared" ca="1" si="106"/>
        <v>0</v>
      </c>
      <c r="BA372" s="3058">
        <f t="shared" ca="1" si="107"/>
        <v>0</v>
      </c>
      <c r="BB372" s="3058">
        <f t="shared" ca="1" si="107"/>
        <v>0</v>
      </c>
      <c r="BC372" s="3058">
        <f t="shared" ca="1" si="107"/>
        <v>0</v>
      </c>
      <c r="BD372" s="3058">
        <f t="shared" ca="1" si="107"/>
        <v>0</v>
      </c>
      <c r="BE372" s="3058">
        <f t="shared" ca="1" si="107"/>
        <v>0</v>
      </c>
      <c r="BF372" s="3058">
        <f t="shared" ca="1" si="107"/>
        <v>0</v>
      </c>
      <c r="BG372" s="3058">
        <f t="shared" ca="1" si="107"/>
        <v>0</v>
      </c>
      <c r="BH372" s="3058">
        <f t="shared" ca="1" si="107"/>
        <v>0</v>
      </c>
      <c r="BI372" s="3058">
        <f t="shared" ca="1" si="107"/>
        <v>0</v>
      </c>
      <c r="BJ372" s="3053"/>
      <c r="BK372" s="3053"/>
      <c r="BL372" s="3053"/>
    </row>
    <row r="373" spans="1:66" s="3020" customFormat="1">
      <c r="A373" s="3012"/>
      <c r="C373" s="3046" t="s">
        <v>263</v>
      </c>
      <c r="D373" s="3047" t="str">
        <f>INDEX(Modules[Module], MATCH($C373, Modules[Code], 0))</f>
        <v>Electricity imports</v>
      </c>
      <c r="F373" s="3046"/>
      <c r="G373" s="3046"/>
      <c r="H373" s="3046"/>
      <c r="I373" s="3046"/>
      <c r="J373" s="3046"/>
      <c r="K373" s="3046"/>
      <c r="L373" s="3046"/>
      <c r="M373" s="3046"/>
      <c r="N373" s="3046"/>
      <c r="O373" s="3046"/>
      <c r="P373" s="3046"/>
      <c r="Q373" s="3046"/>
      <c r="R373" s="3046"/>
      <c r="S373" s="3046"/>
      <c r="T373" s="3046"/>
      <c r="U373" s="3046"/>
      <c r="V373" s="3046"/>
      <c r="W373" s="3046"/>
      <c r="X373" s="3046"/>
      <c r="Y373" s="3046"/>
      <c r="Z373" s="3046"/>
      <c r="AA373" s="3046"/>
      <c r="AB373" s="3046"/>
      <c r="AC373" s="3046"/>
      <c r="AD373" s="3046"/>
      <c r="AE373" s="3046"/>
      <c r="AF373" s="3046"/>
      <c r="AG373" s="3046"/>
      <c r="AH373" s="3046"/>
      <c r="AI373" s="3046"/>
      <c r="AJ373" s="3046"/>
      <c r="AK373" s="3046"/>
      <c r="AL373" s="3046"/>
      <c r="AM373" s="3046"/>
      <c r="AN373" s="3046"/>
      <c r="AO373" s="3046"/>
      <c r="AP373" s="3046"/>
      <c r="AQ373" s="3046"/>
      <c r="AR373" s="3046">
        <f>7.9*Unit.TWh</f>
        <v>7.9</v>
      </c>
      <c r="AS373" s="3046">
        <f>9.4*Unit.TWh</f>
        <v>9.4</v>
      </c>
      <c r="AT373" s="3046">
        <f>11.3*Unit.TWh</f>
        <v>11.3</v>
      </c>
      <c r="AU373" s="3046">
        <f>13.6*Unit.TWh</f>
        <v>13.6</v>
      </c>
      <c r="AV373" s="3046">
        <f>12.9*Unit.TWh</f>
        <v>12.9</v>
      </c>
      <c r="AW373" s="3046" t="s">
        <v>1135</v>
      </c>
      <c r="AY373" s="3058">
        <f t="shared" ca="1" si="106"/>
        <v>1</v>
      </c>
      <c r="BA373" s="3058">
        <f t="shared" ca="1" si="107"/>
        <v>4</v>
      </c>
      <c r="BB373" s="3058">
        <f t="shared" ca="1" si="107"/>
        <v>14</v>
      </c>
      <c r="BC373" s="3058">
        <f t="shared" ca="1" si="107"/>
        <v>21</v>
      </c>
      <c r="BD373" s="3058">
        <f t="shared" ca="1" si="107"/>
        <v>31</v>
      </c>
      <c r="BE373" s="3058">
        <f t="shared" ca="1" si="107"/>
        <v>40</v>
      </c>
      <c r="BF373" s="3058">
        <f t="shared" ca="1" si="107"/>
        <v>49</v>
      </c>
      <c r="BG373" s="3058">
        <f t="shared" ca="1" si="107"/>
        <v>55</v>
      </c>
      <c r="BH373" s="3058">
        <f t="shared" ca="1" si="107"/>
        <v>55</v>
      </c>
      <c r="BI373" s="3058">
        <f t="shared" ca="1" si="107"/>
        <v>55</v>
      </c>
      <c r="BJ373" s="3046"/>
      <c r="BK373" s="3046"/>
      <c r="BL373" s="3046"/>
    </row>
    <row r="374" spans="1:66" s="3020" customFormat="1">
      <c r="A374" s="3012"/>
      <c r="C374" s="3046"/>
      <c r="D374" s="3047" t="s">
        <v>1155</v>
      </c>
      <c r="F374" s="3046"/>
      <c r="G374" s="3046"/>
      <c r="H374" s="3046"/>
      <c r="I374" s="3046"/>
      <c r="J374" s="3046"/>
      <c r="K374" s="3046"/>
      <c r="L374" s="3046"/>
      <c r="M374" s="3046"/>
      <c r="N374" s="3046"/>
      <c r="O374" s="3046"/>
      <c r="P374" s="3046"/>
      <c r="Q374" s="3046"/>
      <c r="R374" s="3046"/>
      <c r="S374" s="3046"/>
      <c r="T374" s="3046"/>
      <c r="U374" s="3046"/>
      <c r="V374" s="3046"/>
      <c r="W374" s="3046"/>
      <c r="X374" s="3046"/>
      <c r="Y374" s="3046"/>
      <c r="Z374" s="3046"/>
      <c r="AA374" s="3046"/>
      <c r="AB374" s="3046"/>
      <c r="AC374" s="3046"/>
      <c r="AD374" s="3046"/>
      <c r="AE374" s="3046"/>
      <c r="AF374" s="3046"/>
      <c r="AG374" s="3046"/>
      <c r="AH374" s="3046"/>
      <c r="AI374" s="3046"/>
      <c r="AJ374" s="3046"/>
      <c r="AK374" s="3046"/>
      <c r="AL374" s="3046"/>
      <c r="AM374" s="3046"/>
      <c r="AN374" s="3046"/>
      <c r="AO374" s="3046"/>
      <c r="AP374" s="3046"/>
      <c r="AQ374" s="3046"/>
      <c r="AR374" s="3046">
        <f>352.2*Unit.TWh</f>
        <v>352.2</v>
      </c>
      <c r="AS374" s="3046">
        <f>348.4*Unit.TWh</f>
        <v>348.4</v>
      </c>
      <c r="AT374" s="3046">
        <f>349.3*Unit.TWh</f>
        <v>349.3</v>
      </c>
      <c r="AU374" s="3046">
        <f>329.3*Unit.TWh</f>
        <v>329.3</v>
      </c>
      <c r="AV374" s="3046">
        <f>335.1*Unit.TWh</f>
        <v>335.1</v>
      </c>
      <c r="AW374" s="3046" t="s">
        <v>1135</v>
      </c>
      <c r="AY374" s="3058">
        <f ca="1">SUM(AY360:AY373)</f>
        <v>790.76970020552903</v>
      </c>
      <c r="BA374" s="3058">
        <f t="shared" ref="BA374:BI374" ca="1" si="109">SUM(BA360:BA373)</f>
        <v>1032.7162873841003</v>
      </c>
      <c r="BB374" s="3058">
        <f t="shared" ca="1" si="109"/>
        <v>1455.8968093122933</v>
      </c>
      <c r="BC374" s="3058">
        <f t="shared" ca="1" si="109"/>
        <v>2063.963133061764</v>
      </c>
      <c r="BD374" s="3058">
        <f t="shared" ca="1" si="109"/>
        <v>2848.373832020111</v>
      </c>
      <c r="BE374" s="3058">
        <f t="shared" ca="1" si="109"/>
        <v>3900.1234784047765</v>
      </c>
      <c r="BF374" s="3058">
        <f t="shared" ca="1" si="109"/>
        <v>4836.305519548243</v>
      </c>
      <c r="BG374" s="3058">
        <f t="shared" ca="1" si="109"/>
        <v>5893.1577805937695</v>
      </c>
      <c r="BH374" s="3058">
        <f t="shared" ca="1" si="109"/>
        <v>6837.7731648973158</v>
      </c>
      <c r="BI374" s="3058">
        <f t="shared" ca="1" si="109"/>
        <v>7907.6694446155834</v>
      </c>
      <c r="BJ374" s="3046"/>
      <c r="BK374" s="3046"/>
      <c r="BL374" s="3046"/>
    </row>
    <row r="375" spans="1:66">
      <c r="C375" s="359"/>
      <c r="D375" s="260"/>
      <c r="F375" s="359"/>
      <c r="G375" s="359"/>
      <c r="H375" s="359"/>
      <c r="I375" s="359"/>
      <c r="J375" s="359"/>
      <c r="K375" s="359"/>
      <c r="L375" s="359"/>
      <c r="M375" s="359"/>
      <c r="N375" s="359"/>
      <c r="O375" s="359"/>
      <c r="P375" s="359"/>
      <c r="Q375" s="359"/>
      <c r="R375" s="359"/>
      <c r="S375" s="359"/>
      <c r="T375" s="359"/>
      <c r="U375" s="359"/>
      <c r="V375" s="359"/>
      <c r="W375" s="359"/>
      <c r="X375" s="359"/>
      <c r="Y375" s="359"/>
      <c r="Z375" s="359"/>
      <c r="AA375" s="359"/>
      <c r="AB375" s="359"/>
      <c r="AC375" s="359"/>
      <c r="AD375" s="359"/>
      <c r="AE375" s="359"/>
      <c r="AF375" s="359"/>
      <c r="AG375" s="359"/>
      <c r="AH375" s="359"/>
      <c r="AI375" s="359"/>
      <c r="AJ375" s="359"/>
      <c r="AK375" s="359"/>
      <c r="AL375" s="359"/>
      <c r="AM375" s="359"/>
      <c r="AN375" s="359"/>
      <c r="AO375" s="359"/>
      <c r="AP375" s="359"/>
      <c r="AQ375" s="359"/>
      <c r="AR375" s="359"/>
      <c r="AS375" s="359"/>
      <c r="AT375" s="359"/>
      <c r="AU375" s="359"/>
      <c r="AV375" s="359"/>
      <c r="AW375" s="359"/>
      <c r="AY375" s="962"/>
      <c r="BA375" s="962"/>
      <c r="BB375" s="1303"/>
      <c r="BC375" s="1307"/>
      <c r="BG375" s="962"/>
      <c r="BH375" s="260"/>
      <c r="BI375" s="260"/>
      <c r="BK375" s="359"/>
      <c r="BL375" s="359"/>
      <c r="BM375" s="359"/>
    </row>
    <row r="376" spans="1:66">
      <c r="C376" s="359"/>
      <c r="D376" s="260"/>
      <c r="F376" s="359"/>
      <c r="G376" s="359"/>
      <c r="H376" s="359"/>
      <c r="I376" s="359"/>
      <c r="J376" s="359"/>
      <c r="K376" s="359"/>
      <c r="L376" s="359"/>
      <c r="M376" s="359"/>
      <c r="N376" s="359"/>
      <c r="O376" s="359"/>
      <c r="P376" s="359"/>
      <c r="Q376" s="359"/>
      <c r="R376" s="359"/>
      <c r="S376" s="359"/>
      <c r="T376" s="359"/>
      <c r="U376" s="359"/>
      <c r="V376" s="359"/>
      <c r="W376" s="359"/>
      <c r="X376" s="359"/>
      <c r="Y376" s="359"/>
      <c r="Z376" s="359"/>
      <c r="AA376" s="359"/>
      <c r="AB376" s="359"/>
      <c r="AC376" s="359"/>
      <c r="AD376" s="359"/>
      <c r="AE376" s="359"/>
      <c r="AF376" s="359"/>
      <c r="AG376" s="359"/>
      <c r="AH376" s="359"/>
      <c r="AI376" s="359"/>
      <c r="AJ376" s="359"/>
      <c r="AK376" s="359"/>
      <c r="AL376" s="359"/>
      <c r="AM376" s="359"/>
      <c r="AN376" s="359"/>
      <c r="AO376" s="359"/>
      <c r="AP376" s="359"/>
      <c r="AQ376" s="359"/>
      <c r="AR376" s="359"/>
      <c r="AS376" s="359"/>
      <c r="AT376" s="359"/>
      <c r="AU376" s="359"/>
      <c r="AV376" s="359"/>
      <c r="AW376" s="359"/>
      <c r="AY376" s="962"/>
      <c r="BA376" s="962"/>
      <c r="BB376" s="1303"/>
      <c r="BC376" s="1307"/>
      <c r="BG376" s="962"/>
      <c r="BH376" s="260"/>
      <c r="BI376" s="260"/>
      <c r="BK376" s="359"/>
      <c r="BL376" s="359"/>
      <c r="BM376" s="359"/>
    </row>
    <row r="377" spans="1:66">
      <c r="B377" s="3148" t="s">
        <v>2359</v>
      </c>
      <c r="C377" s="359"/>
      <c r="D377" s="260"/>
      <c r="F377" s="359"/>
      <c r="G377" s="359"/>
      <c r="H377" s="359"/>
      <c r="I377" s="359"/>
      <c r="J377" s="359"/>
      <c r="K377" s="359"/>
      <c r="L377" s="359"/>
      <c r="M377" s="359"/>
      <c r="N377" s="359"/>
      <c r="O377" s="359"/>
      <c r="P377" s="359"/>
      <c r="Q377" s="359"/>
      <c r="R377" s="359"/>
      <c r="S377" s="359"/>
      <c r="T377" s="359"/>
      <c r="U377" s="359"/>
      <c r="V377" s="359"/>
      <c r="W377" s="359"/>
      <c r="X377" s="359"/>
      <c r="Y377" s="359"/>
      <c r="Z377" s="359"/>
      <c r="AA377" s="359"/>
      <c r="AB377" s="359"/>
      <c r="AC377" s="359"/>
      <c r="AD377" s="359"/>
      <c r="AE377" s="359"/>
      <c r="AF377" s="359"/>
      <c r="AG377" s="359"/>
      <c r="AH377" s="359"/>
      <c r="AI377" s="359"/>
      <c r="AJ377" s="359"/>
      <c r="AK377" s="359"/>
      <c r="AL377" s="359"/>
      <c r="AM377" s="359"/>
      <c r="AN377" s="359"/>
      <c r="AO377" s="359"/>
      <c r="AP377" s="359"/>
      <c r="AQ377" s="359"/>
      <c r="AR377" s="359"/>
      <c r="AS377" s="359"/>
      <c r="AT377" s="359"/>
      <c r="AU377" s="359"/>
      <c r="AV377" s="359"/>
      <c r="AW377" s="359"/>
      <c r="AY377" s="962"/>
      <c r="BA377" s="962"/>
      <c r="BB377" s="1303"/>
      <c r="BC377" s="1307"/>
      <c r="BG377" s="962"/>
      <c r="BH377" s="260"/>
      <c r="BI377" s="260"/>
      <c r="BK377" s="359"/>
      <c r="BL377" s="359"/>
      <c r="BM377" s="359"/>
    </row>
    <row r="378" spans="1:66">
      <c r="C378" s="359" t="s">
        <v>315</v>
      </c>
      <c r="D378" s="260" t="str">
        <f>INDEX(Vectors[Description], MATCH($C378, Vectors[Code], 0))</f>
        <v>Coal oversupply (imports)</v>
      </c>
      <c r="F378" s="359"/>
      <c r="G378" s="359"/>
      <c r="H378" s="359">
        <f>-29.52857*Unit.TWh</f>
        <v>-29.528569999999998</v>
      </c>
      <c r="I378" s="359">
        <f>9.75757*Unit.TWh</f>
        <v>9.7575699999999994</v>
      </c>
      <c r="J378" s="359">
        <f>22.96925*Unit.TWh</f>
        <v>22.969249999999999</v>
      </c>
      <c r="K378" s="359">
        <f>-10.66471*Unit.TWh</f>
        <v>-10.664709999999999</v>
      </c>
      <c r="L378" s="359">
        <f>1.95384*Unit.TWh</f>
        <v>1.95384</v>
      </c>
      <c r="M378" s="359">
        <f>14.35142*Unit.TWh</f>
        <v>14.351419999999999</v>
      </c>
      <c r="N378" s="359">
        <f>5.86152*Unit.TWh</f>
        <v>5.8615199999999996</v>
      </c>
      <c r="O378" s="359">
        <f>0.09304*Unit.TWh</f>
        <v>9.3039999999999998E-2</v>
      </c>
      <c r="P378" s="359">
        <f>-4.97764*Unit.TWh</f>
        <v>-4.9776400000000001</v>
      </c>
      <c r="Q378" s="359">
        <f>13.30472*Unit.TWh</f>
        <v>13.30472</v>
      </c>
      <c r="R378" s="359">
        <f>19.8873*Unit.TWh</f>
        <v>19.8873</v>
      </c>
      <c r="S378" s="359">
        <f>-42.93796*Unit.TWh</f>
        <v>-42.937959999999997</v>
      </c>
      <c r="T378" s="359">
        <f>-27.13279*Unit.TWh</f>
        <v>-27.13279</v>
      </c>
      <c r="U378" s="359">
        <f>-13.15353*Unit.TWh</f>
        <v>-13.15353</v>
      </c>
      <c r="V378" s="359">
        <f>73.40856*Unit.TWh</f>
        <v>73.408559999999994</v>
      </c>
      <c r="W378" s="359">
        <f>81.88683*Unit.TWh</f>
        <v>81.886830000000003</v>
      </c>
      <c r="X378" s="359">
        <f>60.23177*Unit.TWh</f>
        <v>60.231769999999997</v>
      </c>
      <c r="Y378" s="359">
        <f>63.86033*Unit.TWh</f>
        <v>63.860329999999998</v>
      </c>
      <c r="Z378" s="359">
        <f>89.26025*Unit.TWh</f>
        <v>89.260249999999999</v>
      </c>
      <c r="AA378" s="359">
        <f>82.59626*Unit.TWh</f>
        <v>82.596260000000001</v>
      </c>
      <c r="AB378" s="359">
        <f>97.58733*Unit.TWh</f>
        <v>97.587329999999994</v>
      </c>
      <c r="AC378" s="359">
        <f>139.17621*Unit.TWh</f>
        <v>139.17621</v>
      </c>
      <c r="AD378" s="359">
        <f>152.36463*Unit.TWh</f>
        <v>152.36463000000001</v>
      </c>
      <c r="AE378" s="359">
        <f>141.29287*Unit.TWh</f>
        <v>141.29286999999999</v>
      </c>
      <c r="AF378" s="359">
        <f>113.29946*Unit.TWh</f>
        <v>113.29946</v>
      </c>
      <c r="AG378" s="359">
        <f>124.74338*Unit.TWh</f>
        <v>124.74338</v>
      </c>
      <c r="AH378" s="359">
        <f>142.419426770673*Unit.TWh</f>
        <v>142.419426770673</v>
      </c>
      <c r="AI378" s="359">
        <f>155.127946717844*Unit.TWh</f>
        <v>155.127946717844</v>
      </c>
      <c r="AJ378" s="359">
        <f>167.939798014946*Unit.TWh</f>
        <v>167.93979801494601</v>
      </c>
      <c r="AK378" s="359">
        <f>154.269390475848*Unit.TWh</f>
        <v>154.26939047584801</v>
      </c>
      <c r="AL378" s="359">
        <f>177.54271957614*Unit.TWh</f>
        <v>177.54271957614</v>
      </c>
      <c r="AM378" s="359">
        <f>266.164196212801*Unit.TWh</f>
        <v>266.16419621280102</v>
      </c>
      <c r="AN378" s="359">
        <f>213.157281152347*Unit.TWh</f>
        <v>213.157281152347</v>
      </c>
      <c r="AO378" s="359">
        <f>242.680946975591*Unit.TWh</f>
        <v>242.68094697559101</v>
      </c>
      <c r="AP378" s="359">
        <f>274.594113303141*Unit.TWh</f>
        <v>274.594113303141</v>
      </c>
      <c r="AQ378" s="359">
        <f>333.178454490771*Unit.TWh</f>
        <v>333.178454490771</v>
      </c>
      <c r="AR378" s="359">
        <f>382.634191991217*Unit.TWh</f>
        <v>382.63419199121699</v>
      </c>
      <c r="AS378" s="359">
        <f>329.578033333439*Unit.TWh</f>
        <v>329.57803333343901</v>
      </c>
      <c r="AT378" s="359">
        <f>329.254958699124*Unit.TWh</f>
        <v>329.25495869912402</v>
      </c>
      <c r="AU378" s="359">
        <f>281.378070222345*Unit.TWh</f>
        <v>281.378070222345</v>
      </c>
      <c r="AV378" s="359">
        <f>192.811684484113*Unit.TWh</f>
        <v>192.81168448411299</v>
      </c>
      <c r="AW378" s="359" t="s">
        <v>1131</v>
      </c>
      <c r="AY378" s="1304">
        <f ca="1">AY41</f>
        <v>312.87744559290513</v>
      </c>
      <c r="BA378" s="1304">
        <f t="shared" ref="BA378:BI379" ca="1" si="110">BA41</f>
        <v>533.85548221406225</v>
      </c>
      <c r="BB378" s="1304">
        <f t="shared" ca="1" si="110"/>
        <v>1349.5453480108031</v>
      </c>
      <c r="BC378" s="1304">
        <f t="shared" ca="1" si="110"/>
        <v>3068.214410803027</v>
      </c>
      <c r="BD378" s="1304">
        <f t="shared" ca="1" si="110"/>
        <v>5462.9307882709118</v>
      </c>
      <c r="BE378" s="1304">
        <f t="shared" ca="1" si="110"/>
        <v>8849.3886004507167</v>
      </c>
      <c r="BF378" s="1304">
        <f t="shared" ca="1" si="110"/>
        <v>11988.489821833136</v>
      </c>
      <c r="BG378" s="1304">
        <f t="shared" ca="1" si="110"/>
        <v>16113.370591179753</v>
      </c>
      <c r="BH378" s="1304">
        <f t="shared" ca="1" si="110"/>
        <v>19769.818192917424</v>
      </c>
      <c r="BI378" s="1304">
        <f t="shared" ca="1" si="110"/>
        <v>23701.654511114481</v>
      </c>
      <c r="BK378" s="359"/>
      <c r="BL378" s="359"/>
      <c r="BM378" s="359"/>
    </row>
    <row r="379" spans="1:66">
      <c r="C379" s="359" t="s">
        <v>320</v>
      </c>
      <c r="D379" s="260" t="str">
        <f>INDEX(Vectors[Description], MATCH($C379, Vectors[Code], 0))</f>
        <v>Coal reserves</v>
      </c>
      <c r="F379" s="359"/>
      <c r="G379" s="359"/>
      <c r="H379" s="359">
        <f>1178.5*Unit.TWh</f>
        <v>1178.5</v>
      </c>
      <c r="I379" s="359">
        <f>1013.3*Unit.TWh</f>
        <v>1013.3</v>
      </c>
      <c r="J379" s="359">
        <f>873.6*Unit.TWh</f>
        <v>873.6</v>
      </c>
      <c r="K379" s="359">
        <f>978*Unit.TWh</f>
        <v>978</v>
      </c>
      <c r="L379" s="359">
        <f>854.4*Unit.TWh</f>
        <v>854.4</v>
      </c>
      <c r="M379" s="359">
        <f>845.3*Unit.TWh</f>
        <v>845.3</v>
      </c>
      <c r="N379" s="359">
        <f>865.2*Unit.TWh</f>
        <v>865.2</v>
      </c>
      <c r="O379" s="359">
        <f>876.5*Unit.TWh</f>
        <v>876.5</v>
      </c>
      <c r="P379" s="359">
        <f>861.9*Unit.TWh</f>
        <v>861.9</v>
      </c>
      <c r="Q379" s="359">
        <f>902.8*Unit.TWh</f>
        <v>902.8</v>
      </c>
      <c r="R379" s="359">
        <f>834*Unit.TWh</f>
        <v>834</v>
      </c>
      <c r="S379" s="359">
        <f>883.8*Unit.TWh</f>
        <v>883.8</v>
      </c>
      <c r="T379" s="359">
        <f>818.9*Unit.TWh</f>
        <v>818.9</v>
      </c>
      <c r="U379" s="359">
        <f>808.1*Unit.TWh</f>
        <v>808.1</v>
      </c>
      <c r="V379" s="359">
        <f>495*Unit.TWh</f>
        <v>495</v>
      </c>
      <c r="W379" s="359">
        <f>674.9*Unit.TWh</f>
        <v>674.9</v>
      </c>
      <c r="X379" s="359">
        <f>740.9*Unit.TWh</f>
        <v>740.9</v>
      </c>
      <c r="Y379" s="359">
        <f>774.4*Unit.TWh</f>
        <v>774.4</v>
      </c>
      <c r="Z379" s="359">
        <f>718.2*Unit.TWh</f>
        <v>718.2</v>
      </c>
      <c r="AA379" s="359">
        <f>687.3*Unit.TWh</f>
        <v>687.3</v>
      </c>
      <c r="AB379" s="359">
        <f>666.8*Unit.TWh</f>
        <v>666.8</v>
      </c>
      <c r="AC379" s="359">
        <f>629.8*Unit.TWh</f>
        <v>629.79999999999995</v>
      </c>
      <c r="AD379" s="359">
        <f>570.7*Unit.TWh</f>
        <v>570.70000000000005</v>
      </c>
      <c r="AE379" s="359">
        <f>492.6*Unit.TWh</f>
        <v>492.6</v>
      </c>
      <c r="AF379" s="359">
        <f>474*Unit.TWh</f>
        <v>474</v>
      </c>
      <c r="AG379" s="359">
        <f>440.1*Unit.TWh</f>
        <v>440.1</v>
      </c>
      <c r="AH379" s="359">
        <f>391.4*Unit.TWh</f>
        <v>391.4</v>
      </c>
      <c r="AI379" s="359">
        <f>324.7*Unit.TWh</f>
        <v>324.7</v>
      </c>
      <c r="AJ379" s="359">
        <f>308.5*Unit.TWh</f>
        <v>308.5</v>
      </c>
      <c r="AK379" s="359">
        <f>264.3*Unit.TWh</f>
        <v>264.3</v>
      </c>
      <c r="AL379" s="359">
        <f>270.7*Unit.TWh</f>
        <v>270.7</v>
      </c>
      <c r="AM379" s="359">
        <f>208.1*Unit.TWh</f>
        <v>208.1</v>
      </c>
      <c r="AN379" s="359">
        <f>225.3*Unit.TWh</f>
        <v>225.3</v>
      </c>
      <c r="AO379" s="359">
        <f>228.1*Unit.TWh</f>
        <v>228.1</v>
      </c>
      <c r="AP379" s="359">
        <f>179.7*Unit.TWh</f>
        <v>179.7</v>
      </c>
      <c r="AQ379" s="359">
        <f>130.4*Unit.TWh</f>
        <v>130.4</v>
      </c>
      <c r="AR379" s="359">
        <f>121.6*Unit.TWh</f>
        <v>121.6</v>
      </c>
      <c r="AS379" s="359">
        <f>146.8*Unit.TWh</f>
        <v>146.80000000000001</v>
      </c>
      <c r="AT379" s="359">
        <f>110.4*Unit.TWh</f>
        <v>110.4</v>
      </c>
      <c r="AU379" s="359">
        <f>79.3*Unit.TWh</f>
        <v>79.3</v>
      </c>
      <c r="AV379" s="359">
        <f>185.3*Unit.TWh</f>
        <v>185.3</v>
      </c>
      <c r="AW379" s="359" t="s">
        <v>1132</v>
      </c>
      <c r="AY379" s="1304">
        <f t="shared" ref="AY379" ca="1" si="111">AY42</f>
        <v>2003.3688000000002</v>
      </c>
      <c r="BA379" s="1304">
        <f t="shared" ca="1" si="110"/>
        <v>2704.3935000000001</v>
      </c>
      <c r="BB379" s="1304">
        <f t="shared" ca="1" si="110"/>
        <v>3143.1914134327285</v>
      </c>
      <c r="BC379" s="1304">
        <f t="shared" ca="1" si="110"/>
        <v>3584.1507638983121</v>
      </c>
      <c r="BD379" s="1304">
        <f t="shared" ca="1" si="110"/>
        <v>3874.5049279836685</v>
      </c>
      <c r="BE379" s="1304">
        <f t="shared" ca="1" si="110"/>
        <v>3958.482454759453</v>
      </c>
      <c r="BF379" s="1304">
        <f t="shared" ca="1" si="110"/>
        <v>4025.5714811854732</v>
      </c>
      <c r="BG379" s="1304">
        <f t="shared" ca="1" si="110"/>
        <v>3406.6022071917232</v>
      </c>
      <c r="BH379" s="1304">
        <f t="shared" ca="1" si="110"/>
        <v>2878.2636796999973</v>
      </c>
      <c r="BI379" s="1304">
        <f t="shared" ca="1" si="110"/>
        <v>2435.1118288080042</v>
      </c>
      <c r="BJ379" s="242"/>
      <c r="BK379" s="1305"/>
      <c r="BL379" s="1305"/>
      <c r="BM379" s="1305"/>
      <c r="BN379" s="242"/>
    </row>
    <row r="380" spans="1:66">
      <c r="C380" s="359" t="s">
        <v>321</v>
      </c>
      <c r="D380" s="260" t="str">
        <f>INDEX(Vectors[Description], MATCH($C380, Vectors[Code], 0))</f>
        <v>Oil reserves</v>
      </c>
      <c r="F380" s="359"/>
      <c r="G380" s="359"/>
      <c r="H380" s="359"/>
      <c r="I380" s="359"/>
      <c r="J380" s="359"/>
      <c r="K380" s="359"/>
      <c r="L380" s="359"/>
      <c r="M380" s="359"/>
      <c r="N380" s="359"/>
      <c r="O380" s="359"/>
      <c r="P380" s="359"/>
      <c r="Q380" s="359"/>
      <c r="R380" s="359"/>
      <c r="S380" s="359"/>
      <c r="T380" s="359"/>
      <c r="U380" s="359"/>
      <c r="V380" s="359"/>
      <c r="W380" s="359"/>
      <c r="X380" s="359"/>
      <c r="Y380" s="359"/>
      <c r="Z380" s="359"/>
      <c r="AA380" s="359"/>
      <c r="AB380" s="359"/>
      <c r="AC380" s="359"/>
      <c r="AD380" s="359"/>
      <c r="AE380" s="359"/>
      <c r="AF380" s="359"/>
      <c r="AG380" s="359"/>
      <c r="AH380" s="359"/>
      <c r="AI380" s="359"/>
      <c r="AJ380" s="359">
        <f>1544.6*Unit.TWh</f>
        <v>1544.6</v>
      </c>
      <c r="AK380" s="359">
        <f>1613.5*Unit.TWh</f>
        <v>1613.5</v>
      </c>
      <c r="AL380" s="359">
        <f>1489.1*Unit.TWh</f>
        <v>1489.1</v>
      </c>
      <c r="AM380" s="359">
        <f>1357.7*Unit.TWh</f>
        <v>1357.7</v>
      </c>
      <c r="AN380" s="359">
        <f>1371.6*Unit.TWh</f>
        <v>1371.6</v>
      </c>
      <c r="AO380" s="359">
        <f>1221.6*Unit.TWh</f>
        <v>1221.5999999999999</v>
      </c>
      <c r="AP380" s="359">
        <f>1075.8*Unit.TWh</f>
        <v>1075.8</v>
      </c>
      <c r="AQ380" s="359">
        <f>955.5*Unit.TWh</f>
        <v>955.5</v>
      </c>
      <c r="AR380" s="359">
        <f>836.4*Unit.TWh</f>
        <v>836.4</v>
      </c>
      <c r="AS380" s="359">
        <f>896.7*Unit.TWh</f>
        <v>896.7</v>
      </c>
      <c r="AT380" s="359">
        <f>817.1*Unit.TWh</f>
        <v>817.1</v>
      </c>
      <c r="AU380" s="359">
        <f>785*Unit.TWh</f>
        <v>785</v>
      </c>
      <c r="AV380" s="359">
        <f>712.9*Unit.TWh</f>
        <v>712.9</v>
      </c>
      <c r="AW380" s="359" t="s">
        <v>1133</v>
      </c>
      <c r="AY380" s="1304">
        <f ca="1">AY44</f>
        <v>395.28044</v>
      </c>
      <c r="BA380" s="1304">
        <f t="shared" ref="BA380:BI381" ca="1" si="112">BA44</f>
        <v>442.98669999999993</v>
      </c>
      <c r="BB380" s="1304">
        <f t="shared" ca="1" si="112"/>
        <v>480.4207945988</v>
      </c>
      <c r="BC380" s="1304">
        <f t="shared" ca="1" si="112"/>
        <v>406.8218875356273</v>
      </c>
      <c r="BD380" s="1304">
        <f t="shared" ca="1" si="112"/>
        <v>404.69271243177428</v>
      </c>
      <c r="BE380" s="1304">
        <f t="shared" ca="1" si="112"/>
        <v>402.83638767071136</v>
      </c>
      <c r="BF380" s="1304">
        <f t="shared" ca="1" si="112"/>
        <v>401.68501767071086</v>
      </c>
      <c r="BG380" s="1304">
        <f t="shared" ca="1" si="112"/>
        <v>401.13024685060918</v>
      </c>
      <c r="BH380" s="1304">
        <f t="shared" ca="1" si="112"/>
        <v>401.18988105870324</v>
      </c>
      <c r="BI380" s="1304">
        <f t="shared" ca="1" si="112"/>
        <v>401.88812295573837</v>
      </c>
      <c r="BJ380" s="242"/>
      <c r="BK380" s="1305"/>
      <c r="BL380" s="1305"/>
      <c r="BM380" s="1305"/>
      <c r="BN380" s="242"/>
    </row>
    <row r="381" spans="1:66">
      <c r="C381" s="359" t="s">
        <v>316</v>
      </c>
      <c r="D381" s="260" t="str">
        <f>INDEX(Vectors[Description], MATCH($C381, Vectors[Code], 0))</f>
        <v>Oil and petroleum products oversupply (imports)</v>
      </c>
      <c r="F381" s="359"/>
      <c r="G381" s="359"/>
      <c r="H381" s="359"/>
      <c r="I381" s="359"/>
      <c r="J381" s="359"/>
      <c r="K381" s="359"/>
      <c r="L381" s="359"/>
      <c r="M381" s="359"/>
      <c r="N381" s="359"/>
      <c r="O381" s="359"/>
      <c r="P381" s="359"/>
      <c r="Q381" s="359"/>
      <c r="R381" s="359"/>
      <c r="S381" s="359"/>
      <c r="T381" s="359"/>
      <c r="U381" s="359"/>
      <c r="V381" s="359"/>
      <c r="W381" s="359"/>
      <c r="X381" s="359"/>
      <c r="Y381" s="359"/>
      <c r="Z381" s="359"/>
      <c r="AA381" s="359"/>
      <c r="AB381" s="359"/>
      <c r="AC381" s="359"/>
      <c r="AD381" s="359"/>
      <c r="AE381" s="359"/>
      <c r="AF381" s="359"/>
      <c r="AG381" s="359"/>
      <c r="AH381" s="359"/>
      <c r="AI381" s="359"/>
      <c r="AJ381" s="359">
        <f>-467.10732*Unit.TWh</f>
        <v>-467.10732000000002</v>
      </c>
      <c r="AK381" s="359">
        <f>-598.15416*Unit.TWh</f>
        <v>-598.15416000000005</v>
      </c>
      <c r="AL381" s="359">
        <f>-491.289015345148*Unit.TWh</f>
        <v>-491.28901534514802</v>
      </c>
      <c r="AM381" s="359">
        <f>-425.923816553362*Unit.TWh</f>
        <v>-425.92381655336197</v>
      </c>
      <c r="AN381" s="359">
        <f>-385.362040231585*Unit.TWh</f>
        <v>-385.36204023158501</v>
      </c>
      <c r="AO381" s="359">
        <f>-265.313047678547*Unit.TWh</f>
        <v>-265.31304767854698</v>
      </c>
      <c r="AP381" s="359">
        <f>-26.7418072519548*Unit.TWh</f>
        <v>-26.7418072519548</v>
      </c>
      <c r="AQ381" s="359">
        <f>59.0560078145415*Unit.TWh</f>
        <v>59.056007814541502</v>
      </c>
      <c r="AR381" s="359">
        <f>116.268946233383*Unit.TWh</f>
        <v>116.26894623338301</v>
      </c>
      <c r="AS381" s="359">
        <f>79.7439769052016*Unit.TWh</f>
        <v>79.743976905201606</v>
      </c>
      <c r="AT381" s="359">
        <f>146.439372991402*Unit.TWh</f>
        <v>146.439372991402</v>
      </c>
      <c r="AU381" s="359">
        <f>115.647880946813*Unit.TWh</f>
        <v>115.647880946813</v>
      </c>
      <c r="AV381" s="359">
        <f>156.542161812907*Unit.TWh</f>
        <v>156.54216181290701</v>
      </c>
      <c r="AW381" s="359" t="s">
        <v>1134</v>
      </c>
      <c r="AY381" s="1304">
        <f ca="1">AY45</f>
        <v>1217.3455995924837</v>
      </c>
      <c r="BA381" s="1304">
        <f t="shared" ca="1" si="112"/>
        <v>1466.5905800259968</v>
      </c>
      <c r="BB381" s="1304">
        <f t="shared" ca="1" si="112"/>
        <v>2100.3206137516681</v>
      </c>
      <c r="BC381" s="1304">
        <f t="shared" ca="1" si="112"/>
        <v>3054.2541317150194</v>
      </c>
      <c r="BD381" s="1304">
        <f t="shared" ca="1" si="112"/>
        <v>4102.7795788608364</v>
      </c>
      <c r="BE381" s="1304">
        <f t="shared" ca="1" si="112"/>
        <v>5330.667265334645</v>
      </c>
      <c r="BF381" s="1304">
        <f t="shared" ca="1" si="112"/>
        <v>6703.2930240172882</v>
      </c>
      <c r="BG381" s="1304">
        <f t="shared" ca="1" si="112"/>
        <v>8096.4219235944875</v>
      </c>
      <c r="BH381" s="1304">
        <f t="shared" ca="1" si="112"/>
        <v>9663.2311319982509</v>
      </c>
      <c r="BI381" s="1304">
        <f t="shared" ca="1" si="112"/>
        <v>11338.566432233665</v>
      </c>
      <c r="BJ381" s="242"/>
      <c r="BK381" s="1305"/>
      <c r="BL381" s="1305"/>
      <c r="BM381" s="1305"/>
      <c r="BN381" s="242"/>
    </row>
    <row r="382" spans="1:66">
      <c r="C382" s="359" t="s">
        <v>317</v>
      </c>
      <c r="D382" s="260" t="str">
        <f>INDEX(Vectors[Description], MATCH($C382, Vectors[Code], 0))</f>
        <v>Gas oversupply (imports)</v>
      </c>
      <c r="F382" s="359"/>
      <c r="G382" s="359"/>
      <c r="H382" s="359">
        <f>9.759*Unit.TWh</f>
        <v>9.7590000000000003</v>
      </c>
      <c r="I382" s="359">
        <f>9.73*Unit.TWh</f>
        <v>9.73</v>
      </c>
      <c r="J382" s="359">
        <f>8.968*Unit.TWh</f>
        <v>8.968</v>
      </c>
      <c r="K382" s="359">
        <f>8.587*Unit.TWh</f>
        <v>8.5869999999999997</v>
      </c>
      <c r="L382" s="359">
        <f>7.122*Unit.TWh</f>
        <v>7.1219999999999999</v>
      </c>
      <c r="M382" s="359">
        <f>9.818*Unit.TWh</f>
        <v>9.8179999999999996</v>
      </c>
      <c r="N382" s="359">
        <f>11.254*Unit.TWh</f>
        <v>11.254</v>
      </c>
      <c r="O382" s="359">
        <f>19.548*Unit.TWh</f>
        <v>19.547999999999998</v>
      </c>
      <c r="P382" s="359">
        <f>55.361*Unit.TWh</f>
        <v>55.360999999999997</v>
      </c>
      <c r="Q382" s="359">
        <f>95.424*Unit.TWh</f>
        <v>95.424000000000007</v>
      </c>
      <c r="R382" s="359">
        <f>116.291*Unit.TWh</f>
        <v>116.291</v>
      </c>
      <c r="S382" s="359">
        <f>124.262*Unit.TWh</f>
        <v>124.262</v>
      </c>
      <c r="T382" s="359">
        <f>115.001*Unit.TWh</f>
        <v>115.001</v>
      </c>
      <c r="U382" s="359">
        <f>124.497*Unit.TWh</f>
        <v>124.497</v>
      </c>
      <c r="V382" s="359">
        <f>147.415*Unit.TWh</f>
        <v>147.41499999999999</v>
      </c>
      <c r="W382" s="359">
        <f>147.122*Unit.TWh</f>
        <v>147.12200000000001</v>
      </c>
      <c r="X382" s="359">
        <f>137.099*Unit.TWh</f>
        <v>137.09899999999999</v>
      </c>
      <c r="Y382" s="359">
        <f>128.893*Unit.TWh</f>
        <v>128.893</v>
      </c>
      <c r="Z382" s="359">
        <f>115.441*Unit.TWh</f>
        <v>115.441</v>
      </c>
      <c r="AA382" s="359">
        <f>113.77*Unit.TWh</f>
        <v>113.77</v>
      </c>
      <c r="AB382" s="359">
        <f>79.833*Unit.TWh</f>
        <v>79.832999999999998</v>
      </c>
      <c r="AC382" s="359">
        <f>72.007*Unit.TWh</f>
        <v>72.007000000000005</v>
      </c>
      <c r="AD382" s="359">
        <f>60.635*Unit.TWh</f>
        <v>60.634999999999998</v>
      </c>
      <c r="AE382" s="359">
        <f>41.704*Unit.TWh</f>
        <v>41.704000000000001</v>
      </c>
      <c r="AF382" s="359">
        <f>23.496*Unit.TWh</f>
        <v>23.495999999999999</v>
      </c>
      <c r="AG382" s="359">
        <f>8.225*Unit.TWh</f>
        <v>8.2249999999999996</v>
      </c>
      <c r="AH382" s="359">
        <f>4.601*Unit.TWh</f>
        <v>4.601</v>
      </c>
      <c r="AI382" s="359">
        <f>-7.604*Unit.TWh</f>
        <v>-7.6040000000000001</v>
      </c>
      <c r="AJ382" s="359">
        <f>-21.022*Unit.TWh</f>
        <v>-21.021999999999998</v>
      </c>
      <c r="AK382" s="359">
        <f>-71.571*Unit.TWh</f>
        <v>-71.570999999999998</v>
      </c>
      <c r="AL382" s="359">
        <f>-120.31*Unit.TWh</f>
        <v>-120.31</v>
      </c>
      <c r="AM382" s="359">
        <f>-107.866*Unit.TWh</f>
        <v>-107.866</v>
      </c>
      <c r="AN382" s="359">
        <f>-90.238*Unit.TWh</f>
        <v>-90.238</v>
      </c>
      <c r="AO382" s="359">
        <f>-90.741*Unit.TWh</f>
        <v>-90.741</v>
      </c>
      <c r="AP382" s="359">
        <f>18.9210152317339*Unit.TWh</f>
        <v>18.9210152317339</v>
      </c>
      <c r="AQ382" s="359">
        <f>77.1469066294905*Unit.TWh</f>
        <v>77.146906629490502</v>
      </c>
      <c r="AR382" s="359">
        <f>123.438611928566*Unit.TWh</f>
        <v>123.438611928566</v>
      </c>
      <c r="AS382" s="359">
        <f>214.868653082757*Unit.TWh</f>
        <v>214.86865308275699</v>
      </c>
      <c r="AT382" s="359">
        <f>284.384233699597*Unit.TWh</f>
        <v>284.38423369959702</v>
      </c>
      <c r="AU382" s="359">
        <f>318.688961523769*Unit.TWh</f>
        <v>318.68896152376902</v>
      </c>
      <c r="AV382" s="359">
        <f>413.098109925268*Unit.TWh</f>
        <v>413.09810992526798</v>
      </c>
      <c r="AW382" s="359" t="s">
        <v>1136</v>
      </c>
      <c r="AY382" s="1304">
        <f ca="1">AY47</f>
        <v>153.83385468740386</v>
      </c>
      <c r="BA382" s="1304">
        <f t="shared" ref="BA382:BI383" ca="1" si="113">BA47</f>
        <v>158.80496962180251</v>
      </c>
      <c r="BB382" s="1304">
        <f t="shared" ca="1" si="113"/>
        <v>447.28146847936694</v>
      </c>
      <c r="BC382" s="1304">
        <f t="shared" ca="1" si="113"/>
        <v>580.82834753994018</v>
      </c>
      <c r="BD382" s="1304">
        <f t="shared" ca="1" si="113"/>
        <v>719.79234346908368</v>
      </c>
      <c r="BE382" s="1304">
        <f t="shared" ca="1" si="113"/>
        <v>883.00958491906431</v>
      </c>
      <c r="BF382" s="1304">
        <f t="shared" ca="1" si="113"/>
        <v>1091.1358234381285</v>
      </c>
      <c r="BG382" s="1304">
        <f t="shared" ca="1" si="113"/>
        <v>1323.7322738925393</v>
      </c>
      <c r="BH382" s="1304">
        <f t="shared" ca="1" si="113"/>
        <v>1577.3126958590992</v>
      </c>
      <c r="BI382" s="1304">
        <f t="shared" ca="1" si="113"/>
        <v>1879.4436261638216</v>
      </c>
      <c r="BK382" s="359"/>
      <c r="BL382" s="359"/>
      <c r="BM382" s="359"/>
    </row>
    <row r="383" spans="1:66">
      <c r="C383" s="359" t="s">
        <v>322</v>
      </c>
      <c r="D383" s="260" t="str">
        <f>INDEX(Vectors[Description], MATCH($C383, Vectors[Code], 0))</f>
        <v>Gas reserves</v>
      </c>
      <c r="F383" s="359"/>
      <c r="G383" s="359"/>
      <c r="H383" s="359"/>
      <c r="I383" s="359"/>
      <c r="J383" s="359"/>
      <c r="K383" s="359"/>
      <c r="L383" s="359"/>
      <c r="M383" s="359"/>
      <c r="N383" s="359"/>
      <c r="O383" s="359"/>
      <c r="P383" s="359"/>
      <c r="Q383" s="359"/>
      <c r="R383" s="359"/>
      <c r="S383" s="359"/>
      <c r="T383" s="359"/>
      <c r="U383" s="359"/>
      <c r="V383" s="359"/>
      <c r="W383" s="359"/>
      <c r="X383" s="359"/>
      <c r="Y383" s="359"/>
      <c r="Z383" s="359"/>
      <c r="AA383" s="359"/>
      <c r="AB383" s="359"/>
      <c r="AC383" s="359"/>
      <c r="AD383" s="359"/>
      <c r="AE383" s="359"/>
      <c r="AF383" s="359"/>
      <c r="AG383" s="359"/>
      <c r="AH383" s="359"/>
      <c r="AI383" s="359"/>
      <c r="AJ383" s="359">
        <f>1036.5*Unit.TWh</f>
        <v>1036.5</v>
      </c>
      <c r="AK383" s="359">
        <f>1147.5*Unit.TWh</f>
        <v>1147.5</v>
      </c>
      <c r="AL383" s="359">
        <f>1235.3*Unit.TWh</f>
        <v>1235.3</v>
      </c>
      <c r="AM383" s="359">
        <f>1219.2*Unit.TWh</f>
        <v>1219.2</v>
      </c>
      <c r="AN383" s="359">
        <f>1187.3*Unit.TWh</f>
        <v>1187.3</v>
      </c>
      <c r="AO383" s="359">
        <f>1191.4*Unit.TWh</f>
        <v>1191.4000000000001</v>
      </c>
      <c r="AP383" s="359">
        <f>1105*Unit.TWh</f>
        <v>1105</v>
      </c>
      <c r="AQ383" s="359">
        <f>1019.4*Unit.TWh</f>
        <v>1019.4</v>
      </c>
      <c r="AR383" s="359">
        <f>916.2*Unit.TWh</f>
        <v>916.2</v>
      </c>
      <c r="AS383" s="359">
        <f>834.1*Unit.TWh</f>
        <v>834.1</v>
      </c>
      <c r="AT383" s="359">
        <f>797.7*Unit.TWh</f>
        <v>797.7</v>
      </c>
      <c r="AU383" s="359">
        <f>681.9*Unit.TWh</f>
        <v>681.9</v>
      </c>
      <c r="AV383" s="359">
        <f>671.9*Unit.TWh</f>
        <v>671.9</v>
      </c>
      <c r="AW383" s="359" t="s">
        <v>1137</v>
      </c>
      <c r="AY383" s="1304">
        <f ca="1">AY48</f>
        <v>296.5420125</v>
      </c>
      <c r="BA383" s="1304">
        <f t="shared" ca="1" si="113"/>
        <v>449.1920925</v>
      </c>
      <c r="BB383" s="1304">
        <f t="shared" ca="1" si="113"/>
        <v>507.09261100499998</v>
      </c>
      <c r="BC383" s="1304">
        <f t="shared" ca="1" si="113"/>
        <v>548.56099701000005</v>
      </c>
      <c r="BD383" s="1304">
        <f t="shared" ca="1" si="113"/>
        <v>586.57321805615095</v>
      </c>
      <c r="BE383" s="1304">
        <f t="shared" ca="1" si="113"/>
        <v>641.54155989156084</v>
      </c>
      <c r="BF383" s="1304">
        <f t="shared" ca="1" si="113"/>
        <v>680.54187544379761</v>
      </c>
      <c r="BG383" s="1304">
        <f t="shared" ca="1" si="113"/>
        <v>722.92972840858988</v>
      </c>
      <c r="BH383" s="1304">
        <f t="shared" ca="1" si="113"/>
        <v>769.07133311204609</v>
      </c>
      <c r="BI383" s="1304">
        <f t="shared" ca="1" si="113"/>
        <v>803.22299999999996</v>
      </c>
      <c r="BK383" s="359"/>
      <c r="BL383" s="359"/>
      <c r="BM383" s="359"/>
    </row>
    <row r="384" spans="1:66">
      <c r="C384" s="359"/>
      <c r="D384" s="260"/>
      <c r="F384" s="359"/>
      <c r="G384" s="359"/>
      <c r="H384" s="359"/>
      <c r="I384" s="359"/>
      <c r="J384" s="359"/>
      <c r="K384" s="359"/>
      <c r="L384" s="359"/>
      <c r="M384" s="359"/>
      <c r="N384" s="359"/>
      <c r="O384" s="359"/>
      <c r="P384" s="359"/>
      <c r="Q384" s="359"/>
      <c r="R384" s="359"/>
      <c r="S384" s="359"/>
      <c r="T384" s="359"/>
      <c r="U384" s="359"/>
      <c r="V384" s="359"/>
      <c r="W384" s="359"/>
      <c r="X384" s="359"/>
      <c r="Y384" s="359"/>
      <c r="Z384" s="359"/>
      <c r="AA384" s="359"/>
      <c r="AB384" s="359"/>
      <c r="AC384" s="359"/>
      <c r="AD384" s="359"/>
      <c r="AE384" s="359"/>
      <c r="AF384" s="359"/>
      <c r="AG384" s="359"/>
      <c r="AH384" s="359"/>
      <c r="AI384" s="359"/>
      <c r="AJ384" s="359"/>
      <c r="AK384" s="359"/>
      <c r="AL384" s="359"/>
      <c r="AM384" s="359"/>
      <c r="AN384" s="359"/>
      <c r="AO384" s="359"/>
      <c r="AP384" s="359"/>
      <c r="AQ384" s="359"/>
      <c r="AR384" s="359"/>
      <c r="AS384" s="359"/>
      <c r="AT384" s="359"/>
      <c r="AU384" s="359"/>
      <c r="AV384" s="359"/>
      <c r="AW384" s="359"/>
      <c r="AY384" s="962"/>
      <c r="BA384" s="962"/>
      <c r="BB384" s="1303"/>
      <c r="BC384" s="1307"/>
      <c r="BG384" s="962"/>
      <c r="BH384" s="260"/>
      <c r="BI384" s="260"/>
      <c r="BK384" s="359"/>
      <c r="BL384" s="359"/>
      <c r="BM384" s="359"/>
    </row>
    <row r="385" spans="3:65">
      <c r="C385" s="359"/>
      <c r="D385" s="260" t="s">
        <v>2360</v>
      </c>
      <c r="F385" s="359"/>
      <c r="G385" s="359"/>
      <c r="H385" s="359"/>
      <c r="I385" s="359"/>
      <c r="J385" s="359"/>
      <c r="K385" s="359"/>
      <c r="L385" s="359"/>
      <c r="M385" s="359"/>
      <c r="N385" s="359"/>
      <c r="O385" s="359"/>
      <c r="P385" s="359"/>
      <c r="Q385" s="359"/>
      <c r="R385" s="359"/>
      <c r="S385" s="359"/>
      <c r="T385" s="359"/>
      <c r="U385" s="359"/>
      <c r="V385" s="359"/>
      <c r="W385" s="359"/>
      <c r="X385" s="359"/>
      <c r="Y385" s="359"/>
      <c r="Z385" s="359"/>
      <c r="AA385" s="359"/>
      <c r="AB385" s="359"/>
      <c r="AC385" s="359"/>
      <c r="AD385" s="359"/>
      <c r="AE385" s="359"/>
      <c r="AF385" s="359"/>
      <c r="AG385" s="359"/>
      <c r="AH385" s="359"/>
      <c r="AI385" s="359"/>
      <c r="AJ385" s="359"/>
      <c r="AK385" s="359"/>
      <c r="AL385" s="359"/>
      <c r="AM385" s="359"/>
      <c r="AN385" s="359"/>
      <c r="AO385" s="359"/>
      <c r="AP385" s="359"/>
      <c r="AQ385" s="359"/>
      <c r="AR385" s="359"/>
      <c r="AS385" s="359"/>
      <c r="AT385" s="359"/>
      <c r="AU385" s="359"/>
      <c r="AV385" s="359"/>
      <c r="AW385" s="359"/>
      <c r="AY385" s="962">
        <f>AY359</f>
        <v>2007</v>
      </c>
      <c r="BA385" s="962">
        <v>2012</v>
      </c>
      <c r="BB385" s="1303">
        <v>2017</v>
      </c>
      <c r="BC385" s="3020">
        <f t="shared" ref="BC385:BI385" si="114">BB385+5</f>
        <v>2022</v>
      </c>
      <c r="BD385" s="3020">
        <f t="shared" si="114"/>
        <v>2027</v>
      </c>
      <c r="BE385" s="3020">
        <f t="shared" si="114"/>
        <v>2032</v>
      </c>
      <c r="BF385" s="3048">
        <f t="shared" si="114"/>
        <v>2037</v>
      </c>
      <c r="BG385" s="3047">
        <f t="shared" si="114"/>
        <v>2042</v>
      </c>
      <c r="BH385" s="3047">
        <f t="shared" si="114"/>
        <v>2047</v>
      </c>
      <c r="BI385" s="3046">
        <f t="shared" si="114"/>
        <v>2052</v>
      </c>
      <c r="BK385" s="359"/>
      <c r="BL385" s="359"/>
      <c r="BM385" s="359"/>
    </row>
    <row r="386" spans="3:65">
      <c r="C386" s="359"/>
      <c r="D386" s="260" t="s">
        <v>2361</v>
      </c>
      <c r="F386" s="359"/>
      <c r="G386" s="359"/>
      <c r="H386" s="359"/>
      <c r="I386" s="359"/>
      <c r="J386" s="359"/>
      <c r="K386" s="359"/>
      <c r="L386" s="359"/>
      <c r="M386" s="359"/>
      <c r="N386" s="359"/>
      <c r="O386" s="359"/>
      <c r="P386" s="359"/>
      <c r="Q386" s="359"/>
      <c r="R386" s="359"/>
      <c r="S386" s="359"/>
      <c r="T386" s="359"/>
      <c r="U386" s="359"/>
      <c r="V386" s="359"/>
      <c r="W386" s="359"/>
      <c r="X386" s="359"/>
      <c r="Y386" s="359"/>
      <c r="Z386" s="359"/>
      <c r="AA386" s="359"/>
      <c r="AB386" s="359"/>
      <c r="AC386" s="359"/>
      <c r="AD386" s="359"/>
      <c r="AE386" s="359"/>
      <c r="AF386" s="359"/>
      <c r="AG386" s="359"/>
      <c r="AH386" s="359"/>
      <c r="AI386" s="359"/>
      <c r="AJ386" s="359"/>
      <c r="AK386" s="359"/>
      <c r="AL386" s="359"/>
      <c r="AM386" s="359"/>
      <c r="AN386" s="359"/>
      <c r="AO386" s="359"/>
      <c r="AP386" s="359"/>
      <c r="AQ386" s="359"/>
      <c r="AR386" s="359"/>
      <c r="AS386" s="359"/>
      <c r="AT386" s="359"/>
      <c r="AU386" s="359"/>
      <c r="AV386" s="359"/>
      <c r="AW386" s="359"/>
      <c r="AY386" s="1304">
        <f ca="1">AY379+MIN(0,AY378)</f>
        <v>2003.3688000000002</v>
      </c>
      <c r="BA386" s="1304">
        <f t="shared" ref="BA386:BI386" ca="1" si="115">BA379+MIN(0,BA378)</f>
        <v>2704.3935000000001</v>
      </c>
      <c r="BB386" s="1304">
        <f t="shared" ca="1" si="115"/>
        <v>3143.1914134327285</v>
      </c>
      <c r="BC386" s="1304">
        <f t="shared" ca="1" si="115"/>
        <v>3584.1507638983121</v>
      </c>
      <c r="BD386" s="1304">
        <f t="shared" ca="1" si="115"/>
        <v>3874.5049279836685</v>
      </c>
      <c r="BE386" s="1304">
        <f t="shared" ca="1" si="115"/>
        <v>3958.482454759453</v>
      </c>
      <c r="BF386" s="1304">
        <f t="shared" ca="1" si="115"/>
        <v>4025.5714811854732</v>
      </c>
      <c r="BG386" s="1304">
        <f t="shared" ca="1" si="115"/>
        <v>3406.6022071917232</v>
      </c>
      <c r="BH386" s="1304">
        <f t="shared" ca="1" si="115"/>
        <v>2878.2636796999973</v>
      </c>
      <c r="BI386" s="1304">
        <f t="shared" ca="1" si="115"/>
        <v>2435.1118288080042</v>
      </c>
      <c r="BK386" s="359"/>
      <c r="BL386" s="359"/>
      <c r="BM386" s="359"/>
    </row>
    <row r="387" spans="3:65">
      <c r="C387" s="359"/>
      <c r="D387" s="260" t="s">
        <v>2362</v>
      </c>
      <c r="F387" s="359"/>
      <c r="G387" s="359"/>
      <c r="H387" s="359"/>
      <c r="I387" s="359"/>
      <c r="J387" s="359"/>
      <c r="K387" s="359"/>
      <c r="L387" s="359"/>
      <c r="M387" s="359"/>
      <c r="N387" s="359"/>
      <c r="O387" s="359"/>
      <c r="P387" s="359"/>
      <c r="Q387" s="359"/>
      <c r="R387" s="359"/>
      <c r="S387" s="359"/>
      <c r="T387" s="359"/>
      <c r="U387" s="359"/>
      <c r="V387" s="359"/>
      <c r="W387" s="359"/>
      <c r="X387" s="359"/>
      <c r="Y387" s="359"/>
      <c r="Z387" s="359"/>
      <c r="AA387" s="359"/>
      <c r="AB387" s="359"/>
      <c r="AC387" s="359"/>
      <c r="AD387" s="359"/>
      <c r="AE387" s="359"/>
      <c r="AF387" s="359"/>
      <c r="AG387" s="359"/>
      <c r="AH387" s="359"/>
      <c r="AI387" s="359"/>
      <c r="AJ387" s="359"/>
      <c r="AK387" s="359"/>
      <c r="AL387" s="359"/>
      <c r="AM387" s="359"/>
      <c r="AN387" s="359"/>
      <c r="AO387" s="359"/>
      <c r="AP387" s="359"/>
      <c r="AQ387" s="359"/>
      <c r="AR387" s="359"/>
      <c r="AS387" s="359"/>
      <c r="AT387" s="359"/>
      <c r="AU387" s="359"/>
      <c r="AV387" s="359"/>
      <c r="AW387" s="359"/>
      <c r="AY387" s="1304">
        <f ca="1">MAX(0,AY378)</f>
        <v>312.87744559290513</v>
      </c>
      <c r="BA387" s="1304">
        <f t="shared" ref="BA387:BI387" ca="1" si="116">MAX(0,BA378)</f>
        <v>533.85548221406225</v>
      </c>
      <c r="BB387" s="1304">
        <f t="shared" ca="1" si="116"/>
        <v>1349.5453480108031</v>
      </c>
      <c r="BC387" s="1304">
        <f t="shared" ca="1" si="116"/>
        <v>3068.214410803027</v>
      </c>
      <c r="BD387" s="1304">
        <f t="shared" ca="1" si="116"/>
        <v>5462.9307882709118</v>
      </c>
      <c r="BE387" s="1304">
        <f t="shared" ca="1" si="116"/>
        <v>8849.3886004507167</v>
      </c>
      <c r="BF387" s="1304">
        <f t="shared" ca="1" si="116"/>
        <v>11988.489821833136</v>
      </c>
      <c r="BG387" s="1304">
        <f t="shared" ca="1" si="116"/>
        <v>16113.370591179753</v>
      </c>
      <c r="BH387" s="1304">
        <f t="shared" ca="1" si="116"/>
        <v>19769.818192917424</v>
      </c>
      <c r="BI387" s="1304">
        <f t="shared" ca="1" si="116"/>
        <v>23701.654511114481</v>
      </c>
      <c r="BK387" s="359"/>
      <c r="BL387" s="359"/>
      <c r="BM387" s="359"/>
    </row>
    <row r="388" spans="3:65">
      <c r="C388" s="359"/>
      <c r="D388" s="260" t="s">
        <v>2363</v>
      </c>
      <c r="F388" s="359"/>
      <c r="G388" s="359"/>
      <c r="H388" s="359"/>
      <c r="I388" s="359"/>
      <c r="J388" s="359"/>
      <c r="K388" s="359"/>
      <c r="L388" s="359"/>
      <c r="M388" s="359"/>
      <c r="N388" s="359"/>
      <c r="O388" s="359"/>
      <c r="P388" s="359"/>
      <c r="Q388" s="359"/>
      <c r="R388" s="359"/>
      <c r="S388" s="359"/>
      <c r="T388" s="359"/>
      <c r="U388" s="359"/>
      <c r="V388" s="359"/>
      <c r="W388" s="359"/>
      <c r="X388" s="359"/>
      <c r="Y388" s="359"/>
      <c r="Z388" s="359"/>
      <c r="AA388" s="359"/>
      <c r="AB388" s="359"/>
      <c r="AC388" s="359"/>
      <c r="AD388" s="359"/>
      <c r="AE388" s="359"/>
      <c r="AF388" s="359"/>
      <c r="AG388" s="359"/>
      <c r="AH388" s="359"/>
      <c r="AI388" s="359"/>
      <c r="AJ388" s="359"/>
      <c r="AK388" s="359"/>
      <c r="AL388" s="359"/>
      <c r="AM388" s="359"/>
      <c r="AN388" s="359"/>
      <c r="AO388" s="359"/>
      <c r="AP388" s="359"/>
      <c r="AQ388" s="359"/>
      <c r="AR388" s="359"/>
      <c r="AS388" s="359"/>
      <c r="AT388" s="359"/>
      <c r="AU388" s="359"/>
      <c r="AV388" s="359"/>
      <c r="AW388" s="359"/>
      <c r="AY388" s="1304">
        <f ca="1">AY380+MIN(0,AY381)</f>
        <v>395.28044</v>
      </c>
      <c r="BA388" s="1304">
        <f t="shared" ref="BA388:BI388" ca="1" si="117">BA380+MIN(0,BA381)</f>
        <v>442.98669999999993</v>
      </c>
      <c r="BB388" s="1304">
        <f t="shared" ca="1" si="117"/>
        <v>480.4207945988</v>
      </c>
      <c r="BC388" s="1304">
        <f t="shared" ca="1" si="117"/>
        <v>406.8218875356273</v>
      </c>
      <c r="BD388" s="1304">
        <f t="shared" ca="1" si="117"/>
        <v>404.69271243177428</v>
      </c>
      <c r="BE388" s="1304">
        <f t="shared" ca="1" si="117"/>
        <v>402.83638767071136</v>
      </c>
      <c r="BF388" s="1304">
        <f t="shared" ca="1" si="117"/>
        <v>401.68501767071086</v>
      </c>
      <c r="BG388" s="1304">
        <f t="shared" ca="1" si="117"/>
        <v>401.13024685060918</v>
      </c>
      <c r="BH388" s="1304">
        <f t="shared" ca="1" si="117"/>
        <v>401.18988105870324</v>
      </c>
      <c r="BI388" s="1304">
        <f t="shared" ca="1" si="117"/>
        <v>401.88812295573837</v>
      </c>
    </row>
    <row r="389" spans="3:65">
      <c r="C389" s="359"/>
      <c r="D389" s="260" t="s">
        <v>2406</v>
      </c>
      <c r="F389" s="359"/>
      <c r="G389" s="359"/>
      <c r="H389" s="359"/>
      <c r="I389" s="359"/>
      <c r="J389" s="359"/>
      <c r="K389" s="359"/>
      <c r="L389" s="359"/>
      <c r="M389" s="359"/>
      <c r="N389" s="359"/>
      <c r="O389" s="359"/>
      <c r="P389" s="359"/>
      <c r="Q389" s="359"/>
      <c r="R389" s="359"/>
      <c r="S389" s="359"/>
      <c r="T389" s="359"/>
      <c r="U389" s="359"/>
      <c r="V389" s="359"/>
      <c r="W389" s="359"/>
      <c r="X389" s="359"/>
      <c r="Y389" s="359"/>
      <c r="Z389" s="359"/>
      <c r="AA389" s="359"/>
      <c r="AB389" s="359"/>
      <c r="AC389" s="359"/>
      <c r="AD389" s="359"/>
      <c r="AE389" s="359"/>
      <c r="AF389" s="359"/>
      <c r="AG389" s="359"/>
      <c r="AH389" s="359"/>
      <c r="AI389" s="359"/>
      <c r="AJ389" s="359"/>
      <c r="AK389" s="359"/>
      <c r="AL389" s="359"/>
      <c r="AM389" s="359"/>
      <c r="AN389" s="359"/>
      <c r="AO389" s="359"/>
      <c r="AP389" s="359"/>
      <c r="AQ389" s="359"/>
      <c r="AR389" s="359"/>
      <c r="AS389" s="359"/>
      <c r="AT389" s="359"/>
      <c r="AU389" s="359"/>
      <c r="AV389" s="359"/>
      <c r="AW389" s="359"/>
      <c r="AY389" s="1304">
        <f ca="1">MAX(0,AY381)</f>
        <v>1217.3455995924837</v>
      </c>
      <c r="BA389" s="1304">
        <f t="shared" ref="BA389:BI389" ca="1" si="118">MAX(0,BA381)</f>
        <v>1466.5905800259968</v>
      </c>
      <c r="BB389" s="1304">
        <f t="shared" ca="1" si="118"/>
        <v>2100.3206137516681</v>
      </c>
      <c r="BC389" s="1304">
        <f t="shared" ca="1" si="118"/>
        <v>3054.2541317150194</v>
      </c>
      <c r="BD389" s="1304">
        <f t="shared" ca="1" si="118"/>
        <v>4102.7795788608364</v>
      </c>
      <c r="BE389" s="1304">
        <f t="shared" ca="1" si="118"/>
        <v>5330.667265334645</v>
      </c>
      <c r="BF389" s="1304">
        <f t="shared" ca="1" si="118"/>
        <v>6703.2930240172882</v>
      </c>
      <c r="BG389" s="1304">
        <f t="shared" ca="1" si="118"/>
        <v>8096.4219235944875</v>
      </c>
      <c r="BH389" s="1304">
        <f t="shared" ca="1" si="118"/>
        <v>9663.2311319982509</v>
      </c>
      <c r="BI389" s="1304">
        <f t="shared" ca="1" si="118"/>
        <v>11338.566432233665</v>
      </c>
    </row>
    <row r="390" spans="3:65">
      <c r="C390" s="359"/>
      <c r="D390" s="260" t="s">
        <v>2364</v>
      </c>
      <c r="F390" s="359"/>
      <c r="G390" s="359"/>
      <c r="H390" s="359"/>
      <c r="I390" s="359"/>
      <c r="J390" s="359"/>
      <c r="K390" s="359"/>
      <c r="L390" s="359"/>
      <c r="M390" s="359"/>
      <c r="N390" s="359"/>
      <c r="O390" s="359"/>
      <c r="P390" s="359"/>
      <c r="Q390" s="359"/>
      <c r="R390" s="359"/>
      <c r="S390" s="359"/>
      <c r="T390" s="359"/>
      <c r="U390" s="359"/>
      <c r="V390" s="359"/>
      <c r="W390" s="359"/>
      <c r="X390" s="359"/>
      <c r="Y390" s="359"/>
      <c r="Z390" s="359"/>
      <c r="AA390" s="359"/>
      <c r="AB390" s="359"/>
      <c r="AC390" s="359"/>
      <c r="AD390" s="359"/>
      <c r="AE390" s="359"/>
      <c r="AF390" s="359"/>
      <c r="AG390" s="359"/>
      <c r="AH390" s="359"/>
      <c r="AI390" s="359"/>
      <c r="AJ390" s="359"/>
      <c r="AK390" s="359"/>
      <c r="AL390" s="359"/>
      <c r="AM390" s="359"/>
      <c r="AN390" s="359"/>
      <c r="AO390" s="359"/>
      <c r="AP390" s="359"/>
      <c r="AQ390" s="359"/>
      <c r="AR390" s="359"/>
      <c r="AS390" s="359"/>
      <c r="AT390" s="359"/>
      <c r="AU390" s="359"/>
      <c r="AV390" s="359"/>
      <c r="AW390" s="359"/>
      <c r="AY390" s="1304">
        <f ca="1">AY383+MIN(0,AY382)</f>
        <v>296.5420125</v>
      </c>
      <c r="BA390" s="1304">
        <f t="shared" ref="BA390:BI390" ca="1" si="119">BA383+MIN(0,BA382)</f>
        <v>449.1920925</v>
      </c>
      <c r="BB390" s="1304">
        <f t="shared" ca="1" si="119"/>
        <v>507.09261100499998</v>
      </c>
      <c r="BC390" s="1304">
        <f t="shared" ca="1" si="119"/>
        <v>548.56099701000005</v>
      </c>
      <c r="BD390" s="1304">
        <f t="shared" ca="1" si="119"/>
        <v>586.57321805615095</v>
      </c>
      <c r="BE390" s="1304">
        <f t="shared" ca="1" si="119"/>
        <v>641.54155989156084</v>
      </c>
      <c r="BF390" s="1304">
        <f t="shared" ca="1" si="119"/>
        <v>680.54187544379761</v>
      </c>
      <c r="BG390" s="1304">
        <f t="shared" ca="1" si="119"/>
        <v>722.92972840858988</v>
      </c>
      <c r="BH390" s="1304">
        <f t="shared" ca="1" si="119"/>
        <v>769.07133311204609</v>
      </c>
      <c r="BI390" s="1304">
        <f t="shared" ca="1" si="119"/>
        <v>803.22299999999996</v>
      </c>
    </row>
    <row r="391" spans="3:65">
      <c r="C391" s="359"/>
      <c r="D391" s="260" t="s">
        <v>2365</v>
      </c>
      <c r="F391" s="359"/>
      <c r="G391" s="359"/>
      <c r="H391" s="359"/>
      <c r="I391" s="359"/>
      <c r="J391" s="359"/>
      <c r="K391" s="359"/>
      <c r="L391" s="359"/>
      <c r="M391" s="359"/>
      <c r="N391" s="359"/>
      <c r="O391" s="359"/>
      <c r="P391" s="359"/>
      <c r="Q391" s="359"/>
      <c r="R391" s="359"/>
      <c r="S391" s="359"/>
      <c r="T391" s="359"/>
      <c r="U391" s="359"/>
      <c r="V391" s="359"/>
      <c r="W391" s="359"/>
      <c r="X391" s="359"/>
      <c r="Y391" s="359"/>
      <c r="Z391" s="359"/>
      <c r="AA391" s="359"/>
      <c r="AB391" s="359"/>
      <c r="AC391" s="359"/>
      <c r="AD391" s="359"/>
      <c r="AE391" s="359"/>
      <c r="AF391" s="359"/>
      <c r="AG391" s="359"/>
      <c r="AH391" s="359"/>
      <c r="AI391" s="359"/>
      <c r="AJ391" s="359"/>
      <c r="AK391" s="359"/>
      <c r="AL391" s="359"/>
      <c r="AM391" s="359"/>
      <c r="AN391" s="359"/>
      <c r="AO391" s="359"/>
      <c r="AP391" s="359"/>
      <c r="AQ391" s="359"/>
      <c r="AR391" s="359"/>
      <c r="AS391" s="359"/>
      <c r="AT391" s="359"/>
      <c r="AU391" s="359"/>
      <c r="AV391" s="359"/>
      <c r="AW391" s="359"/>
      <c r="AY391" s="1304">
        <f ca="1">MAX(0,AY382)</f>
        <v>153.83385468740386</v>
      </c>
      <c r="BA391" s="1304">
        <f t="shared" ref="BA391:BI391" ca="1" si="120">MAX(0,BA382)</f>
        <v>158.80496962180251</v>
      </c>
      <c r="BB391" s="1304">
        <f t="shared" ca="1" si="120"/>
        <v>447.28146847936694</v>
      </c>
      <c r="BC391" s="1304">
        <f t="shared" ca="1" si="120"/>
        <v>580.82834753994018</v>
      </c>
      <c r="BD391" s="1304">
        <f t="shared" ca="1" si="120"/>
        <v>719.79234346908368</v>
      </c>
      <c r="BE391" s="1304">
        <f t="shared" ca="1" si="120"/>
        <v>883.00958491906431</v>
      </c>
      <c r="BF391" s="1304">
        <f t="shared" ca="1" si="120"/>
        <v>1091.1358234381285</v>
      </c>
      <c r="BG391" s="1304">
        <f t="shared" ca="1" si="120"/>
        <v>1323.7322738925393</v>
      </c>
      <c r="BH391" s="1304">
        <f t="shared" ca="1" si="120"/>
        <v>1577.3126958590992</v>
      </c>
      <c r="BI391" s="1304">
        <f t="shared" ca="1" si="120"/>
        <v>1879.4436261638216</v>
      </c>
    </row>
    <row r="392" spans="3:65">
      <c r="C392" s="359"/>
      <c r="D392" s="260"/>
      <c r="F392" s="359"/>
      <c r="G392" s="359"/>
      <c r="H392" s="359"/>
      <c r="I392" s="359"/>
      <c r="J392" s="359"/>
      <c r="K392" s="359"/>
      <c r="L392" s="359"/>
      <c r="M392" s="359"/>
      <c r="N392" s="359"/>
      <c r="O392" s="359"/>
      <c r="P392" s="359"/>
      <c r="Q392" s="359"/>
      <c r="R392" s="359"/>
      <c r="S392" s="359"/>
      <c r="T392" s="359"/>
      <c r="U392" s="359"/>
      <c r="V392" s="359"/>
      <c r="W392" s="359"/>
      <c r="X392" s="359"/>
      <c r="Y392" s="359"/>
      <c r="Z392" s="359"/>
      <c r="AA392" s="359"/>
      <c r="AB392" s="359"/>
      <c r="AC392" s="359"/>
      <c r="AD392" s="359"/>
      <c r="AE392" s="359"/>
      <c r="AF392" s="359"/>
      <c r="AG392" s="359"/>
      <c r="AH392" s="359"/>
      <c r="AI392" s="359"/>
      <c r="AJ392" s="359"/>
      <c r="AK392" s="359"/>
      <c r="AL392" s="359"/>
      <c r="AM392" s="359"/>
      <c r="AN392" s="359"/>
      <c r="AO392" s="359"/>
      <c r="AP392" s="359"/>
      <c r="AQ392" s="359"/>
      <c r="AR392" s="359"/>
      <c r="AS392" s="359"/>
      <c r="AT392" s="359"/>
      <c r="AU392" s="359"/>
      <c r="AV392" s="359"/>
      <c r="AW392" s="359"/>
      <c r="AY392" s="962"/>
      <c r="AZ392" s="962"/>
      <c r="BA392" s="1303"/>
      <c r="BB392" s="625"/>
    </row>
    <row r="393" spans="3:65">
      <c r="C393" s="359"/>
      <c r="D393" s="260"/>
      <c r="F393" s="359"/>
      <c r="G393" s="359"/>
      <c r="H393" s="359"/>
      <c r="I393" s="359"/>
      <c r="J393" s="359"/>
      <c r="K393" s="359"/>
      <c r="L393" s="359"/>
      <c r="M393" s="359"/>
      <c r="N393" s="359"/>
      <c r="O393" s="359"/>
      <c r="P393" s="359"/>
      <c r="Q393" s="359"/>
      <c r="R393" s="359"/>
      <c r="S393" s="359"/>
      <c r="T393" s="359"/>
      <c r="U393" s="359"/>
      <c r="V393" s="359"/>
      <c r="W393" s="359"/>
      <c r="X393" s="359"/>
      <c r="Y393" s="359"/>
      <c r="Z393" s="359"/>
      <c r="AA393" s="359"/>
      <c r="AB393" s="359"/>
      <c r="AC393" s="359"/>
      <c r="AD393" s="359"/>
      <c r="AE393" s="359"/>
      <c r="AF393" s="359"/>
      <c r="AG393" s="359"/>
      <c r="AH393" s="359"/>
      <c r="AI393" s="359"/>
      <c r="AJ393" s="359"/>
      <c r="AK393" s="359"/>
      <c r="AL393" s="359"/>
      <c r="AM393" s="359"/>
      <c r="AN393" s="359"/>
      <c r="AO393" s="359"/>
      <c r="AP393" s="359"/>
      <c r="AQ393" s="359"/>
      <c r="AR393" s="359"/>
      <c r="AS393" s="359"/>
      <c r="AT393" s="359"/>
      <c r="AU393" s="359"/>
      <c r="AV393" s="359"/>
      <c r="AW393" s="359"/>
      <c r="AY393" s="962"/>
      <c r="AZ393" s="962"/>
      <c r="BA393" s="1303"/>
      <c r="BB393" s="625"/>
    </row>
    <row r="394" spans="3:65">
      <c r="C394" s="359"/>
      <c r="D394" s="260"/>
      <c r="F394" s="359"/>
      <c r="G394" s="359"/>
      <c r="H394" s="359"/>
      <c r="I394" s="359"/>
      <c r="J394" s="359"/>
      <c r="K394" s="359"/>
      <c r="L394" s="359"/>
      <c r="M394" s="359"/>
      <c r="N394" s="359"/>
      <c r="O394" s="359"/>
      <c r="P394" s="359"/>
      <c r="Q394" s="359"/>
      <c r="R394" s="359"/>
      <c r="S394" s="359"/>
      <c r="T394" s="359"/>
      <c r="U394" s="359"/>
      <c r="V394" s="359"/>
      <c r="W394" s="359"/>
      <c r="X394" s="359"/>
      <c r="Y394" s="359"/>
      <c r="Z394" s="359"/>
      <c r="AA394" s="359"/>
      <c r="AB394" s="359"/>
      <c r="AC394" s="359"/>
      <c r="AD394" s="359"/>
      <c r="AE394" s="359"/>
      <c r="AF394" s="359"/>
      <c r="AG394" s="359"/>
      <c r="AH394" s="359"/>
      <c r="AI394" s="359"/>
      <c r="AJ394" s="359"/>
      <c r="AK394" s="359"/>
      <c r="AL394" s="359"/>
      <c r="AM394" s="359"/>
      <c r="AN394" s="359"/>
      <c r="AO394" s="359"/>
      <c r="AP394" s="359"/>
      <c r="AQ394" s="359"/>
      <c r="AR394" s="359"/>
      <c r="AS394" s="359"/>
      <c r="AT394" s="359"/>
      <c r="AU394" s="359"/>
      <c r="AV394" s="359"/>
      <c r="AW394" s="359"/>
      <c r="AY394" s="1304"/>
      <c r="AZ394" s="1304"/>
      <c r="BA394" s="1303"/>
      <c r="BB394" s="625"/>
    </row>
    <row r="395" spans="3:65">
      <c r="C395" s="359"/>
      <c r="F395" s="359"/>
      <c r="G395" s="359"/>
      <c r="H395" s="359"/>
      <c r="I395" s="359"/>
      <c r="J395" s="359"/>
      <c r="K395" s="359"/>
      <c r="L395" s="359"/>
      <c r="M395" s="359"/>
      <c r="N395" s="359"/>
      <c r="O395" s="359"/>
      <c r="P395" s="359"/>
      <c r="Q395" s="359"/>
      <c r="R395" s="359"/>
      <c r="S395" s="359"/>
      <c r="T395" s="359"/>
      <c r="U395" s="359"/>
      <c r="V395" s="359"/>
      <c r="W395" s="359"/>
      <c r="X395" s="359"/>
      <c r="Y395" s="359"/>
      <c r="Z395" s="359"/>
      <c r="AA395" s="359"/>
      <c r="AB395" s="359"/>
      <c r="AC395" s="359"/>
      <c r="AD395" s="359"/>
      <c r="AE395" s="359"/>
      <c r="AF395" s="359"/>
      <c r="AG395" s="359"/>
      <c r="AH395" s="359"/>
      <c r="AI395" s="359"/>
      <c r="AJ395" s="359"/>
      <c r="AK395" s="359"/>
      <c r="AL395" s="359"/>
      <c r="AM395" s="359"/>
      <c r="AN395" s="359"/>
      <c r="AO395" s="359"/>
      <c r="AP395" s="359"/>
      <c r="AQ395" s="359"/>
      <c r="AR395" s="359"/>
      <c r="AS395" s="359"/>
      <c r="AT395" s="359"/>
      <c r="AU395" s="359"/>
      <c r="AV395" s="359"/>
      <c r="AW395" s="359"/>
      <c r="AY395" s="1304"/>
      <c r="AZ395" s="1304"/>
      <c r="BA395" s="1303"/>
      <c r="BB395" s="625"/>
    </row>
    <row r="396" spans="3:65">
      <c r="C396" s="359"/>
      <c r="D396" s="593" t="s">
        <v>2416</v>
      </c>
      <c r="F396" s="593" t="s">
        <v>2407</v>
      </c>
      <c r="G396" s="359"/>
      <c r="H396" s="359"/>
      <c r="I396" s="359"/>
      <c r="J396" s="359"/>
      <c r="K396" s="359"/>
      <c r="L396" s="359"/>
      <c r="M396" s="359"/>
      <c r="N396" s="359"/>
      <c r="O396" s="359"/>
      <c r="P396" s="359"/>
      <c r="Q396" s="359"/>
      <c r="R396" s="359"/>
      <c r="S396" s="359"/>
      <c r="T396" s="359"/>
      <c r="U396" s="359"/>
      <c r="V396" s="359"/>
      <c r="W396" s="359"/>
      <c r="X396" s="359"/>
      <c r="Y396" s="359"/>
      <c r="Z396" s="359"/>
      <c r="AA396" s="359"/>
      <c r="AB396" s="359"/>
      <c r="AC396" s="359"/>
      <c r="AD396" s="359"/>
      <c r="AE396" s="359"/>
      <c r="AF396" s="359"/>
      <c r="AG396" s="359"/>
      <c r="AH396" s="359"/>
      <c r="AI396" s="359"/>
      <c r="AJ396" s="359"/>
      <c r="AK396" s="359"/>
      <c r="AL396" s="359"/>
      <c r="AM396" s="359"/>
      <c r="AN396" s="359"/>
      <c r="AO396" s="359"/>
      <c r="AP396" s="359"/>
      <c r="AQ396" s="359"/>
      <c r="AR396" s="359"/>
      <c r="AS396" s="359"/>
      <c r="AT396" s="359"/>
      <c r="AU396" s="359"/>
      <c r="AV396" s="359"/>
      <c r="AW396" s="359"/>
      <c r="AY396" s="1304"/>
      <c r="AZ396" s="1304"/>
      <c r="BA396" s="1303"/>
      <c r="BB396" s="625"/>
    </row>
    <row r="397" spans="3:65">
      <c r="C397" s="359"/>
      <c r="D397" s="260" t="s">
        <v>2415</v>
      </c>
      <c r="F397" s="3141">
        <f>52620.99*Unit.kWh</f>
        <v>5.2620990000000003E-5</v>
      </c>
      <c r="G397" s="359"/>
      <c r="H397" s="359"/>
      <c r="I397" s="359"/>
      <c r="J397" s="359"/>
      <c r="K397" s="359"/>
      <c r="L397" s="359"/>
      <c r="M397" s="359"/>
      <c r="N397" s="359"/>
      <c r="O397" s="359"/>
      <c r="P397" s="359"/>
      <c r="Q397" s="359"/>
      <c r="R397" s="359"/>
      <c r="S397" s="359"/>
      <c r="T397" s="359"/>
      <c r="U397" s="359"/>
      <c r="V397" s="359"/>
      <c r="W397" s="359"/>
      <c r="X397" s="359"/>
      <c r="Y397" s="359"/>
      <c r="Z397" s="359"/>
      <c r="AA397" s="359"/>
      <c r="AB397" s="359"/>
      <c r="AC397" s="359"/>
      <c r="AD397" s="359"/>
      <c r="AE397" s="359"/>
      <c r="AF397" s="359"/>
      <c r="AG397" s="359"/>
      <c r="AH397" s="359"/>
      <c r="AI397" s="359"/>
      <c r="AJ397" s="359"/>
      <c r="AK397" s="359"/>
      <c r="AL397" s="359"/>
      <c r="AM397" s="359"/>
      <c r="AN397" s="359"/>
      <c r="AO397" s="359"/>
      <c r="AP397" s="359"/>
      <c r="AQ397" s="359"/>
      <c r="AR397" s="359"/>
      <c r="AS397" s="359"/>
      <c r="AT397" s="359"/>
      <c r="AU397" s="359"/>
      <c r="AV397" s="359"/>
      <c r="AW397" s="359"/>
      <c r="AY397" s="1304"/>
      <c r="AZ397" s="1304"/>
      <c r="BA397" s="1303"/>
      <c r="BB397" s="625"/>
    </row>
    <row r="398" spans="3:65">
      <c r="C398" s="359"/>
      <c r="D398" s="260" t="s">
        <v>2408</v>
      </c>
      <c r="F398" s="1617">
        <f>11919.8*(Unit.kWh)</f>
        <v>1.1919800000000001E-5</v>
      </c>
      <c r="G398" s="359"/>
      <c r="H398" s="359"/>
      <c r="I398" s="359"/>
      <c r="J398" s="359"/>
      <c r="K398" s="359"/>
      <c r="L398" s="359"/>
      <c r="M398" s="359"/>
      <c r="N398" s="359"/>
      <c r="O398" s="359"/>
      <c r="P398" s="359"/>
      <c r="Q398" s="359"/>
      <c r="R398" s="359"/>
      <c r="S398" s="359"/>
      <c r="T398" s="359"/>
      <c r="U398" s="359"/>
      <c r="V398" s="359"/>
      <c r="W398" s="359"/>
      <c r="X398" s="359"/>
      <c r="Y398" s="359"/>
      <c r="Z398" s="359"/>
      <c r="AA398" s="359"/>
      <c r="AB398" s="359"/>
      <c r="AC398" s="359"/>
      <c r="AD398" s="359"/>
      <c r="AE398" s="359"/>
      <c r="AF398" s="359"/>
      <c r="AG398" s="359"/>
      <c r="AH398" s="359"/>
      <c r="AI398" s="359"/>
      <c r="AJ398" s="359"/>
      <c r="AK398" s="359"/>
      <c r="AL398" s="359"/>
      <c r="AM398" s="359"/>
      <c r="AN398" s="359"/>
      <c r="AO398" s="359"/>
      <c r="AP398" s="359"/>
      <c r="AQ398" s="359"/>
      <c r="AR398" s="359"/>
      <c r="AS398" s="359"/>
      <c r="AT398" s="359"/>
      <c r="AU398" s="359"/>
      <c r="AV398" s="359"/>
      <c r="AW398" s="359"/>
      <c r="AY398" s="1304"/>
      <c r="AZ398" s="1304"/>
      <c r="BA398" s="1303"/>
      <c r="BB398" s="625"/>
    </row>
    <row r="399" spans="3:65">
      <c r="C399" s="359"/>
      <c r="D399" s="260" t="s">
        <v>2409</v>
      </c>
      <c r="F399" s="3141">
        <f>2559.48*(Unit.kWh)</f>
        <v>2.5594800000000001E-6</v>
      </c>
      <c r="G399" s="359"/>
      <c r="H399" s="359"/>
      <c r="I399" s="359"/>
      <c r="J399" s="359"/>
      <c r="K399" s="359"/>
      <c r="L399" s="359"/>
      <c r="M399" s="359"/>
      <c r="N399" s="359"/>
      <c r="O399" s="359"/>
      <c r="P399" s="359"/>
      <c r="Q399" s="359"/>
      <c r="R399" s="359"/>
      <c r="S399" s="359"/>
      <c r="T399" s="359"/>
      <c r="U399" s="359"/>
      <c r="V399" s="359"/>
      <c r="W399" s="359"/>
      <c r="X399" s="359"/>
      <c r="Y399" s="359"/>
      <c r="Z399" s="359"/>
      <c r="AA399" s="359"/>
      <c r="AB399" s="359"/>
      <c r="AC399" s="359"/>
      <c r="AD399" s="359"/>
      <c r="AE399" s="359"/>
      <c r="AF399" s="359"/>
      <c r="AG399" s="359"/>
      <c r="AH399" s="359"/>
      <c r="AI399" s="359"/>
      <c r="AJ399" s="359"/>
      <c r="AK399" s="359"/>
      <c r="AL399" s="359"/>
      <c r="AM399" s="359"/>
      <c r="AN399" s="359"/>
      <c r="AO399" s="359"/>
      <c r="AP399" s="359"/>
      <c r="AQ399" s="359"/>
      <c r="AR399" s="359"/>
      <c r="AS399" s="359"/>
      <c r="AT399" s="359"/>
      <c r="AU399" s="359"/>
      <c r="AV399" s="359"/>
      <c r="AW399" s="359"/>
      <c r="AY399" s="962"/>
      <c r="AZ399" s="962"/>
      <c r="BA399" s="1303"/>
      <c r="BB399" s="625"/>
    </row>
    <row r="400" spans="3:65">
      <c r="C400" s="359"/>
      <c r="D400" s="260" t="s">
        <v>2410</v>
      </c>
      <c r="F400" s="3141">
        <f>5467.34*(Unit.kWh)</f>
        <v>5.4673400000000004E-6</v>
      </c>
      <c r="G400" s="359"/>
      <c r="H400" s="359"/>
      <c r="I400" s="359"/>
      <c r="J400" s="359"/>
      <c r="K400" s="359"/>
      <c r="L400" s="359"/>
      <c r="M400" s="359"/>
      <c r="N400" s="359"/>
      <c r="O400" s="359"/>
      <c r="P400" s="359"/>
      <c r="Q400" s="359"/>
      <c r="R400" s="359"/>
      <c r="S400" s="359"/>
      <c r="T400" s="359"/>
      <c r="U400" s="359"/>
      <c r="V400" s="359"/>
      <c r="W400" s="359"/>
      <c r="X400" s="359"/>
      <c r="Y400" s="359"/>
      <c r="Z400" s="359"/>
      <c r="AA400" s="359"/>
      <c r="AB400" s="359"/>
      <c r="AC400" s="359"/>
      <c r="AD400" s="359"/>
      <c r="AE400" s="359"/>
      <c r="AF400" s="359"/>
      <c r="AG400" s="359"/>
      <c r="AH400" s="359"/>
      <c r="AI400" s="359"/>
      <c r="AJ400" s="359"/>
      <c r="AK400" s="359"/>
      <c r="AL400" s="359"/>
      <c r="AM400" s="359"/>
      <c r="AN400" s="359"/>
      <c r="AO400" s="359"/>
      <c r="AP400" s="359"/>
      <c r="AQ400" s="359"/>
      <c r="AR400" s="359"/>
      <c r="AS400" s="359"/>
      <c r="AT400" s="359"/>
      <c r="AU400" s="359"/>
      <c r="AV400" s="359"/>
      <c r="AW400" s="359"/>
      <c r="AY400" s="962"/>
      <c r="AZ400" s="962"/>
      <c r="BA400" s="1303"/>
      <c r="BB400" s="625"/>
    </row>
    <row r="401" spans="3:54">
      <c r="C401" s="359"/>
      <c r="D401" s="260" t="s">
        <v>2411</v>
      </c>
      <c r="F401" s="3141">
        <f>498.39*(Unit.kWh)</f>
        <v>4.9839E-7</v>
      </c>
      <c r="G401" s="359"/>
      <c r="H401" s="359"/>
      <c r="I401" s="359"/>
      <c r="J401" s="359"/>
      <c r="K401" s="359"/>
      <c r="L401" s="359"/>
      <c r="M401" s="359"/>
      <c r="N401" s="359"/>
      <c r="O401" s="359"/>
      <c r="P401" s="359"/>
      <c r="Q401" s="359"/>
      <c r="R401" s="359"/>
      <c r="S401" s="359"/>
      <c r="T401" s="359"/>
      <c r="U401" s="359"/>
      <c r="V401" s="359"/>
      <c r="W401" s="359"/>
      <c r="X401" s="359"/>
      <c r="Y401" s="359"/>
      <c r="Z401" s="359"/>
      <c r="AA401" s="359"/>
      <c r="AB401" s="359"/>
      <c r="AC401" s="359"/>
      <c r="AD401" s="359"/>
      <c r="AE401" s="359"/>
      <c r="AF401" s="359"/>
      <c r="AG401" s="359"/>
      <c r="AH401" s="359"/>
      <c r="AI401" s="359"/>
      <c r="AJ401" s="359"/>
      <c r="AK401" s="359"/>
      <c r="AL401" s="359"/>
      <c r="AM401" s="359"/>
      <c r="AN401" s="359"/>
      <c r="AO401" s="359"/>
      <c r="AP401" s="359"/>
      <c r="AQ401" s="359"/>
      <c r="AR401" s="359"/>
      <c r="AS401" s="359"/>
      <c r="AT401" s="359"/>
      <c r="AU401" s="359"/>
      <c r="AV401" s="359"/>
      <c r="AW401" s="359"/>
      <c r="AY401" s="962"/>
      <c r="AZ401" s="962"/>
      <c r="BA401" s="1303"/>
      <c r="BB401" s="625"/>
    </row>
    <row r="402" spans="3:54">
      <c r="C402" s="359"/>
      <c r="D402" s="260" t="s">
        <v>2412</v>
      </c>
      <c r="F402" s="1617">
        <f ca="1">BH293/'Global assumptions'!C14</f>
        <v>3.372638228706746E-6</v>
      </c>
      <c r="G402" s="359"/>
      <c r="H402" s="359"/>
      <c r="I402" s="359"/>
      <c r="J402" s="359"/>
      <c r="K402" s="359"/>
      <c r="L402" s="359"/>
      <c r="M402" s="359"/>
      <c r="N402" s="359"/>
      <c r="O402" s="359"/>
      <c r="P402" s="359"/>
      <c r="Q402" s="359"/>
      <c r="R402" s="359"/>
      <c r="S402" s="359"/>
      <c r="T402" s="359"/>
      <c r="U402" s="359"/>
      <c r="V402" s="359"/>
      <c r="W402" s="359"/>
      <c r="X402" s="359"/>
      <c r="Y402" s="359"/>
      <c r="Z402" s="359"/>
      <c r="AA402" s="359"/>
      <c r="AB402" s="359"/>
      <c r="AC402" s="359"/>
      <c r="AD402" s="359"/>
      <c r="AE402" s="359"/>
      <c r="AF402" s="359"/>
      <c r="AG402" s="359"/>
      <c r="AH402" s="359"/>
      <c r="AI402" s="359"/>
      <c r="AJ402" s="359"/>
      <c r="AK402" s="359"/>
      <c r="AL402" s="359"/>
      <c r="AM402" s="359"/>
      <c r="AN402" s="359"/>
      <c r="AO402" s="359"/>
      <c r="AP402" s="359"/>
      <c r="AQ402" s="359"/>
      <c r="AR402" s="359"/>
      <c r="AS402" s="359"/>
      <c r="AT402" s="359"/>
      <c r="AU402" s="359"/>
      <c r="AV402" s="359"/>
      <c r="AW402" s="359"/>
      <c r="AY402" s="962"/>
      <c r="AZ402" s="962"/>
      <c r="BA402" s="1303"/>
      <c r="BB402" s="625"/>
    </row>
    <row r="403" spans="3:54">
      <c r="C403" s="359"/>
      <c r="D403" s="260"/>
      <c r="F403" s="359"/>
      <c r="G403" s="359"/>
      <c r="H403" s="359"/>
      <c r="I403" s="359"/>
      <c r="J403" s="359"/>
      <c r="K403" s="359"/>
      <c r="L403" s="359"/>
      <c r="M403" s="359"/>
      <c r="N403" s="359"/>
      <c r="O403" s="359"/>
      <c r="P403" s="359"/>
      <c r="Q403" s="359"/>
      <c r="R403" s="359"/>
      <c r="S403" s="359"/>
      <c r="T403" s="359"/>
      <c r="U403" s="359"/>
      <c r="V403" s="359"/>
      <c r="W403" s="359"/>
      <c r="X403" s="359"/>
      <c r="Y403" s="359"/>
      <c r="Z403" s="359"/>
      <c r="AA403" s="359"/>
      <c r="AB403" s="359"/>
      <c r="AC403" s="359"/>
      <c r="AD403" s="359"/>
      <c r="AE403" s="359"/>
      <c r="AF403" s="359"/>
      <c r="AG403" s="359"/>
      <c r="AH403" s="359"/>
      <c r="AI403" s="359"/>
      <c r="AJ403" s="359"/>
      <c r="AK403" s="359"/>
      <c r="AL403" s="359"/>
      <c r="AM403" s="359"/>
      <c r="AN403" s="359"/>
      <c r="AO403" s="359"/>
      <c r="AP403" s="359"/>
      <c r="AQ403" s="359"/>
      <c r="AR403" s="359"/>
      <c r="AS403" s="359"/>
      <c r="AT403" s="359"/>
      <c r="AU403" s="359"/>
      <c r="AV403" s="359"/>
      <c r="AW403" s="359"/>
      <c r="AY403" s="962"/>
      <c r="AZ403" s="962"/>
      <c r="BA403" s="1303"/>
      <c r="BB403" s="625"/>
    </row>
    <row r="404" spans="3:54">
      <c r="C404" s="359"/>
      <c r="D404" s="3139" t="s">
        <v>2413</v>
      </c>
      <c r="F404" s="359"/>
      <c r="G404" s="359"/>
      <c r="H404" s="359"/>
      <c r="I404" s="359"/>
      <c r="J404" s="359"/>
      <c r="K404" s="359"/>
      <c r="L404" s="359"/>
      <c r="M404" s="359"/>
      <c r="N404" s="359"/>
      <c r="O404" s="359"/>
      <c r="P404" s="359"/>
      <c r="Q404" s="359"/>
      <c r="R404" s="359"/>
      <c r="S404" s="359"/>
      <c r="T404" s="359"/>
      <c r="U404" s="359"/>
      <c r="V404" s="359"/>
      <c r="W404" s="359"/>
      <c r="X404" s="359"/>
      <c r="Y404" s="359"/>
      <c r="Z404" s="359"/>
      <c r="AA404" s="359"/>
      <c r="AB404" s="359"/>
      <c r="AC404" s="359"/>
      <c r="AD404" s="359"/>
      <c r="AE404" s="359"/>
      <c r="AF404" s="359"/>
      <c r="AG404" s="359"/>
      <c r="AH404" s="359"/>
      <c r="AI404" s="359"/>
      <c r="AJ404" s="359"/>
      <c r="AK404" s="359"/>
      <c r="AL404" s="359"/>
      <c r="AM404" s="359"/>
      <c r="AN404" s="359"/>
      <c r="AO404" s="359"/>
      <c r="AP404" s="359"/>
      <c r="AQ404" s="359"/>
      <c r="AR404" s="359"/>
      <c r="AS404" s="359"/>
      <c r="AT404" s="359"/>
      <c r="AU404" s="359"/>
      <c r="AV404" s="359"/>
      <c r="AW404" s="359"/>
      <c r="AY404" s="962"/>
      <c r="AZ404" s="962"/>
      <c r="BA404" s="1303"/>
      <c r="BB404" s="625"/>
    </row>
    <row r="405" spans="3:54">
      <c r="C405" s="359"/>
      <c r="D405" s="3140" t="s">
        <v>2414</v>
      </c>
      <c r="F405" s="359"/>
      <c r="G405" s="359"/>
      <c r="H405" s="359"/>
      <c r="I405" s="359"/>
      <c r="J405" s="359"/>
      <c r="K405" s="359"/>
      <c r="L405" s="359"/>
      <c r="M405" s="359"/>
      <c r="N405" s="359"/>
      <c r="O405" s="359"/>
      <c r="P405" s="359"/>
      <c r="Q405" s="359"/>
      <c r="R405" s="359"/>
      <c r="S405" s="359"/>
      <c r="T405" s="359"/>
      <c r="U405" s="359"/>
      <c r="V405" s="359"/>
      <c r="W405" s="359"/>
      <c r="X405" s="359"/>
      <c r="Y405" s="359"/>
      <c r="Z405" s="359"/>
      <c r="AA405" s="359"/>
      <c r="AB405" s="359"/>
      <c r="AC405" s="359"/>
      <c r="AD405" s="359"/>
      <c r="AE405" s="359"/>
      <c r="AF405" s="359"/>
      <c r="AG405" s="359"/>
      <c r="AH405" s="359"/>
      <c r="AI405" s="359"/>
      <c r="AJ405" s="359"/>
      <c r="AK405" s="359"/>
      <c r="AL405" s="359"/>
      <c r="AM405" s="359"/>
      <c r="AN405" s="359"/>
      <c r="AO405" s="359"/>
      <c r="AP405" s="359"/>
      <c r="AQ405" s="359"/>
      <c r="AR405" s="359"/>
      <c r="AS405" s="359"/>
      <c r="AT405" s="359"/>
      <c r="AU405" s="359"/>
      <c r="AV405" s="359"/>
      <c r="AW405" s="359"/>
      <c r="AY405" s="962"/>
      <c r="AZ405" s="962"/>
      <c r="BA405" s="1303"/>
      <c r="BB405" s="625"/>
    </row>
    <row r="406" spans="3:54">
      <c r="C406" s="359"/>
      <c r="D406" s="260"/>
      <c r="F406" s="359"/>
      <c r="G406" s="359"/>
      <c r="H406" s="359"/>
      <c r="I406" s="359"/>
      <c r="J406" s="359"/>
      <c r="K406" s="359"/>
      <c r="L406" s="359"/>
      <c r="M406" s="359"/>
      <c r="N406" s="359"/>
      <c r="O406" s="359"/>
      <c r="P406" s="359"/>
      <c r="Q406" s="359"/>
      <c r="R406" s="359"/>
      <c r="S406" s="359"/>
      <c r="T406" s="359"/>
      <c r="U406" s="359"/>
      <c r="V406" s="359"/>
      <c r="W406" s="359"/>
      <c r="X406" s="359"/>
      <c r="Y406" s="359"/>
      <c r="Z406" s="359"/>
      <c r="AA406" s="359"/>
      <c r="AB406" s="359"/>
      <c r="AC406" s="359"/>
      <c r="AD406" s="359"/>
      <c r="AE406" s="359"/>
      <c r="AF406" s="359"/>
      <c r="AG406" s="359"/>
      <c r="AH406" s="359"/>
      <c r="AI406" s="359"/>
      <c r="AJ406" s="359"/>
      <c r="AK406" s="359"/>
      <c r="AL406" s="359"/>
      <c r="AM406" s="359"/>
      <c r="AN406" s="359"/>
      <c r="AO406" s="359"/>
      <c r="AP406" s="359"/>
      <c r="AQ406" s="359"/>
      <c r="AR406" s="359"/>
      <c r="AS406" s="359"/>
      <c r="AT406" s="359"/>
      <c r="AU406" s="359"/>
      <c r="AV406" s="359"/>
      <c r="AW406" s="359"/>
      <c r="AY406" s="962"/>
      <c r="AZ406" s="962"/>
      <c r="BA406" s="1303"/>
      <c r="BB406" s="625"/>
    </row>
    <row r="407" spans="3:54">
      <c r="C407" s="359"/>
      <c r="D407" s="260"/>
      <c r="F407" s="359"/>
      <c r="G407" s="359"/>
      <c r="H407" s="359"/>
      <c r="I407" s="359"/>
      <c r="J407" s="359"/>
      <c r="K407" s="359"/>
      <c r="L407" s="359"/>
      <c r="M407" s="359"/>
      <c r="N407" s="359"/>
      <c r="O407" s="359"/>
      <c r="P407" s="359"/>
      <c r="Q407" s="359"/>
      <c r="R407" s="359"/>
      <c r="S407" s="359"/>
      <c r="T407" s="359"/>
      <c r="U407" s="359"/>
      <c r="V407" s="359"/>
      <c r="W407" s="359"/>
      <c r="X407" s="359"/>
      <c r="Y407" s="359"/>
      <c r="Z407" s="359"/>
      <c r="AA407" s="359"/>
      <c r="AB407" s="359"/>
      <c r="AC407" s="359"/>
      <c r="AD407" s="359"/>
      <c r="AE407" s="359"/>
      <c r="AF407" s="359"/>
      <c r="AG407" s="359"/>
      <c r="AH407" s="359"/>
      <c r="AI407" s="359"/>
      <c r="AJ407" s="359"/>
      <c r="AK407" s="359"/>
      <c r="AL407" s="359"/>
      <c r="AM407" s="359"/>
      <c r="AN407" s="359"/>
      <c r="AO407" s="359"/>
      <c r="AP407" s="359"/>
      <c r="AQ407" s="359"/>
      <c r="AR407" s="359"/>
      <c r="AS407" s="359"/>
      <c r="AT407" s="359"/>
      <c r="AU407" s="359"/>
      <c r="AV407" s="359"/>
      <c r="AW407" s="359"/>
      <c r="AY407" s="962"/>
      <c r="AZ407" s="962"/>
      <c r="BA407" s="1303"/>
      <c r="BB407" s="625"/>
    </row>
    <row r="408" spans="3:54">
      <c r="C408" s="359"/>
      <c r="D408" s="593" t="s">
        <v>1874</v>
      </c>
      <c r="F408" s="359"/>
      <c r="G408" s="359"/>
      <c r="H408" s="359"/>
      <c r="I408" s="359"/>
      <c r="J408" s="359"/>
      <c r="K408" s="359"/>
      <c r="L408" s="359"/>
      <c r="M408" s="359"/>
      <c r="N408" s="359"/>
      <c r="O408" s="359"/>
      <c r="P408" s="359"/>
      <c r="Q408" s="359"/>
      <c r="R408" s="359"/>
      <c r="S408" s="359"/>
      <c r="T408" s="359"/>
      <c r="U408" s="359"/>
      <c r="V408" s="359"/>
      <c r="W408" s="359"/>
      <c r="X408" s="359"/>
      <c r="Y408" s="359"/>
      <c r="Z408" s="359"/>
      <c r="AA408" s="359"/>
      <c r="AB408" s="359"/>
      <c r="AC408" s="359"/>
      <c r="AD408" s="359"/>
      <c r="AE408" s="359"/>
      <c r="AF408" s="359"/>
      <c r="AG408" s="359"/>
      <c r="AH408" s="359"/>
      <c r="AI408" s="359"/>
      <c r="AJ408" s="359"/>
      <c r="AK408" s="359"/>
      <c r="AL408" s="359"/>
      <c r="AM408" s="359"/>
      <c r="AN408" s="359"/>
      <c r="AO408" s="359"/>
      <c r="AP408" s="359"/>
      <c r="AQ408" s="359"/>
      <c r="AR408" s="359"/>
      <c r="AS408" s="359"/>
      <c r="AT408" s="359"/>
      <c r="AU408" s="359"/>
      <c r="AV408" s="359"/>
      <c r="AW408" s="359"/>
      <c r="AY408" s="962"/>
      <c r="AZ408" s="962"/>
      <c r="BA408" s="1303"/>
      <c r="BB408" s="625"/>
    </row>
    <row r="409" spans="3:54">
      <c r="C409" s="359"/>
      <c r="D409" s="260"/>
      <c r="F409" s="359"/>
      <c r="G409" s="359"/>
      <c r="H409" s="359"/>
      <c r="I409" s="359"/>
      <c r="J409" s="359"/>
      <c r="K409" s="359"/>
      <c r="L409" s="359"/>
      <c r="M409" s="359"/>
      <c r="N409" s="359"/>
      <c r="O409" s="359"/>
      <c r="P409" s="359"/>
      <c r="Q409" s="359"/>
      <c r="R409" s="359"/>
      <c r="S409" s="359"/>
      <c r="T409" s="359"/>
      <c r="U409" s="359"/>
      <c r="V409" s="359"/>
      <c r="W409" s="359"/>
      <c r="X409" s="359"/>
      <c r="Y409" s="359"/>
      <c r="Z409" s="359"/>
      <c r="AA409" s="359"/>
      <c r="AB409" s="359"/>
      <c r="AC409" s="359"/>
      <c r="AD409" s="359"/>
      <c r="AE409" s="359"/>
      <c r="AF409" s="359"/>
      <c r="AG409" s="359"/>
      <c r="AH409" s="359"/>
      <c r="AI409" s="359"/>
      <c r="AJ409" s="359"/>
      <c r="AK409" s="359"/>
      <c r="AL409" s="359"/>
      <c r="AM409" s="359"/>
      <c r="AN409" s="359"/>
      <c r="AO409" s="359"/>
      <c r="AP409" s="359"/>
      <c r="AQ409" s="359"/>
      <c r="AR409" s="359"/>
      <c r="AS409" s="359"/>
      <c r="AT409" s="359"/>
      <c r="AU409" s="359"/>
      <c r="AV409" s="359"/>
      <c r="AW409" s="359"/>
      <c r="AY409" s="962"/>
      <c r="AZ409" s="962"/>
      <c r="BA409" s="1303"/>
      <c r="BB409" s="625"/>
    </row>
    <row r="410" spans="3:54">
      <c r="C410" s="359"/>
      <c r="D410" s="3142" t="s">
        <v>225</v>
      </c>
      <c r="E410" s="3148" t="s">
        <v>271</v>
      </c>
      <c r="F410" s="359"/>
      <c r="G410" s="359"/>
      <c r="H410" s="359"/>
      <c r="I410" s="359"/>
      <c r="J410" s="359"/>
      <c r="K410" s="359"/>
      <c r="L410" s="359"/>
      <c r="M410" s="359"/>
      <c r="N410" s="359"/>
      <c r="O410" s="359"/>
      <c r="P410" s="359"/>
      <c r="Q410" s="359"/>
      <c r="R410" s="359"/>
      <c r="S410" s="359"/>
      <c r="T410" s="359"/>
      <c r="U410" s="359"/>
      <c r="V410" s="359"/>
      <c r="W410" s="359"/>
      <c r="X410" s="359"/>
      <c r="Y410" s="359"/>
      <c r="Z410" s="359"/>
      <c r="AA410" s="359"/>
      <c r="AB410" s="359"/>
      <c r="AC410" s="359"/>
      <c r="AD410" s="359"/>
      <c r="AE410" s="359"/>
      <c r="AF410" s="359"/>
      <c r="AG410" s="359"/>
      <c r="AH410" s="359"/>
      <c r="AI410" s="359"/>
      <c r="AJ410" s="359"/>
      <c r="AK410" s="359"/>
      <c r="AL410" s="359"/>
      <c r="AM410" s="359"/>
      <c r="AN410" s="359"/>
      <c r="AO410" s="359"/>
      <c r="AP410" s="359"/>
      <c r="AQ410" s="359"/>
      <c r="AR410" s="359"/>
      <c r="AS410" s="359"/>
      <c r="AT410" s="359"/>
      <c r="AU410" s="359"/>
      <c r="AV410" s="359"/>
      <c r="AW410" s="359"/>
      <c r="AY410" s="962"/>
      <c r="AZ410" s="962"/>
      <c r="BA410" s="1303"/>
      <c r="BB410" s="625"/>
    </row>
    <row r="411" spans="3:54">
      <c r="C411" s="359"/>
      <c r="D411" s="3143">
        <v>2007</v>
      </c>
      <c r="E411" s="3148">
        <f>'Global assumptions'!C6</f>
        <v>1215947696.8037</v>
      </c>
      <c r="F411" s="359"/>
      <c r="G411" s="359"/>
      <c r="H411" s="359"/>
      <c r="I411" s="359"/>
      <c r="J411" s="359"/>
      <c r="K411" s="359"/>
      <c r="L411" s="359"/>
      <c r="M411" s="359"/>
      <c r="N411" s="359"/>
      <c r="O411" s="359"/>
      <c r="P411" s="359"/>
      <c r="Q411" s="359"/>
      <c r="R411" s="359"/>
      <c r="S411" s="359"/>
      <c r="T411" s="359"/>
      <c r="U411" s="359"/>
      <c r="V411" s="359"/>
      <c r="W411" s="359"/>
      <c r="X411" s="359"/>
      <c r="Y411" s="359"/>
      <c r="Z411" s="359"/>
      <c r="AA411" s="359"/>
      <c r="AB411" s="359"/>
      <c r="AC411" s="359"/>
      <c r="AD411" s="359"/>
      <c r="AE411" s="359"/>
      <c r="AF411" s="359"/>
      <c r="AG411" s="359"/>
      <c r="AH411" s="359"/>
      <c r="AI411" s="359"/>
      <c r="AJ411" s="359"/>
      <c r="AK411" s="359"/>
      <c r="AL411" s="359"/>
      <c r="AM411" s="359"/>
      <c r="AN411" s="359"/>
      <c r="AO411" s="359"/>
      <c r="AP411" s="359"/>
      <c r="AQ411" s="359"/>
      <c r="AR411" s="359"/>
      <c r="AS411" s="359"/>
      <c r="AT411" s="359"/>
      <c r="AU411" s="359"/>
      <c r="AV411" s="359"/>
      <c r="AW411" s="359"/>
      <c r="AY411" s="962"/>
      <c r="AZ411" s="962"/>
      <c r="BA411" s="1303"/>
      <c r="BB411" s="625"/>
    </row>
    <row r="412" spans="3:54">
      <c r="C412" s="359"/>
      <c r="D412" s="3143">
        <f>D411+5</f>
        <v>2012</v>
      </c>
      <c r="E412" s="3148">
        <f>'Global assumptions'!C7</f>
        <v>1215947696.8037</v>
      </c>
      <c r="F412" s="359"/>
      <c r="G412" s="359"/>
      <c r="H412" s="359"/>
      <c r="I412" s="359"/>
      <c r="J412" s="359"/>
      <c r="K412" s="359"/>
      <c r="L412" s="359"/>
      <c r="M412" s="359"/>
      <c r="N412" s="359"/>
      <c r="O412" s="359"/>
      <c r="P412" s="359"/>
      <c r="Q412" s="359"/>
      <c r="R412" s="359"/>
      <c r="S412" s="359"/>
      <c r="T412" s="359"/>
      <c r="U412" s="359"/>
      <c r="V412" s="359"/>
      <c r="W412" s="359"/>
      <c r="X412" s="359"/>
      <c r="Y412" s="359"/>
      <c r="Z412" s="359"/>
      <c r="AA412" s="359"/>
      <c r="AB412" s="359"/>
      <c r="AC412" s="359"/>
      <c r="AD412" s="359"/>
      <c r="AE412" s="359"/>
      <c r="AF412" s="359"/>
      <c r="AG412" s="359"/>
      <c r="AH412" s="359"/>
      <c r="AI412" s="359"/>
      <c r="AJ412" s="359"/>
      <c r="AK412" s="359"/>
      <c r="AL412" s="359"/>
      <c r="AM412" s="359"/>
      <c r="AN412" s="359"/>
      <c r="AO412" s="359"/>
      <c r="AP412" s="359"/>
      <c r="AQ412" s="359"/>
      <c r="AR412" s="359"/>
      <c r="AS412" s="359"/>
      <c r="AT412" s="359"/>
      <c r="AU412" s="359"/>
      <c r="AV412" s="359"/>
      <c r="AW412" s="359"/>
      <c r="AY412" s="962"/>
      <c r="AZ412" s="962"/>
      <c r="BA412" s="1303"/>
      <c r="BB412" s="625"/>
    </row>
    <row r="413" spans="3:54">
      <c r="C413" s="359"/>
      <c r="D413" s="3143">
        <f t="shared" ref="D413:D419" si="121">D412+5</f>
        <v>2017</v>
      </c>
      <c r="E413" s="3148">
        <f>'Global assumptions'!C8</f>
        <v>1293560155.5197299</v>
      </c>
      <c r="F413" s="359"/>
      <c r="G413" s="359"/>
      <c r="H413" s="359"/>
      <c r="I413" s="359"/>
      <c r="J413" s="359"/>
      <c r="K413" s="359"/>
      <c r="L413" s="359"/>
      <c r="M413" s="359"/>
      <c r="N413" s="359"/>
      <c r="O413" s="359"/>
      <c r="P413" s="359"/>
      <c r="Q413" s="359"/>
      <c r="R413" s="359"/>
      <c r="S413" s="359"/>
      <c r="T413" s="359"/>
      <c r="U413" s="359"/>
      <c r="V413" s="359"/>
      <c r="W413" s="359"/>
      <c r="X413" s="359"/>
      <c r="Y413" s="359"/>
      <c r="Z413" s="359"/>
      <c r="AA413" s="359"/>
      <c r="AB413" s="359"/>
      <c r="AC413" s="359"/>
      <c r="AD413" s="359"/>
      <c r="AE413" s="359"/>
      <c r="AF413" s="359"/>
      <c r="AG413" s="359"/>
      <c r="AH413" s="359"/>
      <c r="AI413" s="359"/>
      <c r="AJ413" s="359"/>
      <c r="AK413" s="359"/>
      <c r="AL413" s="359"/>
      <c r="AM413" s="359"/>
      <c r="AN413" s="359"/>
      <c r="AO413" s="359"/>
      <c r="AP413" s="359"/>
      <c r="AQ413" s="359"/>
      <c r="AR413" s="359"/>
      <c r="AS413" s="359"/>
      <c r="AT413" s="359"/>
      <c r="AU413" s="359"/>
      <c r="AV413" s="359"/>
      <c r="AW413" s="359"/>
      <c r="AY413" s="962"/>
      <c r="AZ413" s="962"/>
      <c r="BA413" s="1303"/>
      <c r="BB413" s="625"/>
    </row>
    <row r="414" spans="3:54">
      <c r="C414" s="359"/>
      <c r="D414" s="3143">
        <f t="shared" si="121"/>
        <v>2022</v>
      </c>
      <c r="E414" s="3148">
        <f>'Global assumptions'!C9</f>
        <v>1383591897.89131</v>
      </c>
      <c r="F414" s="359"/>
      <c r="G414" s="359"/>
      <c r="H414" s="359"/>
      <c r="I414" s="359"/>
      <c r="J414" s="359"/>
      <c r="K414" s="359"/>
      <c r="L414" s="359"/>
      <c r="M414" s="359"/>
      <c r="N414" s="359"/>
      <c r="O414" s="359"/>
      <c r="P414" s="359"/>
      <c r="Q414" s="359"/>
      <c r="R414" s="359"/>
      <c r="S414" s="359"/>
      <c r="T414" s="359"/>
      <c r="U414" s="359"/>
      <c r="V414" s="359"/>
      <c r="W414" s="359"/>
      <c r="X414" s="359"/>
      <c r="Y414" s="359"/>
      <c r="Z414" s="359"/>
      <c r="AA414" s="359"/>
      <c r="AB414" s="359"/>
      <c r="AC414" s="359"/>
      <c r="AD414" s="359"/>
      <c r="AE414" s="359"/>
      <c r="AF414" s="359"/>
      <c r="AG414" s="359"/>
      <c r="AH414" s="359"/>
      <c r="AI414" s="359"/>
      <c r="AJ414" s="359"/>
      <c r="AK414" s="359"/>
      <c r="AL414" s="359"/>
      <c r="AM414" s="359"/>
      <c r="AN414" s="359"/>
      <c r="AO414" s="359"/>
      <c r="AP414" s="359"/>
      <c r="AQ414" s="359"/>
      <c r="AR414" s="359"/>
      <c r="AS414" s="359"/>
      <c r="AT414" s="359"/>
      <c r="AU414" s="359"/>
      <c r="AV414" s="359"/>
      <c r="AW414" s="359"/>
      <c r="AY414" s="962"/>
      <c r="AZ414" s="962"/>
      <c r="BA414" s="1303"/>
      <c r="BB414" s="625"/>
    </row>
    <row r="415" spans="3:54">
      <c r="C415" s="359"/>
      <c r="D415" s="3143">
        <f t="shared" si="121"/>
        <v>2027</v>
      </c>
      <c r="E415" s="3148">
        <f>'Global assumptions'!C10</f>
        <v>1453466914.90909</v>
      </c>
      <c r="F415" s="359"/>
      <c r="G415" s="359"/>
      <c r="H415" s="359"/>
      <c r="I415" s="359"/>
      <c r="J415" s="359"/>
      <c r="K415" s="359"/>
      <c r="L415" s="359"/>
      <c r="M415" s="359"/>
      <c r="N415" s="359"/>
      <c r="O415" s="359"/>
      <c r="P415" s="359"/>
      <c r="Q415" s="359"/>
      <c r="R415" s="359"/>
      <c r="S415" s="359"/>
      <c r="T415" s="359"/>
      <c r="U415" s="359"/>
      <c r="V415" s="359"/>
      <c r="W415" s="359"/>
      <c r="X415" s="359"/>
      <c r="Y415" s="359"/>
      <c r="Z415" s="359"/>
      <c r="AA415" s="359"/>
      <c r="AB415" s="359"/>
      <c r="AC415" s="359"/>
      <c r="AD415" s="359"/>
      <c r="AE415" s="359"/>
      <c r="AF415" s="359"/>
      <c r="AG415" s="359"/>
      <c r="AH415" s="359"/>
      <c r="AI415" s="359"/>
      <c r="AJ415" s="359"/>
      <c r="AK415" s="359"/>
      <c r="AL415" s="359"/>
      <c r="AM415" s="359"/>
      <c r="AN415" s="359"/>
      <c r="AO415" s="359"/>
      <c r="AP415" s="359"/>
      <c r="AQ415" s="359"/>
      <c r="AR415" s="359"/>
      <c r="AS415" s="359"/>
      <c r="AT415" s="359"/>
      <c r="AU415" s="359"/>
      <c r="AV415" s="359"/>
      <c r="AW415" s="359"/>
      <c r="AY415" s="962"/>
      <c r="AZ415" s="962"/>
      <c r="BA415" s="1303"/>
      <c r="BB415" s="625"/>
    </row>
    <row r="416" spans="3:54">
      <c r="C416" s="359"/>
      <c r="D416" s="3143">
        <f t="shared" si="121"/>
        <v>2032</v>
      </c>
      <c r="E416" s="3148">
        <f>'Global assumptions'!C11</f>
        <v>1533937577.53791</v>
      </c>
      <c r="F416" s="359"/>
      <c r="G416" s="359"/>
      <c r="H416" s="359"/>
      <c r="I416" s="359"/>
      <c r="J416" s="359"/>
      <c r="K416" s="359"/>
      <c r="L416" s="359"/>
      <c r="M416" s="359"/>
      <c r="N416" s="359"/>
      <c r="O416" s="359"/>
      <c r="P416" s="359"/>
      <c r="Q416" s="359"/>
      <c r="R416" s="359"/>
      <c r="S416" s="359"/>
      <c r="T416" s="359"/>
      <c r="U416" s="359"/>
      <c r="V416" s="359"/>
      <c r="W416" s="359"/>
      <c r="X416" s="359"/>
      <c r="Y416" s="359"/>
      <c r="Z416" s="359"/>
      <c r="AA416" s="359"/>
      <c r="AB416" s="359"/>
      <c r="AC416" s="359"/>
      <c r="AD416" s="359"/>
      <c r="AE416" s="359"/>
      <c r="AF416" s="359"/>
      <c r="AG416" s="359"/>
      <c r="AH416" s="359"/>
      <c r="AI416" s="359"/>
      <c r="AJ416" s="359"/>
      <c r="AK416" s="359"/>
      <c r="AL416" s="359"/>
      <c r="AM416" s="359"/>
      <c r="AN416" s="359"/>
      <c r="AO416" s="359"/>
      <c r="AP416" s="359"/>
      <c r="AQ416" s="359"/>
      <c r="AR416" s="359"/>
      <c r="AS416" s="359"/>
      <c r="AT416" s="359"/>
      <c r="AU416" s="359"/>
      <c r="AV416" s="359"/>
      <c r="AW416" s="359"/>
      <c r="AY416" s="962"/>
      <c r="AZ416" s="962"/>
      <c r="BA416" s="1303"/>
      <c r="BB416" s="625"/>
    </row>
    <row r="417" spans="3:54">
      <c r="C417" s="359"/>
      <c r="D417" s="3143">
        <f t="shared" si="121"/>
        <v>2037</v>
      </c>
      <c r="E417" s="3148">
        <f>'Global assumptions'!C12</f>
        <v>1592149418.74388</v>
      </c>
      <c r="F417" s="359"/>
      <c r="G417" s="359"/>
      <c r="H417" s="359"/>
      <c r="I417" s="359"/>
      <c r="J417" s="359"/>
      <c r="K417" s="359"/>
      <c r="L417" s="359"/>
      <c r="M417" s="359"/>
      <c r="N417" s="359"/>
      <c r="O417" s="359"/>
      <c r="P417" s="359"/>
      <c r="Q417" s="359"/>
      <c r="R417" s="359"/>
      <c r="S417" s="359"/>
      <c r="T417" s="359"/>
      <c r="U417" s="359"/>
      <c r="V417" s="359"/>
      <c r="W417" s="359"/>
      <c r="X417" s="359"/>
      <c r="Y417" s="359"/>
      <c r="Z417" s="359"/>
      <c r="AA417" s="359"/>
      <c r="AB417" s="359"/>
      <c r="AC417" s="359"/>
      <c r="AD417" s="359"/>
      <c r="AE417" s="359"/>
      <c r="AF417" s="359"/>
      <c r="AG417" s="359"/>
      <c r="AH417" s="359"/>
      <c r="AI417" s="359"/>
      <c r="AJ417" s="359"/>
      <c r="AK417" s="359"/>
      <c r="AL417" s="359"/>
      <c r="AM417" s="359"/>
      <c r="AN417" s="359"/>
      <c r="AO417" s="359"/>
      <c r="AP417" s="359"/>
      <c r="AQ417" s="359"/>
      <c r="AR417" s="359"/>
      <c r="AS417" s="359"/>
      <c r="AT417" s="359"/>
      <c r="AU417" s="359"/>
      <c r="AV417" s="359"/>
      <c r="AW417" s="359"/>
      <c r="AY417" s="962"/>
      <c r="AZ417" s="962"/>
      <c r="BA417" s="1303"/>
      <c r="BB417" s="625"/>
    </row>
    <row r="418" spans="3:54">
      <c r="C418" s="359"/>
      <c r="D418" s="3143">
        <f t="shared" si="121"/>
        <v>2042</v>
      </c>
      <c r="E418" s="3148">
        <f>'Global assumptions'!C13</f>
        <v>1659579084.9869099</v>
      </c>
      <c r="F418" s="359"/>
      <c r="G418" s="359"/>
      <c r="H418" s="359"/>
      <c r="I418" s="359"/>
      <c r="J418" s="359"/>
      <c r="K418" s="359"/>
      <c r="L418" s="359"/>
      <c r="M418" s="359"/>
      <c r="N418" s="359"/>
      <c r="O418" s="359"/>
      <c r="P418" s="359"/>
      <c r="Q418" s="359"/>
      <c r="R418" s="359"/>
      <c r="S418" s="359"/>
      <c r="T418" s="359"/>
      <c r="U418" s="359"/>
      <c r="V418" s="359"/>
      <c r="W418" s="359"/>
      <c r="X418" s="359"/>
      <c r="Y418" s="359"/>
      <c r="Z418" s="359"/>
      <c r="AA418" s="359"/>
      <c r="AB418" s="359"/>
      <c r="AC418" s="359"/>
      <c r="AD418" s="359"/>
      <c r="AE418" s="359"/>
      <c r="AF418" s="359"/>
      <c r="AG418" s="359"/>
      <c r="AH418" s="359"/>
      <c r="AI418" s="359"/>
      <c r="AJ418" s="359"/>
      <c r="AK418" s="359"/>
      <c r="AL418" s="359"/>
      <c r="AM418" s="359"/>
      <c r="AN418" s="359"/>
      <c r="AO418" s="359"/>
      <c r="AP418" s="359"/>
      <c r="AQ418" s="359"/>
      <c r="AR418" s="359"/>
      <c r="AS418" s="359"/>
      <c r="AT418" s="359"/>
      <c r="AU418" s="359"/>
      <c r="AV418" s="359"/>
      <c r="AW418" s="359"/>
      <c r="AY418" s="962"/>
      <c r="AZ418" s="962"/>
      <c r="BA418" s="1303"/>
      <c r="BB418" s="625"/>
    </row>
    <row r="419" spans="3:54">
      <c r="C419" s="359"/>
      <c r="D419" s="3143">
        <f t="shared" si="121"/>
        <v>2047</v>
      </c>
      <c r="E419" s="3148">
        <f>'Global assumptions'!C14</f>
        <v>1704172882.39362</v>
      </c>
      <c r="F419" s="359"/>
      <c r="G419" s="359"/>
      <c r="H419" s="359"/>
      <c r="I419" s="359"/>
      <c r="J419" s="359"/>
      <c r="K419" s="359"/>
      <c r="L419" s="359"/>
      <c r="M419" s="359"/>
      <c r="N419" s="359"/>
      <c r="O419" s="359"/>
      <c r="P419" s="359"/>
      <c r="Q419" s="359"/>
      <c r="R419" s="359"/>
      <c r="S419" s="359"/>
      <c r="T419" s="359"/>
      <c r="U419" s="359"/>
      <c r="V419" s="359"/>
      <c r="W419" s="359"/>
      <c r="X419" s="359"/>
      <c r="Y419" s="359"/>
      <c r="Z419" s="359"/>
      <c r="AA419" s="359"/>
      <c r="AB419" s="359"/>
      <c r="AC419" s="359"/>
      <c r="AD419" s="359"/>
      <c r="AE419" s="359"/>
      <c r="AF419" s="359"/>
      <c r="AG419" s="359"/>
      <c r="AH419" s="359"/>
      <c r="AI419" s="359"/>
      <c r="AJ419" s="359"/>
      <c r="AK419" s="359"/>
      <c r="AL419" s="359"/>
      <c r="AM419" s="359"/>
      <c r="AN419" s="359"/>
      <c r="AO419" s="359"/>
      <c r="AP419" s="359"/>
      <c r="AQ419" s="359"/>
      <c r="AR419" s="359"/>
      <c r="AS419" s="359"/>
      <c r="AT419" s="359"/>
      <c r="AU419" s="359"/>
      <c r="AV419" s="359"/>
      <c r="AW419" s="359"/>
      <c r="AY419" s="962"/>
      <c r="AZ419" s="962"/>
      <c r="BA419" s="1303"/>
      <c r="BB419" s="625"/>
    </row>
    <row r="420" spans="3:54">
      <c r="C420" s="359"/>
      <c r="D420" s="260"/>
      <c r="F420" s="359"/>
      <c r="G420" s="359"/>
      <c r="H420" s="359"/>
      <c r="I420" s="359"/>
      <c r="J420" s="359"/>
      <c r="K420" s="359"/>
      <c r="L420" s="359"/>
      <c r="M420" s="359"/>
      <c r="N420" s="359"/>
      <c r="O420" s="359"/>
      <c r="P420" s="359"/>
      <c r="Q420" s="359"/>
      <c r="R420" s="359"/>
      <c r="S420" s="359"/>
      <c r="T420" s="359"/>
      <c r="U420" s="359"/>
      <c r="V420" s="359"/>
      <c r="W420" s="359"/>
      <c r="X420" s="359"/>
      <c r="Y420" s="359"/>
      <c r="Z420" s="359"/>
      <c r="AA420" s="359"/>
      <c r="AB420" s="359"/>
      <c r="AC420" s="359"/>
      <c r="AD420" s="359"/>
      <c r="AE420" s="359"/>
      <c r="AF420" s="359"/>
      <c r="AG420" s="359"/>
      <c r="AH420" s="359"/>
      <c r="AI420" s="359"/>
      <c r="AJ420" s="359"/>
      <c r="AK420" s="359"/>
      <c r="AL420" s="359"/>
      <c r="AM420" s="359"/>
      <c r="AN420" s="359"/>
      <c r="AO420" s="359"/>
      <c r="AP420" s="359"/>
      <c r="AQ420" s="359"/>
      <c r="AR420" s="359"/>
      <c r="AS420" s="359"/>
      <c r="AT420" s="359"/>
      <c r="AU420" s="359"/>
      <c r="AV420" s="359"/>
      <c r="AW420" s="359"/>
      <c r="AY420" s="962"/>
      <c r="AZ420" s="962"/>
      <c r="BA420" s="1303"/>
      <c r="BB420" s="625"/>
    </row>
    <row r="421" spans="3:54">
      <c r="C421" s="359"/>
      <c r="D421" s="260"/>
      <c r="F421" s="359"/>
      <c r="G421" s="359"/>
      <c r="H421" s="359"/>
      <c r="I421" s="359"/>
      <c r="J421" s="359"/>
      <c r="K421" s="359"/>
      <c r="L421" s="359"/>
      <c r="M421" s="359"/>
      <c r="N421" s="359"/>
      <c r="O421" s="359"/>
      <c r="P421" s="359"/>
      <c r="Q421" s="359"/>
      <c r="R421" s="359"/>
      <c r="S421" s="359"/>
      <c r="T421" s="359"/>
      <c r="U421" s="359"/>
      <c r="V421" s="359"/>
      <c r="W421" s="359"/>
      <c r="X421" s="359"/>
      <c r="Y421" s="359"/>
      <c r="Z421" s="359"/>
      <c r="AA421" s="359"/>
      <c r="AB421" s="359"/>
      <c r="AC421" s="359"/>
      <c r="AD421" s="359"/>
      <c r="AE421" s="359"/>
      <c r="AF421" s="359"/>
      <c r="AG421" s="359"/>
      <c r="AH421" s="359"/>
      <c r="AI421" s="359"/>
      <c r="AJ421" s="359"/>
      <c r="AK421" s="359"/>
      <c r="AL421" s="359"/>
      <c r="AM421" s="359"/>
      <c r="AN421" s="359"/>
      <c r="AO421" s="359"/>
      <c r="AP421" s="359"/>
      <c r="AQ421" s="359"/>
      <c r="AR421" s="359"/>
      <c r="AS421" s="359"/>
      <c r="AT421" s="359"/>
      <c r="AU421" s="359"/>
      <c r="AV421" s="359"/>
      <c r="AW421" s="359"/>
      <c r="AY421" s="962"/>
      <c r="AZ421" s="962"/>
      <c r="BA421" s="1303"/>
      <c r="BB421" s="625"/>
    </row>
    <row r="422" spans="3:54">
      <c r="C422" s="359"/>
      <c r="D422" s="260"/>
      <c r="F422" s="359"/>
      <c r="G422" s="359"/>
      <c r="H422" s="359"/>
      <c r="I422" s="359"/>
      <c r="J422" s="359"/>
      <c r="K422" s="359"/>
      <c r="L422" s="359"/>
      <c r="M422" s="359"/>
      <c r="N422" s="359"/>
      <c r="O422" s="359"/>
      <c r="P422" s="359"/>
      <c r="Q422" s="359"/>
      <c r="R422" s="359"/>
      <c r="S422" s="359"/>
      <c r="T422" s="359"/>
      <c r="U422" s="359"/>
      <c r="V422" s="359"/>
      <c r="W422" s="359"/>
      <c r="X422" s="359"/>
      <c r="Y422" s="359"/>
      <c r="Z422" s="359"/>
      <c r="AA422" s="359"/>
      <c r="AB422" s="359"/>
      <c r="AC422" s="359"/>
      <c r="AD422" s="359"/>
      <c r="AE422" s="359"/>
      <c r="AF422" s="359"/>
      <c r="AG422" s="359"/>
      <c r="AH422" s="359"/>
      <c r="AI422" s="359"/>
      <c r="AJ422" s="359"/>
      <c r="AK422" s="359"/>
      <c r="AL422" s="359"/>
      <c r="AM422" s="359"/>
      <c r="AN422" s="359"/>
      <c r="AO422" s="359"/>
      <c r="AP422" s="359"/>
      <c r="AQ422" s="359"/>
      <c r="AR422" s="359"/>
      <c r="AS422" s="359"/>
      <c r="AT422" s="359"/>
      <c r="AU422" s="359"/>
      <c r="AV422" s="359"/>
      <c r="AW422" s="359"/>
      <c r="AY422" s="962"/>
      <c r="AZ422" s="962"/>
      <c r="BA422" s="1303"/>
      <c r="BB422" s="625"/>
    </row>
    <row r="423" spans="3:54">
      <c r="C423" s="359"/>
      <c r="D423" s="260"/>
      <c r="F423" s="359"/>
      <c r="G423" s="359"/>
      <c r="H423" s="359"/>
      <c r="I423" s="359"/>
      <c r="J423" s="359"/>
      <c r="K423" s="359"/>
      <c r="L423" s="359"/>
      <c r="M423" s="359"/>
      <c r="N423" s="359"/>
      <c r="O423" s="359"/>
      <c r="P423" s="359"/>
      <c r="Q423" s="359"/>
      <c r="R423" s="359"/>
      <c r="S423" s="359"/>
      <c r="T423" s="359"/>
      <c r="U423" s="359"/>
      <c r="V423" s="359"/>
      <c r="W423" s="359"/>
      <c r="X423" s="359"/>
      <c r="Y423" s="359"/>
      <c r="Z423" s="359"/>
      <c r="AA423" s="359"/>
      <c r="AB423" s="359"/>
      <c r="AC423" s="359"/>
      <c r="AD423" s="359"/>
      <c r="AE423" s="359"/>
      <c r="AF423" s="359"/>
      <c r="AG423" s="359"/>
      <c r="AH423" s="359"/>
      <c r="AI423" s="359"/>
      <c r="AJ423" s="359"/>
      <c r="AK423" s="359"/>
      <c r="AL423" s="359"/>
      <c r="AM423" s="359"/>
      <c r="AN423" s="359"/>
      <c r="AO423" s="359"/>
      <c r="AP423" s="359"/>
      <c r="AQ423" s="359"/>
      <c r="AR423" s="359"/>
      <c r="AS423" s="359"/>
      <c r="AT423" s="359"/>
      <c r="AU423" s="359"/>
      <c r="AV423" s="359"/>
      <c r="AW423" s="359"/>
      <c r="AY423" s="962"/>
      <c r="AZ423" s="962"/>
      <c r="BA423" s="1303"/>
      <c r="BB423" s="625"/>
    </row>
    <row r="424" spans="3:54">
      <c r="C424" s="359"/>
      <c r="D424" s="260"/>
      <c r="F424" s="359"/>
      <c r="G424" s="359"/>
      <c r="H424" s="359"/>
      <c r="I424" s="359"/>
      <c r="J424" s="359"/>
      <c r="K424" s="359"/>
      <c r="L424" s="359"/>
      <c r="M424" s="359"/>
      <c r="N424" s="359"/>
      <c r="O424" s="359"/>
      <c r="P424" s="359"/>
      <c r="Q424" s="359"/>
      <c r="R424" s="359"/>
      <c r="S424" s="359"/>
      <c r="T424" s="359"/>
      <c r="U424" s="359"/>
      <c r="V424" s="359"/>
      <c r="W424" s="359"/>
      <c r="X424" s="359"/>
      <c r="Y424" s="359"/>
      <c r="Z424" s="359"/>
      <c r="AA424" s="359"/>
      <c r="AB424" s="359"/>
      <c r="AC424" s="359"/>
      <c r="AD424" s="359"/>
      <c r="AE424" s="359"/>
      <c r="AF424" s="359"/>
      <c r="AG424" s="359"/>
      <c r="AH424" s="359"/>
      <c r="AI424" s="359"/>
      <c r="AJ424" s="359"/>
      <c r="AK424" s="359"/>
      <c r="AL424" s="359"/>
      <c r="AM424" s="359"/>
      <c r="AN424" s="359"/>
      <c r="AO424" s="359"/>
      <c r="AP424" s="359"/>
      <c r="AQ424" s="359"/>
      <c r="AR424" s="359"/>
      <c r="AS424" s="359"/>
      <c r="AT424" s="359"/>
      <c r="AU424" s="359"/>
      <c r="AV424" s="359"/>
      <c r="AW424" s="359"/>
      <c r="AY424" s="962"/>
      <c r="AZ424" s="962"/>
      <c r="BA424" s="1303"/>
      <c r="BB424" s="625"/>
    </row>
    <row r="425" spans="3:54">
      <c r="C425" s="359"/>
      <c r="D425" s="260"/>
      <c r="F425" s="359"/>
      <c r="G425" s="359"/>
      <c r="H425" s="359"/>
      <c r="I425" s="359"/>
      <c r="J425" s="359"/>
      <c r="K425" s="359"/>
      <c r="L425" s="359"/>
      <c r="M425" s="359"/>
      <c r="N425" s="359"/>
      <c r="O425" s="359"/>
      <c r="P425" s="359"/>
      <c r="Q425" s="359"/>
      <c r="R425" s="359"/>
      <c r="S425" s="359"/>
      <c r="T425" s="359"/>
      <c r="U425" s="359"/>
      <c r="V425" s="359"/>
      <c r="W425" s="359"/>
      <c r="X425" s="359"/>
      <c r="Y425" s="359"/>
      <c r="Z425" s="359"/>
      <c r="AA425" s="359"/>
      <c r="AB425" s="359"/>
      <c r="AC425" s="359"/>
      <c r="AD425" s="359"/>
      <c r="AE425" s="359"/>
      <c r="AF425" s="359"/>
      <c r="AG425" s="359"/>
      <c r="AH425" s="359"/>
      <c r="AI425" s="359"/>
      <c r="AJ425" s="359"/>
      <c r="AK425" s="359"/>
      <c r="AL425" s="359"/>
      <c r="AM425" s="359"/>
      <c r="AN425" s="359"/>
      <c r="AO425" s="359"/>
      <c r="AP425" s="359"/>
      <c r="AQ425" s="359"/>
      <c r="AR425" s="359"/>
      <c r="AS425" s="359"/>
      <c r="AT425" s="359"/>
      <c r="AU425" s="359"/>
      <c r="AV425" s="359"/>
      <c r="AW425" s="359"/>
      <c r="AY425" s="962"/>
      <c r="AZ425" s="962"/>
      <c r="BA425" s="1303"/>
      <c r="BB425" s="625"/>
    </row>
    <row r="426" spans="3:54">
      <c r="C426" s="359"/>
      <c r="D426" s="260"/>
      <c r="F426" s="359"/>
      <c r="G426" s="359"/>
      <c r="H426" s="359"/>
      <c r="I426" s="359"/>
      <c r="J426" s="359"/>
      <c r="K426" s="359"/>
      <c r="L426" s="359"/>
      <c r="M426" s="359"/>
      <c r="N426" s="359"/>
      <c r="O426" s="359"/>
      <c r="P426" s="359"/>
      <c r="Q426" s="359"/>
      <c r="R426" s="359"/>
      <c r="S426" s="359"/>
      <c r="T426" s="359"/>
      <c r="U426" s="359"/>
      <c r="V426" s="359"/>
      <c r="W426" s="359"/>
      <c r="X426" s="359"/>
      <c r="Y426" s="359"/>
      <c r="Z426" s="359"/>
      <c r="AA426" s="359"/>
      <c r="AB426" s="359"/>
      <c r="AC426" s="359"/>
      <c r="AD426" s="359"/>
      <c r="AE426" s="359"/>
      <c r="AF426" s="359"/>
      <c r="AG426" s="359"/>
      <c r="AH426" s="359"/>
      <c r="AI426" s="359"/>
      <c r="AJ426" s="359"/>
      <c r="AK426" s="359"/>
      <c r="AL426" s="359"/>
      <c r="AM426" s="359"/>
      <c r="AN426" s="359"/>
      <c r="AO426" s="359"/>
      <c r="AP426" s="359"/>
      <c r="AQ426" s="359"/>
      <c r="AR426" s="359"/>
      <c r="AS426" s="359"/>
      <c r="AT426" s="359"/>
      <c r="AU426" s="359"/>
      <c r="AV426" s="359"/>
      <c r="AW426" s="359"/>
      <c r="AY426" s="962"/>
      <c r="AZ426" s="962"/>
      <c r="BA426" s="1303"/>
      <c r="BB426" s="625"/>
    </row>
    <row r="427" spans="3:54">
      <c r="C427" s="359"/>
      <c r="D427" s="260"/>
      <c r="F427" s="359"/>
      <c r="G427" s="359"/>
      <c r="H427" s="359"/>
      <c r="I427" s="359"/>
      <c r="J427" s="359"/>
      <c r="K427" s="359"/>
      <c r="L427" s="359"/>
      <c r="M427" s="359"/>
      <c r="N427" s="359"/>
      <c r="O427" s="359"/>
      <c r="P427" s="359"/>
      <c r="Q427" s="359"/>
      <c r="R427" s="359"/>
      <c r="S427" s="359"/>
      <c r="T427" s="359"/>
      <c r="U427" s="359"/>
      <c r="V427" s="359"/>
      <c r="W427" s="359"/>
      <c r="X427" s="359"/>
      <c r="Y427" s="359"/>
      <c r="Z427" s="359"/>
      <c r="AA427" s="359"/>
      <c r="AB427" s="359"/>
      <c r="AC427" s="359"/>
      <c r="AD427" s="359"/>
      <c r="AE427" s="359"/>
      <c r="AF427" s="359"/>
      <c r="AG427" s="359"/>
      <c r="AH427" s="359"/>
      <c r="AI427" s="359"/>
      <c r="AJ427" s="359"/>
      <c r="AK427" s="359"/>
      <c r="AL427" s="359"/>
      <c r="AM427" s="359"/>
      <c r="AN427" s="359"/>
      <c r="AO427" s="359"/>
      <c r="AP427" s="359"/>
      <c r="AQ427" s="359"/>
      <c r="AR427" s="359"/>
      <c r="AS427" s="359"/>
      <c r="AT427" s="359"/>
      <c r="AU427" s="359"/>
      <c r="AV427" s="359"/>
      <c r="AW427" s="359"/>
      <c r="AY427" s="962"/>
      <c r="AZ427" s="962"/>
      <c r="BA427" s="1303"/>
      <c r="BB427" s="625"/>
    </row>
    <row r="428" spans="3:54">
      <c r="C428" s="359"/>
      <c r="D428" s="260"/>
      <c r="F428" s="359"/>
      <c r="G428" s="359"/>
      <c r="H428" s="359"/>
      <c r="I428" s="359"/>
      <c r="J428" s="359"/>
      <c r="K428" s="359"/>
      <c r="L428" s="359"/>
      <c r="M428" s="359"/>
      <c r="N428" s="359"/>
      <c r="O428" s="359"/>
      <c r="P428" s="359"/>
      <c r="Q428" s="359"/>
      <c r="R428" s="359"/>
      <c r="S428" s="359"/>
      <c r="T428" s="359"/>
      <c r="U428" s="359"/>
      <c r="V428" s="359"/>
      <c r="W428" s="359"/>
      <c r="X428" s="359"/>
      <c r="Y428" s="359"/>
      <c r="Z428" s="359"/>
      <c r="AA428" s="359"/>
      <c r="AB428" s="359"/>
      <c r="AC428" s="359"/>
      <c r="AD428" s="359"/>
      <c r="AE428" s="359"/>
      <c r="AF428" s="359"/>
      <c r="AG428" s="359"/>
      <c r="AH428" s="359"/>
      <c r="AI428" s="359"/>
      <c r="AJ428" s="359"/>
      <c r="AK428" s="359"/>
      <c r="AL428" s="359"/>
      <c r="AM428" s="359"/>
      <c r="AN428" s="359"/>
      <c r="AO428" s="359"/>
      <c r="AP428" s="359"/>
      <c r="AQ428" s="359"/>
      <c r="AR428" s="359"/>
      <c r="AS428" s="359"/>
      <c r="AT428" s="359"/>
      <c r="AU428" s="359"/>
      <c r="AV428" s="359"/>
      <c r="AW428" s="359"/>
      <c r="AY428" s="962"/>
      <c r="AZ428" s="962"/>
      <c r="BA428" s="1303"/>
      <c r="BB428" s="625"/>
    </row>
    <row r="429" spans="3:54">
      <c r="AY429" s="962"/>
      <c r="AZ429" s="962"/>
      <c r="BA429" s="1303"/>
      <c r="BB429" s="625"/>
    </row>
    <row r="430" spans="3:54">
      <c r="AY430" s="962"/>
      <c r="AZ430" s="962"/>
    </row>
    <row r="431" spans="3:54">
      <c r="AY431" s="962"/>
      <c r="AZ431" s="962"/>
      <c r="BA431" s="1303"/>
      <c r="BB431" s="625"/>
    </row>
    <row r="432" spans="3:54">
      <c r="AY432" s="962"/>
      <c r="AZ432" s="962"/>
      <c r="BA432" s="1303"/>
      <c r="BB432" s="624"/>
    </row>
    <row r="433" spans="51:54">
      <c r="AY433" s="1306"/>
      <c r="AZ433" s="1306"/>
      <c r="BA433" s="1303"/>
      <c r="BB433" s="625"/>
    </row>
    <row r="434" spans="51:54">
      <c r="AY434" s="1306"/>
      <c r="AZ434" s="1306"/>
      <c r="BA434" s="1303"/>
      <c r="BB434" s="625"/>
    </row>
    <row r="435" spans="51:54">
      <c r="AY435" s="962"/>
      <c r="AZ435" s="962"/>
      <c r="BA435" s="1303"/>
      <c r="BB435" s="625"/>
    </row>
    <row r="436" spans="51:54">
      <c r="AY436" s="962"/>
      <c r="AZ436" s="962"/>
      <c r="BA436" s="1303"/>
    </row>
    <row r="437" spans="51:54">
      <c r="AY437" s="962"/>
      <c r="AZ437" s="962"/>
      <c r="BA437" s="1303"/>
      <c r="BB437" s="625"/>
    </row>
    <row r="438" spans="51:54">
      <c r="AY438" s="962"/>
      <c r="AZ438" s="962"/>
      <c r="BA438" s="1303"/>
    </row>
    <row r="439" spans="51:54">
      <c r="AY439" s="962"/>
      <c r="AZ439" s="962"/>
      <c r="BA439" s="1303"/>
      <c r="BB439" s="625"/>
    </row>
    <row r="440" spans="51:54">
      <c r="AY440" s="962"/>
      <c r="AZ440" s="962"/>
      <c r="BA440" s="1303"/>
      <c r="BB440" s="625"/>
    </row>
    <row r="441" spans="51:54">
      <c r="AY441" s="962"/>
      <c r="AZ441" s="962"/>
      <c r="BA441" s="1303"/>
      <c r="BB441" s="625"/>
    </row>
    <row r="442" spans="51:54">
      <c r="AY442" s="962"/>
      <c r="AZ442" s="962"/>
      <c r="BA442" s="1303"/>
      <c r="BB442" s="625"/>
    </row>
    <row r="443" spans="51:54">
      <c r="AY443" s="962"/>
      <c r="AZ443" s="962"/>
      <c r="BA443" s="1303"/>
      <c r="BB443" s="625"/>
    </row>
    <row r="444" spans="51:54">
      <c r="AY444" s="962"/>
      <c r="AZ444" s="962"/>
      <c r="BA444" s="1303"/>
      <c r="BB444" s="625"/>
    </row>
    <row r="445" spans="51:54">
      <c r="AY445" s="962"/>
      <c r="AZ445" s="962"/>
      <c r="BA445" s="1303"/>
      <c r="BB445" s="624"/>
    </row>
    <row r="446" spans="51:54">
      <c r="AY446" s="962"/>
      <c r="AZ446" s="962"/>
      <c r="BA446" s="1303"/>
      <c r="BB446" s="625"/>
    </row>
    <row r="447" spans="51:54">
      <c r="AY447" s="962"/>
      <c r="AZ447" s="962"/>
      <c r="BA447" s="1303"/>
      <c r="BB447" s="625"/>
    </row>
    <row r="448" spans="51:54">
      <c r="AY448" s="962"/>
      <c r="AZ448" s="962"/>
      <c r="BA448" s="1303"/>
      <c r="BB448" s="625"/>
    </row>
    <row r="449" spans="51:54">
      <c r="AY449" s="962"/>
      <c r="AZ449" s="962"/>
      <c r="BA449" s="1303"/>
      <c r="BB449" s="625"/>
    </row>
    <row r="450" spans="51:54">
      <c r="AY450" s="962"/>
      <c r="AZ450" s="962"/>
      <c r="BA450" s="1303"/>
      <c r="BB450" s="625"/>
    </row>
    <row r="451" spans="51:54">
      <c r="AY451" s="962"/>
      <c r="AZ451" s="962"/>
      <c r="BA451" s="1303"/>
      <c r="BB451" s="625"/>
    </row>
    <row r="452" spans="51:54">
      <c r="AY452" s="962"/>
      <c r="AZ452" s="962"/>
      <c r="BA452" s="1303"/>
    </row>
    <row r="453" spans="51:54">
      <c r="AY453" s="962"/>
      <c r="AZ453" s="962"/>
      <c r="BA453" s="1303"/>
      <c r="BB453" s="625"/>
    </row>
    <row r="454" spans="51:54">
      <c r="AY454" s="962"/>
      <c r="AZ454" s="962"/>
      <c r="BA454" s="1303"/>
      <c r="BB454" s="625"/>
    </row>
    <row r="455" spans="51:54">
      <c r="AY455" s="962"/>
      <c r="AZ455" s="962"/>
      <c r="BA455" s="1303"/>
      <c r="BB455" s="625"/>
    </row>
    <row r="456" spans="51:54">
      <c r="AY456" s="962"/>
      <c r="AZ456" s="962"/>
      <c r="BA456" s="1303"/>
      <c r="BB456" s="625"/>
    </row>
    <row r="457" spans="51:54">
      <c r="AY457" s="962"/>
      <c r="AZ457" s="962"/>
      <c r="BA457" s="1303"/>
      <c r="BB457" s="625"/>
    </row>
    <row r="458" spans="51:54">
      <c r="AY458" s="962"/>
      <c r="AZ458" s="962"/>
      <c r="BA458" s="1303"/>
      <c r="BB458" s="624"/>
    </row>
    <row r="459" spans="51:54">
      <c r="AY459" s="962"/>
      <c r="AZ459" s="962"/>
      <c r="BA459" s="1303"/>
      <c r="BB459" s="625"/>
    </row>
    <row r="460" spans="51:54">
      <c r="AY460" s="1304"/>
      <c r="AZ460" s="1304"/>
      <c r="BA460" s="1303"/>
      <c r="BB460" s="625"/>
    </row>
    <row r="461" spans="51:54">
      <c r="AY461" s="962"/>
      <c r="AZ461" s="962"/>
      <c r="BA461" s="1303"/>
      <c r="BB461" s="625"/>
    </row>
    <row r="462" spans="51:54">
      <c r="AY462" s="1304"/>
      <c r="AZ462" s="1304"/>
      <c r="BA462" s="1303"/>
      <c r="BB462" s="625"/>
    </row>
    <row r="463" spans="51:54">
      <c r="AY463" s="1304"/>
      <c r="AZ463" s="1304"/>
      <c r="BA463" s="1303"/>
      <c r="BB463" s="625"/>
    </row>
    <row r="464" spans="51:54">
      <c r="AY464" s="1304"/>
      <c r="AZ464" s="1304"/>
      <c r="BA464" s="1303"/>
      <c r="BB464" s="625"/>
    </row>
    <row r="465" spans="51:54">
      <c r="AY465" s="1304"/>
      <c r="AZ465" s="1304"/>
      <c r="BA465" s="1303"/>
      <c r="BB465" s="625"/>
    </row>
    <row r="466" spans="51:54">
      <c r="AY466" s="1304"/>
      <c r="AZ466" s="1304"/>
    </row>
    <row r="467" spans="51:54">
      <c r="AY467" s="1304"/>
      <c r="AZ467" s="1304"/>
    </row>
    <row r="468" spans="51:54">
      <c r="AY468" s="962"/>
      <c r="AZ468" s="962"/>
    </row>
    <row r="469" spans="51:54">
      <c r="AY469" s="962"/>
      <c r="AZ469" s="962"/>
    </row>
    <row r="470" spans="51:54">
      <c r="AY470" s="962"/>
      <c r="AZ470" s="962"/>
    </row>
    <row r="471" spans="51:54">
      <c r="AY471" s="962"/>
      <c r="AZ471" s="962"/>
    </row>
    <row r="472" spans="51:54">
      <c r="AY472" s="962"/>
      <c r="AZ472" s="962"/>
    </row>
    <row r="473" spans="51:54">
      <c r="AY473" s="962"/>
      <c r="AZ473" s="962"/>
    </row>
    <row r="474" spans="51:54">
      <c r="AY474" s="1304"/>
      <c r="AZ474" s="1304"/>
    </row>
    <row r="475" spans="51:54">
      <c r="AY475" s="1304"/>
      <c r="AZ475" s="1304"/>
    </row>
    <row r="476" spans="51:54">
      <c r="AY476" s="1304"/>
      <c r="AZ476" s="1304"/>
    </row>
    <row r="477" spans="51:54">
      <c r="AY477" s="1304"/>
      <c r="AZ477" s="1304"/>
    </row>
    <row r="478" spans="51:54">
      <c r="AY478" s="1304"/>
      <c r="AZ478" s="1304"/>
    </row>
    <row r="479" spans="51:54">
      <c r="AY479" s="1304"/>
      <c r="AZ479" s="1304"/>
    </row>
    <row r="480" spans="51:54">
      <c r="AY480" s="962"/>
      <c r="AZ480" s="962"/>
    </row>
    <row r="481" spans="51:52">
      <c r="AY481" s="962"/>
      <c r="AZ481" s="962"/>
    </row>
    <row r="482" spans="51:52">
      <c r="AY482" s="962"/>
      <c r="AZ482" s="962"/>
    </row>
    <row r="483" spans="51:52">
      <c r="AY483" s="962"/>
      <c r="AZ483" s="962"/>
    </row>
    <row r="484" spans="51:52">
      <c r="AY484" s="962"/>
      <c r="AZ484" s="962"/>
    </row>
    <row r="485" spans="51:52">
      <c r="AY485" s="962"/>
      <c r="AZ485" s="962"/>
    </row>
    <row r="486" spans="51:52">
      <c r="AY486" s="962"/>
      <c r="AZ486" s="962"/>
    </row>
    <row r="487" spans="51:52">
      <c r="AY487" s="962"/>
      <c r="AZ487" s="962"/>
    </row>
    <row r="488" spans="51:52">
      <c r="AY488" s="962"/>
      <c r="AZ488" s="962"/>
    </row>
    <row r="489" spans="51:52">
      <c r="AY489" s="962"/>
      <c r="AZ489" s="962"/>
    </row>
    <row r="490" spans="51:52">
      <c r="AY490" s="962"/>
      <c r="AZ490" s="962"/>
    </row>
    <row r="491" spans="51:52">
      <c r="AY491" s="962"/>
      <c r="AZ491" s="962"/>
    </row>
    <row r="492" spans="51:52">
      <c r="AY492" s="962"/>
      <c r="AZ492" s="962"/>
    </row>
    <row r="493" spans="51:52">
      <c r="AY493" s="962"/>
      <c r="AZ493" s="962"/>
    </row>
    <row r="494" spans="51:52">
      <c r="AY494" s="962"/>
      <c r="AZ494" s="962"/>
    </row>
    <row r="495" spans="51:52">
      <c r="AY495" s="962"/>
      <c r="AZ495" s="962"/>
    </row>
    <row r="496" spans="51:52">
      <c r="AY496" s="962"/>
      <c r="AZ496" s="962"/>
    </row>
    <row r="497" spans="51:52">
      <c r="AY497" s="962"/>
      <c r="AZ497" s="962"/>
    </row>
    <row r="498" spans="51:52">
      <c r="AY498" s="962"/>
      <c r="AZ498" s="962"/>
    </row>
    <row r="499" spans="51:52">
      <c r="AY499" s="962"/>
      <c r="AZ499" s="962"/>
    </row>
    <row r="500" spans="51:52">
      <c r="AY500" s="962"/>
      <c r="AZ500" s="962"/>
    </row>
    <row r="501" spans="51:52">
      <c r="AY501" s="962"/>
      <c r="AZ501" s="962"/>
    </row>
    <row r="502" spans="51:52">
      <c r="AY502" s="962"/>
      <c r="AZ502" s="962"/>
    </row>
    <row r="503" spans="51:52">
      <c r="AY503" s="962"/>
      <c r="AZ503" s="962"/>
    </row>
    <row r="504" spans="51:52">
      <c r="AY504" s="962"/>
      <c r="AZ504" s="962"/>
    </row>
    <row r="505" spans="51:52">
      <c r="AY505" s="962"/>
      <c r="AZ505" s="962"/>
    </row>
    <row r="506" spans="51:52">
      <c r="AY506" s="962"/>
      <c r="AZ506" s="962"/>
    </row>
    <row r="507" spans="51:52">
      <c r="AY507" s="962"/>
      <c r="AZ507" s="962"/>
    </row>
    <row r="508" spans="51:52">
      <c r="AY508" s="962"/>
      <c r="AZ508" s="962"/>
    </row>
    <row r="509" spans="51:52">
      <c r="AY509" s="962"/>
      <c r="AZ509" s="962"/>
    </row>
    <row r="510" spans="51:52">
      <c r="AY510" s="962"/>
      <c r="AZ510" s="962"/>
    </row>
    <row r="511" spans="51:52">
      <c r="AY511" s="962"/>
      <c r="AZ511" s="962"/>
    </row>
    <row r="512" spans="51:52">
      <c r="AY512" s="962"/>
      <c r="AZ512" s="962"/>
    </row>
    <row r="513" spans="51:52">
      <c r="AY513" s="962"/>
      <c r="AZ513" s="962"/>
    </row>
    <row r="514" spans="51:52">
      <c r="AY514" s="962"/>
      <c r="AZ514" s="962"/>
    </row>
    <row r="515" spans="51:52">
      <c r="AY515" s="962"/>
      <c r="AZ515" s="962"/>
    </row>
    <row r="516" spans="51:52">
      <c r="AY516" s="962"/>
      <c r="AZ516" s="962"/>
    </row>
    <row r="517" spans="51:52">
      <c r="AY517" s="962"/>
      <c r="AZ517" s="962"/>
    </row>
    <row r="518" spans="51:52">
      <c r="AY518" s="962"/>
      <c r="AZ518" s="962"/>
    </row>
    <row r="519" spans="51:52">
      <c r="AY519" s="962"/>
      <c r="AZ519" s="962"/>
    </row>
  </sheetData>
  <pageMargins left="0.70866141732283472" right="0.70866141732283472" top="0.74803149606299213" bottom="0.74803149606299213" header="0.31496062992125984" footer="0.31496062992125984"/>
  <pageSetup paperSize="9" orientation="landscape" r:id="rId1"/>
</worksheet>
</file>

<file path=xl/worksheets/sheet46.xml><?xml version="1.0" encoding="utf-8"?>
<worksheet xmlns="http://schemas.openxmlformats.org/spreadsheetml/2006/main" xmlns:r="http://schemas.openxmlformats.org/officeDocument/2006/relationships">
  <dimension ref="A1:N131"/>
  <sheetViews>
    <sheetView workbookViewId="0">
      <selection activeCell="C8" sqref="C8"/>
    </sheetView>
  </sheetViews>
  <sheetFormatPr defaultColWidth="8.85546875" defaultRowHeight="12.75"/>
  <cols>
    <col min="1" max="1" width="18.42578125" customWidth="1"/>
    <col min="2" max="2" width="15.140625" customWidth="1"/>
    <col min="3" max="3" width="16.42578125" customWidth="1"/>
    <col min="4" max="4" width="18.42578125" customWidth="1"/>
    <col min="5" max="5" width="17.140625" customWidth="1"/>
    <col min="6" max="6" width="19.28515625" customWidth="1"/>
    <col min="7" max="7" width="13.140625" customWidth="1"/>
    <col min="8" max="9" width="13.140625" style="2905" customWidth="1"/>
    <col min="10" max="12" width="10.5703125" bestFit="1" customWidth="1"/>
    <col min="13" max="13" width="9.42578125" bestFit="1" customWidth="1"/>
  </cols>
  <sheetData>
    <row r="1" spans="1:14">
      <c r="C1" s="3429" t="s">
        <v>2225</v>
      </c>
      <c r="D1" s="3429"/>
      <c r="E1" s="3429"/>
    </row>
    <row r="3" spans="1:14" ht="35.25" customHeight="1">
      <c r="B3" s="2912" t="s">
        <v>1189</v>
      </c>
      <c r="C3" s="2912" t="s">
        <v>2213</v>
      </c>
      <c r="D3" s="2913" t="s">
        <v>2214</v>
      </c>
      <c r="E3" s="2912" t="s">
        <v>2215</v>
      </c>
      <c r="F3" s="2912" t="s">
        <v>2216</v>
      </c>
      <c r="G3" s="2911" t="s">
        <v>1345</v>
      </c>
      <c r="H3" s="2911"/>
      <c r="I3" s="2911"/>
      <c r="J3" s="2914" t="s">
        <v>2217</v>
      </c>
      <c r="K3" s="2914" t="s">
        <v>2218</v>
      </c>
      <c r="L3" s="2914" t="s">
        <v>1345</v>
      </c>
      <c r="M3" s="423" t="s">
        <v>2219</v>
      </c>
    </row>
    <row r="4" spans="1:14">
      <c r="A4" t="str">
        <f>"Gas in "&amp; preferences.energyunits</f>
        <v>Gas in TWh</v>
      </c>
      <c r="B4" s="315">
        <f>20.3*unit.bcm</f>
        <v>191.37825000000001</v>
      </c>
      <c r="C4" s="315">
        <f>1.618*unit.bcm</f>
        <v>15.253695</v>
      </c>
      <c r="D4" s="315">
        <f>0.784*unit.bcm</f>
        <v>7.3911600000000002</v>
      </c>
      <c r="E4" s="315">
        <f>0.175*unit.bcm</f>
        <v>1.6498124999999999</v>
      </c>
      <c r="F4" s="315">
        <f>2.845*unit.bcm</f>
        <v>26.821237500000002</v>
      </c>
      <c r="G4" s="315">
        <f>0.934*unit.bcm</f>
        <v>8.8052850000000014</v>
      </c>
      <c r="H4" s="315"/>
      <c r="I4" s="315"/>
      <c r="J4" s="315">
        <f>11.33*unit.bcm</f>
        <v>106.813575</v>
      </c>
      <c r="K4" s="315">
        <f>1.3*unit.bcm</f>
        <v>12.255750000000001</v>
      </c>
      <c r="L4" s="315">
        <f>6.587*unit.bcm</f>
        <v>62.0989425</v>
      </c>
      <c r="M4" s="315">
        <f>SUM(B4:L4)</f>
        <v>432.46770750000002</v>
      </c>
    </row>
    <row r="5" spans="1:14">
      <c r="A5" t="s">
        <v>2220</v>
      </c>
      <c r="B5" s="2915">
        <f>B4/$M4</f>
        <v>0.44252610468031306</v>
      </c>
      <c r="C5" s="2915">
        <f t="shared" ref="C5:L5" si="0">C4/$M4</f>
        <v>3.5271292481416083E-2</v>
      </c>
      <c r="D5" s="2915">
        <f t="shared" si="0"/>
        <v>1.709066335317071E-2</v>
      </c>
      <c r="E5" s="2915">
        <f t="shared" si="0"/>
        <v>3.8148802127613191E-3</v>
      </c>
      <c r="F5" s="2915">
        <f t="shared" si="0"/>
        <v>6.2019052601748309E-2</v>
      </c>
      <c r="G5" s="2915">
        <f t="shared" si="0"/>
        <v>2.0360560678394701E-2</v>
      </c>
      <c r="H5" s="2915"/>
      <c r="I5" s="2915"/>
      <c r="J5" s="2915">
        <f t="shared" si="0"/>
        <v>0.24698624463191854</v>
      </c>
      <c r="K5" s="2915">
        <f t="shared" si="0"/>
        <v>2.8339110151941231E-2</v>
      </c>
      <c r="L5" s="2915">
        <f t="shared" si="0"/>
        <v>0.14359209120833605</v>
      </c>
    </row>
    <row r="6" spans="1:14">
      <c r="N6">
        <f>114*0.365</f>
        <v>41.61</v>
      </c>
    </row>
    <row r="7" spans="1:14">
      <c r="B7" s="423" t="s">
        <v>2221</v>
      </c>
      <c r="C7" s="423" t="s">
        <v>2222</v>
      </c>
      <c r="D7" s="423" t="s">
        <v>2223</v>
      </c>
      <c r="E7" s="423" t="s">
        <v>2224</v>
      </c>
    </row>
    <row r="8" spans="1:14">
      <c r="A8" s="2905" t="str">
        <f>"Gas Production in  "&amp; preferences.energyunits</f>
        <v>Gas Production in  TWh</v>
      </c>
      <c r="B8" s="2905">
        <f>47.6*(unit.bcm)</f>
        <v>448.74900000000002</v>
      </c>
      <c r="C8" s="2905">
        <f>41.16*(unit.bcm)</f>
        <v>388.03589999999997</v>
      </c>
      <c r="D8" s="2905">
        <f>1.077*(unit.bcm)</f>
        <v>10.1534175</v>
      </c>
      <c r="E8" s="2905">
        <f>46.48*(unit.bcm)</f>
        <v>438.1902</v>
      </c>
      <c r="F8">
        <f>E8-C8</f>
        <v>50.154300000000035</v>
      </c>
      <c r="G8">
        <f>(F8+D8)/C8</f>
        <v>0.15541788143828972</v>
      </c>
    </row>
    <row r="9" spans="1:14">
      <c r="J9">
        <f>38.9*0.365</f>
        <v>14.198499999999999</v>
      </c>
    </row>
    <row r="12" spans="1:14">
      <c r="C12" s="2914" t="s">
        <v>2226</v>
      </c>
    </row>
    <row r="14" spans="1:14">
      <c r="B14" s="423" t="s">
        <v>2227</v>
      </c>
      <c r="C14" s="423" t="s">
        <v>33</v>
      </c>
      <c r="D14" s="423" t="s">
        <v>113</v>
      </c>
      <c r="E14" s="423" t="s">
        <v>1189</v>
      </c>
      <c r="F14" s="423" t="s">
        <v>2228</v>
      </c>
      <c r="G14" s="423" t="s">
        <v>2229</v>
      </c>
      <c r="H14" s="423" t="s">
        <v>1345</v>
      </c>
      <c r="I14" s="423" t="s">
        <v>4</v>
      </c>
      <c r="J14" s="423" t="s">
        <v>103</v>
      </c>
    </row>
    <row r="15" spans="1:14">
      <c r="A15" t="s">
        <v>918</v>
      </c>
      <c r="B15" s="315">
        <f>(13319000)*(unit.tlpge)</f>
        <v>170.74218055555556</v>
      </c>
      <c r="C15" s="315">
        <f>1045000*(unit.tlpge)</f>
        <v>13.396319444444446</v>
      </c>
      <c r="D15" s="315">
        <f>223000*(unit.tlpge)</f>
        <v>2.8587361111111114</v>
      </c>
      <c r="I15" s="315">
        <f>429000*unit.tlpge</f>
        <v>5.4995416666666674</v>
      </c>
      <c r="J15" s="315">
        <f>SUM(B15:I15)</f>
        <v>192.49677777777779</v>
      </c>
    </row>
    <row r="16" spans="1:14">
      <c r="A16" t="s">
        <v>920</v>
      </c>
      <c r="B16" s="497">
        <f>(8045)*(1.2346*1000*1000*unit.lke)</f>
        <v>36.556591736111116</v>
      </c>
      <c r="C16" s="497">
        <f>61*(1.2346*1000*1000*unit.lke)</f>
        <v>0.27718484722222225</v>
      </c>
      <c r="D16" s="497">
        <f>0*(1.2346*1000*1000*unit.lke)</f>
        <v>0</v>
      </c>
      <c r="E16" s="497">
        <f>0*(1.2346*1000*1000*unit.lke)</f>
        <v>0</v>
      </c>
      <c r="F16" s="497">
        <f>0*(1.2346*1000*1000*unit.lke)</f>
        <v>0</v>
      </c>
      <c r="G16" s="497">
        <f>0*(1.2346*1000*1000*unit.lke)</f>
        <v>0</v>
      </c>
      <c r="H16" s="497">
        <f>123*(1.2346*1000*1000*unit.lke)</f>
        <v>0.55891370833333331</v>
      </c>
      <c r="I16" s="497">
        <f>0*(1.2346*1000*1000*unit.lke)</f>
        <v>0</v>
      </c>
      <c r="J16" s="315">
        <f t="shared" ref="J16:J18" si="1">SUM(B16:I16)</f>
        <v>37.392690291666675</v>
      </c>
    </row>
    <row r="17" spans="1:10">
      <c r="B17" s="423" t="s">
        <v>1623</v>
      </c>
      <c r="C17" s="423" t="s">
        <v>2232</v>
      </c>
      <c r="D17" s="423" t="s">
        <v>2233</v>
      </c>
      <c r="E17" s="423" t="s">
        <v>2231</v>
      </c>
      <c r="H17" s="423" t="s">
        <v>1345</v>
      </c>
      <c r="I17" s="423" t="s">
        <v>4</v>
      </c>
      <c r="J17" s="423" t="s">
        <v>103</v>
      </c>
    </row>
    <row r="18" spans="1:10">
      <c r="A18" t="s">
        <v>2230</v>
      </c>
      <c r="B18" s="1617">
        <f>962000*(1.075*Unit.toe)</f>
        <v>12.0271645</v>
      </c>
      <c r="C18" s="1617">
        <f>190*(1.075*Unit.toe)</f>
        <v>2.3754275E-3</v>
      </c>
      <c r="D18" s="1617">
        <f>8141000*(1.075*Unit.toe)</f>
        <v>101.78081725</v>
      </c>
      <c r="E18" s="1617">
        <f>187000*(1.075*Unit.toe)</f>
        <v>2.3379207499999999</v>
      </c>
      <c r="F18" s="1617">
        <f>0*(1.075*Unit.toe)</f>
        <v>0</v>
      </c>
      <c r="G18" s="1617">
        <f>0*(1.075*Unit.toe)</f>
        <v>0</v>
      </c>
      <c r="H18" s="1617">
        <f>164000*(1.075*Unit.toe)</f>
        <v>2.0503689999999999</v>
      </c>
      <c r="I18" s="1617">
        <f>1651000*(1.075*Unit.toe)</f>
        <v>20.64121475</v>
      </c>
      <c r="J18" s="315">
        <f t="shared" si="1"/>
        <v>138.83986167749998</v>
      </c>
    </row>
    <row r="19" spans="1:10">
      <c r="C19" s="423" t="s">
        <v>1345</v>
      </c>
      <c r="D19" s="423" t="s">
        <v>113</v>
      </c>
      <c r="E19" s="423" t="s">
        <v>2231</v>
      </c>
      <c r="F19" s="423" t="s">
        <v>106</v>
      </c>
      <c r="G19" s="423" t="s">
        <v>2229</v>
      </c>
      <c r="H19" s="423" t="s">
        <v>2235</v>
      </c>
      <c r="I19" s="423" t="s">
        <v>4</v>
      </c>
    </row>
    <row r="20" spans="1:10">
      <c r="A20" t="s">
        <v>2234</v>
      </c>
      <c r="C20">
        <v>55.47</v>
      </c>
      <c r="D20">
        <v>5.5279999999999996</v>
      </c>
      <c r="E20">
        <v>0.16800000000000001</v>
      </c>
      <c r="F20">
        <v>0.68400000000000005</v>
      </c>
      <c r="G20">
        <v>1.649</v>
      </c>
      <c r="H20">
        <v>1.181</v>
      </c>
      <c r="I20" s="2905">
        <v>6.2E-2</v>
      </c>
    </row>
    <row r="21" spans="1:10">
      <c r="A21" t="s">
        <v>2236</v>
      </c>
      <c r="C21">
        <v>0.41499999999999998</v>
      </c>
      <c r="D21">
        <v>3.0000000000000001E-3</v>
      </c>
      <c r="E21">
        <v>0.127</v>
      </c>
      <c r="F21">
        <v>1E-3</v>
      </c>
      <c r="G21">
        <v>0.10199999999999999</v>
      </c>
    </row>
    <row r="22" spans="1:10">
      <c r="A22" t="s">
        <v>2237</v>
      </c>
      <c r="C22">
        <v>3.3</v>
      </c>
      <c r="D22">
        <v>0.371</v>
      </c>
      <c r="E22">
        <v>0.64700000000000002</v>
      </c>
      <c r="F22">
        <v>7.0000000000000007E-2</v>
      </c>
      <c r="G22">
        <v>2.4089999999999998</v>
      </c>
      <c r="H22" s="2905">
        <v>4.4999999999999998E-2</v>
      </c>
      <c r="I22" s="2905">
        <v>0.63100000000000001</v>
      </c>
    </row>
    <row r="23" spans="1:10">
      <c r="A23" t="s">
        <v>2248</v>
      </c>
      <c r="C23">
        <v>0.29299999999999998</v>
      </c>
      <c r="E23">
        <v>0.39900000000000002</v>
      </c>
      <c r="G23">
        <v>1.0669999999999999</v>
      </c>
    </row>
    <row r="25" spans="1:10">
      <c r="A25" t="s">
        <v>2249</v>
      </c>
      <c r="E25" s="2915">
        <f>19.58%</f>
        <v>0.19579999999999997</v>
      </c>
    </row>
    <row r="27" spans="1:10">
      <c r="A27" s="423" t="s">
        <v>2250</v>
      </c>
    </row>
    <row r="28" spans="1:10">
      <c r="A28" t="s">
        <v>2251</v>
      </c>
      <c r="C28" s="315">
        <f>167.727*Unit.Mtoe</f>
        <v>1950.6650100000002</v>
      </c>
    </row>
    <row r="29" spans="1:10">
      <c r="A29" t="s">
        <v>2252</v>
      </c>
      <c r="C29" s="315">
        <f>15.767*Unit.Mtoe</f>
        <v>183.37021000000001</v>
      </c>
    </row>
    <row r="30" spans="1:10">
      <c r="A30" t="s">
        <v>2253</v>
      </c>
      <c r="C30" s="315">
        <f>61.4*Unit.Mtoe</f>
        <v>714.08199999999999</v>
      </c>
    </row>
    <row r="31" spans="1:10">
      <c r="A31" t="s">
        <v>2255</v>
      </c>
      <c r="C31" s="315">
        <f>C29-C30</f>
        <v>-530.71178999999995</v>
      </c>
    </row>
    <row r="32" spans="1:10">
      <c r="A32" s="2491" t="s">
        <v>2254</v>
      </c>
      <c r="B32" s="2491"/>
      <c r="C32" s="2954">
        <f>C28+C31</f>
        <v>1419.9532200000003</v>
      </c>
    </row>
    <row r="34" spans="1:4">
      <c r="A34" t="s">
        <v>2256</v>
      </c>
      <c r="C34" s="315">
        <f>38.009*Unit.Mtoe</f>
        <v>442.04467000000005</v>
      </c>
    </row>
    <row r="35" spans="1:4">
      <c r="A35" t="s">
        <v>2257</v>
      </c>
      <c r="C35" s="315">
        <f>211.424*Unit.Mtoe</f>
        <v>2458.86112</v>
      </c>
    </row>
    <row r="36" spans="1:4">
      <c r="A36" t="s">
        <v>2258</v>
      </c>
      <c r="C36" s="315">
        <f>198.9*Unit.Mtoe</f>
        <v>2313.2070000000003</v>
      </c>
    </row>
    <row r="37" spans="1:4">
      <c r="A37" t="s">
        <v>2259</v>
      </c>
      <c r="C37" s="1617">
        <f>147.995*Unit.Mtoe</f>
        <v>1721.1818500000002</v>
      </c>
    </row>
    <row r="40" spans="1:4">
      <c r="A40" s="423" t="s">
        <v>2261</v>
      </c>
    </row>
    <row r="41" spans="1:4">
      <c r="C41" s="315">
        <f>532.8*Unit.Mtce</f>
        <v>2477.52</v>
      </c>
      <c r="D41">
        <f>222.16*Unit.Mtoe</f>
        <v>2583.7208000000001</v>
      </c>
    </row>
    <row r="42" spans="1:4">
      <c r="A42" t="s">
        <v>2260</v>
      </c>
      <c r="C42" s="315">
        <f>24.59*unit.mtle</f>
        <v>81.933757049999997</v>
      </c>
    </row>
    <row r="43" spans="1:4">
      <c r="A43" t="s">
        <v>376</v>
      </c>
      <c r="C43" s="315">
        <f>47.559*unit.bcm</f>
        <v>448.36247249999997</v>
      </c>
    </row>
    <row r="44" spans="1:4">
      <c r="A44" t="s">
        <v>2262</v>
      </c>
      <c r="C44" s="315">
        <f>38.09*Unit.Mtoe</f>
        <v>442.98670000000004</v>
      </c>
    </row>
    <row r="45" spans="1:4">
      <c r="A45" t="s">
        <v>2263</v>
      </c>
      <c r="C45" s="315">
        <f>196.7*Unit.Mtoe</f>
        <v>2287.6210000000001</v>
      </c>
    </row>
    <row r="46" spans="1:4">
      <c r="A46" t="s">
        <v>2264</v>
      </c>
      <c r="C46" s="315">
        <f>708.8*Unit.TWh</f>
        <v>708.8</v>
      </c>
    </row>
    <row r="47" spans="1:4">
      <c r="A47" t="s">
        <v>2265</v>
      </c>
      <c r="C47" s="315">
        <f>130.5*Unit.TWh</f>
        <v>130.5</v>
      </c>
    </row>
    <row r="48" spans="1:4">
      <c r="A48" t="s">
        <v>0</v>
      </c>
      <c r="C48" s="315">
        <f>32.3*Unit.TWh</f>
        <v>32.299999999999997</v>
      </c>
    </row>
    <row r="49" spans="1:7">
      <c r="A49" t="s">
        <v>103</v>
      </c>
      <c r="C49" s="315">
        <f>SUM(C41:C48)</f>
        <v>6610.0239295500005</v>
      </c>
    </row>
    <row r="52" spans="1:7" ht="25.5">
      <c r="A52" s="2956" t="s">
        <v>2266</v>
      </c>
      <c r="B52" s="2957" t="s">
        <v>2272</v>
      </c>
      <c r="C52" s="609"/>
      <c r="D52" s="609"/>
      <c r="E52" s="609"/>
      <c r="F52" s="609"/>
    </row>
    <row r="53" spans="1:7" s="2905" customFormat="1">
      <c r="A53" s="423"/>
      <c r="B53" s="3430" t="s">
        <v>2269</v>
      </c>
      <c r="C53" s="3430"/>
    </row>
    <row r="54" spans="1:7">
      <c r="A54" s="423" t="s">
        <v>2271</v>
      </c>
      <c r="B54" s="423" t="s">
        <v>2267</v>
      </c>
      <c r="C54" s="423" t="s">
        <v>2268</v>
      </c>
      <c r="D54" s="423" t="s">
        <v>1602</v>
      </c>
      <c r="E54" s="423" t="s">
        <v>2270</v>
      </c>
      <c r="F54" s="423" t="s">
        <v>1345</v>
      </c>
      <c r="G54" s="423" t="s">
        <v>103</v>
      </c>
    </row>
    <row r="55" spans="1:7">
      <c r="A55" s="315">
        <f>46.08*(Unit.Mtce)</f>
        <v>214.27200000000002</v>
      </c>
      <c r="B55" s="315">
        <f>367*(Unit.Mtce)</f>
        <v>1706.5500000000002</v>
      </c>
      <c r="C55" s="315">
        <f>36.91*(Unit.Mtce)</f>
        <v>171.63149999999999</v>
      </c>
      <c r="D55" s="315">
        <f>13.4*(Unit.Mtce)</f>
        <v>62.310000000000009</v>
      </c>
      <c r="E55" s="315">
        <f>21.3*(Unit.Mtce)</f>
        <v>99.045000000000016</v>
      </c>
      <c r="F55" s="315">
        <f>81.97*(Unit.Mtce)</f>
        <v>381.16050000000001</v>
      </c>
      <c r="G55" s="315">
        <f>SUM(A55:F55)</f>
        <v>2634.9690000000001</v>
      </c>
    </row>
    <row r="58" spans="1:7">
      <c r="A58" t="s">
        <v>2273</v>
      </c>
      <c r="B58" s="315">
        <f>696.03*Unit.Mtce</f>
        <v>3236.5395000000003</v>
      </c>
    </row>
    <row r="59" spans="1:7">
      <c r="A59" t="s">
        <v>2274</v>
      </c>
      <c r="B59" s="315">
        <f>535.15*Unit.Mtce</f>
        <v>2488.4475000000002</v>
      </c>
    </row>
    <row r="60" spans="1:7">
      <c r="A60" t="s">
        <v>2275</v>
      </c>
      <c r="B60" s="315">
        <f>90*Unit.Mtce</f>
        <v>418.50000000000006</v>
      </c>
    </row>
    <row r="61" spans="1:7">
      <c r="A61" t="s">
        <v>2045</v>
      </c>
      <c r="B61" s="2955">
        <f>B60/B58</f>
        <v>0.12930477134606266</v>
      </c>
    </row>
    <row r="64" spans="1:7">
      <c r="A64" s="885" t="s">
        <v>2280</v>
      </c>
    </row>
    <row r="65" spans="1:6">
      <c r="A65" s="2491" t="s">
        <v>2278</v>
      </c>
      <c r="B65" s="609"/>
      <c r="C65" s="609"/>
      <c r="D65" s="609"/>
      <c r="E65" s="609"/>
      <c r="F65" s="609"/>
    </row>
    <row r="66" spans="1:6">
      <c r="A66" t="s">
        <v>2276</v>
      </c>
      <c r="B66" t="s">
        <v>799</v>
      </c>
      <c r="C66" t="s">
        <v>2277</v>
      </c>
    </row>
    <row r="67" spans="1:6">
      <c r="A67" t="s">
        <v>102</v>
      </c>
      <c r="B67" s="315">
        <f>584.89*Unit.TWh</f>
        <v>584.89</v>
      </c>
      <c r="C67" s="2915">
        <v>0.73450000000000004</v>
      </c>
    </row>
    <row r="68" spans="1:6">
      <c r="A68" t="s">
        <v>2260</v>
      </c>
      <c r="B68" s="315">
        <f>28.09*Unit.TWh</f>
        <v>28.09</v>
      </c>
      <c r="C68" s="2915">
        <v>0.70889999999999997</v>
      </c>
    </row>
    <row r="69" spans="1:6">
      <c r="A69" t="s">
        <v>14</v>
      </c>
      <c r="B69" s="315">
        <f>93.31*Unit.TWh</f>
        <v>93.31</v>
      </c>
      <c r="C69" s="2915">
        <v>0.59909999999999997</v>
      </c>
      <c r="F69">
        <f>126*8760*0.735*0.001</f>
        <v>811.2636</v>
      </c>
    </row>
    <row r="70" spans="1:6">
      <c r="A70" t="s">
        <v>161</v>
      </c>
      <c r="B70" s="315">
        <f>2.46*Unit.TWh</f>
        <v>2.46</v>
      </c>
      <c r="C70" s="2915">
        <v>0.7329</v>
      </c>
    </row>
    <row r="71" spans="1:6">
      <c r="A71" t="s">
        <v>0</v>
      </c>
      <c r="B71" s="315">
        <f>32.3*(Unit.TWh)</f>
        <v>32.299999999999997</v>
      </c>
      <c r="C71" s="131">
        <v>0.76859999999999995</v>
      </c>
    </row>
    <row r="72" spans="1:6">
      <c r="A72" t="s">
        <v>18</v>
      </c>
      <c r="B72" s="315">
        <f>130.4*(Unit.TWh)</f>
        <v>130.4</v>
      </c>
    </row>
    <row r="73" spans="1:6">
      <c r="A73" t="s">
        <v>2275</v>
      </c>
      <c r="B73" s="315">
        <f>5.3*(Unit.TWh)</f>
        <v>5.3</v>
      </c>
    </row>
    <row r="74" spans="1:6" s="2905" customFormat="1">
      <c r="A74" s="2905" t="s">
        <v>2042</v>
      </c>
      <c r="B74" s="315">
        <f>51*Unit.TWh</f>
        <v>51</v>
      </c>
    </row>
    <row r="75" spans="1:6" s="2905" customFormat="1">
      <c r="A75" s="2905" t="s">
        <v>2281</v>
      </c>
      <c r="B75" s="315">
        <f>B76-(SUM(B67:B74))</f>
        <v>-5.7499999999998863</v>
      </c>
    </row>
    <row r="76" spans="1:6">
      <c r="A76" s="423" t="s">
        <v>103</v>
      </c>
      <c r="B76" s="2722">
        <f>922*Unit.TWh</f>
        <v>922</v>
      </c>
    </row>
    <row r="77" spans="1:6">
      <c r="A77" t="s">
        <v>2279</v>
      </c>
    </row>
    <row r="78" spans="1:6">
      <c r="A78" t="s">
        <v>2282</v>
      </c>
      <c r="B78" s="315">
        <f>134.388*Unit.TWh</f>
        <v>134.38800000000001</v>
      </c>
    </row>
    <row r="79" spans="1:6">
      <c r="A79" s="423" t="s">
        <v>2283</v>
      </c>
      <c r="B79" s="2722">
        <f>B76+B78</f>
        <v>1056.3879999999999</v>
      </c>
    </row>
    <row r="81" spans="1:5">
      <c r="A81" s="2491" t="s">
        <v>2284</v>
      </c>
      <c r="B81" s="609" t="s">
        <v>2453</v>
      </c>
      <c r="C81" s="609" t="s">
        <v>2452</v>
      </c>
      <c r="D81" s="609"/>
      <c r="E81" s="609"/>
    </row>
    <row r="82" spans="1:5">
      <c r="A82" t="s">
        <v>32</v>
      </c>
      <c r="B82" s="1617">
        <f>171.103*Unit.TWh</f>
        <v>171.10300000000001</v>
      </c>
      <c r="C82" s="3153">
        <f>14*(Unit.Mtoe)</f>
        <v>162.82000000000002</v>
      </c>
      <c r="E82" s="315"/>
    </row>
    <row r="83" spans="1:5">
      <c r="A83" t="s">
        <v>1376</v>
      </c>
      <c r="B83" s="1617">
        <f>65.381*Unit.TWh</f>
        <v>65.381</v>
      </c>
      <c r="C83" s="3153">
        <f>6*(Unit.Mtoe)</f>
        <v>69.78</v>
      </c>
    </row>
    <row r="84" spans="1:5">
      <c r="A84" t="s">
        <v>33</v>
      </c>
      <c r="B84" s="315">
        <f>240.029*Unit.TWh</f>
        <v>240.029</v>
      </c>
      <c r="C84" s="3153">
        <f>23*(Unit.Mtoe)</f>
        <v>267.49</v>
      </c>
    </row>
    <row r="85" spans="1:5">
      <c r="A85" t="s">
        <v>2285</v>
      </c>
      <c r="B85" s="315">
        <f>7.455*Unit.TWh</f>
        <v>7.4550000000000001</v>
      </c>
      <c r="C85" s="3153">
        <f>0*(Unit.Mtoe)</f>
        <v>0</v>
      </c>
    </row>
    <row r="86" spans="1:5">
      <c r="A86" t="s">
        <v>1979</v>
      </c>
      <c r="B86" s="315">
        <f>14.205*Unit.TWh</f>
        <v>14.205</v>
      </c>
      <c r="C86" s="3153">
        <f>1.2*(Unit.Mtoe)</f>
        <v>13.956000000000001</v>
      </c>
    </row>
    <row r="87" spans="1:5">
      <c r="A87" t="s">
        <v>2228</v>
      </c>
      <c r="B87" s="315">
        <f>140.096*Unit.TWh</f>
        <v>140.096</v>
      </c>
      <c r="C87" s="3153">
        <f>11.7*(Unit.Mtoe)</f>
        <v>136.071</v>
      </c>
    </row>
    <row r="88" spans="1:5">
      <c r="A88" t="s">
        <v>2286</v>
      </c>
      <c r="B88" s="315">
        <f>15.25*Unit.TWh</f>
        <v>15.25</v>
      </c>
      <c r="C88" s="3153">
        <f>0*(Unit.Mtoe)</f>
        <v>0</v>
      </c>
    </row>
    <row r="89" spans="1:5">
      <c r="A89" t="s">
        <v>2287</v>
      </c>
      <c r="B89" s="315">
        <f>18.546*Unit.TWh</f>
        <v>18.545999999999999</v>
      </c>
      <c r="C89" s="3153">
        <f>4*(Unit.Mtoe)</f>
        <v>46.52</v>
      </c>
      <c r="D89" t="s">
        <v>1078</v>
      </c>
    </row>
    <row r="90" spans="1:5">
      <c r="A90" s="2491" t="s">
        <v>2288</v>
      </c>
      <c r="B90" s="2958">
        <f>SUM(B82:B89)</f>
        <v>672.06500000000005</v>
      </c>
      <c r="C90" s="2958">
        <f t="shared" ref="C90" si="2">SUM(C82:C89)</f>
        <v>696.63700000000006</v>
      </c>
    </row>
    <row r="93" spans="1:5">
      <c r="A93" s="423" t="s">
        <v>2289</v>
      </c>
    </row>
    <row r="94" spans="1:5">
      <c r="A94" t="s">
        <v>1778</v>
      </c>
      <c r="B94" s="2722">
        <f>922*Unit.TWh</f>
        <v>922</v>
      </c>
    </row>
    <row r="95" spans="1:5">
      <c r="A95" t="s">
        <v>2290</v>
      </c>
      <c r="B95" s="315">
        <f>56.5*Unit.TWh</f>
        <v>56.5</v>
      </c>
    </row>
    <row r="96" spans="1:5">
      <c r="A96" t="s">
        <v>2291</v>
      </c>
      <c r="B96" s="315">
        <f>B94-B95</f>
        <v>865.5</v>
      </c>
    </row>
    <row r="97" spans="1:5">
      <c r="A97" t="s">
        <v>2292</v>
      </c>
      <c r="B97" s="315">
        <f>10.263*Unit.TWh</f>
        <v>10.263</v>
      </c>
    </row>
    <row r="98" spans="1:5">
      <c r="A98" t="s">
        <v>2293</v>
      </c>
      <c r="B98" s="315">
        <f>5.252*Unit.TWh</f>
        <v>5.2519999999999998</v>
      </c>
    </row>
    <row r="99" spans="1:5">
      <c r="A99" t="s">
        <v>2294</v>
      </c>
      <c r="B99" s="315">
        <f>B96+B97+B98</f>
        <v>881.01499999999999</v>
      </c>
    </row>
    <row r="100" spans="1:5">
      <c r="A100" t="s">
        <v>2295</v>
      </c>
      <c r="B100" s="315">
        <f>0.34*Unit.TWh</f>
        <v>0.34</v>
      </c>
    </row>
    <row r="101" spans="1:5">
      <c r="A101" s="423" t="s">
        <v>2296</v>
      </c>
      <c r="B101" s="2722">
        <f>B99-B100</f>
        <v>880.67499999999995</v>
      </c>
    </row>
    <row r="102" spans="1:5">
      <c r="A102" t="s">
        <v>2297</v>
      </c>
      <c r="B102" s="315">
        <f>B101-B90</f>
        <v>208.6099999999999</v>
      </c>
      <c r="C102" s="2915">
        <f>B102/B101</f>
        <v>0.23687512419450979</v>
      </c>
    </row>
    <row r="104" spans="1:5">
      <c r="A104" t="s">
        <v>2298</v>
      </c>
    </row>
    <row r="109" spans="1:5">
      <c r="A109" s="2491" t="s">
        <v>2300</v>
      </c>
    </row>
    <row r="110" spans="1:5">
      <c r="B110" t="s">
        <v>32</v>
      </c>
      <c r="C110" t="s">
        <v>4</v>
      </c>
      <c r="D110" t="s">
        <v>103</v>
      </c>
      <c r="E110" t="s">
        <v>2301</v>
      </c>
    </row>
    <row r="111" spans="1:5">
      <c r="A111" t="s">
        <v>102</v>
      </c>
      <c r="B111" s="315">
        <f>222.16*(Unit.Mtoe)</f>
        <v>2583.7208000000001</v>
      </c>
      <c r="C111" s="315">
        <f>54*(Unit.Mtoe)</f>
        <v>628.0200000000001</v>
      </c>
      <c r="D111" s="315">
        <f>B111+C111</f>
        <v>3211.7408</v>
      </c>
      <c r="E111" s="2915">
        <f>C111/(D111+B112)</f>
        <v>0.1882845188284519</v>
      </c>
    </row>
    <row r="112" spans="1:5">
      <c r="A112" t="s">
        <v>2260</v>
      </c>
      <c r="B112" s="315">
        <f>10.64*(Unit.Mtoe)</f>
        <v>123.74320000000002</v>
      </c>
      <c r="C112" s="315">
        <f>0*(Unit.Mtoe)</f>
        <v>0</v>
      </c>
      <c r="D112" s="315">
        <f t="shared" ref="D112:D117" si="3">B112+C112</f>
        <v>123.74320000000002</v>
      </c>
      <c r="E112" s="2915"/>
    </row>
    <row r="113" spans="1:7">
      <c r="A113" t="s">
        <v>2302</v>
      </c>
      <c r="B113" s="315">
        <f>39.23*(Unit.Mtoe)</f>
        <v>456.24489999999997</v>
      </c>
      <c r="C113" s="315">
        <f>129.8*(Unit.Mtoe)</f>
        <v>1509.5740000000003</v>
      </c>
      <c r="D113" s="315">
        <f t="shared" si="3"/>
        <v>1965.8189000000002</v>
      </c>
      <c r="E113" s="2915">
        <f>C113/D113</f>
        <v>0.76791102171212222</v>
      </c>
    </row>
    <row r="114" spans="1:7">
      <c r="A114" t="s">
        <v>376</v>
      </c>
      <c r="B114" s="315">
        <f>42.71*(Unit.Mtoe)</f>
        <v>496.71730000000002</v>
      </c>
      <c r="C114" s="315">
        <f>12.56*(Unit.Mtoe)</f>
        <v>146.07280000000003</v>
      </c>
      <c r="D114" s="315">
        <f t="shared" si="3"/>
        <v>642.79010000000005</v>
      </c>
      <c r="E114" s="2915">
        <f>C114/D114</f>
        <v>0.22724805500271397</v>
      </c>
      <c r="G114">
        <f>39*0.365</f>
        <v>14.234999999999999</v>
      </c>
    </row>
    <row r="115" spans="1:7">
      <c r="A115" t="s">
        <v>18</v>
      </c>
      <c r="B115" s="315">
        <f>11.22*(Unit.Mtoe)</f>
        <v>130.48860000000002</v>
      </c>
      <c r="C115" s="315">
        <f>0.45*(Unit.Mtoe)</f>
        <v>5.2335000000000003</v>
      </c>
      <c r="D115" s="315">
        <f t="shared" si="3"/>
        <v>135.72210000000001</v>
      </c>
    </row>
    <row r="116" spans="1:7">
      <c r="A116" t="s">
        <v>0</v>
      </c>
      <c r="B116" s="315">
        <f>8.43*(Unit.Mtoe)</f>
        <v>98.040900000000008</v>
      </c>
      <c r="C116" s="315"/>
      <c r="D116" s="315">
        <f t="shared" si="3"/>
        <v>98.040900000000008</v>
      </c>
    </row>
    <row r="117" spans="1:7">
      <c r="A117" t="s">
        <v>2042</v>
      </c>
      <c r="B117" s="315">
        <f>5.25*(Unit.Mtoe)</f>
        <v>61.057500000000005</v>
      </c>
      <c r="C117" s="315"/>
      <c r="D117" s="315">
        <f t="shared" si="3"/>
        <v>61.057500000000005</v>
      </c>
    </row>
    <row r="118" spans="1:7">
      <c r="A118" t="s">
        <v>2303</v>
      </c>
      <c r="B118" s="315">
        <f>SUM(B111:B117)</f>
        <v>3950.0131999999999</v>
      </c>
      <c r="C118" s="315">
        <f>SUM(C111:C117)</f>
        <v>2288.9003000000002</v>
      </c>
      <c r="D118" s="315">
        <f>SUM(D111:D117)</f>
        <v>6238.9135000000006</v>
      </c>
    </row>
    <row r="119" spans="1:7">
      <c r="A119" t="s">
        <v>2304</v>
      </c>
      <c r="B119" s="315">
        <f>174.2*(Unit.Mtoe)</f>
        <v>2025.9459999999999</v>
      </c>
      <c r="C119" s="315"/>
      <c r="D119" s="315"/>
    </row>
    <row r="120" spans="1:7">
      <c r="A120" s="423" t="s">
        <v>103</v>
      </c>
      <c r="B120" s="1617">
        <f>B118+B119</f>
        <v>5975.9591999999993</v>
      </c>
      <c r="C120" s="1617">
        <f>C118</f>
        <v>2288.9003000000002</v>
      </c>
      <c r="D120" s="1617">
        <f>B120+C120</f>
        <v>8264.8594999999987</v>
      </c>
      <c r="E120" s="2915">
        <f>C120/D120</f>
        <v>0.27694364314360098</v>
      </c>
    </row>
    <row r="131" spans="2:2">
      <c r="B131">
        <f>Unit.Mtoe</f>
        <v>11.63</v>
      </c>
    </row>
  </sheetData>
  <mergeCells count="2">
    <mergeCell ref="C1:E1"/>
    <mergeCell ref="B53:C53"/>
  </mergeCells>
  <hyperlinks>
    <hyperlink ref="B52" r:id="rId1"/>
    <hyperlink ref="A64" r:id="rId2"/>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sheetPr codeName="Sheet8">
    <tabColor theme="7" tint="0.39997558519241921"/>
    <pageSetUpPr autoPageBreaks="0"/>
  </sheetPr>
  <dimension ref="A2:AP137"/>
  <sheetViews>
    <sheetView showGridLines="0" topLeftCell="A93" zoomScale="115" zoomScaleNormal="115" zoomScalePageLayoutView="115" workbookViewId="0">
      <selection activeCell="F114" sqref="F114"/>
    </sheetView>
  </sheetViews>
  <sheetFormatPr defaultColWidth="8.85546875" defaultRowHeight="12.75"/>
  <cols>
    <col min="1" max="1" width="3.7109375" customWidth="1"/>
    <col min="2" max="2" width="12.7109375" customWidth="1"/>
    <col min="3" max="3" width="28.42578125" style="36" bestFit="1" customWidth="1"/>
    <col min="4" max="4" width="23.7109375" customWidth="1"/>
    <col min="5" max="5" width="20.140625" customWidth="1"/>
    <col min="6" max="6" width="13.85546875" bestFit="1" customWidth="1"/>
    <col min="7" max="7" width="20.28515625" customWidth="1"/>
    <col min="8" max="8" width="12" bestFit="1" customWidth="1"/>
    <col min="9" max="9" width="15.140625" customWidth="1"/>
    <col min="10" max="10" width="13.28515625" bestFit="1" customWidth="1"/>
    <col min="11" max="11" width="17" customWidth="1"/>
    <col min="12" max="12" width="13.42578125" customWidth="1"/>
    <col min="13" max="13" width="53.7109375" customWidth="1"/>
    <col min="14" max="15" width="10.42578125" bestFit="1" customWidth="1"/>
    <col min="16" max="16" width="12.7109375" customWidth="1"/>
    <col min="17" max="22" width="8.85546875" customWidth="1"/>
    <col min="25" max="25" width="13.140625" customWidth="1"/>
  </cols>
  <sheetData>
    <row r="2" spans="1:42" ht="18.75">
      <c r="B2" s="24" t="s">
        <v>207</v>
      </c>
      <c r="C2" s="24"/>
      <c r="H2" s="24" t="s">
        <v>97</v>
      </c>
    </row>
    <row r="3" spans="1:42" ht="4.5" customHeight="1"/>
    <row r="4" spans="1:42" s="14" customFormat="1" ht="20.25" customHeight="1">
      <c r="B4" s="28" t="s">
        <v>71</v>
      </c>
      <c r="C4" s="28" t="s">
        <v>137</v>
      </c>
      <c r="D4" s="28" t="s">
        <v>138</v>
      </c>
      <c r="E4" s="29" t="s">
        <v>70</v>
      </c>
      <c r="F4" s="29" t="str">
        <f>preferences.energyunits</f>
        <v>TWh</v>
      </c>
      <c r="H4" s="528">
        <v>1</v>
      </c>
      <c r="I4" s="33" t="s">
        <v>751</v>
      </c>
      <c r="J4" s="14" t="s">
        <v>98</v>
      </c>
      <c r="K4" s="40">
        <f>H4*INDEX(Conversions.Energy.Joules, MATCH(I4, Conversions.Energy.Units, 0))/INDEX(Conversions.Energy.Joules, MATCH(L4, Conversions.Energy.Units, 0))</f>
        <v>4000956022944550.5</v>
      </c>
      <c r="L4" s="33" t="s">
        <v>79</v>
      </c>
    </row>
    <row r="5" spans="1:42" s="14" customFormat="1" ht="15.75">
      <c r="A5" s="53"/>
      <c r="B5" s="25" t="s">
        <v>72</v>
      </c>
      <c r="C5" s="25" t="s">
        <v>139</v>
      </c>
      <c r="D5" s="30" t="s">
        <v>81</v>
      </c>
      <c r="E5" s="26">
        <f>10^15</f>
        <v>1000000000000000</v>
      </c>
      <c r="F5" s="26">
        <f t="shared" ref="F5:F47" si="0">$E5/INDEX(Conversions.Energy.Joules, MATCH(F$4, Conversions.Energy.Units, 0))</f>
        <v>0.27777777777777779</v>
      </c>
    </row>
    <row r="6" spans="1:42" s="14" customFormat="1" ht="15.75">
      <c r="A6" s="53"/>
      <c r="B6" s="25" t="s">
        <v>95</v>
      </c>
      <c r="C6" s="25" t="s">
        <v>140</v>
      </c>
      <c r="D6" s="30" t="s">
        <v>96</v>
      </c>
      <c r="E6" s="26">
        <f>10^12</f>
        <v>1000000000000</v>
      </c>
      <c r="F6" s="26">
        <f t="shared" si="0"/>
        <v>2.7777777777777778E-4</v>
      </c>
      <c r="H6" s="32"/>
      <c r="I6" s="32"/>
      <c r="J6" s="32"/>
      <c r="K6" s="494"/>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row>
    <row r="7" spans="1:42" s="14" customFormat="1" ht="15.75">
      <c r="A7" s="53"/>
      <c r="B7" s="25" t="s">
        <v>124</v>
      </c>
      <c r="C7" s="25" t="s">
        <v>141</v>
      </c>
      <c r="D7" s="30" t="s">
        <v>125</v>
      </c>
      <c r="E7" s="26">
        <f>10^9</f>
        <v>1000000000</v>
      </c>
      <c r="F7" s="26">
        <f t="shared" si="0"/>
        <v>2.7777777777777776E-7</v>
      </c>
      <c r="H7" s="32"/>
      <c r="I7" s="32"/>
      <c r="J7" s="32"/>
      <c r="K7" s="32"/>
      <c r="L7" s="550"/>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row>
    <row r="8" spans="1:42" s="51" customFormat="1" ht="15.75">
      <c r="A8" s="53"/>
      <c r="B8" s="25" t="s">
        <v>243</v>
      </c>
      <c r="C8" s="25" t="s">
        <v>70</v>
      </c>
      <c r="D8" s="30" t="s">
        <v>244</v>
      </c>
      <c r="E8" s="26">
        <v>1</v>
      </c>
      <c r="F8" s="26">
        <f t="shared" si="0"/>
        <v>2.777777777777778E-16</v>
      </c>
      <c r="H8" s="32"/>
      <c r="I8" s="551"/>
      <c r="J8" s="32"/>
      <c r="K8" s="32"/>
      <c r="L8" s="531"/>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row>
    <row r="9" spans="1:42" s="14" customFormat="1" ht="16.5" thickBot="1">
      <c r="A9" s="53"/>
      <c r="B9" s="25" t="s">
        <v>132</v>
      </c>
      <c r="C9" s="25" t="s">
        <v>142</v>
      </c>
      <c r="D9" s="30" t="s">
        <v>133</v>
      </c>
      <c r="E9" s="26">
        <f>10^6</f>
        <v>1000000</v>
      </c>
      <c r="F9" s="26">
        <f t="shared" si="0"/>
        <v>2.7777777777777777E-10</v>
      </c>
      <c r="H9" s="32"/>
      <c r="I9" s="32"/>
      <c r="J9" s="32"/>
      <c r="K9" s="32"/>
      <c r="L9" s="523"/>
      <c r="M9" s="523"/>
      <c r="N9" s="523"/>
      <c r="O9" s="523"/>
      <c r="P9" s="523"/>
      <c r="Q9" s="523"/>
      <c r="R9" s="523"/>
      <c r="S9" s="523"/>
      <c r="T9" s="523"/>
      <c r="U9" s="523"/>
      <c r="V9" s="523"/>
      <c r="W9" s="523"/>
      <c r="X9" s="32"/>
      <c r="Y9" s="32"/>
      <c r="Z9" s="32"/>
      <c r="AA9" s="32"/>
      <c r="AB9" s="32"/>
      <c r="AC9" s="32"/>
      <c r="AD9" s="32"/>
      <c r="AE9" s="32"/>
      <c r="AF9" s="32"/>
      <c r="AG9" s="32"/>
      <c r="AH9" s="32"/>
      <c r="AI9" s="32"/>
      <c r="AJ9" s="32"/>
      <c r="AK9" s="32"/>
      <c r="AL9" s="32"/>
      <c r="AM9" s="32"/>
      <c r="AN9" s="32"/>
      <c r="AO9" s="32"/>
      <c r="AP9" s="32"/>
    </row>
    <row r="10" spans="1:42" s="51" customFormat="1" ht="16.5" thickBot="1">
      <c r="A10" s="53"/>
      <c r="B10" s="1411" t="s">
        <v>1278</v>
      </c>
      <c r="C10" s="1412" t="s">
        <v>1279</v>
      </c>
      <c r="D10" s="1412" t="s">
        <v>1280</v>
      </c>
      <c r="E10" s="26">
        <v>3600</v>
      </c>
      <c r="F10" s="26">
        <f t="shared" si="0"/>
        <v>9.9999999999999998E-13</v>
      </c>
      <c r="H10" s="32">
        <f>3754000*4.18</f>
        <v>15691719.999999998</v>
      </c>
      <c r="I10" s="32"/>
      <c r="J10" s="32"/>
      <c r="K10" s="32"/>
      <c r="L10" s="523"/>
      <c r="M10" s="523"/>
      <c r="N10" s="523"/>
      <c r="O10" s="523"/>
      <c r="P10" s="523"/>
      <c r="Q10" s="523"/>
      <c r="R10" s="523"/>
      <c r="S10" s="523"/>
      <c r="T10" s="523"/>
      <c r="U10" s="523"/>
      <c r="V10" s="523"/>
      <c r="W10" s="523"/>
      <c r="X10" s="32"/>
      <c r="Y10" s="32"/>
      <c r="Z10" s="32"/>
      <c r="AA10" s="32"/>
      <c r="AB10" s="32"/>
      <c r="AC10" s="32"/>
      <c r="AD10" s="32"/>
      <c r="AE10" s="32"/>
      <c r="AF10" s="32"/>
      <c r="AG10" s="32"/>
      <c r="AH10" s="32"/>
      <c r="AI10" s="32"/>
      <c r="AJ10" s="32"/>
      <c r="AK10" s="32"/>
      <c r="AL10" s="32"/>
      <c r="AM10" s="32"/>
      <c r="AN10" s="32"/>
      <c r="AO10" s="32"/>
      <c r="AP10" s="32"/>
    </row>
    <row r="11" spans="1:42" s="14" customFormat="1" ht="15.75">
      <c r="A11" s="53"/>
      <c r="B11" s="25" t="s">
        <v>74</v>
      </c>
      <c r="C11" s="25" t="s">
        <v>143</v>
      </c>
      <c r="D11" s="30" t="s">
        <v>82</v>
      </c>
      <c r="E11" s="26">
        <f>10^3*60*60</f>
        <v>3600000</v>
      </c>
      <c r="F11" s="26">
        <f t="shared" si="0"/>
        <v>1.0000000000000001E-9</v>
      </c>
      <c r="H11" s="32"/>
      <c r="I11" s="32"/>
      <c r="J11" s="32"/>
      <c r="K11" s="552"/>
      <c r="L11" s="523"/>
      <c r="M11" s="524"/>
      <c r="N11" s="524"/>
      <c r="O11" s="524"/>
      <c r="P11" s="524"/>
      <c r="Q11" s="524"/>
      <c r="R11" s="524"/>
      <c r="S11" s="524"/>
      <c r="T11" s="524"/>
      <c r="U11" s="524"/>
      <c r="V11" s="524"/>
      <c r="W11" s="524"/>
      <c r="X11" s="32"/>
      <c r="Y11" s="32"/>
      <c r="Z11" s="32"/>
      <c r="AA11" s="32"/>
      <c r="AB11" s="32"/>
      <c r="AC11" s="32"/>
      <c r="AD11" s="32"/>
      <c r="AE11" s="32"/>
      <c r="AF11" s="32"/>
      <c r="AG11" s="32"/>
      <c r="AH11" s="32"/>
      <c r="AI11" s="32"/>
      <c r="AJ11" s="32"/>
      <c r="AK11" s="32"/>
      <c r="AL11" s="32"/>
      <c r="AM11" s="32"/>
      <c r="AN11" s="32"/>
      <c r="AO11" s="32"/>
      <c r="AP11" s="32"/>
    </row>
    <row r="12" spans="1:42" s="14" customFormat="1" ht="15.75">
      <c r="A12" s="53"/>
      <c r="B12" s="25" t="s">
        <v>118</v>
      </c>
      <c r="C12" s="25" t="s">
        <v>144</v>
      </c>
      <c r="D12" s="30" t="s">
        <v>119</v>
      </c>
      <c r="E12" s="26">
        <f>1000*60*60*365.25*60000000</f>
        <v>7.8894E+16</v>
      </c>
      <c r="F12" s="26">
        <f t="shared" si="0"/>
        <v>21.914999999999999</v>
      </c>
      <c r="H12" s="32"/>
      <c r="I12" s="32"/>
      <c r="J12" s="32"/>
      <c r="K12" s="32"/>
      <c r="L12" s="523"/>
      <c r="M12" s="524"/>
      <c r="N12" s="524"/>
      <c r="O12" s="524"/>
      <c r="P12" s="524"/>
      <c r="Q12" s="524"/>
      <c r="R12" s="524"/>
      <c r="S12" s="524"/>
      <c r="T12" s="524"/>
      <c r="U12" s="524"/>
      <c r="V12" s="524"/>
      <c r="W12" s="524"/>
      <c r="X12" s="32"/>
      <c r="Y12" s="32"/>
      <c r="Z12" s="32"/>
      <c r="AA12" s="32"/>
      <c r="AB12" s="32"/>
      <c r="AC12" s="32"/>
      <c r="AD12" s="32"/>
      <c r="AE12" s="32"/>
      <c r="AF12" s="32"/>
      <c r="AG12" s="32"/>
      <c r="AH12" s="32"/>
      <c r="AI12" s="32"/>
      <c r="AJ12" s="32"/>
      <c r="AK12" s="32"/>
      <c r="AL12" s="32"/>
      <c r="AM12" s="32"/>
      <c r="AN12" s="32"/>
      <c r="AO12" s="32"/>
      <c r="AP12" s="32"/>
    </row>
    <row r="13" spans="1:42" s="14" customFormat="1" ht="15.75">
      <c r="A13" s="53"/>
      <c r="B13" s="25" t="s">
        <v>73</v>
      </c>
      <c r="C13" s="25" t="s">
        <v>145</v>
      </c>
      <c r="D13" s="30" t="s">
        <v>83</v>
      </c>
      <c r="E13" s="26">
        <f>10^12*60*60</f>
        <v>3600000000000000</v>
      </c>
      <c r="F13" s="26">
        <f t="shared" si="0"/>
        <v>1</v>
      </c>
      <c r="H13" s="32"/>
      <c r="I13" s="32"/>
      <c r="J13" s="32"/>
      <c r="K13" s="32"/>
      <c r="L13" s="523"/>
      <c r="M13" s="524"/>
      <c r="N13" s="524"/>
      <c r="O13" s="524"/>
      <c r="P13" s="524"/>
      <c r="Q13" s="524"/>
      <c r="R13" s="524"/>
      <c r="S13" s="524"/>
      <c r="T13" s="524"/>
      <c r="U13" s="524"/>
      <c r="V13" s="524"/>
      <c r="W13" s="524"/>
      <c r="X13" s="32"/>
      <c r="Y13" s="32"/>
      <c r="Z13" s="32"/>
      <c r="AA13" s="32"/>
      <c r="AB13" s="32"/>
      <c r="AC13" s="32"/>
      <c r="AD13" s="32"/>
      <c r="AE13" s="32"/>
      <c r="AF13" s="32"/>
      <c r="AG13" s="32"/>
      <c r="AH13" s="32"/>
      <c r="AI13" s="32"/>
      <c r="AJ13" s="32"/>
      <c r="AK13" s="32"/>
      <c r="AL13" s="32"/>
      <c r="AM13" s="32"/>
      <c r="AN13" s="32"/>
      <c r="AO13" s="32"/>
      <c r="AP13" s="32"/>
    </row>
    <row r="14" spans="1:42" s="14" customFormat="1" ht="15.75">
      <c r="A14" s="53"/>
      <c r="B14" s="25" t="s">
        <v>134</v>
      </c>
      <c r="C14" s="25" t="s">
        <v>146</v>
      </c>
      <c r="D14" s="30" t="s">
        <v>136</v>
      </c>
      <c r="E14" s="26">
        <f>10^9*60*60</f>
        <v>3600000000000</v>
      </c>
      <c r="F14" s="26">
        <f t="shared" si="0"/>
        <v>1E-3</v>
      </c>
      <c r="H14" s="32"/>
      <c r="I14" s="32">
        <f>Unit.Mtce</f>
        <v>4.6500000000000004</v>
      </c>
      <c r="J14" s="32"/>
      <c r="K14" s="32"/>
      <c r="L14" s="32"/>
      <c r="M14" s="524"/>
      <c r="N14" s="551"/>
      <c r="O14" s="32"/>
      <c r="P14" s="524"/>
      <c r="Q14" s="524"/>
      <c r="R14" s="524"/>
      <c r="S14" s="524"/>
      <c r="T14" s="524"/>
      <c r="U14" s="524"/>
      <c r="V14" s="524"/>
      <c r="W14" s="524"/>
      <c r="X14" s="32"/>
      <c r="Y14" s="32"/>
      <c r="Z14" s="32"/>
      <c r="AA14" s="32"/>
      <c r="AB14" s="32"/>
      <c r="AC14" s="32"/>
      <c r="AD14" s="32"/>
      <c r="AE14" s="32"/>
      <c r="AF14" s="32"/>
      <c r="AG14" s="32"/>
      <c r="AH14" s="32"/>
      <c r="AI14" s="32"/>
      <c r="AJ14" s="32"/>
      <c r="AK14" s="32"/>
      <c r="AL14" s="32"/>
      <c r="AM14" s="32"/>
      <c r="AN14" s="32"/>
      <c r="AO14" s="32"/>
      <c r="AP14" s="32"/>
    </row>
    <row r="15" spans="1:42" s="51" customFormat="1" ht="15.75">
      <c r="A15" s="53"/>
      <c r="B15" s="25" t="s">
        <v>618</v>
      </c>
      <c r="C15" s="25" t="s">
        <v>619</v>
      </c>
      <c r="D15" s="30" t="s">
        <v>620</v>
      </c>
      <c r="E15" s="26">
        <f>10^6*60*60</f>
        <v>3600000000</v>
      </c>
      <c r="F15" s="26">
        <f t="shared" si="0"/>
        <v>9.9999999999999995E-7</v>
      </c>
      <c r="H15" s="32"/>
      <c r="I15" s="32"/>
      <c r="J15" s="32"/>
      <c r="K15" s="32"/>
      <c r="L15" s="523"/>
      <c r="M15" s="524"/>
      <c r="N15" s="527"/>
      <c r="O15" s="524"/>
      <c r="P15" s="524"/>
      <c r="Q15" s="524"/>
      <c r="R15" s="524"/>
      <c r="S15" s="524"/>
      <c r="T15" s="524"/>
      <c r="U15" s="524"/>
      <c r="V15" s="524"/>
      <c r="W15" s="524"/>
      <c r="X15" s="32"/>
      <c r="Y15" s="553"/>
      <c r="Z15" s="32"/>
      <c r="AA15" s="32"/>
      <c r="AB15" s="32"/>
      <c r="AC15" s="32"/>
      <c r="AD15" s="32"/>
      <c r="AE15" s="32"/>
      <c r="AF15" s="32"/>
      <c r="AG15" s="32"/>
      <c r="AH15" s="32"/>
      <c r="AI15" s="32"/>
      <c r="AJ15" s="32"/>
      <c r="AK15" s="32"/>
      <c r="AL15" s="32"/>
      <c r="AM15" s="32"/>
      <c r="AN15" s="32"/>
      <c r="AO15" s="32"/>
      <c r="AP15" s="32"/>
    </row>
    <row r="16" spans="1:42" s="51" customFormat="1" ht="15.75">
      <c r="A16" s="53"/>
      <c r="B16" s="25" t="s">
        <v>589</v>
      </c>
      <c r="C16" s="25" t="s">
        <v>590</v>
      </c>
      <c r="D16" s="30" t="s">
        <v>591</v>
      </c>
      <c r="E16" s="26">
        <f>5861520000000000/1000000</f>
        <v>5861520000</v>
      </c>
      <c r="F16" s="26">
        <f t="shared" si="0"/>
        <v>1.6281999999999999E-6</v>
      </c>
      <c r="H16" s="32">
        <f>10300*4.18</f>
        <v>43054</v>
      </c>
      <c r="I16" s="32"/>
      <c r="J16" s="32"/>
      <c r="K16" s="32"/>
      <c r="L16" s="32"/>
      <c r="M16" s="32"/>
      <c r="N16" s="35"/>
      <c r="O16" s="35"/>
      <c r="P16" s="35"/>
      <c r="Q16" s="35"/>
      <c r="R16" s="35"/>
      <c r="S16" s="35"/>
      <c r="T16" s="35"/>
      <c r="U16" s="35"/>
      <c r="V16" s="524"/>
      <c r="W16" s="524"/>
      <c r="X16" s="32"/>
      <c r="Y16" s="32"/>
      <c r="Z16" s="32"/>
      <c r="AA16" s="32"/>
      <c r="AB16" s="32"/>
      <c r="AC16" s="32"/>
      <c r="AD16" s="32"/>
      <c r="AE16" s="32"/>
      <c r="AF16" s="32"/>
      <c r="AG16" s="32"/>
      <c r="AH16" s="32"/>
      <c r="AI16" s="32"/>
      <c r="AJ16" s="32"/>
      <c r="AK16" s="32"/>
      <c r="AL16" s="32"/>
      <c r="AM16" s="32"/>
      <c r="AN16" s="32"/>
      <c r="AO16" s="32"/>
      <c r="AP16" s="32"/>
    </row>
    <row r="17" spans="1:42" s="51" customFormat="1" ht="15.75">
      <c r="A17" s="53"/>
      <c r="B17" s="25" t="s">
        <v>583</v>
      </c>
      <c r="C17" s="25" t="s">
        <v>584</v>
      </c>
      <c r="D17" s="30" t="s">
        <v>585</v>
      </c>
      <c r="E17" s="26">
        <v>5861520000000000</v>
      </c>
      <c r="F17" s="26">
        <f>$E17/INDEX(Conversions.Energy.Joules, MATCH(F$4, Conversions.Energy.Units, 0))</f>
        <v>1.6282000000000001</v>
      </c>
      <c r="H17" s="32"/>
      <c r="I17" s="32"/>
      <c r="J17" s="32"/>
      <c r="K17" s="32"/>
      <c r="L17" s="524"/>
      <c r="M17" s="524"/>
      <c r="N17" s="525"/>
      <c r="O17" s="525"/>
      <c r="P17" s="525"/>
      <c r="Q17" s="525"/>
      <c r="R17" s="525"/>
      <c r="S17" s="525"/>
      <c r="T17" s="525"/>
      <c r="U17" s="525"/>
      <c r="V17" s="524"/>
      <c r="W17" s="524"/>
      <c r="X17" s="32"/>
      <c r="Y17" s="553"/>
      <c r="Z17" s="32"/>
      <c r="AA17" s="32"/>
      <c r="AB17" s="32"/>
      <c r="AC17" s="32"/>
      <c r="AD17" s="32"/>
      <c r="AE17" s="32"/>
      <c r="AF17" s="32"/>
      <c r="AG17" s="32"/>
      <c r="AH17" s="32"/>
      <c r="AI17" s="32"/>
      <c r="AJ17" s="32"/>
      <c r="AK17" s="32"/>
      <c r="AL17" s="32"/>
      <c r="AM17" s="32"/>
      <c r="AN17" s="32"/>
      <c r="AO17" s="32"/>
      <c r="AP17" s="32"/>
    </row>
    <row r="18" spans="1:42" s="14" customFormat="1" ht="15.75">
      <c r="A18" s="53"/>
      <c r="B18" s="25" t="s">
        <v>76</v>
      </c>
      <c r="C18" s="25" t="s">
        <v>147</v>
      </c>
      <c r="D18" s="30" t="s">
        <v>84</v>
      </c>
      <c r="E18" s="26">
        <f>41.868*10^9</f>
        <v>41868000000</v>
      </c>
      <c r="F18" s="26">
        <f t="shared" si="0"/>
        <v>1.163E-5</v>
      </c>
      <c r="H18" s="32"/>
      <c r="I18" s="32"/>
      <c r="J18" s="32"/>
      <c r="K18" s="32"/>
      <c r="L18" s="524"/>
      <c r="M18" s="524"/>
      <c r="N18" s="526"/>
      <c r="O18" s="526"/>
      <c r="P18" s="526"/>
      <c r="Q18" s="526"/>
      <c r="R18" s="526"/>
      <c r="S18" s="526"/>
      <c r="T18" s="526"/>
      <c r="U18" s="526"/>
      <c r="V18" s="524"/>
      <c r="W18" s="524"/>
      <c r="X18" s="32"/>
      <c r="Y18" s="32"/>
      <c r="Z18" s="32"/>
      <c r="AA18" s="32"/>
      <c r="AB18" s="32"/>
      <c r="AC18" s="32"/>
      <c r="AD18" s="32"/>
      <c r="AE18" s="32"/>
      <c r="AF18" s="32"/>
      <c r="AG18" s="32"/>
      <c r="AH18" s="32"/>
      <c r="AI18" s="32"/>
      <c r="AJ18" s="32"/>
      <c r="AK18" s="32"/>
      <c r="AL18" s="32"/>
      <c r="AM18" s="32"/>
      <c r="AN18" s="32"/>
      <c r="AO18" s="32"/>
      <c r="AP18" s="32"/>
    </row>
    <row r="19" spans="1:42" s="14" customFormat="1" ht="15.75">
      <c r="A19" s="53"/>
      <c r="B19" s="25" t="s">
        <v>107</v>
      </c>
      <c r="C19" s="25" t="s">
        <v>148</v>
      </c>
      <c r="D19" s="30" t="s">
        <v>108</v>
      </c>
      <c r="E19" s="26">
        <f>E18*1000</f>
        <v>41868000000000</v>
      </c>
      <c r="F19" s="26">
        <f t="shared" si="0"/>
        <v>1.163E-2</v>
      </c>
      <c r="H19" s="32"/>
      <c r="I19" s="32"/>
      <c r="J19" s="32"/>
      <c r="K19" s="32"/>
      <c r="L19" s="554"/>
      <c r="M19" s="524"/>
      <c r="N19" s="526"/>
      <c r="O19" s="526"/>
      <c r="P19" s="526"/>
      <c r="Q19" s="526"/>
      <c r="R19" s="526"/>
      <c r="S19" s="526"/>
      <c r="T19" s="526"/>
      <c r="U19" s="526"/>
      <c r="V19" s="524"/>
      <c r="W19" s="524"/>
      <c r="X19" s="32"/>
      <c r="Y19" s="32"/>
      <c r="Z19" s="32"/>
      <c r="AA19" s="32"/>
      <c r="AB19" s="32"/>
      <c r="AC19" s="32"/>
      <c r="AD19" s="32"/>
      <c r="AE19" s="32"/>
      <c r="AF19" s="32"/>
      <c r="AG19" s="32"/>
      <c r="AH19" s="32"/>
      <c r="AI19" s="32"/>
      <c r="AJ19" s="32"/>
      <c r="AK19" s="32"/>
      <c r="AL19" s="32"/>
      <c r="AM19" s="32"/>
      <c r="AN19" s="32"/>
      <c r="AO19" s="32"/>
      <c r="AP19" s="32"/>
    </row>
    <row r="20" spans="1:42" s="14" customFormat="1" ht="16.5" thickBot="1">
      <c r="A20" s="53"/>
      <c r="B20" s="25" t="s">
        <v>75</v>
      </c>
      <c r="C20" s="25" t="s">
        <v>149</v>
      </c>
      <c r="D20" s="30" t="s">
        <v>85</v>
      </c>
      <c r="E20" s="26">
        <f>E18*1000000</f>
        <v>4.1868E+16</v>
      </c>
      <c r="F20" s="26">
        <f t="shared" si="0"/>
        <v>11.63</v>
      </c>
      <c r="H20" s="32"/>
      <c r="I20" s="32"/>
      <c r="J20" s="32"/>
      <c r="K20" s="32"/>
      <c r="L20" s="524"/>
      <c r="M20" s="524"/>
      <c r="N20" s="32"/>
      <c r="O20" s="32"/>
      <c r="P20" s="32"/>
      <c r="Q20" s="32"/>
      <c r="R20" s="32"/>
      <c r="S20" s="32"/>
      <c r="T20" s="32"/>
      <c r="U20" s="32"/>
      <c r="V20" s="524"/>
      <c r="W20" s="524"/>
      <c r="X20" s="32"/>
      <c r="Y20" s="32"/>
      <c r="Z20" s="32"/>
      <c r="AA20" s="32"/>
      <c r="AB20" s="32"/>
      <c r="AC20" s="32"/>
      <c r="AD20" s="32"/>
      <c r="AE20" s="32"/>
      <c r="AF20" s="32"/>
      <c r="AG20" s="32"/>
      <c r="AH20" s="32"/>
      <c r="AI20" s="32"/>
      <c r="AJ20" s="32"/>
      <c r="AK20" s="32"/>
      <c r="AL20" s="32"/>
      <c r="AM20" s="32"/>
      <c r="AN20" s="32"/>
      <c r="AO20" s="32"/>
      <c r="AP20" s="32"/>
    </row>
    <row r="21" spans="1:42" s="51" customFormat="1" ht="15.75">
      <c r="A21" s="53"/>
      <c r="B21" s="25" t="s">
        <v>948</v>
      </c>
      <c r="C21" s="25" t="s">
        <v>949</v>
      </c>
      <c r="D21" s="30" t="s">
        <v>950</v>
      </c>
      <c r="E21" s="26">
        <v>16736000</v>
      </c>
      <c r="F21" s="26">
        <f t="shared" si="0"/>
        <v>4.6488888888888891E-9</v>
      </c>
      <c r="G21" s="51">
        <f>4184*4000</f>
        <v>16736000</v>
      </c>
      <c r="H21" s="32"/>
      <c r="I21" s="878" t="s">
        <v>978</v>
      </c>
      <c r="J21" s="879" t="s">
        <v>979</v>
      </c>
      <c r="K21" s="886">
        <f>1*0.8263*41.868*10350/(10^9*10.2)</f>
        <v>3.5104286170588238E-5</v>
      </c>
      <c r="L21" s="524"/>
      <c r="M21" s="524"/>
      <c r="N21" s="32"/>
      <c r="O21" s="32"/>
      <c r="P21" s="32"/>
      <c r="Q21" s="32"/>
      <c r="R21" s="32"/>
      <c r="S21" s="32"/>
      <c r="T21" s="32"/>
      <c r="U21" s="32"/>
      <c r="V21" s="524"/>
      <c r="W21" s="524"/>
      <c r="X21" s="32"/>
      <c r="Y21" s="32"/>
      <c r="Z21" s="32"/>
      <c r="AA21" s="32"/>
      <c r="AB21" s="32"/>
      <c r="AC21" s="32"/>
      <c r="AD21" s="32"/>
      <c r="AE21" s="32"/>
      <c r="AF21" s="32"/>
      <c r="AG21" s="32"/>
      <c r="AH21" s="32"/>
      <c r="AI21" s="32"/>
      <c r="AJ21" s="32"/>
      <c r="AK21" s="32"/>
      <c r="AL21" s="32"/>
      <c r="AM21" s="32"/>
      <c r="AN21" s="32"/>
      <c r="AO21" s="32"/>
      <c r="AP21" s="32"/>
    </row>
    <row r="22" spans="1:42" s="51" customFormat="1" ht="15.75">
      <c r="A22" s="53"/>
      <c r="B22" s="25" t="s">
        <v>2190</v>
      </c>
      <c r="C22" s="25" t="s">
        <v>2191</v>
      </c>
      <c r="D22" s="30" t="s">
        <v>2192</v>
      </c>
      <c r="E22" s="26">
        <f>0.2865*E20</f>
        <v>1.1995182E+16</v>
      </c>
      <c r="F22" s="26">
        <f t="shared" si="0"/>
        <v>3.331995</v>
      </c>
      <c r="G22" s="51">
        <f>4100*Unit.calorie*1000*10^9</f>
        <v>4.7651111111111106</v>
      </c>
      <c r="H22" s="32"/>
      <c r="I22" s="2867"/>
      <c r="J22" s="2868"/>
      <c r="K22" s="2869"/>
      <c r="L22" s="524"/>
      <c r="M22" s="524"/>
      <c r="N22" s="32"/>
      <c r="O22" s="32"/>
      <c r="P22" s="32"/>
      <c r="Q22" s="32"/>
      <c r="R22" s="32"/>
      <c r="S22" s="32"/>
      <c r="T22" s="32"/>
      <c r="U22" s="32"/>
      <c r="V22" s="524"/>
      <c r="W22" s="524"/>
      <c r="X22" s="32"/>
      <c r="Y22" s="32"/>
      <c r="Z22" s="32"/>
      <c r="AA22" s="32"/>
      <c r="AB22" s="32"/>
      <c r="AC22" s="32"/>
      <c r="AD22" s="32"/>
      <c r="AE22" s="32"/>
      <c r="AF22" s="32"/>
      <c r="AG22" s="32"/>
      <c r="AH22" s="32"/>
      <c r="AI22" s="32"/>
      <c r="AJ22" s="32"/>
      <c r="AK22" s="32"/>
      <c r="AL22" s="32"/>
      <c r="AM22" s="32"/>
      <c r="AN22" s="32"/>
      <c r="AO22" s="32"/>
      <c r="AP22" s="32"/>
    </row>
    <row r="23" spans="1:42" s="51" customFormat="1" ht="15.75">
      <c r="A23" s="53"/>
      <c r="B23" s="25" t="s">
        <v>2417</v>
      </c>
      <c r="C23" s="25" t="s">
        <v>2418</v>
      </c>
      <c r="D23" s="30" t="s">
        <v>2419</v>
      </c>
      <c r="E23" s="26">
        <v>16740000000</v>
      </c>
      <c r="F23" s="26">
        <f t="shared" si="0"/>
        <v>4.6500000000000004E-6</v>
      </c>
      <c r="H23" s="32"/>
      <c r="I23" s="2867"/>
      <c r="J23" s="2868"/>
      <c r="K23" s="2869"/>
      <c r="L23" s="524"/>
      <c r="M23" s="524"/>
      <c r="N23" s="32"/>
      <c r="O23" s="32"/>
      <c r="P23" s="32"/>
      <c r="Q23" s="32"/>
      <c r="R23" s="32"/>
      <c r="S23" s="32"/>
      <c r="T23" s="32"/>
      <c r="U23" s="32"/>
      <c r="V23" s="524"/>
      <c r="W23" s="524"/>
      <c r="X23" s="32"/>
      <c r="Y23" s="32"/>
      <c r="Z23" s="32"/>
      <c r="AA23" s="32"/>
      <c r="AB23" s="32"/>
      <c r="AC23" s="32"/>
      <c r="AD23" s="32"/>
      <c r="AE23" s="32"/>
      <c r="AF23" s="32"/>
      <c r="AG23" s="32"/>
      <c r="AH23" s="32"/>
      <c r="AI23" s="32"/>
      <c r="AJ23" s="32"/>
      <c r="AK23" s="32"/>
      <c r="AL23" s="32"/>
      <c r="AM23" s="32"/>
      <c r="AN23" s="32"/>
      <c r="AO23" s="32"/>
      <c r="AP23" s="32"/>
    </row>
    <row r="24" spans="1:42" s="51" customFormat="1" ht="15.75">
      <c r="A24" s="53"/>
      <c r="B24" s="25" t="s">
        <v>751</v>
      </c>
      <c r="C24" s="25" t="s">
        <v>752</v>
      </c>
      <c r="D24" s="30" t="s">
        <v>755</v>
      </c>
      <c r="E24" s="26">
        <f>16740000000000000</f>
        <v>1.674E+16</v>
      </c>
      <c r="F24" s="26">
        <f t="shared" si="0"/>
        <v>4.6500000000000004</v>
      </c>
      <c r="G24" s="51">
        <v>4100</v>
      </c>
      <c r="H24" s="32" t="s">
        <v>2299</v>
      </c>
      <c r="I24" s="880" t="s">
        <v>980</v>
      </c>
      <c r="J24" s="881" t="s">
        <v>981</v>
      </c>
      <c r="K24" s="887">
        <f>1*0.74/1000*1.07*41.868/1000</f>
        <v>3.3151082400000006E-5</v>
      </c>
      <c r="L24" s="524"/>
      <c r="M24" s="524"/>
      <c r="N24" s="32"/>
      <c r="O24" s="32"/>
      <c r="P24" s="32"/>
      <c r="Q24" s="32"/>
      <c r="R24" s="32"/>
      <c r="S24" s="32"/>
      <c r="T24" s="32"/>
      <c r="U24" s="32"/>
      <c r="V24" s="524"/>
      <c r="W24" s="524"/>
      <c r="X24" s="32"/>
      <c r="Y24" s="32"/>
      <c r="Z24" s="32"/>
      <c r="AA24" s="32"/>
      <c r="AB24" s="32"/>
      <c r="AC24" s="32"/>
      <c r="AD24" s="32"/>
      <c r="AE24" s="32"/>
      <c r="AF24" s="32"/>
      <c r="AG24" s="32"/>
      <c r="AH24" s="32"/>
      <c r="AI24" s="32"/>
      <c r="AJ24" s="32"/>
      <c r="AK24" s="32"/>
      <c r="AL24" s="32"/>
      <c r="AM24" s="32"/>
      <c r="AN24" s="32"/>
      <c r="AO24" s="32"/>
      <c r="AP24" s="32"/>
    </row>
    <row r="25" spans="1:42" s="51" customFormat="1" ht="15.75">
      <c r="A25" s="53"/>
      <c r="B25" s="25" t="s">
        <v>753</v>
      </c>
      <c r="C25" s="25" t="s">
        <v>754</v>
      </c>
      <c r="D25" s="30" t="s">
        <v>756</v>
      </c>
      <c r="E25" s="26">
        <f>16740000000000000000</f>
        <v>1.674E+19</v>
      </c>
      <c r="F25" s="26">
        <f t="shared" si="0"/>
        <v>4650</v>
      </c>
      <c r="H25" s="32"/>
      <c r="I25" s="882" t="s">
        <v>982</v>
      </c>
      <c r="J25" s="881" t="s">
        <v>983</v>
      </c>
      <c r="K25" s="887">
        <f>1*0.806/1000*1.07*41.868/1000</f>
        <v>3.6107800560000004E-5</v>
      </c>
      <c r="L25" s="524"/>
      <c r="M25" s="524"/>
      <c r="N25" s="32"/>
      <c r="O25" s="32"/>
      <c r="P25" s="32"/>
      <c r="Q25" s="32"/>
      <c r="R25" s="32"/>
      <c r="S25" s="32"/>
      <c r="T25" s="32"/>
      <c r="U25" s="32"/>
      <c r="V25" s="524"/>
      <c r="W25" s="524"/>
      <c r="X25" s="32"/>
      <c r="Y25" s="32"/>
      <c r="Z25" s="32"/>
      <c r="AA25" s="32"/>
      <c r="AB25" s="32"/>
      <c r="AC25" s="32"/>
      <c r="AD25" s="32"/>
      <c r="AE25" s="32"/>
      <c r="AF25" s="32"/>
      <c r="AG25" s="32"/>
      <c r="AH25" s="32"/>
      <c r="AI25" s="32"/>
      <c r="AJ25" s="32"/>
      <c r="AK25" s="32"/>
      <c r="AL25" s="32"/>
      <c r="AM25" s="32"/>
      <c r="AN25" s="32"/>
      <c r="AO25" s="32"/>
      <c r="AP25" s="32"/>
    </row>
    <row r="26" spans="1:42" s="14" customFormat="1" ht="15.75">
      <c r="A26" s="53"/>
      <c r="B26" s="25" t="s">
        <v>77</v>
      </c>
      <c r="C26" s="25" t="s">
        <v>150</v>
      </c>
      <c r="D26" s="30" t="s">
        <v>86</v>
      </c>
      <c r="E26" s="26">
        <f>41.868*10^9/396.83</f>
        <v>105506136.12882091</v>
      </c>
      <c r="F26" s="26">
        <f t="shared" si="0"/>
        <v>2.9307260035783588E-8</v>
      </c>
      <c r="H26" s="32"/>
      <c r="I26" s="880" t="s">
        <v>984</v>
      </c>
      <c r="J26" s="881" t="s">
        <v>985</v>
      </c>
      <c r="K26" s="887">
        <f>1*0.939/1000*0.96*41.868/1000</f>
        <v>3.7741489919999998E-5</v>
      </c>
      <c r="L26" s="523"/>
      <c r="M26" s="524"/>
      <c r="N26" s="526"/>
      <c r="O26" s="526"/>
      <c r="P26" s="526"/>
      <c r="Q26" s="526"/>
      <c r="R26" s="526"/>
      <c r="S26" s="526"/>
      <c r="T26" s="526"/>
      <c r="U26" s="526"/>
      <c r="V26" s="524"/>
      <c r="W26" s="32"/>
      <c r="X26" s="32"/>
      <c r="Y26" s="555"/>
      <c r="Z26" s="32"/>
      <c r="AA26" s="32"/>
      <c r="AB26" s="32"/>
      <c r="AC26" s="32"/>
      <c r="AD26" s="32"/>
      <c r="AE26" s="32"/>
      <c r="AF26" s="32"/>
      <c r="AG26" s="32"/>
      <c r="AH26" s="32"/>
      <c r="AI26" s="32"/>
      <c r="AJ26" s="32"/>
      <c r="AK26" s="32"/>
      <c r="AL26" s="32"/>
      <c r="AM26" s="32"/>
      <c r="AN26" s="32"/>
      <c r="AO26" s="32"/>
      <c r="AP26" s="32"/>
    </row>
    <row r="27" spans="1:42" s="14" customFormat="1" ht="15.75">
      <c r="A27" s="53"/>
      <c r="B27" s="25" t="s">
        <v>78</v>
      </c>
      <c r="C27" s="25" t="s">
        <v>151</v>
      </c>
      <c r="D27" s="30" t="s">
        <v>87</v>
      </c>
      <c r="E27" s="26">
        <f>E26/100000</f>
        <v>1055.0613612882091</v>
      </c>
      <c r="F27" s="26">
        <f t="shared" si="0"/>
        <v>2.9307260035783586E-13</v>
      </c>
      <c r="H27" s="32"/>
      <c r="I27" s="880" t="s">
        <v>986</v>
      </c>
      <c r="J27" s="881" t="s">
        <v>987</v>
      </c>
      <c r="K27" s="887">
        <f>38.3*10^(-6)</f>
        <v>3.8299999999999996E-5</v>
      </c>
      <c r="L27" s="523"/>
      <c r="M27" s="524"/>
      <c r="N27" s="3433"/>
      <c r="O27" s="3433"/>
      <c r="P27" s="3433"/>
      <c r="Q27" s="3433"/>
      <c r="R27" s="546"/>
      <c r="S27" s="383"/>
      <c r="T27" s="383"/>
      <c r="U27" s="383"/>
      <c r="V27" s="524"/>
      <c r="W27" s="524"/>
      <c r="X27" s="32"/>
      <c r="Y27" s="32"/>
      <c r="Z27" s="32"/>
      <c r="AA27" s="32"/>
      <c r="AB27" s="32"/>
      <c r="AC27" s="32"/>
      <c r="AD27" s="32"/>
      <c r="AE27" s="32"/>
      <c r="AF27" s="32"/>
      <c r="AG27" s="32"/>
      <c r="AH27" s="32"/>
      <c r="AI27" s="32"/>
      <c r="AJ27" s="32"/>
      <c r="AK27" s="32"/>
      <c r="AL27" s="32"/>
      <c r="AM27" s="32"/>
      <c r="AN27" s="32"/>
      <c r="AO27" s="32"/>
      <c r="AP27" s="32"/>
    </row>
    <row r="28" spans="1:42" s="51" customFormat="1" ht="15.75">
      <c r="A28" s="53"/>
      <c r="B28" s="25" t="s">
        <v>1732</v>
      </c>
      <c r="C28" s="25" t="s">
        <v>1733</v>
      </c>
      <c r="D28" s="30" t="s">
        <v>1734</v>
      </c>
      <c r="E28" s="26">
        <f>1055000000</f>
        <v>1055000000</v>
      </c>
      <c r="F28" s="26">
        <f t="shared" si="0"/>
        <v>2.9305555555555554E-7</v>
      </c>
      <c r="H28" s="32"/>
      <c r="I28" s="2169"/>
      <c r="J28" s="2170"/>
      <c r="K28" s="2171"/>
      <c r="L28" s="523"/>
      <c r="M28" s="524"/>
      <c r="N28" s="2157"/>
      <c r="O28" s="2157"/>
      <c r="P28" s="2157"/>
      <c r="Q28" s="2157"/>
      <c r="R28" s="546"/>
      <c r="S28" s="383"/>
      <c r="T28" s="383"/>
      <c r="U28" s="383"/>
      <c r="V28" s="524"/>
      <c r="W28" s="524"/>
      <c r="X28" s="32"/>
      <c r="Y28" s="32"/>
      <c r="Z28" s="32"/>
      <c r="AA28" s="32"/>
      <c r="AB28" s="32"/>
      <c r="AC28" s="32"/>
      <c r="AD28" s="32"/>
      <c r="AE28" s="32"/>
      <c r="AF28" s="32"/>
      <c r="AG28" s="32"/>
      <c r="AH28" s="32"/>
      <c r="AI28" s="32"/>
      <c r="AJ28" s="32"/>
      <c r="AK28" s="32"/>
      <c r="AL28" s="32"/>
      <c r="AM28" s="32"/>
      <c r="AN28" s="32"/>
      <c r="AO28" s="32"/>
      <c r="AP28" s="32"/>
    </row>
    <row r="29" spans="1:42" s="14" customFormat="1" ht="16.5" thickBot="1">
      <c r="A29" s="53"/>
      <c r="B29" s="25" t="s">
        <v>79</v>
      </c>
      <c r="C29" s="25" t="s">
        <v>152</v>
      </c>
      <c r="D29" s="30" t="s">
        <v>88</v>
      </c>
      <c r="E29" s="26">
        <v>4.1840000000000002</v>
      </c>
      <c r="F29" s="26">
        <f t="shared" si="0"/>
        <v>1.1622222222222223E-15</v>
      </c>
      <c r="H29" s="32"/>
      <c r="I29" s="883" t="s">
        <v>988</v>
      </c>
      <c r="J29" s="884" t="s">
        <v>989</v>
      </c>
      <c r="K29" s="888">
        <f>26*10^(-6)</f>
        <v>2.5999999999999998E-5</v>
      </c>
      <c r="L29" s="523"/>
      <c r="M29" s="524"/>
      <c r="N29" s="3431"/>
      <c r="O29" s="3432"/>
      <c r="P29" s="3431"/>
      <c r="Q29" s="3432"/>
      <c r="R29" s="3431"/>
      <c r="S29" s="3432"/>
      <c r="T29" s="3431"/>
      <c r="U29" s="3432"/>
      <c r="V29" s="524"/>
      <c r="W29" s="524"/>
      <c r="X29" s="32"/>
      <c r="Y29" s="32"/>
      <c r="Z29" s="32"/>
      <c r="AA29" s="32"/>
      <c r="AB29" s="32"/>
      <c r="AC29" s="32"/>
      <c r="AD29" s="32"/>
      <c r="AE29" s="32"/>
      <c r="AF29" s="32"/>
      <c r="AG29" s="32"/>
      <c r="AH29" s="32"/>
      <c r="AI29" s="32"/>
      <c r="AJ29" s="32"/>
      <c r="AK29" s="32"/>
      <c r="AL29" s="32"/>
      <c r="AM29" s="32"/>
      <c r="AN29" s="32"/>
      <c r="AO29" s="32"/>
      <c r="AP29" s="32"/>
    </row>
    <row r="30" spans="1:42" s="14" customFormat="1" ht="15.75">
      <c r="A30" s="53"/>
      <c r="B30" s="25" t="s">
        <v>80</v>
      </c>
      <c r="C30" s="25" t="s">
        <v>153</v>
      </c>
      <c r="D30" s="30" t="s">
        <v>89</v>
      </c>
      <c r="E30" s="26">
        <f>10^9*60*60*8765.8</f>
        <v>3.1556879999999996E+16</v>
      </c>
      <c r="F30" s="26">
        <f t="shared" si="0"/>
        <v>8.7657999999999987</v>
      </c>
      <c r="H30" s="32"/>
      <c r="I30" s="885" t="s">
        <v>990</v>
      </c>
      <c r="J30" s="32"/>
      <c r="K30" s="512"/>
      <c r="L30" s="41"/>
      <c r="M30" s="41"/>
      <c r="N30" s="537"/>
      <c r="O30" s="537"/>
      <c r="P30" s="547"/>
      <c r="Q30" s="547"/>
      <c r="R30" s="537"/>
      <c r="S30" s="537"/>
      <c r="T30" s="537"/>
      <c r="U30" s="537"/>
      <c r="V30" s="524"/>
      <c r="W30" s="524"/>
      <c r="X30" s="32"/>
      <c r="Y30" s="32"/>
      <c r="Z30" s="32"/>
      <c r="AA30" s="32"/>
      <c r="AB30" s="32"/>
      <c r="AC30" s="32"/>
      <c r="AD30" s="32"/>
      <c r="AE30" s="32"/>
      <c r="AF30" s="32"/>
      <c r="AG30" s="32"/>
      <c r="AH30" s="32"/>
      <c r="AI30" s="32"/>
      <c r="AJ30" s="32"/>
      <c r="AK30" s="32"/>
      <c r="AL30" s="32"/>
      <c r="AM30" s="32"/>
      <c r="AN30" s="32"/>
      <c r="AO30" s="32"/>
      <c r="AP30" s="32"/>
    </row>
    <row r="31" spans="1:42" s="51" customFormat="1" ht="15.75">
      <c r="A31" s="53"/>
      <c r="B31" s="25" t="s">
        <v>932</v>
      </c>
      <c r="C31" s="25" t="s">
        <v>883</v>
      </c>
      <c r="D31" s="30" t="s">
        <v>933</v>
      </c>
      <c r="E31" s="26">
        <f>46150000</f>
        <v>46150000</v>
      </c>
      <c r="F31" s="26">
        <f t="shared" si="0"/>
        <v>1.2819444444444444E-8</v>
      </c>
      <c r="H31" s="32"/>
      <c r="I31" s="32"/>
      <c r="J31" s="32"/>
      <c r="K31" s="512"/>
      <c r="L31" s="41"/>
      <c r="M31" s="41"/>
      <c r="N31" s="537"/>
      <c r="O31" s="537"/>
      <c r="P31" s="547"/>
      <c r="Q31" s="547"/>
      <c r="R31" s="537"/>
      <c r="S31" s="537"/>
      <c r="T31" s="537"/>
      <c r="U31" s="537"/>
      <c r="V31" s="524"/>
      <c r="W31" s="524"/>
      <c r="X31" s="32"/>
      <c r="Y31" s="32"/>
      <c r="Z31" s="32"/>
      <c r="AA31" s="32"/>
      <c r="AB31" s="32"/>
      <c r="AC31" s="32"/>
      <c r="AD31" s="32"/>
      <c r="AE31" s="32"/>
      <c r="AF31" s="32"/>
      <c r="AG31" s="32"/>
      <c r="AH31" s="32"/>
      <c r="AI31" s="32"/>
      <c r="AJ31" s="32"/>
      <c r="AK31" s="32"/>
      <c r="AL31" s="32"/>
      <c r="AM31" s="32"/>
      <c r="AN31" s="32"/>
      <c r="AO31" s="32"/>
      <c r="AP31" s="32"/>
    </row>
    <row r="32" spans="1:42" s="51" customFormat="1" ht="15.75">
      <c r="A32" s="53"/>
      <c r="B32" s="25" t="s">
        <v>891</v>
      </c>
      <c r="C32" s="25" t="s">
        <v>892</v>
      </c>
      <c r="D32" s="30" t="s">
        <v>893</v>
      </c>
      <c r="E32" s="26">
        <v>46150000000</v>
      </c>
      <c r="F32" s="26">
        <f t="shared" si="0"/>
        <v>1.2819444444444445E-5</v>
      </c>
      <c r="H32" s="32"/>
      <c r="I32" s="32"/>
      <c r="J32" s="32"/>
      <c r="K32" s="512"/>
      <c r="L32" s="41"/>
      <c r="M32" s="41"/>
      <c r="N32" s="537"/>
      <c r="O32" s="537"/>
      <c r="P32" s="547"/>
      <c r="Q32" s="547"/>
      <c r="R32" s="537"/>
      <c r="S32" s="537"/>
      <c r="T32" s="537"/>
      <c r="U32" s="537"/>
      <c r="V32" s="524"/>
      <c r="W32" s="524"/>
      <c r="X32" s="32"/>
      <c r="Y32" s="32"/>
      <c r="Z32" s="32"/>
      <c r="AA32" s="32"/>
      <c r="AB32" s="32"/>
      <c r="AC32" s="32"/>
      <c r="AD32" s="32"/>
      <c r="AE32" s="32"/>
      <c r="AF32" s="32"/>
      <c r="AG32" s="32"/>
      <c r="AH32" s="32"/>
      <c r="AI32" s="32"/>
      <c r="AJ32" s="32"/>
      <c r="AK32" s="32"/>
      <c r="AL32" s="32"/>
      <c r="AM32" s="32"/>
      <c r="AN32" s="32"/>
      <c r="AO32" s="32"/>
      <c r="AP32" s="32"/>
    </row>
    <row r="33" spans="1:42" s="51" customFormat="1" ht="15.75">
      <c r="A33" s="53"/>
      <c r="B33" s="25" t="s">
        <v>942</v>
      </c>
      <c r="C33" s="25" t="s">
        <v>943</v>
      </c>
      <c r="D33" s="30" t="s">
        <v>944</v>
      </c>
      <c r="E33" s="26">
        <v>10400000</v>
      </c>
      <c r="F33" s="26">
        <f t="shared" si="0"/>
        <v>2.888888888888889E-9</v>
      </c>
      <c r="H33" s="32"/>
      <c r="I33" s="32"/>
      <c r="J33" s="32"/>
      <c r="K33" s="512"/>
      <c r="L33" s="41"/>
      <c r="M33" s="41"/>
      <c r="N33" s="537"/>
      <c r="O33" s="537"/>
      <c r="P33" s="547"/>
      <c r="Q33" s="547"/>
      <c r="R33" s="537"/>
      <c r="S33" s="537"/>
      <c r="T33" s="537"/>
      <c r="U33" s="537"/>
      <c r="V33" s="524"/>
      <c r="W33" s="524"/>
      <c r="X33" s="32"/>
      <c r="Y33" s="32"/>
      <c r="Z33" s="32"/>
      <c r="AA33" s="32"/>
      <c r="AB33" s="32"/>
      <c r="AC33" s="32"/>
      <c r="AD33" s="32"/>
      <c r="AE33" s="32"/>
      <c r="AF33" s="32"/>
      <c r="AG33" s="32"/>
      <c r="AH33" s="32"/>
      <c r="AI33" s="32"/>
      <c r="AJ33" s="32"/>
      <c r="AK33" s="32"/>
      <c r="AL33" s="32"/>
      <c r="AM33" s="32"/>
      <c r="AN33" s="32"/>
      <c r="AO33" s="32"/>
      <c r="AP33" s="32"/>
    </row>
    <row r="34" spans="1:42" s="51" customFormat="1" ht="15.75">
      <c r="A34" s="53"/>
      <c r="B34" s="25" t="s">
        <v>945</v>
      </c>
      <c r="C34" s="25" t="s">
        <v>946</v>
      </c>
      <c r="D34" s="30" t="s">
        <v>947</v>
      </c>
      <c r="E34" s="26">
        <v>10400000000</v>
      </c>
      <c r="F34" s="26">
        <f t="shared" si="0"/>
        <v>2.888888888888889E-6</v>
      </c>
      <c r="H34" s="32"/>
      <c r="I34" s="32"/>
      <c r="J34" s="32"/>
      <c r="K34" s="512"/>
      <c r="L34" s="41"/>
      <c r="M34" s="41"/>
      <c r="N34" s="537"/>
      <c r="O34" s="537"/>
      <c r="P34" s="547"/>
      <c r="Q34" s="547"/>
      <c r="R34" s="537"/>
      <c r="S34" s="537"/>
      <c r="T34" s="537"/>
      <c r="U34" s="537"/>
      <c r="V34" s="524"/>
      <c r="W34" s="524"/>
      <c r="X34" s="32"/>
      <c r="Y34" s="32"/>
      <c r="Z34" s="32"/>
      <c r="AA34" s="32"/>
      <c r="AB34" s="32"/>
      <c r="AC34" s="32"/>
      <c r="AD34" s="32"/>
      <c r="AE34" s="32"/>
      <c r="AF34" s="32"/>
      <c r="AG34" s="32"/>
      <c r="AH34" s="32"/>
      <c r="AI34" s="32"/>
      <c r="AJ34" s="32"/>
      <c r="AK34" s="32"/>
      <c r="AL34" s="32"/>
      <c r="AM34" s="32"/>
      <c r="AN34" s="32"/>
      <c r="AO34" s="32"/>
      <c r="AP34" s="32"/>
    </row>
    <row r="35" spans="1:42" s="51" customFormat="1" ht="15.75">
      <c r="A35" s="53"/>
      <c r="B35" s="25" t="s">
        <v>994</v>
      </c>
      <c r="C35" s="25" t="s">
        <v>995</v>
      </c>
      <c r="D35" s="30" t="s">
        <v>996</v>
      </c>
      <c r="E35" s="26">
        <v>36110000</v>
      </c>
      <c r="F35" s="26">
        <f t="shared" si="0"/>
        <v>1.0030555555555555E-8</v>
      </c>
      <c r="H35" s="32"/>
      <c r="I35" s="32"/>
      <c r="J35" s="32"/>
      <c r="K35" s="512"/>
      <c r="L35" s="41"/>
      <c r="M35" s="41"/>
      <c r="N35" s="537"/>
      <c r="O35" s="537"/>
      <c r="P35" s="547"/>
      <c r="Q35" s="547"/>
      <c r="R35" s="537"/>
      <c r="S35" s="537"/>
      <c r="T35" s="537"/>
      <c r="U35" s="537"/>
      <c r="V35" s="524"/>
      <c r="W35" s="524"/>
      <c r="X35" s="32"/>
      <c r="Y35" s="32"/>
      <c r="Z35" s="32"/>
      <c r="AA35" s="32"/>
      <c r="AB35" s="32"/>
      <c r="AC35" s="32"/>
      <c r="AD35" s="32"/>
      <c r="AE35" s="32"/>
      <c r="AF35" s="32"/>
      <c r="AG35" s="32"/>
      <c r="AH35" s="32"/>
      <c r="AI35" s="32"/>
      <c r="AJ35" s="32"/>
      <c r="AK35" s="32"/>
      <c r="AL35" s="32"/>
      <c r="AM35" s="32"/>
      <c r="AN35" s="32"/>
      <c r="AO35" s="32"/>
      <c r="AP35" s="32"/>
    </row>
    <row r="36" spans="1:42" s="51" customFormat="1" ht="15.75">
      <c r="A36" s="53"/>
      <c r="B36" s="25" t="s">
        <v>991</v>
      </c>
      <c r="C36" s="25" t="s">
        <v>992</v>
      </c>
      <c r="D36" s="30" t="s">
        <v>993</v>
      </c>
      <c r="E36" s="26">
        <v>35100000</v>
      </c>
      <c r="F36" s="26">
        <f t="shared" si="0"/>
        <v>9.7499999999999996E-9</v>
      </c>
      <c r="H36" s="32"/>
      <c r="I36" s="32"/>
      <c r="J36" s="32"/>
      <c r="K36" s="512"/>
      <c r="L36" s="41"/>
      <c r="M36" s="41"/>
      <c r="N36" s="537"/>
      <c r="O36" s="537"/>
      <c r="P36" s="547"/>
      <c r="Q36" s="547"/>
      <c r="R36" s="537"/>
      <c r="S36" s="537"/>
      <c r="T36" s="537"/>
      <c r="U36" s="537"/>
      <c r="V36" s="524"/>
      <c r="W36" s="524"/>
      <c r="X36" s="32"/>
      <c r="Y36" s="32"/>
      <c r="Z36" s="32"/>
      <c r="AA36" s="32"/>
      <c r="AB36" s="32"/>
      <c r="AC36" s="32"/>
      <c r="AD36" s="32"/>
      <c r="AE36" s="32"/>
      <c r="AF36" s="32"/>
      <c r="AG36" s="32"/>
      <c r="AH36" s="32"/>
      <c r="AI36" s="32"/>
      <c r="AJ36" s="32"/>
      <c r="AK36" s="32"/>
      <c r="AL36" s="32"/>
      <c r="AM36" s="32"/>
      <c r="AN36" s="32"/>
      <c r="AO36" s="32"/>
      <c r="AP36" s="32"/>
    </row>
    <row r="37" spans="1:42" s="51" customFormat="1" ht="15.75">
      <c r="A37" s="53"/>
      <c r="B37" s="25" t="s">
        <v>1054</v>
      </c>
      <c r="C37" s="25" t="s">
        <v>1055</v>
      </c>
      <c r="D37" s="30" t="s">
        <v>1056</v>
      </c>
      <c r="E37" s="26">
        <f>E36*1000*10^6/0.832</f>
        <v>4.21875E+16</v>
      </c>
      <c r="F37" s="26">
        <f t="shared" si="0"/>
        <v>11.71875</v>
      </c>
      <c r="H37" s="32"/>
      <c r="I37" s="32"/>
      <c r="J37" s="32"/>
      <c r="K37" s="512"/>
      <c r="L37" s="41"/>
      <c r="M37" s="41"/>
      <c r="N37" s="537"/>
      <c r="O37" s="537"/>
      <c r="P37" s="547"/>
      <c r="Q37" s="547"/>
      <c r="R37" s="537"/>
      <c r="S37" s="537"/>
      <c r="T37" s="537"/>
      <c r="U37" s="537"/>
      <c r="V37" s="524"/>
      <c r="W37" s="524"/>
      <c r="X37" s="32"/>
      <c r="Y37" s="32"/>
      <c r="Z37" s="32"/>
      <c r="AA37" s="32"/>
      <c r="AB37" s="32"/>
      <c r="AC37" s="32"/>
      <c r="AD37" s="32"/>
      <c r="AE37" s="32"/>
      <c r="AF37" s="32"/>
      <c r="AG37" s="32"/>
      <c r="AH37" s="32"/>
      <c r="AI37" s="32"/>
      <c r="AJ37" s="32"/>
      <c r="AK37" s="32"/>
      <c r="AL37" s="32"/>
      <c r="AM37" s="32"/>
      <c r="AN37" s="32"/>
      <c r="AO37" s="32"/>
      <c r="AP37" s="32"/>
    </row>
    <row r="38" spans="1:42" s="51" customFormat="1" ht="15.75">
      <c r="A38" s="53"/>
      <c r="B38" s="25" t="s">
        <v>975</v>
      </c>
      <c r="C38" s="25" t="s">
        <v>976</v>
      </c>
      <c r="D38" s="30" t="s">
        <v>977</v>
      </c>
      <c r="E38" s="26">
        <v>33150000</v>
      </c>
      <c r="F38" s="26">
        <f t="shared" si="0"/>
        <v>9.2083333333333331E-9</v>
      </c>
      <c r="H38" s="32">
        <f>0.832</f>
        <v>0.83199999999999996</v>
      </c>
      <c r="I38" s="32" t="s">
        <v>1053</v>
      </c>
      <c r="J38" s="32"/>
      <c r="K38" s="512"/>
      <c r="L38" s="41"/>
      <c r="M38" s="41"/>
      <c r="N38" s="537"/>
      <c r="O38" s="537"/>
      <c r="P38" s="547"/>
      <c r="Q38" s="547"/>
      <c r="R38" s="537"/>
      <c r="S38" s="537"/>
      <c r="T38" s="537"/>
      <c r="U38" s="537"/>
      <c r="V38" s="524"/>
      <c r="W38" s="524"/>
      <c r="X38" s="32"/>
      <c r="Y38" s="32"/>
      <c r="Z38" s="32"/>
      <c r="AA38" s="32"/>
      <c r="AB38" s="32"/>
      <c r="AC38" s="32"/>
      <c r="AD38" s="32"/>
      <c r="AE38" s="32"/>
      <c r="AF38" s="32"/>
      <c r="AG38" s="32"/>
      <c r="AH38" s="32"/>
      <c r="AI38" s="32"/>
      <c r="AJ38" s="32"/>
      <c r="AK38" s="32"/>
      <c r="AL38" s="32"/>
      <c r="AM38" s="32"/>
      <c r="AN38" s="32"/>
      <c r="AO38" s="32"/>
      <c r="AP38" s="32"/>
    </row>
    <row r="39" spans="1:42" s="51" customFormat="1" ht="15.75">
      <c r="A39" s="53"/>
      <c r="B39" s="25" t="s">
        <v>939</v>
      </c>
      <c r="C39" s="25" t="s">
        <v>940</v>
      </c>
      <c r="D39" s="30" t="s">
        <v>941</v>
      </c>
      <c r="E39" s="26">
        <v>13250000</v>
      </c>
      <c r="F39" s="26">
        <f t="shared" si="0"/>
        <v>3.6805555555555557E-9</v>
      </c>
      <c r="H39" s="32"/>
      <c r="I39" s="32"/>
      <c r="J39" s="32"/>
      <c r="K39" s="512"/>
      <c r="L39" s="41"/>
      <c r="M39" s="41"/>
      <c r="N39" s="537"/>
      <c r="O39" s="537"/>
      <c r="P39" s="547"/>
      <c r="Q39" s="547"/>
      <c r="R39" s="537"/>
      <c r="S39" s="537"/>
      <c r="T39" s="537"/>
      <c r="U39" s="537"/>
      <c r="V39" s="524"/>
      <c r="W39" s="524"/>
      <c r="X39" s="32"/>
      <c r="Y39" s="32"/>
      <c r="Z39" s="32"/>
      <c r="AA39" s="32"/>
      <c r="AB39" s="32"/>
      <c r="AC39" s="32"/>
      <c r="AD39" s="32"/>
      <c r="AE39" s="32"/>
      <c r="AF39" s="32"/>
      <c r="AG39" s="32"/>
      <c r="AH39" s="32"/>
      <c r="AI39" s="32"/>
      <c r="AJ39" s="32"/>
      <c r="AK39" s="32"/>
      <c r="AL39" s="32"/>
      <c r="AM39" s="32"/>
      <c r="AN39" s="32"/>
      <c r="AO39" s="32"/>
      <c r="AP39" s="32"/>
    </row>
    <row r="40" spans="1:42" s="51" customFormat="1" ht="15.75">
      <c r="A40" s="53"/>
      <c r="B40" s="25" t="s">
        <v>936</v>
      </c>
      <c r="C40" s="25" t="s">
        <v>937</v>
      </c>
      <c r="D40" s="30" t="s">
        <v>938</v>
      </c>
      <c r="E40" s="26">
        <v>22500000</v>
      </c>
      <c r="F40" s="26">
        <f t="shared" si="0"/>
        <v>6.2499999999999997E-9</v>
      </c>
      <c r="H40" s="32"/>
      <c r="I40" s="32"/>
      <c r="J40" s="32"/>
      <c r="K40" s="512"/>
      <c r="L40" s="41"/>
      <c r="M40" s="41"/>
      <c r="N40" s="537"/>
      <c r="O40" s="537"/>
      <c r="P40" s="547"/>
      <c r="Q40" s="547"/>
      <c r="R40" s="537"/>
      <c r="S40" s="537"/>
      <c r="T40" s="537"/>
      <c r="U40" s="537"/>
      <c r="V40" s="524"/>
      <c r="W40" s="524"/>
      <c r="X40" s="32"/>
      <c r="Y40" s="32"/>
      <c r="Z40" s="32"/>
      <c r="AA40" s="32"/>
      <c r="AB40" s="32"/>
      <c r="AC40" s="32"/>
      <c r="AD40" s="32"/>
      <c r="AE40" s="32"/>
      <c r="AF40" s="32"/>
      <c r="AG40" s="32"/>
      <c r="AH40" s="32"/>
      <c r="AI40" s="32"/>
      <c r="AJ40" s="32"/>
      <c r="AK40" s="32"/>
      <c r="AL40" s="32"/>
      <c r="AM40" s="32"/>
      <c r="AN40" s="32"/>
      <c r="AO40" s="32"/>
      <c r="AP40" s="32"/>
    </row>
    <row r="41" spans="1:42" s="51" customFormat="1" ht="15.75">
      <c r="A41" s="53"/>
      <c r="B41" s="25" t="s">
        <v>1512</v>
      </c>
      <c r="C41" s="25" t="s">
        <v>1513</v>
      </c>
      <c r="D41" s="30" t="s">
        <v>1514</v>
      </c>
      <c r="E41" s="26">
        <v>5.6E+16</v>
      </c>
      <c r="F41" s="26">
        <f t="shared" si="0"/>
        <v>15.555555555555555</v>
      </c>
      <c r="H41" s="32"/>
      <c r="I41" s="32"/>
      <c r="J41" s="32"/>
      <c r="K41" s="512"/>
      <c r="L41" s="41"/>
      <c r="M41" s="41"/>
      <c r="N41" s="537"/>
      <c r="O41" s="537"/>
      <c r="P41" s="547"/>
      <c r="Q41" s="547"/>
      <c r="R41" s="537"/>
      <c r="S41" s="537"/>
      <c r="T41" s="537"/>
      <c r="U41" s="537"/>
      <c r="V41" s="524"/>
      <c r="W41" s="524"/>
      <c r="X41" s="32"/>
      <c r="Y41" s="32"/>
      <c r="Z41" s="32"/>
      <c r="AA41" s="32"/>
      <c r="AB41" s="32"/>
      <c r="AC41" s="32"/>
      <c r="AD41" s="32"/>
      <c r="AE41" s="32"/>
      <c r="AF41" s="32"/>
      <c r="AG41" s="32"/>
      <c r="AH41" s="32"/>
      <c r="AI41" s="32"/>
      <c r="AJ41" s="32"/>
      <c r="AK41" s="32"/>
      <c r="AL41" s="32"/>
      <c r="AM41" s="32"/>
      <c r="AN41" s="32"/>
      <c r="AO41" s="32"/>
      <c r="AP41" s="32"/>
    </row>
    <row r="42" spans="1:42" s="51" customFormat="1" ht="15.75">
      <c r="A42" s="53"/>
      <c r="B42" s="25" t="s">
        <v>882</v>
      </c>
      <c r="C42" s="25" t="s">
        <v>931</v>
      </c>
      <c r="D42" s="30" t="s">
        <v>881</v>
      </c>
      <c r="E42" s="26">
        <f>33940000</f>
        <v>33940000</v>
      </c>
      <c r="F42" s="26">
        <f t="shared" si="0"/>
        <v>9.4277777777777784E-9</v>
      </c>
      <c r="H42" s="32"/>
      <c r="I42" s="32"/>
      <c r="J42" s="32"/>
      <c r="K42" s="512"/>
      <c r="L42" s="41"/>
      <c r="M42" s="41"/>
      <c r="N42" s="537"/>
      <c r="O42" s="537"/>
      <c r="P42" s="547"/>
      <c r="Q42" s="547"/>
      <c r="R42" s="537"/>
      <c r="S42" s="537"/>
      <c r="T42" s="537"/>
      <c r="U42" s="537"/>
      <c r="V42" s="524"/>
      <c r="W42" s="524"/>
      <c r="X42" s="32"/>
      <c r="Y42" s="32"/>
      <c r="Z42" s="32"/>
      <c r="AA42" s="32"/>
      <c r="AB42" s="32"/>
      <c r="AC42" s="32"/>
      <c r="AD42" s="32"/>
      <c r="AE42" s="32"/>
      <c r="AF42" s="32"/>
      <c r="AG42" s="32"/>
      <c r="AH42" s="32"/>
      <c r="AI42" s="32"/>
      <c r="AJ42" s="32"/>
      <c r="AK42" s="32"/>
      <c r="AL42" s="32"/>
      <c r="AM42" s="32"/>
      <c r="AN42" s="32"/>
      <c r="AO42" s="32"/>
      <c r="AP42" s="32"/>
    </row>
    <row r="43" spans="1:42" s="51" customFormat="1" ht="15.75">
      <c r="A43" s="53"/>
      <c r="B43" s="25" t="s">
        <v>888</v>
      </c>
      <c r="C43" s="25" t="s">
        <v>889</v>
      </c>
      <c r="D43" s="30" t="s">
        <v>890</v>
      </c>
      <c r="E43" s="26">
        <f>33939000*10^6</f>
        <v>33939000000000</v>
      </c>
      <c r="F43" s="26">
        <f t="shared" si="0"/>
        <v>9.4275000000000001E-3</v>
      </c>
      <c r="H43" s="32"/>
      <c r="I43" s="32"/>
      <c r="J43" s="32"/>
      <c r="K43" s="512"/>
      <c r="L43" s="41"/>
      <c r="M43" s="41"/>
      <c r="N43" s="537"/>
      <c r="O43" s="537"/>
      <c r="P43" s="547"/>
      <c r="Q43" s="547"/>
      <c r="R43" s="537"/>
      <c r="S43" s="537"/>
      <c r="T43" s="537"/>
      <c r="U43" s="537"/>
      <c r="V43" s="524"/>
      <c r="W43" s="524"/>
      <c r="X43" s="32"/>
      <c r="Y43" s="32"/>
      <c r="Z43" s="32"/>
      <c r="AA43" s="32"/>
      <c r="AB43" s="32"/>
      <c r="AC43" s="32"/>
      <c r="AD43" s="32"/>
      <c r="AE43" s="32"/>
      <c r="AF43" s="32"/>
      <c r="AG43" s="32"/>
      <c r="AH43" s="32"/>
      <c r="AI43" s="32"/>
      <c r="AJ43" s="32"/>
      <c r="AK43" s="32"/>
      <c r="AL43" s="32"/>
      <c r="AM43" s="32"/>
      <c r="AN43" s="32"/>
      <c r="AO43" s="32"/>
      <c r="AP43" s="32"/>
    </row>
    <row r="44" spans="1:42" s="51" customFormat="1" ht="15.75">
      <c r="A44" s="53"/>
      <c r="B44" s="25" t="s">
        <v>1518</v>
      </c>
      <c r="C44" s="25" t="s">
        <v>1519</v>
      </c>
      <c r="D44" s="30" t="s">
        <v>1520</v>
      </c>
      <c r="E44" s="26">
        <f>38000000000000</f>
        <v>38000000000000</v>
      </c>
      <c r="F44" s="26">
        <f t="shared" si="0"/>
        <v>1.0555555555555556E-2</v>
      </c>
      <c r="H44" s="32"/>
      <c r="I44" s="32"/>
      <c r="J44" s="32"/>
      <c r="K44" s="512"/>
      <c r="L44" s="41"/>
      <c r="M44" s="41"/>
      <c r="N44" s="537"/>
      <c r="O44" s="537"/>
      <c r="P44" s="547"/>
      <c r="Q44" s="547"/>
      <c r="R44" s="537"/>
      <c r="S44" s="537"/>
      <c r="T44" s="537"/>
      <c r="U44" s="537"/>
      <c r="V44" s="524"/>
      <c r="W44" s="524"/>
      <c r="X44" s="32"/>
      <c r="Y44" s="32"/>
      <c r="Z44" s="32"/>
      <c r="AA44" s="32"/>
      <c r="AB44" s="32"/>
      <c r="AC44" s="32"/>
      <c r="AD44" s="32"/>
      <c r="AE44" s="32"/>
      <c r="AF44" s="32"/>
      <c r="AG44" s="32"/>
      <c r="AH44" s="32"/>
      <c r="AI44" s="32"/>
      <c r="AJ44" s="32"/>
      <c r="AK44" s="32"/>
      <c r="AL44" s="32"/>
      <c r="AM44" s="32"/>
      <c r="AN44" s="32"/>
      <c r="AO44" s="32"/>
      <c r="AP44" s="32"/>
    </row>
    <row r="45" spans="1:42" s="51" customFormat="1" ht="15.75">
      <c r="A45" s="53"/>
      <c r="B45" s="25" t="s">
        <v>1032</v>
      </c>
      <c r="C45" s="25" t="s">
        <v>1033</v>
      </c>
      <c r="D45" s="30" t="s">
        <v>1034</v>
      </c>
      <c r="E45" s="26">
        <v>36000000</v>
      </c>
      <c r="F45" s="26">
        <f t="shared" si="0"/>
        <v>1E-8</v>
      </c>
      <c r="H45" s="32"/>
      <c r="I45" s="32"/>
      <c r="J45" s="32"/>
      <c r="K45" s="512"/>
      <c r="L45" s="41"/>
      <c r="M45" s="41"/>
      <c r="N45" s="537"/>
      <c r="O45" s="537"/>
      <c r="P45" s="547"/>
      <c r="Q45" s="547"/>
      <c r="R45" s="537"/>
      <c r="S45" s="537"/>
      <c r="T45" s="537"/>
      <c r="U45" s="537"/>
      <c r="V45" s="524"/>
      <c r="W45" s="524"/>
      <c r="X45" s="32"/>
      <c r="Y45" s="32"/>
      <c r="Z45" s="32"/>
      <c r="AA45" s="32"/>
      <c r="AB45" s="32"/>
      <c r="AC45" s="32"/>
      <c r="AD45" s="32"/>
      <c r="AE45" s="32"/>
      <c r="AF45" s="32"/>
      <c r="AG45" s="32"/>
      <c r="AH45" s="32"/>
      <c r="AI45" s="32"/>
      <c r="AJ45" s="32"/>
      <c r="AK45" s="32"/>
      <c r="AL45" s="32"/>
      <c r="AM45" s="32"/>
      <c r="AN45" s="32"/>
      <c r="AO45" s="32"/>
      <c r="AP45" s="32"/>
    </row>
    <row r="46" spans="1:42" s="51" customFormat="1" ht="15.75">
      <c r="A46" s="53"/>
      <c r="B46" s="25" t="s">
        <v>1036</v>
      </c>
      <c r="C46" s="25" t="s">
        <v>1035</v>
      </c>
      <c r="D46" s="30" t="s">
        <v>1037</v>
      </c>
      <c r="E46" s="26">
        <v>26000000</v>
      </c>
      <c r="F46" s="26">
        <f t="shared" si="0"/>
        <v>7.2222222222222218E-9</v>
      </c>
      <c r="H46" s="32"/>
      <c r="I46" s="32"/>
      <c r="J46" s="32"/>
      <c r="K46" s="512"/>
      <c r="L46" s="41"/>
      <c r="M46" s="41"/>
      <c r="N46" s="537"/>
      <c r="O46" s="537"/>
      <c r="P46" s="547"/>
      <c r="Q46" s="547"/>
      <c r="R46" s="537"/>
      <c r="S46" s="537"/>
      <c r="T46" s="537"/>
      <c r="U46" s="537"/>
      <c r="V46" s="524"/>
      <c r="W46" s="524"/>
      <c r="X46" s="32"/>
      <c r="Y46" s="32"/>
      <c r="Z46" s="32"/>
      <c r="AA46" s="32"/>
      <c r="AB46" s="32"/>
      <c r="AC46" s="32"/>
      <c r="AD46" s="32"/>
      <c r="AE46" s="32"/>
      <c r="AF46" s="32"/>
      <c r="AG46" s="32"/>
      <c r="AH46" s="32"/>
      <c r="AI46" s="32"/>
      <c r="AJ46" s="32"/>
      <c r="AK46" s="32"/>
      <c r="AL46" s="32"/>
      <c r="AM46" s="32"/>
      <c r="AN46" s="32"/>
      <c r="AO46" s="32"/>
      <c r="AP46" s="32"/>
    </row>
    <row r="47" spans="1:42" s="51" customFormat="1" ht="15.75">
      <c r="A47" s="53"/>
      <c r="B47" s="27" t="s">
        <v>543</v>
      </c>
      <c r="C47" s="27" t="s">
        <v>548</v>
      </c>
      <c r="D47" s="31" t="s">
        <v>544</v>
      </c>
      <c r="E47" s="925">
        <f>33939000*10^9</f>
        <v>3.3939E+16</v>
      </c>
      <c r="F47" s="925">
        <f t="shared" si="0"/>
        <v>9.4275000000000002</v>
      </c>
      <c r="H47" s="32"/>
      <c r="I47" s="32"/>
      <c r="J47" s="32"/>
      <c r="K47" s="512"/>
      <c r="L47" s="41"/>
      <c r="M47" s="41"/>
      <c r="N47" s="537"/>
      <c r="O47" s="537"/>
      <c r="P47" s="547"/>
      <c r="Q47" s="547"/>
      <c r="R47" s="537"/>
      <c r="S47" s="537"/>
      <c r="T47" s="537"/>
      <c r="U47" s="537"/>
      <c r="V47" s="524"/>
      <c r="W47" s="524"/>
      <c r="X47" s="32"/>
      <c r="Y47" s="32"/>
      <c r="Z47" s="32"/>
      <c r="AA47" s="32"/>
      <c r="AB47" s="32"/>
      <c r="AC47" s="32"/>
      <c r="AD47" s="32"/>
      <c r="AE47" s="32"/>
      <c r="AF47" s="32"/>
      <c r="AG47" s="32"/>
      <c r="AH47" s="32"/>
      <c r="AI47" s="32"/>
      <c r="AJ47" s="32"/>
      <c r="AK47" s="32"/>
      <c r="AL47" s="32"/>
      <c r="AM47" s="32"/>
      <c r="AN47" s="32"/>
      <c r="AO47" s="32"/>
      <c r="AP47" s="32"/>
    </row>
    <row r="48" spans="1:42">
      <c r="H48" s="35"/>
      <c r="I48" s="35"/>
      <c r="J48" s="35"/>
      <c r="K48" s="35"/>
      <c r="L48" s="523"/>
      <c r="M48" s="524"/>
      <c r="N48" s="524"/>
      <c r="O48" s="524"/>
      <c r="P48" s="524"/>
      <c r="Q48" s="524"/>
      <c r="R48" s="524"/>
      <c r="S48" s="524"/>
      <c r="T48" s="524"/>
      <c r="U48" s="524"/>
      <c r="V48" s="524"/>
      <c r="W48" s="524"/>
      <c r="X48" s="35"/>
      <c r="Y48" s="556"/>
      <c r="Z48" s="35"/>
      <c r="AA48" s="35"/>
      <c r="AB48" s="35"/>
      <c r="AC48" s="35"/>
      <c r="AD48" s="35"/>
      <c r="AE48" s="35"/>
      <c r="AF48" s="35"/>
      <c r="AG48" s="35"/>
      <c r="AH48" s="35"/>
      <c r="AI48" s="35"/>
      <c r="AJ48" s="35"/>
      <c r="AK48" s="35"/>
      <c r="AL48" s="35"/>
      <c r="AM48" s="35"/>
      <c r="AN48" s="35"/>
      <c r="AO48" s="35"/>
      <c r="AP48" s="35"/>
    </row>
    <row r="49" spans="1:42">
      <c r="E49" s="23"/>
      <c r="F49" s="23"/>
      <c r="H49" s="35"/>
      <c r="I49" s="35"/>
      <c r="J49" s="35"/>
      <c r="K49" s="35"/>
      <c r="L49" s="523"/>
      <c r="M49" s="524"/>
      <c r="N49" s="524"/>
      <c r="O49" s="35"/>
      <c r="P49" s="510"/>
      <c r="Q49" s="510"/>
      <c r="R49" s="409"/>
      <c r="S49" s="409"/>
      <c r="T49" s="409"/>
      <c r="U49" s="409"/>
      <c r="V49" s="409"/>
      <c r="W49" s="409"/>
      <c r="X49" s="409"/>
      <c r="Y49" s="409"/>
      <c r="Z49" s="409"/>
      <c r="AA49" s="35"/>
      <c r="AB49" s="35"/>
      <c r="AC49" s="35"/>
      <c r="AD49" s="35"/>
      <c r="AE49" s="35"/>
      <c r="AF49" s="35"/>
      <c r="AG49" s="35"/>
      <c r="AH49" s="35"/>
      <c r="AI49" s="35"/>
      <c r="AJ49" s="35"/>
      <c r="AK49" s="35"/>
      <c r="AL49" s="35"/>
      <c r="AM49" s="35"/>
      <c r="AN49" s="35"/>
      <c r="AO49" s="35"/>
      <c r="AP49" s="35"/>
    </row>
    <row r="50" spans="1:42" ht="18.75">
      <c r="B50" s="24" t="s">
        <v>208</v>
      </c>
      <c r="C50" s="24"/>
      <c r="D50" s="1"/>
      <c r="E50" s="1"/>
      <c r="F50" s="1"/>
      <c r="H50" s="35"/>
      <c r="I50" s="35"/>
      <c r="J50" s="35"/>
      <c r="K50" s="35"/>
      <c r="L50" s="35"/>
      <c r="M50" s="35"/>
      <c r="N50" s="35"/>
      <c r="O50" s="35"/>
      <c r="P50" s="35"/>
      <c r="Q50" s="35"/>
      <c r="R50" s="510"/>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row>
    <row r="51" spans="1:42" ht="18" customHeight="1">
      <c r="B51" s="1"/>
      <c r="C51" s="1"/>
      <c r="D51" s="1"/>
      <c r="E51" s="1"/>
      <c r="F51" s="1"/>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row>
    <row r="52" spans="1:42" ht="15.75">
      <c r="A52" s="3"/>
      <c r="B52" s="28" t="s">
        <v>71</v>
      </c>
      <c r="C52" s="28" t="s">
        <v>137</v>
      </c>
      <c r="D52" s="28" t="s">
        <v>138</v>
      </c>
      <c r="E52" s="48" t="s">
        <v>209</v>
      </c>
      <c r="F52" s="48" t="str">
        <f>Preferences.PowerUnits</f>
        <v>GW</v>
      </c>
      <c r="H52" s="35"/>
      <c r="I52" s="513"/>
      <c r="J52" s="35"/>
      <c r="K52" s="35"/>
      <c r="L52" s="35"/>
      <c r="M52" s="35"/>
      <c r="N52" s="35"/>
      <c r="O52" s="35"/>
      <c r="P52" s="35"/>
      <c r="Q52" s="35"/>
      <c r="R52" s="383"/>
      <c r="S52" s="510"/>
      <c r="T52" s="35"/>
      <c r="U52" s="35"/>
      <c r="V52" s="35"/>
      <c r="W52" s="35"/>
      <c r="X52" s="35"/>
      <c r="Y52" s="35"/>
      <c r="Z52" s="35"/>
      <c r="AA52" s="35"/>
      <c r="AB52" s="35"/>
      <c r="AC52" s="35"/>
      <c r="AD52" s="35"/>
      <c r="AE52" s="35"/>
      <c r="AF52" s="35"/>
      <c r="AG52" s="35"/>
      <c r="AH52" s="35"/>
      <c r="AI52" s="35"/>
      <c r="AJ52" s="35"/>
      <c r="AK52" s="35"/>
      <c r="AL52" s="35"/>
      <c r="AM52" s="35"/>
      <c r="AN52" s="35"/>
      <c r="AO52" s="35"/>
      <c r="AP52" s="35"/>
    </row>
    <row r="53" spans="1:42" ht="15.75">
      <c r="A53" s="3"/>
      <c r="B53" s="25" t="s">
        <v>210</v>
      </c>
      <c r="C53" s="25" t="s">
        <v>212</v>
      </c>
      <c r="D53" s="30" t="s">
        <v>214</v>
      </c>
      <c r="E53" s="26">
        <v>1000000000</v>
      </c>
      <c r="F53" s="26">
        <f t="shared" ref="F53:F58" si="1">$E53/INDEX(Conversions.Power.Watts, MATCH(F$52, Conversions.Power.Units, 0))</f>
        <v>1</v>
      </c>
      <c r="H53" s="35"/>
      <c r="I53" s="35"/>
      <c r="J53" s="35"/>
      <c r="K53" s="35"/>
      <c r="L53" s="35"/>
      <c r="M53" s="35"/>
      <c r="N53" s="35"/>
      <c r="O53" s="35"/>
      <c r="P53" s="35"/>
      <c r="Q53" s="35"/>
      <c r="R53" s="35"/>
      <c r="S53" s="383"/>
      <c r="T53" s="35"/>
      <c r="U53" s="35"/>
      <c r="V53" s="35"/>
      <c r="W53" s="35"/>
      <c r="X53" s="35"/>
      <c r="Y53" s="35"/>
      <c r="Z53" s="35"/>
      <c r="AA53" s="35"/>
      <c r="AB53" s="35"/>
      <c r="AC53" s="35"/>
      <c r="AD53" s="35"/>
      <c r="AE53" s="35"/>
      <c r="AF53" s="35"/>
      <c r="AG53" s="35"/>
      <c r="AH53" s="35"/>
      <c r="AI53" s="35"/>
      <c r="AJ53" s="35"/>
      <c r="AK53" s="35"/>
      <c r="AL53" s="35"/>
      <c r="AM53" s="35"/>
      <c r="AN53" s="35"/>
      <c r="AO53" s="35"/>
      <c r="AP53" s="35"/>
    </row>
    <row r="54" spans="1:42" s="1" customFormat="1" ht="15.75">
      <c r="A54" s="3"/>
      <c r="B54" s="25" t="s">
        <v>216</v>
      </c>
      <c r="C54" s="25" t="s">
        <v>217</v>
      </c>
      <c r="D54" s="30" t="s">
        <v>218</v>
      </c>
      <c r="E54" s="26">
        <v>1000000</v>
      </c>
      <c r="F54" s="26">
        <f t="shared" si="1"/>
        <v>1E-3</v>
      </c>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row>
    <row r="55" spans="1:42" ht="15.75">
      <c r="A55" s="3"/>
      <c r="B55" s="1" t="s">
        <v>211</v>
      </c>
      <c r="C55" s="1" t="s">
        <v>213</v>
      </c>
      <c r="D55" s="30" t="s">
        <v>215</v>
      </c>
      <c r="E55" s="26">
        <v>1000</v>
      </c>
      <c r="F55" s="26">
        <f t="shared" si="1"/>
        <v>9.9999999999999995E-7</v>
      </c>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row>
    <row r="56" spans="1:42" s="36" customFormat="1" ht="15.75">
      <c r="A56" s="3"/>
      <c r="B56" s="36" t="s">
        <v>245</v>
      </c>
      <c r="C56" s="36" t="s">
        <v>209</v>
      </c>
      <c r="D56" s="30" t="s">
        <v>246</v>
      </c>
      <c r="E56" s="26">
        <v>1</v>
      </c>
      <c r="F56" s="26">
        <f t="shared" si="1"/>
        <v>1.0000000000000001E-9</v>
      </c>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row>
    <row r="57" spans="1:42" ht="15.75">
      <c r="A57" s="3"/>
      <c r="B57" s="360" t="s">
        <v>512</v>
      </c>
      <c r="C57" s="360" t="s">
        <v>513</v>
      </c>
      <c r="D57" s="30" t="s">
        <v>514</v>
      </c>
      <c r="E57" s="26">
        <f>29000000*1000000/(24*60*60)</f>
        <v>335648148.14814812</v>
      </c>
      <c r="F57" s="26">
        <f t="shared" si="1"/>
        <v>0.33564814814814814</v>
      </c>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row>
    <row r="58" spans="1:42">
      <c r="B58" s="57" t="s">
        <v>219</v>
      </c>
      <c r="C58" s="57" t="s">
        <v>220</v>
      </c>
      <c r="D58" s="58" t="s">
        <v>221</v>
      </c>
      <c r="E58" s="59">
        <f>$E$20/Unit.year</f>
        <v>1326716860.597764</v>
      </c>
      <c r="F58" s="59">
        <f t="shared" si="1"/>
        <v>1.3267168605977639</v>
      </c>
      <c r="H58" s="35"/>
      <c r="I58" s="35"/>
      <c r="J58" s="35"/>
      <c r="K58" s="35"/>
      <c r="L58" s="523"/>
      <c r="M58" s="524"/>
      <c r="N58" s="524"/>
      <c r="O58" s="524"/>
      <c r="P58" s="524"/>
      <c r="Q58" s="524"/>
      <c r="R58" s="524"/>
      <c r="S58" s="524"/>
      <c r="T58" s="524"/>
      <c r="U58" s="524"/>
      <c r="V58" s="524"/>
      <c r="W58" s="524"/>
      <c r="X58" s="35"/>
      <c r="Y58" s="35"/>
      <c r="Z58" s="35"/>
      <c r="AA58" s="35"/>
      <c r="AB58" s="35"/>
      <c r="AC58" s="35"/>
      <c r="AD58" s="35"/>
      <c r="AE58" s="35"/>
      <c r="AF58" s="35"/>
      <c r="AG58" s="35"/>
      <c r="AH58" s="35"/>
      <c r="AI58" s="35"/>
      <c r="AJ58" s="35"/>
      <c r="AK58" s="35"/>
      <c r="AL58" s="35"/>
      <c r="AM58" s="35"/>
      <c r="AN58" s="35"/>
      <c r="AO58" s="35"/>
      <c r="AP58" s="35"/>
    </row>
    <row r="59" spans="1:42">
      <c r="H59" s="35"/>
      <c r="I59" s="35"/>
      <c r="J59" s="35"/>
      <c r="K59" s="35"/>
      <c r="L59" s="523"/>
      <c r="M59" s="524"/>
      <c r="N59" s="524"/>
      <c r="O59" s="524"/>
      <c r="P59" s="524"/>
      <c r="Q59" s="524"/>
      <c r="R59" s="524"/>
      <c r="S59" s="524"/>
      <c r="T59" s="524"/>
      <c r="U59" s="524"/>
      <c r="V59" s="524"/>
      <c r="W59" s="524"/>
      <c r="X59" s="35"/>
      <c r="Y59" s="35"/>
      <c r="Z59" s="35"/>
      <c r="AA59" s="35"/>
      <c r="AB59" s="35"/>
      <c r="AC59" s="35"/>
      <c r="AD59" s="35"/>
      <c r="AE59" s="35"/>
      <c r="AF59" s="35"/>
      <c r="AG59" s="35"/>
      <c r="AH59" s="35"/>
      <c r="AI59" s="35"/>
      <c r="AJ59" s="35"/>
      <c r="AK59" s="35"/>
      <c r="AL59" s="35"/>
      <c r="AM59" s="35"/>
      <c r="AN59" s="35"/>
      <c r="AO59" s="35"/>
      <c r="AP59" s="35"/>
    </row>
    <row r="60" spans="1:42" ht="15" customHeight="1">
      <c r="B60" s="24" t="s">
        <v>222</v>
      </c>
      <c r="C60" s="24"/>
      <c r="D60" s="1"/>
      <c r="E60" s="1"/>
      <c r="F60" s="1"/>
      <c r="H60" s="35"/>
      <c r="I60" s="35"/>
      <c r="J60" s="35"/>
      <c r="K60" s="35"/>
      <c r="L60" s="523"/>
      <c r="M60" s="524"/>
      <c r="N60" s="524"/>
      <c r="O60" s="524"/>
      <c r="P60" s="524"/>
      <c r="Q60" s="524"/>
      <c r="R60" s="524"/>
      <c r="S60" s="524"/>
      <c r="T60" s="524"/>
      <c r="U60" s="524"/>
      <c r="V60" s="524"/>
      <c r="W60" s="524"/>
      <c r="X60" s="35"/>
      <c r="Y60" s="35"/>
      <c r="Z60" s="35"/>
      <c r="AA60" s="35"/>
      <c r="AB60" s="35"/>
      <c r="AC60" s="35"/>
      <c r="AD60" s="35"/>
      <c r="AE60" s="35"/>
      <c r="AF60" s="35"/>
      <c r="AG60" s="35"/>
      <c r="AH60" s="35"/>
      <c r="AI60" s="35"/>
      <c r="AJ60" s="35"/>
      <c r="AK60" s="35"/>
      <c r="AL60" s="35"/>
      <c r="AM60" s="35"/>
      <c r="AN60" s="35"/>
      <c r="AO60" s="35"/>
      <c r="AP60" s="35"/>
    </row>
    <row r="61" spans="1:42" ht="15.75">
      <c r="A61" s="3"/>
      <c r="B61" s="1"/>
      <c r="C61" s="1"/>
      <c r="D61" s="1"/>
      <c r="E61" s="1"/>
      <c r="F61" s="1"/>
      <c r="H61" s="35"/>
      <c r="I61" s="35"/>
      <c r="J61" s="35"/>
      <c r="K61" s="35"/>
      <c r="L61" s="35"/>
      <c r="M61" s="524"/>
      <c r="N61" s="524"/>
      <c r="O61" s="35"/>
      <c r="P61" s="494"/>
      <c r="Q61" s="524"/>
      <c r="R61" s="524"/>
      <c r="S61" s="533"/>
      <c r="T61" s="524"/>
      <c r="U61" s="524"/>
      <c r="V61" s="35"/>
      <c r="W61" s="524"/>
      <c r="X61" s="35"/>
      <c r="Y61" s="35"/>
      <c r="Z61" s="35"/>
      <c r="AA61" s="35"/>
      <c r="AB61" s="35"/>
      <c r="AC61" s="35"/>
      <c r="AD61" s="35"/>
      <c r="AE61" s="35"/>
      <c r="AF61" s="35"/>
      <c r="AG61" s="35"/>
      <c r="AH61" s="35"/>
      <c r="AI61" s="35"/>
      <c r="AJ61" s="35"/>
      <c r="AK61" s="35"/>
      <c r="AL61" s="35"/>
      <c r="AM61" s="35"/>
      <c r="AN61" s="35"/>
      <c r="AO61" s="35"/>
      <c r="AP61" s="35"/>
    </row>
    <row r="62" spans="1:42" ht="15.75">
      <c r="A62" s="3"/>
      <c r="B62" s="28" t="s">
        <v>71</v>
      </c>
      <c r="C62" s="28" t="s">
        <v>137</v>
      </c>
      <c r="D62" s="28" t="s">
        <v>138</v>
      </c>
      <c r="E62" s="48" t="s">
        <v>468</v>
      </c>
      <c r="F62" s="48" t="s">
        <v>223</v>
      </c>
      <c r="H62" s="35"/>
      <c r="I62" s="35"/>
      <c r="J62" s="35"/>
      <c r="K62" s="35"/>
      <c r="L62" s="32"/>
      <c r="M62" s="524"/>
      <c r="N62" s="524"/>
      <c r="O62" s="529"/>
      <c r="P62" s="524"/>
      <c r="Q62" s="524"/>
      <c r="R62" s="524"/>
      <c r="S62" s="524"/>
      <c r="T62" s="524"/>
      <c r="U62" s="524"/>
      <c r="V62" s="524"/>
      <c r="W62" s="524"/>
      <c r="X62" s="35"/>
      <c r="Y62" s="35"/>
      <c r="Z62" s="35"/>
      <c r="AA62" s="35"/>
      <c r="AB62" s="35"/>
      <c r="AC62" s="35"/>
      <c r="AD62" s="35"/>
      <c r="AE62" s="35"/>
      <c r="AF62" s="35"/>
      <c r="AG62" s="35"/>
      <c r="AH62" s="35"/>
      <c r="AI62" s="35"/>
      <c r="AJ62" s="35"/>
      <c r="AK62" s="35"/>
      <c r="AL62" s="35"/>
      <c r="AM62" s="35"/>
      <c r="AN62" s="35"/>
      <c r="AO62" s="35"/>
      <c r="AP62" s="35"/>
    </row>
    <row r="63" spans="1:42">
      <c r="B63" s="25" t="s">
        <v>224</v>
      </c>
      <c r="C63" s="25" t="s">
        <v>225</v>
      </c>
      <c r="D63" s="30" t="s">
        <v>226</v>
      </c>
      <c r="E63" s="26">
        <f>365*24</f>
        <v>8760</v>
      </c>
      <c r="F63" s="26">
        <f>365.25*Unit.day</f>
        <v>31557600</v>
      </c>
      <c r="H63" s="35"/>
      <c r="I63" s="35"/>
      <c r="J63" s="35"/>
      <c r="K63" s="35"/>
      <c r="L63" s="530"/>
      <c r="M63" s="524"/>
      <c r="N63" s="524"/>
      <c r="O63" s="524"/>
      <c r="P63" s="524"/>
      <c r="Q63" s="524"/>
      <c r="R63" s="524"/>
      <c r="S63" s="524"/>
      <c r="T63" s="524"/>
      <c r="U63" s="524"/>
      <c r="V63" s="524"/>
      <c r="W63" s="524"/>
      <c r="X63" s="35"/>
      <c r="Y63" s="35"/>
      <c r="Z63" s="35"/>
      <c r="AA63" s="35"/>
      <c r="AB63" s="35"/>
      <c r="AC63" s="35"/>
      <c r="AD63" s="35"/>
      <c r="AE63" s="35"/>
      <c r="AF63" s="35"/>
      <c r="AG63" s="35"/>
      <c r="AH63" s="35"/>
      <c r="AI63" s="35"/>
      <c r="AJ63" s="35"/>
      <c r="AK63" s="35"/>
      <c r="AL63" s="35"/>
      <c r="AM63" s="35"/>
      <c r="AN63" s="35"/>
      <c r="AO63" s="35"/>
      <c r="AP63" s="35"/>
    </row>
    <row r="64" spans="1:42">
      <c r="B64" s="25" t="s">
        <v>466</v>
      </c>
      <c r="C64" s="25" t="s">
        <v>464</v>
      </c>
      <c r="D64" s="30" t="s">
        <v>465</v>
      </c>
      <c r="E64" s="34">
        <v>24</v>
      </c>
      <c r="F64" s="305">
        <f>Unit.hour*24</f>
        <v>86400</v>
      </c>
      <c r="H64" s="35"/>
      <c r="I64" s="35"/>
      <c r="J64" s="35"/>
      <c r="K64" s="35"/>
      <c r="L64" s="523"/>
      <c r="M64" s="524"/>
      <c r="N64" s="524"/>
      <c r="O64" s="524"/>
      <c r="P64" s="524"/>
      <c r="Q64" s="524"/>
      <c r="R64" s="524"/>
      <c r="S64" s="524"/>
      <c r="T64" s="524"/>
      <c r="U64" s="524"/>
      <c r="V64" s="524"/>
      <c r="W64" s="524"/>
      <c r="X64" s="35"/>
      <c r="Y64" s="35"/>
      <c r="Z64" s="35"/>
      <c r="AA64" s="35"/>
      <c r="AB64" s="35"/>
      <c r="AC64" s="35"/>
      <c r="AD64" s="35"/>
      <c r="AE64" s="35"/>
      <c r="AF64" s="35"/>
      <c r="AG64" s="35"/>
      <c r="AH64" s="35"/>
      <c r="AI64" s="35"/>
      <c r="AJ64" s="35"/>
      <c r="AK64" s="35"/>
      <c r="AL64" s="35"/>
      <c r="AM64" s="35"/>
      <c r="AN64" s="35"/>
      <c r="AO64" s="35"/>
      <c r="AP64" s="35"/>
    </row>
    <row r="65" spans="1:42">
      <c r="B65" t="s">
        <v>467</v>
      </c>
      <c r="C65" s="36" t="s">
        <v>468</v>
      </c>
      <c r="D65" s="300" t="s">
        <v>469</v>
      </c>
      <c r="E65">
        <f>1</f>
        <v>1</v>
      </c>
      <c r="F65" s="260">
        <f>Unit.minute*60</f>
        <v>3600</v>
      </c>
      <c r="H65" s="35"/>
      <c r="I65" s="35"/>
      <c r="J65" s="35"/>
      <c r="K65" s="35"/>
      <c r="L65" s="523"/>
      <c r="M65" s="524"/>
      <c r="N65" s="524"/>
      <c r="O65" s="524"/>
      <c r="P65" s="524"/>
      <c r="Q65" s="524"/>
      <c r="R65" s="524"/>
      <c r="S65" s="524"/>
      <c r="T65" s="524"/>
      <c r="U65" s="524"/>
      <c r="V65" s="524"/>
      <c r="W65" s="524"/>
      <c r="X65" s="35"/>
      <c r="Y65" s="35"/>
      <c r="Z65" s="35"/>
      <c r="AA65" s="35"/>
      <c r="AB65" s="35"/>
      <c r="AC65" s="35"/>
      <c r="AD65" s="35"/>
      <c r="AE65" s="35"/>
      <c r="AF65" s="35"/>
      <c r="AG65" s="35"/>
      <c r="AH65" s="35"/>
      <c r="AI65" s="35"/>
      <c r="AJ65" s="35"/>
      <c r="AK65" s="35"/>
      <c r="AL65" s="35"/>
      <c r="AM65" s="35"/>
      <c r="AN65" s="35"/>
      <c r="AO65" s="35"/>
      <c r="AP65" s="35"/>
    </row>
    <row r="66" spans="1:42" ht="15.75">
      <c r="A66" s="3"/>
      <c r="B66" s="241" t="s">
        <v>470</v>
      </c>
      <c r="C66" s="241" t="s">
        <v>471</v>
      </c>
      <c r="D66" s="306" t="s">
        <v>472</v>
      </c>
      <c r="E66" s="241">
        <f>1/60</f>
        <v>1.6666666666666666E-2</v>
      </c>
      <c r="F66" s="307">
        <v>60</v>
      </c>
      <c r="H66" s="35"/>
      <c r="I66" s="292"/>
      <c r="J66" s="35"/>
      <c r="K66" s="548"/>
      <c r="L66" s="548"/>
      <c r="M66" s="517"/>
      <c r="N66" s="517"/>
      <c r="O66" s="517"/>
      <c r="P66" s="440"/>
      <c r="Q66" s="524"/>
      <c r="R66" s="524"/>
      <c r="S66" s="524"/>
      <c r="T66" s="524"/>
      <c r="U66" s="524"/>
      <c r="V66" s="524"/>
      <c r="W66" s="524"/>
      <c r="X66" s="35"/>
      <c r="Y66" s="35"/>
      <c r="Z66" s="35"/>
      <c r="AA66" s="35"/>
      <c r="AB66" s="35"/>
      <c r="AC66" s="35"/>
      <c r="AD66" s="35"/>
      <c r="AE66" s="35"/>
      <c r="AF66" s="35"/>
      <c r="AG66" s="35"/>
      <c r="AH66" s="35"/>
      <c r="AI66" s="35"/>
      <c r="AJ66" s="35"/>
      <c r="AK66" s="35"/>
      <c r="AL66" s="35"/>
      <c r="AM66" s="35"/>
      <c r="AN66" s="35"/>
      <c r="AO66" s="35"/>
      <c r="AP66" s="35"/>
    </row>
    <row r="67" spans="1:42">
      <c r="H67" s="35"/>
      <c r="I67" s="35"/>
      <c r="J67" s="35"/>
      <c r="K67" s="35"/>
      <c r="L67" s="523"/>
      <c r="M67" s="524"/>
      <c r="N67" s="524"/>
      <c r="O67" s="524"/>
      <c r="P67" s="524"/>
      <c r="Q67" s="524"/>
      <c r="R67" s="524"/>
      <c r="S67" s="524"/>
      <c r="T67" s="524"/>
      <c r="U67" s="524"/>
      <c r="V67" s="524"/>
      <c r="W67" s="524"/>
      <c r="X67" s="35"/>
      <c r="Y67" s="35"/>
      <c r="Z67" s="35"/>
      <c r="AA67" s="35"/>
      <c r="AB67" s="35"/>
      <c r="AC67" s="35"/>
      <c r="AD67" s="35"/>
      <c r="AE67" s="35"/>
      <c r="AF67" s="35"/>
      <c r="AG67" s="35"/>
      <c r="AH67" s="35"/>
      <c r="AI67" s="35"/>
      <c r="AJ67" s="35"/>
      <c r="AK67" s="35"/>
      <c r="AL67" s="35"/>
      <c r="AM67" s="35"/>
      <c r="AN67" s="35"/>
      <c r="AO67" s="35"/>
      <c r="AP67" s="35"/>
    </row>
    <row r="68" spans="1:42" ht="18.75">
      <c r="B68" s="24" t="s">
        <v>443</v>
      </c>
      <c r="C68" s="24"/>
      <c r="D68" s="36"/>
      <c r="E68" s="36"/>
      <c r="F68" s="36"/>
      <c r="H68" s="35"/>
      <c r="I68" s="35"/>
      <c r="J68" s="35"/>
      <c r="K68" s="35"/>
      <c r="L68" s="523"/>
      <c r="M68" s="524"/>
      <c r="N68" s="524"/>
      <c r="O68" s="524"/>
      <c r="P68" s="524"/>
      <c r="Q68" s="524"/>
      <c r="R68" s="524"/>
      <c r="S68" s="524"/>
      <c r="T68" s="524"/>
      <c r="U68" s="524"/>
      <c r="V68" s="524"/>
      <c r="W68" s="524"/>
      <c r="X68" s="35"/>
      <c r="Y68" s="35"/>
      <c r="Z68" s="35"/>
      <c r="AA68" s="35"/>
      <c r="AB68" s="35"/>
      <c r="AC68" s="35"/>
      <c r="AD68" s="35"/>
      <c r="AE68" s="35"/>
      <c r="AF68" s="35"/>
      <c r="AG68" s="35"/>
      <c r="AH68" s="35"/>
      <c r="AI68" s="35"/>
      <c r="AJ68" s="35"/>
      <c r="AK68" s="35"/>
      <c r="AL68" s="35"/>
      <c r="AM68" s="35"/>
      <c r="AN68" s="35"/>
      <c r="AO68" s="35"/>
      <c r="AP68" s="35"/>
    </row>
    <row r="69" spans="1:42" ht="15.75">
      <c r="A69" s="3"/>
      <c r="B69" s="36"/>
      <c r="D69" s="36"/>
      <c r="E69" s="36"/>
      <c r="F69" s="36"/>
      <c r="H69" s="35"/>
      <c r="I69" s="35"/>
      <c r="J69" s="35"/>
      <c r="K69" s="35"/>
      <c r="L69" s="523"/>
      <c r="M69" s="524"/>
      <c r="N69" s="524"/>
      <c r="O69" s="524"/>
      <c r="P69" s="524"/>
      <c r="Q69" s="524"/>
      <c r="R69" s="524"/>
      <c r="S69" s="524"/>
      <c r="T69" s="524"/>
      <c r="U69" s="524"/>
      <c r="V69" s="524"/>
      <c r="W69" s="524"/>
      <c r="X69" s="35"/>
      <c r="Y69" s="35"/>
      <c r="Z69" s="35"/>
      <c r="AA69" s="35"/>
      <c r="AB69" s="35"/>
      <c r="AC69" s="35"/>
      <c r="AD69" s="35"/>
      <c r="AE69" s="35"/>
      <c r="AF69" s="35"/>
      <c r="AG69" s="35"/>
      <c r="AH69" s="35"/>
      <c r="AI69" s="35"/>
      <c r="AJ69" s="35"/>
      <c r="AK69" s="35"/>
      <c r="AL69" s="35"/>
      <c r="AM69" s="35"/>
      <c r="AN69" s="35"/>
      <c r="AO69" s="35"/>
      <c r="AP69" s="35"/>
    </row>
    <row r="70" spans="1:42" ht="15.75">
      <c r="A70" s="3"/>
      <c r="B70" s="28" t="s">
        <v>71</v>
      </c>
      <c r="C70" s="28" t="s">
        <v>137</v>
      </c>
      <c r="D70" s="28" t="s">
        <v>138</v>
      </c>
      <c r="E70" s="48" t="s">
        <v>451</v>
      </c>
      <c r="F70" s="48" t="str">
        <f>Preferences.AreaUnits</f>
        <v>ha</v>
      </c>
      <c r="H70" s="35"/>
      <c r="I70" s="35"/>
      <c r="J70" s="35"/>
      <c r="K70" s="35"/>
      <c r="L70" s="523"/>
      <c r="M70" s="524"/>
      <c r="N70" s="524"/>
      <c r="O70" s="524"/>
      <c r="P70" s="524"/>
      <c r="Q70" s="524"/>
      <c r="R70" s="524"/>
      <c r="S70" s="524"/>
      <c r="T70" s="524"/>
      <c r="U70" s="524"/>
      <c r="V70" s="524"/>
      <c r="W70" s="524"/>
      <c r="X70" s="35"/>
      <c r="Y70" s="35"/>
      <c r="Z70" s="35"/>
      <c r="AA70" s="35"/>
      <c r="AB70" s="35"/>
      <c r="AC70" s="35"/>
      <c r="AD70" s="35"/>
      <c r="AE70" s="35"/>
      <c r="AF70" s="35"/>
      <c r="AG70" s="35"/>
      <c r="AH70" s="35"/>
      <c r="AI70" s="35"/>
      <c r="AJ70" s="35"/>
      <c r="AK70" s="35"/>
      <c r="AL70" s="35"/>
      <c r="AM70" s="35"/>
      <c r="AN70" s="35"/>
      <c r="AO70" s="35"/>
      <c r="AP70" s="35"/>
    </row>
    <row r="71" spans="1:42" s="36" customFormat="1" ht="15.75">
      <c r="A71" s="3"/>
      <c r="B71" s="25" t="s">
        <v>444</v>
      </c>
      <c r="C71" s="25" t="s">
        <v>445</v>
      </c>
      <c r="D71" s="30" t="s">
        <v>446</v>
      </c>
      <c r="E71" s="26">
        <f>100^2</f>
        <v>10000</v>
      </c>
      <c r="F71" s="26">
        <f t="shared" ref="F71:F76" si="2">$E71/INDEX(Conversions.Area.m2, MATCH(F$70, Conversions.Area.Units, 0))</f>
        <v>1</v>
      </c>
      <c r="H71" s="35"/>
      <c r="I71" s="35"/>
      <c r="J71" s="35"/>
      <c r="K71" s="35"/>
      <c r="L71" s="523"/>
      <c r="M71" s="524"/>
      <c r="N71" s="524"/>
      <c r="O71" s="524"/>
      <c r="P71" s="524"/>
      <c r="Q71" s="524"/>
      <c r="R71" s="524"/>
      <c r="S71" s="524"/>
      <c r="T71" s="524"/>
      <c r="U71" s="524"/>
      <c r="V71" s="524"/>
      <c r="W71" s="524"/>
      <c r="X71" s="35"/>
      <c r="Y71" s="35"/>
      <c r="Z71" s="35"/>
      <c r="AA71" s="35"/>
      <c r="AB71" s="35"/>
      <c r="AC71" s="35"/>
      <c r="AD71" s="35"/>
      <c r="AE71" s="35"/>
      <c r="AF71" s="35"/>
      <c r="AG71" s="35"/>
      <c r="AH71" s="35"/>
      <c r="AI71" s="35"/>
      <c r="AJ71" s="35"/>
      <c r="AK71" s="35"/>
      <c r="AL71" s="35"/>
      <c r="AM71" s="35"/>
      <c r="AN71" s="35"/>
      <c r="AO71" s="35"/>
      <c r="AP71" s="35"/>
    </row>
    <row r="72" spans="1:42" ht="15.75">
      <c r="A72" s="3"/>
      <c r="B72" s="25" t="s">
        <v>483</v>
      </c>
      <c r="C72" s="25" t="s">
        <v>484</v>
      </c>
      <c r="D72" s="30" t="s">
        <v>485</v>
      </c>
      <c r="E72" s="26">
        <f>E71*1000000</f>
        <v>10000000000</v>
      </c>
      <c r="F72" s="26">
        <f t="shared" si="2"/>
        <v>1000000</v>
      </c>
      <c r="H72" s="549"/>
      <c r="I72" s="35"/>
      <c r="J72" s="35"/>
      <c r="K72" s="35"/>
      <c r="L72" s="523"/>
      <c r="M72" s="524"/>
      <c r="N72" s="524"/>
      <c r="O72" s="524"/>
      <c r="P72" s="524"/>
      <c r="Q72" s="524"/>
      <c r="R72" s="524"/>
      <c r="S72" s="524"/>
      <c r="T72" s="524"/>
      <c r="U72" s="524"/>
      <c r="V72" s="524"/>
      <c r="W72" s="524"/>
      <c r="X72" s="35"/>
      <c r="Y72" s="35"/>
      <c r="Z72" s="35"/>
      <c r="AA72" s="35"/>
      <c r="AB72" s="35"/>
      <c r="AC72" s="35"/>
      <c r="AD72" s="35"/>
      <c r="AE72" s="35"/>
      <c r="AF72" s="35"/>
      <c r="AG72" s="35"/>
      <c r="AH72" s="35"/>
      <c r="AI72" s="35"/>
      <c r="AJ72" s="35"/>
      <c r="AK72" s="35"/>
      <c r="AL72" s="35"/>
      <c r="AM72" s="35"/>
      <c r="AN72" s="35"/>
      <c r="AO72" s="35"/>
      <c r="AP72" s="35"/>
    </row>
    <row r="73" spans="1:42" ht="15.75">
      <c r="A73" s="3"/>
      <c r="B73" s="25" t="s">
        <v>448</v>
      </c>
      <c r="C73" s="25" t="s">
        <v>447</v>
      </c>
      <c r="D73" s="30" t="s">
        <v>449</v>
      </c>
      <c r="E73" s="26">
        <v>4046.8564224000002</v>
      </c>
      <c r="F73" s="26">
        <f t="shared" si="2"/>
        <v>0.40468564224000003</v>
      </c>
      <c r="H73" s="35"/>
      <c r="I73" s="35"/>
      <c r="J73" s="35"/>
      <c r="K73" s="35"/>
      <c r="L73" s="523"/>
      <c r="M73" s="524"/>
      <c r="N73" s="524"/>
      <c r="O73" s="524"/>
      <c r="P73" s="524"/>
      <c r="Q73" s="524"/>
      <c r="R73" s="524"/>
      <c r="S73" s="524"/>
      <c r="T73" s="524"/>
      <c r="U73" s="524"/>
      <c r="V73" s="524"/>
      <c r="W73" s="524"/>
      <c r="X73" s="35"/>
      <c r="Y73" s="35"/>
      <c r="Z73" s="35"/>
      <c r="AA73" s="35"/>
      <c r="AB73" s="35"/>
      <c r="AC73" s="35"/>
      <c r="AD73" s="35"/>
      <c r="AE73" s="35"/>
      <c r="AF73" s="35"/>
      <c r="AG73" s="35"/>
      <c r="AH73" s="35"/>
      <c r="AI73" s="35"/>
      <c r="AJ73" s="35"/>
      <c r="AK73" s="35"/>
      <c r="AL73" s="35"/>
      <c r="AM73" s="35"/>
      <c r="AN73" s="35"/>
      <c r="AO73" s="35"/>
      <c r="AP73" s="35"/>
    </row>
    <row r="74" spans="1:42" s="36" customFormat="1" ht="15.75">
      <c r="A74" s="3"/>
      <c r="B74" s="36" t="s">
        <v>450</v>
      </c>
      <c r="C74" s="36" t="s">
        <v>452</v>
      </c>
      <c r="D74" s="30" t="s">
        <v>454</v>
      </c>
      <c r="E74" s="26">
        <f>1000^2</f>
        <v>1000000</v>
      </c>
      <c r="F74" s="26">
        <f t="shared" si="2"/>
        <v>100</v>
      </c>
      <c r="H74" s="35"/>
      <c r="I74" s="35"/>
      <c r="J74" s="35"/>
      <c r="K74" s="35"/>
      <c r="L74" s="523"/>
      <c r="M74" s="524"/>
      <c r="N74" s="524"/>
      <c r="O74" s="524"/>
      <c r="P74" s="524"/>
      <c r="Q74" s="524"/>
      <c r="R74" s="524"/>
      <c r="S74" s="524"/>
      <c r="T74" s="524"/>
      <c r="U74" s="524"/>
      <c r="V74" s="524"/>
      <c r="W74" s="524"/>
      <c r="X74" s="35"/>
      <c r="Y74" s="35"/>
      <c r="Z74" s="35"/>
      <c r="AA74" s="35"/>
      <c r="AB74" s="35"/>
      <c r="AC74" s="35"/>
      <c r="AD74" s="35"/>
      <c r="AE74" s="35"/>
      <c r="AF74" s="35"/>
      <c r="AG74" s="35"/>
      <c r="AH74" s="35"/>
      <c r="AI74" s="35"/>
      <c r="AJ74" s="35"/>
      <c r="AK74" s="35"/>
      <c r="AL74" s="35"/>
      <c r="AM74" s="35"/>
      <c r="AN74" s="35"/>
      <c r="AO74" s="35"/>
      <c r="AP74" s="35"/>
    </row>
    <row r="75" spans="1:42" ht="15.75">
      <c r="A75" s="3"/>
      <c r="B75" s="36" t="s">
        <v>451</v>
      </c>
      <c r="C75" s="36" t="s">
        <v>453</v>
      </c>
      <c r="D75" s="30" t="s">
        <v>455</v>
      </c>
      <c r="E75" s="26">
        <v>1</v>
      </c>
      <c r="F75" s="26">
        <f t="shared" si="2"/>
        <v>1E-4</v>
      </c>
      <c r="H75" s="35"/>
      <c r="I75" s="35"/>
      <c r="J75" s="35"/>
      <c r="K75" s="35"/>
      <c r="L75" s="523"/>
      <c r="M75" s="524"/>
      <c r="N75" s="524"/>
      <c r="O75" s="524"/>
      <c r="P75" s="524"/>
      <c r="Q75" s="524"/>
      <c r="R75" s="524"/>
      <c r="S75" s="524"/>
      <c r="T75" s="524"/>
      <c r="U75" s="524"/>
      <c r="V75" s="524"/>
      <c r="W75" s="524"/>
      <c r="X75" s="35"/>
      <c r="Y75" s="35"/>
      <c r="Z75" s="35"/>
      <c r="AA75" s="35"/>
      <c r="AB75" s="35"/>
      <c r="AC75" s="35"/>
      <c r="AD75" s="35"/>
      <c r="AE75" s="35"/>
      <c r="AF75" s="35"/>
      <c r="AG75" s="35"/>
      <c r="AH75" s="35"/>
      <c r="AI75" s="35"/>
      <c r="AJ75" s="35"/>
      <c r="AK75" s="35"/>
      <c r="AL75" s="35"/>
      <c r="AM75" s="35"/>
      <c r="AN75" s="35"/>
      <c r="AO75" s="35"/>
      <c r="AP75" s="35"/>
    </row>
    <row r="76" spans="1:42" s="36" customFormat="1" ht="15.75">
      <c r="A76" s="3"/>
      <c r="B76" s="57" t="s">
        <v>456</v>
      </c>
      <c r="C76" s="57" t="s">
        <v>456</v>
      </c>
      <c r="D76" s="58" t="s">
        <v>457</v>
      </c>
      <c r="E76" s="59">
        <f>20700*E74</f>
        <v>20700000000</v>
      </c>
      <c r="F76" s="59">
        <f t="shared" si="2"/>
        <v>2070000</v>
      </c>
      <c r="H76" s="35"/>
      <c r="I76" s="35"/>
      <c r="J76" s="35"/>
      <c r="K76" s="35"/>
      <c r="L76" s="523"/>
      <c r="M76" s="524"/>
      <c r="N76" s="524"/>
      <c r="O76" s="524"/>
      <c r="P76" s="524"/>
      <c r="Q76" s="524"/>
      <c r="R76" s="524"/>
      <c r="S76" s="524"/>
      <c r="T76" s="524"/>
      <c r="U76" s="524"/>
      <c r="V76" s="524"/>
      <c r="W76" s="524"/>
      <c r="X76" s="35"/>
      <c r="Y76" s="35"/>
      <c r="Z76" s="35"/>
      <c r="AA76" s="35"/>
      <c r="AB76" s="35"/>
      <c r="AC76" s="35"/>
      <c r="AD76" s="35"/>
      <c r="AE76" s="35"/>
      <c r="AF76" s="35"/>
      <c r="AG76" s="35"/>
      <c r="AH76" s="35"/>
      <c r="AI76" s="35"/>
      <c r="AJ76" s="35"/>
      <c r="AK76" s="35"/>
      <c r="AL76" s="35"/>
      <c r="AM76" s="35"/>
      <c r="AN76" s="35"/>
      <c r="AO76" s="35"/>
      <c r="AP76" s="35"/>
    </row>
    <row r="77" spans="1:42">
      <c r="B77" s="34"/>
      <c r="C77" s="34"/>
      <c r="D77" s="300"/>
      <c r="E77" s="301"/>
      <c r="F77" s="301"/>
      <c r="H77" s="35"/>
      <c r="I77" s="35"/>
      <c r="J77" s="35"/>
      <c r="K77" s="35"/>
      <c r="L77" s="523"/>
      <c r="M77" s="524"/>
      <c r="N77" s="524"/>
      <c r="O77" s="524"/>
      <c r="P77" s="524"/>
      <c r="Q77" s="524"/>
      <c r="R77" s="524"/>
      <c r="S77" s="524"/>
      <c r="T77" s="524"/>
      <c r="U77" s="524"/>
      <c r="V77" s="524"/>
      <c r="W77" s="524"/>
      <c r="X77" s="35"/>
      <c r="Y77" s="35"/>
      <c r="Z77" s="35"/>
      <c r="AA77" s="35"/>
      <c r="AB77" s="35"/>
      <c r="AC77" s="35"/>
      <c r="AD77" s="35"/>
      <c r="AE77" s="35"/>
      <c r="AF77" s="35"/>
      <c r="AG77" s="35"/>
      <c r="AH77" s="35"/>
      <c r="AI77" s="35"/>
      <c r="AJ77" s="35"/>
      <c r="AK77" s="35"/>
      <c r="AL77" s="35"/>
      <c r="AM77" s="35"/>
      <c r="AN77" s="35"/>
      <c r="AO77" s="35"/>
      <c r="AP77" s="35"/>
    </row>
    <row r="78" spans="1:42" s="36" customFormat="1" ht="18.75">
      <c r="B78" s="24" t="s">
        <v>473</v>
      </c>
      <c r="F78"/>
      <c r="H78" s="35"/>
      <c r="I78" s="35"/>
      <c r="J78" s="35"/>
      <c r="K78" s="35"/>
      <c r="L78" s="523"/>
      <c r="M78" s="524"/>
      <c r="N78" s="524"/>
      <c r="O78" s="524"/>
      <c r="P78" s="524"/>
      <c r="Q78" s="524"/>
      <c r="R78" s="524"/>
      <c r="S78" s="524"/>
      <c r="T78" s="524"/>
      <c r="U78" s="524"/>
      <c r="V78" s="524"/>
      <c r="W78" s="524"/>
      <c r="X78" s="35"/>
      <c r="Y78" s="35"/>
      <c r="Z78" s="35"/>
      <c r="AA78" s="35"/>
      <c r="AB78" s="35"/>
      <c r="AC78" s="35"/>
      <c r="AD78" s="35"/>
      <c r="AE78" s="35"/>
      <c r="AF78" s="35"/>
      <c r="AG78" s="35"/>
      <c r="AH78" s="35"/>
      <c r="AI78" s="35"/>
      <c r="AJ78" s="35"/>
      <c r="AK78" s="35"/>
      <c r="AL78" s="35"/>
      <c r="AM78" s="35"/>
      <c r="AN78" s="35"/>
      <c r="AO78" s="35"/>
      <c r="AP78" s="35"/>
    </row>
    <row r="79" spans="1:42" ht="4.5" customHeight="1">
      <c r="A79" s="3"/>
      <c r="B79" s="24"/>
      <c r="D79" s="36"/>
      <c r="E79" s="36"/>
      <c r="F79" s="36"/>
      <c r="H79" s="35"/>
      <c r="I79" s="35"/>
      <c r="J79" s="35"/>
      <c r="K79" s="35"/>
      <c r="L79" s="523"/>
      <c r="M79" s="524"/>
      <c r="N79" s="524"/>
      <c r="O79" s="524"/>
      <c r="P79" s="524"/>
      <c r="Q79" s="524"/>
      <c r="R79" s="524"/>
      <c r="S79" s="524"/>
      <c r="T79" s="524"/>
      <c r="U79" s="524"/>
      <c r="V79" s="524"/>
      <c r="W79" s="524"/>
      <c r="X79" s="35"/>
      <c r="Y79" s="35"/>
      <c r="Z79" s="35"/>
      <c r="AA79" s="35"/>
      <c r="AB79" s="35"/>
      <c r="AC79" s="35"/>
      <c r="AD79" s="35"/>
      <c r="AE79" s="35"/>
      <c r="AF79" s="35"/>
      <c r="AG79" s="35"/>
      <c r="AH79" s="35"/>
      <c r="AI79" s="35"/>
      <c r="AJ79" s="35"/>
      <c r="AK79" s="35"/>
      <c r="AL79" s="35"/>
      <c r="AM79" s="35"/>
      <c r="AN79" s="35"/>
      <c r="AO79" s="35"/>
      <c r="AP79" s="35"/>
    </row>
    <row r="80" spans="1:42" ht="15.75">
      <c r="A80" s="3"/>
      <c r="B80" s="28" t="s">
        <v>476</v>
      </c>
      <c r="C80" s="28" t="s">
        <v>137</v>
      </c>
      <c r="D80" s="28" t="s">
        <v>138</v>
      </c>
      <c r="E80" s="48" t="s">
        <v>478</v>
      </c>
      <c r="F80" s="28" t="s">
        <v>477</v>
      </c>
      <c r="H80" s="35"/>
      <c r="I80" s="35"/>
      <c r="J80" s="35"/>
      <c r="K80" s="35"/>
      <c r="L80" s="523"/>
      <c r="M80" s="524"/>
      <c r="N80" s="524"/>
      <c r="O80" s="524"/>
      <c r="P80" s="524"/>
      <c r="Q80" s="524"/>
      <c r="R80" s="524"/>
      <c r="S80" s="524"/>
      <c r="T80" s="524"/>
      <c r="U80" s="524"/>
      <c r="V80" s="524"/>
      <c r="W80" s="524"/>
      <c r="X80" s="35"/>
      <c r="Y80" s="35"/>
      <c r="Z80" s="35"/>
      <c r="AA80" s="35"/>
      <c r="AB80" s="35"/>
      <c r="AC80" s="35"/>
      <c r="AD80" s="35"/>
      <c r="AE80" s="35"/>
      <c r="AF80" s="35"/>
      <c r="AG80" s="35"/>
      <c r="AH80" s="35"/>
      <c r="AI80" s="35"/>
      <c r="AJ80" s="35"/>
      <c r="AK80" s="35"/>
      <c r="AL80" s="35"/>
      <c r="AM80" s="35"/>
      <c r="AN80" s="35"/>
      <c r="AO80" s="35"/>
      <c r="AP80" s="35"/>
    </row>
    <row r="81" spans="1:42" ht="15.75">
      <c r="A81" s="3"/>
      <c r="B81" s="25" t="str">
        <f>preferences.energyunits</f>
        <v>TWh</v>
      </c>
      <c r="C81" s="25" t="s">
        <v>474</v>
      </c>
      <c r="D81" s="30" t="s">
        <v>475</v>
      </c>
      <c r="E81" s="308">
        <f>(1/Unit.J)*(1/Unit.year)*Unit.W</f>
        <v>0.1140771161305042</v>
      </c>
      <c r="F81" s="309" t="str">
        <f>Preferences.PowerUnits</f>
        <v>GW</v>
      </c>
      <c r="H81" s="35"/>
      <c r="I81" s="35"/>
      <c r="J81" s="35"/>
      <c r="K81" s="35"/>
      <c r="L81" s="523"/>
      <c r="M81" s="524"/>
      <c r="N81" s="524"/>
      <c r="O81" s="524"/>
      <c r="P81" s="524"/>
      <c r="Q81" s="524"/>
      <c r="R81" s="524"/>
      <c r="S81" s="524"/>
      <c r="T81" s="524"/>
      <c r="U81" s="524"/>
      <c r="V81" s="524"/>
      <c r="W81" s="524"/>
      <c r="X81" s="35"/>
      <c r="Y81" s="35"/>
      <c r="Z81" s="35"/>
      <c r="AA81" s="35"/>
      <c r="AB81" s="35"/>
      <c r="AC81" s="35"/>
      <c r="AD81" s="35"/>
      <c r="AE81" s="35"/>
      <c r="AF81" s="35"/>
      <c r="AG81" s="35"/>
      <c r="AH81" s="35"/>
      <c r="AI81" s="35"/>
      <c r="AJ81" s="35"/>
      <c r="AK81" s="35"/>
      <c r="AL81" s="35"/>
      <c r="AM81" s="35"/>
      <c r="AN81" s="35"/>
      <c r="AO81" s="35"/>
      <c r="AP81" s="35"/>
    </row>
    <row r="82" spans="1:42" ht="15.75">
      <c r="A82" s="3"/>
      <c r="B82" s="309" t="str">
        <f>Preferences.PowerUnits</f>
        <v>GW</v>
      </c>
      <c r="C82" s="25" t="s">
        <v>479</v>
      </c>
      <c r="D82" s="30" t="s">
        <v>480</v>
      </c>
      <c r="E82">
        <f>(1/Unit.W)*Unit.year*Unit.J</f>
        <v>8.766</v>
      </c>
      <c r="F82" s="75" t="str">
        <f>preferences.energyunits</f>
        <v>TWh</v>
      </c>
      <c r="H82" s="35"/>
      <c r="I82" s="35"/>
      <c r="J82" s="35"/>
      <c r="K82" s="35"/>
      <c r="L82" s="523"/>
      <c r="M82" s="524"/>
      <c r="N82" s="524"/>
      <c r="O82" s="524"/>
      <c r="P82" s="524"/>
      <c r="Q82" s="524"/>
      <c r="R82" s="524"/>
      <c r="S82" s="524"/>
      <c r="T82" s="524"/>
      <c r="U82" s="524"/>
      <c r="V82" s="524"/>
      <c r="W82" s="524"/>
      <c r="X82" s="35"/>
      <c r="Y82" s="35"/>
      <c r="Z82" s="35"/>
      <c r="AA82" s="35"/>
      <c r="AB82" s="35"/>
      <c r="AC82" s="35"/>
      <c r="AD82" s="35"/>
      <c r="AE82" s="35"/>
      <c r="AF82" s="35"/>
      <c r="AG82" s="35"/>
      <c r="AH82" s="35"/>
      <c r="AI82" s="35"/>
      <c r="AJ82" s="35"/>
      <c r="AK82" s="35"/>
      <c r="AL82" s="35"/>
      <c r="AM82" s="35"/>
      <c r="AN82" s="35"/>
      <c r="AO82" s="35"/>
      <c r="AP82" s="35"/>
    </row>
    <row r="83" spans="1:42">
      <c r="B83" s="312" t="str">
        <f>Preferences.PowerUnits</f>
        <v>GW</v>
      </c>
      <c r="C83" s="241" t="s">
        <v>481</v>
      </c>
      <c r="D83" s="31" t="s">
        <v>482</v>
      </c>
      <c r="E83" s="241">
        <f>Unit.J/Unit.W</f>
        <v>2.7777777777777776E-7</v>
      </c>
      <c r="F83" s="313" t="str">
        <f>preferences.energyunits&amp;"/s"</f>
        <v>TWh/s</v>
      </c>
      <c r="L83" s="523"/>
      <c r="M83" s="524"/>
      <c r="N83" s="524"/>
      <c r="O83" s="524"/>
      <c r="P83" s="524"/>
      <c r="Q83" s="524"/>
      <c r="R83" s="524"/>
      <c r="S83" s="524"/>
      <c r="T83" s="524"/>
      <c r="U83" s="524"/>
      <c r="V83" s="524"/>
      <c r="W83" s="524"/>
      <c r="X83" s="35"/>
    </row>
    <row r="84" spans="1:42" s="439" customFormat="1">
      <c r="L84" s="523"/>
      <c r="M84" s="524"/>
      <c r="N84" s="524"/>
      <c r="O84" s="524"/>
      <c r="P84" s="524"/>
      <c r="Q84" s="524"/>
      <c r="R84" s="524"/>
      <c r="S84" s="524"/>
      <c r="T84" s="524"/>
      <c r="U84" s="524"/>
      <c r="V84" s="524"/>
      <c r="W84" s="524"/>
      <c r="X84" s="35"/>
    </row>
    <row r="85" spans="1:42" s="439" customFormat="1" ht="18.75">
      <c r="B85" s="24" t="s">
        <v>598</v>
      </c>
      <c r="C85" s="24"/>
      <c r="L85" s="523"/>
      <c r="M85" s="524"/>
      <c r="N85" s="524"/>
      <c r="O85" s="524"/>
      <c r="P85" s="524"/>
      <c r="Q85" s="524"/>
      <c r="R85" s="524"/>
      <c r="S85" s="524"/>
      <c r="T85" s="524"/>
      <c r="U85" s="524"/>
      <c r="V85" s="524"/>
      <c r="W85" s="524"/>
      <c r="X85" s="35"/>
    </row>
    <row r="86" spans="1:42" s="439" customFormat="1" ht="4.5" customHeight="1">
      <c r="L86" s="523"/>
      <c r="M86" s="524"/>
      <c r="N86" s="524"/>
      <c r="O86" s="524"/>
      <c r="P86" s="524"/>
      <c r="Q86" s="524"/>
      <c r="R86" s="524"/>
      <c r="S86" s="524"/>
      <c r="T86" s="524"/>
      <c r="U86" s="524"/>
      <c r="V86" s="524"/>
      <c r="W86" s="524"/>
      <c r="X86" s="35"/>
    </row>
    <row r="87" spans="1:42" s="439" customFormat="1">
      <c r="B87" s="28" t="s">
        <v>476</v>
      </c>
      <c r="C87" s="28" t="s">
        <v>137</v>
      </c>
      <c r="D87" s="28" t="s">
        <v>138</v>
      </c>
      <c r="E87" s="48" t="s">
        <v>478</v>
      </c>
      <c r="F87" s="28" t="s">
        <v>477</v>
      </c>
      <c r="L87" s="523"/>
      <c r="M87" s="524"/>
      <c r="N87" s="524"/>
      <c r="O87" s="524"/>
      <c r="P87" s="524"/>
      <c r="Q87" s="524"/>
      <c r="R87" s="524"/>
      <c r="S87" s="524"/>
      <c r="T87" s="524"/>
      <c r="U87" s="524"/>
      <c r="V87" s="524"/>
      <c r="W87" s="524"/>
      <c r="X87" s="35"/>
    </row>
    <row r="88" spans="1:42" s="439" customFormat="1">
      <c r="B88" s="439" t="s">
        <v>599</v>
      </c>
      <c r="C88" s="439" t="s">
        <v>600</v>
      </c>
      <c r="D88" s="439" t="s">
        <v>601</v>
      </c>
      <c r="E88" s="439">
        <v>4.5460900000000004</v>
      </c>
      <c r="F88" s="439" t="s">
        <v>602</v>
      </c>
      <c r="L88" s="523"/>
      <c r="M88" s="524"/>
      <c r="N88" s="524"/>
      <c r="O88" s="524"/>
      <c r="P88" s="524"/>
      <c r="Q88" s="524"/>
      <c r="R88" s="524"/>
      <c r="S88" s="524"/>
      <c r="T88" s="524"/>
      <c r="U88" s="524"/>
      <c r="V88" s="524"/>
      <c r="W88" s="524"/>
      <c r="X88" s="35"/>
    </row>
    <row r="89" spans="1:42" s="439" customFormat="1">
      <c r="B89" s="241" t="s">
        <v>603</v>
      </c>
      <c r="C89" s="241" t="s">
        <v>604</v>
      </c>
      <c r="D89" s="241" t="s">
        <v>605</v>
      </c>
      <c r="E89" s="241">
        <v>3.7854109999999999</v>
      </c>
      <c r="F89" s="241" t="s">
        <v>602</v>
      </c>
      <c r="L89" s="523"/>
      <c r="M89" s="524"/>
      <c r="N89" s="524"/>
      <c r="O89" s="524"/>
      <c r="P89" s="524"/>
      <c r="Q89" s="524"/>
      <c r="R89" s="524"/>
      <c r="S89" s="524"/>
      <c r="T89" s="524"/>
      <c r="U89" s="524"/>
      <c r="V89" s="524"/>
      <c r="W89" s="524"/>
      <c r="X89" s="35"/>
    </row>
    <row r="90" spans="1:42" s="439" customFormat="1">
      <c r="L90" s="523"/>
      <c r="M90" s="524"/>
      <c r="N90" s="524"/>
      <c r="O90" s="524"/>
      <c r="P90" s="524"/>
      <c r="Q90" s="524"/>
      <c r="R90" s="524"/>
      <c r="S90" s="524"/>
      <c r="T90" s="524"/>
      <c r="U90" s="524"/>
      <c r="V90" s="524"/>
      <c r="W90" s="524"/>
      <c r="X90" s="35"/>
    </row>
    <row r="91" spans="1:42" ht="18.75">
      <c r="B91" s="24" t="s">
        <v>564</v>
      </c>
      <c r="C91" s="24"/>
      <c r="D91" s="388"/>
      <c r="E91" s="388"/>
      <c r="F91" s="388"/>
      <c r="L91" s="523"/>
      <c r="M91" s="524"/>
      <c r="N91" s="524"/>
      <c r="O91" s="524"/>
      <c r="P91" s="524"/>
      <c r="Q91" s="524"/>
      <c r="R91" s="524"/>
      <c r="S91" s="524"/>
      <c r="T91" s="524"/>
      <c r="U91" s="524"/>
      <c r="V91" s="524"/>
      <c r="W91" s="524"/>
      <c r="X91" s="35"/>
    </row>
    <row r="92" spans="1:42">
      <c r="B92" s="388"/>
      <c r="C92" s="388"/>
      <c r="D92" s="388"/>
      <c r="E92" s="388"/>
      <c r="F92" s="388"/>
      <c r="L92" s="523"/>
      <c r="M92" s="524"/>
      <c r="N92" s="524"/>
      <c r="O92" s="524"/>
      <c r="P92" s="524"/>
      <c r="Q92" s="524"/>
      <c r="R92" s="524"/>
      <c r="S92" s="524"/>
      <c r="T92" s="524"/>
      <c r="U92" s="524"/>
      <c r="V92" s="524"/>
      <c r="W92" s="524"/>
      <c r="X92" s="35"/>
    </row>
    <row r="93" spans="1:42">
      <c r="B93" s="394" t="s">
        <v>71</v>
      </c>
      <c r="C93" s="395" t="s">
        <v>137</v>
      </c>
      <c r="D93" s="395" t="s">
        <v>138</v>
      </c>
      <c r="E93" s="396" t="str">
        <f>Preferences.moneyunits</f>
        <v>INR Cr</v>
      </c>
      <c r="F93" s="398" t="s">
        <v>565</v>
      </c>
      <c r="L93" s="523"/>
      <c r="M93" s="524"/>
      <c r="N93" s="524"/>
      <c r="O93" s="524"/>
      <c r="P93" s="524"/>
      <c r="Q93" s="524"/>
      <c r="R93" s="524"/>
      <c r="S93" s="524"/>
      <c r="T93" s="524"/>
      <c r="U93" s="524"/>
      <c r="V93" s="524"/>
      <c r="W93" s="524"/>
      <c r="X93" s="35"/>
    </row>
    <row r="94" spans="1:42">
      <c r="B94" s="373" t="s">
        <v>566</v>
      </c>
      <c r="C94" s="25" t="s">
        <v>567</v>
      </c>
      <c r="D94" s="30" t="s">
        <v>568</v>
      </c>
      <c r="E94" s="565">
        <f>$F94/INDEX(Conversions.Money.GBP, MATCH(E$93, Conversions.Money.Units, 0))</f>
        <v>8300000</v>
      </c>
      <c r="F94" s="397">
        <v>1000000000000</v>
      </c>
      <c r="L94" s="523"/>
      <c r="M94" s="524"/>
      <c r="N94" s="524"/>
      <c r="O94" s="524"/>
      <c r="P94" s="524"/>
      <c r="Q94" s="524"/>
      <c r="R94" s="524"/>
      <c r="S94" s="524"/>
      <c r="T94" s="524"/>
      <c r="U94" s="524"/>
      <c r="V94" s="524"/>
      <c r="W94" s="524"/>
      <c r="X94" s="35"/>
    </row>
    <row r="95" spans="1:42">
      <c r="B95" s="373" t="s">
        <v>569</v>
      </c>
      <c r="C95" s="25" t="s">
        <v>570</v>
      </c>
      <c r="D95" s="30" t="s">
        <v>571</v>
      </c>
      <c r="E95" s="305">
        <f t="shared" ref="E95:E107" si="3">$F95/INDEX(Conversions.Money.GBP, MATCH(E$93, Conversions.Money.Units, 0))</f>
        <v>8300</v>
      </c>
      <c r="F95" s="397">
        <v>1000000000</v>
      </c>
      <c r="L95" s="523"/>
      <c r="M95" s="524"/>
      <c r="N95" s="524"/>
      <c r="O95" s="524"/>
      <c r="P95" s="524"/>
      <c r="Q95" s="524"/>
      <c r="R95" s="524"/>
      <c r="S95" s="524"/>
      <c r="T95" s="524"/>
      <c r="U95" s="524"/>
      <c r="V95" s="524"/>
      <c r="W95" s="524"/>
      <c r="X95" s="35"/>
    </row>
    <row r="96" spans="1:42">
      <c r="B96" s="373" t="s">
        <v>572</v>
      </c>
      <c r="C96" s="25" t="s">
        <v>573</v>
      </c>
      <c r="D96" s="30" t="s">
        <v>574</v>
      </c>
      <c r="E96" s="305">
        <f t="shared" si="3"/>
        <v>8.3000000000000007</v>
      </c>
      <c r="F96" s="397">
        <v>1000000</v>
      </c>
      <c r="L96" s="523"/>
      <c r="M96" s="524"/>
      <c r="N96" s="524"/>
      <c r="O96" s="524"/>
      <c r="P96" s="524"/>
      <c r="Q96" s="524"/>
      <c r="R96" s="524"/>
      <c r="S96" s="524"/>
      <c r="T96" s="524"/>
      <c r="U96" s="524"/>
      <c r="V96" s="524"/>
      <c r="W96" s="524"/>
      <c r="X96" s="35"/>
    </row>
    <row r="97" spans="2:24">
      <c r="B97" s="373" t="s">
        <v>575</v>
      </c>
      <c r="C97" s="25" t="s">
        <v>576</v>
      </c>
      <c r="D97" s="30" t="s">
        <v>577</v>
      </c>
      <c r="E97" s="305">
        <f t="shared" si="3"/>
        <v>8.3000000000000001E-3</v>
      </c>
      <c r="F97" s="397">
        <v>1000</v>
      </c>
      <c r="L97" s="523"/>
      <c r="M97" s="524"/>
      <c r="N97" s="524"/>
      <c r="O97" s="524"/>
      <c r="P97" s="524"/>
      <c r="Q97" s="524"/>
      <c r="R97" s="524"/>
      <c r="S97" s="524"/>
      <c r="T97" s="524"/>
      <c r="U97" s="524"/>
      <c r="V97" s="524"/>
      <c r="W97" s="524"/>
      <c r="X97" s="35"/>
    </row>
    <row r="98" spans="2:24">
      <c r="B98" s="373" t="s">
        <v>595</v>
      </c>
      <c r="C98" s="25" t="s">
        <v>596</v>
      </c>
      <c r="D98" s="30" t="s">
        <v>597</v>
      </c>
      <c r="E98" s="305">
        <f t="shared" si="3"/>
        <v>5.2201257861635218E-6</v>
      </c>
      <c r="F98" s="397">
        <f>1/1.59</f>
        <v>0.62893081761006286</v>
      </c>
      <c r="L98" s="523"/>
      <c r="M98" s="524"/>
      <c r="N98" s="524"/>
      <c r="O98" s="524"/>
      <c r="P98" s="524"/>
      <c r="Q98" s="524"/>
      <c r="R98" s="524"/>
      <c r="S98" s="524"/>
      <c r="T98" s="524"/>
      <c r="U98" s="524"/>
      <c r="V98" s="524"/>
      <c r="W98" s="524"/>
      <c r="X98" s="35"/>
    </row>
    <row r="99" spans="2:24">
      <c r="B99" s="373" t="s">
        <v>670</v>
      </c>
      <c r="C99" s="25" t="s">
        <v>587</v>
      </c>
      <c r="D99" s="30" t="s">
        <v>588</v>
      </c>
      <c r="E99" s="305">
        <f>$F99/INDEX(Conversions.Money.GBP, MATCH(E$93, Conversions.Money.Units, 0))</f>
        <v>5.1874999999999999E-6</v>
      </c>
      <c r="F99" s="397">
        <f>1/1.6</f>
        <v>0.625</v>
      </c>
      <c r="L99" s="523"/>
      <c r="M99" s="524"/>
      <c r="N99" s="524"/>
      <c r="O99" s="524"/>
      <c r="P99" s="524"/>
      <c r="Q99" s="524"/>
      <c r="R99" s="524"/>
      <c r="S99" s="524"/>
      <c r="T99" s="524"/>
      <c r="U99" s="524"/>
      <c r="V99" s="524"/>
      <c r="W99" s="524"/>
      <c r="X99" s="35"/>
    </row>
    <row r="100" spans="2:24" s="499" customFormat="1">
      <c r="B100" s="373" t="s">
        <v>671</v>
      </c>
      <c r="C100" s="25" t="s">
        <v>672</v>
      </c>
      <c r="D100" s="30" t="s">
        <v>673</v>
      </c>
      <c r="E100" s="305">
        <f t="shared" si="3"/>
        <v>5.3686934023285899E-6</v>
      </c>
      <c r="F100" s="397">
        <f>1/1.546</f>
        <v>0.64683053040103489</v>
      </c>
      <c r="L100" s="523"/>
      <c r="M100" s="524"/>
      <c r="N100" s="524"/>
      <c r="O100" s="524"/>
      <c r="P100" s="524"/>
      <c r="Q100" s="524"/>
      <c r="R100" s="524"/>
      <c r="S100" s="524"/>
      <c r="T100" s="524"/>
      <c r="U100" s="524"/>
      <c r="V100" s="524"/>
      <c r="W100" s="524"/>
      <c r="X100" s="35"/>
    </row>
    <row r="101" spans="2:24" s="3144" customFormat="1">
      <c r="B101" s="3145">
        <v>2012</v>
      </c>
      <c r="C101" s="25" t="s">
        <v>2421</v>
      </c>
      <c r="D101" s="30" t="s">
        <v>2420</v>
      </c>
      <c r="E101" s="305">
        <f t="shared" si="3"/>
        <v>6.0000000000000002E-6</v>
      </c>
      <c r="F101" s="397">
        <f>F102*60</f>
        <v>0.72289156626506024</v>
      </c>
      <c r="L101" s="523"/>
      <c r="M101" s="524"/>
      <c r="N101" s="524"/>
      <c r="O101" s="524"/>
      <c r="P101" s="524"/>
      <c r="Q101" s="524"/>
      <c r="R101" s="524"/>
      <c r="S101" s="524"/>
      <c r="T101" s="524"/>
      <c r="U101" s="524"/>
      <c r="V101" s="524"/>
      <c r="W101" s="524"/>
      <c r="X101" s="35"/>
    </row>
    <row r="102" spans="2:24" s="564" customFormat="1">
      <c r="B102" s="374" t="s">
        <v>702</v>
      </c>
      <c r="C102" s="25" t="s">
        <v>703</v>
      </c>
      <c r="D102" s="30" t="s">
        <v>704</v>
      </c>
      <c r="E102" s="305">
        <f t="shared" si="3"/>
        <v>1.0000000000000001E-7</v>
      </c>
      <c r="F102" s="397">
        <f>1/83</f>
        <v>1.2048192771084338E-2</v>
      </c>
      <c r="L102" s="523"/>
      <c r="M102" s="524"/>
      <c r="N102" s="524"/>
      <c r="O102" s="524"/>
      <c r="P102" s="524"/>
      <c r="Q102" s="524"/>
      <c r="R102" s="524"/>
      <c r="S102" s="524"/>
      <c r="T102" s="524"/>
      <c r="U102" s="524"/>
      <c r="V102" s="524"/>
      <c r="W102" s="524"/>
      <c r="X102" s="35"/>
    </row>
    <row r="103" spans="2:24" s="564" customFormat="1">
      <c r="B103" s="373" t="s">
        <v>705</v>
      </c>
      <c r="C103" s="25" t="s">
        <v>706</v>
      </c>
      <c r="D103" s="30" t="s">
        <v>707</v>
      </c>
      <c r="E103" s="305">
        <f t="shared" si="3"/>
        <v>1</v>
      </c>
      <c r="F103" s="397">
        <f>10000000/83</f>
        <v>120481.92771084337</v>
      </c>
      <c r="G103" s="22"/>
      <c r="L103" s="523"/>
      <c r="M103" s="524"/>
      <c r="N103" s="524"/>
      <c r="O103" s="524"/>
      <c r="P103" s="524"/>
      <c r="Q103" s="524"/>
      <c r="R103" s="524"/>
      <c r="S103" s="524"/>
      <c r="T103" s="524"/>
      <c r="U103" s="524"/>
      <c r="V103" s="524"/>
      <c r="W103" s="524"/>
      <c r="X103" s="35"/>
    </row>
    <row r="104" spans="2:24" s="2533" customFormat="1">
      <c r="B104" s="373" t="s">
        <v>2049</v>
      </c>
      <c r="C104" s="25" t="s">
        <v>2050</v>
      </c>
      <c r="D104" s="30" t="s">
        <v>2051</v>
      </c>
      <c r="E104" s="305">
        <f t="shared" si="3"/>
        <v>6000.0000000000009</v>
      </c>
      <c r="F104" s="397">
        <f>6000*F103</f>
        <v>722891566.26506031</v>
      </c>
      <c r="G104" s="22"/>
      <c r="L104" s="523"/>
      <c r="M104" s="524"/>
      <c r="N104" s="524"/>
      <c r="O104" s="524"/>
      <c r="P104" s="524"/>
      <c r="Q104" s="524"/>
      <c r="R104" s="524"/>
      <c r="S104" s="524"/>
      <c r="T104" s="524"/>
      <c r="U104" s="524"/>
      <c r="V104" s="524"/>
      <c r="W104" s="524"/>
      <c r="X104" s="35"/>
    </row>
    <row r="105" spans="2:24" s="2533" customFormat="1">
      <c r="B105" s="373" t="s">
        <v>2052</v>
      </c>
      <c r="C105" s="25" t="s">
        <v>2053</v>
      </c>
      <c r="D105" s="30" t="s">
        <v>2054</v>
      </c>
      <c r="E105" s="2552">
        <f t="shared" si="3"/>
        <v>6000000.0000000009</v>
      </c>
      <c r="F105" s="397">
        <f>F104*1000</f>
        <v>722891566265.0603</v>
      </c>
      <c r="G105" s="22"/>
      <c r="L105" s="523"/>
      <c r="M105" s="524"/>
      <c r="N105" s="524"/>
      <c r="O105" s="524"/>
      <c r="P105" s="524"/>
      <c r="Q105" s="524"/>
      <c r="R105" s="524"/>
      <c r="S105" s="524"/>
      <c r="T105" s="524"/>
      <c r="U105" s="524"/>
      <c r="V105" s="524"/>
      <c r="W105" s="524"/>
      <c r="X105" s="35"/>
    </row>
    <row r="106" spans="2:24" s="3147" customFormat="1">
      <c r="B106" s="373" t="s">
        <v>2424</v>
      </c>
      <c r="C106" s="25" t="s">
        <v>2425</v>
      </c>
      <c r="D106" s="30" t="s">
        <v>2426</v>
      </c>
      <c r="E106" s="2552">
        <f t="shared" si="3"/>
        <v>9.9599999999999994E-2</v>
      </c>
      <c r="F106" s="397">
        <f>12000</f>
        <v>12000</v>
      </c>
      <c r="G106" s="22"/>
      <c r="L106" s="523"/>
      <c r="M106" s="524"/>
      <c r="N106" s="524"/>
      <c r="O106" s="524"/>
      <c r="P106" s="524"/>
      <c r="Q106" s="524"/>
      <c r="R106" s="524"/>
      <c r="S106" s="524"/>
      <c r="T106" s="524"/>
      <c r="U106" s="524"/>
      <c r="V106" s="524"/>
      <c r="W106" s="524"/>
      <c r="X106" s="35"/>
    </row>
    <row r="107" spans="2:24" s="564" customFormat="1">
      <c r="B107" s="373" t="s">
        <v>708</v>
      </c>
      <c r="C107" s="25" t="s">
        <v>709</v>
      </c>
      <c r="D107" s="30" t="s">
        <v>710</v>
      </c>
      <c r="E107" s="305">
        <f t="shared" si="3"/>
        <v>9.9999999999999985E-3</v>
      </c>
      <c r="F107" s="397">
        <f>100000/83</f>
        <v>1204.8192771084337</v>
      </c>
      <c r="G107" s="22"/>
      <c r="L107" s="523"/>
      <c r="M107" s="524"/>
      <c r="N107" s="524"/>
      <c r="O107" s="524"/>
      <c r="P107" s="524"/>
      <c r="Q107" s="524"/>
      <c r="R107" s="524"/>
      <c r="S107" s="524"/>
      <c r="T107" s="524"/>
      <c r="U107" s="524"/>
      <c r="V107" s="524"/>
      <c r="W107" s="524"/>
      <c r="X107" s="35"/>
    </row>
    <row r="108" spans="2:24">
      <c r="B108" s="398" t="s">
        <v>565</v>
      </c>
      <c r="C108" s="27" t="s">
        <v>578</v>
      </c>
      <c r="D108" s="31" t="s">
        <v>579</v>
      </c>
      <c r="E108" s="307">
        <f>$F108/INDEX(Conversions.Money.GBP, MATCH(E$93, Conversions.Money.Units, 0))</f>
        <v>8.3000000000000002E-6</v>
      </c>
      <c r="F108" s="399">
        <v>1</v>
      </c>
      <c r="G108" s="22"/>
      <c r="H108" s="22"/>
      <c r="L108" s="523"/>
      <c r="M108" s="524"/>
      <c r="N108" s="524"/>
      <c r="O108" s="524"/>
      <c r="P108" s="524"/>
      <c r="Q108" s="524"/>
      <c r="R108" s="524"/>
      <c r="S108" s="524"/>
      <c r="T108" s="524"/>
      <c r="U108" s="524"/>
      <c r="V108" s="524"/>
      <c r="W108" s="524"/>
      <c r="X108" s="35"/>
    </row>
    <row r="109" spans="2:24">
      <c r="L109" s="523"/>
      <c r="M109" s="524"/>
      <c r="N109" s="524"/>
      <c r="O109" s="524"/>
      <c r="P109" s="524"/>
      <c r="Q109" s="524"/>
      <c r="R109" s="524"/>
      <c r="S109" s="524"/>
      <c r="T109" s="524"/>
      <c r="U109" s="524"/>
      <c r="V109" s="524"/>
      <c r="W109" s="524"/>
      <c r="X109" s="35"/>
    </row>
    <row r="110" spans="2:24" ht="18.75">
      <c r="B110" s="24" t="s">
        <v>641</v>
      </c>
      <c r="C110" s="388"/>
      <c r="D110" s="388"/>
      <c r="E110" s="388"/>
      <c r="F110" s="388"/>
      <c r="L110" s="523"/>
      <c r="M110" s="524"/>
      <c r="N110" s="524"/>
      <c r="O110" s="524"/>
      <c r="P110" s="524"/>
      <c r="Q110" s="524"/>
      <c r="R110" s="524"/>
      <c r="S110" s="524"/>
      <c r="T110" s="524"/>
      <c r="U110" s="524"/>
      <c r="V110" s="524"/>
      <c r="W110" s="524"/>
      <c r="X110" s="35"/>
    </row>
    <row r="111" spans="2:24">
      <c r="B111" s="388"/>
      <c r="C111" s="388"/>
      <c r="D111" s="388"/>
      <c r="E111" s="388"/>
      <c r="F111" s="388"/>
      <c r="L111" s="523"/>
      <c r="M111" s="524"/>
      <c r="N111" s="524"/>
      <c r="O111" s="524"/>
      <c r="P111" s="524"/>
      <c r="Q111" s="524"/>
      <c r="R111" s="524"/>
      <c r="S111" s="524"/>
      <c r="T111" s="524"/>
      <c r="U111" s="524"/>
      <c r="V111" s="524"/>
      <c r="W111" s="524"/>
      <c r="X111" s="35"/>
    </row>
    <row r="112" spans="2:24">
      <c r="B112" s="448" t="s">
        <v>642</v>
      </c>
      <c r="C112" s="319"/>
      <c r="D112" s="328"/>
      <c r="E112" s="388"/>
      <c r="F112" s="388"/>
      <c r="L112" s="523"/>
      <c r="M112" s="524"/>
      <c r="N112" s="524"/>
      <c r="O112" s="524"/>
      <c r="P112" s="524"/>
      <c r="Q112" s="524"/>
      <c r="R112" s="524"/>
      <c r="S112" s="524"/>
      <c r="T112" s="524"/>
      <c r="U112" s="524"/>
      <c r="V112" s="524"/>
      <c r="W112" s="524"/>
      <c r="X112" s="35"/>
    </row>
    <row r="113" spans="2:24">
      <c r="B113" s="329"/>
      <c r="C113" s="498"/>
      <c r="D113" s="330"/>
      <c r="E113" s="388"/>
      <c r="F113" s="388"/>
      <c r="L113" s="523"/>
      <c r="M113" s="524"/>
      <c r="N113" s="524"/>
      <c r="O113" s="524"/>
      <c r="P113" s="524"/>
      <c r="Q113" s="524"/>
      <c r="R113" s="524"/>
      <c r="S113" s="524"/>
      <c r="T113" s="524"/>
      <c r="U113" s="524"/>
      <c r="V113" s="524"/>
      <c r="W113" s="524"/>
      <c r="X113" s="35"/>
    </row>
    <row r="114" spans="2:24">
      <c r="B114" s="329" t="s">
        <v>622</v>
      </c>
      <c r="C114" s="498">
        <v>57.915999999999997</v>
      </c>
      <c r="D114" s="330">
        <f t="shared" ref="D114:D135" si="4">1+(($C$134-C114)/C114)</f>
        <v>1.7266385800124318</v>
      </c>
      <c r="E114" s="388"/>
      <c r="F114" s="388"/>
      <c r="L114" s="523"/>
      <c r="M114" s="524"/>
      <c r="N114" s="524"/>
      <c r="O114" s="524"/>
      <c r="P114" s="524"/>
      <c r="Q114" s="524"/>
      <c r="R114" s="524"/>
      <c r="S114" s="524"/>
      <c r="T114" s="524"/>
      <c r="U114" s="524"/>
      <c r="V114" s="524"/>
      <c r="W114" s="524"/>
      <c r="X114" s="35"/>
    </row>
    <row r="115" spans="2:24">
      <c r="B115" s="329" t="s">
        <v>623</v>
      </c>
      <c r="C115" s="498">
        <v>61.656999999999996</v>
      </c>
      <c r="D115" s="330">
        <f t="shared" si="4"/>
        <v>1.6218758616215516</v>
      </c>
      <c r="E115" s="388"/>
      <c r="F115" s="388"/>
      <c r="L115" s="523"/>
      <c r="M115" s="524"/>
      <c r="N115" s="524"/>
      <c r="O115" s="524"/>
      <c r="P115" s="524"/>
      <c r="Q115" s="524"/>
      <c r="R115" s="524"/>
      <c r="S115" s="524"/>
      <c r="T115" s="524"/>
      <c r="U115" s="524"/>
      <c r="V115" s="524"/>
      <c r="W115" s="524"/>
      <c r="X115" s="35"/>
    </row>
    <row r="116" spans="2:24">
      <c r="B116" s="329" t="s">
        <v>624</v>
      </c>
      <c r="C116" s="498">
        <v>63.975000000000001</v>
      </c>
      <c r="D116" s="330">
        <f t="shared" si="4"/>
        <v>1.5631105900742477</v>
      </c>
      <c r="E116" s="388"/>
      <c r="F116" s="388"/>
      <c r="L116" s="523"/>
      <c r="M116" s="524"/>
      <c r="N116" s="524"/>
      <c r="O116" s="524"/>
      <c r="P116" s="524"/>
      <c r="Q116" s="524"/>
      <c r="R116" s="524"/>
      <c r="S116" s="524"/>
      <c r="T116" s="524"/>
      <c r="U116" s="524"/>
      <c r="V116" s="524"/>
      <c r="W116" s="524"/>
      <c r="X116" s="35"/>
    </row>
    <row r="117" spans="2:24">
      <c r="B117" s="329" t="s">
        <v>625</v>
      </c>
      <c r="C117" s="498">
        <v>65.814999999999998</v>
      </c>
      <c r="D117" s="330">
        <f t="shared" si="4"/>
        <v>1.5194104687381298</v>
      </c>
      <c r="E117" s="388"/>
      <c r="F117" s="388"/>
      <c r="L117" s="523"/>
      <c r="M117" s="524"/>
      <c r="N117" s="524"/>
      <c r="O117" s="524"/>
      <c r="P117" s="524"/>
      <c r="Q117" s="524"/>
      <c r="R117" s="524"/>
      <c r="S117" s="524"/>
      <c r="T117" s="524"/>
      <c r="U117" s="524"/>
      <c r="V117" s="524"/>
      <c r="W117" s="524"/>
      <c r="X117" s="35"/>
    </row>
    <row r="118" spans="2:24">
      <c r="B118" s="329" t="s">
        <v>626</v>
      </c>
      <c r="C118" s="498">
        <v>66.855999999999995</v>
      </c>
      <c r="D118" s="330">
        <f t="shared" si="4"/>
        <v>1.4957520641378486</v>
      </c>
      <c r="E118" s="388"/>
      <c r="F118" s="388"/>
      <c r="L118" s="523"/>
      <c r="M118" s="524"/>
      <c r="N118" s="524"/>
      <c r="O118" s="524"/>
      <c r="P118" s="524"/>
      <c r="Q118" s="524"/>
      <c r="R118" s="524"/>
      <c r="S118" s="524"/>
      <c r="T118" s="524"/>
      <c r="U118" s="524"/>
      <c r="V118" s="524"/>
      <c r="W118" s="524"/>
      <c r="X118" s="35"/>
    </row>
    <row r="119" spans="2:24">
      <c r="B119" s="329" t="s">
        <v>627</v>
      </c>
      <c r="C119" s="498">
        <v>68.647000000000006</v>
      </c>
      <c r="D119" s="330">
        <f t="shared" si="4"/>
        <v>1.4567278977959706</v>
      </c>
      <c r="E119" s="388"/>
      <c r="F119" s="388"/>
      <c r="L119" s="523"/>
      <c r="M119" s="524"/>
      <c r="N119" s="524"/>
      <c r="O119" s="524"/>
      <c r="P119" s="524"/>
      <c r="Q119" s="524"/>
      <c r="R119" s="524"/>
      <c r="S119" s="524"/>
      <c r="T119" s="524"/>
      <c r="U119" s="524"/>
      <c r="V119" s="524"/>
      <c r="W119" s="524"/>
      <c r="X119" s="35"/>
    </row>
    <row r="120" spans="2:24">
      <c r="B120" s="329" t="s">
        <v>628</v>
      </c>
      <c r="C120" s="498">
        <v>71.131</v>
      </c>
      <c r="D120" s="330">
        <f t="shared" si="4"/>
        <v>1.4058567994264104</v>
      </c>
      <c r="E120" s="405"/>
      <c r="F120" s="405"/>
      <c r="L120" s="523"/>
      <c r="M120" s="524"/>
      <c r="N120" s="524"/>
      <c r="O120" s="524"/>
      <c r="P120" s="524"/>
      <c r="Q120" s="524"/>
      <c r="R120" s="524"/>
      <c r="S120" s="524"/>
      <c r="T120" s="524"/>
      <c r="U120" s="524"/>
      <c r="V120" s="524"/>
      <c r="W120" s="524"/>
      <c r="X120" s="35"/>
    </row>
    <row r="121" spans="2:24">
      <c r="B121" s="329" t="s">
        <v>629</v>
      </c>
      <c r="C121" s="498">
        <v>73.114000000000004</v>
      </c>
      <c r="D121" s="330">
        <f t="shared" si="4"/>
        <v>1.3677271110867959</v>
      </c>
      <c r="E121" s="439"/>
      <c r="F121" s="439"/>
      <c r="L121" s="523"/>
      <c r="M121" s="524"/>
      <c r="N121" s="524"/>
      <c r="O121" s="524"/>
      <c r="P121" s="524"/>
      <c r="Q121" s="524"/>
      <c r="R121" s="524"/>
      <c r="S121" s="524"/>
      <c r="T121" s="524"/>
      <c r="U121" s="524"/>
      <c r="V121" s="524"/>
      <c r="W121" s="524"/>
      <c r="X121" s="35"/>
    </row>
    <row r="122" spans="2:24">
      <c r="B122" s="329" t="s">
        <v>630</v>
      </c>
      <c r="C122" s="498">
        <v>74.734999999999999</v>
      </c>
      <c r="D122" s="330">
        <f t="shared" si="4"/>
        <v>1.3380611493945274</v>
      </c>
      <c r="E122" s="400"/>
      <c r="F122" s="400"/>
      <c r="L122" s="523"/>
      <c r="M122" s="524"/>
      <c r="N122" s="524"/>
      <c r="O122" s="524"/>
      <c r="P122" s="524"/>
      <c r="Q122" s="524"/>
      <c r="R122" s="524"/>
      <c r="S122" s="524"/>
      <c r="T122" s="524"/>
      <c r="U122" s="524"/>
      <c r="V122" s="524"/>
      <c r="W122" s="524"/>
      <c r="X122" s="35"/>
    </row>
    <row r="123" spans="2:24">
      <c r="B123" s="329" t="s">
        <v>631</v>
      </c>
      <c r="C123" s="498">
        <v>76.304000000000002</v>
      </c>
      <c r="D123" s="330">
        <f t="shared" si="4"/>
        <v>1.3105472845460264</v>
      </c>
      <c r="E123" s="388"/>
      <c r="F123" s="388"/>
      <c r="L123" s="523"/>
      <c r="M123" s="524"/>
      <c r="N123" s="524"/>
      <c r="O123" s="524"/>
      <c r="P123" s="524"/>
      <c r="Q123" s="524"/>
      <c r="R123" s="524"/>
      <c r="S123" s="524"/>
      <c r="T123" s="524"/>
      <c r="U123" s="524"/>
      <c r="V123" s="524"/>
      <c r="W123" s="524"/>
      <c r="X123" s="35"/>
    </row>
    <row r="124" spans="2:24">
      <c r="B124" s="329" t="s">
        <v>632</v>
      </c>
      <c r="C124" s="498">
        <v>77.207999999999998</v>
      </c>
      <c r="D124" s="330">
        <f t="shared" si="4"/>
        <v>1.2952025696818983</v>
      </c>
      <c r="E124" s="388"/>
      <c r="F124" s="388"/>
      <c r="L124" s="523"/>
      <c r="M124" s="524"/>
      <c r="N124" s="524"/>
      <c r="O124" s="524"/>
      <c r="P124" s="524"/>
      <c r="Q124" s="524"/>
      <c r="R124" s="524"/>
      <c r="S124" s="524"/>
      <c r="T124" s="524"/>
      <c r="U124" s="524"/>
      <c r="V124" s="524"/>
      <c r="W124" s="524"/>
      <c r="X124" s="35"/>
    </row>
    <row r="125" spans="2:24">
      <c r="B125" s="329" t="s">
        <v>633</v>
      </c>
      <c r="C125" s="498">
        <v>78.849000000000004</v>
      </c>
      <c r="D125" s="330">
        <f t="shared" si="4"/>
        <v>1.2682469023069411</v>
      </c>
      <c r="E125" s="388"/>
      <c r="F125" s="388"/>
      <c r="L125" s="35"/>
      <c r="M125" s="35"/>
      <c r="N125" s="35"/>
      <c r="O125" s="35"/>
      <c r="P125" s="35"/>
      <c r="Q125" s="35"/>
      <c r="R125" s="35"/>
      <c r="S125" s="35"/>
      <c r="T125" s="35"/>
      <c r="U125" s="35"/>
      <c r="V125" s="35"/>
      <c r="W125" s="35"/>
      <c r="X125" s="35"/>
    </row>
    <row r="126" spans="2:24">
      <c r="B126" s="329" t="s">
        <v>634</v>
      </c>
      <c r="C126" s="498">
        <v>81.290999999999997</v>
      </c>
      <c r="D126" s="330">
        <f t="shared" si="4"/>
        <v>1.2301484789214059</v>
      </c>
      <c r="E126" s="388"/>
      <c r="F126" s="388"/>
      <c r="L126" s="35"/>
      <c r="M126" s="35"/>
      <c r="N126" s="35"/>
      <c r="O126" s="35"/>
      <c r="P126" s="35"/>
      <c r="Q126" s="35"/>
      <c r="R126" s="35"/>
      <c r="S126" s="35"/>
      <c r="T126" s="35"/>
      <c r="U126" s="35"/>
      <c r="V126" s="35"/>
      <c r="W126" s="35"/>
      <c r="X126" s="35"/>
    </row>
    <row r="127" spans="2:24">
      <c r="B127" s="329" t="s">
        <v>635</v>
      </c>
      <c r="C127" s="498">
        <v>83.789000000000001</v>
      </c>
      <c r="D127" s="330">
        <f t="shared" si="4"/>
        <v>1.1934740837102722</v>
      </c>
      <c r="E127" s="388"/>
      <c r="F127" s="388"/>
    </row>
    <row r="128" spans="2:24">
      <c r="B128" s="329" t="s">
        <v>636</v>
      </c>
      <c r="C128" s="498">
        <v>85.9</v>
      </c>
      <c r="D128" s="330">
        <f t="shared" si="4"/>
        <v>1.1641443538998835</v>
      </c>
      <c r="E128" s="388"/>
      <c r="F128" s="388"/>
    </row>
    <row r="129" spans="2:6">
      <c r="B129" s="329" t="s">
        <v>637</v>
      </c>
      <c r="C129" s="498">
        <v>87.644999999999996</v>
      </c>
      <c r="D129" s="330">
        <f t="shared" si="4"/>
        <v>1.1409663985395631</v>
      </c>
      <c r="E129" s="445"/>
      <c r="F129" s="445"/>
    </row>
    <row r="130" spans="2:6">
      <c r="B130" s="329" t="s">
        <v>638</v>
      </c>
      <c r="C130" s="498">
        <v>90.32</v>
      </c>
      <c r="D130" s="330">
        <f t="shared" si="4"/>
        <v>1.1071744906997343</v>
      </c>
      <c r="E130" s="445"/>
      <c r="F130" s="445"/>
    </row>
    <row r="131" spans="2:6">
      <c r="B131" s="329" t="s">
        <v>203</v>
      </c>
      <c r="C131" s="498">
        <v>93.022999999999996</v>
      </c>
      <c r="D131" s="330">
        <f t="shared" si="4"/>
        <v>1.0750029562581298</v>
      </c>
      <c r="E131" s="388"/>
      <c r="F131" s="388"/>
    </row>
    <row r="132" spans="2:6">
      <c r="B132" s="329" t="s">
        <v>639</v>
      </c>
      <c r="C132" s="498">
        <v>95.783000000000001</v>
      </c>
      <c r="D132" s="330">
        <f t="shared" si="4"/>
        <v>1.0440266017978137</v>
      </c>
      <c r="E132" s="388"/>
      <c r="F132" s="388"/>
    </row>
    <row r="133" spans="2:6">
      <c r="B133" s="329" t="s">
        <v>640</v>
      </c>
      <c r="C133" s="498">
        <v>97.167000000000002</v>
      </c>
      <c r="D133" s="330">
        <f t="shared" si="4"/>
        <v>1.0291559891732789</v>
      </c>
      <c r="E133" s="388"/>
      <c r="F133" s="388"/>
    </row>
    <row r="134" spans="2:6">
      <c r="B134" s="329" t="s">
        <v>204</v>
      </c>
      <c r="C134" s="498">
        <v>100</v>
      </c>
      <c r="D134" s="330">
        <f t="shared" si="4"/>
        <v>1</v>
      </c>
      <c r="E134" s="388"/>
      <c r="F134" s="388"/>
    </row>
    <row r="135" spans="2:6" s="499" customFormat="1">
      <c r="B135" s="500">
        <v>2011</v>
      </c>
      <c r="C135" s="501">
        <v>103</v>
      </c>
      <c r="D135" s="502">
        <f t="shared" si="4"/>
        <v>0.970873786407767</v>
      </c>
    </row>
    <row r="136" spans="2:6">
      <c r="B136" s="388"/>
      <c r="C136" s="388"/>
      <c r="D136" s="388"/>
      <c r="E136" s="388"/>
      <c r="F136" s="388"/>
    </row>
    <row r="137" spans="2:6">
      <c r="B137" s="446" t="s">
        <v>643</v>
      </c>
      <c r="C137" s="388"/>
      <c r="D137" s="388"/>
      <c r="E137" s="388"/>
      <c r="F137" s="388"/>
    </row>
  </sheetData>
  <mergeCells count="6">
    <mergeCell ref="T29:U29"/>
    <mergeCell ref="N27:O27"/>
    <mergeCell ref="P27:Q27"/>
    <mergeCell ref="N29:O29"/>
    <mergeCell ref="P29:Q29"/>
    <mergeCell ref="R29:S29"/>
  </mergeCells>
  <dataValidations count="1">
    <dataValidation type="list" allowBlank="1" showInputMessage="1" showErrorMessage="1" sqref="I4 L4">
      <formula1>Conversions.Energy.Units</formula1>
    </dataValidation>
  </dataValidations>
  <hyperlinks>
    <hyperlink ref="I30" r:id="rId1"/>
  </hyperlinks>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sheetPr codeName="Sheet9">
    <tabColor theme="7" tint="0.39997558519241921"/>
    <pageSetUpPr autoPageBreaks="0"/>
  </sheetPr>
  <dimension ref="A1:S89"/>
  <sheetViews>
    <sheetView showGridLines="0" zoomScale="85" zoomScaleNormal="85" zoomScalePageLayoutView="85" workbookViewId="0">
      <selection activeCell="D14" sqref="D14"/>
    </sheetView>
  </sheetViews>
  <sheetFormatPr defaultColWidth="8.85546875" defaultRowHeight="12.75"/>
  <cols>
    <col min="1" max="1" width="4.42578125" customWidth="1"/>
    <col min="2" max="2" width="27.28515625" customWidth="1"/>
    <col min="3" max="3" width="27.42578125" customWidth="1"/>
    <col min="4" max="4" width="13.85546875" customWidth="1"/>
    <col min="5" max="5" width="18.85546875" bestFit="1" customWidth="1"/>
    <col min="6" max="6" width="16.7109375" customWidth="1"/>
    <col min="7" max="7" width="11.42578125" style="457" customWidth="1"/>
    <col min="8" max="9" width="10.85546875" customWidth="1"/>
    <col min="10" max="10" width="11.28515625" bestFit="1" customWidth="1"/>
  </cols>
  <sheetData>
    <row r="1" spans="1:19" s="36" customFormat="1">
      <c r="B1" s="491" t="s">
        <v>660</v>
      </c>
      <c r="G1" s="457"/>
    </row>
    <row r="2" spans="1:19" s="491" customFormat="1"/>
    <row r="3" spans="1:19" s="36" customFormat="1" ht="18.75">
      <c r="B3" s="24" t="s">
        <v>273</v>
      </c>
      <c r="G3" s="457"/>
    </row>
    <row r="4" spans="1:19">
      <c r="G4" s="457" t="str">
        <f>Preferences.moneyunits&amp;"/capita"</f>
        <v>INR Cr/capita</v>
      </c>
    </row>
    <row r="5" spans="1:19" ht="22.5" customHeight="1">
      <c r="B5" s="99" t="s">
        <v>225</v>
      </c>
      <c r="C5" s="99" t="s">
        <v>271</v>
      </c>
      <c r="D5" s="99" t="s">
        <v>2459</v>
      </c>
      <c r="E5" s="99" t="s">
        <v>911</v>
      </c>
      <c r="F5" s="99" t="s">
        <v>2522</v>
      </c>
      <c r="G5" s="51" t="s">
        <v>2460</v>
      </c>
      <c r="I5" s="50"/>
    </row>
    <row r="6" spans="1:19" ht="15.75">
      <c r="A6" s="3"/>
      <c r="B6" s="51">
        <v>2007</v>
      </c>
      <c r="C6" s="3183">
        <f>1215.9476968037*(10^6)</f>
        <v>1215947696.8037</v>
      </c>
      <c r="D6" s="495">
        <f>157.158386311591*(10^6)</f>
        <v>157158386.311591</v>
      </c>
      <c r="E6" s="495">
        <f>69.1869648114515*(10^6)</f>
        <v>69186964.81145151</v>
      </c>
      <c r="F6" s="100">
        <f>2834838*INRCr</f>
        <v>2834838</v>
      </c>
      <c r="G6" s="74">
        <f>Global.Assumptions[[#This Row],[GDP*]]/Global.Assumptions[[#This Row],[Population]]</f>
        <v>2.3313815285409024E-3</v>
      </c>
      <c r="I6" s="50"/>
      <c r="J6" s="36"/>
    </row>
    <row r="7" spans="1:19" ht="15.75">
      <c r="A7" s="3"/>
      <c r="B7" s="51">
        <v>2012</v>
      </c>
      <c r="C7" s="3183">
        <f>1215.9476968037*(10^6)</f>
        <v>1215947696.8037</v>
      </c>
      <c r="D7" s="495">
        <f>170.870522465187*(10^6)</f>
        <v>170870522.46518701</v>
      </c>
      <c r="E7" s="495">
        <f>88.647593305569*(10^6)</f>
        <v>88647593.305569008</v>
      </c>
      <c r="F7" s="100">
        <f>4170367*INRCr</f>
        <v>4170367</v>
      </c>
      <c r="G7" s="74">
        <f>Global.Assumptions[[#This Row],[GDP*]]/Global.Assumptions[[#This Row],[Population]]</f>
        <v>3.4297256460639157E-3</v>
      </c>
      <c r="I7" s="422"/>
      <c r="J7" s="36"/>
      <c r="K7" s="359"/>
      <c r="L7" s="359"/>
      <c r="M7" s="359"/>
      <c r="N7" s="359"/>
      <c r="O7" s="359"/>
      <c r="P7" s="359"/>
      <c r="Q7" s="359"/>
      <c r="R7" s="359"/>
    </row>
    <row r="8" spans="1:19" ht="15.75">
      <c r="A8" s="3"/>
      <c r="B8" s="51">
        <f>B7+5</f>
        <v>2017</v>
      </c>
      <c r="C8" s="3183">
        <f>1293.56015551973*(10^6)</f>
        <v>1293560155.5197299</v>
      </c>
      <c r="D8" s="495">
        <f>180.524547769856*(10^6)</f>
        <v>180524547.76985601</v>
      </c>
      <c r="E8" s="495">
        <f>96.9820424822024*(10^6)</f>
        <v>96982042.482202396</v>
      </c>
      <c r="F8" s="100">
        <f>F7*(1.09)^5</f>
        <v>6416626.56692445</v>
      </c>
      <c r="G8" s="74">
        <f>Global.Assumptions[[#This Row],[GDP*]]/Global.Assumptions[[#This Row],[Population]]</f>
        <v>4.9604392494188732E-3</v>
      </c>
      <c r="I8" s="422"/>
      <c r="J8" s="36"/>
      <c r="N8" s="250"/>
    </row>
    <row r="9" spans="1:19" ht="15.75">
      <c r="A9" s="3"/>
      <c r="B9" s="51">
        <f t="shared" ref="B9:B15" si="0">B8+5</f>
        <v>2022</v>
      </c>
      <c r="C9" s="3183">
        <f>1383.59189789131*(10^6)</f>
        <v>1383591897.89131</v>
      </c>
      <c r="D9" s="495">
        <f>190.098663568133*(10^6)</f>
        <v>190098663.568133</v>
      </c>
      <c r="E9" s="495">
        <f>110.266232693804*(10^6)</f>
        <v>110266232.693804</v>
      </c>
      <c r="F9" s="100">
        <f t="shared" ref="F9" si="1">F8*(1.09)^5</f>
        <v>9872775.3455177099</v>
      </c>
      <c r="G9" s="74">
        <f>Global.Assumptions[[#This Row],[GDP*]]/Global.Assumptions[[#This Row],[Population]]</f>
        <v>7.1356122860826987E-3</v>
      </c>
      <c r="I9" s="422"/>
      <c r="J9" s="36"/>
      <c r="N9" s="250"/>
    </row>
    <row r="10" spans="1:19" ht="15.75">
      <c r="A10" s="3"/>
      <c r="B10" s="51">
        <f t="shared" si="0"/>
        <v>2027</v>
      </c>
      <c r="C10" s="3183">
        <f>1453.46691490909*(10^6)</f>
        <v>1453466914.90909</v>
      </c>
      <c r="D10" s="495">
        <f>196.706924075501*(10^6)</f>
        <v>196706924.07550099</v>
      </c>
      <c r="E10" s="495">
        <f>128.540504991754*(10^6)</f>
        <v>128540504.99175401</v>
      </c>
      <c r="F10" s="100">
        <f>F9*(1.08)^5</f>
        <v>14506346.011107996</v>
      </c>
      <c r="G10" s="74">
        <f>Global.Assumptions[[#This Row],[GDP*]]/Global.Assumptions[[#This Row],[Population]]</f>
        <v>9.9805133933959025E-3</v>
      </c>
      <c r="I10" s="422"/>
      <c r="J10" s="36"/>
      <c r="K10" s="2331"/>
      <c r="L10" s="2331"/>
      <c r="M10" s="2331"/>
      <c r="N10" s="2331"/>
      <c r="O10" s="2331"/>
      <c r="P10" s="2331"/>
      <c r="Q10" s="2331"/>
      <c r="R10" s="2331"/>
      <c r="S10" s="2331"/>
    </row>
    <row r="11" spans="1:19" ht="15.75">
      <c r="A11" s="3"/>
      <c r="B11" s="51">
        <f t="shared" si="0"/>
        <v>2032</v>
      </c>
      <c r="C11" s="3183">
        <f>1533.93757753791*(10^6)</f>
        <v>1533937577.53791</v>
      </c>
      <c r="D11" s="495">
        <f>203.58234150692*(10^6)</f>
        <v>203582341.50691998</v>
      </c>
      <c r="E11" s="495">
        <f>144.162797117438*(10^6)</f>
        <v>144162797.11743802</v>
      </c>
      <c r="F11" s="100">
        <f>F10*(1.07)^5</f>
        <v>20345900.704012565</v>
      </c>
      <c r="G11" s="74">
        <f>Global.Assumptions[[#This Row],[GDP*]]/Global.Assumptions[[#This Row],[Population]]</f>
        <v>1.3263838764983729E-2</v>
      </c>
      <c r="I11" s="422"/>
      <c r="J11" s="36"/>
      <c r="N11" s="250"/>
    </row>
    <row r="12" spans="1:19" ht="15.75">
      <c r="A12" s="3"/>
      <c r="B12" s="51">
        <f t="shared" si="0"/>
        <v>2037</v>
      </c>
      <c r="C12" s="3183">
        <f>1592.14941874388*(10^6)</f>
        <v>1592149418.74388</v>
      </c>
      <c r="D12" s="495">
        <f>207.261898702742*(10^6)</f>
        <v>207261898.70274201</v>
      </c>
      <c r="E12" s="495">
        <f>164.673804925765*(10^6)</f>
        <v>164673804.92576501</v>
      </c>
      <c r="F12" s="100">
        <f>F11*(1.07)^5</f>
        <v>28536178.245063175</v>
      </c>
      <c r="G12" s="74">
        <f>Global.Assumptions[[#This Row],[GDP*]]/Global.Assumptions[[#This Row],[Population]]</f>
        <v>1.7923052892596398E-2</v>
      </c>
      <c r="I12" s="422"/>
      <c r="J12" s="36"/>
      <c r="N12" s="250"/>
    </row>
    <row r="13" spans="1:19" ht="15.75">
      <c r="A13" s="3"/>
      <c r="B13" s="51">
        <f t="shared" si="0"/>
        <v>2042</v>
      </c>
      <c r="C13" s="3183">
        <f>1659.57908498691*(10^6)</f>
        <v>1659579084.9869099</v>
      </c>
      <c r="D13" s="495">
        <f>211.390986895384*(10^6)</f>
        <v>211390986.89538401</v>
      </c>
      <c r="E13" s="495">
        <f>181.94824708289*(10^6)</f>
        <v>181948247.08289</v>
      </c>
      <c r="F13" s="100">
        <f>F12*(1.06)^5</f>
        <v>38187843.614496239</v>
      </c>
      <c r="G13" s="74">
        <f>Global.Assumptions[[#This Row],[GDP*]]/Global.Assumptions[[#This Row],[Population]]</f>
        <v>2.3010559701526639E-2</v>
      </c>
      <c r="I13" s="422"/>
      <c r="J13" s="232"/>
      <c r="N13" s="250"/>
    </row>
    <row r="14" spans="1:19" ht="15.75">
      <c r="A14" s="3"/>
      <c r="B14" s="51">
        <f t="shared" si="0"/>
        <v>2047</v>
      </c>
      <c r="C14" s="3183">
        <f>1704.17288239362*(10^6)</f>
        <v>1704172882.39362</v>
      </c>
      <c r="D14" s="495">
        <f>210.60378532269*(10^6)</f>
        <v>210603785.32268998</v>
      </c>
      <c r="E14" s="495">
        <f>205.571181859595*(10^6)</f>
        <v>205571181.859595</v>
      </c>
      <c r="F14" s="100">
        <f t="shared" ref="F14" si="2">F13*(1.06)^5</f>
        <v>51103949.078307718</v>
      </c>
      <c r="G14" s="74">
        <f>Global.Assumptions[[#This Row],[GDP*]]/Global.Assumptions[[#This Row],[Population]]</f>
        <v>2.9987538005257393E-2</v>
      </c>
      <c r="I14" s="422"/>
      <c r="N14" s="250"/>
    </row>
    <row r="15" spans="1:19">
      <c r="B15" s="51">
        <f t="shared" si="0"/>
        <v>2052</v>
      </c>
      <c r="C15" s="3183">
        <f>1758.02279941429*(10^6)</f>
        <v>1758022799.41429</v>
      </c>
      <c r="D15" s="495">
        <f>219.76105518003*(10^6)</f>
        <v>219761055.18003002</v>
      </c>
      <c r="E15" s="495">
        <f>234.312052185741*(10^6)</f>
        <v>234312052.18574101</v>
      </c>
      <c r="F15" s="100">
        <f>F14*(1.05)^5</f>
        <v>65223027.979583018</v>
      </c>
      <c r="G15" s="74">
        <f>Global.Assumptions[[#This Row],[GDP*]]/Global.Assumptions[[#This Row],[Population]]</f>
        <v>3.7100217358564967E-2</v>
      </c>
      <c r="I15" s="422"/>
      <c r="J15" s="36"/>
      <c r="N15" s="250"/>
    </row>
    <row r="16" spans="1:19">
      <c r="B16" s="25"/>
      <c r="C16" s="3186">
        <f>SUBTOTAL(101,[Population])</f>
        <v>1481037612.5004137</v>
      </c>
      <c r="D16" s="3186"/>
      <c r="E16" s="25"/>
      <c r="F16" s="3188"/>
      <c r="G16" s="76"/>
    </row>
    <row r="17" spans="1:14" ht="18.75">
      <c r="B17" s="24"/>
      <c r="C17" s="36"/>
      <c r="D17" s="36"/>
    </row>
    <row r="18" spans="1:14" ht="4.5" customHeight="1"/>
    <row r="19" spans="1:14">
      <c r="B19" s="240"/>
      <c r="C19" s="240"/>
      <c r="D19" s="240"/>
    </row>
    <row r="20" spans="1:14">
      <c r="B20" s="100" t="s">
        <v>2523</v>
      </c>
      <c r="C20" s="142"/>
      <c r="M20" s="534"/>
      <c r="N20" s="534"/>
    </row>
    <row r="21" spans="1:14">
      <c r="B21" s="307"/>
      <c r="C21" s="503"/>
      <c r="D21" s="241"/>
    </row>
    <row r="24" spans="1:14" ht="18.75">
      <c r="A24" s="388"/>
      <c r="B24" s="24" t="s">
        <v>562</v>
      </c>
      <c r="C24" s="388"/>
      <c r="D24" s="388"/>
      <c r="E24" s="388"/>
      <c r="F24" s="388"/>
      <c r="G24" s="388"/>
      <c r="H24" s="388"/>
      <c r="I24" s="388"/>
      <c r="J24" s="388"/>
      <c r="K24" s="388"/>
      <c r="L24" s="388"/>
    </row>
    <row r="25" spans="1:14" ht="6" customHeight="1">
      <c r="A25" s="388"/>
      <c r="B25" s="388"/>
      <c r="C25" s="388"/>
      <c r="D25" s="388"/>
      <c r="E25" s="388"/>
      <c r="F25" s="388"/>
      <c r="G25" s="388"/>
      <c r="H25" s="388"/>
      <c r="I25" s="388"/>
      <c r="J25" s="388"/>
      <c r="K25" s="388"/>
      <c r="L25" s="388"/>
    </row>
    <row r="26" spans="1:14">
      <c r="A26" s="388"/>
      <c r="B26" s="327" t="s">
        <v>225</v>
      </c>
      <c r="C26" s="319">
        <v>2012</v>
      </c>
      <c r="D26" s="319">
        <f>C26+5</f>
        <v>2017</v>
      </c>
      <c r="E26" s="319">
        <f t="shared" ref="E26:K26" si="3">D26+5</f>
        <v>2022</v>
      </c>
      <c r="F26" s="319">
        <f t="shared" si="3"/>
        <v>2027</v>
      </c>
      <c r="G26" s="319">
        <f t="shared" si="3"/>
        <v>2032</v>
      </c>
      <c r="H26" s="319">
        <f>G26+5</f>
        <v>2037</v>
      </c>
      <c r="I26" s="319">
        <f t="shared" si="3"/>
        <v>2042</v>
      </c>
      <c r="J26" s="319">
        <f t="shared" si="3"/>
        <v>2047</v>
      </c>
      <c r="K26" s="319">
        <f t="shared" si="3"/>
        <v>2052</v>
      </c>
      <c r="L26" s="329"/>
    </row>
    <row r="27" spans="1:14">
      <c r="A27" s="449"/>
      <c r="B27" s="504" t="s">
        <v>645</v>
      </c>
      <c r="C27" s="505">
        <v>0.1</v>
      </c>
      <c r="D27" s="505">
        <v>0.1</v>
      </c>
      <c r="E27" s="505">
        <v>0.1</v>
      </c>
      <c r="F27" s="505">
        <v>0.1</v>
      </c>
      <c r="G27" s="505">
        <v>0.1</v>
      </c>
      <c r="H27" s="505">
        <v>0.1</v>
      </c>
      <c r="I27" s="505">
        <v>0.1</v>
      </c>
      <c r="J27" s="505">
        <v>0.1</v>
      </c>
      <c r="K27" s="505">
        <v>0.1</v>
      </c>
      <c r="L27" s="329"/>
    </row>
    <row r="28" spans="1:14" s="605" customFormat="1">
      <c r="B28" s="504" t="s">
        <v>1212</v>
      </c>
      <c r="C28" s="505">
        <f>1/(1+Discount_rate)</f>
        <v>0.90909090909090906</v>
      </c>
      <c r="D28" s="505"/>
      <c r="E28" s="505"/>
      <c r="F28" s="505"/>
      <c r="G28" s="505"/>
      <c r="H28" s="505"/>
      <c r="I28" s="505"/>
      <c r="J28" s="505"/>
      <c r="K28" s="505"/>
      <c r="L28" s="329"/>
    </row>
    <row r="29" spans="1:14">
      <c r="A29" s="449"/>
      <c r="B29" s="331" t="s">
        <v>563</v>
      </c>
      <c r="C29" s="447">
        <v>1</v>
      </c>
      <c r="D29" s="447">
        <f t="shared" ref="D29:K29" si="4">C29/((1+D27)^5)</f>
        <v>0.62092132305915493</v>
      </c>
      <c r="E29" s="447">
        <f t="shared" si="4"/>
        <v>0.38554328942953148</v>
      </c>
      <c r="F29" s="447">
        <f t="shared" si="4"/>
        <v>0.23939204936916339</v>
      </c>
      <c r="G29" s="447">
        <f t="shared" si="4"/>
        <v>0.14864362802414346</v>
      </c>
      <c r="H29" s="447">
        <f>G29/((1+H27)^5)</f>
        <v>9.2295998177064048E-2</v>
      </c>
      <c r="I29" s="447">
        <f t="shared" si="4"/>
        <v>5.7308553301167964E-2</v>
      </c>
      <c r="J29" s="447">
        <f t="shared" si="4"/>
        <v>3.5584102738367318E-2</v>
      </c>
      <c r="K29" s="447">
        <f t="shared" si="4"/>
        <v>2.2094928152179935E-2</v>
      </c>
      <c r="L29" s="329"/>
    </row>
    <row r="33" spans="2:9" ht="18.75">
      <c r="B33" s="24" t="s">
        <v>644</v>
      </c>
      <c r="C33" s="315"/>
      <c r="D33" s="3434" t="s">
        <v>438</v>
      </c>
      <c r="E33" s="3434"/>
      <c r="F33" s="3434" t="s">
        <v>691</v>
      </c>
      <c r="G33" s="3434"/>
      <c r="H33" s="3434" t="s">
        <v>439</v>
      </c>
      <c r="I33" s="3434"/>
    </row>
    <row r="34" spans="2:9">
      <c r="B34" s="2652"/>
      <c r="C34" s="315"/>
      <c r="D34" s="3434"/>
      <c r="E34" s="3434"/>
      <c r="F34" s="2652"/>
      <c r="G34" s="2652"/>
      <c r="H34" s="2652"/>
      <c r="I34" s="2652"/>
    </row>
    <row r="35" spans="2:9">
      <c r="B35" s="2719" t="s">
        <v>109</v>
      </c>
      <c r="C35" s="2718"/>
      <c r="D35" s="2720" t="s">
        <v>621</v>
      </c>
      <c r="E35" s="2721" t="s">
        <v>594</v>
      </c>
      <c r="F35" s="2720" t="s">
        <v>621</v>
      </c>
      <c r="G35" s="2721" t="s">
        <v>594</v>
      </c>
      <c r="H35" s="2720" t="s">
        <v>621</v>
      </c>
      <c r="I35" s="2721" t="s">
        <v>594</v>
      </c>
    </row>
    <row r="36" spans="2:9">
      <c r="B36" s="329"/>
      <c r="C36" s="539"/>
      <c r="D36" s="327"/>
      <c r="E36" s="328"/>
      <c r="F36" s="327"/>
      <c r="G36" s="328"/>
      <c r="H36" s="327"/>
      <c r="I36" s="328"/>
    </row>
    <row r="37" spans="2:9">
      <c r="B37" s="329"/>
      <c r="C37" s="92" t="s">
        <v>653</v>
      </c>
      <c r="D37" s="538">
        <v>0</v>
      </c>
      <c r="E37" s="330">
        <v>5</v>
      </c>
      <c r="F37" s="538">
        <v>7.0000000000000007E-2</v>
      </c>
      <c r="G37" s="330">
        <v>15</v>
      </c>
      <c r="H37" s="538">
        <v>0.1</v>
      </c>
      <c r="I37" s="330">
        <v>15</v>
      </c>
    </row>
    <row r="38" spans="2:9">
      <c r="B38" s="329"/>
      <c r="C38" s="539"/>
      <c r="D38" s="538"/>
      <c r="E38" s="330"/>
      <c r="F38" s="538"/>
      <c r="G38" s="330"/>
      <c r="H38" s="538"/>
      <c r="I38" s="330"/>
    </row>
    <row r="39" spans="2:9">
      <c r="B39" s="504" t="s">
        <v>248</v>
      </c>
      <c r="C39" s="456" t="s">
        <v>1069</v>
      </c>
      <c r="D39" s="559">
        <v>0</v>
      </c>
      <c r="E39" s="560">
        <v>25</v>
      </c>
      <c r="F39" s="559">
        <v>7.0000000000000007E-2</v>
      </c>
      <c r="G39" s="560">
        <v>25</v>
      </c>
      <c r="H39" s="559">
        <v>0.12</v>
      </c>
      <c r="I39" s="560">
        <v>25</v>
      </c>
    </row>
    <row r="40" spans="2:9">
      <c r="B40" s="504" t="s">
        <v>278</v>
      </c>
      <c r="C40" s="456" t="s">
        <v>695</v>
      </c>
      <c r="D40" s="559">
        <v>0</v>
      </c>
      <c r="E40" s="560">
        <v>25</v>
      </c>
      <c r="F40" s="559">
        <v>7.0000000000000007E-2</v>
      </c>
      <c r="G40" s="560">
        <v>25</v>
      </c>
      <c r="H40" s="559">
        <v>0.12</v>
      </c>
      <c r="I40" s="560">
        <v>25</v>
      </c>
    </row>
    <row r="41" spans="2:9">
      <c r="B41" s="504" t="s">
        <v>696</v>
      </c>
      <c r="C41" s="456" t="s">
        <v>500</v>
      </c>
      <c r="D41" s="559">
        <v>0</v>
      </c>
      <c r="E41" s="560">
        <v>25</v>
      </c>
      <c r="F41" s="559">
        <v>7.0000000000000007E-2</v>
      </c>
      <c r="G41" s="560">
        <v>25</v>
      </c>
      <c r="H41" s="559">
        <v>0.12</v>
      </c>
      <c r="I41" s="560">
        <v>25</v>
      </c>
    </row>
    <row r="42" spans="2:9">
      <c r="B42" s="504" t="s">
        <v>1819</v>
      </c>
      <c r="C42" s="456" t="s">
        <v>1866</v>
      </c>
      <c r="D42" s="559">
        <v>0</v>
      </c>
      <c r="E42" s="560">
        <v>25</v>
      </c>
      <c r="F42" s="559">
        <v>7.0000000000000007E-2</v>
      </c>
      <c r="G42" s="560">
        <v>25</v>
      </c>
      <c r="H42" s="559">
        <v>0.12</v>
      </c>
      <c r="I42" s="560">
        <v>25</v>
      </c>
    </row>
    <row r="43" spans="2:9">
      <c r="B43" s="504" t="s">
        <v>61</v>
      </c>
      <c r="C43" s="456" t="s">
        <v>430</v>
      </c>
      <c r="D43" s="559">
        <v>0</v>
      </c>
      <c r="E43" s="560">
        <v>25</v>
      </c>
      <c r="F43" s="559">
        <v>7.0000000000000007E-2</v>
      </c>
      <c r="G43" s="560">
        <v>25</v>
      </c>
      <c r="H43" s="559">
        <v>0.12</v>
      </c>
      <c r="I43" s="560">
        <v>25</v>
      </c>
    </row>
    <row r="44" spans="2:9">
      <c r="B44" s="504" t="s">
        <v>62</v>
      </c>
      <c r="C44" s="456" t="s">
        <v>1070</v>
      </c>
      <c r="D44" s="559">
        <v>0</v>
      </c>
      <c r="E44" s="560">
        <v>25</v>
      </c>
      <c r="F44" s="559">
        <v>7.0000000000000007E-2</v>
      </c>
      <c r="G44" s="560">
        <v>25</v>
      </c>
      <c r="H44" s="559">
        <v>0.12</v>
      </c>
      <c r="I44" s="560">
        <v>25</v>
      </c>
    </row>
    <row r="45" spans="2:9">
      <c r="B45" s="504" t="s">
        <v>311</v>
      </c>
      <c r="C45" s="456" t="s">
        <v>55</v>
      </c>
      <c r="D45" s="559">
        <v>0</v>
      </c>
      <c r="E45" s="560">
        <v>15</v>
      </c>
      <c r="F45" s="559">
        <v>7.0000000000000007E-2</v>
      </c>
      <c r="G45" s="560">
        <v>15</v>
      </c>
      <c r="H45" s="559">
        <v>0.12</v>
      </c>
      <c r="I45" s="560">
        <v>15</v>
      </c>
    </row>
    <row r="46" spans="2:9">
      <c r="B46" s="504" t="s">
        <v>407</v>
      </c>
      <c r="C46" s="456" t="s">
        <v>545</v>
      </c>
      <c r="D46" s="559">
        <v>0</v>
      </c>
      <c r="E46" s="560">
        <v>15</v>
      </c>
      <c r="F46" s="559">
        <v>7.0000000000000007E-2</v>
      </c>
      <c r="G46" s="560">
        <v>15</v>
      </c>
      <c r="H46" s="559">
        <v>0.12</v>
      </c>
      <c r="I46" s="560">
        <v>15</v>
      </c>
    </row>
    <row r="47" spans="2:9">
      <c r="B47" s="504" t="s">
        <v>1071</v>
      </c>
      <c r="C47" s="456" t="s">
        <v>855</v>
      </c>
      <c r="D47" s="559">
        <v>0</v>
      </c>
      <c r="E47" s="560">
        <v>15</v>
      </c>
      <c r="F47" s="559">
        <v>7.0000000000000007E-2</v>
      </c>
      <c r="G47" s="560">
        <v>15</v>
      </c>
      <c r="H47" s="559">
        <v>0.12</v>
      </c>
      <c r="I47" s="560">
        <v>15</v>
      </c>
    </row>
    <row r="48" spans="2:9">
      <c r="B48" s="504" t="s">
        <v>1285</v>
      </c>
      <c r="C48" s="456" t="s">
        <v>856</v>
      </c>
      <c r="D48" s="559">
        <v>0</v>
      </c>
      <c r="E48" s="560">
        <v>15</v>
      </c>
      <c r="F48" s="559">
        <v>7.0000000000000007E-2</v>
      </c>
      <c r="G48" s="560">
        <v>15</v>
      </c>
      <c r="H48" s="559">
        <v>0.12</v>
      </c>
      <c r="I48" s="560">
        <v>15</v>
      </c>
    </row>
    <row r="49" spans="2:9">
      <c r="B49" s="504" t="s">
        <v>1073</v>
      </c>
      <c r="C49" s="456" t="s">
        <v>854</v>
      </c>
      <c r="D49" s="559">
        <v>0</v>
      </c>
      <c r="E49" s="560">
        <v>15</v>
      </c>
      <c r="F49" s="559">
        <v>7.0000000000000007E-2</v>
      </c>
      <c r="G49" s="560">
        <v>15</v>
      </c>
      <c r="H49" s="559">
        <v>0.12</v>
      </c>
      <c r="I49" s="560">
        <v>15</v>
      </c>
    </row>
    <row r="50" spans="2:9">
      <c r="B50" s="504" t="s">
        <v>304</v>
      </c>
      <c r="C50" s="456" t="s">
        <v>2061</v>
      </c>
      <c r="D50" s="559">
        <v>0</v>
      </c>
      <c r="E50" s="560">
        <v>15</v>
      </c>
      <c r="F50" s="559">
        <v>7.0000000000000007E-2</v>
      </c>
      <c r="G50" s="560">
        <v>15</v>
      </c>
      <c r="H50" s="559">
        <v>0.12</v>
      </c>
      <c r="I50" s="560">
        <v>15</v>
      </c>
    </row>
    <row r="51" spans="2:9">
      <c r="B51" s="504" t="s">
        <v>432</v>
      </c>
      <c r="C51" s="456" t="s">
        <v>1074</v>
      </c>
      <c r="D51" s="559">
        <v>0</v>
      </c>
      <c r="E51" s="560">
        <v>15</v>
      </c>
      <c r="F51" s="559">
        <v>7.0000000000000007E-2</v>
      </c>
      <c r="G51" s="560">
        <v>15</v>
      </c>
      <c r="H51" s="559">
        <v>0.12</v>
      </c>
      <c r="I51" s="560">
        <v>15</v>
      </c>
    </row>
    <row r="52" spans="2:9">
      <c r="B52" s="504" t="s">
        <v>1076</v>
      </c>
      <c r="C52" s="456" t="s">
        <v>1075</v>
      </c>
      <c r="D52" s="559">
        <v>0</v>
      </c>
      <c r="E52" s="560">
        <v>15</v>
      </c>
      <c r="F52" s="559">
        <v>7.0000000000000007E-2</v>
      </c>
      <c r="G52" s="560">
        <v>15</v>
      </c>
      <c r="H52" s="559">
        <v>0.12</v>
      </c>
      <c r="I52" s="560">
        <v>15</v>
      </c>
    </row>
    <row r="53" spans="2:9">
      <c r="B53" s="504" t="s">
        <v>296</v>
      </c>
      <c r="C53" s="456" t="s">
        <v>1077</v>
      </c>
      <c r="D53" s="559">
        <v>0</v>
      </c>
      <c r="E53" s="560">
        <v>15</v>
      </c>
      <c r="F53" s="559">
        <v>7.0000000000000007E-2</v>
      </c>
      <c r="G53" s="560">
        <v>15</v>
      </c>
      <c r="H53" s="559">
        <v>0.12</v>
      </c>
      <c r="I53" s="560">
        <v>15</v>
      </c>
    </row>
    <row r="54" spans="2:9">
      <c r="B54" s="504" t="s">
        <v>263</v>
      </c>
      <c r="C54" s="456" t="s">
        <v>43</v>
      </c>
      <c r="D54" s="559">
        <v>0</v>
      </c>
      <c r="E54" s="560">
        <v>5</v>
      </c>
      <c r="F54" s="559">
        <v>7.0000000000000007E-2</v>
      </c>
      <c r="G54" s="560">
        <v>5</v>
      </c>
      <c r="H54" s="559">
        <v>0.12</v>
      </c>
      <c r="I54" s="560">
        <v>5</v>
      </c>
    </row>
    <row r="55" spans="2:9">
      <c r="B55" s="504" t="s">
        <v>264</v>
      </c>
      <c r="C55" s="456" t="s">
        <v>2001</v>
      </c>
      <c r="D55" s="559">
        <v>0</v>
      </c>
      <c r="E55" s="560">
        <v>5</v>
      </c>
      <c r="F55" s="559">
        <v>7.0000000000000007E-2</v>
      </c>
      <c r="G55" s="560">
        <v>5</v>
      </c>
      <c r="H55" s="559">
        <v>0.12</v>
      </c>
      <c r="I55" s="560">
        <v>5</v>
      </c>
    </row>
    <row r="56" spans="2:9">
      <c r="B56" s="504" t="s">
        <v>195</v>
      </c>
      <c r="C56" s="456" t="s">
        <v>1970</v>
      </c>
      <c r="D56" s="559">
        <v>0</v>
      </c>
      <c r="E56" s="560">
        <v>15</v>
      </c>
      <c r="F56" s="559">
        <v>7.0000000000000007E-2</v>
      </c>
      <c r="G56" s="560">
        <v>15</v>
      </c>
      <c r="H56" s="559">
        <v>0.12</v>
      </c>
      <c r="I56" s="560">
        <v>15</v>
      </c>
    </row>
    <row r="57" spans="2:9">
      <c r="B57" s="504" t="s">
        <v>1965</v>
      </c>
      <c r="C57" s="456" t="s">
        <v>1341</v>
      </c>
      <c r="D57" s="559">
        <v>0</v>
      </c>
      <c r="E57" s="560">
        <v>5</v>
      </c>
      <c r="F57" s="559">
        <v>7.0000000000000007E-2</v>
      </c>
      <c r="G57" s="560">
        <v>5</v>
      </c>
      <c r="H57" s="559">
        <v>0.12</v>
      </c>
      <c r="I57" s="560">
        <v>5</v>
      </c>
    </row>
    <row r="58" spans="2:9">
      <c r="B58" s="504" t="s">
        <v>1966</v>
      </c>
      <c r="C58" s="456" t="s">
        <v>1971</v>
      </c>
      <c r="D58" s="559">
        <v>0</v>
      </c>
      <c r="E58" s="560">
        <v>5</v>
      </c>
      <c r="F58" s="559">
        <v>7.0000000000000007E-2</v>
      </c>
      <c r="G58" s="560">
        <v>5</v>
      </c>
      <c r="H58" s="559">
        <v>0.12</v>
      </c>
      <c r="I58" s="560">
        <v>5</v>
      </c>
    </row>
    <row r="59" spans="2:9">
      <c r="B59" s="504" t="s">
        <v>1967</v>
      </c>
      <c r="C59" s="456" t="s">
        <v>1972</v>
      </c>
      <c r="D59" s="559">
        <v>0</v>
      </c>
      <c r="E59" s="560">
        <v>5</v>
      </c>
      <c r="F59" s="559">
        <v>7.0000000000000007E-2</v>
      </c>
      <c r="G59" s="560">
        <v>5</v>
      </c>
      <c r="H59" s="559">
        <v>0.12</v>
      </c>
      <c r="I59" s="560">
        <v>5</v>
      </c>
    </row>
    <row r="60" spans="2:9">
      <c r="B60" s="504" t="s">
        <v>1968</v>
      </c>
      <c r="C60" s="456" t="s">
        <v>1973</v>
      </c>
      <c r="D60" s="559">
        <v>0</v>
      </c>
      <c r="E60" s="560">
        <v>5</v>
      </c>
      <c r="F60" s="559">
        <v>7.0000000000000007E-2</v>
      </c>
      <c r="G60" s="560">
        <v>5</v>
      </c>
      <c r="H60" s="559">
        <v>0.12</v>
      </c>
      <c r="I60" s="560">
        <v>5</v>
      </c>
    </row>
    <row r="61" spans="2:9">
      <c r="B61" s="504" t="s">
        <v>1969</v>
      </c>
      <c r="C61" s="456" t="s">
        <v>1974</v>
      </c>
      <c r="D61" s="559">
        <v>0</v>
      </c>
      <c r="E61" s="560">
        <v>5</v>
      </c>
      <c r="F61" s="559">
        <v>7.0000000000000007E-2</v>
      </c>
      <c r="G61" s="560">
        <v>5</v>
      </c>
      <c r="H61" s="559">
        <v>0.12</v>
      </c>
      <c r="I61" s="560">
        <v>5</v>
      </c>
    </row>
    <row r="62" spans="2:9">
      <c r="B62" s="504" t="s">
        <v>197</v>
      </c>
      <c r="C62" s="456" t="s">
        <v>1997</v>
      </c>
      <c r="D62" s="559">
        <v>0</v>
      </c>
      <c r="E62" s="560">
        <v>5</v>
      </c>
      <c r="F62" s="559">
        <v>7.0000000000000007E-2</v>
      </c>
      <c r="G62" s="560">
        <v>5</v>
      </c>
      <c r="H62" s="559">
        <v>0.12</v>
      </c>
      <c r="I62" s="560">
        <v>5</v>
      </c>
    </row>
    <row r="63" spans="2:9">
      <c r="B63" s="504" t="s">
        <v>651</v>
      </c>
      <c r="C63" s="456" t="s">
        <v>1975</v>
      </c>
      <c r="D63" s="559">
        <v>0</v>
      </c>
      <c r="E63" s="560">
        <v>5</v>
      </c>
      <c r="F63" s="559">
        <v>7.0000000000000007E-2</v>
      </c>
      <c r="G63" s="560">
        <v>5</v>
      </c>
      <c r="H63" s="559">
        <v>0.12</v>
      </c>
      <c r="I63" s="560">
        <v>5</v>
      </c>
    </row>
    <row r="64" spans="2:9">
      <c r="B64" s="504" t="s">
        <v>652</v>
      </c>
      <c r="C64" s="456" t="s">
        <v>1976</v>
      </c>
      <c r="D64" s="559">
        <v>0</v>
      </c>
      <c r="E64" s="560">
        <v>5</v>
      </c>
      <c r="F64" s="559">
        <v>7.0000000000000007E-2</v>
      </c>
      <c r="G64" s="560">
        <v>5</v>
      </c>
      <c r="H64" s="559">
        <v>0.12</v>
      </c>
      <c r="I64" s="560">
        <v>5</v>
      </c>
    </row>
    <row r="65" spans="2:9">
      <c r="B65" s="504" t="s">
        <v>1977</v>
      </c>
      <c r="C65" s="456" t="s">
        <v>1979</v>
      </c>
      <c r="D65" s="559">
        <v>0</v>
      </c>
      <c r="E65" s="560">
        <v>15</v>
      </c>
      <c r="F65" s="559">
        <v>7.0000000000000007E-2</v>
      </c>
      <c r="G65" s="560">
        <v>15</v>
      </c>
      <c r="H65" s="559">
        <v>0.12</v>
      </c>
      <c r="I65" s="560">
        <v>15</v>
      </c>
    </row>
    <row r="66" spans="2:9">
      <c r="B66" s="504" t="s">
        <v>1978</v>
      </c>
      <c r="C66" s="456" t="s">
        <v>1980</v>
      </c>
      <c r="D66" s="559">
        <v>0</v>
      </c>
      <c r="E66" s="560">
        <v>15</v>
      </c>
      <c r="F66" s="559">
        <v>7.0000000000000007E-2</v>
      </c>
      <c r="G66" s="560">
        <v>15</v>
      </c>
      <c r="H66" s="559">
        <v>0.12</v>
      </c>
      <c r="I66" s="560">
        <v>15</v>
      </c>
    </row>
    <row r="67" spans="2:9">
      <c r="B67" s="504" t="s">
        <v>294</v>
      </c>
      <c r="C67" s="456" t="s">
        <v>418</v>
      </c>
      <c r="D67" s="559">
        <v>0</v>
      </c>
      <c r="E67" s="560">
        <v>15</v>
      </c>
      <c r="F67" s="559">
        <v>7.0000000000000007E-2</v>
      </c>
      <c r="G67" s="560">
        <v>15</v>
      </c>
      <c r="H67" s="559">
        <v>0.12</v>
      </c>
      <c r="I67" s="560">
        <v>15</v>
      </c>
    </row>
    <row r="68" spans="2:9">
      <c r="B68" s="504" t="s">
        <v>1981</v>
      </c>
      <c r="C68" s="456" t="s">
        <v>1987</v>
      </c>
      <c r="D68" s="559">
        <v>0</v>
      </c>
      <c r="E68" s="560">
        <v>5</v>
      </c>
      <c r="F68" s="559">
        <v>7.0000000000000007E-2</v>
      </c>
      <c r="G68" s="560">
        <v>5</v>
      </c>
      <c r="H68" s="559">
        <v>0.12</v>
      </c>
      <c r="I68" s="560">
        <v>5</v>
      </c>
    </row>
    <row r="69" spans="2:9">
      <c r="B69" s="504" t="s">
        <v>1982</v>
      </c>
      <c r="C69" s="456" t="s">
        <v>1988</v>
      </c>
      <c r="D69" s="559">
        <v>0</v>
      </c>
      <c r="E69" s="560">
        <v>5</v>
      </c>
      <c r="F69" s="559">
        <v>7.0000000000000007E-2</v>
      </c>
      <c r="G69" s="560">
        <v>5</v>
      </c>
      <c r="H69" s="559">
        <v>0.12</v>
      </c>
      <c r="I69" s="560">
        <v>5</v>
      </c>
    </row>
    <row r="70" spans="2:9">
      <c r="B70" s="504" t="s">
        <v>1983</v>
      </c>
      <c r="C70" s="456" t="s">
        <v>1989</v>
      </c>
      <c r="D70" s="559">
        <v>0</v>
      </c>
      <c r="E70" s="560">
        <v>5</v>
      </c>
      <c r="F70" s="559">
        <v>7.0000000000000007E-2</v>
      </c>
      <c r="G70" s="560">
        <v>5</v>
      </c>
      <c r="H70" s="559">
        <v>0.12</v>
      </c>
      <c r="I70" s="560">
        <v>5</v>
      </c>
    </row>
    <row r="71" spans="2:9">
      <c r="B71" s="504" t="s">
        <v>1984</v>
      </c>
      <c r="C71" s="456" t="s">
        <v>1990</v>
      </c>
      <c r="D71" s="559">
        <v>0</v>
      </c>
      <c r="E71" s="560">
        <v>5</v>
      </c>
      <c r="F71" s="559">
        <v>7.0000000000000007E-2</v>
      </c>
      <c r="G71" s="560">
        <v>5</v>
      </c>
      <c r="H71" s="559">
        <v>0.12</v>
      </c>
      <c r="I71" s="560">
        <v>5</v>
      </c>
    </row>
    <row r="72" spans="2:9">
      <c r="B72" s="504" t="s">
        <v>1985</v>
      </c>
      <c r="C72" s="456" t="s">
        <v>1991</v>
      </c>
      <c r="D72" s="559">
        <v>0</v>
      </c>
      <c r="E72" s="560">
        <v>5</v>
      </c>
      <c r="F72" s="559">
        <v>7.0000000000000007E-2</v>
      </c>
      <c r="G72" s="560">
        <v>5</v>
      </c>
      <c r="H72" s="559">
        <v>0.12</v>
      </c>
      <c r="I72" s="560">
        <v>5</v>
      </c>
    </row>
    <row r="73" spans="2:9">
      <c r="B73" s="504" t="s">
        <v>1986</v>
      </c>
      <c r="C73" s="456" t="s">
        <v>1992</v>
      </c>
      <c r="D73" s="559">
        <v>0</v>
      </c>
      <c r="E73" s="560">
        <v>5</v>
      </c>
      <c r="F73" s="559">
        <v>7.0000000000000007E-2</v>
      </c>
      <c r="G73" s="560">
        <v>5</v>
      </c>
      <c r="H73" s="559">
        <v>0.12</v>
      </c>
      <c r="I73" s="560">
        <v>5</v>
      </c>
    </row>
    <row r="74" spans="2:9">
      <c r="B74" s="504" t="s">
        <v>1083</v>
      </c>
      <c r="C74" s="456" t="s">
        <v>878</v>
      </c>
      <c r="D74" s="559">
        <v>0</v>
      </c>
      <c r="E74" s="560">
        <v>5</v>
      </c>
      <c r="F74" s="559">
        <v>7.0000000000000007E-2</v>
      </c>
      <c r="G74" s="560">
        <v>5</v>
      </c>
      <c r="H74" s="559">
        <v>0.12</v>
      </c>
      <c r="I74" s="560">
        <v>5</v>
      </c>
    </row>
    <row r="75" spans="2:9">
      <c r="B75" s="504" t="s">
        <v>1993</v>
      </c>
      <c r="C75" s="456" t="s">
        <v>1995</v>
      </c>
      <c r="D75" s="559">
        <v>0</v>
      </c>
      <c r="E75" s="560">
        <v>10</v>
      </c>
      <c r="F75" s="559">
        <v>7.0000000000000007E-2</v>
      </c>
      <c r="G75" s="560">
        <v>10</v>
      </c>
      <c r="H75" s="559">
        <v>0.12</v>
      </c>
      <c r="I75" s="560">
        <v>10</v>
      </c>
    </row>
    <row r="76" spans="2:9">
      <c r="B76" s="504" t="s">
        <v>1994</v>
      </c>
      <c r="C76" s="456" t="s">
        <v>1996</v>
      </c>
      <c r="D76" s="559">
        <v>0</v>
      </c>
      <c r="E76" s="560">
        <v>5</v>
      </c>
      <c r="F76" s="559">
        <v>7.0000000000000007E-2</v>
      </c>
      <c r="G76" s="560">
        <v>5</v>
      </c>
      <c r="H76" s="559">
        <v>0.12</v>
      </c>
      <c r="I76" s="560">
        <v>5</v>
      </c>
    </row>
    <row r="77" spans="2:9">
      <c r="B77" s="504"/>
      <c r="C77" s="456"/>
      <c r="D77" s="559"/>
      <c r="E77" s="560"/>
      <c r="F77" s="559"/>
      <c r="G77" s="560"/>
      <c r="H77" s="559"/>
      <c r="I77" s="560"/>
    </row>
    <row r="78" spans="2:9">
      <c r="B78" s="504"/>
      <c r="C78" s="456"/>
      <c r="D78" s="559"/>
      <c r="E78" s="560"/>
      <c r="F78" s="559"/>
      <c r="G78" s="560"/>
      <c r="H78" s="559"/>
      <c r="I78" s="560"/>
    </row>
    <row r="79" spans="2:9">
      <c r="B79" s="504"/>
      <c r="C79" s="456"/>
      <c r="D79" s="559"/>
      <c r="E79" s="560"/>
      <c r="F79" s="559"/>
      <c r="G79" s="560"/>
      <c r="H79" s="559"/>
      <c r="I79" s="560"/>
    </row>
    <row r="80" spans="2:9">
      <c r="B80" s="504"/>
      <c r="C80" s="456"/>
      <c r="D80" s="559"/>
      <c r="E80" s="560"/>
      <c r="F80" s="559"/>
      <c r="G80" s="560"/>
      <c r="H80" s="559"/>
      <c r="I80" s="560"/>
    </row>
    <row r="81" spans="2:9">
      <c r="B81" s="504"/>
      <c r="C81" s="456"/>
      <c r="D81" s="559"/>
      <c r="E81" s="560"/>
      <c r="F81" s="559"/>
      <c r="G81" s="560"/>
      <c r="H81" s="559"/>
      <c r="I81" s="560"/>
    </row>
    <row r="82" spans="2:9">
      <c r="B82" s="504"/>
      <c r="C82" s="456"/>
      <c r="D82" s="559"/>
      <c r="E82" s="560"/>
      <c r="F82" s="559"/>
      <c r="G82" s="560"/>
      <c r="H82" s="559"/>
      <c r="I82" s="560"/>
    </row>
    <row r="83" spans="2:9">
      <c r="B83" s="504"/>
      <c r="C83" s="456"/>
      <c r="D83" s="559"/>
      <c r="E83" s="560"/>
      <c r="F83" s="559"/>
      <c r="G83" s="560"/>
      <c r="H83" s="559"/>
      <c r="I83" s="560"/>
    </row>
    <row r="84" spans="2:9">
      <c r="B84" s="504"/>
      <c r="C84" s="456"/>
      <c r="D84" s="559"/>
      <c r="E84" s="560"/>
      <c r="F84" s="559"/>
      <c r="G84" s="560"/>
      <c r="H84" s="559"/>
      <c r="I84" s="560"/>
    </row>
    <row r="85" spans="2:9">
      <c r="B85" s="504"/>
      <c r="C85" s="456"/>
      <c r="D85" s="559"/>
      <c r="E85" s="560"/>
      <c r="F85" s="559"/>
      <c r="G85" s="560"/>
      <c r="H85" s="559"/>
      <c r="I85" s="560"/>
    </row>
    <row r="86" spans="2:9">
      <c r="B86" s="504"/>
      <c r="C86" s="456"/>
      <c r="D86" s="559"/>
      <c r="E86" s="560"/>
      <c r="F86" s="559"/>
      <c r="G86" s="560"/>
      <c r="H86" s="559"/>
      <c r="I86" s="560"/>
    </row>
    <row r="87" spans="2:9">
      <c r="B87" s="504"/>
      <c r="C87" s="456"/>
      <c r="D87" s="559"/>
      <c r="E87" s="560"/>
      <c r="F87" s="559"/>
      <c r="G87" s="560"/>
      <c r="H87" s="559"/>
      <c r="I87" s="560"/>
    </row>
    <row r="88" spans="2:9">
      <c r="B88" s="557"/>
      <c r="C88" s="558"/>
      <c r="D88" s="561"/>
      <c r="E88" s="502"/>
      <c r="F88" s="561"/>
      <c r="G88" s="502"/>
      <c r="H88" s="561"/>
      <c r="I88" s="502"/>
    </row>
    <row r="89" spans="2:9">
      <c r="B89" s="37" t="s">
        <v>654</v>
      </c>
      <c r="C89" s="2652"/>
      <c r="D89" s="2652"/>
      <c r="E89" s="2652"/>
      <c r="F89" s="2652"/>
      <c r="G89" s="2652"/>
      <c r="H89" s="2652"/>
      <c r="I89" s="2652"/>
    </row>
  </sheetData>
  <mergeCells count="4">
    <mergeCell ref="D34:E34"/>
    <mergeCell ref="D33:E33"/>
    <mergeCell ref="F33:G33"/>
    <mergeCell ref="H33:I33"/>
  </mergeCells>
  <pageMargins left="0.7" right="0.7" top="0.75" bottom="0.75" header="0.3" footer="0.3"/>
  <pageSetup paperSize="9" orientation="portrait" horizontalDpi="4294967292" verticalDpi="4294967292" r:id="rId1"/>
  <tableParts count="1">
    <tablePart r:id="rId2"/>
  </tableParts>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sheetPr codeName="Sheet10">
    <tabColor theme="7" tint="0.39997558519241921"/>
    <pageSetUpPr autoPageBreaks="0"/>
  </sheetPr>
  <dimension ref="A1:K91"/>
  <sheetViews>
    <sheetView showGridLines="0" workbookViewId="0">
      <selection activeCell="C7" sqref="C7"/>
    </sheetView>
  </sheetViews>
  <sheetFormatPr defaultColWidth="8.85546875" defaultRowHeight="12.75"/>
  <cols>
    <col min="1" max="1" width="2.85546875" customWidth="1"/>
    <col min="2" max="2" width="35" customWidth="1"/>
    <col min="3" max="3" width="26.28515625" customWidth="1"/>
    <col min="5" max="5" width="18.7109375" style="36" bestFit="1" customWidth="1"/>
    <col min="6" max="6" width="14.140625" customWidth="1"/>
    <col min="7" max="8" width="14.140625" style="36" customWidth="1"/>
    <col min="9" max="9" width="11.42578125" bestFit="1" customWidth="1"/>
    <col min="10" max="10" width="24.140625" customWidth="1"/>
    <col min="11" max="11" width="12.28515625" bestFit="1" customWidth="1"/>
  </cols>
  <sheetData>
    <row r="1" spans="1:11">
      <c r="B1" s="491" t="s">
        <v>661</v>
      </c>
    </row>
    <row r="2" spans="1:11" s="491" customFormat="1"/>
    <row r="3" spans="1:11" s="491" customFormat="1"/>
    <row r="4" spans="1:11" ht="18" customHeight="1">
      <c r="B4" s="24" t="s">
        <v>131</v>
      </c>
      <c r="C4" s="36"/>
      <c r="E4" s="24" t="s">
        <v>159</v>
      </c>
      <c r="F4" s="36"/>
      <c r="H4" s="16" t="str">
        <f>"per " &amp; preferences.energyunits</f>
        <v>per TWh</v>
      </c>
      <c r="J4" s="24" t="s">
        <v>164</v>
      </c>
      <c r="K4" s="24"/>
    </row>
    <row r="5" spans="1:11" ht="6.75" customHeight="1">
      <c r="B5" s="37"/>
      <c r="C5" s="36"/>
      <c r="E5" s="37"/>
      <c r="F5" s="36"/>
      <c r="J5" s="37"/>
      <c r="K5" s="37"/>
    </row>
    <row r="6" spans="1:11" s="36" customFormat="1" ht="6.75" customHeight="1">
      <c r="B6" s="37"/>
      <c r="E6" s="37"/>
      <c r="J6" s="37"/>
      <c r="K6" s="37"/>
    </row>
    <row r="7" spans="1:11" ht="18.75" customHeight="1">
      <c r="B7" s="28" t="s">
        <v>127</v>
      </c>
      <c r="C7" s="124" t="str">
        <f>preferences.energyunits &amp; " / kg"</f>
        <v>TWh / kg</v>
      </c>
      <c r="E7" s="28" t="s">
        <v>162</v>
      </c>
      <c r="F7" s="29" t="s">
        <v>184</v>
      </c>
      <c r="G7" s="29" t="s">
        <v>185</v>
      </c>
      <c r="H7" s="29" t="s">
        <v>186</v>
      </c>
      <c r="J7" s="28" t="s">
        <v>14</v>
      </c>
      <c r="K7" s="28" t="s">
        <v>165</v>
      </c>
    </row>
    <row r="8" spans="1:11" ht="15.75">
      <c r="A8" s="3"/>
      <c r="B8" s="25" t="s">
        <v>123</v>
      </c>
      <c r="C8" s="38"/>
      <c r="E8" s="25" t="s">
        <v>160</v>
      </c>
      <c r="F8" s="38">
        <f>0.308/1000000000/Unit.kWh</f>
        <v>0.30799999999999994</v>
      </c>
      <c r="G8" s="38">
        <f>(13.56 / 96935) * EF.IndustrialCoal.CO2 * GWP.CH4</f>
        <v>9.0479269613658628E-4</v>
      </c>
      <c r="H8" s="38">
        <f>(2.77 / 96935) *EF.IndustrialCoal.CO2 * GWP.N2O</f>
        <v>2.7284221385464481E-3</v>
      </c>
      <c r="J8" s="25" t="s">
        <v>166</v>
      </c>
      <c r="K8" s="25">
        <v>1</v>
      </c>
    </row>
    <row r="9" spans="1:11" ht="15.75">
      <c r="A9" s="3"/>
      <c r="B9" s="25" t="s">
        <v>126</v>
      </c>
      <c r="C9" s="38"/>
      <c r="E9" s="25" t="s">
        <v>161</v>
      </c>
      <c r="F9" s="38">
        <f>0.25/1000000000/Unit.kWh</f>
        <v>0.25</v>
      </c>
      <c r="G9" s="38">
        <f>(4.28 / 72193) * EF.Diesel.CO2 * GWP.CH4</f>
        <v>3.1124901306220826E-4</v>
      </c>
      <c r="H9" s="38">
        <f>(4.19 / 72193)*EF.Diesel.CO2 * GWP.N2O</f>
        <v>4.4980122726580142E-3</v>
      </c>
      <c r="J9" s="25" t="s">
        <v>167</v>
      </c>
      <c r="K9" s="25">
        <v>21</v>
      </c>
    </row>
    <row r="10" spans="1:11" ht="15.75">
      <c r="A10" s="3"/>
      <c r="B10" s="25" t="s">
        <v>121</v>
      </c>
      <c r="C10" s="38"/>
      <c r="E10" s="25" t="s">
        <v>117</v>
      </c>
      <c r="F10" s="38">
        <f>0.184/1000000000/Unit.kWh</f>
        <v>0.18399999999999997</v>
      </c>
      <c r="G10" s="38">
        <f>(5.49 / 57516) * EF.NaturalGas.CO2 * GWP.CH4</f>
        <v>3.6882537033173374E-4</v>
      </c>
      <c r="H10" s="38">
        <f>(0.4 / 57516) *EF.NaturalGas.CO2 * GWP.N2O</f>
        <v>3.9668961680228111E-4</v>
      </c>
      <c r="J10" s="25" t="s">
        <v>168</v>
      </c>
      <c r="K10" s="25">
        <v>310</v>
      </c>
    </row>
    <row r="11" spans="1:11" ht="15.75">
      <c r="A11" s="3"/>
      <c r="B11" s="27" t="s">
        <v>122</v>
      </c>
      <c r="C11" s="39"/>
      <c r="E11" s="27" t="s">
        <v>115</v>
      </c>
      <c r="F11" s="39">
        <f>(44/12)*6.273/1000/1000000/Unit.therm</f>
        <v>0.78482259931212373</v>
      </c>
      <c r="G11" s="39"/>
      <c r="H11" s="39"/>
      <c r="J11" s="25" t="s">
        <v>169</v>
      </c>
      <c r="K11" s="43" t="s">
        <v>172</v>
      </c>
    </row>
    <row r="12" spans="1:11" ht="15.75">
      <c r="A12" s="3"/>
      <c r="B12" s="25"/>
      <c r="C12" s="30"/>
      <c r="E12" s="25"/>
      <c r="F12" s="30"/>
      <c r="G12" s="30"/>
      <c r="H12" s="30"/>
      <c r="J12" s="25" t="s">
        <v>170</v>
      </c>
      <c r="K12" s="43" t="s">
        <v>173</v>
      </c>
    </row>
    <row r="13" spans="1:11" ht="15.75">
      <c r="A13" s="3"/>
      <c r="B13" s="45" t="s">
        <v>283</v>
      </c>
      <c r="C13" s="125" t="str">
        <f>preferences.energyunits &amp; " / kg"</f>
        <v>TWh / kg</v>
      </c>
      <c r="E13"/>
      <c r="J13" s="27" t="s">
        <v>171</v>
      </c>
      <c r="K13" s="44">
        <v>23900</v>
      </c>
    </row>
    <row r="14" spans="1:11" s="36" customFormat="1" ht="15.75">
      <c r="A14" s="3"/>
      <c r="B14" s="148" t="s">
        <v>335</v>
      </c>
      <c r="C14" s="38"/>
      <c r="J14" s="25"/>
      <c r="K14" s="146"/>
    </row>
    <row r="15" spans="1:11" ht="15.75">
      <c r="A15" s="3"/>
      <c r="B15" s="25" t="s">
        <v>284</v>
      </c>
      <c r="C15" s="38"/>
      <c r="E15" s="47"/>
      <c r="F15" s="46"/>
      <c r="G15" s="46"/>
    </row>
    <row r="16" spans="1:11" s="36" customFormat="1" ht="15.75">
      <c r="A16" s="3"/>
      <c r="B16" s="25" t="s">
        <v>287</v>
      </c>
      <c r="C16" s="38"/>
      <c r="E16" s="47"/>
      <c r="F16" s="46"/>
      <c r="G16" s="46"/>
    </row>
    <row r="17" spans="1:10" s="36" customFormat="1" ht="15.75">
      <c r="A17" s="3"/>
      <c r="B17" s="25" t="s">
        <v>288</v>
      </c>
      <c r="C17" s="38"/>
      <c r="E17" s="47"/>
      <c r="F17" s="46"/>
      <c r="G17" s="46"/>
    </row>
    <row r="18" spans="1:10" s="36" customFormat="1" ht="15.75">
      <c r="A18" s="3"/>
      <c r="B18" s="27" t="s">
        <v>295</v>
      </c>
      <c r="C18" s="39"/>
      <c r="E18" s="47"/>
      <c r="F18" s="46"/>
      <c r="G18" s="46"/>
    </row>
    <row r="19" spans="1:10" ht="15" customHeight="1">
      <c r="B19" s="25"/>
      <c r="C19" s="30"/>
    </row>
    <row r="20" spans="1:10" ht="15.75">
      <c r="A20" s="3"/>
      <c r="B20" s="45" t="s">
        <v>128</v>
      </c>
      <c r="C20" s="125" t="str">
        <f>preferences.energyunits &amp; " / cubic metre"</f>
        <v>TWh / cubic metre</v>
      </c>
      <c r="E20" s="19" t="s">
        <v>176</v>
      </c>
      <c r="J20" s="19" t="s">
        <v>177</v>
      </c>
    </row>
    <row r="21" spans="1:10" s="36" customFormat="1" ht="15.75">
      <c r="A21" s="3"/>
      <c r="B21" s="147" t="s">
        <v>336</v>
      </c>
      <c r="C21" s="38"/>
      <c r="E21" s="19"/>
      <c r="J21" s="19"/>
    </row>
    <row r="22" spans="1:10" ht="15.75">
      <c r="A22" s="3"/>
      <c r="B22" s="25" t="s">
        <v>129</v>
      </c>
      <c r="C22" s="38"/>
      <c r="E22" s="37" t="s">
        <v>175</v>
      </c>
      <c r="J22" s="37" t="s">
        <v>178</v>
      </c>
    </row>
    <row r="23" spans="1:10" ht="15.75">
      <c r="A23" s="3"/>
      <c r="B23" s="25" t="s">
        <v>116</v>
      </c>
      <c r="C23" s="38"/>
      <c r="E23" s="37" t="s">
        <v>174</v>
      </c>
    </row>
    <row r="24" spans="1:10" ht="15.75">
      <c r="A24" s="3"/>
      <c r="B24" s="25" t="s">
        <v>115</v>
      </c>
      <c r="C24" s="38"/>
      <c r="E24" s="37" t="s">
        <v>180</v>
      </c>
    </row>
    <row r="25" spans="1:10" ht="15.75">
      <c r="A25" s="3"/>
      <c r="B25" s="25" t="s">
        <v>111</v>
      </c>
      <c r="C25" s="38"/>
      <c r="E25"/>
    </row>
    <row r="26" spans="1:10" ht="15.75">
      <c r="A26" s="3"/>
      <c r="B26" s="27" t="s">
        <v>130</v>
      </c>
      <c r="C26" s="39"/>
      <c r="E26" s="19" t="s">
        <v>179</v>
      </c>
    </row>
    <row r="27" spans="1:10">
      <c r="E27" s="37" t="s">
        <v>181</v>
      </c>
    </row>
    <row r="28" spans="1:10">
      <c r="B28" s="19" t="s">
        <v>177</v>
      </c>
      <c r="E28" s="37" t="s">
        <v>182</v>
      </c>
    </row>
    <row r="29" spans="1:10">
      <c r="B29" s="37" t="s">
        <v>285</v>
      </c>
      <c r="E29" s="37" t="s">
        <v>183</v>
      </c>
    </row>
    <row r="32" spans="1:10" ht="18.75">
      <c r="B32" s="24" t="s">
        <v>289</v>
      </c>
      <c r="C32" s="36"/>
      <c r="E32" s="36" t="s">
        <v>688</v>
      </c>
    </row>
    <row r="33" spans="1:9" ht="4.5" customHeight="1">
      <c r="B33" s="37"/>
      <c r="C33" s="36"/>
    </row>
    <row r="34" spans="1:9" ht="15.75">
      <c r="A34" s="3"/>
      <c r="B34" s="28" t="s">
        <v>290</v>
      </c>
      <c r="C34" s="124" t="s">
        <v>286</v>
      </c>
      <c r="E34" s="36" t="s">
        <v>689</v>
      </c>
      <c r="F34" t="s">
        <v>666</v>
      </c>
      <c r="G34" s="36" t="s">
        <v>668</v>
      </c>
      <c r="H34" s="36" t="s">
        <v>669</v>
      </c>
      <c r="I34" t="s">
        <v>667</v>
      </c>
    </row>
    <row r="35" spans="1:9" ht="15.75">
      <c r="A35" s="3"/>
      <c r="B35" s="25" t="s">
        <v>292</v>
      </c>
      <c r="C35" s="38">
        <f>(1/1362)*1000</f>
        <v>0.73421439060205573</v>
      </c>
      <c r="E35" s="36" t="s">
        <v>426</v>
      </c>
      <c r="F35" s="497">
        <v>4.1883435413393535</v>
      </c>
      <c r="G35" s="497">
        <v>0.76884878586155336</v>
      </c>
      <c r="H35" s="497">
        <v>1.1643824604548389E-2</v>
      </c>
      <c r="I35" s="497">
        <v>15.32101270801348</v>
      </c>
    </row>
    <row r="36" spans="1:9" s="441" customFormat="1" ht="15.75">
      <c r="A36" s="3"/>
      <c r="B36" s="25" t="s">
        <v>614</v>
      </c>
      <c r="C36" s="38">
        <v>0.78900000000000003</v>
      </c>
      <c r="E36" s="441" t="s">
        <v>112</v>
      </c>
      <c r="F36" s="497">
        <v>4.6844827796160651</v>
      </c>
      <c r="G36" s="497">
        <v>0.23047708742545636</v>
      </c>
      <c r="H36" s="497">
        <v>1.3065148833871658E-2</v>
      </c>
      <c r="I36" s="497">
        <v>8.5906552123944682</v>
      </c>
    </row>
    <row r="37" spans="1:9" s="441" customFormat="1" ht="15.75">
      <c r="A37" s="3"/>
      <c r="B37" s="25" t="s">
        <v>615</v>
      </c>
      <c r="C37" s="38">
        <f>AVERAGE(775,840)/1000</f>
        <v>0.8075</v>
      </c>
      <c r="E37" s="441" t="s">
        <v>14</v>
      </c>
      <c r="F37" s="497">
        <v>10.039877780604778</v>
      </c>
      <c r="G37" s="497">
        <v>0.57381656809661186</v>
      </c>
      <c r="H37" s="497">
        <v>0</v>
      </c>
      <c r="I37" s="497">
        <v>1.6277314142584762</v>
      </c>
    </row>
    <row r="38" spans="1:9" ht="15.75">
      <c r="A38" s="3"/>
      <c r="B38" s="27" t="s">
        <v>293</v>
      </c>
      <c r="C38" s="39">
        <f>(1/1198)*1000</f>
        <v>0.8347245409015025</v>
      </c>
    </row>
    <row r="39" spans="1:9">
      <c r="B39" s="32" t="s">
        <v>177</v>
      </c>
    </row>
    <row r="40" spans="1:9">
      <c r="B40" s="93" t="s">
        <v>291</v>
      </c>
    </row>
    <row r="42" spans="1:9" s="36" customFormat="1" ht="18.75">
      <c r="B42" s="24" t="s">
        <v>361</v>
      </c>
      <c r="G42" s="372"/>
    </row>
    <row r="43" spans="1:9" s="36" customFormat="1">
      <c r="B43" s="36" t="s">
        <v>495</v>
      </c>
      <c r="G43" s="372"/>
      <c r="H43" s="16" t="str">
        <f>"Mt CO2e per " &amp; preferences.energyunits</f>
        <v>Mt CO2e per TWh</v>
      </c>
    </row>
    <row r="44" spans="1:9" ht="6" customHeight="1">
      <c r="C44" s="36"/>
      <c r="E44"/>
      <c r="G44" s="372"/>
      <c r="H44"/>
    </row>
    <row r="45" spans="1:9" ht="18">
      <c r="A45" s="62"/>
      <c r="B45" s="51" t="s">
        <v>64</v>
      </c>
      <c r="C45" s="51" t="s">
        <v>65</v>
      </c>
      <c r="D45" s="51" t="s">
        <v>350</v>
      </c>
      <c r="E45" s="51" t="s">
        <v>351</v>
      </c>
      <c r="F45" s="51" t="s">
        <v>352</v>
      </c>
      <c r="G45" s="51" t="s">
        <v>534</v>
      </c>
      <c r="H45" s="51" t="s">
        <v>189</v>
      </c>
    </row>
    <row r="46" spans="1:9" ht="15.75">
      <c r="A46" s="3"/>
      <c r="B46" s="51" t="s">
        <v>25</v>
      </c>
      <c r="C46" s="51" t="str">
        <f>INDEX(Vectors[Description], MATCH([Vector], Vectors[Code], 0))</f>
        <v>Conversion losses</v>
      </c>
      <c r="D46" s="97">
        <v>0</v>
      </c>
      <c r="E46" s="97">
        <v>0</v>
      </c>
      <c r="F46" s="97">
        <v>0</v>
      </c>
      <c r="G46" s="97">
        <f>SUM(EF[[#This Row],[CO2]:[N2O]])</f>
        <v>0</v>
      </c>
      <c r="H46" s="51"/>
    </row>
    <row r="47" spans="1:9" ht="15.75">
      <c r="A47" s="3"/>
      <c r="B47" s="51" t="s">
        <v>26</v>
      </c>
      <c r="C47" s="51" t="str">
        <f>INDEX(Vectors[Description], MATCH([Vector], Vectors[Code], 0))</f>
        <v>Distribution losses and own use</v>
      </c>
      <c r="D47" s="97">
        <v>0</v>
      </c>
      <c r="E47" s="97">
        <v>0</v>
      </c>
      <c r="F47" s="97">
        <v>0</v>
      </c>
      <c r="G47" s="97">
        <f>SUM(EF[[#This Row],[CO2]:[N2O]])</f>
        <v>0</v>
      </c>
      <c r="H47" s="51"/>
    </row>
    <row r="48" spans="1:9" ht="15.75">
      <c r="A48" s="3"/>
      <c r="B48" s="51" t="s">
        <v>48</v>
      </c>
      <c r="C48" s="51" t="str">
        <f>INDEX(Vectors[Description], MATCH([Vector], Vectors[Code], 0))</f>
        <v>Unallocated</v>
      </c>
      <c r="D48" s="97">
        <v>0</v>
      </c>
      <c r="E48" s="97">
        <v>0</v>
      </c>
      <c r="F48" s="97">
        <v>0</v>
      </c>
      <c r="G48" s="97">
        <f>SUM(EF[[#This Row],[CO2]:[N2O]])</f>
        <v>0</v>
      </c>
      <c r="H48" s="51"/>
    </row>
    <row r="49" spans="1:8" ht="15.75">
      <c r="A49" s="3"/>
      <c r="B49" s="51" t="s">
        <v>27</v>
      </c>
      <c r="C49" s="51" t="str">
        <f>INDEX(Vectors[Description], MATCH([Vector], Vectors[Code], 0))</f>
        <v>Road transport</v>
      </c>
      <c r="D49" s="97">
        <v>0</v>
      </c>
      <c r="E49" s="97">
        <v>0</v>
      </c>
      <c r="F49" s="97">
        <v>0</v>
      </c>
      <c r="G49" s="97">
        <f>SUM(EF[[#This Row],[CO2]:[N2O]])</f>
        <v>0</v>
      </c>
      <c r="H49" s="51"/>
    </row>
    <row r="50" spans="1:8" ht="15.75">
      <c r="A50" s="3"/>
      <c r="B50" s="51" t="s">
        <v>28</v>
      </c>
      <c r="C50" s="51" t="str">
        <f>INDEX(Vectors[Description], MATCH([Vector], Vectors[Code], 0))</f>
        <v>Rail transport</v>
      </c>
      <c r="D50" s="97">
        <v>0</v>
      </c>
      <c r="E50" s="97">
        <v>0</v>
      </c>
      <c r="F50" s="97">
        <v>0</v>
      </c>
      <c r="G50" s="97">
        <f>SUM(EF[[#This Row],[CO2]:[N2O]])</f>
        <v>0</v>
      </c>
      <c r="H50" s="51"/>
    </row>
    <row r="51" spans="1:8" ht="15.75">
      <c r="A51" s="3"/>
      <c r="B51" s="51" t="s">
        <v>29</v>
      </c>
      <c r="C51" s="51" t="str">
        <f>INDEX(Vectors[Description], MATCH([Vector], Vectors[Code], 0))</f>
        <v>Domestic aviation</v>
      </c>
      <c r="D51" s="97">
        <v>0</v>
      </c>
      <c r="E51" s="97">
        <v>0</v>
      </c>
      <c r="F51" s="97">
        <v>0</v>
      </c>
      <c r="G51" s="97">
        <f>SUM(EF[[#This Row],[CO2]:[N2O]])</f>
        <v>0</v>
      </c>
      <c r="H51" s="51"/>
    </row>
    <row r="52" spans="1:8" ht="15.75">
      <c r="A52" s="3"/>
      <c r="B52" s="51" t="s">
        <v>30</v>
      </c>
      <c r="C52" s="51" t="str">
        <f>INDEX(Vectors[Description], MATCH([Vector], Vectors[Code], 0))</f>
        <v>National navigation</v>
      </c>
      <c r="D52" s="97">
        <v>0</v>
      </c>
      <c r="E52" s="97">
        <v>0</v>
      </c>
      <c r="F52" s="97">
        <v>0</v>
      </c>
      <c r="G52" s="97">
        <f>SUM(EF[[#This Row],[CO2]:[N2O]])</f>
        <v>0</v>
      </c>
      <c r="H52" s="51"/>
    </row>
    <row r="53" spans="1:8" ht="15.75">
      <c r="A53" s="3"/>
      <c r="B53" s="51" t="s">
        <v>305</v>
      </c>
      <c r="C53" s="51" t="str">
        <f>INDEX(Vectors[Description], MATCH([Vector], Vectors[Code], 0))</f>
        <v>International aviation</v>
      </c>
      <c r="D53" s="97">
        <v>0</v>
      </c>
      <c r="E53" s="97">
        <v>0</v>
      </c>
      <c r="F53" s="97">
        <v>0</v>
      </c>
      <c r="G53" s="97">
        <f>SUM(EF[[#This Row],[CO2]:[N2O]])</f>
        <v>0</v>
      </c>
      <c r="H53" s="51"/>
    </row>
    <row r="54" spans="1:8" ht="15.75">
      <c r="A54" s="3"/>
      <c r="B54" s="51" t="s">
        <v>306</v>
      </c>
      <c r="C54" s="51" t="str">
        <f>INDEX(Vectors[Description], MATCH([Vector], Vectors[Code], 0))</f>
        <v>International shipping</v>
      </c>
      <c r="D54" s="97">
        <v>0</v>
      </c>
      <c r="E54" s="97">
        <v>0</v>
      </c>
      <c r="F54" s="97">
        <v>0</v>
      </c>
      <c r="G54" s="97">
        <f>SUM(EF[[#This Row],[CO2]:[N2O]])</f>
        <v>0</v>
      </c>
      <c r="H54" s="51"/>
    </row>
    <row r="55" spans="1:8" ht="15.75">
      <c r="A55" s="3"/>
      <c r="B55" s="51" t="s">
        <v>13</v>
      </c>
      <c r="C55" s="51" t="str">
        <f>INDEX(Vectors[Description], MATCH([Vector], Vectors[Code], 0))</f>
        <v>Industry</v>
      </c>
      <c r="D55" s="97">
        <v>0</v>
      </c>
      <c r="E55" s="97">
        <v>0</v>
      </c>
      <c r="F55" s="97">
        <v>0</v>
      </c>
      <c r="G55" s="97">
        <f>SUM(EF[[#This Row],[CO2]:[N2O]])</f>
        <v>0</v>
      </c>
      <c r="H55" s="51"/>
    </row>
    <row r="56" spans="1:8" ht="15.75">
      <c r="A56" s="3"/>
      <c r="B56" s="51" t="s">
        <v>6</v>
      </c>
      <c r="C56" s="51" t="str">
        <f>INDEX(Vectors[Description], MATCH([Vector], Vectors[Code], 0))</f>
        <v>Heating and cooling</v>
      </c>
      <c r="D56" s="97">
        <v>0</v>
      </c>
      <c r="E56" s="97">
        <v>0</v>
      </c>
      <c r="F56" s="97">
        <v>0</v>
      </c>
      <c r="G56" s="97">
        <f>SUM(EF[[#This Row],[CO2]:[N2O]])</f>
        <v>0</v>
      </c>
      <c r="H56" s="51"/>
    </row>
    <row r="57" spans="1:8" ht="15.75">
      <c r="A57" s="3"/>
      <c r="B57" s="51" t="s">
        <v>44</v>
      </c>
      <c r="C57" s="51" t="str">
        <f>INDEX(Vectors[Description], MATCH([Vector], Vectors[Code], 0))</f>
        <v>Domestic Lighting &amp; appliances</v>
      </c>
      <c r="D57" s="97">
        <v>0</v>
      </c>
      <c r="E57" s="97">
        <v>0</v>
      </c>
      <c r="F57" s="97">
        <v>0</v>
      </c>
      <c r="G57" s="97">
        <f>SUM(EF[[#This Row],[CO2]:[N2O]])</f>
        <v>0</v>
      </c>
      <c r="H57" s="51"/>
    </row>
    <row r="58" spans="1:8" ht="15.75">
      <c r="A58" s="3"/>
      <c r="B58" s="51" t="s">
        <v>31</v>
      </c>
      <c r="C58" s="51" t="str">
        <f>INDEX(Vectors[Description], MATCH([Vector], Vectors[Code], 0))</f>
        <v>No name</v>
      </c>
      <c r="D58" s="97">
        <v>0</v>
      </c>
      <c r="E58" s="97">
        <v>0</v>
      </c>
      <c r="F58" s="97">
        <v>0</v>
      </c>
      <c r="G58" s="97">
        <f>SUM(EF[[#This Row],[CO2]:[N2O]])</f>
        <v>0</v>
      </c>
      <c r="H58" s="51"/>
    </row>
    <row r="59" spans="1:8" ht="15.75">
      <c r="A59" s="3"/>
      <c r="B59" s="51" t="s">
        <v>7</v>
      </c>
      <c r="C59" s="51" t="str">
        <f>INDEX(Vectors[Description], MATCH([Vector], Vectors[Code], 0))</f>
        <v>Nuclear fission</v>
      </c>
      <c r="D59" s="97">
        <v>0</v>
      </c>
      <c r="E59" s="97">
        <v>0</v>
      </c>
      <c r="F59" s="97">
        <v>0</v>
      </c>
      <c r="G59" s="97">
        <f>SUM(EF[[#This Row],[CO2]:[N2O]])</f>
        <v>0</v>
      </c>
      <c r="H59" s="51"/>
    </row>
    <row r="60" spans="1:8" ht="15.75">
      <c r="A60" s="3"/>
      <c r="B60" s="51" t="s">
        <v>24</v>
      </c>
      <c r="C60" s="51" t="str">
        <f>INDEX(Vectors[Description], MATCH([Vector], Vectors[Code], 0))</f>
        <v>Solar</v>
      </c>
      <c r="D60" s="97">
        <v>0</v>
      </c>
      <c r="E60" s="97">
        <v>0</v>
      </c>
      <c r="F60" s="97">
        <v>0</v>
      </c>
      <c r="G60" s="97">
        <f>SUM(EF[[#This Row],[CO2]:[N2O]])</f>
        <v>0</v>
      </c>
      <c r="H60" s="51"/>
    </row>
    <row r="61" spans="1:8" ht="15.75">
      <c r="A61" s="3"/>
      <c r="B61" s="51" t="s">
        <v>8</v>
      </c>
      <c r="C61" s="51" t="str">
        <f>INDEX(Vectors[Description], MATCH([Vector], Vectors[Code], 0))</f>
        <v>Wind</v>
      </c>
      <c r="D61" s="97">
        <v>0</v>
      </c>
      <c r="E61" s="97">
        <v>0</v>
      </c>
      <c r="F61" s="97">
        <v>0</v>
      </c>
      <c r="G61" s="97">
        <f>SUM(EF[[#This Row],[CO2]:[N2O]])</f>
        <v>0</v>
      </c>
      <c r="H61" s="51"/>
    </row>
    <row r="62" spans="1:8" ht="15.75">
      <c r="A62" s="3"/>
      <c r="B62" s="51" t="s">
        <v>9</v>
      </c>
      <c r="C62" s="51" t="str">
        <f>INDEX(Vectors[Description], MATCH([Vector], Vectors[Code], 0))</f>
        <v>Tidal</v>
      </c>
      <c r="D62" s="97">
        <v>0</v>
      </c>
      <c r="E62" s="97">
        <v>0</v>
      </c>
      <c r="F62" s="97">
        <v>0</v>
      </c>
      <c r="G62" s="97">
        <f>SUM(EF[[#This Row],[CO2]:[N2O]])</f>
        <v>0</v>
      </c>
      <c r="H62" s="51"/>
    </row>
    <row r="63" spans="1:8" ht="15.75">
      <c r="A63" s="3"/>
      <c r="B63" s="51" t="s">
        <v>10</v>
      </c>
      <c r="C63" s="51" t="str">
        <f>INDEX(Vectors[Description], MATCH([Vector], Vectors[Code], 0))</f>
        <v>Wave</v>
      </c>
      <c r="D63" s="97">
        <v>0</v>
      </c>
      <c r="E63" s="97">
        <v>0</v>
      </c>
      <c r="F63" s="97">
        <v>0</v>
      </c>
      <c r="G63" s="97">
        <f>SUM(EF[[#This Row],[CO2]:[N2O]])</f>
        <v>0</v>
      </c>
      <c r="H63" s="51"/>
    </row>
    <row r="64" spans="1:8" ht="15.75">
      <c r="A64" s="3"/>
      <c r="B64" s="51" t="s">
        <v>11</v>
      </c>
      <c r="C64" s="51" t="str">
        <f>INDEX(Vectors[Description], MATCH([Vector], Vectors[Code], 0))</f>
        <v>Geothermal</v>
      </c>
      <c r="D64" s="97">
        <v>0</v>
      </c>
      <c r="E64" s="97">
        <v>0</v>
      </c>
      <c r="F64" s="97">
        <v>0</v>
      </c>
      <c r="G64" s="97">
        <f>SUM(EF[[#This Row],[CO2]:[N2O]])</f>
        <v>0</v>
      </c>
      <c r="H64" s="51"/>
    </row>
    <row r="65" spans="1:10" ht="15.75">
      <c r="A65" s="3"/>
      <c r="B65" s="51" t="s">
        <v>12</v>
      </c>
      <c r="C65" s="51" t="str">
        <f>INDEX(Vectors[Description], MATCH([Vector], Vectors[Code], 0))</f>
        <v>Hydro</v>
      </c>
      <c r="D65" s="97">
        <v>0</v>
      </c>
      <c r="E65" s="97">
        <v>0</v>
      </c>
      <c r="F65" s="97">
        <v>0</v>
      </c>
      <c r="G65" s="97">
        <f>SUM(EF[[#This Row],[CO2]:[N2O]])</f>
        <v>0</v>
      </c>
      <c r="H65" s="51"/>
    </row>
    <row r="66" spans="1:10" ht="15.75">
      <c r="A66" s="3"/>
      <c r="B66" s="51" t="s">
        <v>90</v>
      </c>
      <c r="C66" s="51" t="str">
        <f>INDEX(Vectors[Description], MATCH([Vector], Vectors[Code], 0))</f>
        <v>Environmental heat</v>
      </c>
      <c r="D66" s="97">
        <v>0</v>
      </c>
      <c r="E66" s="97">
        <v>0</v>
      </c>
      <c r="F66" s="97">
        <v>0</v>
      </c>
      <c r="G66" s="97">
        <f>SUM(EF[[#This Row],[CO2]:[N2O]])</f>
        <v>0</v>
      </c>
      <c r="H66" s="51"/>
    </row>
    <row r="67" spans="1:10" ht="15.75">
      <c r="A67" s="3"/>
      <c r="B67" s="51" t="s">
        <v>334</v>
      </c>
      <c r="C67" s="51" t="str">
        <f>INDEX(Vectors[Description], MATCH([Vector], Vectors[Code], 0))</f>
        <v>Agriculture</v>
      </c>
      <c r="D67" s="97">
        <v>0</v>
      </c>
      <c r="E67" s="97">
        <v>0</v>
      </c>
      <c r="F67" s="97">
        <v>0</v>
      </c>
      <c r="G67" s="97">
        <f>SUM(EF[[#This Row],[CO2]:[N2O]])</f>
        <v>0</v>
      </c>
      <c r="H67" s="51"/>
    </row>
    <row r="68" spans="1:10" ht="15.75">
      <c r="A68" s="3"/>
      <c r="B68" s="51" t="s">
        <v>42</v>
      </c>
      <c r="C68" s="51" t="str">
        <f>INDEX(Vectors[Description], MATCH([Vector], Vectors[Code], 0))</f>
        <v>Waste</v>
      </c>
      <c r="D68" s="97">
        <v>0</v>
      </c>
      <c r="E68" s="97">
        <v>0</v>
      </c>
      <c r="F68" s="97">
        <v>0</v>
      </c>
      <c r="G68" s="97">
        <f>SUM(EF[[#This Row],[CO2]:[N2O]])</f>
        <v>0</v>
      </c>
      <c r="H68" s="51"/>
    </row>
    <row r="69" spans="1:10" ht="15.75">
      <c r="A69" s="3"/>
      <c r="B69" s="51" t="s">
        <v>46</v>
      </c>
      <c r="C69" s="51" t="str">
        <f>INDEX(Vectors[Description], MATCH([Vector], Vectors[Code], 0))</f>
        <v>Biomass oversupply (imports)</v>
      </c>
      <c r="D69" s="97">
        <v>0</v>
      </c>
      <c r="E69" s="97">
        <v>0</v>
      </c>
      <c r="F69" s="97">
        <v>0</v>
      </c>
      <c r="G69" s="97">
        <f>SUM(EF[[#This Row],[CO2]:[N2O]])</f>
        <v>0</v>
      </c>
      <c r="H69" s="51"/>
    </row>
    <row r="70" spans="1:10" ht="15.75">
      <c r="A70" s="3"/>
      <c r="B70" s="51" t="s">
        <v>47</v>
      </c>
      <c r="C70" s="51" t="str">
        <f>INDEX(Vectors[Description], MATCH([Vector], Vectors[Code], 0))</f>
        <v>Electricity oversupply (imports)</v>
      </c>
      <c r="D70" s="97">
        <v>0</v>
      </c>
      <c r="E70" s="97">
        <v>0</v>
      </c>
      <c r="F70" s="97">
        <v>0</v>
      </c>
      <c r="G70" s="97">
        <f>SUM(EF[[#This Row],[CO2]:[N2O]])</f>
        <v>0</v>
      </c>
      <c r="H70" s="51"/>
    </row>
    <row r="71" spans="1:10" ht="15.75">
      <c r="A71" s="3"/>
      <c r="B71" s="51" t="s">
        <v>268</v>
      </c>
      <c r="C71" s="51" t="str">
        <f>INDEX(Vectors[Description], MATCH([Vector], Vectors[Code], 0))</f>
        <v>Petroleum products oversupply</v>
      </c>
      <c r="D71" s="97">
        <v>0</v>
      </c>
      <c r="E71" s="97">
        <v>0</v>
      </c>
      <c r="F71" s="97">
        <v>0</v>
      </c>
      <c r="G71" s="97">
        <f>SUM(EF[[#This Row],[CO2]:[N2O]])</f>
        <v>0</v>
      </c>
      <c r="H71" s="51"/>
    </row>
    <row r="72" spans="1:10" ht="15.75">
      <c r="A72" s="3"/>
      <c r="B72" s="51" t="s">
        <v>315</v>
      </c>
      <c r="C72" s="51" t="str">
        <f>INDEX(Vectors[Description], MATCH([Vector], Vectors[Code], 0))</f>
        <v>Coal oversupply (imports)</v>
      </c>
      <c r="D72" s="97">
        <v>0</v>
      </c>
      <c r="E72" s="97">
        <v>0</v>
      </c>
      <c r="F72" s="97">
        <v>0</v>
      </c>
      <c r="G72" s="97">
        <f>SUM(EF[[#This Row],[CO2]:[N2O]])</f>
        <v>0</v>
      </c>
      <c r="H72" s="51"/>
    </row>
    <row r="73" spans="1:10" ht="15.75">
      <c r="A73" s="3"/>
      <c r="B73" s="51" t="s">
        <v>316</v>
      </c>
      <c r="C73" s="51" t="str">
        <f>INDEX(Vectors[Description], MATCH([Vector], Vectors[Code], 0))</f>
        <v>Oil and petroleum products oversupply (imports)</v>
      </c>
      <c r="D73" s="97">
        <v>0</v>
      </c>
      <c r="E73" s="97">
        <v>0</v>
      </c>
      <c r="F73" s="97">
        <v>0</v>
      </c>
      <c r="G73" s="97">
        <f>SUM(EF[[#This Row],[CO2]:[N2O]])</f>
        <v>0</v>
      </c>
      <c r="H73" s="51"/>
      <c r="J73">
        <f>48*56.1/1000</f>
        <v>2.6928000000000001</v>
      </c>
    </row>
    <row r="74" spans="1:10" ht="15.75">
      <c r="A74" s="3"/>
      <c r="B74" s="51" t="s">
        <v>317</v>
      </c>
      <c r="C74" s="51" t="str">
        <f>INDEX(Vectors[Description], MATCH([Vector], Vectors[Code], 0))</f>
        <v>Gas oversupply (imports)</v>
      </c>
      <c r="D74" s="97">
        <v>0</v>
      </c>
      <c r="E74" s="97">
        <v>0</v>
      </c>
      <c r="F74" s="97">
        <v>0</v>
      </c>
      <c r="G74" s="97">
        <f>SUM(EF[[#This Row],[CO2]:[N2O]])</f>
        <v>0</v>
      </c>
      <c r="H74" s="51"/>
    </row>
    <row r="75" spans="1:10" ht="15.75">
      <c r="A75" s="3"/>
      <c r="B75" s="51" t="s">
        <v>320</v>
      </c>
      <c r="C75" s="51" t="str">
        <f>INDEX(Vectors[Description], MATCH([Vector], Vectors[Code], 0))</f>
        <v>Coal reserves</v>
      </c>
      <c r="D75" s="38">
        <f>1.614/Unit.Mtce</f>
        <v>0.3470967741935484</v>
      </c>
      <c r="E75" s="38"/>
      <c r="F75" s="38"/>
      <c r="G75" s="38">
        <f>SUM(EF[[#This Row],[CO2]:[N2O]])</f>
        <v>0.3470967741935484</v>
      </c>
      <c r="H75" s="51" t="s">
        <v>362</v>
      </c>
    </row>
    <row r="76" spans="1:10" ht="15.75">
      <c r="A76" s="3"/>
      <c r="B76" s="51" t="s">
        <v>321</v>
      </c>
      <c r="C76" s="51" t="str">
        <f>INDEX(Vectors[Description], MATCH([Vector], Vectors[Code], 0))</f>
        <v>Oil reserves</v>
      </c>
      <c r="D76" s="38">
        <f>3.102/Unit.Mtoe</f>
        <v>0.26672398968185723</v>
      </c>
      <c r="E76" s="38"/>
      <c r="F76" s="38"/>
      <c r="G76" s="38">
        <f>SUM(EF[[#This Row],[CO2]:[N2O]])</f>
        <v>0.26672398968185723</v>
      </c>
      <c r="H76" s="51" t="s">
        <v>363</v>
      </c>
    </row>
    <row r="77" spans="1:10" ht="15.75">
      <c r="A77" s="3"/>
      <c r="B77" s="51" t="s">
        <v>322</v>
      </c>
      <c r="C77" s="51" t="str">
        <f>INDEX(Vectors[Description], MATCH([Vector], Vectors[Code], 0))</f>
        <v>Gas reserves</v>
      </c>
      <c r="D77" s="38">
        <f>0.0021/unit.mtge</f>
        <v>0.19894736842105262</v>
      </c>
      <c r="E77" s="38"/>
      <c r="F77" s="38"/>
      <c r="G77" s="38">
        <f>SUM(EF[[#This Row],[CO2]:[N2O]])</f>
        <v>0.19894736842105262</v>
      </c>
      <c r="H77" s="51" t="s">
        <v>364</v>
      </c>
    </row>
    <row r="78" spans="1:10" ht="15.75">
      <c r="A78" s="3"/>
      <c r="B78" s="51" t="s">
        <v>51</v>
      </c>
      <c r="C78" s="51" t="str">
        <f>INDEX(Vectors[Description], MATCH([Vector], Vectors[Code], 0))</f>
        <v>Coal indigenous production</v>
      </c>
      <c r="D78" s="38"/>
      <c r="E78" s="38"/>
      <c r="F78" s="38"/>
      <c r="G78" s="38">
        <f>SUM(EF[[#This Row],[CO2]:[N2O]])</f>
        <v>0</v>
      </c>
      <c r="H78" s="51" t="s">
        <v>362</v>
      </c>
      <c r="J78">
        <f>0.0021</f>
        <v>2.0999999999999999E-3</v>
      </c>
    </row>
    <row r="79" spans="1:10" ht="15.75">
      <c r="A79" s="3"/>
      <c r="B79" s="51" t="s">
        <v>52</v>
      </c>
      <c r="C79" s="51" t="str">
        <f>INDEX(Vectors[Description], MATCH([Vector], Vectors[Code], 0))</f>
        <v>Oil and petroleum products</v>
      </c>
      <c r="D79" s="38"/>
      <c r="E79" s="38"/>
      <c r="F79" s="38"/>
      <c r="G79" s="38">
        <f>SUM(EF[[#This Row],[CO2]:[N2O]])</f>
        <v>0</v>
      </c>
      <c r="H79" s="51" t="s">
        <v>363</v>
      </c>
    </row>
    <row r="80" spans="1:10" ht="15.75">
      <c r="A80" s="3"/>
      <c r="B80" s="51" t="s">
        <v>53</v>
      </c>
      <c r="C80" s="51" t="str">
        <f>INDEX(Vectors[Description], MATCH([Vector], Vectors[Code], 0))</f>
        <v>Natural gas</v>
      </c>
      <c r="D80" s="38"/>
      <c r="E80" s="38"/>
      <c r="F80" s="38"/>
      <c r="G80" s="38">
        <f>SUM(EF[[#This Row],[CO2]:[N2O]])</f>
        <v>0</v>
      </c>
      <c r="H80" s="51" t="s">
        <v>364</v>
      </c>
    </row>
    <row r="81" spans="1:11" ht="15.75">
      <c r="A81" s="3"/>
      <c r="B81" s="51" t="s">
        <v>34</v>
      </c>
      <c r="C81" s="51" t="str">
        <f>INDEX(Vectors[Description], MATCH([Vector], Vectors[Code], 0))</f>
        <v>Electricity (delivered to end user)</v>
      </c>
      <c r="D81" s="97">
        <v>0</v>
      </c>
      <c r="E81" s="97"/>
      <c r="F81" s="97"/>
      <c r="G81" s="97">
        <f>SUM(EF[[#This Row],[CO2]:[N2O]])</f>
        <v>0</v>
      </c>
      <c r="H81" s="51"/>
      <c r="K81" s="23"/>
    </row>
    <row r="82" spans="1:11" ht="15.75">
      <c r="A82" s="3"/>
      <c r="B82" s="51" t="s">
        <v>35</v>
      </c>
      <c r="C82" s="51" t="str">
        <f>INDEX(Vectors[Description], MATCH([Vector], Vectors[Code], 0))</f>
        <v>Electricity (supplied to grid)</v>
      </c>
      <c r="D82" s="97">
        <v>0</v>
      </c>
      <c r="E82" s="97"/>
      <c r="F82" s="97"/>
      <c r="G82" s="97">
        <f>SUM(EF[[#This Row],[CO2]:[N2O]])</f>
        <v>0</v>
      </c>
      <c r="H82" s="51"/>
      <c r="K82" s="23"/>
    </row>
    <row r="83" spans="1:11" ht="15.75">
      <c r="A83" s="3"/>
      <c r="B83" s="51" t="s">
        <v>36</v>
      </c>
      <c r="C83" s="51" t="str">
        <f>INDEX(Vectors[Description], MATCH([Vector], Vectors[Code], 0))</f>
        <v>Solid hydrocarbons</v>
      </c>
      <c r="D83" s="38">
        <f>1.614/Unit.Mtce</f>
        <v>0.3470967741935484</v>
      </c>
      <c r="E83" s="38"/>
      <c r="F83" s="38"/>
      <c r="G83" s="38">
        <f>SUM(EF[[#This Row],[CO2]:[N2O]])</f>
        <v>0.3470967741935484</v>
      </c>
      <c r="H83" s="51" t="s">
        <v>362</v>
      </c>
    </row>
    <row r="84" spans="1:11" ht="15.75">
      <c r="A84" s="3"/>
      <c r="B84" s="51" t="s">
        <v>38</v>
      </c>
      <c r="C84" s="51" t="str">
        <f>INDEX(Vectors[Description], MATCH([Vector], Vectors[Code], 0))</f>
        <v>Liquid hydrocarbons</v>
      </c>
      <c r="D84" s="38">
        <f>3.102/Unit.Mtoe</f>
        <v>0.26672398968185723</v>
      </c>
      <c r="E84" s="38"/>
      <c r="F84" s="38"/>
      <c r="G84" s="38">
        <f>SUM(EF[[#This Row],[CO2]:[N2O]])</f>
        <v>0.26672398968185723</v>
      </c>
      <c r="H84" s="51" t="s">
        <v>363</v>
      </c>
    </row>
    <row r="85" spans="1:11" ht="15.75">
      <c r="A85" s="3"/>
      <c r="B85" s="51" t="s">
        <v>39</v>
      </c>
      <c r="C85" s="51" t="str">
        <f>INDEX(Vectors[Description], MATCH([Vector], Vectors[Code], 0))</f>
        <v>Gaseous hydrocarbons</v>
      </c>
      <c r="D85" s="38">
        <f>0.0021/unit.mtge</f>
        <v>0.19894736842105262</v>
      </c>
      <c r="E85" s="38"/>
      <c r="F85" s="38"/>
      <c r="G85" s="38">
        <f>SUM(EF[[#This Row],[CO2]:[N2O]])</f>
        <v>0.19894736842105262</v>
      </c>
      <c r="H85" s="51" t="s">
        <v>364</v>
      </c>
    </row>
    <row r="86" spans="1:11" ht="15.75">
      <c r="A86" s="3"/>
      <c r="B86" s="51" t="s">
        <v>93</v>
      </c>
      <c r="C86" s="51" t="str">
        <f>INDEX(Vectors[Description], MATCH([Vector], Vectors[Code], 0))</f>
        <v>Solid Biomass Hydrocarbons</v>
      </c>
      <c r="D86" s="38"/>
      <c r="E86" s="97">
        <v>0</v>
      </c>
      <c r="F86" s="97">
        <v>0</v>
      </c>
      <c r="G86" s="97">
        <f>SUM(EF[[#This Row],[CO2]:[N2O]])</f>
        <v>0</v>
      </c>
      <c r="H86" s="51"/>
    </row>
    <row r="87" spans="1:11" ht="15.75">
      <c r="A87" s="3"/>
      <c r="B87" s="51" t="s">
        <v>253</v>
      </c>
      <c r="C87" s="51" t="str">
        <f>INDEX(Vectors[Description], MATCH([Vector], Vectors[Code], 0))</f>
        <v xml:space="preserve"> Gaseous Biomass Hydrocarbons</v>
      </c>
      <c r="D87" s="97">
        <v>0</v>
      </c>
      <c r="E87" s="97">
        <v>0</v>
      </c>
      <c r="F87" s="97">
        <v>0</v>
      </c>
      <c r="G87" s="97">
        <f>SUM(EF[[#This Row],[CO2]:[N2O]])</f>
        <v>0</v>
      </c>
      <c r="H87" s="51"/>
    </row>
    <row r="88" spans="1:11" ht="15.75">
      <c r="A88" s="3"/>
      <c r="B88" s="51" t="s">
        <v>254</v>
      </c>
      <c r="C88" s="51" t="str">
        <f>INDEX(Vectors[Description], MATCH([Vector], Vectors[Code], 0))</f>
        <v>Edible biomass</v>
      </c>
      <c r="D88" s="97">
        <v>0</v>
      </c>
      <c r="E88" s="97">
        <v>0</v>
      </c>
      <c r="F88" s="97">
        <v>0</v>
      </c>
      <c r="G88" s="97">
        <f>SUM(EF[[#This Row],[CO2]:[N2O]])</f>
        <v>0</v>
      </c>
      <c r="H88" s="51"/>
    </row>
    <row r="89" spans="1:11" ht="15.75">
      <c r="A89" s="3"/>
      <c r="B89" s="51" t="s">
        <v>255</v>
      </c>
      <c r="C89" s="51" t="str">
        <f>INDEX(Vectors[Description], MATCH([Vector], Vectors[Code], 0))</f>
        <v>Dry biomass and waste</v>
      </c>
      <c r="D89" s="97">
        <v>0</v>
      </c>
      <c r="E89" s="97">
        <v>0</v>
      </c>
      <c r="F89" s="97">
        <v>0</v>
      </c>
      <c r="G89" s="97">
        <f>SUM(EF[[#This Row],[CO2]:[N2O]])</f>
        <v>0</v>
      </c>
      <c r="H89" s="51"/>
    </row>
    <row r="90" spans="1:11" ht="15.75">
      <c r="A90" s="3"/>
      <c r="B90" s="51" t="s">
        <v>297</v>
      </c>
      <c r="C90" s="51" t="str">
        <f>INDEX(Vectors[Description], MATCH([Vector], Vectors[Code], 0))</f>
        <v>Wet biomass and waste</v>
      </c>
      <c r="D90" s="97">
        <v>0</v>
      </c>
      <c r="E90" s="97">
        <v>0</v>
      </c>
      <c r="F90" s="97">
        <v>0</v>
      </c>
      <c r="G90" s="97">
        <f>SUM(EF[[#This Row],[CO2]:[N2O]])</f>
        <v>0</v>
      </c>
      <c r="H90" s="51"/>
    </row>
    <row r="91" spans="1:11" ht="15.75">
      <c r="A91" s="3"/>
      <c r="B91" s="25" t="s">
        <v>408</v>
      </c>
      <c r="C91" s="25" t="str">
        <f>INDEX(Vectors[Description], MATCH([Vector], Vectors[Code], 0))</f>
        <v>Off Grid Renewables</v>
      </c>
      <c r="D91" s="245">
        <v>0</v>
      </c>
      <c r="E91" s="245">
        <v>0</v>
      </c>
      <c r="F91" s="245">
        <v>0</v>
      </c>
      <c r="G91" s="245">
        <f>SUM(EF[[#This Row],[CO2]:[N2O]])</f>
        <v>0</v>
      </c>
      <c r="H91" s="25"/>
    </row>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sheetPr codeName="Sheet13">
    <pageSetUpPr autoPageBreaks="0"/>
  </sheetPr>
  <dimension ref="A1:Z92"/>
  <sheetViews>
    <sheetView showGridLines="0" zoomScale="85" zoomScaleNormal="85" zoomScalePageLayoutView="85" workbookViewId="0">
      <selection activeCell="G22" sqref="G22"/>
    </sheetView>
  </sheetViews>
  <sheetFormatPr defaultColWidth="8.85546875" defaultRowHeight="15.75"/>
  <cols>
    <col min="1" max="1" width="1" customWidth="1"/>
    <col min="2" max="2" width="8.42578125" customWidth="1"/>
    <col min="3" max="3" width="41.7109375" customWidth="1"/>
    <col min="4" max="4" width="5.7109375" customWidth="1"/>
    <col min="5" max="5" width="1" style="36" customWidth="1"/>
    <col min="6" max="6" width="8.42578125" style="36" customWidth="1"/>
    <col min="7" max="7" width="32" style="36" bestFit="1" customWidth="1"/>
    <col min="8" max="8" width="10.42578125" style="36" bestFit="1" customWidth="1"/>
    <col min="9" max="9" width="32" style="36" customWidth="1"/>
    <col min="10" max="10" width="43.42578125" style="36" customWidth="1"/>
    <col min="11" max="11" width="5.7109375" customWidth="1"/>
    <col min="12" max="12" width="1" style="3" customWidth="1"/>
    <col min="13" max="13" width="16.140625" style="3" bestFit="1" customWidth="1"/>
    <col min="14" max="14" width="21" style="8" bestFit="1" customWidth="1"/>
    <col min="15" max="15" width="9.42578125" style="2" bestFit="1" customWidth="1"/>
    <col min="16" max="16" width="29.42578125" style="3" bestFit="1" customWidth="1"/>
    <col min="17" max="17" width="38.140625" style="13" customWidth="1"/>
    <col min="19" max="19" width="1" customWidth="1"/>
    <col min="20" max="20" width="14.42578125" customWidth="1"/>
    <col min="21" max="21" width="35.7109375" bestFit="1" customWidth="1"/>
    <col min="22" max="22" width="61" bestFit="1" customWidth="1"/>
    <col min="24" max="24" width="9" customWidth="1"/>
    <col min="25" max="25" width="26.85546875" bestFit="1" customWidth="1"/>
    <col min="26" max="26" width="13.42578125" customWidth="1"/>
  </cols>
  <sheetData>
    <row r="1" spans="1:26" s="491" customFormat="1">
      <c r="B1" s="491" t="s">
        <v>658</v>
      </c>
      <c r="I1" s="491" t="s">
        <v>697</v>
      </c>
      <c r="J1" s="491" t="s">
        <v>698</v>
      </c>
      <c r="L1" s="3"/>
      <c r="M1" s="3"/>
      <c r="N1" s="8"/>
      <c r="O1" s="2"/>
      <c r="P1" s="3"/>
      <c r="Q1" s="490"/>
      <c r="S1" s="3"/>
      <c r="T1"/>
      <c r="U1"/>
      <c r="V1"/>
      <c r="W1"/>
    </row>
    <row r="2" spans="1:26" s="491" customFormat="1">
      <c r="B2" s="491" t="s">
        <v>659</v>
      </c>
      <c r="I2" s="491">
        <v>34</v>
      </c>
      <c r="J2" s="491">
        <v>32</v>
      </c>
      <c r="L2" s="3"/>
      <c r="M2" s="3"/>
      <c r="N2" s="8"/>
      <c r="O2" s="2"/>
      <c r="P2" s="3"/>
      <c r="Q2" s="490"/>
      <c r="S2" s="3"/>
    </row>
    <row r="3" spans="1:26" s="36" customFormat="1">
      <c r="A3" s="3"/>
      <c r="E3" s="3"/>
      <c r="I3" s="36">
        <v>12</v>
      </c>
      <c r="J3" s="36">
        <v>45</v>
      </c>
      <c r="L3" s="3"/>
      <c r="M3" s="3"/>
      <c r="N3" s="8"/>
      <c r="O3" s="2"/>
      <c r="P3" s="3"/>
      <c r="Q3" s="13"/>
      <c r="S3" s="3"/>
    </row>
    <row r="4" spans="1:26" ht="18">
      <c r="A4" s="3"/>
      <c r="B4" s="4" t="s">
        <v>187</v>
      </c>
      <c r="E4" s="3"/>
      <c r="F4" s="4" t="s">
        <v>247</v>
      </c>
      <c r="G4" s="4"/>
      <c r="H4" s="4"/>
      <c r="I4" s="4"/>
      <c r="L4" s="53"/>
      <c r="M4" s="4" t="s">
        <v>16</v>
      </c>
      <c r="N4" s="9"/>
      <c r="O4" s="5"/>
      <c r="P4" s="5"/>
      <c r="Q4" s="12"/>
      <c r="S4" s="63"/>
      <c r="T4" s="89" t="s">
        <v>344</v>
      </c>
      <c r="X4" s="89" t="s">
        <v>561</v>
      </c>
      <c r="Y4" s="388"/>
      <c r="Z4" s="388"/>
    </row>
    <row r="5" spans="1:26">
      <c r="A5" s="3"/>
      <c r="E5" s="3"/>
      <c r="L5" s="53"/>
      <c r="M5" s="6"/>
      <c r="N5" s="9"/>
      <c r="O5" s="5"/>
      <c r="P5" s="5"/>
      <c r="Q5" s="12"/>
      <c r="S5" s="53"/>
      <c r="X5" s="388"/>
      <c r="Y5" s="388"/>
      <c r="Z5" s="388"/>
    </row>
    <row r="6" spans="1:26" ht="18.75" thickBot="1">
      <c r="A6" s="62"/>
      <c r="B6" s="21" t="s">
        <v>69</v>
      </c>
      <c r="C6" s="21" t="s">
        <v>188</v>
      </c>
      <c r="E6" s="62"/>
      <c r="F6" s="117" t="s">
        <v>69</v>
      </c>
      <c r="G6" s="117" t="s">
        <v>249</v>
      </c>
      <c r="H6" s="117" t="s">
        <v>250</v>
      </c>
      <c r="I6" s="117" t="s">
        <v>188</v>
      </c>
      <c r="J6" s="117" t="s">
        <v>189</v>
      </c>
      <c r="L6" s="63"/>
      <c r="M6" s="10" t="s">
        <v>67</v>
      </c>
      <c r="N6" s="10" t="s">
        <v>68</v>
      </c>
      <c r="O6" s="10" t="s">
        <v>69</v>
      </c>
      <c r="P6" s="10" t="s">
        <v>65</v>
      </c>
      <c r="Q6" s="20" t="s">
        <v>66</v>
      </c>
      <c r="S6" s="53"/>
      <c r="T6" s="51" t="s">
        <v>342</v>
      </c>
      <c r="U6" s="51" t="s">
        <v>343</v>
      </c>
      <c r="V6" s="51" t="s">
        <v>66</v>
      </c>
      <c r="X6" s="389" t="s">
        <v>69</v>
      </c>
      <c r="Y6" s="389" t="s">
        <v>65</v>
      </c>
      <c r="Z6" s="390" t="s">
        <v>66</v>
      </c>
    </row>
    <row r="7" spans="1:26" s="52" customFormat="1" ht="16.5" thickTop="1">
      <c r="A7" s="130"/>
      <c r="B7" s="52" t="s">
        <v>60</v>
      </c>
      <c r="C7" s="52" t="s">
        <v>157</v>
      </c>
      <c r="E7" s="11"/>
      <c r="F7" s="52" t="s">
        <v>248</v>
      </c>
      <c r="G7" s="51" t="s">
        <v>1069</v>
      </c>
      <c r="H7" s="74" t="str">
        <f>LEFT([Code], FIND(".", [Code])-1)</f>
        <v>I</v>
      </c>
      <c r="I7" s="74" t="str">
        <f>INDEX(Workstreams[Workstream], MATCH([WS Code], Workstreams[Code], 0))</f>
        <v>Hydrocarbon fuel power generation</v>
      </c>
      <c r="J7" s="51"/>
      <c r="L7" s="11"/>
      <c r="M7" s="17" t="s">
        <v>22</v>
      </c>
      <c r="N7" s="17" t="s">
        <v>45</v>
      </c>
      <c r="O7" s="19" t="s">
        <v>25</v>
      </c>
      <c r="P7" s="17" t="s">
        <v>19</v>
      </c>
      <c r="Q7" s="18"/>
      <c r="S7" s="53"/>
      <c r="T7" s="149" t="s">
        <v>359</v>
      </c>
      <c r="U7" s="51" t="s">
        <v>338</v>
      </c>
      <c r="V7" s="51" t="s">
        <v>419</v>
      </c>
      <c r="W7"/>
      <c r="X7" s="450"/>
      <c r="Y7" s="450"/>
      <c r="Z7" s="451"/>
    </row>
    <row r="8" spans="1:26" s="52" customFormat="1">
      <c r="A8" s="130"/>
      <c r="B8" s="52" t="s">
        <v>61</v>
      </c>
      <c r="C8" s="52" t="s">
        <v>158</v>
      </c>
      <c r="E8" s="11"/>
      <c r="F8" s="52" t="s">
        <v>278</v>
      </c>
      <c r="G8" s="51" t="s">
        <v>695</v>
      </c>
      <c r="H8" s="74" t="str">
        <f>LEFT([Code], FIND(".", [Code])-1)</f>
        <v>I</v>
      </c>
      <c r="I8" s="74" t="str">
        <f>INDEX(Workstreams[Workstream], MATCH([WS Code], Workstreams[Code], 0))</f>
        <v>Hydrocarbon fuel power generation</v>
      </c>
      <c r="J8" s="51"/>
      <c r="L8" s="11"/>
      <c r="M8" s="17" t="s">
        <v>22</v>
      </c>
      <c r="N8" s="17" t="s">
        <v>45</v>
      </c>
      <c r="O8" s="19" t="s">
        <v>26</v>
      </c>
      <c r="P8" s="17" t="s">
        <v>20</v>
      </c>
      <c r="Q8" s="18"/>
      <c r="S8" s="53"/>
      <c r="T8" s="149" t="s">
        <v>358</v>
      </c>
      <c r="U8" s="51" t="s">
        <v>360</v>
      </c>
      <c r="V8" s="51"/>
      <c r="W8" s="36"/>
      <c r="X8" s="450"/>
      <c r="Y8" s="450"/>
      <c r="Z8" s="451"/>
    </row>
    <row r="9" spans="1:26" s="52" customFormat="1">
      <c r="A9" s="130"/>
      <c r="B9" s="52" t="s">
        <v>62</v>
      </c>
      <c r="C9" s="52" t="s">
        <v>1066</v>
      </c>
      <c r="E9" s="11"/>
      <c r="F9" s="52" t="s">
        <v>699</v>
      </c>
      <c r="G9" s="51" t="s">
        <v>700</v>
      </c>
      <c r="H9" s="74" t="s">
        <v>60</v>
      </c>
      <c r="I9" s="74" t="str">
        <f>INDEX(Workstreams[Workstream], MATCH([WS Code], Workstreams[Code], 0))</f>
        <v>Hydrocarbon fuel power generation</v>
      </c>
      <c r="J9" s="51"/>
      <c r="L9" s="11"/>
      <c r="M9" s="17" t="s">
        <v>22</v>
      </c>
      <c r="N9" s="19" t="s">
        <v>23</v>
      </c>
      <c r="O9" s="19" t="s">
        <v>48</v>
      </c>
      <c r="P9" s="17" t="s">
        <v>23</v>
      </c>
      <c r="Q9" s="18"/>
      <c r="S9" s="53"/>
      <c r="T9" s="51">
        <v>2</v>
      </c>
      <c r="U9" s="51" t="s">
        <v>339</v>
      </c>
      <c r="V9" s="51"/>
      <c r="W9"/>
      <c r="X9" s="391" t="s">
        <v>555</v>
      </c>
      <c r="Y9" s="392" t="s">
        <v>556</v>
      </c>
      <c r="Z9" s="393"/>
    </row>
    <row r="10" spans="1:26" s="52" customFormat="1">
      <c r="A10" s="130"/>
      <c r="B10" s="52" t="s">
        <v>63</v>
      </c>
      <c r="C10" s="52" t="s">
        <v>1067</v>
      </c>
      <c r="E10" s="11"/>
      <c r="F10" s="52" t="s">
        <v>696</v>
      </c>
      <c r="G10" s="51" t="s">
        <v>500</v>
      </c>
      <c r="H10" s="74" t="str">
        <f>LEFT([Code], FIND(".", [Code])-1)</f>
        <v>I</v>
      </c>
      <c r="I10" s="76" t="str">
        <f>INDEX(Workstreams[Workstream], MATCH([WS Code], Workstreams[Code], 0))</f>
        <v>Hydrocarbon fuel power generation</v>
      </c>
      <c r="J10" s="51"/>
      <c r="L10" s="11"/>
      <c r="M10" s="952" t="s">
        <v>59</v>
      </c>
      <c r="N10" s="953" t="s">
        <v>1051</v>
      </c>
      <c r="O10" s="953" t="s">
        <v>1052</v>
      </c>
      <c r="P10" s="952" t="s">
        <v>1091</v>
      </c>
      <c r="Q10" s="954"/>
      <c r="S10" s="53"/>
      <c r="T10" s="51">
        <v>3</v>
      </c>
      <c r="U10" s="51" t="s">
        <v>340</v>
      </c>
      <c r="V10" s="51" t="s">
        <v>370</v>
      </c>
      <c r="W10"/>
      <c r="X10" s="391" t="s">
        <v>679</v>
      </c>
      <c r="Y10" s="392" t="s">
        <v>680</v>
      </c>
      <c r="Z10" s="393"/>
    </row>
    <row r="11" spans="1:26" s="52" customFormat="1">
      <c r="A11" s="130"/>
      <c r="B11" s="52" t="s">
        <v>190</v>
      </c>
      <c r="C11" s="52" t="s">
        <v>492</v>
      </c>
      <c r="E11" s="11"/>
      <c r="F11" s="52" t="s">
        <v>1819</v>
      </c>
      <c r="G11" s="51" t="s">
        <v>1866</v>
      </c>
      <c r="H11" s="74" t="str">
        <f>LEFT([Code], FIND(".", [Code])-1)</f>
        <v>I</v>
      </c>
      <c r="I11" s="76" t="str">
        <f>INDEX(Workstreams[Workstream], MATCH([WS Code], Workstreams[Code], 0))</f>
        <v>Hydrocarbon fuel power generation</v>
      </c>
      <c r="J11" s="51"/>
      <c r="L11" s="11"/>
      <c r="M11" s="51" t="s">
        <v>59</v>
      </c>
      <c r="N11" s="953" t="s">
        <v>1051</v>
      </c>
      <c r="O11" s="953" t="s">
        <v>1090</v>
      </c>
      <c r="P11" s="952" t="s">
        <v>1092</v>
      </c>
      <c r="Q11" s="954"/>
      <c r="S11" s="53"/>
      <c r="T11" s="51">
        <v>4</v>
      </c>
      <c r="U11" s="51" t="s">
        <v>106</v>
      </c>
      <c r="V11" s="51" t="s">
        <v>420</v>
      </c>
      <c r="W11"/>
      <c r="X11" s="391" t="s">
        <v>549</v>
      </c>
      <c r="Y11" s="392" t="s">
        <v>550</v>
      </c>
      <c r="Z11" s="393"/>
    </row>
    <row r="12" spans="1:26" s="52" customFormat="1">
      <c r="A12" s="130"/>
      <c r="B12" s="52" t="s">
        <v>191</v>
      </c>
      <c r="C12" s="52" t="s">
        <v>41</v>
      </c>
      <c r="E12" s="11"/>
      <c r="F12" s="75" t="s">
        <v>61</v>
      </c>
      <c r="G12" s="25" t="s">
        <v>430</v>
      </c>
      <c r="H12" s="76" t="s">
        <v>61</v>
      </c>
      <c r="I12" s="76" t="str">
        <f>INDEX(Workstreams[Workstream], MATCH([WS Code], Workstreams[Code], 0))</f>
        <v>Nuclear power generation</v>
      </c>
      <c r="J12" s="25"/>
      <c r="L12" s="11"/>
      <c r="M12" s="14" t="s">
        <v>59</v>
      </c>
      <c r="N12" s="19" t="s">
        <v>21</v>
      </c>
      <c r="O12" s="19" t="s">
        <v>27</v>
      </c>
      <c r="P12" s="51" t="s">
        <v>331</v>
      </c>
      <c r="Q12" s="18"/>
      <c r="S12" s="53"/>
      <c r="T12" s="51">
        <v>5</v>
      </c>
      <c r="U12" s="51" t="s">
        <v>341</v>
      </c>
      <c r="V12" s="51"/>
      <c r="W12"/>
      <c r="X12" s="391" t="s">
        <v>557</v>
      </c>
      <c r="Y12" s="392" t="s">
        <v>558</v>
      </c>
      <c r="Z12" s="393"/>
    </row>
    <row r="13" spans="1:26" s="52" customFormat="1">
      <c r="A13" s="130"/>
      <c r="B13" s="52" t="s">
        <v>192</v>
      </c>
      <c r="C13" s="52" t="s">
        <v>313</v>
      </c>
      <c r="E13" s="11"/>
      <c r="F13" s="75" t="s">
        <v>62</v>
      </c>
      <c r="G13" s="25" t="s">
        <v>1070</v>
      </c>
      <c r="H13" s="76" t="s">
        <v>62</v>
      </c>
      <c r="I13" s="76" t="str">
        <f>INDEX(Workstreams[Workstream], MATCH([WS Code], Workstreams[Code], 0))</f>
        <v>Hydro Electric Power Generation</v>
      </c>
      <c r="J13" s="25"/>
      <c r="L13" s="11"/>
      <c r="M13" s="14" t="s">
        <v>59</v>
      </c>
      <c r="N13" s="19" t="s">
        <v>21</v>
      </c>
      <c r="O13" s="19" t="s">
        <v>28</v>
      </c>
      <c r="P13" s="51" t="s">
        <v>332</v>
      </c>
      <c r="Q13" s="18"/>
      <c r="S13" s="3"/>
      <c r="T13" s="51">
        <v>6</v>
      </c>
      <c r="U13" s="51" t="s">
        <v>41</v>
      </c>
      <c r="V13" s="51"/>
      <c r="W13"/>
      <c r="X13" s="391" t="s">
        <v>681</v>
      </c>
      <c r="Y13" s="392" t="s">
        <v>687</v>
      </c>
      <c r="Z13" s="393"/>
    </row>
    <row r="14" spans="1:26" s="52" customFormat="1">
      <c r="A14" s="130"/>
      <c r="B14" s="52" t="s">
        <v>193</v>
      </c>
      <c r="C14" s="52" t="s">
        <v>200</v>
      </c>
      <c r="E14" s="11"/>
      <c r="F14" s="75" t="s">
        <v>311</v>
      </c>
      <c r="G14" s="25" t="s">
        <v>55</v>
      </c>
      <c r="H14" s="76" t="str">
        <f>LEFT([Code], FIND(".", [Code])-1)</f>
        <v>IV</v>
      </c>
      <c r="I14" s="76" t="str">
        <f>INDEX(Workstreams[Workstream], MATCH([WS Code], Workstreams[Code], 0))</f>
        <v>National  renewable power generation</v>
      </c>
      <c r="J14" s="25"/>
      <c r="L14" s="11"/>
      <c r="M14" s="14" t="s">
        <v>59</v>
      </c>
      <c r="N14" s="19" t="s">
        <v>21</v>
      </c>
      <c r="O14" s="19" t="s">
        <v>29</v>
      </c>
      <c r="P14" s="51" t="s">
        <v>303</v>
      </c>
      <c r="Q14" s="18"/>
      <c r="S14" s="3"/>
      <c r="T14" s="51">
        <v>7</v>
      </c>
      <c r="U14" s="51" t="s">
        <v>101</v>
      </c>
      <c r="V14" s="51"/>
      <c r="W14"/>
      <c r="X14" s="391" t="s">
        <v>551</v>
      </c>
      <c r="Y14" s="392" t="s">
        <v>552</v>
      </c>
      <c r="Z14" s="393"/>
    </row>
    <row r="15" spans="1:26" s="52" customFormat="1">
      <c r="A15" s="130"/>
      <c r="B15" s="52" t="s">
        <v>195</v>
      </c>
      <c r="C15" s="52" t="s">
        <v>1068</v>
      </c>
      <c r="E15" s="11"/>
      <c r="F15" s="75" t="s">
        <v>407</v>
      </c>
      <c r="G15" s="25" t="s">
        <v>1924</v>
      </c>
      <c r="H15" s="76" t="str">
        <f>LEFT([Code], FIND(".", [Code])-1)</f>
        <v>IV</v>
      </c>
      <c r="I15" s="76" t="str">
        <f>INDEX(Workstreams[Workstream], MATCH([WS Code], Workstreams[Code], 0))</f>
        <v>National  renewable power generation</v>
      </c>
      <c r="J15" s="25"/>
      <c r="L15" s="11"/>
      <c r="M15" s="14" t="s">
        <v>59</v>
      </c>
      <c r="N15" s="19" t="s">
        <v>21</v>
      </c>
      <c r="O15" s="19" t="s">
        <v>30</v>
      </c>
      <c r="P15" s="51" t="s">
        <v>105</v>
      </c>
      <c r="Q15" s="18"/>
      <c r="S15" s="3"/>
      <c r="T15" s="43" t="s">
        <v>345</v>
      </c>
      <c r="U15" s="25" t="s">
        <v>436</v>
      </c>
      <c r="V15" s="25" t="s">
        <v>421</v>
      </c>
      <c r="W15"/>
      <c r="X15" s="391" t="s">
        <v>559</v>
      </c>
      <c r="Y15" s="392" t="s">
        <v>560</v>
      </c>
      <c r="Z15" s="393"/>
    </row>
    <row r="16" spans="1:26" s="52" customFormat="1">
      <c r="A16" s="130"/>
      <c r="B16" s="52" t="s">
        <v>196</v>
      </c>
      <c r="C16" s="52" t="s">
        <v>57</v>
      </c>
      <c r="E16" s="11"/>
      <c r="F16" s="75" t="s">
        <v>1071</v>
      </c>
      <c r="G16" s="25" t="s">
        <v>855</v>
      </c>
      <c r="H16" s="76" t="str">
        <f>LEFT([Code], FIND(".", [Code])-1)</f>
        <v>IV</v>
      </c>
      <c r="I16" s="76" t="str">
        <f>INDEX(Workstreams[Workstream], MATCH([WS Code], Workstreams[Code], 0))</f>
        <v>National  renewable power generation</v>
      </c>
      <c r="J16" s="25"/>
      <c r="L16" s="11"/>
      <c r="M16" s="14" t="s">
        <v>59</v>
      </c>
      <c r="N16" s="36" t="s">
        <v>21</v>
      </c>
      <c r="O16" s="36" t="s">
        <v>305</v>
      </c>
      <c r="P16" s="51" t="s">
        <v>302</v>
      </c>
      <c r="Q16" s="18"/>
      <c r="S16" s="36"/>
      <c r="T16" s="43" t="s">
        <v>346</v>
      </c>
      <c r="U16" s="25" t="s">
        <v>442</v>
      </c>
      <c r="V16" s="25" t="s">
        <v>429</v>
      </c>
      <c r="W16"/>
      <c r="X16" s="391" t="s">
        <v>682</v>
      </c>
      <c r="Y16" s="392" t="s">
        <v>683</v>
      </c>
      <c r="Z16" s="393"/>
    </row>
    <row r="17" spans="1:26" s="52" customFormat="1">
      <c r="A17" s="130"/>
      <c r="B17" s="52" t="s">
        <v>197</v>
      </c>
      <c r="C17" s="52" t="s">
        <v>33</v>
      </c>
      <c r="E17" s="11"/>
      <c r="F17" s="75" t="s">
        <v>1072</v>
      </c>
      <c r="G17" s="25" t="s">
        <v>856</v>
      </c>
      <c r="H17" s="76" t="str">
        <f>LEFT([Code], FIND(".", [Code])-1)</f>
        <v>IV</v>
      </c>
      <c r="I17" s="76" t="str">
        <f>INDEX(Workstreams[Workstream], MATCH([WS Code], Workstreams[Code], 0))</f>
        <v>National  renewable power generation</v>
      </c>
      <c r="J17" s="25"/>
      <c r="L17" s="11"/>
      <c r="M17" s="51" t="s">
        <v>59</v>
      </c>
      <c r="N17" s="36" t="s">
        <v>21</v>
      </c>
      <c r="O17" s="36" t="s">
        <v>306</v>
      </c>
      <c r="P17" s="51" t="s">
        <v>307</v>
      </c>
      <c r="Q17" s="18"/>
      <c r="S17"/>
      <c r="T17" s="43" t="s">
        <v>369</v>
      </c>
      <c r="U17" s="25" t="s">
        <v>441</v>
      </c>
      <c r="V17" s="25" t="s">
        <v>440</v>
      </c>
      <c r="W17"/>
      <c r="X17" s="391" t="s">
        <v>553</v>
      </c>
      <c r="Y17" s="392" t="s">
        <v>554</v>
      </c>
      <c r="Z17" s="393"/>
    </row>
    <row r="18" spans="1:26" s="52" customFormat="1">
      <c r="A18" s="130"/>
      <c r="B18" s="52" t="s">
        <v>198</v>
      </c>
      <c r="C18" s="52" t="s">
        <v>113</v>
      </c>
      <c r="E18" s="11"/>
      <c r="F18" s="75" t="s">
        <v>1073</v>
      </c>
      <c r="G18" s="25" t="s">
        <v>854</v>
      </c>
      <c r="H18" s="76" t="str">
        <f>LEFT([Code], FIND(".", [Code])-1)</f>
        <v>IV</v>
      </c>
      <c r="I18" s="76" t="str">
        <f>INDEX(Workstreams[Workstream], MATCH([WS Code], Workstreams[Code], 0))</f>
        <v>National  renewable power generation</v>
      </c>
      <c r="J18" s="25"/>
      <c r="L18" s="11"/>
      <c r="M18" s="51" t="s">
        <v>59</v>
      </c>
      <c r="N18" s="605" t="s">
        <v>21</v>
      </c>
      <c r="O18" s="953" t="s">
        <v>787</v>
      </c>
      <c r="P18" s="952" t="s">
        <v>1206</v>
      </c>
      <c r="Q18" s="954"/>
      <c r="S18"/>
      <c r="T18" s="36"/>
      <c r="U18" s="36"/>
      <c r="V18" s="36"/>
      <c r="W18" s="36"/>
    </row>
    <row r="19" spans="1:26" s="52" customFormat="1">
      <c r="A19" s="130"/>
      <c r="B19" s="52" t="s">
        <v>199</v>
      </c>
      <c r="C19" s="52" t="s">
        <v>1051</v>
      </c>
      <c r="E19" s="11"/>
      <c r="F19" s="75" t="s">
        <v>304</v>
      </c>
      <c r="G19" s="25" t="s">
        <v>2061</v>
      </c>
      <c r="H19" s="76" t="str">
        <f>LEFT([Code], FIND(".", [Code])-1)</f>
        <v>V</v>
      </c>
      <c r="I19" s="76" t="str">
        <f>INDEX(Workstreams[Workstream], MATCH([WS Code], Workstreams[Code], 0))</f>
        <v>Bioenergy</v>
      </c>
      <c r="J19" s="25"/>
      <c r="L19" s="11"/>
      <c r="M19" s="51" t="s">
        <v>59</v>
      </c>
      <c r="N19" s="605" t="s">
        <v>21</v>
      </c>
      <c r="O19" s="953" t="s">
        <v>1047</v>
      </c>
      <c r="P19" s="952" t="s">
        <v>1207</v>
      </c>
      <c r="Q19" s="954"/>
      <c r="S19"/>
      <c r="T19"/>
      <c r="U19"/>
      <c r="V19"/>
      <c r="W19"/>
      <c r="X19" s="508" t="s">
        <v>678</v>
      </c>
    </row>
    <row r="20" spans="1:26" s="52" customFormat="1">
      <c r="A20" s="130"/>
      <c r="B20" s="52" t="s">
        <v>194</v>
      </c>
      <c r="C20" s="52" t="s">
        <v>106</v>
      </c>
      <c r="E20" s="11"/>
      <c r="F20" s="75" t="s">
        <v>432</v>
      </c>
      <c r="G20" s="25" t="s">
        <v>1074</v>
      </c>
      <c r="H20" s="76" t="str">
        <f>LEFT([Code], FIND(".", [Code])-1)</f>
        <v>V</v>
      </c>
      <c r="I20" s="76" t="str">
        <f>INDEX(Workstreams[Workstream], MATCH([WS Code], Workstreams[Code], 0))</f>
        <v>Bioenergy</v>
      </c>
      <c r="J20" s="25"/>
      <c r="L20" s="11"/>
      <c r="M20" s="51" t="s">
        <v>59</v>
      </c>
      <c r="N20" s="2391" t="s">
        <v>106</v>
      </c>
      <c r="O20" s="2391" t="s">
        <v>1218</v>
      </c>
      <c r="P20" s="2365" t="s">
        <v>1846</v>
      </c>
      <c r="Q20" s="2366"/>
      <c r="S20" s="53"/>
      <c r="T20" s="89" t="s">
        <v>347</v>
      </c>
      <c r="U20"/>
      <c r="V20"/>
      <c r="W20"/>
    </row>
    <row r="21" spans="1:26">
      <c r="A21" s="3"/>
      <c r="B21" s="75" t="s">
        <v>308</v>
      </c>
      <c r="C21" s="75" t="s">
        <v>309</v>
      </c>
      <c r="E21" s="11"/>
      <c r="F21" s="75" t="s">
        <v>1076</v>
      </c>
      <c r="G21" s="25" t="s">
        <v>1075</v>
      </c>
      <c r="H21" s="76" t="str">
        <f>LEFT([Code], FIND(".", [Code])-1)</f>
        <v>V</v>
      </c>
      <c r="I21" s="76" t="str">
        <f>INDEX(Workstreams[Workstream], MATCH([WS Code], Workstreams[Code], 0))</f>
        <v>Bioenergy</v>
      </c>
      <c r="J21" s="25"/>
      <c r="L21" s="11"/>
      <c r="M21" s="14" t="s">
        <v>59</v>
      </c>
      <c r="N21" s="19" t="s">
        <v>33</v>
      </c>
      <c r="O21" s="19" t="s">
        <v>13</v>
      </c>
      <c r="P21" s="51" t="s">
        <v>33</v>
      </c>
      <c r="Q21" s="21"/>
      <c r="S21" s="53"/>
      <c r="X21" s="52" t="s">
        <v>69</v>
      </c>
      <c r="Y21" s="52" t="s">
        <v>65</v>
      </c>
      <c r="Z21" s="52" t="s">
        <v>189</v>
      </c>
    </row>
    <row r="22" spans="1:26">
      <c r="B22" s="75" t="s">
        <v>330</v>
      </c>
      <c r="C22" s="75" t="s">
        <v>1078</v>
      </c>
      <c r="E22" s="11"/>
      <c r="F22" s="75" t="s">
        <v>2059</v>
      </c>
      <c r="G22" s="25" t="s">
        <v>2062</v>
      </c>
      <c r="H22" s="76" t="str">
        <f>LEFT([Code], FIND(".", [Code])-1)</f>
        <v>V</v>
      </c>
      <c r="I22" s="76" t="str">
        <f>INDEX(Workstreams[Workstream], MATCH([WS Code], Workstreams[Code], 0))</f>
        <v>Bioenergy</v>
      </c>
      <c r="J22" s="25"/>
      <c r="L22" s="11"/>
      <c r="M22" s="14" t="s">
        <v>59</v>
      </c>
      <c r="N22" s="36" t="s">
        <v>431</v>
      </c>
      <c r="O22" s="19" t="s">
        <v>6</v>
      </c>
      <c r="P22" s="51" t="s">
        <v>431</v>
      </c>
      <c r="Q22" s="21"/>
      <c r="S22" s="53"/>
      <c r="T22" s="51" t="s">
        <v>348</v>
      </c>
      <c r="U22" s="51" t="s">
        <v>349</v>
      </c>
      <c r="V22" s="51" t="s">
        <v>66</v>
      </c>
      <c r="X22" s="52" t="s">
        <v>662</v>
      </c>
      <c r="Y22" s="52" t="s">
        <v>666</v>
      </c>
      <c r="Z22" s="52"/>
    </row>
    <row r="23" spans="1:26">
      <c r="B23" s="75" t="s">
        <v>409</v>
      </c>
      <c r="C23" s="75" t="s">
        <v>1790</v>
      </c>
      <c r="E23" s="11"/>
      <c r="F23" s="75" t="s">
        <v>2069</v>
      </c>
      <c r="G23" s="25" t="s">
        <v>2070</v>
      </c>
      <c r="H23" s="76" t="str">
        <f>LEFT([Code], FIND(".", [Code])-1)</f>
        <v>v</v>
      </c>
      <c r="I23" s="76" t="str">
        <f>INDEX(Workstreams[Workstream], MATCH([WS Code], Workstreams[Code], 0))</f>
        <v>Bioenergy</v>
      </c>
      <c r="J23" s="25"/>
      <c r="L23" s="11"/>
      <c r="M23" s="51" t="s">
        <v>59</v>
      </c>
      <c r="N23" s="19" t="s">
        <v>57</v>
      </c>
      <c r="O23" s="19" t="s">
        <v>44</v>
      </c>
      <c r="P23" s="17" t="s">
        <v>1093</v>
      </c>
      <c r="Q23" s="21"/>
      <c r="S23" s="53"/>
      <c r="T23" s="51" t="s">
        <v>350</v>
      </c>
      <c r="U23" s="51" t="s">
        <v>354</v>
      </c>
      <c r="V23" s="51"/>
      <c r="X23" s="52" t="s">
        <v>663</v>
      </c>
      <c r="Y23" s="52" t="s">
        <v>668</v>
      </c>
      <c r="Z23" s="52"/>
    </row>
    <row r="24" spans="1:26" ht="20.25" customHeight="1">
      <c r="B24" s="75" t="s">
        <v>646</v>
      </c>
      <c r="C24" s="76" t="s">
        <v>676</v>
      </c>
      <c r="E24" s="11"/>
      <c r="F24" s="75" t="s">
        <v>296</v>
      </c>
      <c r="G24" s="25" t="s">
        <v>1077</v>
      </c>
      <c r="H24" s="76" t="str">
        <f>LEFT([Code], FIND(".", [Code])-1)</f>
        <v>VI</v>
      </c>
      <c r="I24" s="76" t="str">
        <f>INDEX(Workstreams[Workstream], MATCH([WS Code], Workstreams[Code], 0))</f>
        <v>Waste</v>
      </c>
      <c r="J24" s="25"/>
      <c r="L24" s="11"/>
      <c r="M24" s="51" t="s">
        <v>59</v>
      </c>
      <c r="N24" s="19" t="s">
        <v>57</v>
      </c>
      <c r="O24" s="953" t="s">
        <v>1094</v>
      </c>
      <c r="P24" s="952" t="s">
        <v>537</v>
      </c>
      <c r="Q24" s="954"/>
      <c r="S24" s="53"/>
      <c r="T24" s="51" t="s">
        <v>351</v>
      </c>
      <c r="U24" s="51" t="s">
        <v>355</v>
      </c>
      <c r="V24" s="51"/>
      <c r="X24" s="52" t="s">
        <v>664</v>
      </c>
      <c r="Y24" s="52" t="s">
        <v>669</v>
      </c>
      <c r="Z24" s="52"/>
    </row>
    <row r="25" spans="1:26" ht="18" customHeight="1">
      <c r="B25" s="36"/>
      <c r="C25" s="36"/>
      <c r="E25" s="11"/>
      <c r="F25" s="75" t="s">
        <v>263</v>
      </c>
      <c r="G25" s="25" t="s">
        <v>43</v>
      </c>
      <c r="H25" s="76" t="str">
        <f>LEFT([Code], FIND(".", [Code])-1)</f>
        <v>VII</v>
      </c>
      <c r="I25" s="76" t="str">
        <f>INDEX(Workstreams[Workstream], MATCH([WS Code], Workstreams[Code], 0))</f>
        <v>Electricity distribution, storage, and balancing</v>
      </c>
      <c r="J25" s="25"/>
      <c r="L25" s="11"/>
      <c r="M25" s="952" t="s">
        <v>59</v>
      </c>
      <c r="N25" s="953" t="s">
        <v>1068</v>
      </c>
      <c r="O25" s="19" t="s">
        <v>1669</v>
      </c>
      <c r="P25" s="17" t="s">
        <v>1671</v>
      </c>
      <c r="Q25" s="18"/>
      <c r="T25" s="51" t="s">
        <v>352</v>
      </c>
      <c r="U25" s="51" t="s">
        <v>356</v>
      </c>
      <c r="V25" s="51"/>
      <c r="X25" s="52" t="s">
        <v>665</v>
      </c>
      <c r="Y25" s="52" t="s">
        <v>667</v>
      </c>
    </row>
    <row r="26" spans="1:26" ht="14.25">
      <c r="E26" s="11"/>
      <c r="F26" s="75" t="s">
        <v>264</v>
      </c>
      <c r="G26" s="25" t="s">
        <v>2001</v>
      </c>
      <c r="H26" s="76" t="str">
        <f>LEFT([Code], FIND(".", [Code])-1)</f>
        <v>VII</v>
      </c>
      <c r="I26" s="76" t="str">
        <f>INDEX(Workstreams[Workstream], MATCH([WS Code], Workstreams[Code], 0))</f>
        <v>Electricity distribution, storage, and balancing</v>
      </c>
      <c r="J26" s="25"/>
      <c r="L26" s="11"/>
      <c r="M26" s="952" t="s">
        <v>59</v>
      </c>
      <c r="N26" s="953" t="s">
        <v>1068</v>
      </c>
      <c r="O26" s="953" t="s">
        <v>1281</v>
      </c>
      <c r="P26" s="952" t="s">
        <v>1282</v>
      </c>
      <c r="Q26" s="21"/>
      <c r="T26" s="51" t="s">
        <v>353</v>
      </c>
      <c r="U26" s="51" t="s">
        <v>357</v>
      </c>
      <c r="V26" s="51"/>
      <c r="X26" s="52"/>
      <c r="Y26" s="52"/>
    </row>
    <row r="27" spans="1:26" ht="14.25">
      <c r="C27" t="str">
        <f>Vectors[Description]</f>
        <v>Design and Envelope Savings in Residential Sector</v>
      </c>
      <c r="E27" s="11"/>
      <c r="F27" s="75" t="s">
        <v>267</v>
      </c>
      <c r="G27" s="25" t="s">
        <v>1079</v>
      </c>
      <c r="H27" s="76" t="str">
        <f>LEFT([Code], FIND(".", [Code])-1)</f>
        <v>VII</v>
      </c>
      <c r="I27" s="76" t="str">
        <f>INDEX(Workstreams[Workstream], MATCH([WS Code], Workstreams[Code], 0))</f>
        <v>Electricity distribution, storage, and balancing</v>
      </c>
      <c r="J27" s="25" t="s">
        <v>269</v>
      </c>
      <c r="L27" s="11"/>
      <c r="M27" s="952" t="s">
        <v>59</v>
      </c>
      <c r="N27" s="953" t="s">
        <v>1068</v>
      </c>
      <c r="O27" s="953" t="s">
        <v>1283</v>
      </c>
      <c r="P27" s="952" t="s">
        <v>1284</v>
      </c>
      <c r="Q27" s="18"/>
    </row>
    <row r="28" spans="1:26" ht="14.25">
      <c r="C28" s="562" t="str">
        <f>Vectors[Description]</f>
        <v>Telecom Sector Energy Demand</v>
      </c>
      <c r="E28" s="11"/>
      <c r="F28" s="75" t="s">
        <v>312</v>
      </c>
      <c r="G28" s="25" t="s">
        <v>510</v>
      </c>
      <c r="H28" s="76" t="str">
        <f>LEFT([Code], FIND(".", [Code])-1)</f>
        <v>VIII</v>
      </c>
      <c r="I28" s="76" t="str">
        <f>INDEX(Workstreams[Workstream], MATCH([WS Code], Workstreams[Code], 0))</f>
        <v>H2 Production</v>
      </c>
      <c r="J28" s="25"/>
      <c r="L28" s="11"/>
      <c r="M28" s="952" t="s">
        <v>59</v>
      </c>
      <c r="N28" s="953" t="s">
        <v>1078</v>
      </c>
      <c r="O28" s="953" t="s">
        <v>851</v>
      </c>
      <c r="P28" s="952" t="s">
        <v>1095</v>
      </c>
      <c r="Q28" s="954"/>
      <c r="T28" s="36" t="s">
        <v>372</v>
      </c>
    </row>
    <row r="29" spans="1:26" ht="14.25">
      <c r="C29" s="562" t="str">
        <f>Vectors[Description]</f>
        <v>Coal indigenous production</v>
      </c>
      <c r="E29" s="11"/>
      <c r="F29" s="75" t="s">
        <v>1080</v>
      </c>
      <c r="G29" s="25" t="s">
        <v>1081</v>
      </c>
      <c r="H29" s="76" t="str">
        <f>LEFT([Code], FIND(".", [Code])-1)</f>
        <v>IX</v>
      </c>
      <c r="I29" s="76" t="str">
        <f>INDEX(Workstreams[Workstream], MATCH([WS Code], Workstreams[Code], 0))</f>
        <v>Buildings</v>
      </c>
      <c r="J29" s="25"/>
      <c r="L29" s="11"/>
      <c r="M29" s="51" t="s">
        <v>251</v>
      </c>
      <c r="N29" s="19" t="s">
        <v>102</v>
      </c>
      <c r="O29" s="19" t="s">
        <v>51</v>
      </c>
      <c r="P29" s="17" t="s">
        <v>1215</v>
      </c>
      <c r="Q29" s="18"/>
    </row>
    <row r="30" spans="1:26" ht="14.25">
      <c r="E30" s="11"/>
      <c r="F30" s="75" t="s">
        <v>300</v>
      </c>
      <c r="G30" s="25" t="s">
        <v>1082</v>
      </c>
      <c r="H30" s="76" t="str">
        <f>LEFT([Code], FIND(".", [Code])-1)</f>
        <v>X</v>
      </c>
      <c r="I30" s="76" t="str">
        <f>INDEX(Workstreams[Workstream], MATCH([WS Code], Workstreams[Code], 0))</f>
        <v>Lighting and appliances</v>
      </c>
      <c r="J30" s="25"/>
      <c r="L30" s="11"/>
      <c r="M30" s="14" t="s">
        <v>251</v>
      </c>
      <c r="N30" s="17" t="s">
        <v>0</v>
      </c>
      <c r="O30" s="17" t="s">
        <v>7</v>
      </c>
      <c r="P30" s="51" t="s">
        <v>402</v>
      </c>
      <c r="Q30" s="21"/>
      <c r="S30" s="36"/>
      <c r="T30" s="36" t="s">
        <v>373</v>
      </c>
    </row>
    <row r="31" spans="1:26" ht="14.25">
      <c r="C31" t="str">
        <f>INDEX(Workstreams[],5,2)</f>
        <v>Bioenergy</v>
      </c>
      <c r="E31" s="11"/>
      <c r="F31" s="75" t="s">
        <v>301</v>
      </c>
      <c r="G31" s="25" t="s">
        <v>537</v>
      </c>
      <c r="H31" s="76" t="str">
        <f>LEFT([Code], FIND(".", [Code])-1)</f>
        <v>X</v>
      </c>
      <c r="I31" s="76" t="str">
        <f>INDEX(Workstreams[Workstream], MATCH([WS Code], Workstreams[Code], 0))</f>
        <v>Lighting and appliances</v>
      </c>
      <c r="J31" s="25"/>
      <c r="L31" s="11"/>
      <c r="M31" s="14" t="s">
        <v>251</v>
      </c>
      <c r="N31" s="51" t="s">
        <v>40</v>
      </c>
      <c r="O31" s="859" t="s">
        <v>24</v>
      </c>
      <c r="P31" s="17" t="s">
        <v>15</v>
      </c>
      <c r="Q31" s="18"/>
      <c r="S31" s="36"/>
    </row>
    <row r="32" spans="1:26" ht="14.25">
      <c r="E32" s="11"/>
      <c r="F32" s="75" t="s">
        <v>197</v>
      </c>
      <c r="G32" s="25" t="s">
        <v>33</v>
      </c>
      <c r="H32" s="76" t="s">
        <v>197</v>
      </c>
      <c r="I32" s="76" t="s">
        <v>33</v>
      </c>
      <c r="J32" s="25"/>
      <c r="L32" s="11"/>
      <c r="M32" s="14" t="s">
        <v>251</v>
      </c>
      <c r="N32" s="14" t="s">
        <v>40</v>
      </c>
      <c r="O32" s="17" t="s">
        <v>8</v>
      </c>
      <c r="P32" s="17" t="s">
        <v>1</v>
      </c>
      <c r="Q32" s="18"/>
      <c r="S32" s="36"/>
      <c r="T32" s="36" t="s">
        <v>377</v>
      </c>
      <c r="U32" s="36" t="s">
        <v>378</v>
      </c>
      <c r="V32" s="36" t="s">
        <v>385</v>
      </c>
      <c r="W32" s="36" t="s">
        <v>389</v>
      </c>
    </row>
    <row r="33" spans="5:23" ht="14.25">
      <c r="E33" s="11"/>
      <c r="F33" s="75" t="s">
        <v>282</v>
      </c>
      <c r="G33" s="25" t="s">
        <v>417</v>
      </c>
      <c r="H33" s="76" t="str">
        <f>LEFT([Code], FIND(".", [Code])-1)</f>
        <v>XII</v>
      </c>
      <c r="I33" s="76" t="str">
        <f>INDEX(Workstreams[Workstream], MATCH([WS Code], Workstreams[Code], 0))</f>
        <v>Transport</v>
      </c>
      <c r="J33" s="25"/>
      <c r="L33" s="11"/>
      <c r="M33" s="14" t="s">
        <v>251</v>
      </c>
      <c r="N33" s="14" t="s">
        <v>40</v>
      </c>
      <c r="O33" s="17" t="s">
        <v>9</v>
      </c>
      <c r="P33" s="17" t="s">
        <v>56</v>
      </c>
      <c r="Q33" s="18"/>
      <c r="T33" s="36" t="s">
        <v>379</v>
      </c>
      <c r="U33" s="36" t="s">
        <v>380</v>
      </c>
      <c r="V33" s="36" t="s">
        <v>386</v>
      </c>
      <c r="W33" s="36"/>
    </row>
    <row r="34" spans="5:23" ht="14.25">
      <c r="E34" s="11"/>
      <c r="F34" s="75" t="s">
        <v>294</v>
      </c>
      <c r="G34" s="25" t="s">
        <v>418</v>
      </c>
      <c r="H34" s="76" t="str">
        <f>LEFT([Code], FIND(".", [Code])-1)</f>
        <v>XII</v>
      </c>
      <c r="I34" s="76" t="str">
        <f>INDEX(Workstreams[Workstream], MATCH([WS Code], Workstreams[Code], 0))</f>
        <v>Transport</v>
      </c>
      <c r="J34" s="25"/>
      <c r="L34" s="11"/>
      <c r="M34" s="51" t="s">
        <v>251</v>
      </c>
      <c r="N34" s="51" t="s">
        <v>40</v>
      </c>
      <c r="O34" s="17" t="s">
        <v>10</v>
      </c>
      <c r="P34" s="17" t="s">
        <v>2</v>
      </c>
      <c r="Q34" s="18"/>
      <c r="T34" s="36" t="s">
        <v>381</v>
      </c>
      <c r="U34" s="36" t="s">
        <v>101</v>
      </c>
      <c r="V34" s="36" t="s">
        <v>299</v>
      </c>
      <c r="W34" s="36"/>
    </row>
    <row r="35" spans="5:23" ht="14.25">
      <c r="E35" s="11"/>
      <c r="F35" s="75" t="s">
        <v>298</v>
      </c>
      <c r="G35" s="25" t="s">
        <v>908</v>
      </c>
      <c r="H35" s="76" t="str">
        <f>LEFT([Code], FIND(".", [Code])-1)</f>
        <v>XIII</v>
      </c>
      <c r="I35" s="76" t="str">
        <f>INDEX(Workstreams[Workstream], MATCH([WS Code], Workstreams[Code], 0))</f>
        <v>Cooking</v>
      </c>
      <c r="J35" s="25"/>
      <c r="L35" s="11"/>
      <c r="M35" s="51" t="s">
        <v>251</v>
      </c>
      <c r="N35" s="51" t="s">
        <v>40</v>
      </c>
      <c r="O35" s="51" t="s">
        <v>11</v>
      </c>
      <c r="P35" s="17" t="s">
        <v>3</v>
      </c>
      <c r="Q35" s="18"/>
      <c r="T35" s="36" t="s">
        <v>374</v>
      </c>
      <c r="U35" s="36" t="s">
        <v>110</v>
      </c>
      <c r="V35" s="36" t="s">
        <v>387</v>
      </c>
    </row>
    <row r="36" spans="5:23" ht="14.25">
      <c r="E36" s="11"/>
      <c r="F36" s="75" t="s">
        <v>1083</v>
      </c>
      <c r="G36" s="25" t="s">
        <v>878</v>
      </c>
      <c r="H36" s="76" t="str">
        <f>LEFT([Code], FIND(".", [Code])-1)</f>
        <v>XIII</v>
      </c>
      <c r="I36" s="76" t="str">
        <f>INDEX(Workstreams[Workstream], MATCH([WS Code], Workstreams[Code], 0))</f>
        <v>Cooking</v>
      </c>
      <c r="J36" s="25"/>
      <c r="L36" s="11"/>
      <c r="M36" s="51" t="s">
        <v>251</v>
      </c>
      <c r="N36" s="51" t="s">
        <v>40</v>
      </c>
      <c r="O36" s="51" t="s">
        <v>12</v>
      </c>
      <c r="P36" s="17" t="s">
        <v>18</v>
      </c>
      <c r="Q36" s="18"/>
      <c r="T36" s="36" t="s">
        <v>375</v>
      </c>
      <c r="U36" s="36" t="s">
        <v>376</v>
      </c>
      <c r="V36" s="36" t="s">
        <v>391</v>
      </c>
      <c r="W36" s="36" t="s">
        <v>392</v>
      </c>
    </row>
    <row r="37" spans="5:23" ht="14.25">
      <c r="E37" s="11"/>
      <c r="F37" s="75" t="s">
        <v>1084</v>
      </c>
      <c r="G37" s="25" t="s">
        <v>106</v>
      </c>
      <c r="H37" s="76" t="str">
        <f>LEFT([Code], FIND(".", [Code])-1)</f>
        <v>XIV</v>
      </c>
      <c r="I37" s="76" t="str">
        <f>INDEX(Workstreams[Workstream], MATCH([WS Code], Workstreams[Code], 0))</f>
        <v>Agriculture</v>
      </c>
      <c r="J37" s="25"/>
      <c r="L37" s="11"/>
      <c r="M37" s="51" t="s">
        <v>251</v>
      </c>
      <c r="N37" s="51" t="s">
        <v>40</v>
      </c>
      <c r="O37" s="51" t="s">
        <v>90</v>
      </c>
      <c r="P37" s="51" t="s">
        <v>487</v>
      </c>
      <c r="Q37" s="21"/>
      <c r="T37" s="36" t="s">
        <v>382</v>
      </c>
      <c r="U37" s="36" t="s">
        <v>384</v>
      </c>
      <c r="V37" s="36" t="s">
        <v>388</v>
      </c>
      <c r="W37" s="36" t="s">
        <v>390</v>
      </c>
    </row>
    <row r="38" spans="5:23" ht="14.25">
      <c r="E38" s="7"/>
      <c r="F38" s="75" t="s">
        <v>310</v>
      </c>
      <c r="G38" s="25" t="s">
        <v>1085</v>
      </c>
      <c r="H38" s="76" t="str">
        <f>LEFT([Code], FIND(".", [Code])-1)</f>
        <v>XV</v>
      </c>
      <c r="I38" s="76" t="str">
        <f>INDEX(Workstreams[Workstream], MATCH([WS Code], Workstreams[Code], 0))</f>
        <v>Fossil fuel production</v>
      </c>
      <c r="J38" s="25"/>
      <c r="L38" s="7"/>
      <c r="M38" s="14" t="s">
        <v>251</v>
      </c>
      <c r="N38" s="14" t="s">
        <v>40</v>
      </c>
      <c r="O38" s="51" t="s">
        <v>334</v>
      </c>
      <c r="P38" s="51" t="s">
        <v>106</v>
      </c>
      <c r="Q38" s="21"/>
      <c r="T38" s="36" t="s">
        <v>383</v>
      </c>
      <c r="U38" s="36" t="s">
        <v>101</v>
      </c>
      <c r="V38" s="36" t="s">
        <v>299</v>
      </c>
    </row>
    <row r="39" spans="5:23" ht="14.25">
      <c r="E39" s="7"/>
      <c r="F39" s="75" t="s">
        <v>314</v>
      </c>
      <c r="G39" s="25" t="s">
        <v>694</v>
      </c>
      <c r="H39" s="76" t="str">
        <f>LEFT([Code], FIND(".", [Code])-1)</f>
        <v>XV</v>
      </c>
      <c r="I39" s="76" t="str">
        <f>INDEX(Workstreams[Workstream], MATCH([WS Code], Workstreams[Code], 0))</f>
        <v>Fossil fuel production</v>
      </c>
      <c r="J39" s="25"/>
      <c r="L39" s="7"/>
      <c r="M39" s="14" t="s">
        <v>251</v>
      </c>
      <c r="N39" s="17" t="s">
        <v>41</v>
      </c>
      <c r="O39" s="17" t="s">
        <v>42</v>
      </c>
      <c r="P39" s="51" t="s">
        <v>41</v>
      </c>
      <c r="Q39" s="21"/>
    </row>
    <row r="40" spans="5:23" ht="14.25">
      <c r="E40" s="7"/>
      <c r="F40" s="75" t="s">
        <v>818</v>
      </c>
      <c r="G40" s="25" t="s">
        <v>1086</v>
      </c>
      <c r="H40" s="76" t="str">
        <f>LEFT([Code], FIND(".", [Code])-1)</f>
        <v>XV</v>
      </c>
      <c r="I40" s="76" t="str">
        <f>INDEX(Workstreams[Workstream], MATCH([WS Code], Workstreams[Code], 0))</f>
        <v>Fossil fuel production</v>
      </c>
      <c r="J40" s="25"/>
      <c r="L40" s="7"/>
      <c r="M40" s="14" t="s">
        <v>251</v>
      </c>
      <c r="N40" s="36" t="s">
        <v>37</v>
      </c>
      <c r="O40" s="19" t="s">
        <v>46</v>
      </c>
      <c r="P40" s="51" t="s">
        <v>518</v>
      </c>
      <c r="Q40" s="21"/>
    </row>
    <row r="41" spans="5:23" ht="14.25">
      <c r="E41" s="7"/>
      <c r="F41" s="75" t="s">
        <v>1087</v>
      </c>
      <c r="G41" s="25" t="s">
        <v>1078</v>
      </c>
      <c r="H41" s="76" t="str">
        <f>LEFT([Code], FIND(".", [Code])-1)</f>
        <v>XVI</v>
      </c>
      <c r="I41" s="76" t="str">
        <f>INDEX(Workstreams[Workstream], MATCH([WS Code], Workstreams[Code], 0))</f>
        <v>Telecom</v>
      </c>
      <c r="J41" s="25"/>
      <c r="L41" s="7"/>
      <c r="M41" s="14" t="s">
        <v>251</v>
      </c>
      <c r="N41" s="19" t="s">
        <v>37</v>
      </c>
      <c r="O41" s="19" t="s">
        <v>47</v>
      </c>
      <c r="P41" s="51" t="s">
        <v>519</v>
      </c>
      <c r="Q41" s="18"/>
    </row>
    <row r="42" spans="5:23" ht="14.25">
      <c r="E42" s="7"/>
      <c r="F42" s="75" t="s">
        <v>410</v>
      </c>
      <c r="G42" s="25" t="s">
        <v>1787</v>
      </c>
      <c r="H42" s="76" t="str">
        <f>LEFT([Code], FIND(".", [Code])-1)</f>
        <v>XVII</v>
      </c>
      <c r="I42" s="76" t="str">
        <f>INDEX(Workstreams[Workstream], MATCH([WS Code], Workstreams[Code], 0))</f>
        <v>Transfer</v>
      </c>
      <c r="J42" s="25"/>
      <c r="L42" s="7"/>
      <c r="M42" s="14" t="s">
        <v>251</v>
      </c>
      <c r="N42" s="36" t="s">
        <v>37</v>
      </c>
      <c r="O42" s="36" t="s">
        <v>268</v>
      </c>
      <c r="P42" s="51" t="s">
        <v>520</v>
      </c>
      <c r="Q42" s="21"/>
    </row>
    <row r="43" spans="5:23" ht="14.25">
      <c r="E43" s="7"/>
      <c r="F43" s="75" t="s">
        <v>1088</v>
      </c>
      <c r="G43" s="25" t="s">
        <v>1788</v>
      </c>
      <c r="H43" s="76" t="str">
        <f>LEFT([Code], FIND(".", [Code])-1)</f>
        <v>XVII</v>
      </c>
      <c r="I43" s="76" t="str">
        <f>INDEX(Workstreams[Workstream], MATCH([WS Code], Workstreams[Code], 0))</f>
        <v>Transfer</v>
      </c>
      <c r="J43" s="25"/>
      <c r="L43" s="7"/>
      <c r="M43" s="14" t="s">
        <v>251</v>
      </c>
      <c r="N43" s="36" t="s">
        <v>37</v>
      </c>
      <c r="O43" s="36" t="s">
        <v>315</v>
      </c>
      <c r="P43" s="51" t="s">
        <v>521</v>
      </c>
      <c r="Q43" s="18"/>
    </row>
    <row r="44" spans="5:23" ht="14.25">
      <c r="E44" s="7"/>
      <c r="F44" s="75" t="s">
        <v>1089</v>
      </c>
      <c r="G44" s="25" t="s">
        <v>877</v>
      </c>
      <c r="H44" s="76" t="str">
        <f>LEFT([Code], FIND(".", [Code])-1)</f>
        <v>XVII</v>
      </c>
      <c r="I44" s="76" t="s">
        <v>767</v>
      </c>
      <c r="J44" s="25"/>
      <c r="L44" s="7"/>
      <c r="M44" s="51" t="s">
        <v>251</v>
      </c>
      <c r="N44" s="36" t="s">
        <v>37</v>
      </c>
      <c r="O44" s="36" t="s">
        <v>316</v>
      </c>
      <c r="P44" s="51" t="s">
        <v>522</v>
      </c>
      <c r="Q44" s="21"/>
    </row>
    <row r="45" spans="5:23" ht="14.25">
      <c r="E45" s="7"/>
      <c r="F45" s="75" t="s">
        <v>675</v>
      </c>
      <c r="G45" s="25" t="s">
        <v>676</v>
      </c>
      <c r="H45" s="76" t="s">
        <v>646</v>
      </c>
      <c r="I45" s="76" t="s">
        <v>676</v>
      </c>
      <c r="J45" s="25"/>
      <c r="L45" s="7"/>
      <c r="M45" s="51" t="s">
        <v>251</v>
      </c>
      <c r="N45" s="36" t="s">
        <v>37</v>
      </c>
      <c r="O45" s="36" t="s">
        <v>317</v>
      </c>
      <c r="P45" s="51" t="s">
        <v>517</v>
      </c>
      <c r="Q45" s="18"/>
    </row>
    <row r="46" spans="5:23" ht="14.25">
      <c r="E46" s="7"/>
      <c r="F46" s="75"/>
      <c r="G46" s="25"/>
      <c r="H46" s="76"/>
      <c r="I46" s="76"/>
      <c r="J46" s="25"/>
      <c r="L46" s="7"/>
      <c r="M46" s="14" t="s">
        <v>251</v>
      </c>
      <c r="N46" s="36" t="s">
        <v>319</v>
      </c>
      <c r="O46" s="36" t="s">
        <v>320</v>
      </c>
      <c r="P46" s="51" t="s">
        <v>323</v>
      </c>
      <c r="Q46" s="21"/>
    </row>
    <row r="47" spans="5:23" ht="14.25">
      <c r="E47" s="7"/>
      <c r="F47" s="75"/>
      <c r="G47" s="25"/>
      <c r="H47" s="76"/>
      <c r="I47" s="76"/>
      <c r="J47" s="25"/>
      <c r="L47" s="7"/>
      <c r="M47" s="51" t="s">
        <v>251</v>
      </c>
      <c r="N47" s="585" t="s">
        <v>319</v>
      </c>
      <c r="O47" s="585" t="s">
        <v>778</v>
      </c>
      <c r="P47" s="51" t="s">
        <v>779</v>
      </c>
      <c r="Q47" s="21"/>
    </row>
    <row r="48" spans="5:23" ht="14.25">
      <c r="E48" s="7"/>
      <c r="L48" s="7"/>
      <c r="M48" s="14" t="s">
        <v>251</v>
      </c>
      <c r="N48" s="36" t="s">
        <v>319</v>
      </c>
      <c r="O48" s="36" t="s">
        <v>321</v>
      </c>
      <c r="P48" s="51" t="s">
        <v>324</v>
      </c>
      <c r="Q48" s="21"/>
    </row>
    <row r="49" spans="5:17" ht="14.25">
      <c r="E49" s="7"/>
      <c r="L49" s="7"/>
      <c r="M49" s="14" t="s">
        <v>251</v>
      </c>
      <c r="N49" s="36" t="s">
        <v>319</v>
      </c>
      <c r="O49" s="36" t="s">
        <v>322</v>
      </c>
      <c r="P49" s="51" t="s">
        <v>333</v>
      </c>
      <c r="Q49" s="21"/>
    </row>
    <row r="50" spans="5:17" ht="14.25">
      <c r="E50" s="7"/>
      <c r="L50" s="7"/>
      <c r="M50" s="14" t="s">
        <v>64</v>
      </c>
      <c r="N50" s="51" t="s">
        <v>252</v>
      </c>
      <c r="O50" s="17" t="s">
        <v>51</v>
      </c>
      <c r="P50" s="51" t="s">
        <v>486</v>
      </c>
      <c r="Q50" s="21"/>
    </row>
    <row r="51" spans="5:17" ht="14.25">
      <c r="E51" s="7"/>
      <c r="L51" s="7"/>
      <c r="M51" s="51" t="s">
        <v>64</v>
      </c>
      <c r="N51" s="51" t="s">
        <v>252</v>
      </c>
      <c r="O51" s="17" t="s">
        <v>52</v>
      </c>
      <c r="P51" s="51" t="s">
        <v>422</v>
      </c>
      <c r="Q51" s="21"/>
    </row>
    <row r="52" spans="5:17" ht="14.25">
      <c r="E52" s="7"/>
      <c r="L52" s="7"/>
      <c r="M52" s="51" t="s">
        <v>64</v>
      </c>
      <c r="N52" s="51" t="s">
        <v>252</v>
      </c>
      <c r="O52" s="17" t="s">
        <v>53</v>
      </c>
      <c r="P52" s="51" t="s">
        <v>117</v>
      </c>
      <c r="Q52" s="21"/>
    </row>
    <row r="53" spans="5:17" ht="14.25">
      <c r="E53" s="7"/>
      <c r="L53" s="7"/>
      <c r="M53" s="51" t="s">
        <v>64</v>
      </c>
      <c r="N53" s="2365" t="s">
        <v>252</v>
      </c>
      <c r="O53" s="2365" t="s">
        <v>1820</v>
      </c>
      <c r="P53" s="2365" t="s">
        <v>1821</v>
      </c>
      <c r="Q53" s="2366"/>
    </row>
    <row r="54" spans="5:17" ht="14.25">
      <c r="E54" s="7"/>
      <c r="L54" s="7"/>
      <c r="M54" s="51" t="s">
        <v>64</v>
      </c>
      <c r="N54" s="51" t="s">
        <v>5</v>
      </c>
      <c r="O54" s="17" t="s">
        <v>34</v>
      </c>
      <c r="P54" s="17" t="s">
        <v>54</v>
      </c>
      <c r="Q54" s="51"/>
    </row>
    <row r="55" spans="5:17" ht="14.25">
      <c r="E55" s="7"/>
      <c r="L55" s="7"/>
      <c r="M55" s="51" t="s">
        <v>64</v>
      </c>
      <c r="N55" s="51" t="s">
        <v>5</v>
      </c>
      <c r="O55" s="17" t="s">
        <v>35</v>
      </c>
      <c r="P55" s="51" t="s">
        <v>154</v>
      </c>
      <c r="Q55" s="18"/>
    </row>
    <row r="56" spans="5:17" ht="14.25">
      <c r="E56" s="7"/>
      <c r="H56" s="2288" t="s">
        <v>34</v>
      </c>
      <c r="I56" s="2288" t="s">
        <v>54</v>
      </c>
      <c r="J56" s="2292"/>
      <c r="L56" s="7"/>
      <c r="M56" s="51" t="s">
        <v>64</v>
      </c>
      <c r="N56" s="51" t="s">
        <v>114</v>
      </c>
      <c r="O56" s="51" t="s">
        <v>36</v>
      </c>
      <c r="P56" s="17" t="s">
        <v>49</v>
      </c>
      <c r="Q56" s="21"/>
    </row>
    <row r="57" spans="5:17" ht="14.25">
      <c r="E57" s="7"/>
      <c r="H57" s="2286" t="s">
        <v>35</v>
      </c>
      <c r="I57" s="2286" t="s">
        <v>154</v>
      </c>
      <c r="J57" s="2287"/>
      <c r="L57" s="11"/>
      <c r="M57" s="51" t="s">
        <v>64</v>
      </c>
      <c r="N57" s="51" t="s">
        <v>114</v>
      </c>
      <c r="O57" s="51" t="s">
        <v>38</v>
      </c>
      <c r="P57" s="17" t="s">
        <v>50</v>
      </c>
      <c r="Q57" s="21"/>
    </row>
    <row r="58" spans="5:17" ht="14.25">
      <c r="E58" s="7"/>
      <c r="H58" s="2288" t="s">
        <v>36</v>
      </c>
      <c r="I58" s="2288" t="s">
        <v>49</v>
      </c>
      <c r="J58" s="2289" t="s">
        <v>1848</v>
      </c>
      <c r="L58" s="11"/>
      <c r="M58" s="51" t="s">
        <v>64</v>
      </c>
      <c r="N58" s="51" t="s">
        <v>114</v>
      </c>
      <c r="O58" s="51" t="s">
        <v>39</v>
      </c>
      <c r="P58" s="51" t="s">
        <v>163</v>
      </c>
      <c r="Q58" s="21"/>
    </row>
    <row r="59" spans="5:17" ht="14.25">
      <c r="H59" s="2286" t="s">
        <v>38</v>
      </c>
      <c r="I59" s="2286" t="s">
        <v>50</v>
      </c>
      <c r="J59" s="2287" t="s">
        <v>1849</v>
      </c>
      <c r="L59" s="11"/>
      <c r="M59" s="51" t="s">
        <v>64</v>
      </c>
      <c r="N59" s="51" t="s">
        <v>114</v>
      </c>
      <c r="O59" s="51" t="s">
        <v>93</v>
      </c>
      <c r="P59" s="51" t="s">
        <v>1736</v>
      </c>
      <c r="Q59" s="21"/>
    </row>
    <row r="60" spans="5:17" ht="14.25">
      <c r="H60" s="2288" t="s">
        <v>39</v>
      </c>
      <c r="I60" s="2288" t="s">
        <v>163</v>
      </c>
      <c r="J60" s="2289" t="s">
        <v>1850</v>
      </c>
      <c r="L60" s="11"/>
      <c r="M60" s="51" t="s">
        <v>64</v>
      </c>
      <c r="N60" s="51" t="s">
        <v>114</v>
      </c>
      <c r="O60" s="51" t="s">
        <v>253</v>
      </c>
      <c r="P60" s="51" t="s">
        <v>1737</v>
      </c>
      <c r="Q60" s="21"/>
    </row>
    <row r="61" spans="5:17" ht="14.25">
      <c r="H61" s="2286" t="s">
        <v>93</v>
      </c>
      <c r="I61" s="2286" t="s">
        <v>115</v>
      </c>
      <c r="J61" s="2287"/>
      <c r="L61" s="11"/>
      <c r="M61" s="51" t="s">
        <v>64</v>
      </c>
      <c r="N61" s="51" t="s">
        <v>91</v>
      </c>
      <c r="O61" s="51" t="s">
        <v>254</v>
      </c>
      <c r="P61" s="51" t="s">
        <v>516</v>
      </c>
      <c r="Q61" s="21"/>
    </row>
    <row r="62" spans="5:17" ht="51">
      <c r="H62" s="2288" t="s">
        <v>253</v>
      </c>
      <c r="I62" s="2288" t="s">
        <v>1851</v>
      </c>
      <c r="J62" s="2289" t="s">
        <v>1852</v>
      </c>
      <c r="L62" s="11"/>
      <c r="M62" s="51" t="s">
        <v>64</v>
      </c>
      <c r="N62" s="51" t="s">
        <v>91</v>
      </c>
      <c r="O62" s="51" t="s">
        <v>255</v>
      </c>
      <c r="P62" s="2288" t="s">
        <v>1854</v>
      </c>
      <c r="Q62" s="2289" t="s">
        <v>1864</v>
      </c>
    </row>
    <row r="63" spans="5:17" ht="25.5">
      <c r="H63" s="2286" t="s">
        <v>254</v>
      </c>
      <c r="I63" s="2286" t="s">
        <v>516</v>
      </c>
      <c r="J63" s="2287" t="s">
        <v>1853</v>
      </c>
      <c r="L63" s="11"/>
      <c r="M63" s="51" t="s">
        <v>64</v>
      </c>
      <c r="N63" s="51" t="s">
        <v>91</v>
      </c>
      <c r="O63" s="51" t="s">
        <v>297</v>
      </c>
      <c r="P63" s="2286" t="s">
        <v>1856</v>
      </c>
      <c r="Q63" s="2287" t="s">
        <v>1857</v>
      </c>
    </row>
    <row r="64" spans="5:17" ht="38.25">
      <c r="H64" s="2288" t="s">
        <v>255</v>
      </c>
      <c r="I64" s="2288" t="s">
        <v>1854</v>
      </c>
      <c r="J64" s="2289" t="s">
        <v>1855</v>
      </c>
      <c r="L64" s="11"/>
      <c r="M64" s="322" t="s">
        <v>64</v>
      </c>
      <c r="N64" s="34" t="s">
        <v>499</v>
      </c>
      <c r="O64" s="322" t="s">
        <v>490</v>
      </c>
      <c r="P64" s="2288" t="s">
        <v>1858</v>
      </c>
      <c r="Q64" s="323"/>
    </row>
    <row r="65" spans="8:17" ht="25.5">
      <c r="H65" s="2286" t="s">
        <v>297</v>
      </c>
      <c r="I65" s="2286" t="s">
        <v>1856</v>
      </c>
      <c r="J65" s="2287" t="s">
        <v>1857</v>
      </c>
      <c r="L65" s="11"/>
      <c r="M65" s="243" t="s">
        <v>64</v>
      </c>
      <c r="N65" s="34" t="s">
        <v>40</v>
      </c>
      <c r="O65" s="34" t="s">
        <v>408</v>
      </c>
      <c r="P65" s="25" t="s">
        <v>1721</v>
      </c>
      <c r="Q65" s="244"/>
    </row>
    <row r="66" spans="8:17" ht="14.25">
      <c r="H66" s="2291" t="s">
        <v>490</v>
      </c>
      <c r="I66" s="2288" t="s">
        <v>1858</v>
      </c>
      <c r="J66" s="2289" t="s">
        <v>1859</v>
      </c>
      <c r="L66" s="11"/>
      <c r="M66" s="243" t="s">
        <v>64</v>
      </c>
      <c r="N66" s="51" t="s">
        <v>92</v>
      </c>
      <c r="O66" s="51" t="s">
        <v>427</v>
      </c>
      <c r="P66" s="17" t="s">
        <v>17</v>
      </c>
      <c r="Q66" s="261"/>
    </row>
    <row r="67" spans="8:17" ht="25.5">
      <c r="H67" s="2290" t="s">
        <v>408</v>
      </c>
      <c r="I67" s="2286" t="s">
        <v>1860</v>
      </c>
      <c r="J67" s="2287" t="s">
        <v>1861</v>
      </c>
      <c r="L67" s="11"/>
      <c r="M67" s="243" t="s">
        <v>64</v>
      </c>
      <c r="N67" s="34" t="s">
        <v>499</v>
      </c>
      <c r="O67" s="34" t="s">
        <v>435</v>
      </c>
      <c r="P67" s="25" t="s">
        <v>488</v>
      </c>
      <c r="Q67" s="2287" t="s">
        <v>1862</v>
      </c>
    </row>
    <row r="68" spans="8:17" ht="14.25">
      <c r="H68" s="2288" t="s">
        <v>427</v>
      </c>
      <c r="I68" s="2288" t="s">
        <v>17</v>
      </c>
      <c r="J68" s="2289"/>
      <c r="L68" s="11"/>
      <c r="M68" s="322" t="s">
        <v>64</v>
      </c>
      <c r="N68" s="34" t="s">
        <v>499</v>
      </c>
      <c r="O68" s="322" t="s">
        <v>489</v>
      </c>
      <c r="P68" s="25" t="s">
        <v>491</v>
      </c>
      <c r="Q68" s="2289" t="s">
        <v>1863</v>
      </c>
    </row>
    <row r="69" spans="8:17" ht="14.25">
      <c r="H69" s="2290" t="s">
        <v>435</v>
      </c>
      <c r="I69" s="2286" t="s">
        <v>488</v>
      </c>
      <c r="J69" s="2287" t="s">
        <v>1862</v>
      </c>
      <c r="L69" s="11"/>
      <c r="M69" s="356" t="s">
        <v>501</v>
      </c>
      <c r="N69" s="34" t="s">
        <v>526</v>
      </c>
      <c r="O69" s="356" t="s">
        <v>503</v>
      </c>
      <c r="P69" s="25" t="s">
        <v>1219</v>
      </c>
      <c r="Q69" s="358"/>
    </row>
    <row r="70" spans="8:17" ht="14.25">
      <c r="H70" s="2291" t="s">
        <v>489</v>
      </c>
      <c r="I70" s="2288" t="s">
        <v>491</v>
      </c>
      <c r="J70" s="2289" t="s">
        <v>1863</v>
      </c>
      <c r="L70" s="11"/>
      <c r="M70" s="356" t="s">
        <v>501</v>
      </c>
      <c r="N70" s="34" t="s">
        <v>526</v>
      </c>
      <c r="O70" s="369" t="s">
        <v>511</v>
      </c>
      <c r="P70" s="1330" t="s">
        <v>1220</v>
      </c>
      <c r="Q70" s="371"/>
    </row>
    <row r="71" spans="8:17" ht="12.75">
      <c r="L71" s="2"/>
      <c r="M71" s="369" t="s">
        <v>501</v>
      </c>
      <c r="N71" s="369" t="s">
        <v>526</v>
      </c>
      <c r="O71" s="369" t="s">
        <v>527</v>
      </c>
      <c r="P71" s="370" t="s">
        <v>528</v>
      </c>
      <c r="Q71" s="371"/>
    </row>
    <row r="72" spans="8:17" ht="12.75">
      <c r="L72" s="2"/>
      <c r="M72" s="369" t="s">
        <v>501</v>
      </c>
      <c r="N72" s="34" t="s">
        <v>530</v>
      </c>
      <c r="O72" s="34" t="s">
        <v>529</v>
      </c>
      <c r="P72" s="25" t="s">
        <v>531</v>
      </c>
      <c r="Q72" s="261"/>
    </row>
    <row r="73" spans="8:17" ht="12.75">
      <c r="L73" s="2"/>
      <c r="M73" s="356" t="s">
        <v>501</v>
      </c>
      <c r="N73" s="356" t="s">
        <v>504</v>
      </c>
      <c r="O73" s="356" t="s">
        <v>508</v>
      </c>
      <c r="P73" s="357" t="s">
        <v>507</v>
      </c>
      <c r="Q73" s="358"/>
    </row>
    <row r="74" spans="8:17" ht="12.75">
      <c r="L74" s="2"/>
      <c r="M74" s="34" t="s">
        <v>501</v>
      </c>
      <c r="N74" s="34" t="s">
        <v>504</v>
      </c>
      <c r="O74" s="34" t="s">
        <v>607</v>
      </c>
      <c r="P74" s="25" t="s">
        <v>262</v>
      </c>
      <c r="Q74" s="261"/>
    </row>
    <row r="75" spans="8:17" ht="12.75">
      <c r="L75" s="2"/>
      <c r="M75" s="356" t="s">
        <v>501</v>
      </c>
      <c r="N75" s="34" t="s">
        <v>504</v>
      </c>
      <c r="O75" s="356" t="s">
        <v>509</v>
      </c>
      <c r="P75" s="357" t="s">
        <v>505</v>
      </c>
      <c r="Q75" s="358"/>
    </row>
    <row r="76" spans="8:17" ht="12.75">
      <c r="L76" s="2"/>
      <c r="M76" s="465" t="s">
        <v>501</v>
      </c>
      <c r="N76" s="465" t="s">
        <v>22</v>
      </c>
      <c r="O76" s="465" t="s">
        <v>649</v>
      </c>
      <c r="P76" s="466" t="s">
        <v>650</v>
      </c>
      <c r="Q76" s="467"/>
    </row>
    <row r="77" spans="8:17" ht="12.75">
      <c r="L77" s="2"/>
      <c r="M77" s="34" t="s">
        <v>501</v>
      </c>
      <c r="N77" s="34" t="s">
        <v>22</v>
      </c>
      <c r="O77" s="34" t="s">
        <v>608</v>
      </c>
      <c r="P77" s="25" t="s">
        <v>609</v>
      </c>
      <c r="Q77" s="244"/>
    </row>
    <row r="78" spans="8:17" ht="12.75">
      <c r="L78" s="2"/>
      <c r="M78" s="34" t="s">
        <v>501</v>
      </c>
      <c r="N78" s="34" t="s">
        <v>22</v>
      </c>
      <c r="O78" s="34" t="s">
        <v>610</v>
      </c>
      <c r="P78" s="25" t="s">
        <v>611</v>
      </c>
      <c r="Q78" s="244"/>
    </row>
    <row r="79" spans="8:17" ht="12.75">
      <c r="L79" s="2"/>
      <c r="M79" s="34" t="s">
        <v>501</v>
      </c>
      <c r="N79" s="34" t="s">
        <v>22</v>
      </c>
      <c r="O79" s="34" t="s">
        <v>612</v>
      </c>
      <c r="P79" s="25" t="s">
        <v>613</v>
      </c>
      <c r="Q79" s="244"/>
    </row>
    <row r="80" spans="8:17" ht="12.75">
      <c r="L80" s="2"/>
      <c r="M80" s="34" t="s">
        <v>501</v>
      </c>
      <c r="N80" s="34" t="s">
        <v>22</v>
      </c>
      <c r="O80" s="34" t="s">
        <v>616</v>
      </c>
      <c r="P80" s="25" t="s">
        <v>617</v>
      </c>
      <c r="Q80" s="244"/>
    </row>
    <row r="81" spans="13:17">
      <c r="M81" s="19"/>
      <c r="N81" s="19"/>
      <c r="O81" s="19" t="s">
        <v>31</v>
      </c>
      <c r="P81" s="17" t="s">
        <v>2367</v>
      </c>
      <c r="Q81" s="18" t="s">
        <v>2367</v>
      </c>
    </row>
    <row r="82" spans="13:17">
      <c r="M82" s="2"/>
      <c r="P82" s="2"/>
      <c r="Q82" s="12"/>
    </row>
    <row r="83" spans="13:17">
      <c r="M83" s="2"/>
      <c r="P83" s="2"/>
      <c r="Q83" s="12"/>
    </row>
    <row r="84" spans="13:17">
      <c r="M84" s="2"/>
      <c r="P84" s="2"/>
      <c r="Q84" s="12"/>
    </row>
    <row r="85" spans="13:17">
      <c r="M85" s="2"/>
      <c r="P85" s="2"/>
      <c r="Q85" s="12"/>
    </row>
    <row r="86" spans="13:17">
      <c r="M86" s="2"/>
      <c r="P86" s="2"/>
      <c r="Q86" s="12"/>
    </row>
    <row r="87" spans="13:17">
      <c r="M87" s="2"/>
      <c r="P87" s="2"/>
      <c r="Q87" s="12"/>
    </row>
    <row r="88" spans="13:17">
      <c r="M88" s="2"/>
      <c r="P88" s="2"/>
      <c r="Q88" s="12"/>
    </row>
    <row r="89" spans="13:17">
      <c r="M89" s="2"/>
      <c r="P89" s="2"/>
      <c r="Q89" s="12"/>
    </row>
    <row r="90" spans="13:17">
      <c r="M90" s="2"/>
      <c r="P90" s="2"/>
      <c r="Q90" s="12"/>
    </row>
    <row r="91" spans="13:17">
      <c r="M91" s="2"/>
      <c r="P91" s="2"/>
      <c r="Q91" s="12"/>
    </row>
    <row r="92" spans="13:17">
      <c r="M92" s="2"/>
      <c r="P92" s="2"/>
      <c r="Q92" s="12"/>
    </row>
  </sheetData>
  <pageMargins left="0.7" right="0.7" top="0.75" bottom="0.75" header="0.3" footer="0.3"/>
  <pageSetup paperSize="9" orientation="landscape" horizontalDpi="300" verticalDpi="300"/>
  <tableParts count="8">
    <tablePart r:id="rId1"/>
    <tablePart r:id="rId2"/>
    <tablePart r:id="rId3"/>
    <tablePart r:id="rId4"/>
    <tablePart r:id="rId5"/>
    <tablePart r:id="rId6"/>
    <tablePart r:id="rId7"/>
    <tablePart r:id="rId8"/>
  </tableParts>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sheetPr>
    <tabColor theme="5" tint="0.39997558519241921"/>
  </sheetPr>
  <dimension ref="B1:AY105"/>
  <sheetViews>
    <sheetView showGridLines="0" workbookViewId="0">
      <selection activeCell="D1" sqref="D1"/>
    </sheetView>
  </sheetViews>
  <sheetFormatPr defaultColWidth="8.85546875" defaultRowHeight="12.75"/>
  <cols>
    <col min="1" max="2" width="2.140625" style="35" customWidth="1"/>
    <col min="3" max="3" width="22.140625" style="35" bestFit="1" customWidth="1"/>
    <col min="4" max="4" width="29.42578125" style="35" bestFit="1" customWidth="1"/>
    <col min="5" max="15" width="8.85546875" style="35"/>
    <col min="16" max="16" width="3.42578125" style="35" customWidth="1"/>
    <col min="17" max="17" width="8.85546875" style="35"/>
    <col min="18" max="18" width="30.140625" style="35" bestFit="1" customWidth="1"/>
    <col min="19" max="50" width="6.140625" style="383" customWidth="1"/>
    <col min="51" max="16384" width="8.85546875" style="35"/>
  </cols>
  <sheetData>
    <row r="1" spans="2:51">
      <c r="N1" s="1302"/>
    </row>
    <row r="2" spans="2:51" ht="15.75">
      <c r="B2" s="1276" t="s">
        <v>1200</v>
      </c>
      <c r="C2" s="1277"/>
      <c r="D2" s="1277"/>
      <c r="E2" s="1278"/>
      <c r="F2" s="1278"/>
      <c r="G2" s="1278"/>
      <c r="H2" s="1278"/>
      <c r="I2" s="1278"/>
      <c r="J2" s="1278"/>
      <c r="K2" s="1278"/>
      <c r="L2" s="1278"/>
      <c r="M2" s="1278"/>
      <c r="N2" s="1278"/>
      <c r="O2" s="1279"/>
      <c r="Q2" s="1276" t="s">
        <v>1201</v>
      </c>
      <c r="R2" s="1277"/>
      <c r="S2" s="1308"/>
      <c r="T2" s="1308"/>
      <c r="U2" s="1308"/>
      <c r="V2" s="1308"/>
      <c r="W2" s="1309"/>
      <c r="X2" s="1309"/>
      <c r="Y2" s="1309"/>
      <c r="Z2" s="1309"/>
      <c r="AA2" s="1309"/>
      <c r="AB2" s="1309"/>
      <c r="AC2" s="1309"/>
      <c r="AD2" s="1309"/>
      <c r="AE2" s="1309"/>
      <c r="AF2" s="1309"/>
      <c r="AG2" s="1309"/>
      <c r="AH2" s="1309"/>
      <c r="AI2" s="1309"/>
      <c r="AJ2" s="1309"/>
      <c r="AK2" s="1309"/>
      <c r="AL2" s="1309"/>
      <c r="AM2" s="1309"/>
      <c r="AN2" s="1309"/>
      <c r="AO2" s="1309"/>
      <c r="AP2" s="1309"/>
      <c r="AQ2" s="1309"/>
      <c r="AR2" s="1309"/>
      <c r="AS2" s="1309"/>
      <c r="AT2" s="1309"/>
      <c r="AU2" s="1309"/>
      <c r="AV2" s="1309"/>
      <c r="AW2" s="1309"/>
      <c r="AX2" s="1309"/>
      <c r="AY2" s="1279"/>
    </row>
    <row r="3" spans="2:51" ht="15.75">
      <c r="B3" s="1280"/>
      <c r="C3" s="1281"/>
      <c r="D3" s="1281"/>
      <c r="E3" s="1282"/>
      <c r="F3" s="1282"/>
      <c r="G3" s="1282"/>
      <c r="H3" s="1282"/>
      <c r="I3" s="1282"/>
      <c r="J3" s="1282"/>
      <c r="K3" s="1282"/>
      <c r="L3" s="1282"/>
      <c r="M3" s="1282"/>
      <c r="N3" s="1282"/>
      <c r="O3" s="1283"/>
      <c r="Q3" s="1280"/>
      <c r="R3" s="1281"/>
      <c r="S3" s="1310"/>
      <c r="T3" s="1310"/>
      <c r="U3" s="1310"/>
      <c r="V3" s="1310"/>
      <c r="W3" s="1311"/>
      <c r="X3" s="1311"/>
      <c r="Y3" s="1311"/>
      <c r="Z3" s="1311"/>
      <c r="AA3" s="1311"/>
      <c r="AB3" s="1311"/>
      <c r="AC3" s="1311"/>
      <c r="AD3" s="1311"/>
      <c r="AE3" s="1311"/>
      <c r="AF3" s="1311"/>
      <c r="AG3" s="1311"/>
      <c r="AH3" s="1311"/>
      <c r="AI3" s="1311"/>
      <c r="AJ3" s="1311"/>
      <c r="AK3" s="1311"/>
      <c r="AL3" s="1311"/>
      <c r="AM3" s="1311"/>
      <c r="AN3" s="1311"/>
      <c r="AO3" s="1311"/>
      <c r="AP3" s="1311"/>
      <c r="AQ3" s="1311"/>
      <c r="AR3" s="1311"/>
      <c r="AS3" s="1311"/>
      <c r="AT3" s="1311"/>
      <c r="AU3" s="1311"/>
      <c r="AV3" s="1311"/>
      <c r="AW3" s="1311"/>
      <c r="AX3" s="1311"/>
      <c r="AY3" s="1283"/>
    </row>
    <row r="4" spans="2:51" ht="15.75">
      <c r="B4" s="1312"/>
      <c r="C4" s="1285"/>
      <c r="D4" s="1285"/>
      <c r="E4" s="1313"/>
      <c r="F4" s="1313"/>
      <c r="G4" s="1313"/>
      <c r="H4" s="1313"/>
      <c r="I4" s="1313"/>
      <c r="J4" s="1313"/>
      <c r="K4" s="1313"/>
      <c r="L4" s="1313"/>
      <c r="M4" s="1313"/>
      <c r="N4" s="1314" t="str">
        <f>preferences.energyunits</f>
        <v>TWh</v>
      </c>
      <c r="O4" s="1315"/>
      <c r="Q4" s="1312"/>
      <c r="R4" s="1294"/>
      <c r="S4" s="1299" t="s">
        <v>1202</v>
      </c>
      <c r="T4" s="1316"/>
      <c r="U4" s="1316"/>
      <c r="V4" s="1316"/>
      <c r="W4" s="1317"/>
      <c r="X4" s="1317"/>
      <c r="Y4" s="1317"/>
      <c r="Z4" s="1317"/>
      <c r="AA4" s="1317"/>
      <c r="AB4" s="1317"/>
      <c r="AC4" s="1317"/>
      <c r="AD4" s="1299" t="s">
        <v>1203</v>
      </c>
      <c r="AE4" s="1316"/>
      <c r="AF4" s="1316"/>
      <c r="AG4" s="1316"/>
      <c r="AH4" s="1317"/>
      <c r="AI4" s="1317"/>
      <c r="AJ4" s="1317"/>
      <c r="AK4" s="1317"/>
      <c r="AL4" s="1317"/>
      <c r="AM4" s="1317"/>
      <c r="AN4" s="1317"/>
      <c r="AO4" s="1316" t="s">
        <v>1204</v>
      </c>
      <c r="AP4" s="1316"/>
      <c r="AQ4" s="1316"/>
      <c r="AR4" s="1316"/>
      <c r="AS4" s="1317"/>
      <c r="AT4" s="1317"/>
      <c r="AU4" s="1317"/>
      <c r="AV4" s="1317"/>
      <c r="AW4" s="1317"/>
      <c r="AX4" s="1317"/>
      <c r="AY4" s="1315"/>
    </row>
    <row r="5" spans="2:51" s="605" customFormat="1" ht="15.75">
      <c r="B5" s="1284"/>
      <c r="C5" s="1292" t="s">
        <v>1195</v>
      </c>
      <c r="D5" s="1293" t="s">
        <v>1196</v>
      </c>
      <c r="E5" s="1294">
        <v>2007</v>
      </c>
      <c r="F5" s="1294">
        <f>E5+5</f>
        <v>2012</v>
      </c>
      <c r="G5" s="1294">
        <f t="shared" ref="G5:N5" si="0">F5+5</f>
        <v>2017</v>
      </c>
      <c r="H5" s="1294">
        <f t="shared" si="0"/>
        <v>2022</v>
      </c>
      <c r="I5" s="1294">
        <f t="shared" si="0"/>
        <v>2027</v>
      </c>
      <c r="J5" s="1294">
        <f t="shared" si="0"/>
        <v>2032</v>
      </c>
      <c r="K5" s="1294">
        <f t="shared" si="0"/>
        <v>2037</v>
      </c>
      <c r="L5" s="1294">
        <f t="shared" si="0"/>
        <v>2042</v>
      </c>
      <c r="M5" s="1294">
        <f t="shared" si="0"/>
        <v>2047</v>
      </c>
      <c r="N5" s="1294">
        <f t="shared" si="0"/>
        <v>2052</v>
      </c>
      <c r="O5" s="1287"/>
      <c r="Q5" s="1312"/>
      <c r="R5" s="1294" t="s">
        <v>1205</v>
      </c>
      <c r="S5" s="1294">
        <v>2007</v>
      </c>
      <c r="T5" s="1294">
        <f>S5+5</f>
        <v>2012</v>
      </c>
      <c r="U5" s="1294">
        <f t="shared" ref="U5:AB5" si="1">T5+5</f>
        <v>2017</v>
      </c>
      <c r="V5" s="1294">
        <f t="shared" si="1"/>
        <v>2022</v>
      </c>
      <c r="W5" s="1294">
        <f t="shared" si="1"/>
        <v>2027</v>
      </c>
      <c r="X5" s="1294">
        <f t="shared" si="1"/>
        <v>2032</v>
      </c>
      <c r="Y5" s="1294">
        <f t="shared" si="1"/>
        <v>2037</v>
      </c>
      <c r="Z5" s="1294">
        <f t="shared" si="1"/>
        <v>2042</v>
      </c>
      <c r="AA5" s="1294">
        <f t="shared" si="1"/>
        <v>2047</v>
      </c>
      <c r="AB5" s="1294">
        <f t="shared" si="1"/>
        <v>2052</v>
      </c>
      <c r="AC5" s="1317"/>
      <c r="AD5" s="1294">
        <v>2007</v>
      </c>
      <c r="AE5" s="1294">
        <f>AD5+5</f>
        <v>2012</v>
      </c>
      <c r="AF5" s="1294">
        <f t="shared" ref="AF5:AM5" si="2">AE5+5</f>
        <v>2017</v>
      </c>
      <c r="AG5" s="1294">
        <f t="shared" si="2"/>
        <v>2022</v>
      </c>
      <c r="AH5" s="1294">
        <f t="shared" si="2"/>
        <v>2027</v>
      </c>
      <c r="AI5" s="1294">
        <f t="shared" si="2"/>
        <v>2032</v>
      </c>
      <c r="AJ5" s="1294">
        <f t="shared" si="2"/>
        <v>2037</v>
      </c>
      <c r="AK5" s="1294">
        <f t="shared" si="2"/>
        <v>2042</v>
      </c>
      <c r="AL5" s="1294">
        <f t="shared" si="2"/>
        <v>2047</v>
      </c>
      <c r="AM5" s="1294">
        <f t="shared" si="2"/>
        <v>2052</v>
      </c>
      <c r="AN5" s="1317"/>
      <c r="AO5" s="1294">
        <v>2007</v>
      </c>
      <c r="AP5" s="1294">
        <f>AO5+5</f>
        <v>2012</v>
      </c>
      <c r="AQ5" s="1294">
        <f t="shared" ref="AQ5:AX5" si="3">AP5+5</f>
        <v>2017</v>
      </c>
      <c r="AR5" s="1294">
        <f t="shared" si="3"/>
        <v>2022</v>
      </c>
      <c r="AS5" s="1294">
        <f t="shared" si="3"/>
        <v>2027</v>
      </c>
      <c r="AT5" s="1294">
        <f t="shared" si="3"/>
        <v>2032</v>
      </c>
      <c r="AU5" s="1294">
        <f t="shared" si="3"/>
        <v>2037</v>
      </c>
      <c r="AV5" s="1294">
        <f t="shared" si="3"/>
        <v>2042</v>
      </c>
      <c r="AW5" s="1294">
        <f t="shared" si="3"/>
        <v>2047</v>
      </c>
      <c r="AX5" s="1294">
        <f t="shared" si="3"/>
        <v>2052</v>
      </c>
      <c r="AY5" s="1315"/>
    </row>
    <row r="6" spans="2:51" s="605" customFormat="1" ht="15.75">
      <c r="B6" s="1284"/>
      <c r="C6" s="1296" t="s">
        <v>2145</v>
      </c>
      <c r="D6" s="368" t="s">
        <v>2171</v>
      </c>
      <c r="E6" s="368">
        <f ca="1">-INDEX(INDIRECT("XV.b.Outputs["&amp;E$5&amp;"]"), MATCH("Q.01", INDIRECT("XV.b.Outputs[Vector]"), 0))</f>
        <v>2003.3688000000002</v>
      </c>
      <c r="F6" s="368">
        <f t="shared" ref="F6:N6" ca="1" si="4">-INDEX(INDIRECT("XV.b.Outputs["&amp;F$5&amp;"]"), MATCH("Q.01", INDIRECT("XV.b.Outputs[Vector]"), 0))</f>
        <v>2704.3935000000001</v>
      </c>
      <c r="G6" s="368">
        <f t="shared" ca="1" si="4"/>
        <v>3143.1914134327285</v>
      </c>
      <c r="H6" s="368">
        <f t="shared" ca="1" si="4"/>
        <v>3584.1507638983121</v>
      </c>
      <c r="I6" s="368">
        <f t="shared" ca="1" si="4"/>
        <v>3874.5049279836685</v>
      </c>
      <c r="J6" s="368">
        <f t="shared" ca="1" si="4"/>
        <v>3958.482454759453</v>
      </c>
      <c r="K6" s="368">
        <f t="shared" ca="1" si="4"/>
        <v>4025.5714811854732</v>
      </c>
      <c r="L6" s="368">
        <f t="shared" ca="1" si="4"/>
        <v>3406.6022071917232</v>
      </c>
      <c r="M6" s="368">
        <f t="shared" ca="1" si="4"/>
        <v>2878.2636796999973</v>
      </c>
      <c r="N6" s="368">
        <f t="shared" ca="1" si="4"/>
        <v>2435.1118288080042</v>
      </c>
      <c r="O6" s="1287"/>
      <c r="Q6" s="1312"/>
      <c r="R6" s="1316" t="s">
        <v>15</v>
      </c>
      <c r="S6" s="1318">
        <f t="shared" ref="S6:S51" ca="1" si="5">SUMIF($C$6:$C$105,$R6,E$6:E$105)</f>
        <v>0</v>
      </c>
      <c r="T6" s="1318">
        <f t="shared" ref="T6:T51" ca="1" si="6">SUMIF($C$6:$C$105,$R6,F$6:F$105)</f>
        <v>1.56727314</v>
      </c>
      <c r="U6" s="1318">
        <f t="shared" ref="U6:U51" ca="1" si="7">SUMIF($C$6:$C$105,$R6,G$6:G$105)</f>
        <v>10.99938034075161</v>
      </c>
      <c r="V6" s="1318">
        <f t="shared" ref="V6:V51" ca="1" si="8">SUMIF($C$6:$C$105,$R6,H$6:H$105)</f>
        <v>27.366299513783936</v>
      </c>
      <c r="W6" s="1318">
        <f t="shared" ref="W6:W51" ca="1" si="9">SUMIF($C$6:$C$105,$R6,I$6:I$105)</f>
        <v>49.233277769900653</v>
      </c>
      <c r="X6" s="1318">
        <f t="shared" ref="X6:X51" ca="1" si="10">SUMIF($C$6:$C$105,$R6,J$6:J$105)</f>
        <v>74.393168287263421</v>
      </c>
      <c r="Y6" s="1318">
        <f t="shared" ref="Y6:Y51" ca="1" si="11">SUMIF($C$6:$C$105,$R6,K$6:K$105)</f>
        <v>96.634101460999375</v>
      </c>
      <c r="Z6" s="1318">
        <f t="shared" ref="Z6:Z51" ca="1" si="12">SUMIF($C$6:$C$105,$R6,L$6:L$105)</f>
        <v>108.73461587841729</v>
      </c>
      <c r="AA6" s="1318">
        <f t="shared" ref="AA6:AA51" ca="1" si="13">SUMIF($C$6:$C$105,$R6,M$6:M$105)</f>
        <v>106.76952554064533</v>
      </c>
      <c r="AB6" s="1318">
        <f t="shared" ref="AB6:AB51" ca="1" si="14">SUMIF($C$6:$C$105,$R6,N$6:N$105)</f>
        <v>93.110973518033461</v>
      </c>
      <c r="AC6" s="1319"/>
      <c r="AD6" s="1318">
        <f t="shared" ref="AD6:AD51" si="15">SUMIF($D$6:$D$105,$R6,E$6:E$105)</f>
        <v>0</v>
      </c>
      <c r="AE6" s="1318">
        <f t="shared" ref="AE6:AE51" si="16">SUMIF($D$6:$D$105,$R6,F$6:F$105)</f>
        <v>0</v>
      </c>
      <c r="AF6" s="1318">
        <f t="shared" ref="AF6:AF51" si="17">SUMIF($D$6:$D$105,$R6,G$6:G$105)</f>
        <v>0</v>
      </c>
      <c r="AG6" s="1318">
        <f t="shared" ref="AG6:AG51" si="18">SUMIF($D$6:$D$105,$R6,H$6:H$105)</f>
        <v>0</v>
      </c>
      <c r="AH6" s="1318">
        <f t="shared" ref="AH6:AH51" si="19">SUMIF($D$6:$D$105,$R6,I$6:I$105)</f>
        <v>0</v>
      </c>
      <c r="AI6" s="1318">
        <f t="shared" ref="AI6:AI51" si="20">SUMIF($D$6:$D$105,$R6,J$6:J$105)</f>
        <v>0</v>
      </c>
      <c r="AJ6" s="1318">
        <f t="shared" ref="AJ6:AJ51" si="21">SUMIF($D$6:$D$105,$R6,K$6:K$105)</f>
        <v>0</v>
      </c>
      <c r="AK6" s="1318">
        <f t="shared" ref="AK6:AK51" si="22">SUMIF($D$6:$D$105,$R6,L$6:L$105)</f>
        <v>0</v>
      </c>
      <c r="AL6" s="1318">
        <f t="shared" ref="AL6:AL51" si="23">SUMIF($D$6:$D$105,$R6,M$6:M$105)</f>
        <v>0</v>
      </c>
      <c r="AM6" s="1318">
        <f t="shared" ref="AM6:AM51" si="24">SUMIF($D$6:$D$105,$R6,N$6:N$105)</f>
        <v>0</v>
      </c>
      <c r="AN6" s="1319"/>
      <c r="AO6" s="1320">
        <f ca="1">IF(AND(AD6&gt;0,S6&gt;0),S6-AD6,0)</f>
        <v>0</v>
      </c>
      <c r="AP6" s="1320">
        <f t="shared" ref="AP6:AP51" ca="1" si="25">IF(AND(AE6&gt;0,T6&gt;0),T6-AE6,0)</f>
        <v>0</v>
      </c>
      <c r="AQ6" s="1320">
        <f t="shared" ref="AQ6:AQ51" ca="1" si="26">IF(AND(AF6&gt;0,U6&gt;0),U6-AF6,0)</f>
        <v>0</v>
      </c>
      <c r="AR6" s="1320">
        <f t="shared" ref="AR6:AR51" ca="1" si="27">IF(AND(AG6&gt;0,V6&gt;0),V6-AG6,0)</f>
        <v>0</v>
      </c>
      <c r="AS6" s="1320">
        <f t="shared" ref="AS6:AS51" ca="1" si="28">IF(AND(AH6&gt;0,W6&gt;0),W6-AH6,0)</f>
        <v>0</v>
      </c>
      <c r="AT6" s="1320">
        <f t="shared" ref="AT6:AT51" ca="1" si="29">IF(AND(AI6&gt;0,X6&gt;0),X6-AI6,0)</f>
        <v>0</v>
      </c>
      <c r="AU6" s="1320">
        <f t="shared" ref="AU6:AU51" ca="1" si="30">IF(AND(AJ6&gt;0,Y6&gt;0),Y6-AJ6,0)</f>
        <v>0</v>
      </c>
      <c r="AV6" s="1320">
        <f t="shared" ref="AV6:AV51" ca="1" si="31">IF(AND(AK6&gt;0,Z6&gt;0),Z6-AK6,0)</f>
        <v>0</v>
      </c>
      <c r="AW6" s="1320">
        <f t="shared" ref="AW6:AW51" ca="1" si="32">IF(AND(AL6&gt;0,AA6&gt;0),AA6-AL6,0)</f>
        <v>0</v>
      </c>
      <c r="AX6" s="1320">
        <f t="shared" ref="AX6:AX51" ca="1" si="33">IF(AND(AM6&gt;0,AB6&gt;0),AB6-AM6,0)</f>
        <v>0</v>
      </c>
      <c r="AY6" s="1315"/>
    </row>
    <row r="7" spans="2:51" s="605" customFormat="1" ht="15.75">
      <c r="B7" s="1284"/>
      <c r="C7" s="1296" t="s">
        <v>2146</v>
      </c>
      <c r="D7" s="368" t="s">
        <v>2171</v>
      </c>
      <c r="E7" s="368">
        <f ca="1">MAX(-INDEX(INDIRECT("XVII.b.Inputs["&amp;E$5&amp;"]"), MATCH("Y.04", INDIRECT("XVII.b.Inputs[Vector]"), 0)),0)</f>
        <v>312.87744559290513</v>
      </c>
      <c r="F7" s="368">
        <f t="shared" ref="F7:N7" ca="1" si="34">MAX(-INDEX(INDIRECT("XVII.b.Inputs["&amp;F$5&amp;"]"), MATCH("Y.04", INDIRECT("XVII.b.Inputs[Vector]"), 0)),0)</f>
        <v>533.85548221406225</v>
      </c>
      <c r="G7" s="368">
        <f t="shared" ca="1" si="34"/>
        <v>1349.5453480108031</v>
      </c>
      <c r="H7" s="368">
        <f t="shared" ca="1" si="34"/>
        <v>3068.214410803027</v>
      </c>
      <c r="I7" s="368">
        <f t="shared" ca="1" si="34"/>
        <v>5462.9307882709118</v>
      </c>
      <c r="J7" s="368">
        <f t="shared" ca="1" si="34"/>
        <v>8849.3886004507167</v>
      </c>
      <c r="K7" s="368">
        <f t="shared" ca="1" si="34"/>
        <v>11988.489821833136</v>
      </c>
      <c r="L7" s="368">
        <f t="shared" ca="1" si="34"/>
        <v>16113.370591179753</v>
      </c>
      <c r="M7" s="368">
        <f t="shared" ca="1" si="34"/>
        <v>19769.818192917424</v>
      </c>
      <c r="N7" s="368">
        <f t="shared" ca="1" si="34"/>
        <v>23701.654511114481</v>
      </c>
      <c r="O7" s="1287"/>
      <c r="Q7" s="1312"/>
      <c r="R7" s="1316" t="s">
        <v>55</v>
      </c>
      <c r="S7" s="1318">
        <f t="shared" ca="1" si="5"/>
        <v>0</v>
      </c>
      <c r="T7" s="1318">
        <f t="shared" ca="1" si="6"/>
        <v>1.56727314</v>
      </c>
      <c r="U7" s="1318">
        <f t="shared" ca="1" si="7"/>
        <v>8.4747723407516098</v>
      </c>
      <c r="V7" s="1318">
        <f t="shared" ca="1" si="8"/>
        <v>18.793151513783936</v>
      </c>
      <c r="W7" s="1318">
        <f t="shared" ca="1" si="9"/>
        <v>33.59473376990065</v>
      </c>
      <c r="X7" s="1318">
        <f t="shared" ca="1" si="10"/>
        <v>48.673724287263411</v>
      </c>
      <c r="Y7" s="1318">
        <f t="shared" ca="1" si="11"/>
        <v>62.849937460999378</v>
      </c>
      <c r="Z7" s="1318">
        <f t="shared" ca="1" si="12"/>
        <v>70.918091878417286</v>
      </c>
      <c r="AA7" s="1318">
        <f t="shared" ca="1" si="13"/>
        <v>71.477609540645332</v>
      </c>
      <c r="AB7" s="1318">
        <f t="shared" ca="1" si="14"/>
        <v>63.867597518033456</v>
      </c>
      <c r="AC7" s="1319"/>
      <c r="AD7" s="1318">
        <f t="shared" ca="1" si="15"/>
        <v>0</v>
      </c>
      <c r="AE7" s="1318">
        <f t="shared" ca="1" si="16"/>
        <v>1.56727314</v>
      </c>
      <c r="AF7" s="1318">
        <f t="shared" ca="1" si="17"/>
        <v>8.4747723407516098</v>
      </c>
      <c r="AG7" s="1318">
        <f t="shared" ca="1" si="18"/>
        <v>18.793151513783936</v>
      </c>
      <c r="AH7" s="1318">
        <f t="shared" ca="1" si="19"/>
        <v>33.59473376990065</v>
      </c>
      <c r="AI7" s="1318">
        <f t="shared" ca="1" si="20"/>
        <v>48.673724287263411</v>
      </c>
      <c r="AJ7" s="1318">
        <f t="shared" ca="1" si="21"/>
        <v>62.849937460999378</v>
      </c>
      <c r="AK7" s="1318">
        <f t="shared" ca="1" si="22"/>
        <v>70.918091878417286</v>
      </c>
      <c r="AL7" s="1318">
        <f t="shared" ca="1" si="23"/>
        <v>71.477609540645332</v>
      </c>
      <c r="AM7" s="1318">
        <f t="shared" ca="1" si="24"/>
        <v>63.867597518033456</v>
      </c>
      <c r="AN7" s="1319"/>
      <c r="AO7" s="1320">
        <f t="shared" ref="AO7:AO51" ca="1" si="35">IF(AND(AD7&gt;0,S7&gt;0),S7-AD7,0)</f>
        <v>0</v>
      </c>
      <c r="AP7" s="1320">
        <f t="shared" ca="1" si="25"/>
        <v>0</v>
      </c>
      <c r="AQ7" s="1320">
        <f t="shared" ca="1" si="26"/>
        <v>0</v>
      </c>
      <c r="AR7" s="1320">
        <f t="shared" ca="1" si="27"/>
        <v>0</v>
      </c>
      <c r="AS7" s="1320">
        <f t="shared" ca="1" si="28"/>
        <v>0</v>
      </c>
      <c r="AT7" s="1320">
        <f t="shared" ca="1" si="29"/>
        <v>0</v>
      </c>
      <c r="AU7" s="1320">
        <f t="shared" ca="1" si="30"/>
        <v>0</v>
      </c>
      <c r="AV7" s="1320">
        <f t="shared" ca="1" si="31"/>
        <v>0</v>
      </c>
      <c r="AW7" s="1320">
        <f t="shared" ca="1" si="32"/>
        <v>0</v>
      </c>
      <c r="AX7" s="1320">
        <f t="shared" ca="1" si="33"/>
        <v>0</v>
      </c>
      <c r="AY7" s="1315"/>
    </row>
    <row r="8" spans="2:51" s="605" customFormat="1" ht="15.75">
      <c r="B8" s="1284"/>
      <c r="C8" s="1296" t="s">
        <v>2147</v>
      </c>
      <c r="D8" s="368" t="s">
        <v>2172</v>
      </c>
      <c r="E8" s="368">
        <f ca="1">-INDEX(INDIRECT("XV.c.Outputs["&amp;E$5&amp;"]"), MATCH("Q.02", INDIRECT("XV.c.Outputs[Vector]"), 0))</f>
        <v>395.28044</v>
      </c>
      <c r="F8" s="368">
        <f t="shared" ref="F8:N8" ca="1" si="36">-INDEX(INDIRECT("XV.c.Outputs["&amp;F$5&amp;"]"), MATCH("Q.02", INDIRECT("XV.c.Outputs[Vector]"), 0))</f>
        <v>442.98669999999993</v>
      </c>
      <c r="G8" s="368">
        <f t="shared" ca="1" si="36"/>
        <v>480.4207945988</v>
      </c>
      <c r="H8" s="368">
        <f t="shared" ca="1" si="36"/>
        <v>406.8218875356273</v>
      </c>
      <c r="I8" s="368">
        <f t="shared" ca="1" si="36"/>
        <v>404.69271243177428</v>
      </c>
      <c r="J8" s="368">
        <f t="shared" ca="1" si="36"/>
        <v>402.83638767071136</v>
      </c>
      <c r="K8" s="368">
        <f t="shared" ca="1" si="36"/>
        <v>401.68501767071086</v>
      </c>
      <c r="L8" s="368">
        <f t="shared" ca="1" si="36"/>
        <v>401.13024685060918</v>
      </c>
      <c r="M8" s="368">
        <f t="shared" ca="1" si="36"/>
        <v>401.18988105870324</v>
      </c>
      <c r="N8" s="368">
        <f t="shared" ca="1" si="36"/>
        <v>401.88812295573837</v>
      </c>
      <c r="O8" s="1287"/>
      <c r="Q8" s="1312"/>
      <c r="R8" s="1316" t="s">
        <v>1924</v>
      </c>
      <c r="S8" s="1318">
        <f t="shared" ca="1" si="5"/>
        <v>0</v>
      </c>
      <c r="T8" s="1318">
        <f t="shared" ca="1" si="6"/>
        <v>0</v>
      </c>
      <c r="U8" s="1318">
        <f t="shared" ca="1" si="7"/>
        <v>2.5246079999999997</v>
      </c>
      <c r="V8" s="1318">
        <f t="shared" ca="1" si="8"/>
        <v>8.5731479999999998</v>
      </c>
      <c r="W8" s="1318">
        <f t="shared" ca="1" si="9"/>
        <v>15.638544</v>
      </c>
      <c r="X8" s="1318">
        <f t="shared" ca="1" si="10"/>
        <v>25.719444000000003</v>
      </c>
      <c r="Y8" s="1318">
        <f t="shared" ca="1" si="11"/>
        <v>33.784163999999997</v>
      </c>
      <c r="Z8" s="1318">
        <f t="shared" ca="1" si="12"/>
        <v>37.816524000000008</v>
      </c>
      <c r="AA8" s="1318">
        <f t="shared" ca="1" si="13"/>
        <v>35.291916000000001</v>
      </c>
      <c r="AB8" s="1318">
        <f t="shared" ca="1" si="14"/>
        <v>29.243376000000001</v>
      </c>
      <c r="AC8" s="1319"/>
      <c r="AD8" s="1318">
        <f t="shared" ca="1" si="15"/>
        <v>0</v>
      </c>
      <c r="AE8" s="1318">
        <f t="shared" ca="1" si="16"/>
        <v>0</v>
      </c>
      <c r="AF8" s="1318">
        <f t="shared" ca="1" si="17"/>
        <v>2.5246079999999997</v>
      </c>
      <c r="AG8" s="1318">
        <f t="shared" ca="1" si="18"/>
        <v>8.5731479999999998</v>
      </c>
      <c r="AH8" s="1318">
        <f t="shared" ca="1" si="19"/>
        <v>15.638544</v>
      </c>
      <c r="AI8" s="1318">
        <f t="shared" ca="1" si="20"/>
        <v>25.719444000000003</v>
      </c>
      <c r="AJ8" s="1318">
        <f t="shared" ca="1" si="21"/>
        <v>33.784163999999997</v>
      </c>
      <c r="AK8" s="1318">
        <f t="shared" ca="1" si="22"/>
        <v>37.816524000000008</v>
      </c>
      <c r="AL8" s="1318">
        <f t="shared" ca="1" si="23"/>
        <v>35.291916000000001</v>
      </c>
      <c r="AM8" s="1318">
        <f t="shared" ca="1" si="24"/>
        <v>29.243376000000001</v>
      </c>
      <c r="AN8" s="1319"/>
      <c r="AO8" s="1320">
        <f t="shared" ca="1" si="35"/>
        <v>0</v>
      </c>
      <c r="AP8" s="1320">
        <f t="shared" ca="1" si="25"/>
        <v>0</v>
      </c>
      <c r="AQ8" s="1320">
        <f t="shared" ca="1" si="26"/>
        <v>0</v>
      </c>
      <c r="AR8" s="1320">
        <f t="shared" ca="1" si="27"/>
        <v>0</v>
      </c>
      <c r="AS8" s="1320">
        <f t="shared" ca="1" si="28"/>
        <v>0</v>
      </c>
      <c r="AT8" s="1320">
        <f t="shared" ca="1" si="29"/>
        <v>0</v>
      </c>
      <c r="AU8" s="1320">
        <f t="shared" ca="1" si="30"/>
        <v>0</v>
      </c>
      <c r="AV8" s="1320">
        <f t="shared" ca="1" si="31"/>
        <v>0</v>
      </c>
      <c r="AW8" s="1320">
        <f t="shared" ca="1" si="32"/>
        <v>0</v>
      </c>
      <c r="AX8" s="1320">
        <f t="shared" ca="1" si="33"/>
        <v>0</v>
      </c>
      <c r="AY8" s="1315"/>
    </row>
    <row r="9" spans="2:51" s="605" customFormat="1" ht="15.75">
      <c r="B9" s="1284"/>
      <c r="C9" s="1296" t="s">
        <v>2148</v>
      </c>
      <c r="D9" s="368" t="s">
        <v>2172</v>
      </c>
      <c r="E9" s="368">
        <f ca="1">MAX(-INDEX(INDIRECT("XVII.b.Inputs["&amp;E$5&amp;"]"), MATCH("Y.05", INDIRECT("XVII.b.Inputs[Vector]"), 0)),0)</f>
        <v>1217.3455995924837</v>
      </c>
      <c r="F9" s="368">
        <f t="shared" ref="F9:N9" ca="1" si="37">MAX(-INDEX(INDIRECT("XVII.b.Inputs["&amp;F$5&amp;"]"), MATCH("Y.05", INDIRECT("XVII.b.Inputs[Vector]"), 0)),0)</f>
        <v>1466.5905800259968</v>
      </c>
      <c r="G9" s="368">
        <f t="shared" ca="1" si="37"/>
        <v>2100.3206137516681</v>
      </c>
      <c r="H9" s="368">
        <f t="shared" ca="1" si="37"/>
        <v>3054.2541317150194</v>
      </c>
      <c r="I9" s="368">
        <f t="shared" ca="1" si="37"/>
        <v>4102.7795788608364</v>
      </c>
      <c r="J9" s="368">
        <f t="shared" ca="1" si="37"/>
        <v>5330.667265334645</v>
      </c>
      <c r="K9" s="368">
        <f t="shared" ca="1" si="37"/>
        <v>6703.2930240172882</v>
      </c>
      <c r="L9" s="368">
        <f t="shared" ca="1" si="37"/>
        <v>8096.4219235944875</v>
      </c>
      <c r="M9" s="368">
        <f t="shared" ca="1" si="37"/>
        <v>9663.2311319982509</v>
      </c>
      <c r="N9" s="368">
        <f t="shared" ca="1" si="37"/>
        <v>11338.566432233665</v>
      </c>
      <c r="O9" s="1287"/>
      <c r="Q9" s="1312"/>
      <c r="R9" s="1316" t="s">
        <v>1</v>
      </c>
      <c r="S9" s="1318">
        <f t="shared" ca="1" si="5"/>
        <v>12.437183268</v>
      </c>
      <c r="T9" s="1318">
        <f t="shared" ca="1" si="6"/>
        <v>18.722249233199999</v>
      </c>
      <c r="U9" s="1318">
        <f t="shared" ca="1" si="7"/>
        <v>36.604889233199998</v>
      </c>
      <c r="V9" s="1318">
        <f t="shared" ca="1" si="8"/>
        <v>59.966279233199998</v>
      </c>
      <c r="W9" s="1318">
        <f t="shared" ca="1" si="9"/>
        <v>84.335759233199994</v>
      </c>
      <c r="X9" s="1318">
        <f t="shared" ca="1" si="10"/>
        <v>115.49888923319999</v>
      </c>
      <c r="Y9" s="1318">
        <f t="shared" ca="1" si="11"/>
        <v>136.98612596519999</v>
      </c>
      <c r="Z9" s="1318">
        <f t="shared" ca="1" si="12"/>
        <v>151.03817999999998</v>
      </c>
      <c r="AA9" s="1318">
        <f t="shared" ca="1" si="13"/>
        <v>161.16290999999998</v>
      </c>
      <c r="AB9" s="1318">
        <f t="shared" ca="1" si="14"/>
        <v>161.95184999999998</v>
      </c>
      <c r="AC9" s="1319"/>
      <c r="AD9" s="1318">
        <f t="shared" si="15"/>
        <v>0</v>
      </c>
      <c r="AE9" s="1318">
        <f t="shared" si="16"/>
        <v>0</v>
      </c>
      <c r="AF9" s="1318">
        <f t="shared" si="17"/>
        <v>0</v>
      </c>
      <c r="AG9" s="1318">
        <f t="shared" si="18"/>
        <v>0</v>
      </c>
      <c r="AH9" s="1318">
        <f t="shared" si="19"/>
        <v>0</v>
      </c>
      <c r="AI9" s="1318">
        <f t="shared" si="20"/>
        <v>0</v>
      </c>
      <c r="AJ9" s="1318">
        <f t="shared" si="21"/>
        <v>0</v>
      </c>
      <c r="AK9" s="1318">
        <f t="shared" si="22"/>
        <v>0</v>
      </c>
      <c r="AL9" s="1318">
        <f t="shared" si="23"/>
        <v>0</v>
      </c>
      <c r="AM9" s="1318">
        <f t="shared" si="24"/>
        <v>0</v>
      </c>
      <c r="AN9" s="1319"/>
      <c r="AO9" s="1320">
        <f t="shared" ca="1" si="35"/>
        <v>0</v>
      </c>
      <c r="AP9" s="1320">
        <f t="shared" ca="1" si="25"/>
        <v>0</v>
      </c>
      <c r="AQ9" s="1320">
        <f t="shared" ca="1" si="26"/>
        <v>0</v>
      </c>
      <c r="AR9" s="1320">
        <f t="shared" ca="1" si="27"/>
        <v>0</v>
      </c>
      <c r="AS9" s="1320">
        <f t="shared" ca="1" si="28"/>
        <v>0</v>
      </c>
      <c r="AT9" s="1320">
        <f t="shared" ca="1" si="29"/>
        <v>0</v>
      </c>
      <c r="AU9" s="1320">
        <f t="shared" ca="1" si="30"/>
        <v>0</v>
      </c>
      <c r="AV9" s="1320">
        <f t="shared" ca="1" si="31"/>
        <v>0</v>
      </c>
      <c r="AW9" s="1320">
        <f t="shared" ca="1" si="32"/>
        <v>0</v>
      </c>
      <c r="AX9" s="1320">
        <f t="shared" ca="1" si="33"/>
        <v>0</v>
      </c>
      <c r="AY9" s="1315"/>
    </row>
    <row r="10" spans="2:51" s="605" customFormat="1" ht="15.75">
      <c r="B10" s="1284"/>
      <c r="C10" s="1296" t="s">
        <v>2149</v>
      </c>
      <c r="D10" s="368" t="s">
        <v>2173</v>
      </c>
      <c r="E10" s="368">
        <f ca="1">-INDEX(INDIRECT("XV.a.Outputs["&amp;E$5&amp;"]"), MATCH("Q.03", INDIRECT("XV.a.Outputs[Vector]"), 0))</f>
        <v>296.5420125</v>
      </c>
      <c r="F10" s="368">
        <f t="shared" ref="F10:N10" ca="1" si="38">-INDEX(INDIRECT("XV.a.Outputs["&amp;F$5&amp;"]"), MATCH("Q.03", INDIRECT("XV.a.Outputs[Vector]"), 0))</f>
        <v>449.1920925</v>
      </c>
      <c r="G10" s="368">
        <f t="shared" ca="1" si="38"/>
        <v>507.09261100499998</v>
      </c>
      <c r="H10" s="368">
        <f t="shared" ca="1" si="38"/>
        <v>548.56099701000005</v>
      </c>
      <c r="I10" s="368">
        <f t="shared" ca="1" si="38"/>
        <v>586.57321805615095</v>
      </c>
      <c r="J10" s="368">
        <f t="shared" ca="1" si="38"/>
        <v>641.54155989156084</v>
      </c>
      <c r="K10" s="368">
        <f t="shared" ca="1" si="38"/>
        <v>680.54187544379761</v>
      </c>
      <c r="L10" s="368">
        <f t="shared" ca="1" si="38"/>
        <v>722.92972840858988</v>
      </c>
      <c r="M10" s="368">
        <f t="shared" ca="1" si="38"/>
        <v>769.07133311204609</v>
      </c>
      <c r="N10" s="368">
        <f t="shared" ca="1" si="38"/>
        <v>803.22299999999996</v>
      </c>
      <c r="O10" s="1287"/>
      <c r="Q10" s="1312"/>
      <c r="R10" s="1316" t="s">
        <v>854</v>
      </c>
      <c r="S10" s="1318">
        <f t="shared" ca="1" si="5"/>
        <v>7.0138343880000011</v>
      </c>
      <c r="T10" s="1318">
        <f t="shared" ca="1" si="6"/>
        <v>12.081458988000001</v>
      </c>
      <c r="U10" s="1318">
        <f t="shared" ca="1" si="7"/>
        <v>17.604038988000003</v>
      </c>
      <c r="V10" s="1318">
        <f t="shared" ca="1" si="8"/>
        <v>23.937473988000004</v>
      </c>
      <c r="W10" s="1318">
        <f t="shared" ca="1" si="9"/>
        <v>27.750683988000002</v>
      </c>
      <c r="X10" s="1318">
        <f t="shared" ca="1" si="10"/>
        <v>31.651553988000003</v>
      </c>
      <c r="Y10" s="1318">
        <f t="shared" ca="1" si="11"/>
        <v>33.623903988000002</v>
      </c>
      <c r="Z10" s="1318">
        <f t="shared" ca="1" si="12"/>
        <v>33.902259552000004</v>
      </c>
      <c r="AA10" s="1318">
        <f t="shared" ca="1" si="13"/>
        <v>34.790711183999996</v>
      </c>
      <c r="AB10" s="1318">
        <f t="shared" ca="1" si="14"/>
        <v>35.382416183999993</v>
      </c>
      <c r="AC10" s="1319"/>
      <c r="AD10" s="1318">
        <f t="shared" si="15"/>
        <v>0</v>
      </c>
      <c r="AE10" s="1318">
        <f t="shared" si="16"/>
        <v>0</v>
      </c>
      <c r="AF10" s="1318">
        <f t="shared" si="17"/>
        <v>0</v>
      </c>
      <c r="AG10" s="1318">
        <f t="shared" si="18"/>
        <v>0</v>
      </c>
      <c r="AH10" s="1318">
        <f t="shared" si="19"/>
        <v>0</v>
      </c>
      <c r="AI10" s="1318">
        <f t="shared" si="20"/>
        <v>0</v>
      </c>
      <c r="AJ10" s="1318">
        <f t="shared" si="21"/>
        <v>0</v>
      </c>
      <c r="AK10" s="1318">
        <f t="shared" si="22"/>
        <v>0</v>
      </c>
      <c r="AL10" s="1318">
        <f t="shared" si="23"/>
        <v>0</v>
      </c>
      <c r="AM10" s="1318">
        <f t="shared" si="24"/>
        <v>0</v>
      </c>
      <c r="AN10" s="1319"/>
      <c r="AO10" s="1320">
        <f t="shared" ca="1" si="35"/>
        <v>0</v>
      </c>
      <c r="AP10" s="1320">
        <f t="shared" ca="1" si="25"/>
        <v>0</v>
      </c>
      <c r="AQ10" s="1320">
        <f t="shared" ca="1" si="26"/>
        <v>0</v>
      </c>
      <c r="AR10" s="1320">
        <f t="shared" ca="1" si="27"/>
        <v>0</v>
      </c>
      <c r="AS10" s="1320">
        <f t="shared" ca="1" si="28"/>
        <v>0</v>
      </c>
      <c r="AT10" s="1320">
        <f t="shared" ca="1" si="29"/>
        <v>0</v>
      </c>
      <c r="AU10" s="1320">
        <f t="shared" ca="1" si="30"/>
        <v>0</v>
      </c>
      <c r="AV10" s="1320">
        <f t="shared" ca="1" si="31"/>
        <v>0</v>
      </c>
      <c r="AW10" s="1320">
        <f t="shared" ca="1" si="32"/>
        <v>0</v>
      </c>
      <c r="AX10" s="1320">
        <f t="shared" ca="1" si="33"/>
        <v>0</v>
      </c>
      <c r="AY10" s="1315"/>
    </row>
    <row r="11" spans="2:51" s="605" customFormat="1" ht="15.75">
      <c r="B11" s="1284"/>
      <c r="C11" s="1296" t="s">
        <v>2150</v>
      </c>
      <c r="D11" s="368" t="s">
        <v>2173</v>
      </c>
      <c r="E11" s="368">
        <f ca="1">MAX(-INDEX(INDIRECT("XVII.b.Inputs["&amp;E$5&amp;"]"), MATCH("Y.06", INDIRECT("XVII.b.Inputs[Vector]"), 0)),0)</f>
        <v>153.83385468740386</v>
      </c>
      <c r="F11" s="368">
        <f t="shared" ref="F11:N11" ca="1" si="39">MAX(-INDEX(INDIRECT("XVII.b.Inputs["&amp;F$5&amp;"]"), MATCH("Y.06", INDIRECT("XVII.b.Inputs[Vector]"), 0)),0)</f>
        <v>158.80496962180251</v>
      </c>
      <c r="G11" s="368">
        <f t="shared" ca="1" si="39"/>
        <v>447.28146847936694</v>
      </c>
      <c r="H11" s="368">
        <f t="shared" ca="1" si="39"/>
        <v>580.82834753994018</v>
      </c>
      <c r="I11" s="368">
        <f t="shared" ca="1" si="39"/>
        <v>719.79234346908368</v>
      </c>
      <c r="J11" s="368">
        <f t="shared" ca="1" si="39"/>
        <v>883.00958491906431</v>
      </c>
      <c r="K11" s="368">
        <f t="shared" ca="1" si="39"/>
        <v>1091.1358234381285</v>
      </c>
      <c r="L11" s="368">
        <f t="shared" ca="1" si="39"/>
        <v>1323.7322738925393</v>
      </c>
      <c r="M11" s="368">
        <f t="shared" ca="1" si="39"/>
        <v>1577.3126958590992</v>
      </c>
      <c r="N11" s="368">
        <f t="shared" ca="1" si="39"/>
        <v>1879.4436261638216</v>
      </c>
      <c r="O11" s="1287"/>
      <c r="Q11" s="1312"/>
      <c r="R11" s="1316" t="s">
        <v>18</v>
      </c>
      <c r="S11" s="1318">
        <f t="shared" ca="1" si="5"/>
        <v>121.49675999999999</v>
      </c>
      <c r="T11" s="1318">
        <f t="shared" ca="1" si="6"/>
        <v>143.76240000000001</v>
      </c>
      <c r="U11" s="1318">
        <f t="shared" ca="1" si="7"/>
        <v>171.81360000000004</v>
      </c>
      <c r="V11" s="1318">
        <f t="shared" ca="1" si="8"/>
        <v>171.81360000000004</v>
      </c>
      <c r="W11" s="1318">
        <f t="shared" ca="1" si="9"/>
        <v>171.81360000000004</v>
      </c>
      <c r="X11" s="1318">
        <f t="shared" ca="1" si="10"/>
        <v>171.81360000000004</v>
      </c>
      <c r="Y11" s="1318">
        <f t="shared" ca="1" si="11"/>
        <v>171.81360000000004</v>
      </c>
      <c r="Z11" s="1318">
        <f t="shared" ca="1" si="12"/>
        <v>171.81360000000004</v>
      </c>
      <c r="AA11" s="1318">
        <f t="shared" ca="1" si="13"/>
        <v>171.81360000000004</v>
      </c>
      <c r="AB11" s="1318">
        <f t="shared" ca="1" si="14"/>
        <v>171.81360000000004</v>
      </c>
      <c r="AC11" s="1319"/>
      <c r="AD11" s="1318">
        <f t="shared" si="15"/>
        <v>0</v>
      </c>
      <c r="AE11" s="1318">
        <f t="shared" si="16"/>
        <v>0</v>
      </c>
      <c r="AF11" s="1318">
        <f t="shared" si="17"/>
        <v>0</v>
      </c>
      <c r="AG11" s="1318">
        <f t="shared" si="18"/>
        <v>0</v>
      </c>
      <c r="AH11" s="1318">
        <f t="shared" si="19"/>
        <v>0</v>
      </c>
      <c r="AI11" s="1318">
        <f t="shared" si="20"/>
        <v>0</v>
      </c>
      <c r="AJ11" s="1318">
        <f t="shared" si="21"/>
        <v>0</v>
      </c>
      <c r="AK11" s="1318">
        <f t="shared" si="22"/>
        <v>0</v>
      </c>
      <c r="AL11" s="1318">
        <f t="shared" si="23"/>
        <v>0</v>
      </c>
      <c r="AM11" s="1318">
        <f t="shared" si="24"/>
        <v>0</v>
      </c>
      <c r="AN11" s="1319"/>
      <c r="AO11" s="1320">
        <f t="shared" ca="1" si="35"/>
        <v>0</v>
      </c>
      <c r="AP11" s="1320">
        <f t="shared" ca="1" si="25"/>
        <v>0</v>
      </c>
      <c r="AQ11" s="1320">
        <f t="shared" ca="1" si="26"/>
        <v>0</v>
      </c>
      <c r="AR11" s="1320">
        <f t="shared" ca="1" si="27"/>
        <v>0</v>
      </c>
      <c r="AS11" s="1320">
        <f t="shared" ca="1" si="28"/>
        <v>0</v>
      </c>
      <c r="AT11" s="1320">
        <f t="shared" ca="1" si="29"/>
        <v>0</v>
      </c>
      <c r="AU11" s="1320">
        <f t="shared" ca="1" si="30"/>
        <v>0</v>
      </c>
      <c r="AV11" s="1320">
        <f t="shared" ca="1" si="31"/>
        <v>0</v>
      </c>
      <c r="AW11" s="1320">
        <f t="shared" ca="1" si="32"/>
        <v>0</v>
      </c>
      <c r="AX11" s="1320">
        <f t="shared" ca="1" si="33"/>
        <v>0</v>
      </c>
      <c r="AY11" s="1315"/>
    </row>
    <row r="12" spans="2:51" s="605" customFormat="1" ht="15.75">
      <c r="B12" s="1284"/>
      <c r="C12" s="1296" t="s">
        <v>2151</v>
      </c>
      <c r="D12" s="368" t="s">
        <v>2163</v>
      </c>
      <c r="E12" s="368">
        <f ca="1">-INDEX(INDIRECT("V.d.Outputs["&amp;E$5&amp;"]"), MATCH("A.01", INDIRECT("V.d.Outputs[Vector]"), 0))-INDEX(INDIRECT("V.d.Outputs["&amp;E$5&amp;"]"), MATCH("W.01", INDIRECT("V.d.Outputs[Vector]"), 0))-INDEX(INDIRECT("V.c.Outputs["&amp;E$5&amp;"]"), MATCH("W.01", INDIRECT("V.c.Outputs[Vector]"), 0))</f>
        <v>946.41133333333335</v>
      </c>
      <c r="F12" s="368">
        <f t="shared" ref="F12:N12" ca="1" si="40">-INDEX(INDIRECT("V.d.Outputs["&amp;F$5&amp;"]"), MATCH("A.01", INDIRECT("V.d.Outputs[Vector]"), 0))-INDEX(INDIRECT("V.d.Outputs["&amp;F$5&amp;"]"), MATCH("W.01", INDIRECT("V.d.Outputs[Vector]"), 0))-INDEX(INDIRECT("V.c.Outputs["&amp;F$5&amp;"]"), MATCH("W.01", INDIRECT("V.c.Outputs[Vector]"), 0))</f>
        <v>958.84700020581943</v>
      </c>
      <c r="G12" s="368">
        <f t="shared" ca="1" si="40"/>
        <v>961.86501892823412</v>
      </c>
      <c r="H12" s="368">
        <f t="shared" ca="1" si="40"/>
        <v>965.66647208418749</v>
      </c>
      <c r="I12" s="368">
        <f t="shared" ca="1" si="40"/>
        <v>970.41610129726416</v>
      </c>
      <c r="J12" s="368">
        <f t="shared" ca="1" si="40"/>
        <v>976.35563211308579</v>
      </c>
      <c r="K12" s="368">
        <f t="shared" ca="1" si="40"/>
        <v>982.93217802676475</v>
      </c>
      <c r="L12" s="368">
        <f t="shared" ca="1" si="40"/>
        <v>987.4628060370934</v>
      </c>
      <c r="M12" s="368">
        <f t="shared" ca="1" si="40"/>
        <v>993.13453402916116</v>
      </c>
      <c r="N12" s="368">
        <f t="shared" ca="1" si="40"/>
        <v>1000.8691636138399</v>
      </c>
      <c r="O12" s="1287"/>
      <c r="Q12" s="1312"/>
      <c r="R12" s="1316" t="s">
        <v>0</v>
      </c>
      <c r="S12" s="1318">
        <f t="shared" ca="1" si="5"/>
        <v>80.94774857142859</v>
      </c>
      <c r="T12" s="1318">
        <f t="shared" ca="1" si="6"/>
        <v>93.771154285714289</v>
      </c>
      <c r="U12" s="1318">
        <f t="shared" ca="1" si="7"/>
        <v>199.9649828571429</v>
      </c>
      <c r="V12" s="1318">
        <f t="shared" ca="1" si="8"/>
        <v>193.55328000000003</v>
      </c>
      <c r="W12" s="1318">
        <f t="shared" ca="1" si="9"/>
        <v>193.55328000000003</v>
      </c>
      <c r="X12" s="1318">
        <f t="shared" ca="1" si="10"/>
        <v>189.54596571428576</v>
      </c>
      <c r="Y12" s="1318">
        <f t="shared" ca="1" si="11"/>
        <v>180.72987428571432</v>
      </c>
      <c r="Z12" s="1318">
        <f t="shared" ca="1" si="12"/>
        <v>176.3218285714286</v>
      </c>
      <c r="AA12" s="1318">
        <f t="shared" ca="1" si="13"/>
        <v>167.50573714285716</v>
      </c>
      <c r="AB12" s="1318">
        <f t="shared" ca="1" si="14"/>
        <v>167.50573714285716</v>
      </c>
      <c r="AC12" s="1319"/>
      <c r="AD12" s="1318">
        <f t="shared" si="15"/>
        <v>0</v>
      </c>
      <c r="AE12" s="1318">
        <f t="shared" si="16"/>
        <v>0</v>
      </c>
      <c r="AF12" s="1318">
        <f t="shared" si="17"/>
        <v>0</v>
      </c>
      <c r="AG12" s="1318">
        <f t="shared" si="18"/>
        <v>0</v>
      </c>
      <c r="AH12" s="1318">
        <f t="shared" si="19"/>
        <v>0</v>
      </c>
      <c r="AI12" s="1318">
        <f t="shared" si="20"/>
        <v>0</v>
      </c>
      <c r="AJ12" s="1318">
        <f t="shared" si="21"/>
        <v>0</v>
      </c>
      <c r="AK12" s="1318">
        <f t="shared" si="22"/>
        <v>0</v>
      </c>
      <c r="AL12" s="1318">
        <f t="shared" si="23"/>
        <v>0</v>
      </c>
      <c r="AM12" s="1318">
        <f t="shared" si="24"/>
        <v>0</v>
      </c>
      <c r="AN12" s="1319"/>
      <c r="AO12" s="1320">
        <f t="shared" ca="1" si="35"/>
        <v>0</v>
      </c>
      <c r="AP12" s="1320">
        <f t="shared" ca="1" si="25"/>
        <v>0</v>
      </c>
      <c r="AQ12" s="1320">
        <f t="shared" ca="1" si="26"/>
        <v>0</v>
      </c>
      <c r="AR12" s="1320">
        <f t="shared" ca="1" si="27"/>
        <v>0</v>
      </c>
      <c r="AS12" s="1320">
        <f t="shared" ca="1" si="28"/>
        <v>0</v>
      </c>
      <c r="AT12" s="1320">
        <f t="shared" ca="1" si="29"/>
        <v>0</v>
      </c>
      <c r="AU12" s="1320">
        <f t="shared" ca="1" si="30"/>
        <v>0</v>
      </c>
      <c r="AV12" s="1320">
        <f t="shared" ca="1" si="31"/>
        <v>0</v>
      </c>
      <c r="AW12" s="1320">
        <f t="shared" ca="1" si="32"/>
        <v>0</v>
      </c>
      <c r="AX12" s="1320">
        <f t="shared" ca="1" si="33"/>
        <v>0</v>
      </c>
      <c r="AY12" s="1315"/>
    </row>
    <row r="13" spans="2:51" s="605" customFormat="1" ht="15.75">
      <c r="B13" s="1284"/>
      <c r="C13" s="1296" t="s">
        <v>2152</v>
      </c>
      <c r="D13" s="368" t="s">
        <v>2165</v>
      </c>
      <c r="E13" s="368">
        <f ca="1">INDEX(INDIRECT("VI.a.Outputs["&amp;E$5&amp;"]"), MATCH("V.03", INDIRECT("VI.a.Outputs[Vector]"), 0))</f>
        <v>0</v>
      </c>
      <c r="F13" s="368">
        <f t="shared" ref="F13:N13" ca="1" si="41">INDEX(INDIRECT("VI.a.Outputs["&amp;F$5&amp;"]"), MATCH("V.03", INDIRECT("VI.a.Outputs[Vector]"), 0))</f>
        <v>0</v>
      </c>
      <c r="G13" s="368">
        <f t="shared" ca="1" si="41"/>
        <v>0</v>
      </c>
      <c r="H13" s="368">
        <f t="shared" ca="1" si="41"/>
        <v>0</v>
      </c>
      <c r="I13" s="368">
        <f t="shared" ca="1" si="41"/>
        <v>0</v>
      </c>
      <c r="J13" s="368">
        <f t="shared" ca="1" si="41"/>
        <v>0</v>
      </c>
      <c r="K13" s="368">
        <f t="shared" ca="1" si="41"/>
        <v>0</v>
      </c>
      <c r="L13" s="368">
        <f t="shared" ca="1" si="41"/>
        <v>0</v>
      </c>
      <c r="M13" s="368">
        <f t="shared" ca="1" si="41"/>
        <v>0</v>
      </c>
      <c r="N13" s="368">
        <f t="shared" ca="1" si="41"/>
        <v>0</v>
      </c>
      <c r="O13" s="1287"/>
      <c r="Q13" s="1312"/>
      <c r="R13" s="1316" t="s">
        <v>1870</v>
      </c>
      <c r="S13" s="1318">
        <f t="shared" ca="1" si="5"/>
        <v>1</v>
      </c>
      <c r="T13" s="1318">
        <f t="shared" ca="1" si="6"/>
        <v>4</v>
      </c>
      <c r="U13" s="1318">
        <f t="shared" ca="1" si="7"/>
        <v>14</v>
      </c>
      <c r="V13" s="1318">
        <f t="shared" ca="1" si="8"/>
        <v>21</v>
      </c>
      <c r="W13" s="1318">
        <f t="shared" ca="1" si="9"/>
        <v>31</v>
      </c>
      <c r="X13" s="1318">
        <f t="shared" ca="1" si="10"/>
        <v>40</v>
      </c>
      <c r="Y13" s="1318">
        <f t="shared" ca="1" si="11"/>
        <v>49</v>
      </c>
      <c r="Z13" s="1318">
        <f t="shared" ca="1" si="12"/>
        <v>55</v>
      </c>
      <c r="AA13" s="1318">
        <f t="shared" ca="1" si="13"/>
        <v>55</v>
      </c>
      <c r="AB13" s="1318">
        <f t="shared" ca="1" si="14"/>
        <v>55</v>
      </c>
      <c r="AC13" s="1319"/>
      <c r="AD13" s="1318">
        <f t="shared" si="15"/>
        <v>0</v>
      </c>
      <c r="AE13" s="1318">
        <f t="shared" si="16"/>
        <v>0</v>
      </c>
      <c r="AF13" s="1318">
        <f t="shared" si="17"/>
        <v>0</v>
      </c>
      <c r="AG13" s="1318">
        <f t="shared" si="18"/>
        <v>0</v>
      </c>
      <c r="AH13" s="1318">
        <f t="shared" si="19"/>
        <v>0</v>
      </c>
      <c r="AI13" s="1318">
        <f t="shared" si="20"/>
        <v>0</v>
      </c>
      <c r="AJ13" s="1318">
        <f t="shared" si="21"/>
        <v>0</v>
      </c>
      <c r="AK13" s="1318">
        <f t="shared" si="22"/>
        <v>0</v>
      </c>
      <c r="AL13" s="1318">
        <f t="shared" si="23"/>
        <v>0</v>
      </c>
      <c r="AM13" s="1318">
        <f t="shared" si="24"/>
        <v>0</v>
      </c>
      <c r="AN13" s="1319"/>
      <c r="AO13" s="1320">
        <f t="shared" ca="1" si="35"/>
        <v>0</v>
      </c>
      <c r="AP13" s="1320">
        <f t="shared" ca="1" si="25"/>
        <v>0</v>
      </c>
      <c r="AQ13" s="1320">
        <f t="shared" ca="1" si="26"/>
        <v>0</v>
      </c>
      <c r="AR13" s="1320">
        <f t="shared" ca="1" si="27"/>
        <v>0</v>
      </c>
      <c r="AS13" s="1320">
        <f t="shared" ca="1" si="28"/>
        <v>0</v>
      </c>
      <c r="AT13" s="1320">
        <f t="shared" ca="1" si="29"/>
        <v>0</v>
      </c>
      <c r="AU13" s="1320">
        <f t="shared" ca="1" si="30"/>
        <v>0</v>
      </c>
      <c r="AV13" s="1320">
        <f t="shared" ca="1" si="31"/>
        <v>0</v>
      </c>
      <c r="AW13" s="1320">
        <f t="shared" ca="1" si="32"/>
        <v>0</v>
      </c>
      <c r="AX13" s="1320">
        <f t="shared" ca="1" si="33"/>
        <v>0</v>
      </c>
      <c r="AY13" s="1315"/>
    </row>
    <row r="14" spans="2:51" s="605" customFormat="1" ht="15.75">
      <c r="B14" s="1284"/>
      <c r="C14" s="1296" t="s">
        <v>2152</v>
      </c>
      <c r="D14" s="368" t="s">
        <v>2164</v>
      </c>
      <c r="E14" s="368">
        <f ca="1">INDEX(INDIRECT("VI.a.Outputs["&amp;E$5&amp;"]"), MATCH("V.05", INDIRECT("VI.a.Outputs[Vector]"), 0))</f>
        <v>0</v>
      </c>
      <c r="F14" s="368">
        <f t="shared" ref="F14:N14" ca="1" si="42">INDEX(INDIRECT("VI.a.Outputs["&amp;F$5&amp;"]"), MATCH("V.05", INDIRECT("VI.a.Outputs[Vector]"), 0))</f>
        <v>0</v>
      </c>
      <c r="G14" s="368">
        <f t="shared" ca="1" si="42"/>
        <v>0</v>
      </c>
      <c r="H14" s="368">
        <f t="shared" ca="1" si="42"/>
        <v>0</v>
      </c>
      <c r="I14" s="368">
        <f t="shared" ca="1" si="42"/>
        <v>0</v>
      </c>
      <c r="J14" s="368">
        <f t="shared" ca="1" si="42"/>
        <v>0</v>
      </c>
      <c r="K14" s="368">
        <f t="shared" ca="1" si="42"/>
        <v>0</v>
      </c>
      <c r="L14" s="368">
        <f t="shared" ca="1" si="42"/>
        <v>0</v>
      </c>
      <c r="M14" s="368">
        <f t="shared" ca="1" si="42"/>
        <v>0</v>
      </c>
      <c r="N14" s="368">
        <f t="shared" ca="1" si="42"/>
        <v>0</v>
      </c>
      <c r="O14" s="1287"/>
      <c r="Q14" s="1312"/>
      <c r="R14" s="1316" t="s">
        <v>323</v>
      </c>
      <c r="S14" s="1318">
        <f t="shared" ca="1" si="5"/>
        <v>2003.3688000000002</v>
      </c>
      <c r="T14" s="1318">
        <f t="shared" ca="1" si="6"/>
        <v>2704.3935000000001</v>
      </c>
      <c r="U14" s="1318">
        <f t="shared" ca="1" si="7"/>
        <v>3143.1914134327285</v>
      </c>
      <c r="V14" s="1318">
        <f t="shared" ca="1" si="8"/>
        <v>3584.1507638983121</v>
      </c>
      <c r="W14" s="1318">
        <f t="shared" ca="1" si="9"/>
        <v>3874.5049279836685</v>
      </c>
      <c r="X14" s="1318">
        <f t="shared" ca="1" si="10"/>
        <v>3958.482454759453</v>
      </c>
      <c r="Y14" s="1318">
        <f t="shared" ca="1" si="11"/>
        <v>4025.5714811854732</v>
      </c>
      <c r="Z14" s="1318">
        <f t="shared" ca="1" si="12"/>
        <v>3406.6022071917232</v>
      </c>
      <c r="AA14" s="1318">
        <f t="shared" ca="1" si="13"/>
        <v>2878.2636796999973</v>
      </c>
      <c r="AB14" s="1318">
        <f t="shared" ca="1" si="14"/>
        <v>2435.1118288080042</v>
      </c>
      <c r="AC14" s="1319"/>
      <c r="AD14" s="1318">
        <f t="shared" si="15"/>
        <v>0</v>
      </c>
      <c r="AE14" s="1318">
        <f t="shared" si="16"/>
        <v>0</v>
      </c>
      <c r="AF14" s="1318">
        <f t="shared" si="17"/>
        <v>0</v>
      </c>
      <c r="AG14" s="1318">
        <f t="shared" si="18"/>
        <v>0</v>
      </c>
      <c r="AH14" s="1318">
        <f t="shared" si="19"/>
        <v>0</v>
      </c>
      <c r="AI14" s="1318">
        <f t="shared" si="20"/>
        <v>0</v>
      </c>
      <c r="AJ14" s="1318">
        <f t="shared" si="21"/>
        <v>0</v>
      </c>
      <c r="AK14" s="1318">
        <f t="shared" si="22"/>
        <v>0</v>
      </c>
      <c r="AL14" s="1318">
        <f t="shared" si="23"/>
        <v>0</v>
      </c>
      <c r="AM14" s="1318">
        <f t="shared" si="24"/>
        <v>0</v>
      </c>
      <c r="AN14" s="1319"/>
      <c r="AO14" s="1320">
        <f t="shared" ca="1" si="35"/>
        <v>0</v>
      </c>
      <c r="AP14" s="1320">
        <f t="shared" ca="1" si="25"/>
        <v>0</v>
      </c>
      <c r="AQ14" s="1320">
        <f t="shared" ca="1" si="26"/>
        <v>0</v>
      </c>
      <c r="AR14" s="1320">
        <f t="shared" ca="1" si="27"/>
        <v>0</v>
      </c>
      <c r="AS14" s="1320">
        <f t="shared" ca="1" si="28"/>
        <v>0</v>
      </c>
      <c r="AT14" s="1320">
        <f t="shared" ca="1" si="29"/>
        <v>0</v>
      </c>
      <c r="AU14" s="1320">
        <f t="shared" ca="1" si="30"/>
        <v>0</v>
      </c>
      <c r="AV14" s="1320">
        <f t="shared" ca="1" si="31"/>
        <v>0</v>
      </c>
      <c r="AW14" s="1320">
        <f t="shared" ca="1" si="32"/>
        <v>0</v>
      </c>
      <c r="AX14" s="1320">
        <f t="shared" ca="1" si="33"/>
        <v>0</v>
      </c>
      <c r="AY14" s="1315"/>
    </row>
    <row r="15" spans="2:51" s="605" customFormat="1" ht="15.75">
      <c r="B15" s="1284"/>
      <c r="C15" s="1296" t="s">
        <v>2152</v>
      </c>
      <c r="D15" s="368" t="s">
        <v>2166</v>
      </c>
      <c r="E15" s="368">
        <f ca="1">INDEX(INDIRECT("VI.a.Outputs["&amp;E$5&amp;"]"), MATCH("V.02", INDIRECT("VI.a.Outputs[Vector]"), 0))</f>
        <v>0</v>
      </c>
      <c r="F15" s="368">
        <f t="shared" ref="F15:N15" ca="1" si="43">INDEX(INDIRECT("VI.a.Outputs["&amp;F$5&amp;"]"), MATCH("V.02", INDIRECT("VI.a.Outputs[Vector]"), 0))</f>
        <v>0</v>
      </c>
      <c r="G15" s="368">
        <f t="shared" ca="1" si="43"/>
        <v>0</v>
      </c>
      <c r="H15" s="368">
        <f t="shared" ca="1" si="43"/>
        <v>0</v>
      </c>
      <c r="I15" s="368">
        <f t="shared" ca="1" si="43"/>
        <v>0</v>
      </c>
      <c r="J15" s="368">
        <f t="shared" ca="1" si="43"/>
        <v>0</v>
      </c>
      <c r="K15" s="368">
        <f t="shared" ca="1" si="43"/>
        <v>0</v>
      </c>
      <c r="L15" s="368">
        <f t="shared" ca="1" si="43"/>
        <v>0</v>
      </c>
      <c r="M15" s="368">
        <f t="shared" ca="1" si="43"/>
        <v>0</v>
      </c>
      <c r="N15" s="368">
        <f t="shared" ca="1" si="43"/>
        <v>0</v>
      </c>
      <c r="O15" s="1287"/>
      <c r="Q15" s="1312"/>
      <c r="R15" s="1316" t="s">
        <v>768</v>
      </c>
      <c r="S15" s="1318">
        <f t="shared" ca="1" si="5"/>
        <v>312.87744559290513</v>
      </c>
      <c r="T15" s="1318">
        <f t="shared" ca="1" si="6"/>
        <v>533.85548221406225</v>
      </c>
      <c r="U15" s="1318">
        <f t="shared" ca="1" si="7"/>
        <v>1349.5453480108031</v>
      </c>
      <c r="V15" s="1318">
        <f t="shared" ca="1" si="8"/>
        <v>3068.214410803027</v>
      </c>
      <c r="W15" s="1318">
        <f t="shared" ca="1" si="9"/>
        <v>5462.9307882709118</v>
      </c>
      <c r="X15" s="1318">
        <f t="shared" ca="1" si="10"/>
        <v>8849.3886004507167</v>
      </c>
      <c r="Y15" s="1318">
        <f t="shared" ca="1" si="11"/>
        <v>11988.489821833136</v>
      </c>
      <c r="Z15" s="1318">
        <f t="shared" ca="1" si="12"/>
        <v>16113.370591179753</v>
      </c>
      <c r="AA15" s="1318">
        <f t="shared" ca="1" si="13"/>
        <v>19769.818192917424</v>
      </c>
      <c r="AB15" s="1318">
        <f t="shared" ca="1" si="14"/>
        <v>23701.654511114481</v>
      </c>
      <c r="AC15" s="1319"/>
      <c r="AD15" s="1318">
        <f t="shared" si="15"/>
        <v>0</v>
      </c>
      <c r="AE15" s="1318">
        <f t="shared" si="16"/>
        <v>0</v>
      </c>
      <c r="AF15" s="1318">
        <f t="shared" si="17"/>
        <v>0</v>
      </c>
      <c r="AG15" s="1318">
        <f t="shared" si="18"/>
        <v>0</v>
      </c>
      <c r="AH15" s="1318">
        <f t="shared" si="19"/>
        <v>0</v>
      </c>
      <c r="AI15" s="1318">
        <f t="shared" si="20"/>
        <v>0</v>
      </c>
      <c r="AJ15" s="1318">
        <f t="shared" si="21"/>
        <v>0</v>
      </c>
      <c r="AK15" s="1318">
        <f t="shared" si="22"/>
        <v>0</v>
      </c>
      <c r="AL15" s="1318">
        <f t="shared" si="23"/>
        <v>0</v>
      </c>
      <c r="AM15" s="1318">
        <f t="shared" si="24"/>
        <v>0</v>
      </c>
      <c r="AN15" s="1319"/>
      <c r="AO15" s="1320">
        <f t="shared" ca="1" si="35"/>
        <v>0</v>
      </c>
      <c r="AP15" s="1320">
        <f t="shared" ca="1" si="25"/>
        <v>0</v>
      </c>
      <c r="AQ15" s="1320">
        <f t="shared" ca="1" si="26"/>
        <v>0</v>
      </c>
      <c r="AR15" s="1320">
        <f t="shared" ca="1" si="27"/>
        <v>0</v>
      </c>
      <c r="AS15" s="1320">
        <f t="shared" ca="1" si="28"/>
        <v>0</v>
      </c>
      <c r="AT15" s="1320">
        <f t="shared" ca="1" si="29"/>
        <v>0</v>
      </c>
      <c r="AU15" s="1320">
        <f t="shared" ca="1" si="30"/>
        <v>0</v>
      </c>
      <c r="AV15" s="1320">
        <f t="shared" ca="1" si="31"/>
        <v>0</v>
      </c>
      <c r="AW15" s="1320">
        <f t="shared" ca="1" si="32"/>
        <v>0</v>
      </c>
      <c r="AX15" s="1320">
        <f t="shared" ca="1" si="33"/>
        <v>0</v>
      </c>
      <c r="AY15" s="1315"/>
    </row>
    <row r="16" spans="2:51" s="2555" customFormat="1" ht="15.75">
      <c r="B16" s="1284"/>
      <c r="C16" s="1296" t="s">
        <v>2153</v>
      </c>
      <c r="D16" s="368" t="s">
        <v>2154</v>
      </c>
      <c r="E16" s="368">
        <f ca="1">-INDEX(INDIRECT("IV.a.Outputs["&amp;E$5&amp;"]"), MATCH("R.01", INDIRECT("IV.a.Outputs[Vector]"), 0))</f>
        <v>0</v>
      </c>
      <c r="F16" s="368">
        <f t="shared" ref="F16:N16" ca="1" si="44">-INDEX(INDIRECT("IV.a.Outputs["&amp;F$5&amp;"]"), MATCH("R.01", INDIRECT("IV.a.Outputs[Vector]"), 0))</f>
        <v>1.56727314</v>
      </c>
      <c r="G16" s="368">
        <f t="shared" ca="1" si="44"/>
        <v>8.4747723407516098</v>
      </c>
      <c r="H16" s="368">
        <f t="shared" ca="1" si="44"/>
        <v>18.793151513783936</v>
      </c>
      <c r="I16" s="368">
        <f t="shared" ca="1" si="44"/>
        <v>33.59473376990065</v>
      </c>
      <c r="J16" s="368">
        <f t="shared" ca="1" si="44"/>
        <v>48.673724287263411</v>
      </c>
      <c r="K16" s="368">
        <f t="shared" ca="1" si="44"/>
        <v>62.849937460999378</v>
      </c>
      <c r="L16" s="368">
        <f t="shared" ca="1" si="44"/>
        <v>70.918091878417286</v>
      </c>
      <c r="M16" s="368">
        <f t="shared" ca="1" si="44"/>
        <v>71.477609540645332</v>
      </c>
      <c r="N16" s="368">
        <f t="shared" ca="1" si="44"/>
        <v>63.867597518033456</v>
      </c>
      <c r="O16" s="1287"/>
      <c r="Q16" s="1312"/>
      <c r="R16" s="1316" t="s">
        <v>1869</v>
      </c>
      <c r="S16" s="1318">
        <f t="shared" ca="1" si="5"/>
        <v>395.28044</v>
      </c>
      <c r="T16" s="1318">
        <f t="shared" ca="1" si="6"/>
        <v>442.98669999999993</v>
      </c>
      <c r="U16" s="1318">
        <f t="shared" ca="1" si="7"/>
        <v>480.4207945988</v>
      </c>
      <c r="V16" s="1318">
        <f t="shared" ca="1" si="8"/>
        <v>406.8218875356273</v>
      </c>
      <c r="W16" s="1318">
        <f t="shared" ca="1" si="9"/>
        <v>404.69271243177428</v>
      </c>
      <c r="X16" s="1318">
        <f t="shared" ca="1" si="10"/>
        <v>402.83638767071136</v>
      </c>
      <c r="Y16" s="1318">
        <f t="shared" ca="1" si="11"/>
        <v>401.68501767071086</v>
      </c>
      <c r="Z16" s="1318">
        <f t="shared" ca="1" si="12"/>
        <v>401.13024685060918</v>
      </c>
      <c r="AA16" s="1318">
        <f t="shared" ca="1" si="13"/>
        <v>401.18988105870324</v>
      </c>
      <c r="AB16" s="1318">
        <f t="shared" ca="1" si="14"/>
        <v>401.88812295573837</v>
      </c>
      <c r="AC16" s="1319"/>
      <c r="AD16" s="1318">
        <f t="shared" si="15"/>
        <v>0</v>
      </c>
      <c r="AE16" s="1318">
        <f t="shared" si="16"/>
        <v>0</v>
      </c>
      <c r="AF16" s="1318">
        <f t="shared" si="17"/>
        <v>0</v>
      </c>
      <c r="AG16" s="1318">
        <f t="shared" si="18"/>
        <v>0</v>
      </c>
      <c r="AH16" s="1318">
        <f t="shared" si="19"/>
        <v>0</v>
      </c>
      <c r="AI16" s="1318">
        <f t="shared" si="20"/>
        <v>0</v>
      </c>
      <c r="AJ16" s="1318">
        <f t="shared" si="21"/>
        <v>0</v>
      </c>
      <c r="AK16" s="1318">
        <f t="shared" si="22"/>
        <v>0</v>
      </c>
      <c r="AL16" s="1318">
        <f t="shared" si="23"/>
        <v>0</v>
      </c>
      <c r="AM16" s="1318">
        <f t="shared" si="24"/>
        <v>0</v>
      </c>
      <c r="AN16" s="1319"/>
      <c r="AO16" s="1320">
        <f t="shared" ca="1" si="35"/>
        <v>0</v>
      </c>
      <c r="AP16" s="1320">
        <f t="shared" ca="1" si="25"/>
        <v>0</v>
      </c>
      <c r="AQ16" s="1320">
        <f t="shared" ca="1" si="26"/>
        <v>0</v>
      </c>
      <c r="AR16" s="1320">
        <f t="shared" ca="1" si="27"/>
        <v>0</v>
      </c>
      <c r="AS16" s="1320">
        <f t="shared" ca="1" si="28"/>
        <v>0</v>
      </c>
      <c r="AT16" s="1320">
        <f t="shared" ca="1" si="29"/>
        <v>0</v>
      </c>
      <c r="AU16" s="1320">
        <f t="shared" ca="1" si="30"/>
        <v>0</v>
      </c>
      <c r="AV16" s="1320">
        <f t="shared" ca="1" si="31"/>
        <v>0</v>
      </c>
      <c r="AW16" s="1320">
        <f t="shared" ca="1" si="32"/>
        <v>0</v>
      </c>
      <c r="AX16" s="1320">
        <f t="shared" ca="1" si="33"/>
        <v>0</v>
      </c>
      <c r="AY16" s="1315"/>
    </row>
    <row r="17" spans="2:51" s="605" customFormat="1" ht="15.75">
      <c r="B17" s="1284"/>
      <c r="C17" s="1296" t="s">
        <v>2154</v>
      </c>
      <c r="D17" s="368" t="s">
        <v>2167</v>
      </c>
      <c r="E17" s="368">
        <f ca="1">INDEX(INDIRECT("IV.a.Outputs["&amp;E$5&amp;"]"), MATCH("V.02", INDIRECT("IV.a.Outputs[Vector]"), 0))</f>
        <v>0</v>
      </c>
      <c r="F17" s="368">
        <f t="shared" ref="F17:N17" ca="1" si="45">INDEX(INDIRECT("IV.a.Outputs["&amp;F$5&amp;"]"), MATCH("V.02", INDIRECT("IV.a.Outputs[Vector]"), 0))</f>
        <v>1.56727314</v>
      </c>
      <c r="G17" s="368">
        <f t="shared" ca="1" si="45"/>
        <v>8.2727459460000006</v>
      </c>
      <c r="H17" s="368">
        <f t="shared" ca="1" si="45"/>
        <v>18.558353960999998</v>
      </c>
      <c r="I17" s="368">
        <f t="shared" ca="1" si="45"/>
        <v>32.792269185000002</v>
      </c>
      <c r="J17" s="368">
        <f t="shared" ca="1" si="45"/>
        <v>47.823373215000004</v>
      </c>
      <c r="K17" s="368">
        <f t="shared" ca="1" si="45"/>
        <v>60.992995229999998</v>
      </c>
      <c r="L17" s="368">
        <f t="shared" ca="1" si="45"/>
        <v>69.119910000000004</v>
      </c>
      <c r="M17" s="368">
        <f t="shared" ca="1" si="45"/>
        <v>68.111819999999994</v>
      </c>
      <c r="N17" s="368">
        <f t="shared" ca="1" si="45"/>
        <v>59.608800000000002</v>
      </c>
      <c r="O17" s="1287"/>
      <c r="Q17" s="1312"/>
      <c r="R17" s="1316" t="s">
        <v>877</v>
      </c>
      <c r="S17" s="1318">
        <f t="shared" ca="1" si="5"/>
        <v>1217.3455995924837</v>
      </c>
      <c r="T17" s="1318">
        <f t="shared" ca="1" si="6"/>
        <v>1466.5905800259968</v>
      </c>
      <c r="U17" s="1318">
        <f t="shared" ca="1" si="7"/>
        <v>2100.3206137516681</v>
      </c>
      <c r="V17" s="1318">
        <f t="shared" ca="1" si="8"/>
        <v>3054.2541317150194</v>
      </c>
      <c r="W17" s="1318">
        <f t="shared" ca="1" si="9"/>
        <v>4102.7795788608364</v>
      </c>
      <c r="X17" s="1318">
        <f t="shared" ca="1" si="10"/>
        <v>5330.667265334645</v>
      </c>
      <c r="Y17" s="1318">
        <f t="shared" ca="1" si="11"/>
        <v>6703.2930240172882</v>
      </c>
      <c r="Z17" s="1318">
        <f t="shared" ca="1" si="12"/>
        <v>8096.4219235944875</v>
      </c>
      <c r="AA17" s="1318">
        <f t="shared" ca="1" si="13"/>
        <v>9663.2311319982509</v>
      </c>
      <c r="AB17" s="1318">
        <f t="shared" ca="1" si="14"/>
        <v>11338.566432233665</v>
      </c>
      <c r="AC17" s="1319"/>
      <c r="AD17" s="1318">
        <f t="shared" si="15"/>
        <v>0</v>
      </c>
      <c r="AE17" s="1318">
        <f t="shared" si="16"/>
        <v>0</v>
      </c>
      <c r="AF17" s="1318">
        <f t="shared" si="17"/>
        <v>0</v>
      </c>
      <c r="AG17" s="1318">
        <f t="shared" si="18"/>
        <v>0</v>
      </c>
      <c r="AH17" s="1318">
        <f t="shared" si="19"/>
        <v>0</v>
      </c>
      <c r="AI17" s="1318">
        <f t="shared" si="20"/>
        <v>0</v>
      </c>
      <c r="AJ17" s="1318">
        <f t="shared" si="21"/>
        <v>0</v>
      </c>
      <c r="AK17" s="1318">
        <f t="shared" si="22"/>
        <v>0</v>
      </c>
      <c r="AL17" s="1318">
        <f t="shared" si="23"/>
        <v>0</v>
      </c>
      <c r="AM17" s="1318">
        <f t="shared" si="24"/>
        <v>0</v>
      </c>
      <c r="AN17" s="1319"/>
      <c r="AO17" s="1320">
        <f t="shared" ca="1" si="35"/>
        <v>0</v>
      </c>
      <c r="AP17" s="1320">
        <f t="shared" ca="1" si="25"/>
        <v>0</v>
      </c>
      <c r="AQ17" s="1320">
        <f t="shared" ca="1" si="26"/>
        <v>0</v>
      </c>
      <c r="AR17" s="1320">
        <f t="shared" ca="1" si="27"/>
        <v>0</v>
      </c>
      <c r="AS17" s="1320">
        <f t="shared" ca="1" si="28"/>
        <v>0</v>
      </c>
      <c r="AT17" s="1320">
        <f t="shared" ca="1" si="29"/>
        <v>0</v>
      </c>
      <c r="AU17" s="1320">
        <f t="shared" ca="1" si="30"/>
        <v>0</v>
      </c>
      <c r="AV17" s="1320">
        <f t="shared" ca="1" si="31"/>
        <v>0</v>
      </c>
      <c r="AW17" s="1320">
        <f t="shared" ca="1" si="32"/>
        <v>0</v>
      </c>
      <c r="AX17" s="1320">
        <f t="shared" ca="1" si="33"/>
        <v>0</v>
      </c>
      <c r="AY17" s="1315"/>
    </row>
    <row r="18" spans="2:51" s="2555" customFormat="1" ht="15.75">
      <c r="B18" s="1284"/>
      <c r="C18" s="1296" t="s">
        <v>2153</v>
      </c>
      <c r="D18" s="368" t="s">
        <v>2155</v>
      </c>
      <c r="E18" s="368">
        <f ca="1">-INDEX(INDIRECT("IV.b.Outputs["&amp;E$5&amp;"]"), MATCH("R.01", INDIRECT("IV.b.Outputs[Vector]"), 0))</f>
        <v>0</v>
      </c>
      <c r="F18" s="368">
        <f t="shared" ref="F18:N18" ca="1" si="46">-INDEX(INDIRECT("IV.b.Outputs["&amp;F$5&amp;"]"), MATCH("R.01", INDIRECT("IV.b.Outputs[Vector]"), 0))</f>
        <v>0</v>
      </c>
      <c r="G18" s="368">
        <f t="shared" ca="1" si="46"/>
        <v>2.5246079999999997</v>
      </c>
      <c r="H18" s="368">
        <f t="shared" ca="1" si="46"/>
        <v>8.5731479999999998</v>
      </c>
      <c r="I18" s="368">
        <f t="shared" ca="1" si="46"/>
        <v>15.638544</v>
      </c>
      <c r="J18" s="368">
        <f t="shared" ca="1" si="46"/>
        <v>25.719444000000003</v>
      </c>
      <c r="K18" s="368">
        <f t="shared" ca="1" si="46"/>
        <v>33.784163999999997</v>
      </c>
      <c r="L18" s="368">
        <f t="shared" ca="1" si="46"/>
        <v>37.816524000000008</v>
      </c>
      <c r="M18" s="368">
        <f t="shared" ca="1" si="46"/>
        <v>35.291916000000001</v>
      </c>
      <c r="N18" s="368">
        <f t="shared" ca="1" si="46"/>
        <v>29.243376000000001</v>
      </c>
      <c r="O18" s="1287"/>
      <c r="Q18" s="1312"/>
      <c r="R18" s="1316" t="s">
        <v>2101</v>
      </c>
      <c r="S18" s="1318">
        <f t="shared" ca="1" si="5"/>
        <v>296.5420125</v>
      </c>
      <c r="T18" s="1318">
        <f t="shared" ca="1" si="6"/>
        <v>449.1920925</v>
      </c>
      <c r="U18" s="1318">
        <f t="shared" ca="1" si="7"/>
        <v>507.09261100499998</v>
      </c>
      <c r="V18" s="1318">
        <f t="shared" ca="1" si="8"/>
        <v>548.56099701000005</v>
      </c>
      <c r="W18" s="1318">
        <f t="shared" ca="1" si="9"/>
        <v>586.57321805615095</v>
      </c>
      <c r="X18" s="1318">
        <f t="shared" ca="1" si="10"/>
        <v>641.54155989156084</v>
      </c>
      <c r="Y18" s="1318">
        <f t="shared" ca="1" si="11"/>
        <v>680.54187544379761</v>
      </c>
      <c r="Z18" s="1318">
        <f t="shared" ca="1" si="12"/>
        <v>722.92972840858988</v>
      </c>
      <c r="AA18" s="1318">
        <f t="shared" ca="1" si="13"/>
        <v>769.07133311204609</v>
      </c>
      <c r="AB18" s="1318">
        <f t="shared" ca="1" si="14"/>
        <v>803.22299999999996</v>
      </c>
      <c r="AC18" s="1319"/>
      <c r="AD18" s="1318">
        <f t="shared" si="15"/>
        <v>0</v>
      </c>
      <c r="AE18" s="1318">
        <f t="shared" si="16"/>
        <v>0</v>
      </c>
      <c r="AF18" s="1318">
        <f t="shared" si="17"/>
        <v>0</v>
      </c>
      <c r="AG18" s="1318">
        <f t="shared" si="18"/>
        <v>0</v>
      </c>
      <c r="AH18" s="1318">
        <f t="shared" si="19"/>
        <v>0</v>
      </c>
      <c r="AI18" s="1318">
        <f t="shared" si="20"/>
        <v>0</v>
      </c>
      <c r="AJ18" s="1318">
        <f t="shared" si="21"/>
        <v>0</v>
      </c>
      <c r="AK18" s="1318">
        <f t="shared" si="22"/>
        <v>0</v>
      </c>
      <c r="AL18" s="1318">
        <f t="shared" si="23"/>
        <v>0</v>
      </c>
      <c r="AM18" s="1318">
        <f t="shared" si="24"/>
        <v>0</v>
      </c>
      <c r="AN18" s="1319"/>
      <c r="AO18" s="1320">
        <f t="shared" ca="1" si="35"/>
        <v>0</v>
      </c>
      <c r="AP18" s="1320">
        <f t="shared" ca="1" si="25"/>
        <v>0</v>
      </c>
      <c r="AQ18" s="1320">
        <f t="shared" ca="1" si="26"/>
        <v>0</v>
      </c>
      <c r="AR18" s="1320">
        <f t="shared" ca="1" si="27"/>
        <v>0</v>
      </c>
      <c r="AS18" s="1320">
        <f t="shared" ca="1" si="28"/>
        <v>0</v>
      </c>
      <c r="AT18" s="1320">
        <f t="shared" ca="1" si="29"/>
        <v>0</v>
      </c>
      <c r="AU18" s="1320">
        <f t="shared" ca="1" si="30"/>
        <v>0</v>
      </c>
      <c r="AV18" s="1320">
        <f t="shared" ca="1" si="31"/>
        <v>0</v>
      </c>
      <c r="AW18" s="1320">
        <f t="shared" ca="1" si="32"/>
        <v>0</v>
      </c>
      <c r="AX18" s="1320">
        <f t="shared" ca="1" si="33"/>
        <v>0</v>
      </c>
      <c r="AY18" s="1315"/>
    </row>
    <row r="19" spans="2:51" s="605" customFormat="1" ht="15.75">
      <c r="B19" s="1284"/>
      <c r="C19" s="1296" t="s">
        <v>2155</v>
      </c>
      <c r="D19" s="368" t="s">
        <v>2167</v>
      </c>
      <c r="E19" s="368">
        <f ca="1">INDEX(INDIRECT("IV.b.Outputs["&amp;E$5&amp;"]"), MATCH("V.02", INDIRECT("IV.b.Outputs[Vector]"), 0))</f>
        <v>0</v>
      </c>
      <c r="F19" s="368">
        <f t="shared" ref="F19:N19" ca="1" si="47">INDEX(INDIRECT("IV.b.Outputs["&amp;F$5&amp;"]"), MATCH("V.02", INDIRECT("IV.b.Outputs[Vector]"), 0))</f>
        <v>0</v>
      </c>
      <c r="G19" s="368">
        <f t="shared" ca="1" si="47"/>
        <v>2.5246079999999997</v>
      </c>
      <c r="H19" s="368">
        <f t="shared" ca="1" si="47"/>
        <v>8.5731479999999998</v>
      </c>
      <c r="I19" s="368">
        <f t="shared" ca="1" si="47"/>
        <v>15.638544</v>
      </c>
      <c r="J19" s="368">
        <f t="shared" ca="1" si="47"/>
        <v>25.719444000000003</v>
      </c>
      <c r="K19" s="368">
        <f t="shared" ca="1" si="47"/>
        <v>33.784163999999997</v>
      </c>
      <c r="L19" s="368">
        <f t="shared" ca="1" si="47"/>
        <v>37.816524000000008</v>
      </c>
      <c r="M19" s="368">
        <f t="shared" ca="1" si="47"/>
        <v>35.291916000000001</v>
      </c>
      <c r="N19" s="368">
        <f t="shared" ca="1" si="47"/>
        <v>29.243376000000001</v>
      </c>
      <c r="O19" s="1287"/>
      <c r="Q19" s="1312"/>
      <c r="R19" s="1316" t="s">
        <v>876</v>
      </c>
      <c r="S19" s="1318">
        <f t="shared" ca="1" si="5"/>
        <v>153.83385468740386</v>
      </c>
      <c r="T19" s="1318">
        <f t="shared" ca="1" si="6"/>
        <v>158.80496962180251</v>
      </c>
      <c r="U19" s="1318">
        <f t="shared" ca="1" si="7"/>
        <v>447.28146847936694</v>
      </c>
      <c r="V19" s="1318">
        <f t="shared" ca="1" si="8"/>
        <v>580.82834753994018</v>
      </c>
      <c r="W19" s="1318">
        <f t="shared" ca="1" si="9"/>
        <v>719.79234346908368</v>
      </c>
      <c r="X19" s="1318">
        <f t="shared" ca="1" si="10"/>
        <v>883.00958491906431</v>
      </c>
      <c r="Y19" s="1318">
        <f t="shared" ca="1" si="11"/>
        <v>1091.1358234381285</v>
      </c>
      <c r="Z19" s="1318">
        <f t="shared" ca="1" si="12"/>
        <v>1323.7322738925393</v>
      </c>
      <c r="AA19" s="1318">
        <f t="shared" ca="1" si="13"/>
        <v>1577.3126958590992</v>
      </c>
      <c r="AB19" s="1318">
        <f t="shared" ca="1" si="14"/>
        <v>1879.4436261638216</v>
      </c>
      <c r="AC19" s="1319"/>
      <c r="AD19" s="1318">
        <f t="shared" si="15"/>
        <v>0</v>
      </c>
      <c r="AE19" s="1318">
        <f t="shared" si="16"/>
        <v>0</v>
      </c>
      <c r="AF19" s="1318">
        <f t="shared" si="17"/>
        <v>0</v>
      </c>
      <c r="AG19" s="1318">
        <f t="shared" si="18"/>
        <v>0</v>
      </c>
      <c r="AH19" s="1318">
        <f t="shared" si="19"/>
        <v>0</v>
      </c>
      <c r="AI19" s="1318">
        <f t="shared" si="20"/>
        <v>0</v>
      </c>
      <c r="AJ19" s="1318">
        <f t="shared" si="21"/>
        <v>0</v>
      </c>
      <c r="AK19" s="1318">
        <f t="shared" si="22"/>
        <v>0</v>
      </c>
      <c r="AL19" s="1318">
        <f t="shared" si="23"/>
        <v>0</v>
      </c>
      <c r="AM19" s="1318">
        <f t="shared" si="24"/>
        <v>0</v>
      </c>
      <c r="AN19" s="1319"/>
      <c r="AO19" s="1320">
        <f t="shared" ca="1" si="35"/>
        <v>0</v>
      </c>
      <c r="AP19" s="1320">
        <f t="shared" ca="1" si="25"/>
        <v>0</v>
      </c>
      <c r="AQ19" s="1320">
        <f t="shared" ca="1" si="26"/>
        <v>0</v>
      </c>
      <c r="AR19" s="1320">
        <f t="shared" ca="1" si="27"/>
        <v>0</v>
      </c>
      <c r="AS19" s="1320">
        <f t="shared" ca="1" si="28"/>
        <v>0</v>
      </c>
      <c r="AT19" s="1320">
        <f t="shared" ca="1" si="29"/>
        <v>0</v>
      </c>
      <c r="AU19" s="1320">
        <f t="shared" ca="1" si="30"/>
        <v>0</v>
      </c>
      <c r="AV19" s="1320">
        <f t="shared" ca="1" si="31"/>
        <v>0</v>
      </c>
      <c r="AW19" s="1320">
        <f t="shared" ca="1" si="32"/>
        <v>0</v>
      </c>
      <c r="AX19" s="1320">
        <f t="shared" ca="1" si="33"/>
        <v>0</v>
      </c>
      <c r="AY19" s="1315"/>
    </row>
    <row r="20" spans="2:51" s="2555" customFormat="1" ht="15.75">
      <c r="B20" s="1284"/>
      <c r="C20" s="1296" t="s">
        <v>2156</v>
      </c>
      <c r="D20" s="368" t="s">
        <v>2157</v>
      </c>
      <c r="E20" s="368">
        <f ca="1">-INDEX(INDIRECT("IV.c.1.Outputs["&amp;E$5&amp;"]"), MATCH("R.02", INDIRECT("IV.c.1.Outputs[Vector]"), 0))</f>
        <v>12.437183268</v>
      </c>
      <c r="F20" s="368">
        <f t="shared" ref="F20:N20" ca="1" si="48">-INDEX(INDIRECT("IV.c.1.Outputs["&amp;F$5&amp;"]"), MATCH("R.02", INDIRECT("IV.c.1.Outputs[Vector]"), 0))</f>
        <v>18.722249233199999</v>
      </c>
      <c r="G20" s="368">
        <f t="shared" ca="1" si="48"/>
        <v>36.604889233199998</v>
      </c>
      <c r="H20" s="368">
        <f t="shared" ca="1" si="48"/>
        <v>58.519889233199997</v>
      </c>
      <c r="I20" s="368">
        <f t="shared" ca="1" si="48"/>
        <v>81.311489233199993</v>
      </c>
      <c r="J20" s="368">
        <f t="shared" ca="1" si="48"/>
        <v>110.89673923319999</v>
      </c>
      <c r="K20" s="368">
        <f t="shared" ca="1" si="48"/>
        <v>129.14055596519998</v>
      </c>
      <c r="L20" s="368">
        <f t="shared" ca="1" si="48"/>
        <v>139.86152999999999</v>
      </c>
      <c r="M20" s="368">
        <f t="shared" ca="1" si="48"/>
        <v>148.27688999999998</v>
      </c>
      <c r="N20" s="368">
        <f t="shared" ca="1" si="48"/>
        <v>148.80284999999998</v>
      </c>
      <c r="O20" s="1287"/>
      <c r="Q20" s="1312"/>
      <c r="R20" s="1316" t="s">
        <v>855</v>
      </c>
      <c r="S20" s="1318">
        <f t="shared" ca="1" si="5"/>
        <v>12.437183268</v>
      </c>
      <c r="T20" s="1318">
        <f t="shared" ca="1" si="6"/>
        <v>18.722249233199999</v>
      </c>
      <c r="U20" s="1318">
        <f t="shared" ca="1" si="7"/>
        <v>36.604889233199998</v>
      </c>
      <c r="V20" s="1318">
        <f t="shared" ca="1" si="8"/>
        <v>58.519889233199997</v>
      </c>
      <c r="W20" s="1318">
        <f t="shared" ca="1" si="9"/>
        <v>81.311489233199993</v>
      </c>
      <c r="X20" s="1318">
        <f t="shared" ca="1" si="10"/>
        <v>110.89673923319999</v>
      </c>
      <c r="Y20" s="1318">
        <f t="shared" ca="1" si="11"/>
        <v>129.14055596519998</v>
      </c>
      <c r="Z20" s="1318">
        <f t="shared" ca="1" si="12"/>
        <v>139.86152999999999</v>
      </c>
      <c r="AA20" s="1318">
        <f t="shared" ca="1" si="13"/>
        <v>148.27688999999998</v>
      </c>
      <c r="AB20" s="1318">
        <f t="shared" ca="1" si="14"/>
        <v>148.80284999999998</v>
      </c>
      <c r="AC20" s="1319"/>
      <c r="AD20" s="1318">
        <f t="shared" ca="1" si="15"/>
        <v>12.437183268</v>
      </c>
      <c r="AE20" s="1318">
        <f t="shared" ca="1" si="16"/>
        <v>18.722249233199999</v>
      </c>
      <c r="AF20" s="1318">
        <f t="shared" ca="1" si="17"/>
        <v>36.604889233199998</v>
      </c>
      <c r="AG20" s="1318">
        <f t="shared" ca="1" si="18"/>
        <v>58.519889233199997</v>
      </c>
      <c r="AH20" s="1318">
        <f t="shared" ca="1" si="19"/>
        <v>81.311489233199993</v>
      </c>
      <c r="AI20" s="1318">
        <f t="shared" ca="1" si="20"/>
        <v>110.89673923319999</v>
      </c>
      <c r="AJ20" s="1318">
        <f t="shared" ca="1" si="21"/>
        <v>129.14055596519998</v>
      </c>
      <c r="AK20" s="1318">
        <f t="shared" ca="1" si="22"/>
        <v>139.86152999999999</v>
      </c>
      <c r="AL20" s="1318">
        <f t="shared" ca="1" si="23"/>
        <v>148.27688999999998</v>
      </c>
      <c r="AM20" s="1318">
        <f t="shared" ca="1" si="24"/>
        <v>148.80284999999998</v>
      </c>
      <c r="AN20" s="1319"/>
      <c r="AO20" s="1320">
        <f t="shared" ca="1" si="35"/>
        <v>0</v>
      </c>
      <c r="AP20" s="1320">
        <f t="shared" ca="1" si="25"/>
        <v>0</v>
      </c>
      <c r="AQ20" s="1320">
        <f t="shared" ca="1" si="26"/>
        <v>0</v>
      </c>
      <c r="AR20" s="1320">
        <f t="shared" ca="1" si="27"/>
        <v>0</v>
      </c>
      <c r="AS20" s="1320">
        <f t="shared" ca="1" si="28"/>
        <v>0</v>
      </c>
      <c r="AT20" s="1320">
        <f t="shared" ca="1" si="29"/>
        <v>0</v>
      </c>
      <c r="AU20" s="1320">
        <f t="shared" ca="1" si="30"/>
        <v>0</v>
      </c>
      <c r="AV20" s="1320">
        <f t="shared" ca="1" si="31"/>
        <v>0</v>
      </c>
      <c r="AW20" s="1320">
        <f t="shared" ca="1" si="32"/>
        <v>0</v>
      </c>
      <c r="AX20" s="1320">
        <f t="shared" ca="1" si="33"/>
        <v>0</v>
      </c>
      <c r="AY20" s="1315"/>
    </row>
    <row r="21" spans="2:51" s="2555" customFormat="1" ht="15.75">
      <c r="B21" s="1284"/>
      <c r="C21" s="1296" t="s">
        <v>2156</v>
      </c>
      <c r="D21" s="368" t="s">
        <v>2158</v>
      </c>
      <c r="E21" s="368">
        <f ca="1">-INDEX(INDIRECT("IV.c.2.Outputs["&amp;E$5&amp;"]"), MATCH("R.02", INDIRECT("IV.c.2.Outputs[Vector]"), 0))</f>
        <v>0</v>
      </c>
      <c r="F21" s="368">
        <f t="shared" ref="F21:N21" ca="1" si="49">-INDEX(INDIRECT("IV.c.2.Outputs["&amp;F$5&amp;"]"), MATCH("R.02", INDIRECT("IV.c.2.Outputs[Vector]"), 0))</f>
        <v>0</v>
      </c>
      <c r="G21" s="368">
        <f t="shared" ca="1" si="49"/>
        <v>0</v>
      </c>
      <c r="H21" s="368">
        <f t="shared" ca="1" si="49"/>
        <v>1.4463900000000003</v>
      </c>
      <c r="I21" s="368">
        <f t="shared" ca="1" si="49"/>
        <v>3.02427</v>
      </c>
      <c r="J21" s="368">
        <f t="shared" ca="1" si="49"/>
        <v>4.6021499999999991</v>
      </c>
      <c r="K21" s="368">
        <f t="shared" ca="1" si="49"/>
        <v>7.8455700000000004</v>
      </c>
      <c r="L21" s="368">
        <f t="shared" ca="1" si="49"/>
        <v>11.176649999999999</v>
      </c>
      <c r="M21" s="368">
        <f t="shared" ca="1" si="49"/>
        <v>12.88602</v>
      </c>
      <c r="N21" s="368">
        <f t="shared" ca="1" si="49"/>
        <v>13.148999999999999</v>
      </c>
      <c r="O21" s="1287"/>
      <c r="Q21" s="1312"/>
      <c r="R21" s="1316" t="s">
        <v>856</v>
      </c>
      <c r="S21" s="1318">
        <f t="shared" ca="1" si="5"/>
        <v>0</v>
      </c>
      <c r="T21" s="1318">
        <f t="shared" ca="1" si="6"/>
        <v>0</v>
      </c>
      <c r="U21" s="1318">
        <f t="shared" ca="1" si="7"/>
        <v>0</v>
      </c>
      <c r="V21" s="1318">
        <f t="shared" ca="1" si="8"/>
        <v>1.4463900000000003</v>
      </c>
      <c r="W21" s="1318">
        <f t="shared" ca="1" si="9"/>
        <v>3.02427</v>
      </c>
      <c r="X21" s="1318">
        <f t="shared" ca="1" si="10"/>
        <v>4.6021499999999991</v>
      </c>
      <c r="Y21" s="1318">
        <f t="shared" ca="1" si="11"/>
        <v>7.8455700000000004</v>
      </c>
      <c r="Z21" s="1318">
        <f t="shared" ca="1" si="12"/>
        <v>11.176649999999999</v>
      </c>
      <c r="AA21" s="1318">
        <f t="shared" ca="1" si="13"/>
        <v>12.88602</v>
      </c>
      <c r="AB21" s="1318">
        <f t="shared" ca="1" si="14"/>
        <v>13.148999999999999</v>
      </c>
      <c r="AC21" s="1319"/>
      <c r="AD21" s="1318">
        <f t="shared" ca="1" si="15"/>
        <v>0</v>
      </c>
      <c r="AE21" s="1318">
        <f t="shared" ca="1" si="16"/>
        <v>0</v>
      </c>
      <c r="AF21" s="1318">
        <f t="shared" ca="1" si="17"/>
        <v>0</v>
      </c>
      <c r="AG21" s="1318">
        <f t="shared" ca="1" si="18"/>
        <v>1.4463900000000003</v>
      </c>
      <c r="AH21" s="1318">
        <f t="shared" ca="1" si="19"/>
        <v>3.02427</v>
      </c>
      <c r="AI21" s="1318">
        <f t="shared" ca="1" si="20"/>
        <v>4.6021499999999991</v>
      </c>
      <c r="AJ21" s="1318">
        <f t="shared" ca="1" si="21"/>
        <v>7.8455700000000004</v>
      </c>
      <c r="AK21" s="1318">
        <f t="shared" ca="1" si="22"/>
        <v>11.176649999999999</v>
      </c>
      <c r="AL21" s="1318">
        <f t="shared" ca="1" si="23"/>
        <v>12.88602</v>
      </c>
      <c r="AM21" s="1318">
        <f t="shared" ca="1" si="24"/>
        <v>13.148999999999999</v>
      </c>
      <c r="AN21" s="1319"/>
      <c r="AO21" s="1320">
        <f t="shared" ca="1" si="35"/>
        <v>0</v>
      </c>
      <c r="AP21" s="1320">
        <f t="shared" ca="1" si="25"/>
        <v>0</v>
      </c>
      <c r="AQ21" s="1320">
        <f t="shared" ca="1" si="26"/>
        <v>0</v>
      </c>
      <c r="AR21" s="1320">
        <f t="shared" ca="1" si="27"/>
        <v>0</v>
      </c>
      <c r="AS21" s="1320">
        <f t="shared" ca="1" si="28"/>
        <v>0</v>
      </c>
      <c r="AT21" s="1320">
        <f t="shared" ca="1" si="29"/>
        <v>0</v>
      </c>
      <c r="AU21" s="1320">
        <f t="shared" ca="1" si="30"/>
        <v>0</v>
      </c>
      <c r="AV21" s="1320">
        <f t="shared" ca="1" si="31"/>
        <v>0</v>
      </c>
      <c r="AW21" s="1320">
        <f t="shared" ca="1" si="32"/>
        <v>0</v>
      </c>
      <c r="AX21" s="1320">
        <f t="shared" ca="1" si="33"/>
        <v>0</v>
      </c>
      <c r="AY21" s="1315"/>
    </row>
    <row r="22" spans="2:51" s="605" customFormat="1" ht="15.75">
      <c r="B22" s="1284"/>
      <c r="C22" s="1296" t="s">
        <v>2157</v>
      </c>
      <c r="D22" s="368" t="s">
        <v>2167</v>
      </c>
      <c r="E22" s="368">
        <f ca="1">INDEX(INDIRECT("IV.c.1.Outputs["&amp;E$5&amp;"]"), MATCH("V.02", INDIRECT("IV.c.1.Outputs[Vector]"), 0))</f>
        <v>12.437183268</v>
      </c>
      <c r="F22" s="368">
        <f t="shared" ref="F22:N22" ca="1" si="50">INDEX(INDIRECT("IV.c.1.Outputs["&amp;F$5&amp;"]"), MATCH("V.02", INDIRECT("IV.c.1.Outputs[Vector]"), 0))</f>
        <v>18.722249233199999</v>
      </c>
      <c r="G22" s="368">
        <f t="shared" ca="1" si="50"/>
        <v>36.604889233199998</v>
      </c>
      <c r="H22" s="368">
        <f t="shared" ca="1" si="50"/>
        <v>58.519889233199997</v>
      </c>
      <c r="I22" s="368">
        <f t="shared" ca="1" si="50"/>
        <v>81.311489233199993</v>
      </c>
      <c r="J22" s="368">
        <f t="shared" ca="1" si="50"/>
        <v>110.89673923319999</v>
      </c>
      <c r="K22" s="368">
        <f t="shared" ca="1" si="50"/>
        <v>129.14055596519998</v>
      </c>
      <c r="L22" s="368">
        <f t="shared" ca="1" si="50"/>
        <v>139.86152999999999</v>
      </c>
      <c r="M22" s="368">
        <f t="shared" ca="1" si="50"/>
        <v>148.27688999999998</v>
      </c>
      <c r="N22" s="368">
        <f t="shared" ca="1" si="50"/>
        <v>148.80284999999998</v>
      </c>
      <c r="O22" s="1287"/>
      <c r="Q22" s="1312"/>
      <c r="R22" s="368" t="s">
        <v>1197</v>
      </c>
      <c r="S22" s="1318">
        <f t="shared" ca="1" si="5"/>
        <v>946.41133333333335</v>
      </c>
      <c r="T22" s="1318">
        <f t="shared" ca="1" si="6"/>
        <v>958.84700020581943</v>
      </c>
      <c r="U22" s="1318">
        <f t="shared" ca="1" si="7"/>
        <v>961.86501892823412</v>
      </c>
      <c r="V22" s="1318">
        <f t="shared" ca="1" si="8"/>
        <v>965.66647208418749</v>
      </c>
      <c r="W22" s="1318">
        <f t="shared" ca="1" si="9"/>
        <v>970.41610129726416</v>
      </c>
      <c r="X22" s="1318">
        <f t="shared" ca="1" si="10"/>
        <v>976.35563211308579</v>
      </c>
      <c r="Y22" s="1318">
        <f t="shared" ca="1" si="11"/>
        <v>982.93217802676475</v>
      </c>
      <c r="Z22" s="1318">
        <f t="shared" ca="1" si="12"/>
        <v>987.4628060370934</v>
      </c>
      <c r="AA22" s="1318">
        <f t="shared" ca="1" si="13"/>
        <v>993.13453402916116</v>
      </c>
      <c r="AB22" s="1318">
        <f t="shared" ca="1" si="14"/>
        <v>1000.8691636138399</v>
      </c>
      <c r="AC22" s="1319"/>
      <c r="AD22" s="1318">
        <f t="shared" ca="1" si="15"/>
        <v>946.41133333333335</v>
      </c>
      <c r="AE22" s="1318">
        <f t="shared" ca="1" si="16"/>
        <v>958.84700020581943</v>
      </c>
      <c r="AF22" s="1318">
        <f t="shared" ca="1" si="17"/>
        <v>961.86501892823412</v>
      </c>
      <c r="AG22" s="1318">
        <f t="shared" ca="1" si="18"/>
        <v>965.66647208418749</v>
      </c>
      <c r="AH22" s="1318">
        <f t="shared" ca="1" si="19"/>
        <v>970.41610129726416</v>
      </c>
      <c r="AI22" s="1318">
        <f t="shared" ca="1" si="20"/>
        <v>976.35563211308579</v>
      </c>
      <c r="AJ22" s="1318">
        <f t="shared" ca="1" si="21"/>
        <v>982.93217802676475</v>
      </c>
      <c r="AK22" s="1318">
        <f t="shared" ca="1" si="22"/>
        <v>987.4628060370934</v>
      </c>
      <c r="AL22" s="1318">
        <f t="shared" ca="1" si="23"/>
        <v>993.13453402916116</v>
      </c>
      <c r="AM22" s="1318">
        <f t="shared" ca="1" si="24"/>
        <v>1000.8691636138399</v>
      </c>
      <c r="AN22" s="1319"/>
      <c r="AO22" s="1320">
        <f t="shared" ca="1" si="35"/>
        <v>0</v>
      </c>
      <c r="AP22" s="1320">
        <f t="shared" ca="1" si="25"/>
        <v>0</v>
      </c>
      <c r="AQ22" s="1320">
        <f t="shared" ca="1" si="26"/>
        <v>0</v>
      </c>
      <c r="AR22" s="1320">
        <f t="shared" ca="1" si="27"/>
        <v>0</v>
      </c>
      <c r="AS22" s="1320">
        <f t="shared" ca="1" si="28"/>
        <v>0</v>
      </c>
      <c r="AT22" s="1320">
        <f t="shared" ca="1" si="29"/>
        <v>0</v>
      </c>
      <c r="AU22" s="1320">
        <f t="shared" ca="1" si="30"/>
        <v>0</v>
      </c>
      <c r="AV22" s="1320">
        <f t="shared" ca="1" si="31"/>
        <v>0</v>
      </c>
      <c r="AW22" s="1320">
        <f t="shared" ca="1" si="32"/>
        <v>0</v>
      </c>
      <c r="AX22" s="1320">
        <f t="shared" ca="1" si="33"/>
        <v>0</v>
      </c>
      <c r="AY22" s="1315"/>
    </row>
    <row r="23" spans="2:51" s="2555" customFormat="1" ht="15.75">
      <c r="B23" s="1284"/>
      <c r="C23" s="1296" t="s">
        <v>2158</v>
      </c>
      <c r="D23" s="368" t="s">
        <v>2167</v>
      </c>
      <c r="E23" s="368">
        <f ca="1">INDEX(INDIRECT("IV.c.2.Outputs["&amp;E$5&amp;"]"), MATCH("V.02", INDIRECT("IV.c.2.Outputs[Vector]"), 0))</f>
        <v>0</v>
      </c>
      <c r="F23" s="368">
        <f t="shared" ref="F23:N23" ca="1" si="51">INDEX(INDIRECT("IV.c.2.Outputs["&amp;F$5&amp;"]"), MATCH("V.02", INDIRECT("IV.c.2.Outputs[Vector]"), 0))</f>
        <v>0</v>
      </c>
      <c r="G23" s="368">
        <f t="shared" ca="1" si="51"/>
        <v>0</v>
      </c>
      <c r="H23" s="368">
        <f t="shared" ca="1" si="51"/>
        <v>1.4463900000000003</v>
      </c>
      <c r="I23" s="368">
        <f t="shared" ca="1" si="51"/>
        <v>3.02427</v>
      </c>
      <c r="J23" s="368">
        <f t="shared" ca="1" si="51"/>
        <v>4.6021499999999991</v>
      </c>
      <c r="K23" s="368">
        <f t="shared" ca="1" si="51"/>
        <v>7.8455700000000004</v>
      </c>
      <c r="L23" s="368">
        <f t="shared" ca="1" si="51"/>
        <v>11.176649999999999</v>
      </c>
      <c r="M23" s="368">
        <f t="shared" ca="1" si="51"/>
        <v>12.88602</v>
      </c>
      <c r="N23" s="368">
        <f t="shared" ca="1" si="51"/>
        <v>13.148999999999999</v>
      </c>
      <c r="O23" s="1287"/>
      <c r="Q23" s="1312"/>
      <c r="R23" s="1296" t="s">
        <v>2095</v>
      </c>
      <c r="S23" s="1318">
        <f t="shared" ca="1" si="5"/>
        <v>946.41133333333335</v>
      </c>
      <c r="T23" s="1318">
        <f t="shared" ca="1" si="6"/>
        <v>958.84700020581943</v>
      </c>
      <c r="U23" s="1318">
        <f t="shared" ca="1" si="7"/>
        <v>961.86501892823412</v>
      </c>
      <c r="V23" s="1318">
        <f t="shared" ca="1" si="8"/>
        <v>965.66647208418749</v>
      </c>
      <c r="W23" s="1318">
        <f t="shared" ca="1" si="9"/>
        <v>970.41610129726416</v>
      </c>
      <c r="X23" s="1318">
        <f t="shared" ca="1" si="10"/>
        <v>976.35563211308579</v>
      </c>
      <c r="Y23" s="1318">
        <f t="shared" ca="1" si="11"/>
        <v>982.93217802676475</v>
      </c>
      <c r="Z23" s="1318">
        <f t="shared" ca="1" si="12"/>
        <v>987.4628060370934</v>
      </c>
      <c r="AA23" s="1318">
        <f t="shared" ca="1" si="13"/>
        <v>993.13453402916116</v>
      </c>
      <c r="AB23" s="1318">
        <f t="shared" ca="1" si="14"/>
        <v>1000.8691636138399</v>
      </c>
      <c r="AC23" s="1319"/>
      <c r="AD23" s="1318">
        <f t="shared" si="15"/>
        <v>0</v>
      </c>
      <c r="AE23" s="1318">
        <f t="shared" si="16"/>
        <v>0</v>
      </c>
      <c r="AF23" s="1318">
        <f t="shared" si="17"/>
        <v>0</v>
      </c>
      <c r="AG23" s="1318">
        <f t="shared" si="18"/>
        <v>0</v>
      </c>
      <c r="AH23" s="1318">
        <f t="shared" si="19"/>
        <v>0</v>
      </c>
      <c r="AI23" s="1318">
        <f t="shared" si="20"/>
        <v>0</v>
      </c>
      <c r="AJ23" s="1318">
        <f t="shared" si="21"/>
        <v>0</v>
      </c>
      <c r="AK23" s="1318">
        <f t="shared" si="22"/>
        <v>0</v>
      </c>
      <c r="AL23" s="1318">
        <f t="shared" si="23"/>
        <v>0</v>
      </c>
      <c r="AM23" s="1318">
        <f t="shared" si="24"/>
        <v>0</v>
      </c>
      <c r="AN23" s="1319"/>
      <c r="AO23" s="1320">
        <f t="shared" ca="1" si="35"/>
        <v>0</v>
      </c>
      <c r="AP23" s="1320">
        <f t="shared" ca="1" si="25"/>
        <v>0</v>
      </c>
      <c r="AQ23" s="1320">
        <f t="shared" ca="1" si="26"/>
        <v>0</v>
      </c>
      <c r="AR23" s="1320">
        <f t="shared" ca="1" si="27"/>
        <v>0</v>
      </c>
      <c r="AS23" s="1320">
        <f t="shared" ca="1" si="28"/>
        <v>0</v>
      </c>
      <c r="AT23" s="1320">
        <f t="shared" ca="1" si="29"/>
        <v>0</v>
      </c>
      <c r="AU23" s="1320">
        <f t="shared" ca="1" si="30"/>
        <v>0</v>
      </c>
      <c r="AV23" s="1320">
        <f t="shared" ca="1" si="31"/>
        <v>0</v>
      </c>
      <c r="AW23" s="1320">
        <f t="shared" ca="1" si="32"/>
        <v>0</v>
      </c>
      <c r="AX23" s="1320">
        <f t="shared" ca="1" si="33"/>
        <v>0</v>
      </c>
      <c r="AY23" s="1315"/>
    </row>
    <row r="24" spans="2:51" s="605" customFormat="1" ht="15.75">
      <c r="B24" s="1284"/>
      <c r="C24" s="1296" t="s">
        <v>2159</v>
      </c>
      <c r="D24" s="368" t="s">
        <v>2167</v>
      </c>
      <c r="E24" s="368">
        <f ca="1">INDEX(INDIRECT("IV.d.Outputs["&amp;E$5&amp;"]"), MATCH("V.02", INDIRECT("IV.d.Outputs[Vector]"), 0))</f>
        <v>7.0138343880000011</v>
      </c>
      <c r="F24" s="368">
        <f t="shared" ref="F24:N24" ca="1" si="52">INDEX(INDIRECT("IV.d.Outputs["&amp;F$5&amp;"]"), MATCH("V.02", INDIRECT("IV.d.Outputs[Vector]"), 0))</f>
        <v>12.081458988000001</v>
      </c>
      <c r="G24" s="368">
        <f t="shared" ca="1" si="52"/>
        <v>17.604038988000003</v>
      </c>
      <c r="H24" s="368">
        <f t="shared" ca="1" si="52"/>
        <v>23.937473988000004</v>
      </c>
      <c r="I24" s="368">
        <f t="shared" ca="1" si="52"/>
        <v>27.750683988000002</v>
      </c>
      <c r="J24" s="368">
        <f t="shared" ca="1" si="52"/>
        <v>31.651553988000003</v>
      </c>
      <c r="K24" s="368">
        <f t="shared" ca="1" si="52"/>
        <v>33.623903988000002</v>
      </c>
      <c r="L24" s="368">
        <f t="shared" ca="1" si="52"/>
        <v>33.902259552000004</v>
      </c>
      <c r="M24" s="368">
        <f t="shared" ca="1" si="52"/>
        <v>34.790711183999996</v>
      </c>
      <c r="N24" s="368">
        <f t="shared" ca="1" si="52"/>
        <v>35.382416183999993</v>
      </c>
      <c r="O24" s="1287"/>
      <c r="Q24" s="1312"/>
      <c r="R24" s="1296" t="s">
        <v>2093</v>
      </c>
      <c r="S24" s="1318">
        <f t="shared" ca="1" si="5"/>
        <v>0</v>
      </c>
      <c r="T24" s="1318">
        <f t="shared" ca="1" si="6"/>
        <v>0</v>
      </c>
      <c r="U24" s="1318">
        <f t="shared" ca="1" si="7"/>
        <v>0</v>
      </c>
      <c r="V24" s="1318">
        <f t="shared" ca="1" si="8"/>
        <v>0</v>
      </c>
      <c r="W24" s="1318">
        <f t="shared" ca="1" si="9"/>
        <v>0</v>
      </c>
      <c r="X24" s="1318">
        <f t="shared" ca="1" si="10"/>
        <v>0</v>
      </c>
      <c r="Y24" s="1318">
        <f t="shared" ca="1" si="11"/>
        <v>0</v>
      </c>
      <c r="Z24" s="1318">
        <f t="shared" ca="1" si="12"/>
        <v>0</v>
      </c>
      <c r="AA24" s="1318">
        <f t="shared" ca="1" si="13"/>
        <v>0</v>
      </c>
      <c r="AB24" s="1318">
        <f t="shared" ca="1" si="14"/>
        <v>0</v>
      </c>
      <c r="AC24" s="1319"/>
      <c r="AD24" s="1318">
        <f t="shared" si="15"/>
        <v>0</v>
      </c>
      <c r="AE24" s="1318">
        <f t="shared" si="16"/>
        <v>0</v>
      </c>
      <c r="AF24" s="1318">
        <f t="shared" si="17"/>
        <v>0</v>
      </c>
      <c r="AG24" s="1318">
        <f t="shared" si="18"/>
        <v>0</v>
      </c>
      <c r="AH24" s="1318">
        <f t="shared" si="19"/>
        <v>0</v>
      </c>
      <c r="AI24" s="1318">
        <f t="shared" si="20"/>
        <v>0</v>
      </c>
      <c r="AJ24" s="1318">
        <f t="shared" si="21"/>
        <v>0</v>
      </c>
      <c r="AK24" s="1318">
        <f t="shared" si="22"/>
        <v>0</v>
      </c>
      <c r="AL24" s="1318">
        <f t="shared" si="23"/>
        <v>0</v>
      </c>
      <c r="AM24" s="1318">
        <f t="shared" si="24"/>
        <v>0</v>
      </c>
      <c r="AN24" s="1319"/>
      <c r="AO24" s="1320">
        <f t="shared" ca="1" si="35"/>
        <v>0</v>
      </c>
      <c r="AP24" s="1320">
        <f t="shared" ca="1" si="25"/>
        <v>0</v>
      </c>
      <c r="AQ24" s="1320">
        <f t="shared" ca="1" si="26"/>
        <v>0</v>
      </c>
      <c r="AR24" s="1320">
        <f t="shared" ca="1" si="27"/>
        <v>0</v>
      </c>
      <c r="AS24" s="1320">
        <f t="shared" ca="1" si="28"/>
        <v>0</v>
      </c>
      <c r="AT24" s="1320">
        <f t="shared" ca="1" si="29"/>
        <v>0</v>
      </c>
      <c r="AU24" s="1320">
        <f t="shared" ca="1" si="30"/>
        <v>0</v>
      </c>
      <c r="AV24" s="1320">
        <f t="shared" ca="1" si="31"/>
        <v>0</v>
      </c>
      <c r="AW24" s="1320">
        <f t="shared" ca="1" si="32"/>
        <v>0</v>
      </c>
      <c r="AX24" s="1320">
        <f t="shared" ca="1" si="33"/>
        <v>0</v>
      </c>
      <c r="AY24" s="1315"/>
    </row>
    <row r="25" spans="2:51" s="605" customFormat="1" ht="15.75">
      <c r="B25" s="1284"/>
      <c r="C25" s="1296" t="s">
        <v>2160</v>
      </c>
      <c r="D25" s="368" t="s">
        <v>2167</v>
      </c>
      <c r="E25" s="368">
        <f ca="1">INDEX(INDIRECT("III.Outputs["&amp;E$5&amp;"]"), MATCH("V.02", INDIRECT("III.Outputs[Vector]"), 0))</f>
        <v>121.49675999999999</v>
      </c>
      <c r="F25" s="368">
        <f t="shared" ref="F25:N25" ca="1" si="53">INDEX(INDIRECT("III.Outputs["&amp;F$5&amp;"]"), MATCH("V.02", INDIRECT("III.Outputs[Vector]"), 0))</f>
        <v>143.76240000000001</v>
      </c>
      <c r="G25" s="368">
        <f t="shared" ca="1" si="53"/>
        <v>171.81360000000004</v>
      </c>
      <c r="H25" s="368">
        <f t="shared" ca="1" si="53"/>
        <v>171.81360000000004</v>
      </c>
      <c r="I25" s="368">
        <f t="shared" ca="1" si="53"/>
        <v>171.81360000000004</v>
      </c>
      <c r="J25" s="368">
        <f t="shared" ca="1" si="53"/>
        <v>171.81360000000004</v>
      </c>
      <c r="K25" s="368">
        <f t="shared" ca="1" si="53"/>
        <v>171.81360000000004</v>
      </c>
      <c r="L25" s="368">
        <f t="shared" ca="1" si="53"/>
        <v>171.81360000000004</v>
      </c>
      <c r="M25" s="368">
        <f t="shared" ca="1" si="53"/>
        <v>171.81360000000004</v>
      </c>
      <c r="N25" s="368">
        <f t="shared" ca="1" si="53"/>
        <v>171.81360000000004</v>
      </c>
      <c r="O25" s="1287"/>
      <c r="Q25" s="1312"/>
      <c r="R25" s="1316" t="s">
        <v>1869</v>
      </c>
      <c r="S25" s="1318">
        <f t="shared" ca="1" si="5"/>
        <v>395.28044</v>
      </c>
      <c r="T25" s="1318">
        <f t="shared" ca="1" si="6"/>
        <v>442.98669999999993</v>
      </c>
      <c r="U25" s="1318">
        <f t="shared" ca="1" si="7"/>
        <v>480.4207945988</v>
      </c>
      <c r="V25" s="1318">
        <f t="shared" ca="1" si="8"/>
        <v>406.8218875356273</v>
      </c>
      <c r="W25" s="1318">
        <f t="shared" ca="1" si="9"/>
        <v>404.69271243177428</v>
      </c>
      <c r="X25" s="1318">
        <f t="shared" ca="1" si="10"/>
        <v>402.83638767071136</v>
      </c>
      <c r="Y25" s="1318">
        <f t="shared" ca="1" si="11"/>
        <v>401.68501767071086</v>
      </c>
      <c r="Z25" s="1318">
        <f t="shared" ca="1" si="12"/>
        <v>401.13024685060918</v>
      </c>
      <c r="AA25" s="1318">
        <f t="shared" ca="1" si="13"/>
        <v>401.18988105870324</v>
      </c>
      <c r="AB25" s="1318">
        <f t="shared" ca="1" si="14"/>
        <v>401.88812295573837</v>
      </c>
      <c r="AC25" s="1319"/>
      <c r="AD25" s="1318">
        <f t="shared" si="15"/>
        <v>0</v>
      </c>
      <c r="AE25" s="1318">
        <f t="shared" si="16"/>
        <v>0</v>
      </c>
      <c r="AF25" s="1318">
        <f t="shared" si="17"/>
        <v>0</v>
      </c>
      <c r="AG25" s="1318">
        <f t="shared" si="18"/>
        <v>0</v>
      </c>
      <c r="AH25" s="1318">
        <f t="shared" si="19"/>
        <v>0</v>
      </c>
      <c r="AI25" s="1318">
        <f t="shared" si="20"/>
        <v>0</v>
      </c>
      <c r="AJ25" s="1318">
        <f t="shared" si="21"/>
        <v>0</v>
      </c>
      <c r="AK25" s="1318">
        <f t="shared" si="22"/>
        <v>0</v>
      </c>
      <c r="AL25" s="1318">
        <f t="shared" si="23"/>
        <v>0</v>
      </c>
      <c r="AM25" s="1318">
        <f t="shared" si="24"/>
        <v>0</v>
      </c>
      <c r="AN25" s="1319"/>
      <c r="AO25" s="1320">
        <f t="shared" ca="1" si="35"/>
        <v>0</v>
      </c>
      <c r="AP25" s="1320">
        <f t="shared" ca="1" si="25"/>
        <v>0</v>
      </c>
      <c r="AQ25" s="1320">
        <f t="shared" ca="1" si="26"/>
        <v>0</v>
      </c>
      <c r="AR25" s="1320">
        <f t="shared" ca="1" si="27"/>
        <v>0</v>
      </c>
      <c r="AS25" s="1320">
        <f t="shared" ca="1" si="28"/>
        <v>0</v>
      </c>
      <c r="AT25" s="1320">
        <f t="shared" ca="1" si="29"/>
        <v>0</v>
      </c>
      <c r="AU25" s="1320">
        <f t="shared" ca="1" si="30"/>
        <v>0</v>
      </c>
      <c r="AV25" s="1320">
        <f t="shared" ca="1" si="31"/>
        <v>0</v>
      </c>
      <c r="AW25" s="1320">
        <f t="shared" ca="1" si="32"/>
        <v>0</v>
      </c>
      <c r="AX25" s="1320">
        <f t="shared" ca="1" si="33"/>
        <v>0</v>
      </c>
      <c r="AY25" s="1315"/>
    </row>
    <row r="26" spans="2:51" s="605" customFormat="1" ht="15.75">
      <c r="B26" s="1284"/>
      <c r="C26" s="1296" t="s">
        <v>2161</v>
      </c>
      <c r="D26" s="368" t="s">
        <v>2166</v>
      </c>
      <c r="E26" s="368">
        <f ca="1">-INDEX(INDIRECT("II.Outputs["&amp;E$5&amp;"]"), MATCH("N.01", INDIRECT("II.Outputs[Vector]"), 0))</f>
        <v>80.94774857142859</v>
      </c>
      <c r="F26" s="368">
        <f t="shared" ref="F26:N26" ca="1" si="54">-INDEX(INDIRECT("II.Outputs["&amp;F$5&amp;"]"), MATCH("N.01", INDIRECT("II.Outputs[Vector]"), 0))</f>
        <v>93.771154285714289</v>
      </c>
      <c r="G26" s="368">
        <f t="shared" ca="1" si="54"/>
        <v>199.9649828571429</v>
      </c>
      <c r="H26" s="368">
        <f t="shared" ca="1" si="54"/>
        <v>193.55328000000003</v>
      </c>
      <c r="I26" s="368">
        <f t="shared" ca="1" si="54"/>
        <v>193.55328000000003</v>
      </c>
      <c r="J26" s="368">
        <f t="shared" ca="1" si="54"/>
        <v>189.54596571428576</v>
      </c>
      <c r="K26" s="368">
        <f t="shared" ca="1" si="54"/>
        <v>180.72987428571432</v>
      </c>
      <c r="L26" s="368">
        <f t="shared" ca="1" si="54"/>
        <v>176.3218285714286</v>
      </c>
      <c r="M26" s="368">
        <f t="shared" ca="1" si="54"/>
        <v>167.50573714285716</v>
      </c>
      <c r="N26" s="368">
        <f t="shared" ca="1" si="54"/>
        <v>167.50573714285716</v>
      </c>
      <c r="O26" s="1287"/>
      <c r="Q26" s="1312"/>
      <c r="R26" s="1316" t="s">
        <v>877</v>
      </c>
      <c r="S26" s="1318">
        <f t="shared" ca="1" si="5"/>
        <v>1217.3455995924837</v>
      </c>
      <c r="T26" s="1318">
        <f t="shared" ca="1" si="6"/>
        <v>1466.5905800259968</v>
      </c>
      <c r="U26" s="1318">
        <f t="shared" ca="1" si="7"/>
        <v>2100.3206137516681</v>
      </c>
      <c r="V26" s="1318">
        <f t="shared" ca="1" si="8"/>
        <v>3054.2541317150194</v>
      </c>
      <c r="W26" s="1318">
        <f t="shared" ca="1" si="9"/>
        <v>4102.7795788608364</v>
      </c>
      <c r="X26" s="1318">
        <f t="shared" ca="1" si="10"/>
        <v>5330.667265334645</v>
      </c>
      <c r="Y26" s="1318">
        <f t="shared" ca="1" si="11"/>
        <v>6703.2930240172882</v>
      </c>
      <c r="Z26" s="1318">
        <f t="shared" ca="1" si="12"/>
        <v>8096.4219235944875</v>
      </c>
      <c r="AA26" s="1318">
        <f t="shared" ca="1" si="13"/>
        <v>9663.2311319982509</v>
      </c>
      <c r="AB26" s="1318">
        <f t="shared" ca="1" si="14"/>
        <v>11338.566432233665</v>
      </c>
      <c r="AC26" s="1319"/>
      <c r="AD26" s="1318">
        <f t="shared" si="15"/>
        <v>0</v>
      </c>
      <c r="AE26" s="1318">
        <f t="shared" si="16"/>
        <v>0</v>
      </c>
      <c r="AF26" s="1318">
        <f t="shared" si="17"/>
        <v>0</v>
      </c>
      <c r="AG26" s="1318">
        <f t="shared" si="18"/>
        <v>0</v>
      </c>
      <c r="AH26" s="1318">
        <f t="shared" si="19"/>
        <v>0</v>
      </c>
      <c r="AI26" s="1318">
        <f t="shared" si="20"/>
        <v>0</v>
      </c>
      <c r="AJ26" s="1318">
        <f t="shared" si="21"/>
        <v>0</v>
      </c>
      <c r="AK26" s="1318">
        <f t="shared" si="22"/>
        <v>0</v>
      </c>
      <c r="AL26" s="1318">
        <f t="shared" si="23"/>
        <v>0</v>
      </c>
      <c r="AM26" s="1318">
        <f t="shared" si="24"/>
        <v>0</v>
      </c>
      <c r="AN26" s="1319"/>
      <c r="AO26" s="1320">
        <f t="shared" ca="1" si="35"/>
        <v>0</v>
      </c>
      <c r="AP26" s="1320">
        <f t="shared" ca="1" si="25"/>
        <v>0</v>
      </c>
      <c r="AQ26" s="1320">
        <f t="shared" ca="1" si="26"/>
        <v>0</v>
      </c>
      <c r="AR26" s="1320">
        <f t="shared" ca="1" si="27"/>
        <v>0</v>
      </c>
      <c r="AS26" s="1320">
        <f t="shared" ca="1" si="28"/>
        <v>0</v>
      </c>
      <c r="AT26" s="1320">
        <f t="shared" ca="1" si="29"/>
        <v>0</v>
      </c>
      <c r="AU26" s="1320">
        <f t="shared" ca="1" si="30"/>
        <v>0</v>
      </c>
      <c r="AV26" s="1320">
        <f t="shared" ca="1" si="31"/>
        <v>0</v>
      </c>
      <c r="AW26" s="1320">
        <f t="shared" ca="1" si="32"/>
        <v>0</v>
      </c>
      <c r="AX26" s="1320">
        <f t="shared" ca="1" si="33"/>
        <v>0</v>
      </c>
      <c r="AY26" s="1315"/>
    </row>
    <row r="27" spans="2:51" s="605" customFormat="1" ht="15.75">
      <c r="B27" s="1284"/>
      <c r="C27" s="1296" t="s">
        <v>2154</v>
      </c>
      <c r="D27" s="368" t="s">
        <v>2170</v>
      </c>
      <c r="E27" s="368">
        <f ca="1">INDEX(INDIRECT("IV.a.Outputs["&amp;E$5&amp;"]"), MATCH("V.11", INDIRECT("IV.a.Outputs[Vector]"), 0))</f>
        <v>0</v>
      </c>
      <c r="F27" s="368">
        <f t="shared" ref="F27:N27" ca="1" si="55">INDEX(INDIRECT("IV.a.Outputs["&amp;F$5&amp;"]"), MATCH("V.11", INDIRECT("IV.a.Outputs[Vector]"), 0))</f>
        <v>0</v>
      </c>
      <c r="G27" s="368">
        <f t="shared" ca="1" si="55"/>
        <v>0.20202639475160969</v>
      </c>
      <c r="H27" s="368">
        <f t="shared" ca="1" si="55"/>
        <v>0.23479755278393905</v>
      </c>
      <c r="I27" s="368">
        <f t="shared" ca="1" si="55"/>
        <v>0.80246458490064865</v>
      </c>
      <c r="J27" s="368">
        <f t="shared" ca="1" si="55"/>
        <v>0.85035107226340734</v>
      </c>
      <c r="K27" s="368">
        <f t="shared" ca="1" si="55"/>
        <v>1.8569422309993817</v>
      </c>
      <c r="L27" s="368">
        <f t="shared" ca="1" si="55"/>
        <v>1.7981818784172785</v>
      </c>
      <c r="M27" s="368">
        <f t="shared" ca="1" si="55"/>
        <v>3.3657895406453329</v>
      </c>
      <c r="N27" s="368">
        <f t="shared" ca="1" si="55"/>
        <v>4.2587975180334565</v>
      </c>
      <c r="O27" s="1287"/>
      <c r="Q27" s="1312"/>
      <c r="R27" s="1296" t="s">
        <v>1871</v>
      </c>
      <c r="S27" s="1318">
        <f t="shared" ca="1" si="5"/>
        <v>1899.1797688959064</v>
      </c>
      <c r="T27" s="1318">
        <f t="shared" ca="1" si="6"/>
        <v>2498.0371269848065</v>
      </c>
      <c r="U27" s="1318">
        <f t="shared" ca="1" si="7"/>
        <v>3491.2712998017232</v>
      </c>
      <c r="V27" s="1318">
        <f t="shared" ca="1" si="8"/>
        <v>4985.5889036723602</v>
      </c>
      <c r="W27" s="1318">
        <f t="shared" ca="1" si="9"/>
        <v>6932.3138080644012</v>
      </c>
      <c r="X27" s="1318">
        <f t="shared" ca="1" si="10"/>
        <v>9590.6171802138197</v>
      </c>
      <c r="Y27" s="1318">
        <f t="shared" ca="1" si="11"/>
        <v>11980.686089119161</v>
      </c>
      <c r="Z27" s="1318">
        <f t="shared" ca="1" si="12"/>
        <v>14776.651954194609</v>
      </c>
      <c r="AA27" s="1318">
        <f t="shared" ca="1" si="13"/>
        <v>17326.620104582973</v>
      </c>
      <c r="AB27" s="1318">
        <f t="shared" ca="1" si="14"/>
        <v>20223.577437001615</v>
      </c>
      <c r="AC27" s="1319"/>
      <c r="AD27" s="1318">
        <f t="shared" ca="1" si="15"/>
        <v>1899.1797688959064</v>
      </c>
      <c r="AE27" s="1318">
        <f t="shared" ca="1" si="16"/>
        <v>2498.0371269848065</v>
      </c>
      <c r="AF27" s="1318">
        <f t="shared" ca="1" si="17"/>
        <v>3491.2712998017237</v>
      </c>
      <c r="AG27" s="1318">
        <f t="shared" ca="1" si="18"/>
        <v>4985.5889036723593</v>
      </c>
      <c r="AH27" s="1318">
        <f t="shared" ca="1" si="19"/>
        <v>6932.3138080643994</v>
      </c>
      <c r="AI27" s="1318">
        <f t="shared" ca="1" si="20"/>
        <v>9590.6171802138197</v>
      </c>
      <c r="AJ27" s="1318">
        <f t="shared" ca="1" si="21"/>
        <v>11980.686089119163</v>
      </c>
      <c r="AK27" s="1318">
        <f t="shared" ca="1" si="22"/>
        <v>14776.651954194609</v>
      </c>
      <c r="AL27" s="1318">
        <f t="shared" ca="1" si="23"/>
        <v>17326.620104582969</v>
      </c>
      <c r="AM27" s="1318">
        <f t="shared" ca="1" si="24"/>
        <v>20223.577437001619</v>
      </c>
      <c r="AN27" s="1319"/>
      <c r="AO27" s="1320">
        <f t="shared" ca="1" si="35"/>
        <v>0</v>
      </c>
      <c r="AP27" s="1320">
        <f t="shared" ca="1" si="25"/>
        <v>0</v>
      </c>
      <c r="AQ27" s="1320">
        <f t="shared" ca="1" si="26"/>
        <v>-4.5474735088646412E-13</v>
      </c>
      <c r="AR27" s="1320">
        <f t="shared" ca="1" si="27"/>
        <v>9.0949470177292824E-13</v>
      </c>
      <c r="AS27" s="1320">
        <f t="shared" ca="1" si="28"/>
        <v>1.8189894035458565E-12</v>
      </c>
      <c r="AT27" s="1320">
        <f t="shared" ca="1" si="29"/>
        <v>0</v>
      </c>
      <c r="AU27" s="1320">
        <f t="shared" ca="1" si="30"/>
        <v>-1.8189894035458565E-12</v>
      </c>
      <c r="AV27" s="1320">
        <f t="shared" ca="1" si="31"/>
        <v>0</v>
      </c>
      <c r="AW27" s="1320">
        <f t="shared" ca="1" si="32"/>
        <v>3.637978807091713E-12</v>
      </c>
      <c r="AX27" s="1320">
        <f t="shared" ca="1" si="33"/>
        <v>-3.637978807091713E-12</v>
      </c>
      <c r="AY27" s="1315"/>
    </row>
    <row r="28" spans="2:51" s="605" customFormat="1" ht="15.75">
      <c r="B28" s="1284"/>
      <c r="C28" s="1296" t="s">
        <v>2162</v>
      </c>
      <c r="D28" s="368" t="s">
        <v>2167</v>
      </c>
      <c r="E28" s="368">
        <f ca="1">INDEX(INDIRECT("VII.a.Outputs["&amp;E$5&amp;"]"), MATCH("V.02", INDIRECT("VII.a.Outputs[Vector]"), 0))</f>
        <v>1</v>
      </c>
      <c r="F28" s="368">
        <f t="shared" ref="F28:N28" ca="1" si="56">INDEX(INDIRECT("VII.a.Outputs["&amp;F$5&amp;"]"), MATCH("V.02", INDIRECT("VII.a.Outputs[Vector]"), 0))</f>
        <v>4</v>
      </c>
      <c r="G28" s="368">
        <f t="shared" ca="1" si="56"/>
        <v>14</v>
      </c>
      <c r="H28" s="368">
        <f t="shared" ca="1" si="56"/>
        <v>21</v>
      </c>
      <c r="I28" s="368">
        <f t="shared" ca="1" si="56"/>
        <v>31</v>
      </c>
      <c r="J28" s="368">
        <f t="shared" ca="1" si="56"/>
        <v>40</v>
      </c>
      <c r="K28" s="368">
        <f t="shared" ca="1" si="56"/>
        <v>49</v>
      </c>
      <c r="L28" s="368">
        <f t="shared" ca="1" si="56"/>
        <v>55</v>
      </c>
      <c r="M28" s="368">
        <f t="shared" ca="1" si="56"/>
        <v>55</v>
      </c>
      <c r="N28" s="368">
        <f t="shared" ca="1" si="56"/>
        <v>55</v>
      </c>
      <c r="O28" s="1287"/>
      <c r="Q28" s="1312"/>
      <c r="R28" s="1296" t="s">
        <v>2094</v>
      </c>
      <c r="S28" s="1318">
        <f t="shared" ca="1" si="5"/>
        <v>790.76970020552903</v>
      </c>
      <c r="T28" s="1318">
        <f t="shared" ca="1" si="6"/>
        <v>1032.7162873841003</v>
      </c>
      <c r="U28" s="1318">
        <f t="shared" ca="1" si="7"/>
        <v>1455.8968093122937</v>
      </c>
      <c r="V28" s="1318">
        <f t="shared" ca="1" si="8"/>
        <v>2063.9631330617644</v>
      </c>
      <c r="W28" s="1318">
        <f t="shared" ca="1" si="9"/>
        <v>2848.373832020111</v>
      </c>
      <c r="X28" s="1318">
        <f t="shared" ca="1" si="10"/>
        <v>3900.1234784047761</v>
      </c>
      <c r="Y28" s="1318">
        <f t="shared" ca="1" si="11"/>
        <v>4836.305519548242</v>
      </c>
      <c r="Z28" s="1318">
        <f t="shared" ca="1" si="12"/>
        <v>5893.1577805937686</v>
      </c>
      <c r="AA28" s="1318">
        <f t="shared" ca="1" si="13"/>
        <v>6837.7731648973158</v>
      </c>
      <c r="AB28" s="1318">
        <f t="shared" ca="1" si="14"/>
        <v>7907.6694446155825</v>
      </c>
      <c r="AC28" s="1319"/>
      <c r="AD28" s="1318">
        <f t="shared" ca="1" si="15"/>
        <v>790.76970020552903</v>
      </c>
      <c r="AE28" s="1318">
        <f t="shared" ca="1" si="16"/>
        <v>1032.7162873841003</v>
      </c>
      <c r="AF28" s="1318">
        <f t="shared" ca="1" si="17"/>
        <v>1455.8968093122935</v>
      </c>
      <c r="AG28" s="1318">
        <f t="shared" ca="1" si="18"/>
        <v>2063.9631330617644</v>
      </c>
      <c r="AH28" s="1318">
        <f t="shared" ca="1" si="19"/>
        <v>2848.373832020111</v>
      </c>
      <c r="AI28" s="1318">
        <f t="shared" ca="1" si="20"/>
        <v>3900.1234784047761</v>
      </c>
      <c r="AJ28" s="1318">
        <f t="shared" ca="1" si="21"/>
        <v>4836.305519548242</v>
      </c>
      <c r="AK28" s="1318">
        <f t="shared" ca="1" si="22"/>
        <v>5893.1577805937686</v>
      </c>
      <c r="AL28" s="1318">
        <f t="shared" ca="1" si="23"/>
        <v>6837.7731648973149</v>
      </c>
      <c r="AM28" s="1318">
        <f t="shared" ca="1" si="24"/>
        <v>7907.6694446155816</v>
      </c>
      <c r="AN28" s="1319"/>
      <c r="AO28" s="1320">
        <f t="shared" ca="1" si="35"/>
        <v>0</v>
      </c>
      <c r="AP28" s="1320">
        <f t="shared" ca="1" si="25"/>
        <v>0</v>
      </c>
      <c r="AQ28" s="1320">
        <f t="shared" ca="1" si="26"/>
        <v>2.2737367544323206E-13</v>
      </c>
      <c r="AR28" s="1320">
        <f t="shared" ca="1" si="27"/>
        <v>0</v>
      </c>
      <c r="AS28" s="1320">
        <f t="shared" ca="1" si="28"/>
        <v>0</v>
      </c>
      <c r="AT28" s="1320">
        <f t="shared" ca="1" si="29"/>
        <v>0</v>
      </c>
      <c r="AU28" s="1320">
        <f t="shared" ca="1" si="30"/>
        <v>0</v>
      </c>
      <c r="AV28" s="1320">
        <f t="shared" ca="1" si="31"/>
        <v>0</v>
      </c>
      <c r="AW28" s="1320">
        <f t="shared" ca="1" si="32"/>
        <v>9.0949470177292824E-13</v>
      </c>
      <c r="AX28" s="1320">
        <f t="shared" ca="1" si="33"/>
        <v>9.0949470177292824E-13</v>
      </c>
      <c r="AY28" s="1315"/>
    </row>
    <row r="29" spans="2:51" s="605" customFormat="1" ht="15.75">
      <c r="B29" s="1284"/>
      <c r="C29" s="1296" t="s">
        <v>2163</v>
      </c>
      <c r="D29" s="368" t="s">
        <v>2165</v>
      </c>
      <c r="E29" s="368">
        <f ca="1">INDEX(INDIRECT("V.e.Outputs["&amp;E$5&amp;"]"), MATCH("V.03", INDIRECT("V.e.Outputs[Vector]"), 0))</f>
        <v>937.23355555555554</v>
      </c>
      <c r="F29" s="368">
        <f t="shared" ref="F29:N29" ca="1" si="57">INDEX(INDIRECT("V.e.Outputs["&amp;F$5&amp;"]"), MATCH("V.03", INDIRECT("V.e.Outputs[Vector]"), 0))</f>
        <v>948.40980000000002</v>
      </c>
      <c r="G29" s="368">
        <f t="shared" ca="1" si="57"/>
        <v>947.50491464762865</v>
      </c>
      <c r="H29" s="368">
        <f t="shared" ca="1" si="57"/>
        <v>946.63986672306442</v>
      </c>
      <c r="I29" s="368">
        <f t="shared" ca="1" si="57"/>
        <v>945.81505619727227</v>
      </c>
      <c r="J29" s="368">
        <f t="shared" ca="1" si="57"/>
        <v>945.03088705695825</v>
      </c>
      <c r="K29" s="368">
        <f t="shared" ca="1" si="57"/>
        <v>944.28776734488724</v>
      </c>
      <c r="L29" s="368">
        <f t="shared" ca="1" si="57"/>
        <v>939.97345000000041</v>
      </c>
      <c r="M29" s="368">
        <f t="shared" ca="1" si="57"/>
        <v>935.10072500000024</v>
      </c>
      <c r="N29" s="368">
        <f t="shared" ca="1" si="57"/>
        <v>930.22800000000007</v>
      </c>
      <c r="O29" s="1287"/>
      <c r="Q29" s="1312"/>
      <c r="R29" s="1296" t="s">
        <v>2099</v>
      </c>
      <c r="S29" s="1318">
        <f t="shared" ca="1" si="5"/>
        <v>1.8782351383851339E-2</v>
      </c>
      <c r="T29" s="1318">
        <f t="shared" ca="1" si="6"/>
        <v>1.8835814608099886E-2</v>
      </c>
      <c r="U29" s="1318">
        <f t="shared" ca="1" si="7"/>
        <v>3.3534846536453375E-2</v>
      </c>
      <c r="V29" s="1318">
        <f t="shared" ca="1" si="8"/>
        <v>6.0794893445987486E-2</v>
      </c>
      <c r="W29" s="1318">
        <f t="shared" ca="1" si="9"/>
        <v>0.11024317342604743</v>
      </c>
      <c r="X29" s="1318">
        <f t="shared" ca="1" si="10"/>
        <v>0.20356103070805628</v>
      </c>
      <c r="Y29" s="1318">
        <f t="shared" ca="1" si="11"/>
        <v>0.2702004695738901</v>
      </c>
      <c r="Z29" s="1318">
        <f t="shared" ca="1" si="12"/>
        <v>0.35871092809590743</v>
      </c>
      <c r="AA29" s="1318">
        <f t="shared" ca="1" si="13"/>
        <v>0.38321313705787546</v>
      </c>
      <c r="AB29" s="1318">
        <f t="shared" ca="1" si="14"/>
        <v>0.40944569733879987</v>
      </c>
      <c r="AC29" s="1319"/>
      <c r="AD29" s="1318">
        <f t="shared" si="15"/>
        <v>0</v>
      </c>
      <c r="AE29" s="1318">
        <f t="shared" si="16"/>
        <v>0</v>
      </c>
      <c r="AF29" s="1318">
        <f t="shared" si="17"/>
        <v>0</v>
      </c>
      <c r="AG29" s="1318">
        <f t="shared" si="18"/>
        <v>0</v>
      </c>
      <c r="AH29" s="1318">
        <f t="shared" si="19"/>
        <v>0</v>
      </c>
      <c r="AI29" s="1318">
        <f t="shared" si="20"/>
        <v>0</v>
      </c>
      <c r="AJ29" s="1318">
        <f t="shared" si="21"/>
        <v>0</v>
      </c>
      <c r="AK29" s="1318">
        <f t="shared" si="22"/>
        <v>0</v>
      </c>
      <c r="AL29" s="1318">
        <f t="shared" si="23"/>
        <v>0</v>
      </c>
      <c r="AM29" s="1318">
        <f t="shared" si="24"/>
        <v>0</v>
      </c>
      <c r="AN29" s="1319"/>
      <c r="AO29" s="1320">
        <f t="shared" ca="1" si="35"/>
        <v>0</v>
      </c>
      <c r="AP29" s="1320">
        <f t="shared" ca="1" si="25"/>
        <v>0</v>
      </c>
      <c r="AQ29" s="1320">
        <f t="shared" ca="1" si="26"/>
        <v>0</v>
      </c>
      <c r="AR29" s="1320">
        <f t="shared" ca="1" si="27"/>
        <v>0</v>
      </c>
      <c r="AS29" s="1320">
        <f t="shared" ca="1" si="28"/>
        <v>0</v>
      </c>
      <c r="AT29" s="1320">
        <f t="shared" ca="1" si="29"/>
        <v>0</v>
      </c>
      <c r="AU29" s="1320">
        <f t="shared" ca="1" si="30"/>
        <v>0</v>
      </c>
      <c r="AV29" s="1320">
        <f t="shared" ca="1" si="31"/>
        <v>0</v>
      </c>
      <c r="AW29" s="1320">
        <f t="shared" ca="1" si="32"/>
        <v>0</v>
      </c>
      <c r="AX29" s="1320">
        <f t="shared" ca="1" si="33"/>
        <v>0</v>
      </c>
      <c r="AY29" s="1315"/>
    </row>
    <row r="30" spans="2:51" s="605" customFormat="1" ht="15.75">
      <c r="B30" s="1284"/>
      <c r="C30" s="1296" t="s">
        <v>2163</v>
      </c>
      <c r="D30" s="368" t="s">
        <v>2169</v>
      </c>
      <c r="E30" s="368">
        <f ca="1">INDEX(INDIRECT("V.b.Outputs["&amp;E$5&amp;"]"), MATCH("V.04", INDIRECT("V.b.Outputs[Vector]"), 0))</f>
        <v>0</v>
      </c>
      <c r="F30" s="368">
        <f t="shared" ref="F30:N30" ca="1" si="58">INDEX(INDIRECT("V.b.Outputs["&amp;F$5&amp;"]"), MATCH("V.04", INDIRECT("V.b.Outputs[Vector]"), 0))</f>
        <v>0.13142242804166665</v>
      </c>
      <c r="G30" s="368">
        <f t="shared" ca="1" si="58"/>
        <v>3.0140876139388606</v>
      </c>
      <c r="H30" s="368">
        <f t="shared" ca="1" si="58"/>
        <v>6.6403498055675261</v>
      </c>
      <c r="I30" s="368">
        <f t="shared" ca="1" si="58"/>
        <v>11.174550655547504</v>
      </c>
      <c r="J30" s="368">
        <f t="shared" ca="1" si="58"/>
        <v>16.858011722794185</v>
      </c>
      <c r="K30" s="368">
        <f t="shared" ca="1" si="58"/>
        <v>23.81237420320716</v>
      </c>
      <c r="L30" s="368">
        <f t="shared" ca="1" si="58"/>
        <v>32.28279205089418</v>
      </c>
      <c r="M30" s="368">
        <f t="shared" ca="1" si="58"/>
        <v>42.443260246537498</v>
      </c>
      <c r="N30" s="368">
        <f t="shared" ca="1" si="58"/>
        <v>54.656933937500007</v>
      </c>
      <c r="O30" s="1287"/>
      <c r="Q30" s="1312"/>
      <c r="R30" s="1296" t="s">
        <v>45</v>
      </c>
      <c r="S30" s="1318">
        <f t="shared" si="5"/>
        <v>0</v>
      </c>
      <c r="T30" s="1318">
        <f t="shared" si="6"/>
        <v>0</v>
      </c>
      <c r="U30" s="1318">
        <f t="shared" si="7"/>
        <v>0</v>
      </c>
      <c r="V30" s="1318">
        <f t="shared" si="8"/>
        <v>0</v>
      </c>
      <c r="W30" s="1318">
        <f t="shared" si="9"/>
        <v>0</v>
      </c>
      <c r="X30" s="1318">
        <f t="shared" si="10"/>
        <v>0</v>
      </c>
      <c r="Y30" s="1318">
        <f t="shared" si="11"/>
        <v>0</v>
      </c>
      <c r="Z30" s="1318">
        <f t="shared" si="12"/>
        <v>0</v>
      </c>
      <c r="AA30" s="1318">
        <f t="shared" si="13"/>
        <v>0</v>
      </c>
      <c r="AB30" s="1318">
        <f t="shared" si="14"/>
        <v>0</v>
      </c>
      <c r="AC30" s="1319"/>
      <c r="AD30" s="1318">
        <f t="shared" ca="1" si="15"/>
        <v>1414.6014244615933</v>
      </c>
      <c r="AE30" s="1318">
        <f t="shared" ca="1" si="16"/>
        <v>1849.6838020367879</v>
      </c>
      <c r="AF30" s="1318">
        <f t="shared" ca="1" si="17"/>
        <v>2579.5114983205494</v>
      </c>
      <c r="AG30" s="1318">
        <f t="shared" ca="1" si="18"/>
        <v>3599.2118133994127</v>
      </c>
      <c r="AH30" s="1318">
        <f t="shared" ca="1" si="19"/>
        <v>4912.5477053264394</v>
      </c>
      <c r="AI30" s="1318">
        <f t="shared" ca="1" si="20"/>
        <v>6696.9440834228426</v>
      </c>
      <c r="AJ30" s="1318">
        <f t="shared" ca="1" si="21"/>
        <v>8326.4814018475226</v>
      </c>
      <c r="AK30" s="1318">
        <f t="shared" ca="1" si="22"/>
        <v>10225.055188469509</v>
      </c>
      <c r="AL30" s="1318">
        <f t="shared" ca="1" si="23"/>
        <v>11979.488053879779</v>
      </c>
      <c r="AM30" s="1318">
        <f t="shared" ca="1" si="24"/>
        <v>13946.888193198269</v>
      </c>
      <c r="AN30" s="1319"/>
      <c r="AO30" s="1320">
        <f t="shared" ca="1" si="35"/>
        <v>0</v>
      </c>
      <c r="AP30" s="1320">
        <f t="shared" ca="1" si="25"/>
        <v>0</v>
      </c>
      <c r="AQ30" s="1320">
        <f t="shared" ca="1" si="26"/>
        <v>0</v>
      </c>
      <c r="AR30" s="1320">
        <f t="shared" ca="1" si="27"/>
        <v>0</v>
      </c>
      <c r="AS30" s="1320">
        <f t="shared" ca="1" si="28"/>
        <v>0</v>
      </c>
      <c r="AT30" s="1320">
        <f t="shared" ca="1" si="29"/>
        <v>0</v>
      </c>
      <c r="AU30" s="1320">
        <f t="shared" ca="1" si="30"/>
        <v>0</v>
      </c>
      <c r="AV30" s="1320">
        <f t="shared" ca="1" si="31"/>
        <v>0</v>
      </c>
      <c r="AW30" s="1320">
        <f t="shared" ca="1" si="32"/>
        <v>0</v>
      </c>
      <c r="AX30" s="1320">
        <f t="shared" ca="1" si="33"/>
        <v>0</v>
      </c>
      <c r="AY30" s="1315"/>
    </row>
    <row r="31" spans="2:51" s="605" customFormat="1" ht="15.75">
      <c r="B31" s="1284"/>
      <c r="C31" s="1296" t="s">
        <v>2163</v>
      </c>
      <c r="D31" s="368" t="s">
        <v>2164</v>
      </c>
      <c r="E31" s="368">
        <f ca="1">INDEX(INDIRECT("V.a.Outputs["&amp;E$5&amp;"]"), MATCH("V.05", INDIRECT("V.a.Outputs[Vector]"), 0))</f>
        <v>9.1777777777777771</v>
      </c>
      <c r="F31" s="368">
        <f t="shared" ref="F31:N31" ca="1" si="59">INDEX(INDIRECT("V.a.Outputs["&amp;F$5&amp;"]"), MATCH("V.05", INDIRECT("V.a.Outputs[Vector]"), 0))</f>
        <v>10.305777777777783</v>
      </c>
      <c r="G31" s="368">
        <f t="shared" ca="1" si="59"/>
        <v>11.346016666666671</v>
      </c>
      <c r="H31" s="368">
        <f t="shared" ca="1" si="59"/>
        <v>12.386255555555559</v>
      </c>
      <c r="I31" s="368">
        <f t="shared" ca="1" si="59"/>
        <v>13.426494444444447</v>
      </c>
      <c r="J31" s="368">
        <f t="shared" ca="1" si="59"/>
        <v>14.466733333333337</v>
      </c>
      <c r="K31" s="368">
        <f t="shared" ca="1" si="59"/>
        <v>14.832036478670412</v>
      </c>
      <c r="L31" s="368">
        <f t="shared" ca="1" si="59"/>
        <v>15.206563986198885</v>
      </c>
      <c r="M31" s="368">
        <f t="shared" ca="1" si="59"/>
        <v>15.590548782623422</v>
      </c>
      <c r="N31" s="368">
        <f t="shared" ca="1" si="59"/>
        <v>15.984229676339865</v>
      </c>
      <c r="O31" s="1287"/>
      <c r="Q31" s="1312"/>
      <c r="R31" s="1316" t="s">
        <v>14</v>
      </c>
      <c r="S31" s="1318">
        <f t="shared" ca="1" si="5"/>
        <v>459.5536449651816</v>
      </c>
      <c r="T31" s="1318">
        <f t="shared" ca="1" si="6"/>
        <v>618.30283989958025</v>
      </c>
      <c r="U31" s="1318">
        <f t="shared" ca="1" si="7"/>
        <v>965.72009615103366</v>
      </c>
      <c r="V31" s="1318">
        <f t="shared" ca="1" si="8"/>
        <v>1141.7756001054959</v>
      </c>
      <c r="W31" s="1318">
        <f t="shared" ca="1" si="9"/>
        <v>1319.792055969679</v>
      </c>
      <c r="X31" s="1318">
        <f t="shared" ca="1" si="10"/>
        <v>1539.0178781439586</v>
      </c>
      <c r="Y31" s="1318">
        <f t="shared" ca="1" si="11"/>
        <v>1786.5097353605968</v>
      </c>
      <c r="Z31" s="1318">
        <f t="shared" ca="1" si="12"/>
        <v>2061.8685662873277</v>
      </c>
      <c r="AA31" s="1318">
        <f t="shared" ca="1" si="13"/>
        <v>2361.9745777537682</v>
      </c>
      <c r="AB31" s="1318">
        <f t="shared" ca="1" si="14"/>
        <v>2698.6508558401615</v>
      </c>
      <c r="AC31" s="1319"/>
      <c r="AD31" s="1318">
        <f t="shared" ca="1" si="15"/>
        <v>459.55364496518166</v>
      </c>
      <c r="AE31" s="1318">
        <f t="shared" ca="1" si="16"/>
        <v>618.30283989958025</v>
      </c>
      <c r="AF31" s="1318">
        <f t="shared" ca="1" si="17"/>
        <v>965.72009615103354</v>
      </c>
      <c r="AG31" s="1318">
        <f t="shared" ca="1" si="18"/>
        <v>1141.7756001054959</v>
      </c>
      <c r="AH31" s="1318">
        <f t="shared" ca="1" si="19"/>
        <v>1319.792055969679</v>
      </c>
      <c r="AI31" s="1318">
        <f t="shared" ca="1" si="20"/>
        <v>1539.0178781439586</v>
      </c>
      <c r="AJ31" s="1318">
        <f t="shared" ca="1" si="21"/>
        <v>1786.5097353605966</v>
      </c>
      <c r="AK31" s="1318">
        <f t="shared" ca="1" si="22"/>
        <v>2061.8685662873281</v>
      </c>
      <c r="AL31" s="1318">
        <f t="shared" ca="1" si="23"/>
        <v>2361.9745777537687</v>
      </c>
      <c r="AM31" s="1318">
        <f t="shared" ca="1" si="24"/>
        <v>2698.6508558401615</v>
      </c>
      <c r="AN31" s="1319"/>
      <c r="AO31" s="1320">
        <f t="shared" ca="1" si="35"/>
        <v>-5.6843418860808015E-14</v>
      </c>
      <c r="AP31" s="1320">
        <f t="shared" ca="1" si="25"/>
        <v>0</v>
      </c>
      <c r="AQ31" s="1320">
        <f t="shared" ca="1" si="26"/>
        <v>1.1368683772161603E-13</v>
      </c>
      <c r="AR31" s="1320">
        <f t="shared" ca="1" si="27"/>
        <v>0</v>
      </c>
      <c r="AS31" s="1320">
        <f t="shared" ca="1" si="28"/>
        <v>0</v>
      </c>
      <c r="AT31" s="1320">
        <f t="shared" ca="1" si="29"/>
        <v>0</v>
      </c>
      <c r="AU31" s="1320">
        <f t="shared" ca="1" si="30"/>
        <v>2.2737367544323206E-13</v>
      </c>
      <c r="AV31" s="1320">
        <f t="shared" ca="1" si="31"/>
        <v>-4.5474735088646412E-13</v>
      </c>
      <c r="AW31" s="1320">
        <f t="shared" ca="1" si="32"/>
        <v>-4.5474735088646412E-13</v>
      </c>
      <c r="AX31" s="1320">
        <f t="shared" ca="1" si="33"/>
        <v>0</v>
      </c>
      <c r="AY31" s="1315"/>
    </row>
    <row r="32" spans="2:51" s="2555" customFormat="1" ht="15.75">
      <c r="B32" s="1284"/>
      <c r="C32" s="1296" t="s">
        <v>2164</v>
      </c>
      <c r="D32" s="368" t="s">
        <v>2166</v>
      </c>
      <c r="E32" s="368">
        <f ca="1">-INDEX(INDIRECT("I.a.Outputs["&amp;E$5&amp;"]"),MATCH("V.05",INDIRECT("I.a.Outputs[Vector]"),0))-INDEX(INDIRECT("I.c.Outputs["&amp;E$5&amp;"]"),MATCH("V.05",INDIRECT("I.c.Outputs[Vector]"),0))</f>
        <v>126.8156145541828</v>
      </c>
      <c r="F32" s="368">
        <f t="shared" ref="F32:N32" ca="1" si="60">-INDEX(INDIRECT("I.a.Outputs["&amp;F$5&amp;"]"),MATCH("V.05",INDIRECT("I.a.Outputs[Vector]"),0))-INDEX(INDIRECT("I.c.Outputs["&amp;F$5&amp;"]"),MATCH("V.05",INDIRECT("I.c.Outputs[Vector]"),0))</f>
        <v>191.37825000000001</v>
      </c>
      <c r="G32" s="368">
        <f t="shared" ca="1" si="60"/>
        <v>217.65793072663513</v>
      </c>
      <c r="H32" s="368">
        <f t="shared" ca="1" si="60"/>
        <v>217.65793072663513</v>
      </c>
      <c r="I32" s="368">
        <f t="shared" ca="1" si="60"/>
        <v>217.65793072663513</v>
      </c>
      <c r="J32" s="368">
        <f t="shared" ca="1" si="60"/>
        <v>217.65793072663513</v>
      </c>
      <c r="K32" s="368">
        <f t="shared" ca="1" si="60"/>
        <v>217.65793072663513</v>
      </c>
      <c r="L32" s="368">
        <f t="shared" ca="1" si="60"/>
        <v>217.65793072663513</v>
      </c>
      <c r="M32" s="368">
        <f t="shared" ca="1" si="60"/>
        <v>217.65793072663513</v>
      </c>
      <c r="N32" s="368">
        <f t="shared" ca="1" si="60"/>
        <v>217.65793072663513</v>
      </c>
      <c r="O32" s="1287"/>
      <c r="Q32" s="1312"/>
      <c r="R32" s="1316" t="s">
        <v>426</v>
      </c>
      <c r="S32" s="1318">
        <f t="shared" ca="1" si="5"/>
        <v>3253.4798011484613</v>
      </c>
      <c r="T32" s="1318">
        <f t="shared" ca="1" si="6"/>
        <v>4186.6587822140627</v>
      </c>
      <c r="U32" s="1318">
        <f t="shared" ca="1" si="7"/>
        <v>5440.2416760911592</v>
      </c>
      <c r="V32" s="1318">
        <f t="shared" ca="1" si="8"/>
        <v>7599.0050414244024</v>
      </c>
      <c r="W32" s="1318">
        <f t="shared" ca="1" si="9"/>
        <v>10283.250772451853</v>
      </c>
      <c r="X32" s="1318">
        <f t="shared" ca="1" si="10"/>
        <v>13752.901942267128</v>
      </c>
      <c r="Y32" s="1318">
        <f t="shared" ca="1" si="11"/>
        <v>16958.349070363496</v>
      </c>
      <c r="Z32" s="1318">
        <f t="shared" ca="1" si="12"/>
        <v>20459.946248371474</v>
      </c>
      <c r="AA32" s="1318">
        <f t="shared" ca="1" si="13"/>
        <v>23583.182597617426</v>
      </c>
      <c r="AB32" s="1318">
        <f t="shared" ca="1" si="14"/>
        <v>27066.994339922483</v>
      </c>
      <c r="AC32" s="1319"/>
      <c r="AD32" s="1318">
        <f t="shared" ca="1" si="15"/>
        <v>3253.4798011484609</v>
      </c>
      <c r="AE32" s="1318">
        <f t="shared" ca="1" si="16"/>
        <v>4186.6587822140627</v>
      </c>
      <c r="AF32" s="1318">
        <f t="shared" ca="1" si="17"/>
        <v>5440.2416760911601</v>
      </c>
      <c r="AG32" s="1318">
        <f t="shared" ca="1" si="18"/>
        <v>7599.0050414244033</v>
      </c>
      <c r="AH32" s="1318">
        <f t="shared" ca="1" si="19"/>
        <v>10283.250772451853</v>
      </c>
      <c r="AI32" s="1318">
        <f t="shared" ca="1" si="20"/>
        <v>13752.901942267128</v>
      </c>
      <c r="AJ32" s="1318">
        <f t="shared" ca="1" si="21"/>
        <v>16958.349070363496</v>
      </c>
      <c r="AK32" s="1318">
        <f t="shared" ca="1" si="22"/>
        <v>20459.946248371478</v>
      </c>
      <c r="AL32" s="1318">
        <f t="shared" ca="1" si="23"/>
        <v>23583.182597617422</v>
      </c>
      <c r="AM32" s="1318">
        <f t="shared" ca="1" si="24"/>
        <v>27066.994339922483</v>
      </c>
      <c r="AN32" s="1319"/>
      <c r="AO32" s="1320">
        <f t="shared" ca="1" si="35"/>
        <v>4.5474735088646412E-13</v>
      </c>
      <c r="AP32" s="1320">
        <f t="shared" ca="1" si="25"/>
        <v>0</v>
      </c>
      <c r="AQ32" s="1320">
        <f t="shared" ca="1" si="26"/>
        <v>-9.0949470177292824E-13</v>
      </c>
      <c r="AR32" s="1320">
        <f t="shared" ca="1" si="27"/>
        <v>-9.0949470177292824E-13</v>
      </c>
      <c r="AS32" s="1320">
        <f t="shared" ca="1" si="28"/>
        <v>0</v>
      </c>
      <c r="AT32" s="1320">
        <f t="shared" ca="1" si="29"/>
        <v>0</v>
      </c>
      <c r="AU32" s="1320">
        <f t="shared" ca="1" si="30"/>
        <v>0</v>
      </c>
      <c r="AV32" s="1320">
        <f t="shared" ca="1" si="31"/>
        <v>-3.637978807091713E-12</v>
      </c>
      <c r="AW32" s="1320">
        <f t="shared" ca="1" si="32"/>
        <v>3.637978807091713E-12</v>
      </c>
      <c r="AX32" s="1320">
        <f t="shared" ca="1" si="33"/>
        <v>0</v>
      </c>
      <c r="AY32" s="1315"/>
    </row>
    <row r="33" spans="2:51" s="2555" customFormat="1" ht="15.75">
      <c r="B33" s="1284"/>
      <c r="C33" s="1296" t="s">
        <v>2165</v>
      </c>
      <c r="D33" s="368" t="s">
        <v>2166</v>
      </c>
      <c r="E33" s="368">
        <f ca="1">-(INDEX(INDIRECT("I.b.Outputs["&amp;E$5&amp;"]"),MATCH("V.03",INDIRECT("I.b.Outputs[Vector]"),0))+INDEX(INDIRECT("I.c.Outputs["&amp;E$5&amp;"]"),MATCH("V.03",INDIRECT("I.c.Outputs[Vector]"),0))+INDEX(INDIRECT("I.d.Outputs["&amp;E$5&amp;"]"),MATCH("V.03",INDIRECT("I.d.Outputs[Vector]"),0))+INDEX(INDIRECT("V.a.Outputs["&amp;E$5&amp;"]"),MATCH("V.03",INDIRECT("V.a.Outputs[Vector]"),0)))</f>
        <v>1691.4164057702949</v>
      </c>
      <c r="F33" s="368">
        <f t="shared" ref="F33:N33" ca="1" si="61">-(INDEX(INDIRECT("I.b.Outputs["&amp;F$5&amp;"]"),MATCH("V.03",INDIRECT("I.b.Outputs[Vector]"),0))+INDEX(INDIRECT("I.c.Outputs["&amp;F$5&amp;"]"),MATCH("V.03",INDIRECT("I.c.Outputs[Vector]"),0))+INDEX(INDIRECT("I.d.Outputs["&amp;F$5&amp;"]"),MATCH("V.03",INDIRECT("I.d.Outputs[Vector]"),0))+INDEX(INDIRECT("V.a.Outputs["&amp;F$5&amp;"]"),MATCH("V.03",INDIRECT("V.a.Outputs[Vector]"),0)))</f>
        <v>2212.8877226990921</v>
      </c>
      <c r="G33" s="368">
        <f t="shared" ca="1" si="61"/>
        <v>3073.6483862179457</v>
      </c>
      <c r="H33" s="368">
        <f t="shared" ca="1" si="61"/>
        <v>4574.3776929457244</v>
      </c>
      <c r="I33" s="368">
        <f t="shared" ca="1" si="61"/>
        <v>6521.1025973377646</v>
      </c>
      <c r="J33" s="368">
        <f t="shared" ca="1" si="61"/>
        <v>9183.4132837728994</v>
      </c>
      <c r="K33" s="368">
        <f t="shared" ca="1" si="61"/>
        <v>11582.298284106813</v>
      </c>
      <c r="L33" s="368">
        <f t="shared" ca="1" si="61"/>
        <v>14382.672194896546</v>
      </c>
      <c r="M33" s="368">
        <f t="shared" ca="1" si="61"/>
        <v>16941.456436713477</v>
      </c>
      <c r="N33" s="368">
        <f t="shared" ca="1" si="61"/>
        <v>19838.413769132127</v>
      </c>
      <c r="O33" s="1287"/>
      <c r="Q33" s="1312"/>
      <c r="R33" s="1316" t="s">
        <v>112</v>
      </c>
      <c r="S33" s="1318">
        <f t="shared" ca="1" si="5"/>
        <v>1612.6260395924835</v>
      </c>
      <c r="T33" s="1318">
        <f t="shared" ca="1" si="6"/>
        <v>1909.7087024540383</v>
      </c>
      <c r="U33" s="1318">
        <f t="shared" ca="1" si="7"/>
        <v>2583.7554959644071</v>
      </c>
      <c r="V33" s="1318">
        <f t="shared" ca="1" si="8"/>
        <v>3467.7163690562143</v>
      </c>
      <c r="W33" s="1318">
        <f t="shared" ca="1" si="9"/>
        <v>4518.6468419481571</v>
      </c>
      <c r="X33" s="1318">
        <f t="shared" ca="1" si="10"/>
        <v>5750.3616647281506</v>
      </c>
      <c r="Y33" s="1318">
        <f t="shared" ca="1" si="11"/>
        <v>7128.790415891207</v>
      </c>
      <c r="Z33" s="1318">
        <f t="shared" ca="1" si="12"/>
        <v>8529.8349624959919</v>
      </c>
      <c r="AA33" s="1318">
        <f t="shared" ca="1" si="13"/>
        <v>10106.86427330349</v>
      </c>
      <c r="AB33" s="1318">
        <f t="shared" ca="1" si="14"/>
        <v>11795.111489126904</v>
      </c>
      <c r="AC33" s="1319"/>
      <c r="AD33" s="1318">
        <f t="shared" ca="1" si="15"/>
        <v>1612.6260395924837</v>
      </c>
      <c r="AE33" s="1318">
        <f t="shared" ca="1" si="16"/>
        <v>1909.7087024540383</v>
      </c>
      <c r="AF33" s="1318">
        <f t="shared" ca="1" si="17"/>
        <v>2583.7554959644071</v>
      </c>
      <c r="AG33" s="1318">
        <f t="shared" ca="1" si="18"/>
        <v>3467.7163690562143</v>
      </c>
      <c r="AH33" s="1318">
        <f t="shared" ca="1" si="19"/>
        <v>4518.646841948158</v>
      </c>
      <c r="AI33" s="1318">
        <f t="shared" ca="1" si="20"/>
        <v>5750.3616647281506</v>
      </c>
      <c r="AJ33" s="1318">
        <f t="shared" ca="1" si="21"/>
        <v>7128.790415891207</v>
      </c>
      <c r="AK33" s="1318">
        <f t="shared" ca="1" si="22"/>
        <v>8529.8349624959901</v>
      </c>
      <c r="AL33" s="1318">
        <f t="shared" ca="1" si="23"/>
        <v>10106.86427330349</v>
      </c>
      <c r="AM33" s="1318">
        <f t="shared" ca="1" si="24"/>
        <v>11795.111489126904</v>
      </c>
      <c r="AN33" s="1319"/>
      <c r="AO33" s="1320">
        <f t="shared" ca="1" si="35"/>
        <v>-2.2737367544323206E-13</v>
      </c>
      <c r="AP33" s="1320">
        <f t="shared" ca="1" si="25"/>
        <v>0</v>
      </c>
      <c r="AQ33" s="1320">
        <f t="shared" ca="1" si="26"/>
        <v>0</v>
      </c>
      <c r="AR33" s="1320">
        <f t="shared" ca="1" si="27"/>
        <v>0</v>
      </c>
      <c r="AS33" s="1320">
        <f t="shared" ca="1" si="28"/>
        <v>-9.0949470177292824E-13</v>
      </c>
      <c r="AT33" s="1320">
        <f t="shared" ca="1" si="29"/>
        <v>0</v>
      </c>
      <c r="AU33" s="1320">
        <f t="shared" ca="1" si="30"/>
        <v>0</v>
      </c>
      <c r="AV33" s="1320">
        <f t="shared" ca="1" si="31"/>
        <v>1.8189894035458565E-12</v>
      </c>
      <c r="AW33" s="1320">
        <f t="shared" ca="1" si="32"/>
        <v>0</v>
      </c>
      <c r="AX33" s="1320">
        <f t="shared" ca="1" si="33"/>
        <v>0</v>
      </c>
      <c r="AY33" s="1315"/>
    </row>
    <row r="34" spans="2:51" s="605" customFormat="1" ht="15.75">
      <c r="B34" s="1284"/>
      <c r="C34" s="1296" t="s">
        <v>2166</v>
      </c>
      <c r="D34" s="368" t="s">
        <v>2167</v>
      </c>
      <c r="E34" s="368">
        <f ca="1">INDEX(INDIRECT("I.b.Outputs["&amp;E$5&amp;"]"), MATCH("V.02", INDIRECT("I.b.Outputs[Vector]"), 0))+INDEX(INDIRECT("I.c.Outputs["&amp;E$5&amp;"]"), MATCH("V.02", INDIRECT("I.c.Outputs[Vector]"), 0))+INDEX(INDIRECT("I.d.Outputs["&amp;E$5&amp;"]"), MATCH("V.02", INDIRECT("I.d.Outputs[Vector]"), 0))+INDEX(INDIRECT("V.a.Outputs["&amp;E$5&amp;"]"), MATCH("V.02", INDIRECT("V.a.Outputs[Vector]"), 0))+INDEX(INDIRECT("VI.a.Outputs["&amp;E$5&amp;"]"), MATCH("V.02", INDIRECT("VI.a.Outputs[Vector]"), 0))+INDEX(INDIRECT("II.Outputs["&amp;E$5&amp;"]"), MATCH("V.02", INDIRECT("II.Outputs[Vector]"), 0))+INDEX(INDIRECT("I.a.Outputs["&amp;E$5&amp;"]"), MATCH("V.02", INDIRECT("I.a.Outputs[Vector]"), 0))</f>
        <v>648.82192254952906</v>
      </c>
      <c r="F34" s="368">
        <f t="shared" ref="F34:N34" ca="1" si="62">INDEX(INDIRECT("I.b.Outputs["&amp;F$5&amp;"]"), MATCH("V.02", INDIRECT("I.b.Outputs[Vector]"), 0))+INDEX(INDIRECT("I.c.Outputs["&amp;F$5&amp;"]"), MATCH("V.02", INDIRECT("I.c.Outputs[Vector]"), 0))+INDEX(INDIRECT("I.d.Outputs["&amp;F$5&amp;"]"), MATCH("V.02", INDIRECT("I.d.Outputs[Vector]"), 0))+INDEX(INDIRECT("V.a.Outputs["&amp;F$5&amp;"]"), MATCH("V.02", INDIRECT("V.a.Outputs[Vector]"), 0))+INDEX(INDIRECT("VI.a.Outputs["&amp;F$5&amp;"]"), MATCH("V.02", INDIRECT("VI.a.Outputs[Vector]"), 0))+INDEX(INDIRECT("II.Outputs["&amp;F$5&amp;"]"), MATCH("V.02", INDIRECT("II.Outputs[Vector]"), 0))+INDEX(INDIRECT("I.a.Outputs["&amp;F$5&amp;"]"), MATCH("V.02", INDIRECT("I.a.Outputs[Vector]"), 0))</f>
        <v>852.58290602290015</v>
      </c>
      <c r="G34" s="368">
        <f t="shared" ca="1" si="62"/>
        <v>1205.0769271450936</v>
      </c>
      <c r="H34" s="368">
        <f t="shared" ca="1" si="62"/>
        <v>1760.1142778795643</v>
      </c>
      <c r="I34" s="368">
        <f t="shared" ca="1" si="62"/>
        <v>2485.042975613911</v>
      </c>
      <c r="J34" s="368">
        <f t="shared" ca="1" si="62"/>
        <v>3467.6166179685761</v>
      </c>
      <c r="K34" s="368">
        <f t="shared" ca="1" si="62"/>
        <v>4350.1047303650421</v>
      </c>
      <c r="L34" s="368">
        <f t="shared" ca="1" si="62"/>
        <v>5374.4673070417684</v>
      </c>
      <c r="M34" s="368">
        <f t="shared" ca="1" si="62"/>
        <v>6311.6022077133148</v>
      </c>
      <c r="N34" s="368">
        <f t="shared" ca="1" si="62"/>
        <v>7394.6694024315821</v>
      </c>
      <c r="O34" s="1287"/>
      <c r="Q34" s="1312"/>
      <c r="R34" s="368" t="s">
        <v>1721</v>
      </c>
      <c r="S34" s="1318">
        <f t="shared" ca="1" si="5"/>
        <v>0</v>
      </c>
      <c r="T34" s="1318">
        <f t="shared" ca="1" si="6"/>
        <v>0</v>
      </c>
      <c r="U34" s="1318">
        <f t="shared" ca="1" si="7"/>
        <v>0.20202639475160969</v>
      </c>
      <c r="V34" s="1318">
        <f t="shared" ca="1" si="8"/>
        <v>0.23479755278393905</v>
      </c>
      <c r="W34" s="1318">
        <f t="shared" ca="1" si="9"/>
        <v>0.80246458490064865</v>
      </c>
      <c r="X34" s="1318">
        <f t="shared" ca="1" si="10"/>
        <v>0.85035107226340734</v>
      </c>
      <c r="Y34" s="1318">
        <f t="shared" ca="1" si="11"/>
        <v>1.8569422309993817</v>
      </c>
      <c r="Z34" s="1318">
        <f t="shared" ca="1" si="12"/>
        <v>1.7981818784172785</v>
      </c>
      <c r="AA34" s="1318">
        <f t="shared" ca="1" si="13"/>
        <v>3.3657895406453329</v>
      </c>
      <c r="AB34" s="1318">
        <f t="shared" ca="1" si="14"/>
        <v>4.2587975180334565</v>
      </c>
      <c r="AC34" s="1319"/>
      <c r="AD34" s="1318">
        <f t="shared" ca="1" si="15"/>
        <v>0</v>
      </c>
      <c r="AE34" s="1318">
        <f t="shared" ca="1" si="16"/>
        <v>0</v>
      </c>
      <c r="AF34" s="1318">
        <f t="shared" ca="1" si="17"/>
        <v>0.20202639475160969</v>
      </c>
      <c r="AG34" s="1318">
        <f t="shared" ca="1" si="18"/>
        <v>0.23479755278393905</v>
      </c>
      <c r="AH34" s="1318">
        <f t="shared" ca="1" si="19"/>
        <v>0.80246458490064865</v>
      </c>
      <c r="AI34" s="1318">
        <f t="shared" ca="1" si="20"/>
        <v>0.85035107226340734</v>
      </c>
      <c r="AJ34" s="1318">
        <f t="shared" ca="1" si="21"/>
        <v>1.8569422309993817</v>
      </c>
      <c r="AK34" s="1318">
        <f t="shared" ca="1" si="22"/>
        <v>1.7981818784172785</v>
      </c>
      <c r="AL34" s="1318">
        <f t="shared" ca="1" si="23"/>
        <v>3.3657895406453329</v>
      </c>
      <c r="AM34" s="1318">
        <f t="shared" ca="1" si="24"/>
        <v>4.2587975180334565</v>
      </c>
      <c r="AN34" s="1319"/>
      <c r="AO34" s="1320">
        <f t="shared" ca="1" si="35"/>
        <v>0</v>
      </c>
      <c r="AP34" s="1320">
        <f t="shared" ca="1" si="25"/>
        <v>0</v>
      </c>
      <c r="AQ34" s="1320">
        <f t="shared" ca="1" si="26"/>
        <v>0</v>
      </c>
      <c r="AR34" s="1320">
        <f t="shared" ca="1" si="27"/>
        <v>0</v>
      </c>
      <c r="AS34" s="1320">
        <f t="shared" ca="1" si="28"/>
        <v>0</v>
      </c>
      <c r="AT34" s="1320">
        <f t="shared" ca="1" si="29"/>
        <v>0</v>
      </c>
      <c r="AU34" s="1320">
        <f t="shared" ca="1" si="30"/>
        <v>0</v>
      </c>
      <c r="AV34" s="1320">
        <f t="shared" ca="1" si="31"/>
        <v>0</v>
      </c>
      <c r="AW34" s="1320">
        <f t="shared" ca="1" si="32"/>
        <v>0</v>
      </c>
      <c r="AX34" s="1320">
        <f t="shared" ca="1" si="33"/>
        <v>0</v>
      </c>
      <c r="AY34" s="1315"/>
    </row>
    <row r="35" spans="2:51" s="605" customFormat="1" ht="15.75">
      <c r="B35" s="1284"/>
      <c r="C35" s="1296" t="s">
        <v>2166</v>
      </c>
      <c r="D35" s="368" t="s">
        <v>2174</v>
      </c>
      <c r="E35" s="368">
        <f ca="1">INDEX(INDIRECT("I.b.Outputs["&amp;E$5&amp;"]"), MATCH("X.01", INDIRECT("I.b.Outputs[Vector]"), 0))+INDEX(INDIRECT("I.c.Outputs["&amp;E$5&amp;"]"), MATCH("X.01", INDIRECT("I.c.Outputs[Vector]"), 0))+INDEX(INDIRECT("I.d.Outputs["&amp;E$5&amp;"]"), MATCH("X.01", INDIRECT("I.d.Outputs[Vector]"), 0))+INDEX(INDIRECT("V.a.Outputs["&amp;E$5&amp;"]"), MATCH("X.01", INDIRECT("V.a.Outputs[Vector]"), 0))+INDEX(INDIRECT("VI.a.Outputs["&amp;E$5&amp;"]"), MATCH("X.01", INDIRECT("VI.a.Outputs[Vector]"), 0))+INDEX(INDIRECT("II.Outputs["&amp;E$5&amp;"]"), MATCH("X.01", INDIRECT("II.Outputs[Vector]"), 0))+INDEX(INDIRECT("I.a.Outputs["&amp;E$5&amp;"]"), MATCH("X.01", INDIRECT("I.a.Outputs[Vector]"), 0))+INDEX(INDIRECT("I.b.Outputs["&amp;E$5&amp;"]"), MATCH("X.02", INDIRECT("I.b.Outputs[Vector]"), 0))+INDEX(INDIRECT("I.c.Outputs["&amp;E$5&amp;"]"), MATCH("X.02", INDIRECT("I.c.Outputs[Vector]"), 0))+INDEX(INDIRECT("I.d.Outputs["&amp;E$5&amp;"]"), MATCH("X.02", INDIRECT("I.d.Outputs[Vector]"), 0))+INDEX(INDIRECT("II.Outputs["&amp;E$5&amp;"]"), MATCH("X.02", INDIRECT("II.Outputs[Vector]"), 0))</f>
        <v>1250.3578463463773</v>
      </c>
      <c r="F35" s="368">
        <f t="shared" ref="F35:N35" ca="1" si="63">INDEX(INDIRECT("I.b.Outputs["&amp;F$5&amp;"]"), MATCH("X.01", INDIRECT("I.b.Outputs[Vector]"), 0))+INDEX(INDIRECT("I.c.Outputs["&amp;F$5&amp;"]"), MATCH("X.01", INDIRECT("I.c.Outputs[Vector]"), 0))+INDEX(INDIRECT("I.d.Outputs["&amp;F$5&amp;"]"), MATCH("X.01", INDIRECT("I.d.Outputs[Vector]"), 0))+INDEX(INDIRECT("V.a.Outputs["&amp;F$5&amp;"]"), MATCH("X.01", INDIRECT("V.a.Outputs[Vector]"), 0))+INDEX(INDIRECT("VI.a.Outputs["&amp;F$5&amp;"]"), MATCH("X.01", INDIRECT("VI.a.Outputs[Vector]"), 0))+INDEX(INDIRECT("II.Outputs["&amp;F$5&amp;"]"), MATCH("X.01", INDIRECT("II.Outputs[Vector]"), 0))+INDEX(INDIRECT("I.a.Outputs["&amp;F$5&amp;"]"), MATCH("X.01", INDIRECT("I.a.Outputs[Vector]"), 0))+INDEX(INDIRECT("I.b.Outputs["&amp;F$5&amp;"]"), MATCH("X.02", INDIRECT("I.b.Outputs[Vector]"), 0))+INDEX(INDIRECT("I.c.Outputs["&amp;F$5&amp;"]"), MATCH("X.02", INDIRECT("I.c.Outputs[Vector]"), 0))+INDEX(INDIRECT("I.d.Outputs["&amp;F$5&amp;"]"), MATCH("X.02", INDIRECT("I.d.Outputs[Vector]"), 0))+INDEX(INDIRECT("II.Outputs["&amp;F$5&amp;"]"), MATCH("X.02", INDIRECT("II.Outputs[Vector]"), 0))</f>
        <v>1645.4542209619062</v>
      </c>
      <c r="G35" s="368">
        <f t="shared" ca="1" si="63"/>
        <v>2286.1943726566296</v>
      </c>
      <c r="H35" s="368">
        <f t="shared" ca="1" si="63"/>
        <v>3225.4746257927955</v>
      </c>
      <c r="I35" s="368">
        <f t="shared" ca="1" si="63"/>
        <v>4447.2708324504902</v>
      </c>
      <c r="J35" s="368">
        <f t="shared" ca="1" si="63"/>
        <v>6123.0005622452427</v>
      </c>
      <c r="K35" s="368">
        <f t="shared" ca="1" si="63"/>
        <v>7630.5813587541197</v>
      </c>
      <c r="L35" s="368">
        <f t="shared" ca="1" si="63"/>
        <v>9402.1846471528406</v>
      </c>
      <c r="M35" s="368">
        <f t="shared" ca="1" si="63"/>
        <v>11015.017896869658</v>
      </c>
      <c r="N35" s="368">
        <f t="shared" ca="1" si="63"/>
        <v>12828.908034570035</v>
      </c>
      <c r="O35" s="1287"/>
      <c r="Q35" s="1312"/>
      <c r="R35" s="368" t="s">
        <v>2100</v>
      </c>
      <c r="S35" s="1318">
        <f t="shared" si="5"/>
        <v>0</v>
      </c>
      <c r="T35" s="1318">
        <f t="shared" si="6"/>
        <v>0</v>
      </c>
      <c r="U35" s="1318">
        <f t="shared" si="7"/>
        <v>0</v>
      </c>
      <c r="V35" s="1318">
        <f t="shared" si="8"/>
        <v>0</v>
      </c>
      <c r="W35" s="1318">
        <f t="shared" si="9"/>
        <v>0</v>
      </c>
      <c r="X35" s="1318">
        <f t="shared" si="10"/>
        <v>0</v>
      </c>
      <c r="Y35" s="1318">
        <f t="shared" si="11"/>
        <v>0</v>
      </c>
      <c r="Z35" s="1318">
        <f t="shared" si="12"/>
        <v>0</v>
      </c>
      <c r="AA35" s="1318">
        <f t="shared" si="13"/>
        <v>0</v>
      </c>
      <c r="AB35" s="1318">
        <f t="shared" si="14"/>
        <v>0</v>
      </c>
      <c r="AC35" s="1319"/>
      <c r="AD35" s="1318">
        <f t="shared" ca="1" si="15"/>
        <v>0</v>
      </c>
      <c r="AE35" s="1318">
        <f t="shared" ca="1" si="16"/>
        <v>0</v>
      </c>
      <c r="AF35" s="1318">
        <f t="shared" ca="1" si="17"/>
        <v>0</v>
      </c>
      <c r="AG35" s="1318">
        <f t="shared" ca="1" si="18"/>
        <v>0</v>
      </c>
      <c r="AH35" s="1318">
        <f t="shared" ca="1" si="19"/>
        <v>4.5474735088646412E-13</v>
      </c>
      <c r="AI35" s="1318">
        <f t="shared" ca="1" si="20"/>
        <v>4.5474735088646412E-13</v>
      </c>
      <c r="AJ35" s="1318">
        <f t="shared" ca="1" si="21"/>
        <v>0</v>
      </c>
      <c r="AK35" s="1318">
        <f t="shared" ca="1" si="22"/>
        <v>0</v>
      </c>
      <c r="AL35" s="1318">
        <f t="shared" ca="1" si="23"/>
        <v>0</v>
      </c>
      <c r="AM35" s="1318">
        <f t="shared" ca="1" si="24"/>
        <v>0</v>
      </c>
      <c r="AN35" s="1319"/>
      <c r="AO35" s="1320">
        <f t="shared" ca="1" si="35"/>
        <v>0</v>
      </c>
      <c r="AP35" s="1320">
        <f t="shared" ca="1" si="25"/>
        <v>0</v>
      </c>
      <c r="AQ35" s="1320">
        <f t="shared" ca="1" si="26"/>
        <v>0</v>
      </c>
      <c r="AR35" s="1320">
        <f t="shared" ca="1" si="27"/>
        <v>0</v>
      </c>
      <c r="AS35" s="1320">
        <f t="shared" ca="1" si="28"/>
        <v>0</v>
      </c>
      <c r="AT35" s="1320">
        <f t="shared" ca="1" si="29"/>
        <v>0</v>
      </c>
      <c r="AU35" s="1320">
        <f t="shared" ca="1" si="30"/>
        <v>0</v>
      </c>
      <c r="AV35" s="1320">
        <f t="shared" ca="1" si="31"/>
        <v>0</v>
      </c>
      <c r="AW35" s="1320">
        <f t="shared" ca="1" si="32"/>
        <v>0</v>
      </c>
      <c r="AX35" s="1320">
        <f t="shared" ca="1" si="33"/>
        <v>0</v>
      </c>
      <c r="AY35" s="1315"/>
    </row>
    <row r="36" spans="2:51" s="605" customFormat="1" ht="15.75">
      <c r="B36" s="1284"/>
      <c r="C36" s="1296" t="s">
        <v>2167</v>
      </c>
      <c r="D36" s="3185" t="s">
        <v>2458</v>
      </c>
      <c r="E36" s="368">
        <f ca="1">-INDEX(INDIRECT("VII.b.Outputs["&amp;E$5&amp;"]"), MATCH("V.02", INDIRECT("VII.b.Outputs[Vector]"), 0))</f>
        <v>195.08288504070401</v>
      </c>
      <c r="F36" s="368">
        <f t="shared" ref="F36:N36" ca="1" si="64">-INDEX(INDIRECT("VII.b.Outputs["&amp;F$5&amp;"]"), MATCH("V.02", INDIRECT("VII.b.Outputs[Vector]"), 0))</f>
        <v>234.32332560745226</v>
      </c>
      <c r="G36" s="368">
        <f t="shared" ca="1" si="64"/>
        <v>313.04693193832941</v>
      </c>
      <c r="H36" s="368">
        <f t="shared" ca="1" si="64"/>
        <v>423.93802753088653</v>
      </c>
      <c r="I36" s="368">
        <f t="shared" ca="1" si="64"/>
        <v>557.71159630953753</v>
      </c>
      <c r="J36" s="368">
        <f t="shared" ca="1" si="64"/>
        <v>729.63510033996545</v>
      </c>
      <c r="K36" s="368">
        <f t="shared" ca="1" si="64"/>
        <v>865.89214021991711</v>
      </c>
      <c r="L36" s="368">
        <f t="shared" ca="1" si="64"/>
        <v>978.85350735662541</v>
      </c>
      <c r="M36" s="368">
        <f t="shared" ca="1" si="64"/>
        <v>1090.2145534112278</v>
      </c>
      <c r="N36" s="368">
        <f t="shared" ca="1" si="64"/>
        <v>1227.112144415446</v>
      </c>
      <c r="O36" s="1287"/>
      <c r="Q36" s="1312"/>
      <c r="R36" s="1316" t="s">
        <v>102</v>
      </c>
      <c r="S36" s="1318">
        <f t="shared" ca="1" si="5"/>
        <v>2316.2462455929053</v>
      </c>
      <c r="T36" s="1318">
        <f t="shared" ca="1" si="6"/>
        <v>3238.2489822140624</v>
      </c>
      <c r="U36" s="1318">
        <f t="shared" ca="1" si="7"/>
        <v>4492.7367614435316</v>
      </c>
      <c r="V36" s="1318">
        <f t="shared" ca="1" si="8"/>
        <v>6652.3651747013391</v>
      </c>
      <c r="W36" s="1318">
        <f t="shared" ca="1" si="9"/>
        <v>9337.4357162545803</v>
      </c>
      <c r="X36" s="1318">
        <f t="shared" ca="1" si="10"/>
        <v>12807.871055210169</v>
      </c>
      <c r="Y36" s="1318">
        <f t="shared" ca="1" si="11"/>
        <v>16014.06130301861</v>
      </c>
      <c r="Z36" s="1318">
        <f t="shared" ca="1" si="12"/>
        <v>19519.972798371477</v>
      </c>
      <c r="AA36" s="1318">
        <f t="shared" ca="1" si="13"/>
        <v>22648.081872617422</v>
      </c>
      <c r="AB36" s="1318">
        <f t="shared" ca="1" si="14"/>
        <v>26136.766339922484</v>
      </c>
      <c r="AC36" s="1319"/>
      <c r="AD36" s="1318">
        <f t="shared" ca="1" si="15"/>
        <v>2316.2462455929053</v>
      </c>
      <c r="AE36" s="1318">
        <f t="shared" ca="1" si="16"/>
        <v>3238.2489822140624</v>
      </c>
      <c r="AF36" s="1318">
        <f t="shared" ca="1" si="17"/>
        <v>4492.7367614435316</v>
      </c>
      <c r="AG36" s="1318">
        <f t="shared" ca="1" si="18"/>
        <v>6652.3651747013391</v>
      </c>
      <c r="AH36" s="1318">
        <f t="shared" ca="1" si="19"/>
        <v>9337.4357162545803</v>
      </c>
      <c r="AI36" s="1318">
        <f t="shared" ca="1" si="20"/>
        <v>12807.871055210169</v>
      </c>
      <c r="AJ36" s="1318">
        <f t="shared" ca="1" si="21"/>
        <v>16014.06130301861</v>
      </c>
      <c r="AK36" s="1318">
        <f t="shared" ca="1" si="22"/>
        <v>19519.972798371477</v>
      </c>
      <c r="AL36" s="1318">
        <f t="shared" ca="1" si="23"/>
        <v>22648.081872617422</v>
      </c>
      <c r="AM36" s="1318">
        <f t="shared" ca="1" si="24"/>
        <v>26136.766339922484</v>
      </c>
      <c r="AN36" s="1319"/>
      <c r="AO36" s="1320">
        <f t="shared" ca="1" si="35"/>
        <v>0</v>
      </c>
      <c r="AP36" s="1320">
        <f t="shared" ca="1" si="25"/>
        <v>0</v>
      </c>
      <c r="AQ36" s="1320">
        <f t="shared" ca="1" si="26"/>
        <v>0</v>
      </c>
      <c r="AR36" s="1320">
        <f t="shared" ca="1" si="27"/>
        <v>0</v>
      </c>
      <c r="AS36" s="1320">
        <f t="shared" ca="1" si="28"/>
        <v>0</v>
      </c>
      <c r="AT36" s="1320">
        <f t="shared" ca="1" si="29"/>
        <v>0</v>
      </c>
      <c r="AU36" s="1320">
        <f t="shared" ca="1" si="30"/>
        <v>0</v>
      </c>
      <c r="AV36" s="1320">
        <f t="shared" ca="1" si="31"/>
        <v>0</v>
      </c>
      <c r="AW36" s="1320">
        <f t="shared" ca="1" si="32"/>
        <v>0</v>
      </c>
      <c r="AX36" s="1320">
        <f t="shared" ca="1" si="33"/>
        <v>0</v>
      </c>
      <c r="AY36" s="1315"/>
    </row>
    <row r="37" spans="2:51" s="605" customFormat="1" ht="15.75">
      <c r="B37" s="1284"/>
      <c r="C37" s="1296" t="s">
        <v>2167</v>
      </c>
      <c r="D37" s="368" t="s">
        <v>2175</v>
      </c>
      <c r="E37" s="368">
        <f ca="1">-INDEX(INDIRECT("XII.a.Outputs["&amp;E$5&amp;"]"), MATCH("V.01", INDIRECT("XII.a.Outputs[Vector]"), 0))</f>
        <v>7.8045578920344294</v>
      </c>
      <c r="F37" s="368">
        <f t="shared" ref="F37:N37" ca="1" si="65">-INDEX(INDIRECT("XII.a.Outputs["&amp;F$5&amp;"]"), MATCH("V.01", INDIRECT("XII.a.Outputs[Vector]"), 0))</f>
        <v>7.8045578920344294</v>
      </c>
      <c r="G37" s="368">
        <f t="shared" ca="1" si="65"/>
        <v>9.9812057374247392</v>
      </c>
      <c r="H37" s="368">
        <f t="shared" ca="1" si="65"/>
        <v>12.677744583468431</v>
      </c>
      <c r="I37" s="368">
        <f t="shared" ca="1" si="65"/>
        <v>15.183119042462815</v>
      </c>
      <c r="J37" s="368">
        <f t="shared" ca="1" si="65"/>
        <v>17.97800145980359</v>
      </c>
      <c r="K37" s="368">
        <f t="shared" ca="1" si="65"/>
        <v>20.996398618954622</v>
      </c>
      <c r="L37" s="368">
        <f t="shared" ca="1" si="65"/>
        <v>23.918000610343412</v>
      </c>
      <c r="M37" s="368">
        <f t="shared" ca="1" si="65"/>
        <v>26.470016839940651</v>
      </c>
      <c r="N37" s="368">
        <f t="shared" ca="1" si="65"/>
        <v>28.239990009727272</v>
      </c>
      <c r="O37" s="1287"/>
      <c r="Q37" s="1312"/>
      <c r="R37" s="1316" t="s">
        <v>110</v>
      </c>
      <c r="S37" s="1318">
        <f t="shared" ca="1" si="5"/>
        <v>1612.6260395924837</v>
      </c>
      <c r="T37" s="1318">
        <f t="shared" ca="1" si="6"/>
        <v>1909.5772800259967</v>
      </c>
      <c r="U37" s="1318">
        <f t="shared" ca="1" si="7"/>
        <v>2580.7414083504682</v>
      </c>
      <c r="V37" s="1318">
        <f t="shared" ca="1" si="8"/>
        <v>3461.0760192506468</v>
      </c>
      <c r="W37" s="1318">
        <f t="shared" ca="1" si="9"/>
        <v>4507.4722912926109</v>
      </c>
      <c r="X37" s="1318">
        <f t="shared" ca="1" si="10"/>
        <v>5733.5036530053567</v>
      </c>
      <c r="Y37" s="1318">
        <f t="shared" ca="1" si="11"/>
        <v>7104.9780416879994</v>
      </c>
      <c r="Z37" s="1318">
        <f t="shared" ca="1" si="12"/>
        <v>8497.5521704450966</v>
      </c>
      <c r="AA37" s="1318">
        <f t="shared" ca="1" si="13"/>
        <v>10064.421013056954</v>
      </c>
      <c r="AB37" s="1318">
        <f t="shared" ca="1" si="14"/>
        <v>11740.454555189404</v>
      </c>
      <c r="AC37" s="1319"/>
      <c r="AD37" s="1318">
        <f t="shared" ca="1" si="15"/>
        <v>1612.6260395924837</v>
      </c>
      <c r="AE37" s="1318">
        <f t="shared" ca="1" si="16"/>
        <v>1909.5772800259967</v>
      </c>
      <c r="AF37" s="1318">
        <f t="shared" ca="1" si="17"/>
        <v>2580.7414083504682</v>
      </c>
      <c r="AG37" s="1318">
        <f t="shared" ca="1" si="18"/>
        <v>3461.0760192506468</v>
      </c>
      <c r="AH37" s="1318">
        <f t="shared" ca="1" si="19"/>
        <v>4507.4722912926109</v>
      </c>
      <c r="AI37" s="1318">
        <f t="shared" ca="1" si="20"/>
        <v>5733.5036530053567</v>
      </c>
      <c r="AJ37" s="1318">
        <f t="shared" ca="1" si="21"/>
        <v>7104.9780416879994</v>
      </c>
      <c r="AK37" s="1318">
        <f t="shared" ca="1" si="22"/>
        <v>8497.5521704450966</v>
      </c>
      <c r="AL37" s="1318">
        <f t="shared" ca="1" si="23"/>
        <v>10064.421013056954</v>
      </c>
      <c r="AM37" s="1318">
        <f t="shared" ca="1" si="24"/>
        <v>11740.454555189404</v>
      </c>
      <c r="AN37" s="1319"/>
      <c r="AO37" s="1320">
        <f t="shared" ca="1" si="35"/>
        <v>0</v>
      </c>
      <c r="AP37" s="1320">
        <f t="shared" ca="1" si="25"/>
        <v>0</v>
      </c>
      <c r="AQ37" s="1320">
        <f t="shared" ca="1" si="26"/>
        <v>0</v>
      </c>
      <c r="AR37" s="1320">
        <f t="shared" ca="1" si="27"/>
        <v>0</v>
      </c>
      <c r="AS37" s="1320">
        <f t="shared" ca="1" si="28"/>
        <v>0</v>
      </c>
      <c r="AT37" s="1320">
        <f t="shared" ca="1" si="29"/>
        <v>0</v>
      </c>
      <c r="AU37" s="1320">
        <f t="shared" ca="1" si="30"/>
        <v>0</v>
      </c>
      <c r="AV37" s="1320">
        <f t="shared" ca="1" si="31"/>
        <v>0</v>
      </c>
      <c r="AW37" s="1320">
        <f t="shared" ca="1" si="32"/>
        <v>0</v>
      </c>
      <c r="AX37" s="1320">
        <f t="shared" ca="1" si="33"/>
        <v>0</v>
      </c>
      <c r="AY37" s="1315"/>
    </row>
    <row r="38" spans="2:51" s="605" customFormat="1" ht="15.75">
      <c r="B38" s="1284"/>
      <c r="C38" s="1296" t="s">
        <v>2167</v>
      </c>
      <c r="D38" s="368" t="s">
        <v>2176</v>
      </c>
      <c r="E38" s="368">
        <f ca="1">-INDEX(INDIRECT("XII.b.Outputs["&amp;E$5&amp;"]"), MATCH("V.01", INDIRECT("XII.b.Outputs[Vector]"), 0))</f>
        <v>6.3710415000000058</v>
      </c>
      <c r="F38" s="368">
        <f t="shared" ref="F38:N38" ca="1" si="66">-INDEX(INDIRECT("XII.b.Outputs["&amp;F$5&amp;"]"), MATCH("V.01", INDIRECT("XII.b.Outputs[Vector]"), 0))</f>
        <v>6.3710415000000058</v>
      </c>
      <c r="G38" s="368">
        <f t="shared" ca="1" si="66"/>
        <v>9.4068797025169406</v>
      </c>
      <c r="H38" s="368">
        <f t="shared" ca="1" si="66"/>
        <v>13.140797584316113</v>
      </c>
      <c r="I38" s="368">
        <f t="shared" ca="1" si="66"/>
        <v>17.610110958084224</v>
      </c>
      <c r="J38" s="368">
        <f t="shared" ca="1" si="66"/>
        <v>22.892634286083435</v>
      </c>
      <c r="K38" s="368">
        <f t="shared" ca="1" si="66"/>
        <v>28.404926019576415</v>
      </c>
      <c r="L38" s="368">
        <f t="shared" ca="1" si="66"/>
        <v>30.876418737637415</v>
      </c>
      <c r="M38" s="368">
        <f t="shared" ca="1" si="66"/>
        <v>33.484784986368169</v>
      </c>
      <c r="N38" s="368">
        <f t="shared" ca="1" si="66"/>
        <v>35.946658228245852</v>
      </c>
      <c r="O38" s="1287"/>
      <c r="Q38" s="1312"/>
      <c r="R38" s="1316" t="s">
        <v>376</v>
      </c>
      <c r="S38" s="1318">
        <f t="shared" ca="1" si="5"/>
        <v>450.37586718740386</v>
      </c>
      <c r="T38" s="1318">
        <f t="shared" ca="1" si="6"/>
        <v>607.99706212180251</v>
      </c>
      <c r="U38" s="1318">
        <f t="shared" ca="1" si="7"/>
        <v>954.37407948436692</v>
      </c>
      <c r="V38" s="1318">
        <f t="shared" ca="1" si="8"/>
        <v>1129.3893445499402</v>
      </c>
      <c r="W38" s="1318">
        <f t="shared" ca="1" si="9"/>
        <v>1306.3655615252346</v>
      </c>
      <c r="X38" s="1318">
        <f t="shared" ca="1" si="10"/>
        <v>1524.5511448106251</v>
      </c>
      <c r="Y38" s="1318">
        <f t="shared" ca="1" si="11"/>
        <v>1771.6776988819261</v>
      </c>
      <c r="Z38" s="1318">
        <f t="shared" ca="1" si="12"/>
        <v>2046.6620023011292</v>
      </c>
      <c r="AA38" s="1318">
        <f t="shared" ca="1" si="13"/>
        <v>2346.3840289711452</v>
      </c>
      <c r="AB38" s="1318">
        <f t="shared" ca="1" si="14"/>
        <v>2682.6666261638215</v>
      </c>
      <c r="AC38" s="1319"/>
      <c r="AD38" s="1318">
        <f t="shared" ca="1" si="15"/>
        <v>450.37586718740386</v>
      </c>
      <c r="AE38" s="1318">
        <f t="shared" ca="1" si="16"/>
        <v>607.99706212180251</v>
      </c>
      <c r="AF38" s="1318">
        <f t="shared" ca="1" si="17"/>
        <v>954.37407948436692</v>
      </c>
      <c r="AG38" s="1318">
        <f t="shared" ca="1" si="18"/>
        <v>1129.3893445499402</v>
      </c>
      <c r="AH38" s="1318">
        <f t="shared" ca="1" si="19"/>
        <v>1306.3655615252346</v>
      </c>
      <c r="AI38" s="1318">
        <f t="shared" ca="1" si="20"/>
        <v>1524.5511448106251</v>
      </c>
      <c r="AJ38" s="1318">
        <f t="shared" ca="1" si="21"/>
        <v>1771.6776988819261</v>
      </c>
      <c r="AK38" s="1318">
        <f t="shared" ca="1" si="22"/>
        <v>2046.6620023011292</v>
      </c>
      <c r="AL38" s="1318">
        <f t="shared" ca="1" si="23"/>
        <v>2346.3840289711452</v>
      </c>
      <c r="AM38" s="1318">
        <f t="shared" ca="1" si="24"/>
        <v>2682.6666261638215</v>
      </c>
      <c r="AN38" s="1319"/>
      <c r="AO38" s="1320">
        <f t="shared" ca="1" si="35"/>
        <v>0</v>
      </c>
      <c r="AP38" s="1320">
        <f t="shared" ca="1" si="25"/>
        <v>0</v>
      </c>
      <c r="AQ38" s="1320">
        <f t="shared" ca="1" si="26"/>
        <v>0</v>
      </c>
      <c r="AR38" s="1320">
        <f t="shared" ca="1" si="27"/>
        <v>0</v>
      </c>
      <c r="AS38" s="1320">
        <f t="shared" ca="1" si="28"/>
        <v>0</v>
      </c>
      <c r="AT38" s="1320">
        <f t="shared" ca="1" si="29"/>
        <v>0</v>
      </c>
      <c r="AU38" s="1320">
        <f t="shared" ca="1" si="30"/>
        <v>0</v>
      </c>
      <c r="AV38" s="1320">
        <f t="shared" ca="1" si="31"/>
        <v>0</v>
      </c>
      <c r="AW38" s="1320">
        <f t="shared" ca="1" si="32"/>
        <v>0</v>
      </c>
      <c r="AX38" s="1320">
        <f t="shared" ca="1" si="33"/>
        <v>0</v>
      </c>
      <c r="AY38" s="1315"/>
    </row>
    <row r="39" spans="2:51" s="605" customFormat="1" ht="15.75">
      <c r="B39" s="1284"/>
      <c r="C39" s="1296" t="s">
        <v>2167</v>
      </c>
      <c r="D39" s="368" t="s">
        <v>2177</v>
      </c>
      <c r="E39" s="368">
        <f ca="1">-INDEX(INDIRECT("XI.Outputs["&amp;E$5&amp;"]"), MATCH("V.01", INDIRECT("XI.Outputs[Vector]"), 0))</f>
        <v>291.71784851167462</v>
      </c>
      <c r="F39" s="368">
        <f t="shared" ref="F39:N39" ca="1" si="67">-INDEX(INDIRECT("XI.Outputs["&amp;F$5&amp;"]"), MATCH("V.01", INDIRECT("XI.Outputs[Vector]"), 0))</f>
        <v>401.23500000000001</v>
      </c>
      <c r="G39" s="368">
        <f t="shared" ca="1" si="67"/>
        <v>503.11770614913962</v>
      </c>
      <c r="H39" s="368">
        <f t="shared" ca="1" si="67"/>
        <v>638.20622186284686</v>
      </c>
      <c r="I39" s="368">
        <f t="shared" ca="1" si="67"/>
        <v>792.48188677491407</v>
      </c>
      <c r="J39" s="368">
        <f t="shared" ca="1" si="67"/>
        <v>966.17848871674005</v>
      </c>
      <c r="K39" s="368">
        <f t="shared" ca="1" si="67"/>
        <v>1200.6228340761327</v>
      </c>
      <c r="L39" s="368">
        <f t="shared" ca="1" si="67"/>
        <v>1462.2792945499318</v>
      </c>
      <c r="M39" s="368">
        <f t="shared" ca="1" si="67"/>
        <v>1752.1756493279522</v>
      </c>
      <c r="N39" s="368">
        <f t="shared" ca="1" si="67"/>
        <v>2061.261323802787</v>
      </c>
      <c r="O39" s="1287"/>
      <c r="Q39" s="1312"/>
      <c r="R39" s="368" t="s">
        <v>2096</v>
      </c>
      <c r="S39" s="1318">
        <f t="shared" si="5"/>
        <v>0</v>
      </c>
      <c r="T39" s="1318">
        <f t="shared" si="6"/>
        <v>0</v>
      </c>
      <c r="U39" s="1318">
        <f t="shared" si="7"/>
        <v>0</v>
      </c>
      <c r="V39" s="1318">
        <f t="shared" si="8"/>
        <v>0</v>
      </c>
      <c r="W39" s="1318">
        <f t="shared" si="9"/>
        <v>0</v>
      </c>
      <c r="X39" s="1318">
        <f t="shared" si="10"/>
        <v>0</v>
      </c>
      <c r="Y39" s="1318">
        <f t="shared" si="11"/>
        <v>0</v>
      </c>
      <c r="Z39" s="1318">
        <f t="shared" si="12"/>
        <v>0</v>
      </c>
      <c r="AA39" s="1318">
        <f t="shared" si="13"/>
        <v>0</v>
      </c>
      <c r="AB39" s="1318">
        <f t="shared" si="14"/>
        <v>0</v>
      </c>
      <c r="AC39" s="1319"/>
      <c r="AD39" s="1318">
        <f t="shared" ca="1" si="15"/>
        <v>505.5107723131398</v>
      </c>
      <c r="AE39" s="1318">
        <f t="shared" ca="1" si="16"/>
        <v>505.51077231313985</v>
      </c>
      <c r="AF39" s="1318">
        <f t="shared" ca="1" si="17"/>
        <v>756.68925903270861</v>
      </c>
      <c r="AG39" s="1318">
        <f t="shared" ca="1" si="18"/>
        <v>1079.9992697558068</v>
      </c>
      <c r="AH39" s="1318">
        <f t="shared" ca="1" si="19"/>
        <v>1432.416444428216</v>
      </c>
      <c r="AI39" s="1318">
        <f t="shared" ca="1" si="20"/>
        <v>1850.5550718998898</v>
      </c>
      <c r="AJ39" s="1318">
        <f t="shared" ca="1" si="21"/>
        <v>2305.9374528341773</v>
      </c>
      <c r="AK39" s="1318">
        <f t="shared" ca="1" si="22"/>
        <v>2794.6978561840738</v>
      </c>
      <c r="AL39" s="1318">
        <f t="shared" ca="1" si="23"/>
        <v>3332.5542386304974</v>
      </c>
      <c r="AM39" s="1318">
        <f t="shared" ca="1" si="24"/>
        <v>3860.5946132094273</v>
      </c>
      <c r="AN39" s="1319"/>
      <c r="AO39" s="1320">
        <f t="shared" ca="1" si="35"/>
        <v>0</v>
      </c>
      <c r="AP39" s="1320">
        <f t="shared" ca="1" si="25"/>
        <v>0</v>
      </c>
      <c r="AQ39" s="1320">
        <f t="shared" ca="1" si="26"/>
        <v>0</v>
      </c>
      <c r="AR39" s="1320">
        <f t="shared" ca="1" si="27"/>
        <v>0</v>
      </c>
      <c r="AS39" s="1320">
        <f t="shared" ca="1" si="28"/>
        <v>0</v>
      </c>
      <c r="AT39" s="1320">
        <f t="shared" ca="1" si="29"/>
        <v>0</v>
      </c>
      <c r="AU39" s="1320">
        <f t="shared" ca="1" si="30"/>
        <v>0</v>
      </c>
      <c r="AV39" s="1320">
        <f t="shared" ca="1" si="31"/>
        <v>0</v>
      </c>
      <c r="AW39" s="1320">
        <f t="shared" ca="1" si="32"/>
        <v>0</v>
      </c>
      <c r="AX39" s="1320">
        <f t="shared" ca="1" si="33"/>
        <v>0</v>
      </c>
      <c r="AY39" s="1315"/>
    </row>
    <row r="40" spans="2:51" s="605" customFormat="1" ht="15.75">
      <c r="B40" s="1284"/>
      <c r="C40" s="1296" t="s">
        <v>2167</v>
      </c>
      <c r="D40" s="368" t="s">
        <v>2178</v>
      </c>
      <c r="E40" s="368">
        <f ca="1">-INDEX(INDIRECT("XIII.a.Outputs["&amp;E$5&amp;"]"), MATCH("V.01", INDIRECT("XIII.a.Outputs[Vector]"), 0))</f>
        <v>0.30660334104356374</v>
      </c>
      <c r="F40" s="368">
        <f t="shared" ref="F40:N40" ca="1" si="68">-INDEX(INDIRECT("XIII.a.Outputs["&amp;F$5&amp;"]"), MATCH("V.01", INDIRECT("XIII.a.Outputs[Vector]"), 0))</f>
        <v>0.40568124773609537</v>
      </c>
      <c r="G40" s="368">
        <f t="shared" ca="1" si="68"/>
        <v>1.9119107308416539</v>
      </c>
      <c r="H40" s="368">
        <f t="shared" ca="1" si="68"/>
        <v>3.0737404888957927</v>
      </c>
      <c r="I40" s="368">
        <f t="shared" ca="1" si="68"/>
        <v>5.9878453050571316</v>
      </c>
      <c r="J40" s="368">
        <f t="shared" ca="1" si="68"/>
        <v>10.924338830969084</v>
      </c>
      <c r="K40" s="368">
        <f t="shared" ca="1" si="68"/>
        <v>14.605179460099949</v>
      </c>
      <c r="L40" s="368">
        <f t="shared" ca="1" si="68"/>
        <v>19.221420721203312</v>
      </c>
      <c r="M40" s="368">
        <f t="shared" ca="1" si="68"/>
        <v>25.37842895536987</v>
      </c>
      <c r="N40" s="368">
        <f t="shared" ca="1" si="68"/>
        <v>29.2476501509129</v>
      </c>
      <c r="O40" s="1287"/>
      <c r="Q40" s="1312"/>
      <c r="R40" s="368" t="s">
        <v>2097</v>
      </c>
      <c r="S40" s="1318">
        <f t="shared" si="5"/>
        <v>0</v>
      </c>
      <c r="T40" s="1318">
        <f t="shared" si="6"/>
        <v>0</v>
      </c>
      <c r="U40" s="1318">
        <f t="shared" si="7"/>
        <v>0</v>
      </c>
      <c r="V40" s="1318">
        <f t="shared" si="8"/>
        <v>0</v>
      </c>
      <c r="W40" s="1318">
        <f t="shared" si="9"/>
        <v>0</v>
      </c>
      <c r="X40" s="1318">
        <f t="shared" si="10"/>
        <v>0</v>
      </c>
      <c r="Y40" s="1318">
        <f t="shared" si="11"/>
        <v>0</v>
      </c>
      <c r="Z40" s="1318">
        <f t="shared" si="12"/>
        <v>0</v>
      </c>
      <c r="AA40" s="1318">
        <f t="shared" si="13"/>
        <v>0</v>
      </c>
      <c r="AB40" s="1318">
        <f t="shared" si="14"/>
        <v>0</v>
      </c>
      <c r="AC40" s="1319"/>
      <c r="AD40" s="1318">
        <f t="shared" ca="1" si="15"/>
        <v>342.36168551728827</v>
      </c>
      <c r="AE40" s="1318">
        <f t="shared" ca="1" si="16"/>
        <v>342.36168551728827</v>
      </c>
      <c r="AF40" s="1318">
        <f t="shared" ca="1" si="17"/>
        <v>514.82512934466877</v>
      </c>
      <c r="AG40" s="1318">
        <f t="shared" ca="1" si="18"/>
        <v>745.09626528285321</v>
      </c>
      <c r="AH40" s="1318">
        <f t="shared" ca="1" si="19"/>
        <v>1048.2508926587041</v>
      </c>
      <c r="AI40" s="1318">
        <f t="shared" ca="1" si="20"/>
        <v>1437.3785290842018</v>
      </c>
      <c r="AJ40" s="1318">
        <f t="shared" ca="1" si="21"/>
        <v>1912.6843855001264</v>
      </c>
      <c r="AK40" s="1318">
        <f t="shared" ca="1" si="22"/>
        <v>2313.7171822529031</v>
      </c>
      <c r="AL40" s="1318">
        <f t="shared" ca="1" si="23"/>
        <v>2752.7741845851738</v>
      </c>
      <c r="AM40" s="1318">
        <f t="shared" ca="1" si="24"/>
        <v>3210.2433622166009</v>
      </c>
      <c r="AN40" s="1319"/>
      <c r="AO40" s="1320">
        <f t="shared" ca="1" si="35"/>
        <v>0</v>
      </c>
      <c r="AP40" s="1320">
        <f t="shared" ca="1" si="25"/>
        <v>0</v>
      </c>
      <c r="AQ40" s="1320">
        <f t="shared" ca="1" si="26"/>
        <v>0</v>
      </c>
      <c r="AR40" s="1320">
        <f t="shared" ca="1" si="27"/>
        <v>0</v>
      </c>
      <c r="AS40" s="1320">
        <f t="shared" ca="1" si="28"/>
        <v>0</v>
      </c>
      <c r="AT40" s="1320">
        <f t="shared" ca="1" si="29"/>
        <v>0</v>
      </c>
      <c r="AU40" s="1320">
        <f t="shared" ca="1" si="30"/>
        <v>0</v>
      </c>
      <c r="AV40" s="1320">
        <f t="shared" ca="1" si="31"/>
        <v>0</v>
      </c>
      <c r="AW40" s="1320">
        <f t="shared" ca="1" si="32"/>
        <v>0</v>
      </c>
      <c r="AX40" s="1320">
        <f t="shared" ca="1" si="33"/>
        <v>0</v>
      </c>
      <c r="AY40" s="1315"/>
    </row>
    <row r="41" spans="2:51" s="605" customFormat="1" ht="15.75">
      <c r="B41" s="1284"/>
      <c r="C41" s="1296" t="s">
        <v>2167</v>
      </c>
      <c r="D41" s="368" t="s">
        <v>2179</v>
      </c>
      <c r="E41" s="368">
        <f ca="1">-INDEX(INDIRECT("X.a.Outputs["&amp;E$5&amp;"]"), MATCH("V.01", INDIRECT("X.a.Outputs[Vector]"), 0))</f>
        <v>117.75237224936291</v>
      </c>
      <c r="F41" s="368">
        <f t="shared" ref="F41:N41" ca="1" si="69">-INDEX(INDIRECT("X.a.Outputs["&amp;F$5&amp;"]"), MATCH("V.01", INDIRECT("X.a.Outputs[Vector]"), 0))</f>
        <v>162.82294056639219</v>
      </c>
      <c r="G41" s="368">
        <f t="shared" ca="1" si="69"/>
        <v>294.19783287152961</v>
      </c>
      <c r="H41" s="368">
        <f t="shared" ca="1" si="69"/>
        <v>491.61145515036219</v>
      </c>
      <c r="I41" s="368">
        <f t="shared" ca="1" si="69"/>
        <v>770.89941292875449</v>
      </c>
      <c r="J41" s="368">
        <f t="shared" ca="1" si="69"/>
        <v>1157.9120424167459</v>
      </c>
      <c r="K41" s="368">
        <f t="shared" ca="1" si="69"/>
        <v>1452.2441557318687</v>
      </c>
      <c r="L41" s="368">
        <f t="shared" ca="1" si="69"/>
        <v>1803.3634131162555</v>
      </c>
      <c r="M41" s="368">
        <f t="shared" ca="1" si="69"/>
        <v>2203.8937916546888</v>
      </c>
      <c r="N41" s="368">
        <f t="shared" ca="1" si="69"/>
        <v>2671.8455088986316</v>
      </c>
      <c r="O41" s="1287"/>
      <c r="Q41" s="1312"/>
      <c r="R41" s="368" t="s">
        <v>33</v>
      </c>
      <c r="S41" s="1318">
        <f t="shared" si="5"/>
        <v>0</v>
      </c>
      <c r="T41" s="1318">
        <f t="shared" si="6"/>
        <v>0</v>
      </c>
      <c r="U41" s="1318">
        <f t="shared" si="7"/>
        <v>0</v>
      </c>
      <c r="V41" s="1318">
        <f t="shared" si="8"/>
        <v>0</v>
      </c>
      <c r="W41" s="1318">
        <f t="shared" si="9"/>
        <v>0</v>
      </c>
      <c r="X41" s="1318">
        <f t="shared" si="10"/>
        <v>0</v>
      </c>
      <c r="Y41" s="1318">
        <f t="shared" si="11"/>
        <v>0</v>
      </c>
      <c r="Z41" s="1318">
        <f t="shared" si="12"/>
        <v>0</v>
      </c>
      <c r="AA41" s="1318">
        <f t="shared" si="13"/>
        <v>0</v>
      </c>
      <c r="AB41" s="1318">
        <f t="shared" si="14"/>
        <v>0</v>
      </c>
      <c r="AC41" s="1319"/>
      <c r="AD41" s="1318">
        <f t="shared" ca="1" si="15"/>
        <v>1615.7381002510185</v>
      </c>
      <c r="AE41" s="1318">
        <f t="shared" ca="1" si="16"/>
        <v>2278.7991580746866</v>
      </c>
      <c r="AF41" s="1318">
        <f t="shared" ca="1" si="17"/>
        <v>3188.0989682873605</v>
      </c>
      <c r="AG41" s="1318">
        <f t="shared" ca="1" si="18"/>
        <v>4295.4614477243695</v>
      </c>
      <c r="AH41" s="1318">
        <f t="shared" ca="1" si="19"/>
        <v>5520.8820237437521</v>
      </c>
      <c r="AI41" s="1318">
        <f t="shared" ca="1" si="20"/>
        <v>6883.4692319432561</v>
      </c>
      <c r="AJ41" s="1318">
        <f t="shared" ca="1" si="21"/>
        <v>8404.5908555044043</v>
      </c>
      <c r="AK41" s="1318">
        <f t="shared" ca="1" si="22"/>
        <v>9897.3852759882448</v>
      </c>
      <c r="AL41" s="1318">
        <f t="shared" ca="1" si="23"/>
        <v>11326.434333202773</v>
      </c>
      <c r="AM41" s="1318">
        <f t="shared" ca="1" si="24"/>
        <v>12793.271831310851</v>
      </c>
      <c r="AN41" s="1319"/>
      <c r="AO41" s="1320">
        <f t="shared" ca="1" si="35"/>
        <v>0</v>
      </c>
      <c r="AP41" s="1320">
        <f t="shared" ca="1" si="25"/>
        <v>0</v>
      </c>
      <c r="AQ41" s="1320">
        <f t="shared" ca="1" si="26"/>
        <v>0</v>
      </c>
      <c r="AR41" s="1320">
        <f t="shared" ca="1" si="27"/>
        <v>0</v>
      </c>
      <c r="AS41" s="1320">
        <f t="shared" ca="1" si="28"/>
        <v>0</v>
      </c>
      <c r="AT41" s="1320">
        <f t="shared" ca="1" si="29"/>
        <v>0</v>
      </c>
      <c r="AU41" s="1320">
        <f t="shared" ca="1" si="30"/>
        <v>0</v>
      </c>
      <c r="AV41" s="1320">
        <f t="shared" ca="1" si="31"/>
        <v>0</v>
      </c>
      <c r="AW41" s="1320">
        <f t="shared" ca="1" si="32"/>
        <v>0</v>
      </c>
      <c r="AX41" s="1320">
        <f t="shared" ca="1" si="33"/>
        <v>0</v>
      </c>
      <c r="AY41" s="1315"/>
    </row>
    <row r="42" spans="2:51" s="605" customFormat="1" ht="15.75">
      <c r="B42" s="1284"/>
      <c r="C42" s="1296" t="s">
        <v>2167</v>
      </c>
      <c r="D42" s="368" t="s">
        <v>2180</v>
      </c>
      <c r="E42" s="368">
        <f ca="1">-INDEX(INDIRECT("X.b.Outputs["&amp;E$5&amp;"]"), MATCH("V.01", INDIRECT("X.b.Outputs[Vector]"), 0))</f>
        <v>69.818571670709545</v>
      </c>
      <c r="F42" s="368">
        <f t="shared" ref="F42:N42" ca="1" si="70">-INDEX(INDIRECT("X.b.Outputs["&amp;F$5&amp;"]"), MATCH("V.01", INDIRECT("X.b.Outputs[Vector]"), 0))</f>
        <v>69.818518207485297</v>
      </c>
      <c r="G42" s="368">
        <f t="shared" ca="1" si="70"/>
        <v>115.39506380103352</v>
      </c>
      <c r="H42" s="368">
        <f t="shared" ca="1" si="70"/>
        <v>190.74035461227521</v>
      </c>
      <c r="I42" s="368">
        <f t="shared" ca="1" si="70"/>
        <v>315.3108276463584</v>
      </c>
      <c r="J42" s="368">
        <f t="shared" ca="1" si="70"/>
        <v>521.28261048106583</v>
      </c>
      <c r="K42" s="368">
        <f t="shared" ca="1" si="70"/>
        <v>689.40510635890666</v>
      </c>
      <c r="L42" s="368">
        <f t="shared" ca="1" si="70"/>
        <v>911.74990255642501</v>
      </c>
      <c r="M42" s="368">
        <f t="shared" ca="1" si="70"/>
        <v>970.17528463991505</v>
      </c>
      <c r="N42" s="368">
        <f t="shared" ca="1" si="70"/>
        <v>1032.3445308366922</v>
      </c>
      <c r="O42" s="1287"/>
      <c r="Q42" s="1312"/>
      <c r="R42" s="368" t="s">
        <v>1946</v>
      </c>
      <c r="S42" s="1318">
        <f t="shared" si="5"/>
        <v>0</v>
      </c>
      <c r="T42" s="1318">
        <f t="shared" si="6"/>
        <v>0</v>
      </c>
      <c r="U42" s="1318">
        <f t="shared" si="7"/>
        <v>0</v>
      </c>
      <c r="V42" s="1318">
        <f t="shared" si="8"/>
        <v>0</v>
      </c>
      <c r="W42" s="1318">
        <f t="shared" si="9"/>
        <v>0</v>
      </c>
      <c r="X42" s="1318">
        <f t="shared" si="10"/>
        <v>0</v>
      </c>
      <c r="Y42" s="1318">
        <f t="shared" si="11"/>
        <v>0</v>
      </c>
      <c r="Z42" s="1318">
        <f t="shared" si="12"/>
        <v>0</v>
      </c>
      <c r="AA42" s="1318">
        <f t="shared" si="13"/>
        <v>0</v>
      </c>
      <c r="AB42" s="1318">
        <f t="shared" si="14"/>
        <v>0</v>
      </c>
      <c r="AC42" s="1319"/>
      <c r="AD42" s="1318">
        <f t="shared" ca="1" si="15"/>
        <v>1045.8611113960574</v>
      </c>
      <c r="AE42" s="1318">
        <f t="shared" ca="1" si="16"/>
        <v>1153.7282449630281</v>
      </c>
      <c r="AF42" s="1318">
        <f t="shared" ca="1" si="17"/>
        <v>1148.4989388784086</v>
      </c>
      <c r="AG42" s="1318">
        <f t="shared" ca="1" si="18"/>
        <v>1155.9568110410034</v>
      </c>
      <c r="AH42" s="1318">
        <f t="shared" ca="1" si="19"/>
        <v>1156.4277437769354</v>
      </c>
      <c r="AI42" s="1318">
        <f t="shared" ca="1" si="20"/>
        <v>1145.5431763602155</v>
      </c>
      <c r="AJ42" s="1318">
        <f t="shared" ca="1" si="21"/>
        <v>1128.6766748639811</v>
      </c>
      <c r="AK42" s="1318">
        <f t="shared" ca="1" si="22"/>
        <v>1099.7850738372154</v>
      </c>
      <c r="AL42" s="1318">
        <f t="shared" ca="1" si="23"/>
        <v>1069.20950579284</v>
      </c>
      <c r="AM42" s="1318">
        <f t="shared" ca="1" si="24"/>
        <v>1079.9753438946818</v>
      </c>
      <c r="AN42" s="1319"/>
      <c r="AO42" s="1320">
        <f t="shared" ca="1" si="35"/>
        <v>0</v>
      </c>
      <c r="AP42" s="1320">
        <f t="shared" ca="1" si="25"/>
        <v>0</v>
      </c>
      <c r="AQ42" s="1320">
        <f t="shared" ca="1" si="26"/>
        <v>0</v>
      </c>
      <c r="AR42" s="1320">
        <f t="shared" ca="1" si="27"/>
        <v>0</v>
      </c>
      <c r="AS42" s="1320">
        <f t="shared" ca="1" si="28"/>
        <v>0</v>
      </c>
      <c r="AT42" s="1320">
        <f t="shared" ca="1" si="29"/>
        <v>0</v>
      </c>
      <c r="AU42" s="1320">
        <f t="shared" ca="1" si="30"/>
        <v>0</v>
      </c>
      <c r="AV42" s="1320">
        <f t="shared" ca="1" si="31"/>
        <v>0</v>
      </c>
      <c r="AW42" s="1320">
        <f t="shared" ca="1" si="32"/>
        <v>0</v>
      </c>
      <c r="AX42" s="1320">
        <f t="shared" ca="1" si="33"/>
        <v>0</v>
      </c>
      <c r="AY42" s="1315"/>
    </row>
    <row r="43" spans="2:51" s="605" customFormat="1" ht="15.75">
      <c r="B43" s="1284"/>
      <c r="C43" s="1296" t="s">
        <v>2167</v>
      </c>
      <c r="D43" s="368" t="s">
        <v>2181</v>
      </c>
      <c r="E43" s="368">
        <f ca="1">-INDEX(INDIRECT("XIV.Outputs["&amp;E$5&amp;"]"), MATCH("V.01", INDIRECT("XIV.Outputs[Vector]"), 0))</f>
        <v>99.549000000000007</v>
      </c>
      <c r="F43" s="368">
        <f t="shared" ref="F43:N43" ca="1" si="71">-INDEX(INDIRECT("XIV.Outputs["&amp;F$5&amp;"]"), MATCH("V.01", INDIRECT("XIV.Outputs[Vector]"), 0))</f>
        <v>135.84360999999998</v>
      </c>
      <c r="G43" s="368">
        <f t="shared" ca="1" si="71"/>
        <v>188.77501314929791</v>
      </c>
      <c r="H43" s="368">
        <f t="shared" ca="1" si="71"/>
        <v>262.32571067939568</v>
      </c>
      <c r="I43" s="368">
        <f t="shared" ca="1" si="71"/>
        <v>335.74068575957824</v>
      </c>
      <c r="J43" s="368">
        <f t="shared" ca="1" si="71"/>
        <v>428.7780628500808</v>
      </c>
      <c r="K43" s="368">
        <f t="shared" ca="1" si="71"/>
        <v>506.91064092382578</v>
      </c>
      <c r="L43" s="368">
        <f t="shared" ca="1" si="71"/>
        <v>599.26784878596698</v>
      </c>
      <c r="M43" s="368">
        <f t="shared" ca="1" si="71"/>
        <v>658.56749564700988</v>
      </c>
      <c r="N43" s="368">
        <f t="shared" ca="1" si="71"/>
        <v>723.71929535837114</v>
      </c>
      <c r="O43" s="1287"/>
      <c r="Q43" s="1312"/>
      <c r="R43" s="368" t="s">
        <v>878</v>
      </c>
      <c r="S43" s="1318">
        <f t="shared" si="5"/>
        <v>0</v>
      </c>
      <c r="T43" s="1318">
        <f t="shared" si="6"/>
        <v>0</v>
      </c>
      <c r="U43" s="1318">
        <f t="shared" si="7"/>
        <v>0</v>
      </c>
      <c r="V43" s="1318">
        <f t="shared" si="8"/>
        <v>0</v>
      </c>
      <c r="W43" s="1318">
        <f t="shared" si="9"/>
        <v>0</v>
      </c>
      <c r="X43" s="1318">
        <f t="shared" si="10"/>
        <v>0</v>
      </c>
      <c r="Y43" s="1318">
        <f t="shared" si="11"/>
        <v>0</v>
      </c>
      <c r="Z43" s="1318">
        <f t="shared" si="12"/>
        <v>0</v>
      </c>
      <c r="AA43" s="1318">
        <f t="shared" si="13"/>
        <v>0</v>
      </c>
      <c r="AB43" s="1318">
        <f t="shared" si="14"/>
        <v>0</v>
      </c>
      <c r="AC43" s="1319"/>
      <c r="AD43" s="1318">
        <f t="shared" ca="1" si="15"/>
        <v>42.636687837081858</v>
      </c>
      <c r="AE43" s="1318">
        <f t="shared" ca="1" si="16"/>
        <v>64.767224585824962</v>
      </c>
      <c r="AF43" s="1318">
        <f t="shared" ca="1" si="17"/>
        <v>96.64390987736526</v>
      </c>
      <c r="AG43" s="1318">
        <f t="shared" ca="1" si="18"/>
        <v>143.41278923679616</v>
      </c>
      <c r="AH43" s="1318">
        <f t="shared" ca="1" si="19"/>
        <v>210.74579320156334</v>
      </c>
      <c r="AI43" s="1318">
        <f t="shared" ca="1" si="20"/>
        <v>308.34342741085425</v>
      </c>
      <c r="AJ43" s="1318">
        <f t="shared" ca="1" si="21"/>
        <v>412.63306124605424</v>
      </c>
      <c r="AK43" s="1318">
        <f t="shared" ca="1" si="22"/>
        <v>552.19611672285725</v>
      </c>
      <c r="AL43" s="1318">
        <f t="shared" ca="1" si="23"/>
        <v>738.96296724992294</v>
      </c>
      <c r="AM43" s="1318">
        <f t="shared" ca="1" si="24"/>
        <v>988.89914367303845</v>
      </c>
      <c r="AN43" s="1319"/>
      <c r="AO43" s="1320">
        <f t="shared" ca="1" si="35"/>
        <v>0</v>
      </c>
      <c r="AP43" s="1320">
        <f t="shared" ca="1" si="25"/>
        <v>0</v>
      </c>
      <c r="AQ43" s="1320">
        <f t="shared" ca="1" si="26"/>
        <v>0</v>
      </c>
      <c r="AR43" s="1320">
        <f t="shared" ca="1" si="27"/>
        <v>0</v>
      </c>
      <c r="AS43" s="1320">
        <f t="shared" ca="1" si="28"/>
        <v>0</v>
      </c>
      <c r="AT43" s="1320">
        <f t="shared" ca="1" si="29"/>
        <v>0</v>
      </c>
      <c r="AU43" s="1320">
        <f t="shared" ca="1" si="30"/>
        <v>0</v>
      </c>
      <c r="AV43" s="1320">
        <f t="shared" ca="1" si="31"/>
        <v>0</v>
      </c>
      <c r="AW43" s="1320">
        <f t="shared" ca="1" si="32"/>
        <v>0</v>
      </c>
      <c r="AX43" s="1320">
        <f t="shared" ca="1" si="33"/>
        <v>0</v>
      </c>
      <c r="AY43" s="1315"/>
    </row>
    <row r="44" spans="2:51" s="605" customFormat="1" ht="15.75">
      <c r="B44" s="1284"/>
      <c r="C44" s="1296" t="s">
        <v>2167</v>
      </c>
      <c r="D44" s="368" t="s">
        <v>2182</v>
      </c>
      <c r="E44" s="368">
        <f ca="1">-INDEX(INDIRECT("XVI.Outputs["&amp;E$5&amp;"]"), MATCH("V.01", INDIRECT("XVI.Outputs[Vector]"), 0))</f>
        <v>2.3668199999999997</v>
      </c>
      <c r="F44" s="368">
        <f t="shared" ref="F44:N44" ca="1" si="72">-INDEX(INDIRECT("XVI.Outputs["&amp;F$5&amp;"]"), MATCH("V.01", INDIRECT("XVI.Outputs[Vector]"), 0))</f>
        <v>14.091612362999999</v>
      </c>
      <c r="G44" s="368">
        <f t="shared" ca="1" si="72"/>
        <v>20.064265232180411</v>
      </c>
      <c r="H44" s="368">
        <f t="shared" ca="1" si="72"/>
        <v>28.249080569317663</v>
      </c>
      <c r="I44" s="368">
        <f t="shared" ca="1" si="72"/>
        <v>37.448347295363597</v>
      </c>
      <c r="J44" s="368">
        <f t="shared" ca="1" si="72"/>
        <v>44.542199023321331</v>
      </c>
      <c r="K44" s="368">
        <f t="shared" ca="1" si="72"/>
        <v>57.224138138960534</v>
      </c>
      <c r="L44" s="368">
        <f t="shared" ca="1" si="72"/>
        <v>63.627974159380635</v>
      </c>
      <c r="M44" s="368">
        <f t="shared" ca="1" si="72"/>
        <v>77.413159434842669</v>
      </c>
      <c r="N44" s="368">
        <f t="shared" ca="1" si="72"/>
        <v>97.952342914769488</v>
      </c>
      <c r="O44" s="1287"/>
      <c r="Q44" s="1312"/>
      <c r="R44" s="368" t="s">
        <v>106</v>
      </c>
      <c r="S44" s="1318">
        <f t="shared" si="5"/>
        <v>0</v>
      </c>
      <c r="T44" s="1318">
        <f t="shared" si="6"/>
        <v>0</v>
      </c>
      <c r="U44" s="1318">
        <f t="shared" si="7"/>
        <v>0</v>
      </c>
      <c r="V44" s="1318">
        <f t="shared" si="8"/>
        <v>0</v>
      </c>
      <c r="W44" s="1318">
        <f t="shared" si="9"/>
        <v>0</v>
      </c>
      <c r="X44" s="1318">
        <f t="shared" si="10"/>
        <v>0</v>
      </c>
      <c r="Y44" s="1318">
        <f t="shared" si="11"/>
        <v>0</v>
      </c>
      <c r="Z44" s="1318">
        <f t="shared" si="12"/>
        <v>0</v>
      </c>
      <c r="AA44" s="1318">
        <f t="shared" si="13"/>
        <v>0</v>
      </c>
      <c r="AB44" s="1318">
        <f t="shared" si="14"/>
        <v>0</v>
      </c>
      <c r="AC44" s="1319"/>
      <c r="AD44" s="1318">
        <f t="shared" ca="1" si="15"/>
        <v>177.82856075231598</v>
      </c>
      <c r="AE44" s="1318">
        <f t="shared" ca="1" si="16"/>
        <v>237.20689383625</v>
      </c>
      <c r="AF44" s="1318">
        <f t="shared" ca="1" si="17"/>
        <v>328.28524058963927</v>
      </c>
      <c r="AG44" s="1318">
        <f t="shared" ca="1" si="18"/>
        <v>453.51772092097099</v>
      </c>
      <c r="AH44" s="1318">
        <f t="shared" ca="1" si="19"/>
        <v>591.38499180914857</v>
      </c>
      <c r="AI44" s="1318">
        <f t="shared" ca="1" si="20"/>
        <v>750.10240185765565</v>
      </c>
      <c r="AJ44" s="1318">
        <f t="shared" ca="1" si="21"/>
        <v>850.28842752484661</v>
      </c>
      <c r="AK44" s="1318">
        <f t="shared" ca="1" si="22"/>
        <v>969.30878318682096</v>
      </c>
      <c r="AL44" s="1318">
        <f t="shared" ca="1" si="23"/>
        <v>1047.8059052018175</v>
      </c>
      <c r="AM44" s="1318">
        <f t="shared" ca="1" si="24"/>
        <v>1134.4954568667354</v>
      </c>
      <c r="AN44" s="1319"/>
      <c r="AO44" s="1320">
        <f t="shared" ca="1" si="35"/>
        <v>0</v>
      </c>
      <c r="AP44" s="1320">
        <f t="shared" ca="1" si="25"/>
        <v>0</v>
      </c>
      <c r="AQ44" s="1320">
        <f t="shared" ca="1" si="26"/>
        <v>0</v>
      </c>
      <c r="AR44" s="1320">
        <f t="shared" ca="1" si="27"/>
        <v>0</v>
      </c>
      <c r="AS44" s="1320">
        <f t="shared" ca="1" si="28"/>
        <v>0</v>
      </c>
      <c r="AT44" s="1320">
        <f t="shared" ca="1" si="29"/>
        <v>0</v>
      </c>
      <c r="AU44" s="1320">
        <f t="shared" ca="1" si="30"/>
        <v>0</v>
      </c>
      <c r="AV44" s="1320">
        <f t="shared" ca="1" si="31"/>
        <v>0</v>
      </c>
      <c r="AW44" s="1320">
        <f t="shared" ca="1" si="32"/>
        <v>0</v>
      </c>
      <c r="AX44" s="1320">
        <f t="shared" ca="1" si="33"/>
        <v>0</v>
      </c>
      <c r="AY44" s="1315"/>
    </row>
    <row r="45" spans="2:51" s="605" customFormat="1" ht="15.75">
      <c r="B45" s="1284"/>
      <c r="C45" s="1296" t="s">
        <v>2168</v>
      </c>
      <c r="D45" s="368" t="s">
        <v>2179</v>
      </c>
      <c r="E45" s="368">
        <f ca="1">-INDEX(INDIRECT("X.a.Outputs["&amp;E$5&amp;"]"), MATCH("S.01", INDIRECT("X.a.Outputs[Vector]"), 0))</f>
        <v>0</v>
      </c>
      <c r="F45" s="368">
        <f t="shared" ref="F45:N45" ca="1" si="73">-INDEX(INDIRECT("X.a.Outputs["&amp;F$5&amp;"]"), MATCH("S.01", INDIRECT("X.a.Outputs[Vector]"), 0))</f>
        <v>0</v>
      </c>
      <c r="G45" s="368">
        <f t="shared" ca="1" si="73"/>
        <v>-5.9190808791918433E-13</v>
      </c>
      <c r="H45" s="368">
        <f t="shared" ca="1" si="73"/>
        <v>0</v>
      </c>
      <c r="I45" s="368">
        <f t="shared" ca="1" si="73"/>
        <v>-5.4946305628478724E-13</v>
      </c>
      <c r="J45" s="368">
        <f t="shared" ca="1" si="73"/>
        <v>0</v>
      </c>
      <c r="K45" s="368">
        <f t="shared" ca="1" si="73"/>
        <v>1.641352825785818E-12</v>
      </c>
      <c r="L45" s="368">
        <f t="shared" ca="1" si="73"/>
        <v>-2.6703459443438968E-12</v>
      </c>
      <c r="M45" s="368">
        <f t="shared" ca="1" si="73"/>
        <v>3.0901058749774097E-12</v>
      </c>
      <c r="N45" s="368">
        <f t="shared" ca="1" si="73"/>
        <v>-5.5110135597591092E-12</v>
      </c>
      <c r="O45" s="1287"/>
      <c r="Q45" s="1312"/>
      <c r="R45" s="368" t="s">
        <v>1078</v>
      </c>
      <c r="S45" s="1318">
        <f t="shared" si="5"/>
        <v>0</v>
      </c>
      <c r="T45" s="1318">
        <f t="shared" si="6"/>
        <v>0</v>
      </c>
      <c r="U45" s="1318">
        <f t="shared" si="7"/>
        <v>0</v>
      </c>
      <c r="V45" s="1318">
        <f t="shared" si="8"/>
        <v>0</v>
      </c>
      <c r="W45" s="1318">
        <f t="shared" si="9"/>
        <v>0</v>
      </c>
      <c r="X45" s="1318">
        <f t="shared" si="10"/>
        <v>0</v>
      </c>
      <c r="Y45" s="1318">
        <f t="shared" si="11"/>
        <v>0</v>
      </c>
      <c r="Z45" s="1318">
        <f t="shared" si="12"/>
        <v>0</v>
      </c>
      <c r="AA45" s="1318">
        <f t="shared" si="13"/>
        <v>0</v>
      </c>
      <c r="AB45" s="1318">
        <f t="shared" si="14"/>
        <v>0</v>
      </c>
      <c r="AC45" s="1319"/>
      <c r="AD45" s="1318">
        <f t="shared" ca="1" si="15"/>
        <v>13.886920800000002</v>
      </c>
      <c r="AE45" s="1318">
        <f t="shared" ca="1" si="16"/>
        <v>82.680180507719996</v>
      </c>
      <c r="AF45" s="1318">
        <f t="shared" ca="1" si="17"/>
        <v>99.664904892716379</v>
      </c>
      <c r="AG45" s="1318">
        <f t="shared" ca="1" si="18"/>
        <v>122.4937137883776</v>
      </c>
      <c r="AH45" s="1318">
        <f t="shared" ca="1" si="19"/>
        <v>159.42605002636802</v>
      </c>
      <c r="AI45" s="1318">
        <f t="shared" ca="1" si="20"/>
        <v>182.09914419246934</v>
      </c>
      <c r="AJ45" s="1318">
        <f t="shared" ca="1" si="21"/>
        <v>192.06311941056913</v>
      </c>
      <c r="AK45" s="1318">
        <f t="shared" ca="1" si="22"/>
        <v>201.26218130858288</v>
      </c>
      <c r="AL45" s="1318">
        <f t="shared" ca="1" si="23"/>
        <v>236.97670613572353</v>
      </c>
      <c r="AM45" s="1318">
        <f t="shared" ca="1" si="24"/>
        <v>299.8511332140688</v>
      </c>
      <c r="AN45" s="1319"/>
      <c r="AO45" s="1320">
        <f t="shared" ca="1" si="35"/>
        <v>0</v>
      </c>
      <c r="AP45" s="1320">
        <f t="shared" ca="1" si="25"/>
        <v>0</v>
      </c>
      <c r="AQ45" s="1320">
        <f t="shared" ca="1" si="26"/>
        <v>0</v>
      </c>
      <c r="AR45" s="1320">
        <f t="shared" ca="1" si="27"/>
        <v>0</v>
      </c>
      <c r="AS45" s="1320">
        <f t="shared" ca="1" si="28"/>
        <v>0</v>
      </c>
      <c r="AT45" s="1320">
        <f t="shared" ca="1" si="29"/>
        <v>0</v>
      </c>
      <c r="AU45" s="1320">
        <f t="shared" ca="1" si="30"/>
        <v>0</v>
      </c>
      <c r="AV45" s="1320">
        <f t="shared" ca="1" si="31"/>
        <v>0</v>
      </c>
      <c r="AW45" s="1320">
        <f t="shared" ca="1" si="32"/>
        <v>0</v>
      </c>
      <c r="AX45" s="1320">
        <f t="shared" ca="1" si="33"/>
        <v>0</v>
      </c>
      <c r="AY45" s="1315"/>
    </row>
    <row r="46" spans="2:51" s="605" customFormat="1" ht="15.75">
      <c r="B46" s="1284"/>
      <c r="C46" s="1296" t="s">
        <v>2168</v>
      </c>
      <c r="D46" s="368" t="s">
        <v>2180</v>
      </c>
      <c r="E46" s="368">
        <f ca="1">-INDEX(INDIRECT("X.b.Outputs["&amp;E$5&amp;"]"), MATCH("S.01", INDIRECT("X.b.Outputs[Vector]"), 0))</f>
        <v>1.8782351383851339E-2</v>
      </c>
      <c r="F46" s="368">
        <f t="shared" ref="F46:N46" ca="1" si="74">-INDEX(INDIRECT("X.b.Outputs["&amp;F$5&amp;"]"), MATCH("S.01", INDIRECT("X.b.Outputs[Vector]"), 0))</f>
        <v>1.8835814608099886E-2</v>
      </c>
      <c r="G46" s="368">
        <f t="shared" ca="1" si="74"/>
        <v>3.3534846537045283E-2</v>
      </c>
      <c r="H46" s="368">
        <f t="shared" ca="1" si="74"/>
        <v>6.0794893445987486E-2</v>
      </c>
      <c r="I46" s="368">
        <f t="shared" ca="1" si="74"/>
        <v>0.1102431734265969</v>
      </c>
      <c r="J46" s="368">
        <f t="shared" ca="1" si="74"/>
        <v>0.20356103070805628</v>
      </c>
      <c r="K46" s="368">
        <f t="shared" ca="1" si="74"/>
        <v>0.27020046957224875</v>
      </c>
      <c r="L46" s="368">
        <f t="shared" ca="1" si="74"/>
        <v>0.3587109280985778</v>
      </c>
      <c r="M46" s="368">
        <f t="shared" ca="1" si="74"/>
        <v>0.38321313705478538</v>
      </c>
      <c r="N46" s="368">
        <f t="shared" ca="1" si="74"/>
        <v>0.40944569734431091</v>
      </c>
      <c r="O46" s="1287"/>
      <c r="Q46" s="1312"/>
      <c r="R46" s="368" t="s">
        <v>2098</v>
      </c>
      <c r="S46" s="1318">
        <f t="shared" si="5"/>
        <v>0</v>
      </c>
      <c r="T46" s="1318">
        <f t="shared" si="6"/>
        <v>0</v>
      </c>
      <c r="U46" s="1318">
        <f t="shared" si="7"/>
        <v>0</v>
      </c>
      <c r="V46" s="1318">
        <f t="shared" si="8"/>
        <v>0</v>
      </c>
      <c r="W46" s="1318">
        <f t="shared" si="9"/>
        <v>0</v>
      </c>
      <c r="X46" s="1318">
        <f t="shared" si="10"/>
        <v>0</v>
      </c>
      <c r="Y46" s="1318">
        <f t="shared" si="11"/>
        <v>0</v>
      </c>
      <c r="Z46" s="1318">
        <f t="shared" si="12"/>
        <v>0</v>
      </c>
      <c r="AA46" s="1318">
        <f t="shared" si="13"/>
        <v>0</v>
      </c>
      <c r="AB46" s="1318">
        <f t="shared" si="14"/>
        <v>0</v>
      </c>
      <c r="AC46" s="1319"/>
      <c r="AD46" s="1318">
        <f t="shared" ca="1" si="15"/>
        <v>125.22829189364668</v>
      </c>
      <c r="AE46" s="1318">
        <f t="shared" ca="1" si="16"/>
        <v>169.69505456493178</v>
      </c>
      <c r="AF46" s="1318">
        <f t="shared" ca="1" si="17"/>
        <v>300.04431466291476</v>
      </c>
      <c r="AG46" s="1318">
        <f t="shared" ca="1" si="18"/>
        <v>496.30573002834524</v>
      </c>
      <c r="AH46" s="1318">
        <f t="shared" ca="1" si="19"/>
        <v>774.27220243376769</v>
      </c>
      <c r="AI46" s="1318">
        <f t="shared" ca="1" si="20"/>
        <v>1159.8318853695678</v>
      </c>
      <c r="AJ46" s="1318">
        <f t="shared" ca="1" si="21"/>
        <v>1453.7842020047071</v>
      </c>
      <c r="AK46" s="1318">
        <f t="shared" ca="1" si="22"/>
        <v>1804.4491932933804</v>
      </c>
      <c r="AL46" s="1318">
        <f t="shared" ca="1" si="23"/>
        <v>2204.4681998125216</v>
      </c>
      <c r="AM46" s="1318">
        <f t="shared" ca="1" si="24"/>
        <v>2671.8455088986261</v>
      </c>
      <c r="AN46" s="1319"/>
      <c r="AO46" s="1320">
        <f t="shared" ca="1" si="35"/>
        <v>0</v>
      </c>
      <c r="AP46" s="1320">
        <f t="shared" ca="1" si="25"/>
        <v>0</v>
      </c>
      <c r="AQ46" s="1320">
        <f t="shared" ca="1" si="26"/>
        <v>0</v>
      </c>
      <c r="AR46" s="1320">
        <f t="shared" ca="1" si="27"/>
        <v>0</v>
      </c>
      <c r="AS46" s="1320">
        <f t="shared" ca="1" si="28"/>
        <v>0</v>
      </c>
      <c r="AT46" s="1320">
        <f t="shared" ca="1" si="29"/>
        <v>0</v>
      </c>
      <c r="AU46" s="1320">
        <f t="shared" ca="1" si="30"/>
        <v>0</v>
      </c>
      <c r="AV46" s="1320">
        <f t="shared" ca="1" si="31"/>
        <v>0</v>
      </c>
      <c r="AW46" s="1320">
        <f t="shared" ca="1" si="32"/>
        <v>0</v>
      </c>
      <c r="AX46" s="1320">
        <f t="shared" ca="1" si="33"/>
        <v>0</v>
      </c>
      <c r="AY46" s="1315"/>
    </row>
    <row r="47" spans="2:51" s="605" customFormat="1" ht="15.75">
      <c r="B47" s="1284"/>
      <c r="C47" s="1296" t="s">
        <v>2167</v>
      </c>
      <c r="D47" s="368" t="s">
        <v>2183</v>
      </c>
      <c r="E47" s="368">
        <f ca="1">MAX(INDEX(INDIRECT("'"&amp;E$5&amp;"'!Year.NetBalance"), MATCH("Y.02", INDIRECT("'"&amp;E$5&amp;"'!Year.Vectors"), 0))+E28,0)</f>
        <v>0</v>
      </c>
      <c r="F47" s="368">
        <f t="shared" ref="F47:N47" ca="1" si="75">MAX(INDEX(INDIRECT("'"&amp;F$5&amp;"'!Year.NetBalance"), MATCH("Y.02", INDIRECT("'"&amp;F$5&amp;"'!Year.Vectors"), 0))+F28,0)</f>
        <v>0</v>
      </c>
      <c r="G47" s="368">
        <f t="shared" ca="1" si="75"/>
        <v>0</v>
      </c>
      <c r="H47" s="368">
        <f t="shared" ca="1" si="75"/>
        <v>0</v>
      </c>
      <c r="I47" s="368">
        <f t="shared" ca="1" si="75"/>
        <v>4.5474735088646412E-13</v>
      </c>
      <c r="J47" s="368">
        <f t="shared" ca="1" si="75"/>
        <v>4.5474735088646412E-13</v>
      </c>
      <c r="K47" s="368">
        <f t="shared" ca="1" si="75"/>
        <v>0</v>
      </c>
      <c r="L47" s="368">
        <f t="shared" ca="1" si="75"/>
        <v>0</v>
      </c>
      <c r="M47" s="368">
        <f t="shared" ca="1" si="75"/>
        <v>0</v>
      </c>
      <c r="N47" s="368">
        <f t="shared" ca="1" si="75"/>
        <v>0</v>
      </c>
      <c r="O47" s="1287"/>
      <c r="Q47" s="1312"/>
      <c r="R47" s="368" t="s">
        <v>537</v>
      </c>
      <c r="S47" s="1318">
        <f t="shared" si="5"/>
        <v>0</v>
      </c>
      <c r="T47" s="1318">
        <f t="shared" si="6"/>
        <v>0</v>
      </c>
      <c r="U47" s="1318">
        <f t="shared" si="7"/>
        <v>0</v>
      </c>
      <c r="V47" s="1318">
        <f t="shared" si="8"/>
        <v>0</v>
      </c>
      <c r="W47" s="1318">
        <f t="shared" si="9"/>
        <v>0</v>
      </c>
      <c r="X47" s="1318">
        <f t="shared" si="10"/>
        <v>0</v>
      </c>
      <c r="Y47" s="1318">
        <f t="shared" si="11"/>
        <v>0</v>
      </c>
      <c r="Z47" s="1318">
        <f t="shared" si="12"/>
        <v>0</v>
      </c>
      <c r="AA47" s="1318">
        <f t="shared" si="13"/>
        <v>0</v>
      </c>
      <c r="AB47" s="1318">
        <f t="shared" si="14"/>
        <v>0</v>
      </c>
      <c r="AC47" s="1319"/>
      <c r="AD47" s="1318">
        <f t="shared" ca="1" si="15"/>
        <v>69.837354022093393</v>
      </c>
      <c r="AE47" s="1318">
        <f t="shared" ca="1" si="16"/>
        <v>69.837354022093393</v>
      </c>
      <c r="AF47" s="1318">
        <f t="shared" ca="1" si="17"/>
        <v>115.42859864757057</v>
      </c>
      <c r="AG47" s="1318">
        <f t="shared" ca="1" si="18"/>
        <v>190.80114950572121</v>
      </c>
      <c r="AH47" s="1318">
        <f t="shared" ca="1" si="19"/>
        <v>315.42107081978503</v>
      </c>
      <c r="AI47" s="1318">
        <f t="shared" ca="1" si="20"/>
        <v>521.48617151177393</v>
      </c>
      <c r="AJ47" s="1318">
        <f t="shared" ca="1" si="21"/>
        <v>689.67530682847894</v>
      </c>
      <c r="AK47" s="1318">
        <f t="shared" ca="1" si="22"/>
        <v>912.10861348452363</v>
      </c>
      <c r="AL47" s="1318">
        <f t="shared" ca="1" si="23"/>
        <v>970.55849777696983</v>
      </c>
      <c r="AM47" s="1318">
        <f t="shared" ca="1" si="24"/>
        <v>1032.7539765340366</v>
      </c>
      <c r="AN47" s="1319"/>
      <c r="AO47" s="1320">
        <f t="shared" ca="1" si="35"/>
        <v>0</v>
      </c>
      <c r="AP47" s="1320">
        <f t="shared" ca="1" si="25"/>
        <v>0</v>
      </c>
      <c r="AQ47" s="1320">
        <f t="shared" ca="1" si="26"/>
        <v>0</v>
      </c>
      <c r="AR47" s="1320">
        <f t="shared" ca="1" si="27"/>
        <v>0</v>
      </c>
      <c r="AS47" s="1320">
        <f t="shared" ca="1" si="28"/>
        <v>0</v>
      </c>
      <c r="AT47" s="1320">
        <f t="shared" ca="1" si="29"/>
        <v>0</v>
      </c>
      <c r="AU47" s="1320">
        <f t="shared" ca="1" si="30"/>
        <v>0</v>
      </c>
      <c r="AV47" s="1320">
        <f t="shared" ca="1" si="31"/>
        <v>0</v>
      </c>
      <c r="AW47" s="1320">
        <f t="shared" ca="1" si="32"/>
        <v>0</v>
      </c>
      <c r="AX47" s="1320">
        <f t="shared" ca="1" si="33"/>
        <v>0</v>
      </c>
      <c r="AY47" s="1315"/>
    </row>
    <row r="48" spans="2:51" s="605" customFormat="1" ht="15.75">
      <c r="B48" s="1284"/>
      <c r="C48" s="1296" t="s">
        <v>2169</v>
      </c>
      <c r="D48" s="368" t="s">
        <v>2175</v>
      </c>
      <c r="E48" s="368">
        <f ca="1">-INDEX(INDIRECT("XII.a.Outputs["&amp;E$5&amp;"]"), MATCH("V.04", INDIRECT("XII.a.Outputs[Vector]"), 0))</f>
        <v>487.95385834742541</v>
      </c>
      <c r="F48" s="368">
        <f t="shared" ref="F48:N48" ca="1" si="76">-INDEX(INDIRECT("XII.a.Outputs["&amp;F$5&amp;"]"), MATCH("V.04", INDIRECT("XII.a.Outputs[Vector]"), 0))</f>
        <v>487.95385834742547</v>
      </c>
      <c r="G48" s="368">
        <f t="shared" ca="1" si="76"/>
        <v>728.28416880173108</v>
      </c>
      <c r="H48" s="368">
        <f t="shared" ca="1" si="76"/>
        <v>1035.2715115724809</v>
      </c>
      <c r="I48" s="368">
        <f t="shared" ca="1" si="76"/>
        <v>1366.9218837163678</v>
      </c>
      <c r="J48" s="368">
        <f t="shared" ca="1" si="76"/>
        <v>1757.3509465010493</v>
      </c>
      <c r="K48" s="368">
        <f t="shared" ca="1" si="76"/>
        <v>2179.7104078870507</v>
      </c>
      <c r="L48" s="368">
        <f t="shared" ca="1" si="76"/>
        <v>2630.5760186566213</v>
      </c>
      <c r="M48" s="368">
        <f t="shared" ca="1" si="76"/>
        <v>3124.8905105864601</v>
      </c>
      <c r="N48" s="368">
        <f t="shared" ca="1" si="76"/>
        <v>3607.3775359599595</v>
      </c>
      <c r="O48" s="1287"/>
      <c r="Q48" s="1312"/>
      <c r="R48" s="1316" t="s">
        <v>2458</v>
      </c>
      <c r="S48" s="1318">
        <f t="shared" si="5"/>
        <v>0</v>
      </c>
      <c r="T48" s="1318">
        <f t="shared" si="6"/>
        <v>0</v>
      </c>
      <c r="U48" s="1318">
        <f t="shared" si="7"/>
        <v>0</v>
      </c>
      <c r="V48" s="1318">
        <f t="shared" si="8"/>
        <v>0</v>
      </c>
      <c r="W48" s="1318">
        <f t="shared" si="9"/>
        <v>0</v>
      </c>
      <c r="X48" s="1318">
        <f t="shared" si="10"/>
        <v>0</v>
      </c>
      <c r="Y48" s="1318">
        <f t="shared" si="11"/>
        <v>0</v>
      </c>
      <c r="Z48" s="1318">
        <f t="shared" si="12"/>
        <v>0</v>
      </c>
      <c r="AA48" s="1318">
        <f t="shared" si="13"/>
        <v>0</v>
      </c>
      <c r="AB48" s="1318">
        <f t="shared" si="14"/>
        <v>0</v>
      </c>
      <c r="AC48" s="1319"/>
      <c r="AD48" s="1318">
        <f t="shared" ca="1" si="15"/>
        <v>195.08288504070401</v>
      </c>
      <c r="AE48" s="1318">
        <f t="shared" ca="1" si="16"/>
        <v>234.32332560745226</v>
      </c>
      <c r="AF48" s="1318">
        <f t="shared" ca="1" si="17"/>
        <v>313.04693193832941</v>
      </c>
      <c r="AG48" s="1318">
        <f t="shared" ca="1" si="18"/>
        <v>423.93802753088653</v>
      </c>
      <c r="AH48" s="1318">
        <f t="shared" ca="1" si="19"/>
        <v>557.71159630953753</v>
      </c>
      <c r="AI48" s="1318">
        <f t="shared" ca="1" si="20"/>
        <v>729.63510033996545</v>
      </c>
      <c r="AJ48" s="1318">
        <f t="shared" ca="1" si="21"/>
        <v>865.89214021991711</v>
      </c>
      <c r="AK48" s="1318">
        <f t="shared" ca="1" si="22"/>
        <v>978.85350735662541</v>
      </c>
      <c r="AL48" s="1318">
        <f t="shared" ca="1" si="23"/>
        <v>1090.2145534112278</v>
      </c>
      <c r="AM48" s="1318">
        <f t="shared" ca="1" si="24"/>
        <v>1227.112144415446</v>
      </c>
      <c r="AN48" s="1319"/>
      <c r="AO48" s="1320">
        <f t="shared" ca="1" si="35"/>
        <v>0</v>
      </c>
      <c r="AP48" s="1320">
        <f t="shared" ca="1" si="25"/>
        <v>0</v>
      </c>
      <c r="AQ48" s="1320">
        <f t="shared" ca="1" si="26"/>
        <v>0</v>
      </c>
      <c r="AR48" s="1320">
        <f t="shared" ca="1" si="27"/>
        <v>0</v>
      </c>
      <c r="AS48" s="1320">
        <f t="shared" ca="1" si="28"/>
        <v>0</v>
      </c>
      <c r="AT48" s="1320">
        <f t="shared" ca="1" si="29"/>
        <v>0</v>
      </c>
      <c r="AU48" s="1320">
        <f t="shared" ca="1" si="30"/>
        <v>0</v>
      </c>
      <c r="AV48" s="1320">
        <f t="shared" ca="1" si="31"/>
        <v>0</v>
      </c>
      <c r="AW48" s="1320">
        <f t="shared" ca="1" si="32"/>
        <v>0</v>
      </c>
      <c r="AX48" s="1320">
        <f t="shared" ca="1" si="33"/>
        <v>0</v>
      </c>
      <c r="AY48" s="1315"/>
    </row>
    <row r="49" spans="2:51" s="605" customFormat="1" ht="15.75">
      <c r="B49" s="1284"/>
      <c r="C49" s="1296" t="s">
        <v>2169</v>
      </c>
      <c r="D49" s="368" t="s">
        <v>2176</v>
      </c>
      <c r="E49" s="368">
        <f ca="1">-INDEX(INDIRECT("XII.b.Outputs["&amp;E$5&amp;"]"), MATCH("V.04", INDIRECT("XII.b.Outputs[Vector]"), 0))</f>
        <v>335.99064401728828</v>
      </c>
      <c r="F49" s="368">
        <f t="shared" ref="F49:N49" ca="1" si="77">-INDEX(INDIRECT("XII.b.Outputs["&amp;F$5&amp;"]"), MATCH("V.04", INDIRECT("XII.b.Outputs[Vector]"), 0))</f>
        <v>335.99064401728828</v>
      </c>
      <c r="G49" s="368">
        <f t="shared" ca="1" si="77"/>
        <v>505.41824964215181</v>
      </c>
      <c r="H49" s="368">
        <f t="shared" ca="1" si="77"/>
        <v>731.95546769853706</v>
      </c>
      <c r="I49" s="368">
        <f t="shared" ca="1" si="77"/>
        <v>1030.6407817006198</v>
      </c>
      <c r="J49" s="368">
        <f t="shared" ca="1" si="77"/>
        <v>1414.4858947981184</v>
      </c>
      <c r="K49" s="368">
        <f t="shared" ca="1" si="77"/>
        <v>1884.27945948055</v>
      </c>
      <c r="L49" s="368">
        <f t="shared" ca="1" si="77"/>
        <v>2282.8407635152657</v>
      </c>
      <c r="M49" s="368">
        <f t="shared" ca="1" si="77"/>
        <v>2719.2893995988056</v>
      </c>
      <c r="N49" s="368">
        <f t="shared" ca="1" si="77"/>
        <v>3174.2967039883551</v>
      </c>
      <c r="O49" s="1287"/>
      <c r="Q49" s="1312"/>
      <c r="R49" s="1299"/>
      <c r="S49" s="1318">
        <f t="shared" si="5"/>
        <v>0</v>
      </c>
      <c r="T49" s="1318">
        <f t="shared" si="6"/>
        <v>0</v>
      </c>
      <c r="U49" s="1318">
        <f t="shared" si="7"/>
        <v>0</v>
      </c>
      <c r="V49" s="1318">
        <f t="shared" si="8"/>
        <v>0</v>
      </c>
      <c r="W49" s="1318">
        <f t="shared" si="9"/>
        <v>0</v>
      </c>
      <c r="X49" s="1318">
        <f t="shared" si="10"/>
        <v>0</v>
      </c>
      <c r="Y49" s="1318">
        <f t="shared" si="11"/>
        <v>0</v>
      </c>
      <c r="Z49" s="1318">
        <f t="shared" si="12"/>
        <v>0</v>
      </c>
      <c r="AA49" s="1318">
        <f t="shared" si="13"/>
        <v>0</v>
      </c>
      <c r="AB49" s="1318">
        <f t="shared" si="14"/>
        <v>0</v>
      </c>
      <c r="AC49" s="1319"/>
      <c r="AD49" s="1318">
        <f t="shared" si="15"/>
        <v>0</v>
      </c>
      <c r="AE49" s="1318">
        <f t="shared" si="16"/>
        <v>0</v>
      </c>
      <c r="AF49" s="1318">
        <f t="shared" si="17"/>
        <v>0</v>
      </c>
      <c r="AG49" s="1318">
        <f t="shared" si="18"/>
        <v>0</v>
      </c>
      <c r="AH49" s="1318">
        <f t="shared" si="19"/>
        <v>0</v>
      </c>
      <c r="AI49" s="1318">
        <f t="shared" si="20"/>
        <v>0</v>
      </c>
      <c r="AJ49" s="1318">
        <f t="shared" si="21"/>
        <v>0</v>
      </c>
      <c r="AK49" s="1318">
        <f t="shared" si="22"/>
        <v>0</v>
      </c>
      <c r="AL49" s="1318">
        <f t="shared" si="23"/>
        <v>0</v>
      </c>
      <c r="AM49" s="1318">
        <f t="shared" si="24"/>
        <v>0</v>
      </c>
      <c r="AN49" s="1319"/>
      <c r="AO49" s="1320">
        <f t="shared" si="35"/>
        <v>0</v>
      </c>
      <c r="AP49" s="1320">
        <f t="shared" si="25"/>
        <v>0</v>
      </c>
      <c r="AQ49" s="1320">
        <f t="shared" si="26"/>
        <v>0</v>
      </c>
      <c r="AR49" s="1320">
        <f t="shared" si="27"/>
        <v>0</v>
      </c>
      <c r="AS49" s="1320">
        <f t="shared" si="28"/>
        <v>0</v>
      </c>
      <c r="AT49" s="1320">
        <f t="shared" si="29"/>
        <v>0</v>
      </c>
      <c r="AU49" s="1320">
        <f t="shared" si="30"/>
        <v>0</v>
      </c>
      <c r="AV49" s="1320">
        <f t="shared" si="31"/>
        <v>0</v>
      </c>
      <c r="AW49" s="1320">
        <f t="shared" si="32"/>
        <v>0</v>
      </c>
      <c r="AX49" s="1320">
        <f t="shared" si="33"/>
        <v>0</v>
      </c>
      <c r="AY49" s="1315"/>
    </row>
    <row r="50" spans="2:51" s="605" customFormat="1" ht="15.75">
      <c r="B50" s="1284"/>
      <c r="C50" s="1296" t="s">
        <v>2169</v>
      </c>
      <c r="D50" s="368" t="s">
        <v>2177</v>
      </c>
      <c r="E50" s="368">
        <f ca="1">-INDEX(INDIRECT("XI.Outputs["&amp;E$5&amp;"]"), MATCH("V.04", INDIRECT("XI.Outputs[Vector]"), 0))</f>
        <v>468.75505107960362</v>
      </c>
      <c r="F50" s="368">
        <f t="shared" ref="F50:N50" ca="1" si="78">-INDEX(INDIRECT("XI.Outputs["&amp;F$5&amp;"]"), MATCH("V.04", INDIRECT("XI.Outputs[Vector]"), 0))</f>
        <v>618.94860000000006</v>
      </c>
      <c r="G50" s="368">
        <f t="shared" ca="1" si="78"/>
        <v>760.59154710694088</v>
      </c>
      <c r="H50" s="368">
        <f t="shared" ca="1" si="78"/>
        <v>940.96734495178282</v>
      </c>
      <c r="I50" s="368">
        <f t="shared" ca="1" si="78"/>
        <v>1142.4507584361977</v>
      </c>
      <c r="J50" s="368">
        <f t="shared" ca="1" si="78"/>
        <v>1365.3410997753347</v>
      </c>
      <c r="K50" s="368">
        <f t="shared" ca="1" si="78"/>
        <v>1660.8529028400133</v>
      </c>
      <c r="L50" s="368">
        <f t="shared" ca="1" si="78"/>
        <v>1986.4480076110492</v>
      </c>
      <c r="M50" s="368">
        <f t="shared" ca="1" si="78"/>
        <v>2346.3301688333609</v>
      </c>
      <c r="N50" s="368">
        <f t="shared" ca="1" si="78"/>
        <v>2729.4564074690747</v>
      </c>
      <c r="O50" s="1287"/>
      <c r="Q50" s="1312"/>
      <c r="R50" s="1316"/>
      <c r="S50" s="1318">
        <f t="shared" si="5"/>
        <v>0</v>
      </c>
      <c r="T50" s="1318">
        <f t="shared" si="6"/>
        <v>0</v>
      </c>
      <c r="U50" s="1318">
        <f t="shared" si="7"/>
        <v>0</v>
      </c>
      <c r="V50" s="1318">
        <f t="shared" si="8"/>
        <v>0</v>
      </c>
      <c r="W50" s="1318">
        <f t="shared" si="9"/>
        <v>0</v>
      </c>
      <c r="X50" s="1318">
        <f t="shared" si="10"/>
        <v>0</v>
      </c>
      <c r="Y50" s="1318">
        <f t="shared" si="11"/>
        <v>0</v>
      </c>
      <c r="Z50" s="1318">
        <f t="shared" si="12"/>
        <v>0</v>
      </c>
      <c r="AA50" s="1318">
        <f t="shared" si="13"/>
        <v>0</v>
      </c>
      <c r="AB50" s="1318">
        <f t="shared" si="14"/>
        <v>0</v>
      </c>
      <c r="AC50" s="1319"/>
      <c r="AD50" s="1318">
        <f t="shared" si="15"/>
        <v>0</v>
      </c>
      <c r="AE50" s="1318">
        <f t="shared" si="16"/>
        <v>0</v>
      </c>
      <c r="AF50" s="1318">
        <f t="shared" si="17"/>
        <v>0</v>
      </c>
      <c r="AG50" s="1318">
        <f t="shared" si="18"/>
        <v>0</v>
      </c>
      <c r="AH50" s="1318">
        <f t="shared" si="19"/>
        <v>0</v>
      </c>
      <c r="AI50" s="1318">
        <f t="shared" si="20"/>
        <v>0</v>
      </c>
      <c r="AJ50" s="1318">
        <f t="shared" si="21"/>
        <v>0</v>
      </c>
      <c r="AK50" s="1318">
        <f t="shared" si="22"/>
        <v>0</v>
      </c>
      <c r="AL50" s="1318">
        <f t="shared" si="23"/>
        <v>0</v>
      </c>
      <c r="AM50" s="1318">
        <f t="shared" si="24"/>
        <v>0</v>
      </c>
      <c r="AN50" s="1319"/>
      <c r="AO50" s="1320">
        <f t="shared" si="35"/>
        <v>0</v>
      </c>
      <c r="AP50" s="1320">
        <f t="shared" si="25"/>
        <v>0</v>
      </c>
      <c r="AQ50" s="1320">
        <f t="shared" si="26"/>
        <v>0</v>
      </c>
      <c r="AR50" s="1320">
        <f t="shared" si="27"/>
        <v>0</v>
      </c>
      <c r="AS50" s="1320">
        <f t="shared" si="28"/>
        <v>0</v>
      </c>
      <c r="AT50" s="1320">
        <f t="shared" si="29"/>
        <v>0</v>
      </c>
      <c r="AU50" s="1320">
        <f t="shared" si="30"/>
        <v>0</v>
      </c>
      <c r="AV50" s="1320">
        <f t="shared" si="31"/>
        <v>0</v>
      </c>
      <c r="AW50" s="1320">
        <f t="shared" si="32"/>
        <v>0</v>
      </c>
      <c r="AX50" s="1320">
        <f t="shared" si="33"/>
        <v>0</v>
      </c>
      <c r="AY50" s="1315"/>
    </row>
    <row r="51" spans="2:51" s="605" customFormat="1" ht="15.75">
      <c r="B51" s="1284"/>
      <c r="C51" s="1296" t="s">
        <v>2169</v>
      </c>
      <c r="D51" s="368" t="s">
        <v>2178</v>
      </c>
      <c r="E51" s="368">
        <f ca="1">-INDEX(INDIRECT("XIII.a.Outputs["&amp;E$5&amp;"]"), MATCH("V.04", INDIRECT("XIII.a.Outputs[Vector]"), 0))</f>
        <v>84.36768499214196</v>
      </c>
      <c r="F51" s="368">
        <f t="shared" ref="F51:N51" ca="1" si="79">-INDEX(INDIRECT("XIII.a.Outputs["&amp;F$5&amp;"]"), MATCH("V.04", INDIRECT("XIII.a.Outputs[Vector]"), 0))</f>
        <v>115.26093934117897</v>
      </c>
      <c r="G51" s="368">
        <f t="shared" ca="1" si="79"/>
        <v>121.91718607358239</v>
      </c>
      <c r="H51" s="368">
        <f t="shared" ca="1" si="79"/>
        <v>133.99069806444339</v>
      </c>
      <c r="I51" s="368">
        <f t="shared" ca="1" si="79"/>
        <v>143.85796267118636</v>
      </c>
      <c r="J51" s="368">
        <f t="shared" ca="1" si="79"/>
        <v>145.62250980264776</v>
      </c>
      <c r="K51" s="368">
        <f t="shared" ca="1" si="79"/>
        <v>151.58706976333906</v>
      </c>
      <c r="L51" s="368">
        <f t="shared" ca="1" si="79"/>
        <v>154.73277065468869</v>
      </c>
      <c r="M51" s="368">
        <f t="shared" ca="1" si="79"/>
        <v>162.78318176908735</v>
      </c>
      <c r="N51" s="368">
        <f t="shared" ca="1" si="79"/>
        <v>176.20665024072537</v>
      </c>
      <c r="O51" s="1287"/>
      <c r="Q51" s="1312"/>
      <c r="R51" s="1316"/>
      <c r="S51" s="1318">
        <f t="shared" si="5"/>
        <v>0</v>
      </c>
      <c r="T51" s="1318">
        <f t="shared" si="6"/>
        <v>0</v>
      </c>
      <c r="U51" s="1318">
        <f t="shared" si="7"/>
        <v>0</v>
      </c>
      <c r="V51" s="1318">
        <f t="shared" si="8"/>
        <v>0</v>
      </c>
      <c r="W51" s="1318">
        <f t="shared" si="9"/>
        <v>0</v>
      </c>
      <c r="X51" s="1318">
        <f t="shared" si="10"/>
        <v>0</v>
      </c>
      <c r="Y51" s="1318">
        <f t="shared" si="11"/>
        <v>0</v>
      </c>
      <c r="Z51" s="1318">
        <f t="shared" si="12"/>
        <v>0</v>
      </c>
      <c r="AA51" s="1318">
        <f t="shared" si="13"/>
        <v>0</v>
      </c>
      <c r="AB51" s="1318">
        <f t="shared" si="14"/>
        <v>0</v>
      </c>
      <c r="AC51" s="1319"/>
      <c r="AD51" s="1318">
        <f t="shared" si="15"/>
        <v>0</v>
      </c>
      <c r="AE51" s="1318">
        <f t="shared" si="16"/>
        <v>0</v>
      </c>
      <c r="AF51" s="1318">
        <f t="shared" si="17"/>
        <v>0</v>
      </c>
      <c r="AG51" s="1318">
        <f t="shared" si="18"/>
        <v>0</v>
      </c>
      <c r="AH51" s="1318">
        <f t="shared" si="19"/>
        <v>0</v>
      </c>
      <c r="AI51" s="1318">
        <f t="shared" si="20"/>
        <v>0</v>
      </c>
      <c r="AJ51" s="1318">
        <f t="shared" si="21"/>
        <v>0</v>
      </c>
      <c r="AK51" s="1318">
        <f t="shared" si="22"/>
        <v>0</v>
      </c>
      <c r="AL51" s="1318">
        <f t="shared" si="23"/>
        <v>0</v>
      </c>
      <c r="AM51" s="1318">
        <f t="shared" si="24"/>
        <v>0</v>
      </c>
      <c r="AN51" s="1319"/>
      <c r="AO51" s="1320">
        <f t="shared" si="35"/>
        <v>0</v>
      </c>
      <c r="AP51" s="1320">
        <f t="shared" si="25"/>
        <v>0</v>
      </c>
      <c r="AQ51" s="1320">
        <f t="shared" si="26"/>
        <v>0</v>
      </c>
      <c r="AR51" s="1320">
        <f t="shared" si="27"/>
        <v>0</v>
      </c>
      <c r="AS51" s="1320">
        <f t="shared" si="28"/>
        <v>0</v>
      </c>
      <c r="AT51" s="1320">
        <f t="shared" si="29"/>
        <v>0</v>
      </c>
      <c r="AU51" s="1320">
        <f t="shared" si="30"/>
        <v>0</v>
      </c>
      <c r="AV51" s="1320">
        <f t="shared" si="31"/>
        <v>0</v>
      </c>
      <c r="AW51" s="1320">
        <f t="shared" si="32"/>
        <v>0</v>
      </c>
      <c r="AX51" s="1320">
        <f t="shared" si="33"/>
        <v>0</v>
      </c>
      <c r="AY51" s="1315"/>
    </row>
    <row r="52" spans="2:51" s="2555" customFormat="1" ht="15.75">
      <c r="B52" s="1284"/>
      <c r="C52" s="1296" t="s">
        <v>2169</v>
      </c>
      <c r="D52" s="368" t="s">
        <v>2184</v>
      </c>
      <c r="E52" s="368">
        <f ca="1">-INDEX(INDIRECT("XIII.b.Outputs["&amp;E$5&amp;"]"), MATCH("V.04", INDIRECT("XIII.b.Outputs[Vector]"), 0))</f>
        <v>32.784320173000594</v>
      </c>
      <c r="F52" s="368">
        <f t="shared" ref="F52:N52" ca="1" si="80">-INDEX(INDIRECT("XIII.b.Outputs["&amp;F$5&amp;"]"), MATCH("V.04", INDIRECT("XIII.b.Outputs[Vector]"), 0))</f>
        <v>49.805078318337209</v>
      </c>
      <c r="G52" s="368">
        <f t="shared" ca="1" si="80"/>
        <v>73.955471763487466</v>
      </c>
      <c r="H52" s="368">
        <f t="shared" ca="1" si="80"/>
        <v>109.20969201346757</v>
      </c>
      <c r="I52" s="368">
        <f t="shared" ca="1" si="80"/>
        <v>159.70175687218008</v>
      </c>
      <c r="J52" s="368">
        <f t="shared" ca="1" si="80"/>
        <v>232.52141376533132</v>
      </c>
      <c r="K52" s="368">
        <f t="shared" ca="1" si="80"/>
        <v>309.64905641872139</v>
      </c>
      <c r="L52" s="368">
        <f t="shared" ca="1" si="80"/>
        <v>412.36003423655632</v>
      </c>
      <c r="M52" s="368">
        <f t="shared" ca="1" si="80"/>
        <v>549.14037136815</v>
      </c>
      <c r="N52" s="368">
        <f t="shared" ca="1" si="80"/>
        <v>731.29091674620997</v>
      </c>
      <c r="O52" s="1287"/>
      <c r="Q52" s="1312"/>
      <c r="R52" s="1316"/>
      <c r="S52" s="1318"/>
      <c r="T52" s="1318"/>
      <c r="U52" s="1318"/>
      <c r="V52" s="1318"/>
      <c r="W52" s="1318"/>
      <c r="X52" s="1318"/>
      <c r="Y52" s="1318"/>
      <c r="Z52" s="1318"/>
      <c r="AA52" s="1318"/>
      <c r="AB52" s="1318"/>
      <c r="AC52" s="1319"/>
      <c r="AD52" s="1318"/>
      <c r="AE52" s="1318"/>
      <c r="AF52" s="1318"/>
      <c r="AG52" s="1318"/>
      <c r="AH52" s="1318"/>
      <c r="AI52" s="1318"/>
      <c r="AJ52" s="1318"/>
      <c r="AK52" s="1318"/>
      <c r="AL52" s="1318"/>
      <c r="AM52" s="1318"/>
      <c r="AN52" s="1319"/>
      <c r="AO52" s="1320"/>
      <c r="AP52" s="1320"/>
      <c r="AQ52" s="1320"/>
      <c r="AR52" s="1320"/>
      <c r="AS52" s="1320"/>
      <c r="AT52" s="1320"/>
      <c r="AU52" s="1320"/>
      <c r="AV52" s="1320"/>
      <c r="AW52" s="1320"/>
      <c r="AX52" s="1320"/>
      <c r="AY52" s="1315"/>
    </row>
    <row r="53" spans="2:51" s="605" customFormat="1" ht="15.75">
      <c r="B53" s="1284"/>
      <c r="C53" s="1296" t="s">
        <v>2169</v>
      </c>
      <c r="D53" s="368" t="s">
        <v>2181</v>
      </c>
      <c r="E53" s="368">
        <f ca="1">-INDEX(INDIRECT("XIV.Outputs["&amp;E$5&amp;"]"), MATCH("V.04", INDIRECT("XIV.Outputs[Vector]"), 0))</f>
        <v>78.279560752315973</v>
      </c>
      <c r="F53" s="368">
        <f t="shared" ref="F53:N53" ca="1" si="81">-INDEX(INDIRECT("XIV.Outputs["&amp;F$5&amp;"]"), MATCH("V.04", INDIRECT("XIV.Outputs[Vector]"), 0))</f>
        <v>101.36328383625001</v>
      </c>
      <c r="G53" s="368">
        <f t="shared" ca="1" si="81"/>
        <v>139.51022744034137</v>
      </c>
      <c r="H53" s="368">
        <f t="shared" ca="1" si="81"/>
        <v>191.19201024157528</v>
      </c>
      <c r="I53" s="368">
        <f t="shared" ca="1" si="81"/>
        <v>255.64430604957033</v>
      </c>
      <c r="J53" s="368">
        <f t="shared" ca="1" si="81"/>
        <v>321.32433900757485</v>
      </c>
      <c r="K53" s="368">
        <f t="shared" ca="1" si="81"/>
        <v>343.37778660102089</v>
      </c>
      <c r="L53" s="368">
        <f t="shared" ca="1" si="81"/>
        <v>370.04093440085398</v>
      </c>
      <c r="M53" s="368">
        <f t="shared" ca="1" si="81"/>
        <v>389.2384095548075</v>
      </c>
      <c r="N53" s="368">
        <f t="shared" ca="1" si="81"/>
        <v>410.77616150836423</v>
      </c>
      <c r="O53" s="1287"/>
      <c r="Q53" s="1312"/>
      <c r="R53" s="1316"/>
      <c r="S53" s="1318"/>
      <c r="T53" s="1318"/>
      <c r="U53" s="1318"/>
      <c r="V53" s="1318"/>
      <c r="W53" s="1318"/>
      <c r="X53" s="1318"/>
      <c r="Y53" s="1318"/>
      <c r="Z53" s="1318"/>
      <c r="AA53" s="1318"/>
      <c r="AB53" s="1318"/>
      <c r="AC53" s="1319"/>
      <c r="AD53" s="1318"/>
      <c r="AE53" s="1318"/>
      <c r="AF53" s="1318"/>
      <c r="AG53" s="1318"/>
      <c r="AH53" s="1318"/>
      <c r="AI53" s="1318"/>
      <c r="AJ53" s="1318"/>
      <c r="AK53" s="1318"/>
      <c r="AL53" s="1318"/>
      <c r="AM53" s="1318"/>
      <c r="AN53" s="1319"/>
      <c r="AO53" s="1320"/>
      <c r="AP53" s="1320"/>
      <c r="AQ53" s="1320"/>
      <c r="AR53" s="1320"/>
      <c r="AS53" s="1320"/>
      <c r="AT53" s="1320"/>
      <c r="AU53" s="1320"/>
      <c r="AV53" s="1320"/>
      <c r="AW53" s="1320"/>
      <c r="AX53" s="1320"/>
      <c r="AY53" s="1315"/>
    </row>
    <row r="54" spans="2:51" s="605" customFormat="1" ht="15.75">
      <c r="B54" s="1284"/>
      <c r="C54" s="1296" t="s">
        <v>2169</v>
      </c>
      <c r="D54" s="368" t="s">
        <v>2182</v>
      </c>
      <c r="E54" s="368">
        <f ca="1">-INDEX(INDIRECT("XVI.Outputs["&amp;E$5&amp;"]"), MATCH("V.04", INDIRECT("XVI.Outputs[Vector]"), 0))</f>
        <v>11.520100800000002</v>
      </c>
      <c r="F54" s="368">
        <f t="shared" ref="F54:N54" ca="1" si="82">-INDEX(INDIRECT("XVI.Outputs["&amp;F$5&amp;"]"), MATCH("V.04", INDIRECT("XVI.Outputs[Vector]"), 0))</f>
        <v>68.58856814472</v>
      </c>
      <c r="G54" s="368">
        <f t="shared" ca="1" si="82"/>
        <v>79.398613265784363</v>
      </c>
      <c r="H54" s="368">
        <f t="shared" ca="1" si="82"/>
        <v>94.00983566627599</v>
      </c>
      <c r="I54" s="368">
        <f t="shared" ca="1" si="82"/>
        <v>121.17523814610375</v>
      </c>
      <c r="J54" s="368">
        <f t="shared" ca="1" si="82"/>
        <v>136.7065940968846</v>
      </c>
      <c r="K54" s="368">
        <f t="shared" ca="1" si="82"/>
        <v>132.98203904060921</v>
      </c>
      <c r="L54" s="368">
        <f t="shared" ca="1" si="82"/>
        <v>135.83602527078497</v>
      </c>
      <c r="M54" s="368">
        <f t="shared" ca="1" si="82"/>
        <v>156.19775716023554</v>
      </c>
      <c r="N54" s="368">
        <f t="shared" ca="1" si="82"/>
        <v>197.63999278126585</v>
      </c>
      <c r="O54" s="1287"/>
      <c r="Q54" s="1312"/>
      <c r="R54" s="1316"/>
      <c r="S54" s="1318"/>
      <c r="T54" s="1318"/>
      <c r="U54" s="1318"/>
      <c r="V54" s="1318"/>
      <c r="W54" s="1318"/>
      <c r="X54" s="1318"/>
      <c r="Y54" s="1318"/>
      <c r="Z54" s="1318"/>
      <c r="AA54" s="1318"/>
      <c r="AB54" s="1318"/>
      <c r="AC54" s="1319"/>
      <c r="AD54" s="1318"/>
      <c r="AE54" s="1318"/>
      <c r="AF54" s="1318"/>
      <c r="AG54" s="1318"/>
      <c r="AH54" s="1318"/>
      <c r="AI54" s="1318"/>
      <c r="AJ54" s="1318"/>
      <c r="AK54" s="1318"/>
      <c r="AL54" s="1318"/>
      <c r="AM54" s="1318"/>
      <c r="AN54" s="1319"/>
      <c r="AO54" s="1320"/>
      <c r="AP54" s="1320"/>
      <c r="AQ54" s="1320"/>
      <c r="AR54" s="1320"/>
      <c r="AS54" s="1320"/>
      <c r="AT54" s="1320"/>
      <c r="AU54" s="1320"/>
      <c r="AV54" s="1320"/>
      <c r="AW54" s="1320"/>
      <c r="AX54" s="1320"/>
      <c r="AY54" s="1315"/>
    </row>
    <row r="55" spans="2:51" s="605" customFormat="1" ht="15.75">
      <c r="B55" s="1284"/>
      <c r="C55" s="1296" t="s">
        <v>2169</v>
      </c>
      <c r="D55" s="368" t="s">
        <v>2183</v>
      </c>
      <c r="E55" s="368">
        <f ca="1">MAX(INDEX(INDIRECT("'"&amp;E$5&amp;"'!Year.NetBalance"), MATCH("Y.05", INDIRECT("'"&amp;E$5&amp;"'!Year.Vectors"), 0)),0)</f>
        <v>0</v>
      </c>
      <c r="F55" s="368">
        <f t="shared" ref="F55:N55" ca="1" si="83">MAX(INDEX(INDIRECT("'"&amp;F$5&amp;"'!Year.NetBalance"), MATCH("Y.05", INDIRECT("'"&amp;F$5&amp;"'!Year.Vectors"), 0)),0)</f>
        <v>0</v>
      </c>
      <c r="G55" s="368">
        <f t="shared" ca="1" si="83"/>
        <v>0</v>
      </c>
      <c r="H55" s="368">
        <f t="shared" ca="1" si="83"/>
        <v>0</v>
      </c>
      <c r="I55" s="368">
        <f t="shared" ca="1" si="83"/>
        <v>0</v>
      </c>
      <c r="J55" s="368">
        <f t="shared" ca="1" si="83"/>
        <v>0</v>
      </c>
      <c r="K55" s="368">
        <f t="shared" ca="1" si="83"/>
        <v>0</v>
      </c>
      <c r="L55" s="368">
        <f t="shared" ca="1" si="83"/>
        <v>0</v>
      </c>
      <c r="M55" s="368">
        <f t="shared" ca="1" si="83"/>
        <v>0</v>
      </c>
      <c r="N55" s="368">
        <f t="shared" ca="1" si="83"/>
        <v>0</v>
      </c>
      <c r="O55" s="1287"/>
      <c r="Q55" s="1312"/>
      <c r="R55" s="1316"/>
      <c r="S55" s="1318"/>
      <c r="T55" s="1318"/>
      <c r="U55" s="1318"/>
      <c r="V55" s="1318"/>
      <c r="W55" s="1318"/>
      <c r="X55" s="1318"/>
      <c r="Y55" s="1318"/>
      <c r="Z55" s="1318"/>
      <c r="AA55" s="1318"/>
      <c r="AB55" s="1318"/>
      <c r="AC55" s="1319"/>
      <c r="AD55" s="1318"/>
      <c r="AE55" s="1318"/>
      <c r="AF55" s="1318"/>
      <c r="AG55" s="1318"/>
      <c r="AH55" s="1318"/>
      <c r="AI55" s="1318"/>
      <c r="AJ55" s="1318"/>
      <c r="AK55" s="1318"/>
      <c r="AL55" s="1318"/>
      <c r="AM55" s="1318"/>
      <c r="AN55" s="1319"/>
      <c r="AO55" s="1320"/>
      <c r="AP55" s="1320"/>
      <c r="AQ55" s="1320"/>
      <c r="AR55" s="1320"/>
      <c r="AS55" s="1320"/>
      <c r="AT55" s="1320"/>
      <c r="AU55" s="1320"/>
      <c r="AV55" s="1320"/>
      <c r="AW55" s="1320"/>
      <c r="AX55" s="1320"/>
      <c r="AY55" s="1315"/>
    </row>
    <row r="56" spans="2:51" s="2866" customFormat="1" ht="15.75">
      <c r="B56" s="1284"/>
      <c r="C56" s="1296" t="s">
        <v>2169</v>
      </c>
      <c r="D56" s="368" t="s">
        <v>2179</v>
      </c>
      <c r="E56" s="368">
        <f ca="1">-INDEX(INDIRECT("X.a.Outputs["&amp;E$5&amp;"]"), MATCH("V.04", INDIRECT("X.a.Outputs[Vector]"), 0))</f>
        <v>7.4759196442837803</v>
      </c>
      <c r="F56" s="368">
        <f t="shared" ref="F56:N56" ca="1" si="84">-INDEX(INDIRECT("X.a.Outputs["&amp;F$5&amp;"]"), MATCH("V.04", INDIRECT("X.a.Outputs[Vector]"), 0))</f>
        <v>6.8721139985395867</v>
      </c>
      <c r="G56" s="368">
        <f t="shared" ca="1" si="84"/>
        <v>5.8464817913856937</v>
      </c>
      <c r="H56" s="368">
        <f t="shared" ca="1" si="84"/>
        <v>4.694274877983025</v>
      </c>
      <c r="I56" s="368">
        <f t="shared" ca="1" si="84"/>
        <v>3.372789505013718</v>
      </c>
      <c r="J56" s="368">
        <f t="shared" ca="1" si="84"/>
        <v>1.9198429528219716</v>
      </c>
      <c r="K56" s="368">
        <f t="shared" ca="1" si="84"/>
        <v>1.5400462728367814</v>
      </c>
      <c r="L56" s="368">
        <f t="shared" ca="1" si="84"/>
        <v>1.0857801771275235</v>
      </c>
      <c r="M56" s="368">
        <f t="shared" ca="1" si="84"/>
        <v>0.57440815782971422</v>
      </c>
      <c r="N56" s="368">
        <f t="shared" ca="1" si="84"/>
        <v>0</v>
      </c>
      <c r="O56" s="1287"/>
      <c r="Q56" s="1312"/>
      <c r="R56" s="1316"/>
      <c r="S56" s="1318"/>
      <c r="T56" s="1318"/>
      <c r="U56" s="1318"/>
      <c r="V56" s="1318"/>
      <c r="W56" s="1318"/>
      <c r="X56" s="1318"/>
      <c r="Y56" s="1318"/>
      <c r="Z56" s="1318"/>
      <c r="AA56" s="1318"/>
      <c r="AB56" s="1318"/>
      <c r="AC56" s="1319"/>
      <c r="AD56" s="1318"/>
      <c r="AE56" s="1318"/>
      <c r="AF56" s="1318"/>
      <c r="AG56" s="1318"/>
      <c r="AH56" s="1318"/>
      <c r="AI56" s="1318"/>
      <c r="AJ56" s="1318"/>
      <c r="AK56" s="1318"/>
      <c r="AL56" s="1318"/>
      <c r="AM56" s="1318"/>
      <c r="AN56" s="1319"/>
      <c r="AO56" s="1320"/>
      <c r="AP56" s="1320"/>
      <c r="AQ56" s="1320"/>
      <c r="AR56" s="1320"/>
      <c r="AS56" s="1320"/>
      <c r="AT56" s="1320"/>
      <c r="AU56" s="1320"/>
      <c r="AV56" s="1320"/>
      <c r="AW56" s="1320"/>
      <c r="AX56" s="1320"/>
      <c r="AY56" s="1315"/>
    </row>
    <row r="57" spans="2:51" s="605" customFormat="1" ht="15.75">
      <c r="B57" s="1284"/>
      <c r="C57" s="1296" t="s">
        <v>2164</v>
      </c>
      <c r="D57" s="368" t="s">
        <v>2175</v>
      </c>
      <c r="E57" s="368">
        <f ca="1">-INDEX(INDIRECT("XII.a.Outputs["&amp;E$5&amp;"]"), MATCH("V.05", INDIRECT("XII.a.Outputs[Vector]"), 0))</f>
        <v>9.7523560736799499</v>
      </c>
      <c r="F57" s="368">
        <f t="shared" ref="F57:N57" ca="1" si="85">-INDEX(INDIRECT("XII.a.Outputs["&amp;F$5&amp;"]"), MATCH("V.05", INDIRECT("XII.a.Outputs[Vector]"), 0))</f>
        <v>9.7523560736799499</v>
      </c>
      <c r="G57" s="368">
        <f t="shared" ca="1" si="85"/>
        <v>18.423884493552833</v>
      </c>
      <c r="H57" s="368">
        <f t="shared" ca="1" si="85"/>
        <v>32.050013599857472</v>
      </c>
      <c r="I57" s="368">
        <f t="shared" ca="1" si="85"/>
        <v>50.311441669385388</v>
      </c>
      <c r="J57" s="368">
        <f t="shared" ca="1" si="85"/>
        <v>75.226123939036739</v>
      </c>
      <c r="K57" s="368">
        <f t="shared" ca="1" si="85"/>
        <v>105.23064632817186</v>
      </c>
      <c r="L57" s="368">
        <f t="shared" ca="1" si="85"/>
        <v>140.20383691710919</v>
      </c>
      <c r="M57" s="368">
        <f t="shared" ca="1" si="85"/>
        <v>181.1937112040963</v>
      </c>
      <c r="N57" s="368">
        <f t="shared" ca="1" si="85"/>
        <v>224.97708723974054</v>
      </c>
      <c r="O57" s="1287"/>
      <c r="Q57" s="1312"/>
      <c r="R57" s="1316"/>
      <c r="S57" s="1318"/>
      <c r="T57" s="1318"/>
      <c r="U57" s="1318"/>
      <c r="V57" s="1318"/>
      <c r="W57" s="1318"/>
      <c r="X57" s="1318"/>
      <c r="Y57" s="1318"/>
      <c r="Z57" s="1318"/>
      <c r="AA57" s="1318"/>
      <c r="AB57" s="1318"/>
      <c r="AC57" s="1319"/>
      <c r="AD57" s="1318"/>
      <c r="AE57" s="1318"/>
      <c r="AF57" s="1318"/>
      <c r="AG57" s="1318"/>
      <c r="AH57" s="1318"/>
      <c r="AI57" s="1318"/>
      <c r="AJ57" s="1318"/>
      <c r="AK57" s="1318"/>
      <c r="AL57" s="1318"/>
      <c r="AM57" s="1318"/>
      <c r="AN57" s="1319"/>
      <c r="AO57" s="1320"/>
      <c r="AP57" s="1320"/>
      <c r="AQ57" s="1320"/>
      <c r="AR57" s="1320"/>
      <c r="AS57" s="1320"/>
      <c r="AT57" s="1320"/>
      <c r="AU57" s="1320"/>
      <c r="AV57" s="1320"/>
      <c r="AW57" s="1320"/>
      <c r="AX57" s="1320"/>
      <c r="AY57" s="1315"/>
    </row>
    <row r="58" spans="2:51" s="605" customFormat="1" ht="15.75">
      <c r="B58" s="1284"/>
      <c r="C58" s="1296" t="s">
        <v>2164</v>
      </c>
      <c r="D58" s="368" t="s">
        <v>2177</v>
      </c>
      <c r="E58" s="368">
        <f ca="1">-INDEX(INDIRECT("XI.Outputs["&amp;E$5&amp;"]"), MATCH("V.05", INDIRECT("XI.Outputs[Vector]"), 0))</f>
        <v>242.77100615214823</v>
      </c>
      <c r="F58" s="368">
        <f t="shared" ref="F58:N58" ca="1" si="86">-INDEX(INDIRECT("XI.Outputs["&amp;F$5&amp;"]"), MATCH("V.05", INDIRECT("XI.Outputs[Vector]"), 0))</f>
        <v>304.95555807468668</v>
      </c>
      <c r="G58" s="368">
        <f t="shared" ca="1" si="86"/>
        <v>559.73309951837678</v>
      </c>
      <c r="H58" s="368">
        <f t="shared" ca="1" si="86"/>
        <v>675.40319530252668</v>
      </c>
      <c r="I58" s="368">
        <f t="shared" ca="1" si="86"/>
        <v>774.60406505117362</v>
      </c>
      <c r="J58" s="368">
        <f t="shared" ca="1" si="86"/>
        <v>888.10001026324187</v>
      </c>
      <c r="K58" s="368">
        <f t="shared" ca="1" si="86"/>
        <v>1020.6393838745473</v>
      </c>
      <c r="L58" s="368">
        <f t="shared" ca="1" si="86"/>
        <v>1155.0864608542438</v>
      </c>
      <c r="M58" s="368">
        <f t="shared" ca="1" si="86"/>
        <v>1289.7092295695406</v>
      </c>
      <c r="N58" s="368">
        <f t="shared" ca="1" si="86"/>
        <v>1429.1541589009614</v>
      </c>
      <c r="O58" s="1287"/>
      <c r="Q58" s="1312"/>
      <c r="R58" s="1316"/>
      <c r="S58" s="1318"/>
      <c r="T58" s="1318"/>
      <c r="U58" s="1318"/>
      <c r="V58" s="1318"/>
      <c r="W58" s="1318"/>
      <c r="X58" s="1318"/>
      <c r="Y58" s="1318"/>
      <c r="Z58" s="1318"/>
      <c r="AA58" s="1318"/>
      <c r="AB58" s="1318"/>
      <c r="AC58" s="1319"/>
      <c r="AD58" s="1318"/>
      <c r="AE58" s="1318"/>
      <c r="AF58" s="1318"/>
      <c r="AG58" s="1318"/>
      <c r="AH58" s="1318"/>
      <c r="AI58" s="1318"/>
      <c r="AJ58" s="1318"/>
      <c r="AK58" s="1318"/>
      <c r="AL58" s="1318"/>
      <c r="AM58" s="1318"/>
      <c r="AN58" s="1319"/>
      <c r="AO58" s="1320"/>
      <c r="AP58" s="1320"/>
      <c r="AQ58" s="1320"/>
      <c r="AR58" s="1320"/>
      <c r="AS58" s="1320"/>
      <c r="AT58" s="1320"/>
      <c r="AU58" s="1320"/>
      <c r="AV58" s="1320"/>
      <c r="AW58" s="1320"/>
      <c r="AX58" s="1320"/>
      <c r="AY58" s="1315"/>
    </row>
    <row r="59" spans="2:51" s="605" customFormat="1" ht="15.75">
      <c r="B59" s="1284"/>
      <c r="C59" s="1296" t="s">
        <v>2164</v>
      </c>
      <c r="D59" s="368" t="s">
        <v>2178</v>
      </c>
      <c r="E59" s="368">
        <f ca="1">-INDEX(INDIRECT("XIII.a.Outputs["&amp;E$5&amp;"]"), MATCH("V.05", INDIRECT("XIII.a.Outputs[Vector]"), 0))</f>
        <v>11.617622192297571</v>
      </c>
      <c r="F59" s="368">
        <f t="shared" ref="F59:N59" ca="1" si="87">-INDEX(INDIRECT("XIII.a.Outputs["&amp;F$5&amp;"]"), MATCH("V.05", INDIRECT("XIII.a.Outputs[Vector]"), 0))</f>
        <v>17.950564859142954</v>
      </c>
      <c r="G59" s="368">
        <f t="shared" ca="1" si="87"/>
        <v>22.733167713673659</v>
      </c>
      <c r="H59" s="368">
        <f t="shared" ca="1" si="87"/>
        <v>35.149709616199118</v>
      </c>
      <c r="I59" s="368">
        <f t="shared" ca="1" si="87"/>
        <v>55.779074168071169</v>
      </c>
      <c r="J59" s="368">
        <f t="shared" ca="1" si="87"/>
        <v>83.357302420309878</v>
      </c>
      <c r="K59" s="368">
        <f t="shared" ca="1" si="87"/>
        <v>108.90937409757123</v>
      </c>
      <c r="L59" s="368">
        <f t="shared" ca="1" si="87"/>
        <v>142.1283419594134</v>
      </c>
      <c r="M59" s="368">
        <f t="shared" ca="1" si="87"/>
        <v>177.54101963635659</v>
      </c>
      <c r="N59" s="368">
        <f t="shared" ca="1" si="87"/>
        <v>219.3404138507149</v>
      </c>
      <c r="O59" s="1287"/>
      <c r="Q59" s="1312"/>
      <c r="R59" s="1316"/>
      <c r="S59" s="1318"/>
      <c r="T59" s="1318"/>
      <c r="U59" s="1318"/>
      <c r="V59" s="1318"/>
      <c r="W59" s="1318"/>
      <c r="X59" s="1318"/>
      <c r="Y59" s="1318"/>
      <c r="Z59" s="1318"/>
      <c r="AA59" s="1318"/>
      <c r="AB59" s="1318"/>
      <c r="AC59" s="1319"/>
      <c r="AD59" s="1318"/>
      <c r="AE59" s="1318"/>
      <c r="AF59" s="1318"/>
      <c r="AG59" s="1318"/>
      <c r="AH59" s="1318"/>
      <c r="AI59" s="1318"/>
      <c r="AJ59" s="1318"/>
      <c r="AK59" s="1318"/>
      <c r="AL59" s="1318"/>
      <c r="AM59" s="1318"/>
      <c r="AN59" s="1319"/>
      <c r="AO59" s="1320">
        <f t="shared" ref="AO59:AX62" si="88">S59-AD59</f>
        <v>0</v>
      </c>
      <c r="AP59" s="1320">
        <f t="shared" si="88"/>
        <v>0</v>
      </c>
      <c r="AQ59" s="1320">
        <f t="shared" si="88"/>
        <v>0</v>
      </c>
      <c r="AR59" s="1320">
        <f t="shared" si="88"/>
        <v>0</v>
      </c>
      <c r="AS59" s="1320">
        <f t="shared" si="88"/>
        <v>0</v>
      </c>
      <c r="AT59" s="1320">
        <f t="shared" si="88"/>
        <v>0</v>
      </c>
      <c r="AU59" s="1320">
        <f t="shared" si="88"/>
        <v>0</v>
      </c>
      <c r="AV59" s="1320">
        <f t="shared" si="88"/>
        <v>0</v>
      </c>
      <c r="AW59" s="1320">
        <f t="shared" si="88"/>
        <v>0</v>
      </c>
      <c r="AX59" s="1320">
        <f t="shared" si="88"/>
        <v>0</v>
      </c>
      <c r="AY59" s="1315"/>
    </row>
    <row r="60" spans="2:51" s="605" customFormat="1" ht="15.75">
      <c r="B60" s="1284"/>
      <c r="C60" s="1296" t="s">
        <v>2164</v>
      </c>
      <c r="D60" s="368" t="s">
        <v>2184</v>
      </c>
      <c r="E60" s="368">
        <f ca="1">-INDEX(INDIRECT("XIII.b.Outputs["&amp;E$5&amp;"]"), MATCH("V.05", INDIRECT("XIII.b.Outputs[Vector]"), 0))</f>
        <v>9.8523676640812639</v>
      </c>
      <c r="F60" s="368">
        <f t="shared" ref="F60:N60" ca="1" si="89">-INDEX(INDIRECT("XIII.b.Outputs["&amp;F$5&amp;"]"), MATCH("V.05", INDIRECT("XIII.b.Outputs[Vector]"), 0))</f>
        <v>14.962146267487753</v>
      </c>
      <c r="G60" s="368">
        <f t="shared" ca="1" si="89"/>
        <v>22.688438113877794</v>
      </c>
      <c r="H60" s="368">
        <f t="shared" ca="1" si="89"/>
        <v>34.203097223328584</v>
      </c>
      <c r="I60" s="368">
        <f t="shared" ca="1" si="89"/>
        <v>51.044036329383246</v>
      </c>
      <c r="J60" s="368">
        <f t="shared" ca="1" si="89"/>
        <v>75.822013645522929</v>
      </c>
      <c r="K60" s="368">
        <f t="shared" ca="1" si="89"/>
        <v>102.98400482733283</v>
      </c>
      <c r="L60" s="368">
        <f t="shared" ca="1" si="89"/>
        <v>139.83608248630094</v>
      </c>
      <c r="M60" s="368">
        <f t="shared" ca="1" si="89"/>
        <v>189.82259588177294</v>
      </c>
      <c r="N60" s="368">
        <f t="shared" ca="1" si="89"/>
        <v>257.60822692682848</v>
      </c>
      <c r="O60" s="1287"/>
      <c r="Q60" s="1312"/>
      <c r="R60" s="1316"/>
      <c r="S60" s="1318"/>
      <c r="T60" s="1318"/>
      <c r="U60" s="1318"/>
      <c r="V60" s="1318"/>
      <c r="W60" s="1318"/>
      <c r="X60" s="1318"/>
      <c r="Y60" s="1318"/>
      <c r="Z60" s="1318"/>
      <c r="AA60" s="1318"/>
      <c r="AB60" s="1318"/>
      <c r="AC60" s="1319"/>
      <c r="AD60" s="1318"/>
      <c r="AE60" s="1318"/>
      <c r="AF60" s="1318"/>
      <c r="AG60" s="1318"/>
      <c r="AH60" s="1318"/>
      <c r="AI60" s="1318"/>
      <c r="AJ60" s="1318"/>
      <c r="AK60" s="1318"/>
      <c r="AL60" s="1318"/>
      <c r="AM60" s="1318"/>
      <c r="AN60" s="1319"/>
      <c r="AO60" s="1320">
        <f t="shared" si="88"/>
        <v>0</v>
      </c>
      <c r="AP60" s="1320">
        <f t="shared" si="88"/>
        <v>0</v>
      </c>
      <c r="AQ60" s="1320">
        <f t="shared" si="88"/>
        <v>0</v>
      </c>
      <c r="AR60" s="1320">
        <f t="shared" si="88"/>
        <v>0</v>
      </c>
      <c r="AS60" s="1320">
        <f t="shared" si="88"/>
        <v>0</v>
      </c>
      <c r="AT60" s="1320">
        <f t="shared" si="88"/>
        <v>0</v>
      </c>
      <c r="AU60" s="1320">
        <f t="shared" si="88"/>
        <v>0</v>
      </c>
      <c r="AV60" s="1320">
        <f t="shared" si="88"/>
        <v>0</v>
      </c>
      <c r="AW60" s="1320">
        <f t="shared" si="88"/>
        <v>0</v>
      </c>
      <c r="AX60" s="1320">
        <f t="shared" si="88"/>
        <v>0</v>
      </c>
      <c r="AY60" s="1315"/>
    </row>
    <row r="61" spans="2:51" s="605" customFormat="1" ht="15.75">
      <c r="B61" s="1284"/>
      <c r="C61" s="1296" t="s">
        <v>2170</v>
      </c>
      <c r="D61" s="368" t="s">
        <v>2181</v>
      </c>
      <c r="E61" s="368">
        <f ca="1">-INDEX(INDIRECT("XIV.Outputs["&amp;E$5&amp;"]"), MATCH("V.11", INDIRECT("XIV.Outputs[Vector]"), 0))</f>
        <v>0</v>
      </c>
      <c r="F61" s="368">
        <f t="shared" ref="F61:N61" ca="1" si="90">-INDEX(INDIRECT("XIV.Outputs["&amp;F$5&amp;"]"), MATCH("V.11", INDIRECT("XIV.Outputs[Vector]"), 0))</f>
        <v>0</v>
      </c>
      <c r="G61" s="368">
        <f t="shared" ca="1" si="90"/>
        <v>0</v>
      </c>
      <c r="H61" s="368">
        <f t="shared" ca="1" si="90"/>
        <v>0</v>
      </c>
      <c r="I61" s="368">
        <f t="shared" ca="1" si="90"/>
        <v>0</v>
      </c>
      <c r="J61" s="368">
        <f t="shared" ca="1" si="90"/>
        <v>0</v>
      </c>
      <c r="K61" s="368">
        <f t="shared" ca="1" si="90"/>
        <v>0</v>
      </c>
      <c r="L61" s="368">
        <f t="shared" ca="1" si="90"/>
        <v>0</v>
      </c>
      <c r="M61" s="368">
        <f t="shared" ca="1" si="90"/>
        <v>0</v>
      </c>
      <c r="N61" s="368">
        <f t="shared" ca="1" si="90"/>
        <v>0</v>
      </c>
      <c r="O61" s="1287"/>
      <c r="P61" s="1321"/>
      <c r="Q61" s="1312"/>
      <c r="R61" s="1316"/>
      <c r="S61" s="1318"/>
      <c r="T61" s="1318"/>
      <c r="U61" s="1318"/>
      <c r="V61" s="1318"/>
      <c r="W61" s="1318"/>
      <c r="X61" s="1318"/>
      <c r="Y61" s="1318"/>
      <c r="Z61" s="1318"/>
      <c r="AA61" s="1318"/>
      <c r="AB61" s="1318"/>
      <c r="AC61" s="1319"/>
      <c r="AD61" s="1318"/>
      <c r="AE61" s="1318"/>
      <c r="AF61" s="1318"/>
      <c r="AG61" s="1318"/>
      <c r="AH61" s="1318"/>
      <c r="AI61" s="1318"/>
      <c r="AJ61" s="1318"/>
      <c r="AK61" s="1318"/>
      <c r="AL61" s="1318"/>
      <c r="AM61" s="1318"/>
      <c r="AN61" s="1319"/>
      <c r="AO61" s="1320">
        <f t="shared" si="88"/>
        <v>0</v>
      </c>
      <c r="AP61" s="1320">
        <f t="shared" si="88"/>
        <v>0</v>
      </c>
      <c r="AQ61" s="1320">
        <f t="shared" si="88"/>
        <v>0</v>
      </c>
      <c r="AR61" s="1320">
        <f t="shared" si="88"/>
        <v>0</v>
      </c>
      <c r="AS61" s="1320">
        <f t="shared" si="88"/>
        <v>0</v>
      </c>
      <c r="AT61" s="1320">
        <f t="shared" si="88"/>
        <v>0</v>
      </c>
      <c r="AU61" s="1320">
        <f t="shared" si="88"/>
        <v>0</v>
      </c>
      <c r="AV61" s="1320">
        <f t="shared" si="88"/>
        <v>0</v>
      </c>
      <c r="AW61" s="1320">
        <f t="shared" si="88"/>
        <v>0</v>
      </c>
      <c r="AX61" s="1320">
        <f t="shared" si="88"/>
        <v>0</v>
      </c>
      <c r="AY61" s="1315"/>
    </row>
    <row r="62" spans="2:51" s="605" customFormat="1" ht="15.75">
      <c r="B62" s="1284"/>
      <c r="C62" s="1296" t="s">
        <v>2170</v>
      </c>
      <c r="D62" s="368" t="s">
        <v>2182</v>
      </c>
      <c r="E62" s="368">
        <f ca="1">-INDEX(INDIRECT("XVI.Outputs["&amp;E$5&amp;"]"), MATCH("V.11", INDIRECT("XVI.Outputs[Vector]"), 0))</f>
        <v>0</v>
      </c>
      <c r="F62" s="368">
        <f t="shared" ref="F62:N62" ca="1" si="91">-INDEX(INDIRECT("XVI.Outputs["&amp;F$5&amp;"]"), MATCH("V.11", INDIRECT("XVI.Outputs[Vector]"), 0))</f>
        <v>0</v>
      </c>
      <c r="G62" s="368">
        <f t="shared" ca="1" si="91"/>
        <v>0.20202639475160969</v>
      </c>
      <c r="H62" s="368">
        <f t="shared" ca="1" si="91"/>
        <v>0.23479755278393905</v>
      </c>
      <c r="I62" s="368">
        <f t="shared" ca="1" si="91"/>
        <v>0.80246458490064865</v>
      </c>
      <c r="J62" s="368">
        <f t="shared" ca="1" si="91"/>
        <v>0.85035107226340734</v>
      </c>
      <c r="K62" s="368">
        <f t="shared" ca="1" si="91"/>
        <v>1.8569422309993817</v>
      </c>
      <c r="L62" s="368">
        <f t="shared" ca="1" si="91"/>
        <v>1.7981818784172785</v>
      </c>
      <c r="M62" s="368">
        <f t="shared" ca="1" si="91"/>
        <v>3.3657895406453329</v>
      </c>
      <c r="N62" s="368">
        <f t="shared" ca="1" si="91"/>
        <v>4.2587975180334565</v>
      </c>
      <c r="O62" s="1287"/>
      <c r="Q62" s="1312"/>
      <c r="R62" s="1316"/>
      <c r="S62" s="1318"/>
      <c r="T62" s="1318"/>
      <c r="U62" s="1318"/>
      <c r="V62" s="1318"/>
      <c r="W62" s="1318"/>
      <c r="X62" s="1318"/>
      <c r="Y62" s="1318"/>
      <c r="Z62" s="1318"/>
      <c r="AA62" s="1318"/>
      <c r="AB62" s="1318"/>
      <c r="AC62" s="1319"/>
      <c r="AD62" s="1318"/>
      <c r="AE62" s="1318"/>
      <c r="AF62" s="1318"/>
      <c r="AG62" s="1318"/>
      <c r="AH62" s="1318"/>
      <c r="AI62" s="1318"/>
      <c r="AJ62" s="1318"/>
      <c r="AK62" s="1318"/>
      <c r="AL62" s="1318"/>
      <c r="AM62" s="1318"/>
      <c r="AN62" s="1319"/>
      <c r="AO62" s="1320">
        <f t="shared" si="88"/>
        <v>0</v>
      </c>
      <c r="AP62" s="1320">
        <f t="shared" si="88"/>
        <v>0</v>
      </c>
      <c r="AQ62" s="1320">
        <f t="shared" si="88"/>
        <v>0</v>
      </c>
      <c r="AR62" s="1320">
        <f t="shared" si="88"/>
        <v>0</v>
      </c>
      <c r="AS62" s="1320">
        <f t="shared" si="88"/>
        <v>0</v>
      </c>
      <c r="AT62" s="1320">
        <f t="shared" si="88"/>
        <v>0</v>
      </c>
      <c r="AU62" s="1320">
        <f t="shared" si="88"/>
        <v>0</v>
      </c>
      <c r="AV62" s="1320">
        <f t="shared" si="88"/>
        <v>0</v>
      </c>
      <c r="AW62" s="1320">
        <f t="shared" si="88"/>
        <v>0</v>
      </c>
      <c r="AX62" s="1320">
        <f t="shared" si="88"/>
        <v>0</v>
      </c>
      <c r="AY62" s="1315"/>
    </row>
    <row r="63" spans="2:51" s="605" customFormat="1" ht="15.75">
      <c r="B63" s="1284"/>
      <c r="C63" s="1296" t="s">
        <v>2164</v>
      </c>
      <c r="D63" s="368" t="s">
        <v>2183</v>
      </c>
      <c r="E63" s="368">
        <f ca="1">MAX(INDEX(INDIRECT("'"&amp;E$5&amp;"'!Year.NetBalance"), MATCH("Y.06", INDIRECT("'"&amp;E$5&amp;"'!Year.Vectors"), 0)),0)</f>
        <v>0</v>
      </c>
      <c r="F63" s="368">
        <f t="shared" ref="F63:N63" ca="1" si="92">MAX(INDEX(INDIRECT("'"&amp;F$5&amp;"'!Year.NetBalance"), MATCH("Y.06", INDIRECT("'"&amp;F$5&amp;"'!Year.Vectors"), 0)),0)</f>
        <v>0</v>
      </c>
      <c r="G63" s="368">
        <f t="shared" ca="1" si="92"/>
        <v>0</v>
      </c>
      <c r="H63" s="368">
        <f t="shared" ca="1" si="92"/>
        <v>0</v>
      </c>
      <c r="I63" s="368">
        <f t="shared" ca="1" si="92"/>
        <v>0</v>
      </c>
      <c r="J63" s="368">
        <f t="shared" ca="1" si="92"/>
        <v>0</v>
      </c>
      <c r="K63" s="368">
        <f t="shared" ca="1" si="92"/>
        <v>0</v>
      </c>
      <c r="L63" s="368">
        <f t="shared" ca="1" si="92"/>
        <v>0</v>
      </c>
      <c r="M63" s="368">
        <f t="shared" ca="1" si="92"/>
        <v>0</v>
      </c>
      <c r="N63" s="368">
        <f t="shared" ca="1" si="92"/>
        <v>0</v>
      </c>
      <c r="O63" s="1287"/>
      <c r="Q63" s="1312"/>
      <c r="R63" s="1316"/>
      <c r="S63" s="1318"/>
      <c r="T63" s="1318"/>
      <c r="U63" s="1318"/>
      <c r="V63" s="1318"/>
      <c r="W63" s="1318"/>
      <c r="X63" s="1318"/>
      <c r="Y63" s="1318"/>
      <c r="Z63" s="1318"/>
      <c r="AA63" s="1318"/>
      <c r="AB63" s="1318"/>
      <c r="AC63" s="1319"/>
      <c r="AD63" s="1318"/>
      <c r="AE63" s="1318"/>
      <c r="AF63" s="1318"/>
      <c r="AG63" s="1318"/>
      <c r="AH63" s="1318"/>
      <c r="AI63" s="1318"/>
      <c r="AJ63" s="1318"/>
      <c r="AK63" s="1318"/>
      <c r="AL63" s="1318"/>
      <c r="AM63" s="1318"/>
      <c r="AN63" s="1319"/>
      <c r="AO63" s="1320"/>
      <c r="AP63" s="1320"/>
      <c r="AQ63" s="1320"/>
      <c r="AR63" s="1320"/>
      <c r="AS63" s="1320"/>
      <c r="AT63" s="1320"/>
      <c r="AU63" s="1320"/>
      <c r="AV63" s="1320"/>
      <c r="AW63" s="1320"/>
      <c r="AX63" s="1320"/>
      <c r="AY63" s="1315"/>
    </row>
    <row r="64" spans="2:51" s="605" customFormat="1" ht="15.75">
      <c r="B64" s="1284"/>
      <c r="C64" s="1296" t="s">
        <v>2165</v>
      </c>
      <c r="D64" s="368" t="s">
        <v>2177</v>
      </c>
      <c r="E64" s="368">
        <f ca="1">-INDEX(INDIRECT("XI.Outputs["&amp;E$5&amp;"]"), MATCH("V.03", INDIRECT("XI.Outputs[Vector]"), 0))</f>
        <v>612.49419450759206</v>
      </c>
      <c r="F64" s="368">
        <f t="shared" ref="F64:N64" ca="1" si="93">-INDEX(INDIRECT("XI.Outputs["&amp;F$5&amp;"]"), MATCH("V.03", INDIRECT("XI.Outputs[Vector]"), 0))</f>
        <v>953.66000000000008</v>
      </c>
      <c r="G64" s="368">
        <f t="shared" ca="1" si="93"/>
        <v>1364.656615512903</v>
      </c>
      <c r="H64" s="368">
        <f t="shared" ca="1" si="93"/>
        <v>2040.8846856072132</v>
      </c>
      <c r="I64" s="368">
        <f t="shared" ca="1" si="93"/>
        <v>2811.3453134814672</v>
      </c>
      <c r="J64" s="368">
        <f t="shared" ca="1" si="93"/>
        <v>3663.8496331879392</v>
      </c>
      <c r="K64" s="368">
        <f t="shared" ca="1" si="93"/>
        <v>4522.4757347137111</v>
      </c>
      <c r="L64" s="368">
        <f t="shared" ca="1" si="93"/>
        <v>5293.5715129730197</v>
      </c>
      <c r="M64" s="368">
        <f t="shared" ca="1" si="93"/>
        <v>5938.2192854719196</v>
      </c>
      <c r="N64" s="368">
        <f t="shared" ca="1" si="93"/>
        <v>6573.3999411380282</v>
      </c>
      <c r="O64" s="1287"/>
      <c r="Q64" s="1312"/>
      <c r="R64" s="1316"/>
      <c r="S64" s="1318"/>
      <c r="T64" s="1318"/>
      <c r="U64" s="1318"/>
      <c r="V64" s="1318"/>
      <c r="W64" s="1318"/>
      <c r="X64" s="1318"/>
      <c r="Y64" s="1318"/>
      <c r="Z64" s="1318"/>
      <c r="AA64" s="1318"/>
      <c r="AB64" s="1318"/>
      <c r="AC64" s="1319"/>
      <c r="AD64" s="1318"/>
      <c r="AE64" s="1318"/>
      <c r="AF64" s="1318"/>
      <c r="AG64" s="1318"/>
      <c r="AH64" s="1318"/>
      <c r="AI64" s="1318"/>
      <c r="AJ64" s="1318"/>
      <c r="AK64" s="1318"/>
      <c r="AL64" s="1318"/>
      <c r="AM64" s="1318"/>
      <c r="AN64" s="1319"/>
      <c r="AO64" s="1320"/>
      <c r="AP64" s="1320"/>
      <c r="AQ64" s="1320"/>
      <c r="AR64" s="1320"/>
      <c r="AS64" s="1320"/>
      <c r="AT64" s="1320"/>
      <c r="AU64" s="1320"/>
      <c r="AV64" s="1320"/>
      <c r="AW64" s="1320"/>
      <c r="AX64" s="1320"/>
      <c r="AY64" s="1315"/>
    </row>
    <row r="65" spans="2:51" s="605" customFormat="1" ht="15.75">
      <c r="B65" s="1284"/>
      <c r="C65" s="1296" t="s">
        <v>2165</v>
      </c>
      <c r="D65" s="368" t="s">
        <v>2178</v>
      </c>
      <c r="E65" s="368">
        <f ca="1">-INDEX(INDIRECT("XIII.a.Outputs["&amp;E$5&amp;"]"), MATCH("V.03", INDIRECT("XIII.a.Outputs[Vector]"), 0))</f>
        <v>949.56920087057415</v>
      </c>
      <c r="F65" s="368">
        <f t="shared" ref="F65:N65" ca="1" si="94">-INDEX(INDIRECT("XIII.a.Outputs["&amp;F$5&amp;"]"), MATCH("V.03", INDIRECT("XIII.a.Outputs[Vector]"), 0))</f>
        <v>1020.1110595149701</v>
      </c>
      <c r="G65" s="368">
        <f t="shared" ca="1" si="94"/>
        <v>1001.9366743603108</v>
      </c>
      <c r="H65" s="368">
        <f t="shared" ca="1" si="94"/>
        <v>983.74266287146509</v>
      </c>
      <c r="I65" s="368">
        <f t="shared" ca="1" si="94"/>
        <v>950.80286163262076</v>
      </c>
      <c r="J65" s="368">
        <f t="shared" ca="1" si="94"/>
        <v>905.63902530628877</v>
      </c>
      <c r="K65" s="368">
        <f t="shared" ca="1" si="94"/>
        <v>853.57505154297087</v>
      </c>
      <c r="L65" s="368">
        <f t="shared" ca="1" si="94"/>
        <v>783.70254050190999</v>
      </c>
      <c r="M65" s="368">
        <f t="shared" ca="1" si="94"/>
        <v>703.50687543202605</v>
      </c>
      <c r="N65" s="368">
        <f t="shared" ca="1" si="94"/>
        <v>655.18062965232855</v>
      </c>
      <c r="O65" s="1287"/>
      <c r="Q65" s="1312"/>
      <c r="R65" s="1316"/>
      <c r="S65" s="1318"/>
      <c r="T65" s="1318"/>
      <c r="U65" s="1318"/>
      <c r="V65" s="1318"/>
      <c r="W65" s="1318"/>
      <c r="X65" s="1318"/>
      <c r="Y65" s="1318"/>
      <c r="Z65" s="1318"/>
      <c r="AA65" s="1318"/>
      <c r="AB65" s="1318"/>
      <c r="AC65" s="1319"/>
      <c r="AD65" s="1318"/>
      <c r="AE65" s="1318"/>
      <c r="AF65" s="1318"/>
      <c r="AG65" s="1318"/>
      <c r="AH65" s="1318"/>
      <c r="AI65" s="1318"/>
      <c r="AJ65" s="1318"/>
      <c r="AK65" s="1318"/>
      <c r="AL65" s="1318"/>
      <c r="AM65" s="1318"/>
      <c r="AN65" s="1319"/>
      <c r="AO65" s="1320"/>
      <c r="AP65" s="1320"/>
      <c r="AQ65" s="1320"/>
      <c r="AR65" s="1320"/>
      <c r="AS65" s="1320"/>
      <c r="AT65" s="1320"/>
      <c r="AU65" s="1320"/>
      <c r="AV65" s="1320"/>
      <c r="AW65" s="1320"/>
      <c r="AX65" s="1320"/>
      <c r="AY65" s="1315"/>
    </row>
    <row r="66" spans="2:51" s="605" customFormat="1" ht="15.75">
      <c r="B66" s="1284"/>
      <c r="C66" s="1296" t="s">
        <v>2165</v>
      </c>
      <c r="D66" s="368" t="s">
        <v>2183</v>
      </c>
      <c r="E66" s="368">
        <f ca="1">MAX(INDEX(INDIRECT("'"&amp;E$5&amp;"'!Year.NetBalance"), MATCH("Y.04", INDIRECT("'"&amp;E$5&amp;"'!Year.Vectors"), 0)),0)</f>
        <v>0</v>
      </c>
      <c r="F66" s="368">
        <f t="shared" ref="F66:N66" ca="1" si="95">MAX(INDEX(INDIRECT("'"&amp;F$5&amp;"'!Year.NetBalance"), MATCH("Y.04", INDIRECT("'"&amp;F$5&amp;"'!Year.Vectors"), 0)),0)</f>
        <v>0</v>
      </c>
      <c r="G66" s="368">
        <f t="shared" ca="1" si="95"/>
        <v>0</v>
      </c>
      <c r="H66" s="368">
        <f t="shared" ca="1" si="95"/>
        <v>0</v>
      </c>
      <c r="I66" s="368">
        <f t="shared" ca="1" si="95"/>
        <v>0</v>
      </c>
      <c r="J66" s="368">
        <f t="shared" ca="1" si="95"/>
        <v>0</v>
      </c>
      <c r="K66" s="368">
        <f t="shared" ca="1" si="95"/>
        <v>0</v>
      </c>
      <c r="L66" s="368">
        <f t="shared" ca="1" si="95"/>
        <v>0</v>
      </c>
      <c r="M66" s="368">
        <f t="shared" ca="1" si="95"/>
        <v>0</v>
      </c>
      <c r="N66" s="368">
        <f t="shared" ca="1" si="95"/>
        <v>0</v>
      </c>
      <c r="O66" s="1287"/>
      <c r="Q66" s="1312"/>
      <c r="R66" s="1316"/>
      <c r="S66" s="1318"/>
      <c r="T66" s="1318"/>
      <c r="U66" s="1318"/>
      <c r="V66" s="1318"/>
      <c r="W66" s="1318"/>
      <c r="X66" s="1318"/>
      <c r="Y66" s="1318"/>
      <c r="Z66" s="1318"/>
      <c r="AA66" s="1318"/>
      <c r="AB66" s="1318"/>
      <c r="AC66" s="1319"/>
      <c r="AD66" s="1318"/>
      <c r="AE66" s="1318"/>
      <c r="AF66" s="1318"/>
      <c r="AG66" s="1318"/>
      <c r="AH66" s="1318"/>
      <c r="AI66" s="1318"/>
      <c r="AJ66" s="1318"/>
      <c r="AK66" s="1318"/>
      <c r="AL66" s="1318"/>
      <c r="AM66" s="1318"/>
      <c r="AN66" s="1319"/>
      <c r="AO66" s="1320"/>
      <c r="AP66" s="1320"/>
      <c r="AQ66" s="1320"/>
      <c r="AR66" s="1320"/>
      <c r="AS66" s="1320"/>
      <c r="AT66" s="1320"/>
      <c r="AU66" s="1320"/>
      <c r="AV66" s="1320"/>
      <c r="AW66" s="1320"/>
      <c r="AX66" s="1320"/>
      <c r="AY66" s="1315"/>
    </row>
    <row r="67" spans="2:51" s="605" customFormat="1" ht="15.75">
      <c r="B67" s="1284"/>
      <c r="C67" s="1296" t="s">
        <v>2171</v>
      </c>
      <c r="D67" s="368" t="s">
        <v>2165</v>
      </c>
      <c r="E67" s="368">
        <f ca="1">E6+E7</f>
        <v>2316.2462455929053</v>
      </c>
      <c r="F67" s="368">
        <f t="shared" ref="F67:N67" ca="1" si="96">F6+F7</f>
        <v>3238.2489822140624</v>
      </c>
      <c r="G67" s="368">
        <f t="shared" ca="1" si="96"/>
        <v>4492.7367614435316</v>
      </c>
      <c r="H67" s="368">
        <f t="shared" ca="1" si="96"/>
        <v>6652.3651747013391</v>
      </c>
      <c r="I67" s="368">
        <f t="shared" ca="1" si="96"/>
        <v>9337.4357162545803</v>
      </c>
      <c r="J67" s="368">
        <f t="shared" ca="1" si="96"/>
        <v>12807.871055210169</v>
      </c>
      <c r="K67" s="368">
        <f t="shared" ca="1" si="96"/>
        <v>16014.06130301861</v>
      </c>
      <c r="L67" s="368">
        <f t="shared" ca="1" si="96"/>
        <v>19519.972798371477</v>
      </c>
      <c r="M67" s="368">
        <f t="shared" ca="1" si="96"/>
        <v>22648.081872617422</v>
      </c>
      <c r="N67" s="368">
        <f t="shared" ca="1" si="96"/>
        <v>26136.766339922484</v>
      </c>
      <c r="O67" s="1287"/>
      <c r="Q67" s="1312"/>
      <c r="R67" s="1285"/>
      <c r="S67" s="1316"/>
      <c r="T67" s="1316"/>
      <c r="U67" s="1316"/>
      <c r="V67" s="1316"/>
      <c r="W67" s="1317"/>
      <c r="X67" s="1317"/>
      <c r="Y67" s="1317"/>
      <c r="Z67" s="1317"/>
      <c r="AA67" s="1317"/>
      <c r="AB67" s="1317"/>
      <c r="AC67" s="1317"/>
      <c r="AD67" s="1317"/>
      <c r="AE67" s="1317"/>
      <c r="AF67" s="1317"/>
      <c r="AG67" s="1317"/>
      <c r="AH67" s="1317"/>
      <c r="AI67" s="1317"/>
      <c r="AJ67" s="1317"/>
      <c r="AK67" s="1317"/>
      <c r="AL67" s="1317"/>
      <c r="AM67" s="1317"/>
      <c r="AN67" s="1317"/>
      <c r="AO67" s="1317"/>
      <c r="AP67" s="1317"/>
      <c r="AQ67" s="1317"/>
      <c r="AR67" s="1317"/>
      <c r="AS67" s="1317"/>
      <c r="AT67" s="1317"/>
      <c r="AU67" s="1317"/>
      <c r="AV67" s="1317"/>
      <c r="AW67" s="1317"/>
      <c r="AX67" s="1317"/>
      <c r="AY67" s="1313"/>
    </row>
    <row r="68" spans="2:51" s="605" customFormat="1">
      <c r="B68" s="1284"/>
      <c r="C68" s="1296" t="s">
        <v>2172</v>
      </c>
      <c r="D68" s="368" t="s">
        <v>2169</v>
      </c>
      <c r="E68" s="368">
        <f ca="1">E8+E9</f>
        <v>1612.6260395924837</v>
      </c>
      <c r="F68" s="368">
        <f t="shared" ref="F68:N68" ca="1" si="97">F8+F9</f>
        <v>1909.5772800259967</v>
      </c>
      <c r="G68" s="368">
        <f t="shared" ca="1" si="97"/>
        <v>2580.7414083504682</v>
      </c>
      <c r="H68" s="368">
        <f t="shared" ca="1" si="97"/>
        <v>3461.0760192506468</v>
      </c>
      <c r="I68" s="368">
        <f t="shared" ca="1" si="97"/>
        <v>4507.4722912926109</v>
      </c>
      <c r="J68" s="368">
        <f t="shared" ca="1" si="97"/>
        <v>5733.5036530053567</v>
      </c>
      <c r="K68" s="368">
        <f t="shared" ca="1" si="97"/>
        <v>7104.9780416879994</v>
      </c>
      <c r="L68" s="368">
        <f t="shared" ca="1" si="97"/>
        <v>8497.5521704450966</v>
      </c>
      <c r="M68" s="368">
        <f t="shared" ca="1" si="97"/>
        <v>10064.421013056954</v>
      </c>
      <c r="N68" s="368">
        <f t="shared" ca="1" si="97"/>
        <v>11740.454555189404</v>
      </c>
      <c r="O68" s="1287"/>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row>
    <row r="69" spans="2:51" s="605" customFormat="1">
      <c r="B69" s="1284"/>
      <c r="C69" s="1296" t="s">
        <v>2173</v>
      </c>
      <c r="D69" s="368" t="s">
        <v>2164</v>
      </c>
      <c r="E69" s="368">
        <f ca="1">E10+E11</f>
        <v>450.37586718740386</v>
      </c>
      <c r="F69" s="368">
        <f t="shared" ref="F69:N69" ca="1" si="98">F10+F11</f>
        <v>607.99706212180251</v>
      </c>
      <c r="G69" s="368">
        <f t="shared" ca="1" si="98"/>
        <v>954.37407948436692</v>
      </c>
      <c r="H69" s="368">
        <f t="shared" ca="1" si="98"/>
        <v>1129.3893445499402</v>
      </c>
      <c r="I69" s="368">
        <f t="shared" ca="1" si="98"/>
        <v>1306.3655615252346</v>
      </c>
      <c r="J69" s="368">
        <f t="shared" ca="1" si="98"/>
        <v>1524.5511448106251</v>
      </c>
      <c r="K69" s="368">
        <f t="shared" ca="1" si="98"/>
        <v>1771.6776988819261</v>
      </c>
      <c r="L69" s="368">
        <f t="shared" ca="1" si="98"/>
        <v>2046.6620023011292</v>
      </c>
      <c r="M69" s="368">
        <f t="shared" ca="1" si="98"/>
        <v>2346.3840289711452</v>
      </c>
      <c r="N69" s="368">
        <f t="shared" ca="1" si="98"/>
        <v>2682.6666261638215</v>
      </c>
      <c r="O69" s="1287"/>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row>
    <row r="70" spans="2:51" s="605" customFormat="1">
      <c r="B70" s="1284"/>
      <c r="C70" s="1296" t="s">
        <v>2164</v>
      </c>
      <c r="D70" s="3185" t="s">
        <v>2174</v>
      </c>
      <c r="E70" s="368">
        <f ca="1">-(INDEX(INDIRECT("XVII.a.Outputs["&amp;E$5&amp;"]"), MATCH("C.03", INDIRECT("XVII.a.Outputs[Vector]"), 0))+INDEX(INDIRECT("XVII.a.Outputs["&amp;E$5&amp;"]"), MATCH("V.05", INDIRECT("XVII.a.Outputs[Vector]"), 0)))</f>
        <v>58.744678328791792</v>
      </c>
      <c r="F70" s="368">
        <f t="shared" ref="F70:N70" ca="1" si="99">-(INDEX(INDIRECT("XVII.a.Outputs["&amp;F$5&amp;"]"), MATCH("C.03", INDIRECT("XVII.a.Outputs[Vector]"), 0))+INDEX(INDIRECT("XVII.a.Outputs["&amp;F$5&amp;"]"), MATCH("V.05", INDIRECT("XVII.a.Outputs[Vector]"), 0)))</f>
        <v>79.303964624582932</v>
      </c>
      <c r="G70" s="368">
        <f t="shared" ca="1" si="99"/>
        <v>124.48357558491739</v>
      </c>
      <c r="H70" s="368">
        <f t="shared" ca="1" si="99"/>
        <v>147.31165363694879</v>
      </c>
      <c r="I70" s="368">
        <f t="shared" ca="1" si="99"/>
        <v>170.39550802503049</v>
      </c>
      <c r="J70" s="368">
        <f t="shared" ca="1" si="99"/>
        <v>198.85449714921197</v>
      </c>
      <c r="K70" s="368">
        <f t="shared" ca="1" si="99"/>
        <v>231.0883955063382</v>
      </c>
      <c r="L70" s="368">
        <f t="shared" ca="1" si="99"/>
        <v>266.95591334362553</v>
      </c>
      <c r="M70" s="368">
        <f t="shared" ca="1" si="99"/>
        <v>306.05009073536689</v>
      </c>
      <c r="N70" s="368">
        <f t="shared" ca="1" si="99"/>
        <v>349.91303819528093</v>
      </c>
      <c r="O70" s="1287"/>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row>
    <row r="71" spans="2:51" s="605" customFormat="1">
      <c r="B71" s="1284"/>
      <c r="C71" s="1296" t="s">
        <v>2169</v>
      </c>
      <c r="D71" s="3185" t="s">
        <v>2174</v>
      </c>
      <c r="E71" s="368">
        <f ca="1">-(INDEX(INDIRECT("XVII.a.Outputs["&amp;E$5&amp;"]"), MATCH("C.02", INDIRECT("XVII.a.Outputs[Vector]"), 0))+INDEX(INDIRECT("XVII.a.Outputs["&amp;E$5&amp;"]"), MATCH("V.04", INDIRECT("XVII.a.Outputs[Vector]"), 0)))</f>
        <v>105.49889978642409</v>
      </c>
      <c r="F71" s="368">
        <f t="shared" ref="F71:N71" ca="1" si="100">-(INDEX(INDIRECT("XVII.a.Outputs["&amp;F$5&amp;"]"), MATCH("C.02", INDIRECT("XVII.a.Outputs[Vector]"), 0))+INDEX(INDIRECT("XVII.a.Outputs["&amp;F$5&amp;"]"), MATCH("V.04", INDIRECT("XVII.a.Outputs[Vector]"), 0)))</f>
        <v>124.92561645029878</v>
      </c>
      <c r="G71" s="368">
        <f t="shared" ca="1" si="100"/>
        <v>168.83355007900263</v>
      </c>
      <c r="H71" s="368">
        <f t="shared" ca="1" si="100"/>
        <v>226.42553396966832</v>
      </c>
      <c r="I71" s="368">
        <f t="shared" ca="1" si="100"/>
        <v>294.88136485091854</v>
      </c>
      <c r="J71" s="368">
        <f t="shared" ca="1" si="100"/>
        <v>375.08902402838794</v>
      </c>
      <c r="K71" s="368">
        <f t="shared" ca="1" si="100"/>
        <v>464.81164758706564</v>
      </c>
      <c r="L71" s="368">
        <f t="shared" ca="1" si="100"/>
        <v>555.91462797304303</v>
      </c>
      <c r="M71" s="368">
        <f t="shared" ca="1" si="100"/>
        <v>658.42006627475348</v>
      </c>
      <c r="N71" s="368">
        <f t="shared" ca="1" si="100"/>
        <v>768.06712043295192</v>
      </c>
      <c r="O71" s="1287"/>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row>
    <row r="72" spans="2:51" s="605" customFormat="1">
      <c r="B72" s="1284"/>
      <c r="C72" s="1296"/>
      <c r="D72" s="368"/>
      <c r="E72" s="368"/>
      <c r="F72" s="368"/>
      <c r="G72" s="368"/>
      <c r="H72" s="368"/>
      <c r="I72" s="368"/>
      <c r="J72" s="368"/>
      <c r="K72" s="368"/>
      <c r="L72" s="368"/>
      <c r="M72" s="368"/>
      <c r="N72" s="368"/>
      <c r="O72" s="1287"/>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row>
    <row r="73" spans="2:51" s="605" customFormat="1">
      <c r="B73" s="1284"/>
      <c r="C73" s="1296"/>
      <c r="D73" s="368"/>
      <c r="E73" s="368"/>
      <c r="F73" s="368"/>
      <c r="G73" s="368"/>
      <c r="H73" s="368"/>
      <c r="I73" s="368"/>
      <c r="J73" s="368"/>
      <c r="K73" s="368"/>
      <c r="L73" s="368"/>
      <c r="M73" s="368"/>
      <c r="N73" s="368"/>
      <c r="O73" s="1287"/>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row>
    <row r="74" spans="2:51" s="605" customFormat="1">
      <c r="B74" s="1284"/>
      <c r="C74" s="1296"/>
      <c r="D74" s="368"/>
      <c r="E74" s="368"/>
      <c r="F74" s="368"/>
      <c r="G74" s="368"/>
      <c r="H74" s="368"/>
      <c r="I74" s="368"/>
      <c r="J74" s="368"/>
      <c r="K74" s="368"/>
      <c r="L74" s="368"/>
      <c r="M74" s="368"/>
      <c r="N74" s="368"/>
      <c r="O74" s="1287"/>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row>
    <row r="75" spans="2:51" s="605" customFormat="1">
      <c r="B75" s="1284"/>
      <c r="C75" s="1296"/>
      <c r="D75" s="368"/>
      <c r="E75" s="368"/>
      <c r="F75" s="368"/>
      <c r="G75" s="368"/>
      <c r="H75" s="368"/>
      <c r="I75" s="368"/>
      <c r="J75" s="368"/>
      <c r="K75" s="368"/>
      <c r="L75" s="368"/>
      <c r="M75" s="368"/>
      <c r="N75" s="368"/>
      <c r="O75" s="1287"/>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row>
    <row r="76" spans="2:51" s="605" customFormat="1">
      <c r="B76" s="1284"/>
      <c r="C76" s="1296"/>
      <c r="D76" s="368"/>
      <c r="E76" s="368"/>
      <c r="F76" s="368"/>
      <c r="G76" s="368"/>
      <c r="H76" s="368"/>
      <c r="I76" s="368"/>
      <c r="J76" s="368"/>
      <c r="K76" s="368"/>
      <c r="L76" s="368"/>
      <c r="M76" s="368"/>
      <c r="N76" s="368"/>
      <c r="O76" s="1287"/>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row>
    <row r="77" spans="2:51" s="605" customFormat="1">
      <c r="B77" s="1284"/>
      <c r="C77" s="1296"/>
      <c r="D77" s="368"/>
      <c r="E77" s="368"/>
      <c r="F77" s="368"/>
      <c r="G77" s="368"/>
      <c r="H77" s="368"/>
      <c r="I77" s="368"/>
      <c r="J77" s="368"/>
      <c r="K77" s="368"/>
      <c r="L77" s="368"/>
      <c r="M77" s="368"/>
      <c r="N77" s="368"/>
      <c r="O77" s="1287"/>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row>
    <row r="78" spans="2:51" s="605" customFormat="1">
      <c r="B78" s="1284"/>
      <c r="C78" s="1296"/>
      <c r="D78" s="368"/>
      <c r="E78" s="368"/>
      <c r="F78" s="368"/>
      <c r="G78" s="368"/>
      <c r="H78" s="368"/>
      <c r="I78" s="368"/>
      <c r="J78" s="368"/>
      <c r="K78" s="368"/>
      <c r="L78" s="368"/>
      <c r="M78" s="368"/>
      <c r="N78" s="368"/>
      <c r="O78" s="1287"/>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row>
    <row r="79" spans="2:51" s="605" customFormat="1">
      <c r="B79" s="1284"/>
      <c r="C79" s="1296"/>
      <c r="D79" s="368"/>
      <c r="E79" s="368"/>
      <c r="F79" s="368"/>
      <c r="G79" s="368"/>
      <c r="H79" s="368"/>
      <c r="I79" s="368"/>
      <c r="J79" s="368"/>
      <c r="K79" s="368"/>
      <c r="L79" s="368"/>
      <c r="M79" s="368"/>
      <c r="N79" s="368"/>
      <c r="O79" s="1287"/>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row>
    <row r="80" spans="2:51" s="605" customFormat="1">
      <c r="B80" s="1284"/>
      <c r="C80" s="1296"/>
      <c r="D80" s="368"/>
      <c r="E80" s="368"/>
      <c r="F80" s="368"/>
      <c r="G80" s="368"/>
      <c r="H80" s="368"/>
      <c r="I80" s="368"/>
      <c r="J80" s="368"/>
      <c r="K80" s="368"/>
      <c r="L80" s="368"/>
      <c r="M80" s="368"/>
      <c r="N80" s="368"/>
      <c r="O80" s="1287"/>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row>
    <row r="81" spans="2:50" s="605" customFormat="1">
      <c r="B81" s="1284"/>
      <c r="C81" s="1296"/>
      <c r="D81" s="368"/>
      <c r="E81" s="368"/>
      <c r="F81" s="368"/>
      <c r="G81" s="368"/>
      <c r="H81" s="368"/>
      <c r="I81" s="368"/>
      <c r="J81" s="368"/>
      <c r="K81" s="368"/>
      <c r="L81" s="368"/>
      <c r="M81" s="368"/>
      <c r="N81" s="368"/>
      <c r="O81" s="1287"/>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row>
    <row r="82" spans="2:50" s="605" customFormat="1">
      <c r="B82" s="1284"/>
      <c r="C82" s="1296"/>
      <c r="D82" s="368"/>
      <c r="E82" s="368"/>
      <c r="F82" s="368"/>
      <c r="G82" s="368"/>
      <c r="H82" s="368"/>
      <c r="I82" s="368"/>
      <c r="J82" s="368"/>
      <c r="K82" s="368"/>
      <c r="L82" s="368"/>
      <c r="M82" s="368"/>
      <c r="N82" s="368"/>
      <c r="O82" s="1287"/>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row>
    <row r="83" spans="2:50" s="605" customFormat="1">
      <c r="B83" s="1284"/>
      <c r="C83" s="1296"/>
      <c r="D83" s="368"/>
      <c r="E83" s="368"/>
      <c r="F83" s="368"/>
      <c r="G83" s="368"/>
      <c r="H83" s="368"/>
      <c r="I83" s="368"/>
      <c r="J83" s="368"/>
      <c r="K83" s="368"/>
      <c r="L83" s="368"/>
      <c r="M83" s="368"/>
      <c r="N83" s="368"/>
      <c r="O83" s="1287"/>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row>
    <row r="84" spans="2:50" s="605" customFormat="1">
      <c r="B84" s="1284"/>
      <c r="C84" s="1296"/>
      <c r="D84" s="368"/>
      <c r="E84" s="368"/>
      <c r="F84" s="368"/>
      <c r="G84" s="368"/>
      <c r="H84" s="368"/>
      <c r="I84" s="368"/>
      <c r="J84" s="368"/>
      <c r="K84" s="368"/>
      <c r="L84" s="368"/>
      <c r="M84" s="368"/>
      <c r="N84" s="368"/>
      <c r="O84" s="1287"/>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row>
    <row r="85" spans="2:50" s="605" customFormat="1">
      <c r="B85" s="1284"/>
      <c r="C85" s="1296"/>
      <c r="D85" s="368"/>
      <c r="E85" s="368"/>
      <c r="F85" s="368"/>
      <c r="G85" s="368"/>
      <c r="H85" s="368"/>
      <c r="I85" s="368"/>
      <c r="J85" s="368"/>
      <c r="K85" s="368"/>
      <c r="L85" s="368"/>
      <c r="M85" s="368"/>
      <c r="N85" s="368"/>
      <c r="O85" s="1287"/>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row>
    <row r="86" spans="2:50" s="605" customFormat="1">
      <c r="B86" s="1284"/>
      <c r="C86" s="1296"/>
      <c r="D86" s="368"/>
      <c r="E86" s="368"/>
      <c r="F86" s="368"/>
      <c r="G86" s="368"/>
      <c r="H86" s="368"/>
      <c r="I86" s="368"/>
      <c r="J86" s="368"/>
      <c r="K86" s="368"/>
      <c r="L86" s="368"/>
      <c r="M86" s="368"/>
      <c r="N86" s="368"/>
      <c r="O86" s="1287"/>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row>
    <row r="87" spans="2:50" s="605" customFormat="1">
      <c r="B87" s="1284"/>
      <c r="C87" s="1296"/>
      <c r="D87" s="368"/>
      <c r="E87" s="368"/>
      <c r="F87" s="368"/>
      <c r="G87" s="368"/>
      <c r="H87" s="368"/>
      <c r="I87" s="368"/>
      <c r="J87" s="368"/>
      <c r="K87" s="368"/>
      <c r="L87" s="368"/>
      <c r="M87" s="368"/>
      <c r="N87" s="368"/>
      <c r="O87" s="1287"/>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row>
    <row r="88" spans="2:50" s="605" customFormat="1">
      <c r="B88" s="1284"/>
      <c r="C88" s="1296"/>
      <c r="D88" s="368"/>
      <c r="E88" s="368"/>
      <c r="F88" s="368"/>
      <c r="G88" s="368"/>
      <c r="H88" s="368"/>
      <c r="I88" s="368"/>
      <c r="J88" s="368"/>
      <c r="K88" s="368"/>
      <c r="L88" s="368"/>
      <c r="M88" s="368"/>
      <c r="N88" s="368"/>
      <c r="O88" s="1287"/>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row>
    <row r="89" spans="2:50" s="605" customFormat="1">
      <c r="B89" s="1284"/>
      <c r="C89" s="1296"/>
      <c r="D89" s="368"/>
      <c r="E89" s="368"/>
      <c r="F89" s="368"/>
      <c r="G89" s="368"/>
      <c r="H89" s="368"/>
      <c r="I89" s="368"/>
      <c r="J89" s="368"/>
      <c r="K89" s="368"/>
      <c r="L89" s="368"/>
      <c r="M89" s="368"/>
      <c r="N89" s="368"/>
      <c r="O89" s="1287"/>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row>
    <row r="90" spans="2:50" s="605" customFormat="1">
      <c r="B90" s="1284"/>
      <c r="C90" s="1296"/>
      <c r="D90" s="368"/>
      <c r="E90" s="368"/>
      <c r="F90" s="368"/>
      <c r="G90" s="368"/>
      <c r="H90" s="368"/>
      <c r="I90" s="368"/>
      <c r="J90" s="368"/>
      <c r="K90" s="368"/>
      <c r="L90" s="368"/>
      <c r="M90" s="368"/>
      <c r="N90" s="368"/>
      <c r="O90" s="1287"/>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row>
    <row r="91" spans="2:50" s="605" customFormat="1">
      <c r="B91" s="1284"/>
      <c r="C91" s="1296"/>
      <c r="D91" s="368"/>
      <c r="E91" s="368"/>
      <c r="F91" s="368"/>
      <c r="G91" s="368"/>
      <c r="H91" s="368"/>
      <c r="I91" s="368"/>
      <c r="J91" s="368"/>
      <c r="K91" s="368"/>
      <c r="L91" s="368"/>
      <c r="M91" s="368"/>
      <c r="N91" s="368"/>
      <c r="O91" s="1287"/>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row>
    <row r="92" spans="2:50" s="605" customFormat="1">
      <c r="B92" s="1284"/>
      <c r="C92" s="1296"/>
      <c r="D92" s="368"/>
      <c r="E92" s="368"/>
      <c r="F92" s="368"/>
      <c r="G92" s="368"/>
      <c r="H92" s="368"/>
      <c r="I92" s="368"/>
      <c r="J92" s="368"/>
      <c r="K92" s="368"/>
      <c r="L92" s="368"/>
      <c r="M92" s="368"/>
      <c r="N92" s="368"/>
      <c r="O92" s="1287"/>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row>
    <row r="93" spans="2:50" s="605" customFormat="1">
      <c r="B93" s="1284"/>
      <c r="C93" s="1296"/>
      <c r="D93" s="368"/>
      <c r="E93" s="368"/>
      <c r="F93" s="368"/>
      <c r="G93" s="368"/>
      <c r="H93" s="368"/>
      <c r="I93" s="368"/>
      <c r="J93" s="368"/>
      <c r="K93" s="368"/>
      <c r="L93" s="368"/>
      <c r="M93" s="368"/>
      <c r="N93" s="368"/>
      <c r="O93" s="1287"/>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row>
    <row r="94" spans="2:50" s="605" customFormat="1">
      <c r="B94" s="1284"/>
      <c r="C94" s="1296"/>
      <c r="D94" s="368"/>
      <c r="E94" s="368"/>
      <c r="F94" s="368"/>
      <c r="G94" s="368"/>
      <c r="H94" s="368"/>
      <c r="I94" s="368"/>
      <c r="J94" s="368"/>
      <c r="K94" s="368"/>
      <c r="L94" s="368"/>
      <c r="M94" s="368"/>
      <c r="N94" s="368"/>
      <c r="O94" s="1287"/>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row>
    <row r="95" spans="2:50" s="605" customFormat="1">
      <c r="B95" s="1284"/>
      <c r="C95" s="1296"/>
      <c r="D95" s="368"/>
      <c r="E95" s="368"/>
      <c r="F95" s="368"/>
      <c r="G95" s="368"/>
      <c r="H95" s="368"/>
      <c r="I95" s="368"/>
      <c r="J95" s="368"/>
      <c r="K95" s="368"/>
      <c r="L95" s="368"/>
      <c r="M95" s="368"/>
      <c r="N95" s="368"/>
      <c r="O95" s="1287"/>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row>
    <row r="96" spans="2:50" s="605" customFormat="1">
      <c r="B96" s="1284"/>
      <c r="C96" s="1296"/>
      <c r="D96" s="368"/>
      <c r="E96" s="368"/>
      <c r="F96" s="368"/>
      <c r="G96" s="368"/>
      <c r="H96" s="368"/>
      <c r="I96" s="368"/>
      <c r="J96" s="368"/>
      <c r="K96" s="368"/>
      <c r="L96" s="368"/>
      <c r="M96" s="368"/>
      <c r="N96" s="368"/>
      <c r="O96" s="1287"/>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row>
    <row r="97" spans="2:50" s="605" customFormat="1">
      <c r="B97" s="1284"/>
      <c r="C97" s="1296"/>
      <c r="D97" s="368"/>
      <c r="E97" s="368"/>
      <c r="F97" s="368"/>
      <c r="G97" s="368"/>
      <c r="H97" s="368"/>
      <c r="I97" s="368"/>
      <c r="J97" s="368"/>
      <c r="K97" s="368"/>
      <c r="L97" s="368"/>
      <c r="M97" s="368"/>
      <c r="N97" s="368"/>
      <c r="O97" s="1287"/>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row>
    <row r="98" spans="2:50" s="605" customFormat="1">
      <c r="B98" s="1284"/>
      <c r="C98" s="1296"/>
      <c r="D98" s="368"/>
      <c r="E98" s="368"/>
      <c r="F98" s="368"/>
      <c r="G98" s="368"/>
      <c r="H98" s="368"/>
      <c r="I98" s="368"/>
      <c r="J98" s="368"/>
      <c r="K98" s="368"/>
      <c r="L98" s="368"/>
      <c r="M98" s="368"/>
      <c r="N98" s="368"/>
      <c r="O98" s="1287"/>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row>
    <row r="99" spans="2:50" s="605" customFormat="1">
      <c r="B99" s="1284"/>
      <c r="C99" s="1296"/>
      <c r="D99" s="368"/>
      <c r="E99" s="368"/>
      <c r="F99" s="368"/>
      <c r="G99" s="368"/>
      <c r="H99" s="368"/>
      <c r="I99" s="368"/>
      <c r="J99" s="368"/>
      <c r="K99" s="368"/>
      <c r="L99" s="368"/>
      <c r="M99" s="368"/>
      <c r="N99" s="368"/>
      <c r="O99" s="1287"/>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row>
    <row r="100" spans="2:50" s="605" customFormat="1">
      <c r="B100" s="1284"/>
      <c r="C100" s="1296"/>
      <c r="D100" s="368"/>
      <c r="E100" s="368"/>
      <c r="F100" s="368"/>
      <c r="G100" s="368"/>
      <c r="H100" s="368"/>
      <c r="I100" s="368"/>
      <c r="J100" s="368"/>
      <c r="K100" s="368"/>
      <c r="L100" s="368"/>
      <c r="M100" s="368"/>
      <c r="N100" s="368"/>
      <c r="O100" s="1287"/>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row>
    <row r="101" spans="2:50" s="605" customFormat="1">
      <c r="B101" s="1284"/>
      <c r="C101" s="1296"/>
      <c r="D101" s="368"/>
      <c r="E101" s="368"/>
      <c r="F101" s="368"/>
      <c r="G101" s="368"/>
      <c r="H101" s="368"/>
      <c r="I101" s="368"/>
      <c r="J101" s="368"/>
      <c r="K101" s="368"/>
      <c r="L101" s="368"/>
      <c r="M101" s="368"/>
      <c r="N101" s="368"/>
      <c r="O101" s="1287"/>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row>
    <row r="102" spans="2:50" s="605" customFormat="1">
      <c r="B102" s="1284"/>
      <c r="C102" s="1296"/>
      <c r="D102" s="368"/>
      <c r="E102" s="368"/>
      <c r="F102" s="368"/>
      <c r="G102" s="368"/>
      <c r="H102" s="368"/>
      <c r="I102" s="368"/>
      <c r="J102" s="368"/>
      <c r="K102" s="368"/>
      <c r="L102" s="368"/>
      <c r="M102" s="368"/>
      <c r="N102" s="368"/>
      <c r="O102" s="1287"/>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row>
    <row r="103" spans="2:50" s="605" customFormat="1">
      <c r="B103" s="1284"/>
      <c r="C103" s="1296"/>
      <c r="D103" s="368"/>
      <c r="E103" s="368"/>
      <c r="F103" s="368"/>
      <c r="G103" s="368"/>
      <c r="H103" s="368"/>
      <c r="I103" s="368"/>
      <c r="J103" s="368"/>
      <c r="K103" s="368"/>
      <c r="L103" s="368"/>
      <c r="M103" s="368"/>
      <c r="N103" s="368"/>
      <c r="O103" s="1287"/>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row>
    <row r="104" spans="2:50" s="605" customFormat="1">
      <c r="B104" s="1284"/>
      <c r="C104" s="1296"/>
      <c r="D104" s="368"/>
      <c r="E104" s="368"/>
      <c r="F104" s="368"/>
      <c r="G104" s="368"/>
      <c r="H104" s="368"/>
      <c r="I104" s="368"/>
      <c r="J104" s="368"/>
      <c r="K104" s="368"/>
      <c r="L104" s="368"/>
      <c r="M104" s="368"/>
      <c r="N104" s="368"/>
      <c r="O104" s="1287"/>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row>
    <row r="105" spans="2:50" s="605" customFormat="1">
      <c r="B105" s="1284"/>
      <c r="C105" s="1296"/>
      <c r="D105" s="368"/>
      <c r="E105" s="368"/>
      <c r="F105" s="368"/>
      <c r="G105" s="368"/>
      <c r="H105" s="368"/>
      <c r="I105" s="368"/>
      <c r="J105" s="368"/>
      <c r="K105" s="368"/>
      <c r="L105" s="368"/>
      <c r="M105" s="368"/>
      <c r="N105" s="368"/>
      <c r="O105" s="1287"/>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row>
  </sheetData>
  <autoFilter ref="C6:C62"/>
  <conditionalFormatting sqref="AO6:AX66">
    <cfRule type="cellIs" dxfId="0" priority="1" operator="between">
      <formula>-1</formula>
      <formula>1</formula>
    </cfRule>
  </conditionalFormatting>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sheetPr>
    <tabColor theme="5" tint="0.39997558519241921"/>
  </sheetPr>
  <dimension ref="B2:R50"/>
  <sheetViews>
    <sheetView showGridLines="0" topLeftCell="A19" workbookViewId="0">
      <selection activeCell="J41" sqref="J41"/>
    </sheetView>
  </sheetViews>
  <sheetFormatPr defaultColWidth="8.85546875" defaultRowHeight="12.75"/>
  <cols>
    <col min="1" max="2" width="2.140625" style="605" customWidth="1"/>
    <col min="3" max="3" width="14.42578125" style="605" bestFit="1" customWidth="1"/>
    <col min="4" max="4" width="46.7109375" style="605" customWidth="1"/>
    <col min="5" max="7" width="2.140625" style="605" customWidth="1"/>
    <col min="8" max="10" width="11.28515625" style="605" bestFit="1" customWidth="1"/>
    <col min="11" max="11" width="11.7109375" style="605" bestFit="1" customWidth="1"/>
    <col min="12" max="14" width="12.28515625" style="605" bestFit="1" customWidth="1"/>
    <col min="15" max="15" width="13.42578125" style="605" bestFit="1" customWidth="1"/>
    <col min="16" max="17" width="12.28515625" style="605" bestFit="1" customWidth="1"/>
    <col min="18" max="16384" width="8.85546875" style="605"/>
  </cols>
  <sheetData>
    <row r="2" spans="2:18" ht="15.75">
      <c r="B2" s="1276" t="s">
        <v>1199</v>
      </c>
      <c r="C2" s="1277"/>
      <c r="D2" s="1277"/>
      <c r="E2" s="1277"/>
      <c r="F2" s="1277"/>
      <c r="G2" s="1277"/>
      <c r="H2" s="1278"/>
      <c r="I2" s="1278"/>
      <c r="J2" s="1278"/>
      <c r="K2" s="1278"/>
      <c r="L2" s="1278"/>
      <c r="M2" s="1278"/>
      <c r="N2" s="1278"/>
      <c r="O2" s="1278"/>
      <c r="P2" s="1278"/>
      <c r="Q2" s="1278"/>
      <c r="R2" s="1279"/>
    </row>
    <row r="3" spans="2:18" ht="15.75">
      <c r="B3" s="1280"/>
      <c r="C3" s="1281"/>
      <c r="D3" s="1281"/>
      <c r="E3" s="1281"/>
      <c r="F3" s="1281"/>
      <c r="G3" s="1281"/>
      <c r="H3" s="1282"/>
      <c r="I3" s="1282"/>
      <c r="J3" s="1282"/>
      <c r="K3" s="1282"/>
      <c r="L3" s="1282"/>
      <c r="M3" s="1282"/>
      <c r="N3" s="1282"/>
      <c r="O3" s="1282"/>
      <c r="P3" s="1282"/>
      <c r="Q3" s="1282"/>
      <c r="R3" s="1283"/>
    </row>
    <row r="4" spans="2:18">
      <c r="B4" s="1284"/>
      <c r="C4" s="1292" t="s">
        <v>503</v>
      </c>
      <c r="D4" s="1293" t="str">
        <f>INDEX(Vectors[Description],MATCH($C4,Vectors[Code],0))</f>
        <v>India Land area</v>
      </c>
      <c r="E4" s="1288"/>
      <c r="F4" s="1294"/>
      <c r="G4" s="1294"/>
      <c r="H4" s="1294">
        <v>2007</v>
      </c>
      <c r="I4" s="1294">
        <f>H4+5</f>
        <v>2012</v>
      </c>
      <c r="J4" s="1294">
        <f t="shared" ref="J4:Q4" si="0">I4+5</f>
        <v>2017</v>
      </c>
      <c r="K4" s="1294">
        <f t="shared" si="0"/>
        <v>2022</v>
      </c>
      <c r="L4" s="1294">
        <f t="shared" si="0"/>
        <v>2027</v>
      </c>
      <c r="M4" s="1294">
        <f t="shared" si="0"/>
        <v>2032</v>
      </c>
      <c r="N4" s="1294">
        <f t="shared" si="0"/>
        <v>2037</v>
      </c>
      <c r="O4" s="1294">
        <f t="shared" si="0"/>
        <v>2042</v>
      </c>
      <c r="P4" s="1294">
        <f t="shared" si="0"/>
        <v>2047</v>
      </c>
      <c r="Q4" s="1294">
        <f t="shared" si="0"/>
        <v>2052</v>
      </c>
      <c r="R4" s="1287" t="str">
        <f>Preferences.AreaUnits</f>
        <v>ha</v>
      </c>
    </row>
    <row r="5" spans="2:18" ht="6" customHeight="1">
      <c r="B5" s="1284"/>
      <c r="C5" s="1288"/>
      <c r="D5" s="1285"/>
      <c r="E5" s="1285"/>
      <c r="F5" s="1286"/>
      <c r="G5" s="1286"/>
      <c r="H5" s="1286"/>
      <c r="I5" s="1286"/>
      <c r="J5" s="1286"/>
      <c r="K5" s="1286"/>
      <c r="L5" s="1286"/>
      <c r="M5" s="1286"/>
      <c r="N5" s="1286"/>
      <c r="O5" s="1286"/>
      <c r="P5" s="1286"/>
      <c r="Q5" s="1286"/>
      <c r="R5" s="1287"/>
    </row>
    <row r="6" spans="2:18">
      <c r="B6" s="1284"/>
      <c r="C6" s="1296" t="s">
        <v>248</v>
      </c>
      <c r="D6" s="2409" t="str">
        <f>INDEX(Modules[Module], MATCH($C6, Modules[Code], 0))</f>
        <v>Gas Power Stations</v>
      </c>
      <c r="E6" s="1297"/>
      <c r="F6" s="1298"/>
      <c r="G6" s="1297"/>
      <c r="H6" s="368">
        <f t="shared" ref="H6:Q18" ca="1" si="1">INDEX(INDIRECT($C6&amp;".Info["&amp;H$4&amp;"]"),MATCH($C$4,INDIRECT($C6&amp;".Info[Vector]"),0))</f>
        <v>498.68602321950732</v>
      </c>
      <c r="I6" s="368">
        <f t="shared" ca="1" si="1"/>
        <v>669.46741110120979</v>
      </c>
      <c r="J6" s="368">
        <f t="shared" ca="1" si="1"/>
        <v>761.90570550167058</v>
      </c>
      <c r="K6" s="368">
        <f t="shared" ca="1" si="1"/>
        <v>761.90570550167058</v>
      </c>
      <c r="L6" s="368">
        <f t="shared" ca="1" si="1"/>
        <v>761.90570550167058</v>
      </c>
      <c r="M6" s="368">
        <f t="shared" ca="1" si="1"/>
        <v>761.90570550167058</v>
      </c>
      <c r="N6" s="368">
        <f t="shared" ca="1" si="1"/>
        <v>761.90570550167058</v>
      </c>
      <c r="O6" s="368">
        <f t="shared" ca="1" si="1"/>
        <v>761.90570550167058</v>
      </c>
      <c r="P6" s="368">
        <f t="shared" ca="1" si="1"/>
        <v>761.90570550167058</v>
      </c>
      <c r="Q6" s="368">
        <f t="shared" ca="1" si="1"/>
        <v>761.90570550167058</v>
      </c>
      <c r="R6" s="1287"/>
    </row>
    <row r="7" spans="2:18">
      <c r="B7" s="1284"/>
      <c r="C7" s="1296" t="s">
        <v>278</v>
      </c>
      <c r="D7" s="2409" t="str">
        <f>INDEX(Modules[Module], MATCH($C7, Modules[Code], 0))</f>
        <v>Coal power stations</v>
      </c>
      <c r="E7" s="1297"/>
      <c r="F7" s="1298"/>
      <c r="G7" s="1297"/>
      <c r="H7" s="368">
        <f t="shared" ca="1" si="1"/>
        <v>22714</v>
      </c>
      <c r="I7" s="368">
        <f t="shared" ca="1" si="1"/>
        <v>34631.454100000003</v>
      </c>
      <c r="J7" s="368">
        <f t="shared" ca="1" si="1"/>
        <v>48555.728530489076</v>
      </c>
      <c r="K7" s="368">
        <f t="shared" ca="1" si="1"/>
        <v>45960.847930489079</v>
      </c>
      <c r="L7" s="368">
        <f t="shared" ca="1" si="1"/>
        <v>42210.267930489077</v>
      </c>
      <c r="M7" s="368">
        <f t="shared" ca="1" si="1"/>
        <v>38138.367930489076</v>
      </c>
      <c r="N7" s="368">
        <f t="shared" ca="1" si="1"/>
        <v>34604.540430489076</v>
      </c>
      <c r="O7" s="368">
        <f t="shared" ca="1" si="1"/>
        <v>30341.233430489076</v>
      </c>
      <c r="P7" s="368">
        <f t="shared" ca="1" si="1"/>
        <v>27159.888430489078</v>
      </c>
      <c r="Q7" s="368">
        <f t="shared" ca="1" si="1"/>
        <v>16661.865430489081</v>
      </c>
      <c r="R7" s="1287"/>
    </row>
    <row r="8" spans="2:18">
      <c r="B8" s="1284"/>
      <c r="C8" s="1296" t="s">
        <v>696</v>
      </c>
      <c r="D8" s="2409" t="str">
        <f>INDEX(Modules[Module], MATCH($C8, Modules[Code], 0))</f>
        <v>Carbon Capture Storage (CCS)</v>
      </c>
      <c r="E8" s="1297"/>
      <c r="F8" s="1298"/>
      <c r="G8" s="1297"/>
      <c r="H8" s="368">
        <f t="shared" ca="1" si="1"/>
        <v>0</v>
      </c>
      <c r="I8" s="368">
        <f t="shared" ca="1" si="1"/>
        <v>0</v>
      </c>
      <c r="J8" s="368">
        <f t="shared" ca="1" si="1"/>
        <v>0</v>
      </c>
      <c r="K8" s="368">
        <f t="shared" ca="1" si="1"/>
        <v>0</v>
      </c>
      <c r="L8" s="368">
        <f t="shared" ca="1" si="1"/>
        <v>0</v>
      </c>
      <c r="M8" s="368">
        <f t="shared" ca="1" si="1"/>
        <v>0</v>
      </c>
      <c r="N8" s="368">
        <f t="shared" ca="1" si="1"/>
        <v>0</v>
      </c>
      <c r="O8" s="368">
        <f t="shared" ca="1" si="1"/>
        <v>0</v>
      </c>
      <c r="P8" s="368">
        <f t="shared" ca="1" si="1"/>
        <v>0</v>
      </c>
      <c r="Q8" s="368">
        <f t="shared" ca="1" si="1"/>
        <v>0</v>
      </c>
      <c r="R8" s="1287"/>
    </row>
    <row r="9" spans="2:18">
      <c r="B9" s="1284"/>
      <c r="C9" s="1296" t="s">
        <v>1819</v>
      </c>
      <c r="D9" s="2409" t="str">
        <f>INDEX(Modules[Module], MATCH($C9, Modules[Code], 0))</f>
        <v>Electricity Balancing Requirement</v>
      </c>
      <c r="E9" s="1297"/>
      <c r="F9" s="1298"/>
      <c r="G9" s="1297"/>
      <c r="H9" s="368">
        <f t="shared" ca="1" si="1"/>
        <v>1748.9798963623177</v>
      </c>
      <c r="I9" s="368">
        <f t="shared" ca="1" si="1"/>
        <v>77.638011015590308</v>
      </c>
      <c r="J9" s="368">
        <f t="shared" ca="1" si="1"/>
        <v>693.83892546998902</v>
      </c>
      <c r="K9" s="368">
        <f t="shared" ca="1" si="1"/>
        <v>14427.912010910133</v>
      </c>
      <c r="L9" s="368">
        <f t="shared" ca="1" si="1"/>
        <v>32682.571428067906</v>
      </c>
      <c r="M9" s="368">
        <f t="shared" ca="1" si="1"/>
        <v>56884.902054669634</v>
      </c>
      <c r="N9" s="368">
        <f t="shared" ca="1" si="1"/>
        <v>78346.663695439755</v>
      </c>
      <c r="O9" s="368">
        <f t="shared" ca="1" si="1"/>
        <v>103297.71604921024</v>
      </c>
      <c r="P9" s="368">
        <f t="shared" ca="1" si="1"/>
        <v>126106.93565975601</v>
      </c>
      <c r="Q9" s="368">
        <f t="shared" ca="1" si="1"/>
        <v>155696.00046810595</v>
      </c>
      <c r="R9" s="1287"/>
    </row>
    <row r="10" spans="2:18">
      <c r="B10" s="1284"/>
      <c r="C10" s="1296" t="s">
        <v>61</v>
      </c>
      <c r="D10" s="2409" t="str">
        <f>INDEX(Modules[Module], MATCH($C10, Modules[Code], 0))</f>
        <v>Nuclear power</v>
      </c>
      <c r="E10" s="1297"/>
      <c r="F10" s="1298"/>
      <c r="G10" s="1297"/>
      <c r="H10" s="368">
        <f t="shared" ca="1" si="1"/>
        <v>10504</v>
      </c>
      <c r="I10" s="368">
        <f t="shared" ca="1" si="1"/>
        <v>12168</v>
      </c>
      <c r="J10" s="368">
        <f t="shared" ca="1" si="1"/>
        <v>25948</v>
      </c>
      <c r="K10" s="368">
        <f t="shared" ca="1" si="1"/>
        <v>25116</v>
      </c>
      <c r="L10" s="368">
        <f t="shared" ca="1" si="1"/>
        <v>25116</v>
      </c>
      <c r="M10" s="368">
        <f t="shared" ca="1" si="1"/>
        <v>24596.000000000004</v>
      </c>
      <c r="N10" s="368">
        <f t="shared" ca="1" si="1"/>
        <v>23452</v>
      </c>
      <c r="O10" s="368">
        <f t="shared" ca="1" si="1"/>
        <v>22880.000000000004</v>
      </c>
      <c r="P10" s="368">
        <f t="shared" ca="1" si="1"/>
        <v>21736</v>
      </c>
      <c r="Q10" s="368">
        <f t="shared" ca="1" si="1"/>
        <v>21736</v>
      </c>
      <c r="R10" s="1287"/>
    </row>
    <row r="11" spans="2:18">
      <c r="B11" s="1284"/>
      <c r="C11" s="1296" t="s">
        <v>62</v>
      </c>
      <c r="D11" s="2409" t="str">
        <f>INDEX(Modules[Module], MATCH($C11, Modules[Code], 0))</f>
        <v>Hydro Power Generation</v>
      </c>
      <c r="E11" s="1297"/>
      <c r="F11" s="1298"/>
      <c r="G11" s="1297"/>
      <c r="H11" s="368">
        <f t="shared" ca="1" si="1"/>
        <v>27027</v>
      </c>
      <c r="I11" s="368">
        <f t="shared" ca="1" si="1"/>
        <v>31980</v>
      </c>
      <c r="J11" s="368">
        <f t="shared" ca="1" si="1"/>
        <v>38220</v>
      </c>
      <c r="K11" s="368">
        <f t="shared" ca="1" si="1"/>
        <v>38220</v>
      </c>
      <c r="L11" s="368">
        <f t="shared" ca="1" si="1"/>
        <v>38220</v>
      </c>
      <c r="M11" s="368">
        <f t="shared" ca="1" si="1"/>
        <v>38220</v>
      </c>
      <c r="N11" s="368">
        <f t="shared" ca="1" si="1"/>
        <v>38220</v>
      </c>
      <c r="O11" s="368">
        <f t="shared" ca="1" si="1"/>
        <v>38220</v>
      </c>
      <c r="P11" s="368">
        <f t="shared" ca="1" si="1"/>
        <v>38220</v>
      </c>
      <c r="Q11" s="368">
        <f t="shared" ca="1" si="1"/>
        <v>38220</v>
      </c>
      <c r="R11" s="1287"/>
    </row>
    <row r="12" spans="2:18" s="2825" customFormat="1">
      <c r="B12" s="1284"/>
      <c r="C12" s="1296"/>
      <c r="D12" s="2863" t="s">
        <v>2186</v>
      </c>
      <c r="E12" s="1297"/>
      <c r="F12" s="1298"/>
      <c r="G12" s="1297"/>
      <c r="H12" s="368">
        <f ca="1">SUM(H6:H11)</f>
        <v>62492.665919581821</v>
      </c>
      <c r="I12" s="368">
        <f t="shared" ref="I12:Q12" ca="1" si="2">SUM(I6:I11)</f>
        <v>79526.55952211679</v>
      </c>
      <c r="J12" s="368">
        <f t="shared" ca="1" si="2"/>
        <v>114179.47316146073</v>
      </c>
      <c r="K12" s="368">
        <f t="shared" ca="1" si="2"/>
        <v>124486.66564690089</v>
      </c>
      <c r="L12" s="368">
        <f t="shared" ca="1" si="2"/>
        <v>138990.74506405863</v>
      </c>
      <c r="M12" s="368">
        <f t="shared" ca="1" si="2"/>
        <v>158601.17569066037</v>
      </c>
      <c r="N12" s="368">
        <f t="shared" ca="1" si="2"/>
        <v>175385.10983143048</v>
      </c>
      <c r="O12" s="368">
        <f t="shared" ca="1" si="2"/>
        <v>195500.85518520098</v>
      </c>
      <c r="P12" s="368">
        <f t="shared" ca="1" si="2"/>
        <v>213984.72979574677</v>
      </c>
      <c r="Q12" s="368">
        <f t="shared" ca="1" si="2"/>
        <v>233075.77160409669</v>
      </c>
      <c r="R12" s="1287"/>
    </row>
    <row r="13" spans="2:18">
      <c r="B13" s="1284"/>
      <c r="C13" s="1296" t="s">
        <v>311</v>
      </c>
      <c r="D13" s="2409" t="str">
        <f>INDEX(Modules[Module], MATCH($C13, Modules[Code], 0))</f>
        <v>Solar PV</v>
      </c>
      <c r="E13" s="1297"/>
      <c r="F13" s="1298"/>
      <c r="G13" s="1297"/>
      <c r="H13" s="368">
        <f t="shared" ca="1" si="1"/>
        <v>0</v>
      </c>
      <c r="I13" s="368">
        <f t="shared" ca="1" si="1"/>
        <v>1808.8436494022403</v>
      </c>
      <c r="J13" s="368">
        <f t="shared" ca="1" si="1"/>
        <v>8939.1725665527028</v>
      </c>
      <c r="K13" s="368">
        <f t="shared" ca="1" si="1"/>
        <v>18629.900982302352</v>
      </c>
      <c r="L13" s="368">
        <f t="shared" ca="1" si="1"/>
        <v>30460.206900640853</v>
      </c>
      <c r="M13" s="368">
        <f t="shared" ca="1" si="1"/>
        <v>41045.217459154213</v>
      </c>
      <c r="N13" s="368">
        <f t="shared" ca="1" si="1"/>
        <v>46785.124442727378</v>
      </c>
      <c r="O13" s="368">
        <f t="shared" ca="1" si="1"/>
        <v>49999.235712903508</v>
      </c>
      <c r="P13" s="368">
        <f t="shared" ca="1" si="1"/>
        <v>46566.793901949066</v>
      </c>
      <c r="Q13" s="368">
        <f t="shared" ca="1" si="1"/>
        <v>38595.901252065953</v>
      </c>
      <c r="R13" s="1287"/>
    </row>
    <row r="14" spans="2:18">
      <c r="B14" s="1284"/>
      <c r="C14" s="1296" t="s">
        <v>407</v>
      </c>
      <c r="D14" s="2409" t="str">
        <f>INDEX(Modules[Module], MATCH($C14, Modules[Code], 0))</f>
        <v>Solar CSP</v>
      </c>
      <c r="E14" s="1297"/>
      <c r="F14" s="1298"/>
      <c r="G14" s="1297"/>
      <c r="H14" s="2492">
        <f t="shared" ca="1" si="1"/>
        <v>0</v>
      </c>
      <c r="I14" s="2492">
        <f t="shared" ca="1" si="1"/>
        <v>0</v>
      </c>
      <c r="J14" s="368">
        <f t="shared" ca="1" si="1"/>
        <v>2428.1138534400002</v>
      </c>
      <c r="K14" s="368">
        <f t="shared" ca="1" si="1"/>
        <v>6677.3130969600006</v>
      </c>
      <c r="L14" s="368">
        <f t="shared" ca="1" si="1"/>
        <v>11128.855161600002</v>
      </c>
      <c r="M14" s="368">
        <f t="shared" ca="1" si="1"/>
        <v>15175.711584000002</v>
      </c>
      <c r="N14" s="368">
        <f t="shared" ca="1" si="1"/>
        <v>19222.568006400004</v>
      </c>
      <c r="O14" s="368">
        <f t="shared" ca="1" si="1"/>
        <v>21245.996217600004</v>
      </c>
      <c r="P14" s="368">
        <f t="shared" ca="1" si="1"/>
        <v>19222.568006400004</v>
      </c>
      <c r="Q14" s="368">
        <f t="shared" ca="1" si="1"/>
        <v>15175.711584000002</v>
      </c>
      <c r="R14" s="1287"/>
    </row>
    <row r="15" spans="2:18">
      <c r="B15" s="1284"/>
      <c r="C15" s="1296" t="s">
        <v>1071</v>
      </c>
      <c r="D15" s="2409" t="str">
        <f>INDEX(Modules[Module], MATCH($C15, Modules[Code], 0))</f>
        <v>Onshore Wind</v>
      </c>
      <c r="E15" s="1297"/>
      <c r="F15" s="1298"/>
      <c r="G15" s="1297"/>
      <c r="H15" s="368">
        <f t="shared" ca="1" si="1"/>
        <v>4306.253848791207</v>
      </c>
      <c r="I15" s="368">
        <f t="shared" ca="1" si="1"/>
        <v>6284.5656811660801</v>
      </c>
      <c r="J15" s="368">
        <f t="shared" ca="1" si="1"/>
        <v>11444.307619726082</v>
      </c>
      <c r="K15" s="368">
        <f t="shared" ca="1" si="1"/>
        <v>17514.592253326082</v>
      </c>
      <c r="L15" s="368">
        <f t="shared" ca="1" si="1"/>
        <v>23584.876886926082</v>
      </c>
      <c r="M15" s="368">
        <f t="shared" ca="1" si="1"/>
        <v>31172.732678926084</v>
      </c>
      <c r="N15" s="368">
        <f t="shared" ca="1" si="1"/>
        <v>34454.334622134877</v>
      </c>
      <c r="O15" s="368">
        <f t="shared" ca="1" si="1"/>
        <v>35511.165106560002</v>
      </c>
      <c r="P15" s="368">
        <f t="shared" ca="1" si="1"/>
        <v>36421.707801600001</v>
      </c>
      <c r="Q15" s="368">
        <f t="shared" ca="1" si="1"/>
        <v>35207.650874880004</v>
      </c>
      <c r="R15" s="1287"/>
    </row>
    <row r="16" spans="2:18">
      <c r="B16" s="1284"/>
      <c r="C16" s="1296" t="s">
        <v>1073</v>
      </c>
      <c r="D16" s="2409" t="str">
        <f>INDEX(Modules[Module], MATCH($C16, Modules[Code], 0))</f>
        <v>Small Hydro</v>
      </c>
      <c r="E16" s="1297"/>
      <c r="F16" s="1298"/>
      <c r="G16" s="1297"/>
      <c r="H16" s="368">
        <f t="shared" ca="1" si="1"/>
        <v>2398.4908644280322</v>
      </c>
      <c r="I16" s="368">
        <f t="shared" ca="1" si="1"/>
        <v>4110.3111311032326</v>
      </c>
      <c r="J16" s="368">
        <f t="shared" ca="1" si="1"/>
        <v>5931.3965211832328</v>
      </c>
      <c r="K16" s="368">
        <f t="shared" ca="1" si="1"/>
        <v>7995.2932966072331</v>
      </c>
      <c r="L16" s="368">
        <f t="shared" ca="1" si="1"/>
        <v>9209.3502233272338</v>
      </c>
      <c r="M16" s="368">
        <f t="shared" ca="1" si="1"/>
        <v>10423.407150047233</v>
      </c>
      <c r="N16" s="368">
        <f t="shared" ca="1" si="1"/>
        <v>11030.435613407231</v>
      </c>
      <c r="O16" s="368">
        <f t="shared" ca="1" si="1"/>
        <v>10877.950063411199</v>
      </c>
      <c r="P16" s="368">
        <f t="shared" ca="1" si="1"/>
        <v>10975.803051704832</v>
      </c>
      <c r="Q16" s="368">
        <f t="shared" ca="1" si="1"/>
        <v>10975.803051704832</v>
      </c>
      <c r="R16" s="1287"/>
    </row>
    <row r="17" spans="2:18" s="2825" customFormat="1">
      <c r="B17" s="1284"/>
      <c r="C17" s="1296"/>
      <c r="D17" s="2863" t="s">
        <v>40</v>
      </c>
      <c r="E17" s="1297"/>
      <c r="F17" s="1298"/>
      <c r="G17" s="1297"/>
      <c r="H17" s="368">
        <f ca="1">SUM(H13:H16)</f>
        <v>6704.7447132192392</v>
      </c>
      <c r="I17" s="368">
        <f t="shared" ref="I17:Q17" ca="1" si="3">SUM(I13:I16)</f>
        <v>12203.720461671553</v>
      </c>
      <c r="J17" s="368">
        <f t="shared" ca="1" si="3"/>
        <v>28742.990560902017</v>
      </c>
      <c r="K17" s="368">
        <f t="shared" ca="1" si="3"/>
        <v>50817.099629195669</v>
      </c>
      <c r="L17" s="368">
        <f t="shared" ca="1" si="3"/>
        <v>74383.289172494173</v>
      </c>
      <c r="M17" s="368">
        <f t="shared" ca="1" si="3"/>
        <v>97817.068872127536</v>
      </c>
      <c r="N17" s="368">
        <f t="shared" ca="1" si="3"/>
        <v>111492.46268466949</v>
      </c>
      <c r="O17" s="368">
        <f t="shared" ca="1" si="3"/>
        <v>117634.34710047471</v>
      </c>
      <c r="P17" s="368">
        <f t="shared" ca="1" si="3"/>
        <v>113186.8727616539</v>
      </c>
      <c r="Q17" s="368">
        <f t="shared" ca="1" si="3"/>
        <v>99955.066762650793</v>
      </c>
      <c r="R17" s="1287"/>
    </row>
    <row r="18" spans="2:18">
      <c r="B18" s="1284"/>
      <c r="C18" s="1296" t="s">
        <v>304</v>
      </c>
      <c r="D18" s="2409" t="str">
        <f>INDEX(Modules[Module], MATCH($C18, Modules[Code], 0))</f>
        <v>Biomass Based Electricity&amp; Biogas</v>
      </c>
      <c r="E18" s="1297"/>
      <c r="F18" s="1298"/>
      <c r="G18" s="1297"/>
      <c r="H18" s="368">
        <f t="shared" ca="1" si="1"/>
        <v>4087.8910253673912</v>
      </c>
      <c r="I18" s="368">
        <f t="shared" ca="1" si="1"/>
        <v>5623.7789358997943</v>
      </c>
      <c r="J18" s="368">
        <f t="shared" ca="1" si="1"/>
        <v>6416.4924561197131</v>
      </c>
      <c r="K18" s="368">
        <f t="shared" ca="1" si="1"/>
        <v>7209.2059763396292</v>
      </c>
      <c r="L18" s="368">
        <f t="shared" ca="1" si="1"/>
        <v>8001.9194965595498</v>
      </c>
      <c r="M18" s="368">
        <f t="shared" ref="H18:Q21" ca="1" si="4">INDEX(INDIRECT($C18&amp;".Info["&amp;M$4&amp;"]"),MATCH($C$4,INDIRECT($C18&amp;".Info[Vector]"),0))</f>
        <v>8794.6330167794677</v>
      </c>
      <c r="N18" s="368">
        <f t="shared" ca="1" si="4"/>
        <v>9587.3465369993828</v>
      </c>
      <c r="O18" s="368">
        <f t="shared" ca="1" si="4"/>
        <v>10380.060057219305</v>
      </c>
      <c r="P18" s="368">
        <f t="shared" ca="1" si="4"/>
        <v>11172.773577439222</v>
      </c>
      <c r="Q18" s="368">
        <f t="shared" ca="1" si="4"/>
        <v>11965.487097659139</v>
      </c>
      <c r="R18" s="1287"/>
    </row>
    <row r="19" spans="2:18">
      <c r="B19" s="1284"/>
      <c r="C19" s="1296" t="s">
        <v>432</v>
      </c>
      <c r="D19" s="2409" t="str">
        <f>INDEX(Modules[Module], MATCH($C19, Modules[Code], 0))</f>
        <v>First &amp; Second Generation Bio Fuels</v>
      </c>
      <c r="E19" s="1297"/>
      <c r="F19" s="1298"/>
      <c r="G19" s="1297"/>
      <c r="H19" s="368">
        <f t="shared" ca="1" si="4"/>
        <v>0</v>
      </c>
      <c r="I19" s="368">
        <f t="shared" ca="1" si="4"/>
        <v>150000</v>
      </c>
      <c r="J19" s="368">
        <f t="shared" ca="1" si="4"/>
        <v>177777.77777777801</v>
      </c>
      <c r="K19" s="368">
        <f t="shared" ca="1" si="4"/>
        <v>200000</v>
      </c>
      <c r="L19" s="368">
        <f t="shared" ca="1" si="4"/>
        <v>250000</v>
      </c>
      <c r="M19" s="368">
        <f t="shared" ca="1" si="4"/>
        <v>300000</v>
      </c>
      <c r="N19" s="368">
        <f t="shared" ca="1" si="4"/>
        <v>350000</v>
      </c>
      <c r="O19" s="368">
        <f t="shared" ca="1" si="4"/>
        <v>400000</v>
      </c>
      <c r="P19" s="368">
        <f t="shared" ca="1" si="4"/>
        <v>450000</v>
      </c>
      <c r="Q19" s="368">
        <f t="shared" ca="1" si="4"/>
        <v>500000</v>
      </c>
      <c r="R19" s="1287"/>
    </row>
    <row r="20" spans="2:18">
      <c r="B20" s="1284"/>
      <c r="C20" s="1296" t="s">
        <v>1076</v>
      </c>
      <c r="D20" s="2409" t="str">
        <f>INDEX(Modules[Module], MATCH($C20, Modules[Code], 0))</f>
        <v>Advanced Bio Fuels</v>
      </c>
      <c r="E20" s="1297"/>
      <c r="F20" s="1298"/>
      <c r="G20" s="1297"/>
      <c r="H20" s="368">
        <f t="shared" ca="1" si="4"/>
        <v>0</v>
      </c>
      <c r="I20" s="368">
        <f t="shared" ca="1" si="4"/>
        <v>0</v>
      </c>
      <c r="J20" s="368">
        <f t="shared" ca="1" si="4"/>
        <v>0</v>
      </c>
      <c r="K20" s="368">
        <f t="shared" ca="1" si="4"/>
        <v>0</v>
      </c>
      <c r="L20" s="368">
        <f t="shared" ca="1" si="4"/>
        <v>8</v>
      </c>
      <c r="M20" s="368">
        <f t="shared" ca="1" si="4"/>
        <v>80</v>
      </c>
      <c r="N20" s="368">
        <f t="shared" ca="1" si="4"/>
        <v>160</v>
      </c>
      <c r="O20" s="368">
        <f t="shared" ca="1" si="4"/>
        <v>240</v>
      </c>
      <c r="P20" s="368">
        <f t="shared" ca="1" si="4"/>
        <v>320</v>
      </c>
      <c r="Q20" s="368">
        <f t="shared" ca="1" si="4"/>
        <v>400</v>
      </c>
      <c r="R20" s="1287"/>
    </row>
    <row r="21" spans="2:18">
      <c r="B21" s="1284"/>
      <c r="C21" s="1296" t="s">
        <v>296</v>
      </c>
      <c r="D21" s="2409" t="str">
        <f>INDEX(Modules[Module], MATCH($C21, Modules[Code], 0))</f>
        <v>Waste to Electricity</v>
      </c>
      <c r="E21" s="1297"/>
      <c r="F21" s="1298"/>
      <c r="G21" s="1297"/>
      <c r="H21" s="368">
        <f t="shared" ca="1" si="4"/>
        <v>0</v>
      </c>
      <c r="I21" s="368">
        <f t="shared" ca="1" si="4"/>
        <v>0</v>
      </c>
      <c r="J21" s="368">
        <f t="shared" ca="1" si="4"/>
        <v>0</v>
      </c>
      <c r="K21" s="368">
        <f t="shared" ca="1" si="4"/>
        <v>0</v>
      </c>
      <c r="L21" s="368">
        <f t="shared" ca="1" si="4"/>
        <v>0</v>
      </c>
      <c r="M21" s="368">
        <f t="shared" ca="1" si="4"/>
        <v>0</v>
      </c>
      <c r="N21" s="368">
        <f t="shared" ca="1" si="4"/>
        <v>0</v>
      </c>
      <c r="O21" s="368">
        <f t="shared" ca="1" si="4"/>
        <v>0</v>
      </c>
      <c r="P21" s="368">
        <f t="shared" ca="1" si="4"/>
        <v>0</v>
      </c>
      <c r="Q21" s="368">
        <f t="shared" ca="1" si="4"/>
        <v>0</v>
      </c>
      <c r="R21" s="1287"/>
    </row>
    <row r="22" spans="2:18">
      <c r="B22" s="1284"/>
      <c r="C22" s="1296"/>
      <c r="D22" s="2409" t="s">
        <v>2037</v>
      </c>
      <c r="E22" s="1297"/>
      <c r="F22" s="1298"/>
      <c r="G22" s="1297"/>
      <c r="H22" s="368">
        <f ca="1">SUM(H18:H21)</f>
        <v>4087.8910253673912</v>
      </c>
      <c r="I22" s="368">
        <f t="shared" ref="I22:Q22" ca="1" si="5">SUM(I18:I21)</f>
        <v>155623.77893589978</v>
      </c>
      <c r="J22" s="368">
        <f t="shared" ca="1" si="5"/>
        <v>184194.27023389773</v>
      </c>
      <c r="K22" s="368">
        <f t="shared" ca="1" si="5"/>
        <v>207209.20597633964</v>
      </c>
      <c r="L22" s="368">
        <f t="shared" ca="1" si="5"/>
        <v>258009.91949655954</v>
      </c>
      <c r="M22" s="368">
        <f t="shared" ca="1" si="5"/>
        <v>308874.63301677949</v>
      </c>
      <c r="N22" s="368">
        <f t="shared" ca="1" si="5"/>
        <v>359747.34653699939</v>
      </c>
      <c r="O22" s="368">
        <f t="shared" ca="1" si="5"/>
        <v>410620.06005721929</v>
      </c>
      <c r="P22" s="368">
        <f t="shared" ca="1" si="5"/>
        <v>461492.77357743925</v>
      </c>
      <c r="Q22" s="368">
        <f t="shared" ca="1" si="5"/>
        <v>512365.48709765915</v>
      </c>
      <c r="R22" s="1287"/>
    </row>
    <row r="23" spans="2:18">
      <c r="B23" s="1284"/>
      <c r="C23" s="1296"/>
      <c r="D23" s="608" t="s">
        <v>2187</v>
      </c>
      <c r="E23" s="2412"/>
      <c r="F23" s="1293"/>
      <c r="G23" s="2412"/>
      <c r="H23" s="608">
        <f ca="1">H12+H17+H22</f>
        <v>73285.301658168464</v>
      </c>
      <c r="I23" s="608">
        <f t="shared" ref="I23:Q23" ca="1" si="6">I12+I17+I22</f>
        <v>247354.05891968813</v>
      </c>
      <c r="J23" s="608">
        <f t="shared" ca="1" si="6"/>
        <v>327116.73395626049</v>
      </c>
      <c r="K23" s="608">
        <f t="shared" ca="1" si="6"/>
        <v>382512.97125243617</v>
      </c>
      <c r="L23" s="608">
        <f t="shared" ca="1" si="6"/>
        <v>471383.95373311231</v>
      </c>
      <c r="M23" s="608">
        <f t="shared" ca="1" si="6"/>
        <v>565292.87757956737</v>
      </c>
      <c r="N23" s="608">
        <f t="shared" ca="1" si="6"/>
        <v>646624.91905309935</v>
      </c>
      <c r="O23" s="608">
        <f t="shared" ca="1" si="6"/>
        <v>723755.26234289492</v>
      </c>
      <c r="P23" s="608">
        <f t="shared" ca="1" si="6"/>
        <v>788664.37613483984</v>
      </c>
      <c r="Q23" s="608">
        <f t="shared" ca="1" si="6"/>
        <v>845396.32546440663</v>
      </c>
      <c r="R23" s="1287"/>
    </row>
    <row r="24" spans="2:18">
      <c r="B24" s="1284"/>
      <c r="C24" s="1296"/>
      <c r="D24" s="368"/>
      <c r="E24" s="1297"/>
      <c r="F24" s="1298"/>
      <c r="G24" s="1297"/>
      <c r="H24" s="368"/>
      <c r="I24" s="368"/>
      <c r="J24" s="368"/>
      <c r="K24" s="368"/>
      <c r="L24" s="368"/>
      <c r="M24" s="368"/>
      <c r="N24" s="368"/>
      <c r="O24" s="368"/>
      <c r="P24" s="368"/>
      <c r="Q24" s="368"/>
      <c r="R24" s="1287"/>
    </row>
    <row r="25" spans="2:18">
      <c r="B25" s="1284"/>
      <c r="C25" s="1296"/>
      <c r="D25" s="1296"/>
      <c r="E25" s="1297"/>
      <c r="F25" s="1298"/>
      <c r="G25" s="1297"/>
      <c r="H25" s="368"/>
      <c r="I25" s="368"/>
      <c r="J25" s="368"/>
      <c r="K25" s="368"/>
      <c r="L25" s="368"/>
      <c r="M25" s="368"/>
      <c r="N25" s="368"/>
      <c r="O25" s="368"/>
      <c r="P25" s="368"/>
      <c r="Q25" s="368"/>
      <c r="R25" s="1287"/>
    </row>
    <row r="26" spans="2:18">
      <c r="B26" s="1284"/>
      <c r="C26" s="1292" t="s">
        <v>511</v>
      </c>
      <c r="D26" s="1293" t="str">
        <f>INDEX(Vectors[Description],MATCH($C26,Vectors[Code],0))</f>
        <v>India Sea area</v>
      </c>
      <c r="E26" s="1288"/>
      <c r="F26" s="1294"/>
      <c r="G26" s="1294"/>
      <c r="H26" s="1294">
        <v>2007</v>
      </c>
      <c r="I26" s="1294">
        <f>H26+5</f>
        <v>2012</v>
      </c>
      <c r="J26" s="1294">
        <f t="shared" ref="J26:Q26" si="7">I26+5</f>
        <v>2017</v>
      </c>
      <c r="K26" s="1294">
        <f t="shared" si="7"/>
        <v>2022</v>
      </c>
      <c r="L26" s="1294">
        <f t="shared" si="7"/>
        <v>2027</v>
      </c>
      <c r="M26" s="1294">
        <f t="shared" si="7"/>
        <v>2032</v>
      </c>
      <c r="N26" s="1294">
        <f t="shared" si="7"/>
        <v>2037</v>
      </c>
      <c r="O26" s="1294">
        <f t="shared" si="7"/>
        <v>2042</v>
      </c>
      <c r="P26" s="1294">
        <f t="shared" si="7"/>
        <v>2047</v>
      </c>
      <c r="Q26" s="1294">
        <f t="shared" si="7"/>
        <v>2052</v>
      </c>
      <c r="R26" s="1287" t="str">
        <f>Preferences.AreaUnits</f>
        <v>ha</v>
      </c>
    </row>
    <row r="27" spans="2:18" ht="4.5" customHeight="1">
      <c r="B27" s="1284"/>
      <c r="C27" s="1288"/>
      <c r="D27" s="1285"/>
      <c r="E27" s="1285"/>
      <c r="F27" s="1286"/>
      <c r="G27" s="1286"/>
      <c r="H27" s="1286"/>
      <c r="I27" s="1286"/>
      <c r="J27" s="1286"/>
      <c r="K27" s="1286"/>
      <c r="L27" s="1286"/>
      <c r="M27" s="1286"/>
      <c r="N27" s="1286"/>
      <c r="O27" s="1286"/>
      <c r="P27" s="1286"/>
      <c r="Q27" s="1286"/>
      <c r="R27" s="1287"/>
    </row>
    <row r="28" spans="2:18">
      <c r="B28" s="1284"/>
      <c r="C28" s="1296" t="s">
        <v>1285</v>
      </c>
      <c r="D28" s="2409" t="str">
        <f>INDEX(Modules[Module], MATCH($C28, Modules[Code], 0))</f>
        <v>Offshore Wind</v>
      </c>
      <c r="E28" s="1297"/>
      <c r="F28" s="1298"/>
      <c r="G28" s="1297"/>
      <c r="H28" s="368">
        <f t="shared" ref="H28:Q29" ca="1" si="8">INDEX(INDIRECT($C28&amp;".Info["&amp;H$4&amp;"]"),MATCH($C$26,INDIRECT($C28&amp;".Info[Vector]"),0))</f>
        <v>0</v>
      </c>
      <c r="I28" s="368">
        <f t="shared" ca="1" si="8"/>
        <v>0</v>
      </c>
      <c r="J28" s="368">
        <f t="shared" ca="1" si="8"/>
        <v>0</v>
      </c>
      <c r="K28" s="368">
        <f t="shared" ca="1" si="8"/>
        <v>0</v>
      </c>
      <c r="L28" s="368">
        <f t="shared" ca="1" si="8"/>
        <v>0</v>
      </c>
      <c r="M28" s="368">
        <f t="shared" ca="1" si="8"/>
        <v>0</v>
      </c>
      <c r="N28" s="368">
        <f t="shared" ca="1" si="8"/>
        <v>0</v>
      </c>
      <c r="O28" s="368">
        <f t="shared" ca="1" si="8"/>
        <v>0</v>
      </c>
      <c r="P28" s="368">
        <f t="shared" ca="1" si="8"/>
        <v>0</v>
      </c>
      <c r="Q28" s="368">
        <f t="shared" ca="1" si="8"/>
        <v>0</v>
      </c>
      <c r="R28" s="1287"/>
    </row>
    <row r="29" spans="2:18">
      <c r="B29" s="1284"/>
      <c r="C29" s="1296" t="s">
        <v>1867</v>
      </c>
      <c r="D29" s="2409" t="str">
        <f>INDEX(Modules[Module], MATCH($C29, Modules[Code], 0))</f>
        <v>Advanced Bio Fuels</v>
      </c>
      <c r="E29" s="1297"/>
      <c r="F29" s="1298"/>
      <c r="G29" s="1297"/>
      <c r="H29" s="368">
        <f t="shared" ca="1" si="8"/>
        <v>0</v>
      </c>
      <c r="I29" s="368">
        <f t="shared" ca="1" si="8"/>
        <v>0</v>
      </c>
      <c r="J29" s="368">
        <f t="shared" ca="1" si="8"/>
        <v>0</v>
      </c>
      <c r="K29" s="368">
        <f t="shared" ca="1" si="8"/>
        <v>0</v>
      </c>
      <c r="L29" s="368">
        <f t="shared" ca="1" si="8"/>
        <v>400</v>
      </c>
      <c r="M29" s="368">
        <f t="shared" ca="1" si="8"/>
        <v>800</v>
      </c>
      <c r="N29" s="368">
        <f t="shared" ca="1" si="8"/>
        <v>1600</v>
      </c>
      <c r="O29" s="368">
        <f t="shared" ca="1" si="8"/>
        <v>2400</v>
      </c>
      <c r="P29" s="368">
        <f t="shared" ca="1" si="8"/>
        <v>3200</v>
      </c>
      <c r="Q29" s="368">
        <f t="shared" ca="1" si="8"/>
        <v>4000</v>
      </c>
      <c r="R29" s="1287"/>
    </row>
    <row r="30" spans="2:18">
      <c r="B30" s="1284"/>
      <c r="C30" s="1296"/>
      <c r="D30" s="368"/>
      <c r="E30" s="1297"/>
      <c r="F30" s="1298"/>
      <c r="G30" s="1297"/>
      <c r="H30" s="368"/>
      <c r="I30" s="368"/>
      <c r="J30" s="368"/>
      <c r="K30" s="368"/>
      <c r="L30" s="368"/>
      <c r="M30" s="368"/>
      <c r="N30" s="368"/>
      <c r="O30" s="368"/>
      <c r="P30" s="368"/>
      <c r="Q30" s="368"/>
      <c r="R30" s="1287"/>
    </row>
    <row r="31" spans="2:18">
      <c r="B31" s="1284"/>
      <c r="C31" s="1296"/>
      <c r="D31" s="608" t="s">
        <v>1868</v>
      </c>
      <c r="E31" s="2412"/>
      <c r="F31" s="1293"/>
      <c r="G31" s="2412"/>
      <c r="H31" s="608">
        <f ca="1">SUM(H28:H30)</f>
        <v>0</v>
      </c>
      <c r="I31" s="608">
        <f t="shared" ref="I31:Q31" ca="1" si="9">SUM(I28:I30)</f>
        <v>0</v>
      </c>
      <c r="J31" s="608">
        <f t="shared" ca="1" si="9"/>
        <v>0</v>
      </c>
      <c r="K31" s="608">
        <f t="shared" ca="1" si="9"/>
        <v>0</v>
      </c>
      <c r="L31" s="608">
        <f t="shared" ca="1" si="9"/>
        <v>400</v>
      </c>
      <c r="M31" s="608">
        <f t="shared" ca="1" si="9"/>
        <v>800</v>
      </c>
      <c r="N31" s="608">
        <f t="shared" ca="1" si="9"/>
        <v>1600</v>
      </c>
      <c r="O31" s="608">
        <f t="shared" ca="1" si="9"/>
        <v>2400</v>
      </c>
      <c r="P31" s="608">
        <f t="shared" ca="1" si="9"/>
        <v>3200</v>
      </c>
      <c r="Q31" s="608">
        <f t="shared" ca="1" si="9"/>
        <v>4000</v>
      </c>
      <c r="R31" s="1287"/>
    </row>
    <row r="32" spans="2:18">
      <c r="B32" s="1284"/>
      <c r="C32" s="1296"/>
      <c r="D32" s="1296"/>
      <c r="E32" s="1297"/>
      <c r="F32" s="1298"/>
      <c r="G32" s="1297"/>
      <c r="H32" s="368"/>
      <c r="I32" s="368"/>
      <c r="J32" s="368"/>
      <c r="K32" s="368"/>
      <c r="L32" s="368"/>
      <c r="M32" s="368"/>
      <c r="N32" s="368"/>
      <c r="O32" s="368"/>
      <c r="P32" s="368"/>
      <c r="Q32" s="368"/>
      <c r="R32" s="1287"/>
    </row>
    <row r="33" spans="2:18" ht="18.75" customHeight="1">
      <c r="B33" s="1284"/>
      <c r="C33" s="1292"/>
      <c r="D33" s="1293"/>
      <c r="E33" s="1288"/>
      <c r="F33" s="1294"/>
      <c r="G33" s="1294"/>
      <c r="H33" s="1294"/>
      <c r="I33" s="1294"/>
      <c r="J33" s="1294"/>
      <c r="K33" s="1294"/>
      <c r="L33" s="1294"/>
      <c r="M33" s="1294"/>
      <c r="N33" s="1294"/>
      <c r="O33" s="1294"/>
      <c r="P33" s="1294"/>
      <c r="Q33" s="1295"/>
      <c r="R33" s="1287"/>
    </row>
    <row r="34" spans="2:18" ht="4.5" customHeight="1">
      <c r="B34" s="1284"/>
      <c r="C34" s="1288"/>
      <c r="D34" s="1285"/>
      <c r="E34" s="1285"/>
      <c r="F34" s="1286"/>
      <c r="G34" s="1286"/>
      <c r="H34" s="1286"/>
      <c r="I34" s="1286"/>
      <c r="J34" s="1286"/>
      <c r="K34" s="1286"/>
      <c r="L34" s="1286"/>
      <c r="M34" s="1286"/>
      <c r="N34" s="1286"/>
      <c r="O34" s="1286"/>
      <c r="P34" s="1286"/>
      <c r="Q34" s="1286"/>
      <c r="R34" s="1287"/>
    </row>
    <row r="35" spans="2:18">
      <c r="B35" s="1284"/>
      <c r="C35" s="1292"/>
      <c r="D35" s="368"/>
      <c r="E35" s="1297"/>
      <c r="F35" s="1298"/>
      <c r="G35" s="1297"/>
      <c r="H35" s="368"/>
      <c r="I35" s="368"/>
      <c r="J35" s="1292"/>
      <c r="K35" s="608"/>
      <c r="L35" s="608"/>
      <c r="M35" s="368"/>
      <c r="N35" s="368"/>
      <c r="O35" s="368"/>
      <c r="P35" s="368"/>
      <c r="Q35" s="368"/>
      <c r="R35" s="1287"/>
    </row>
    <row r="36" spans="2:18">
      <c r="B36" s="1284"/>
      <c r="C36" s="1296"/>
      <c r="D36" s="368" t="str">
        <f>"Area in "&amp;Preferences.AreaUnits</f>
        <v>Area in ha</v>
      </c>
      <c r="E36" s="1297"/>
      <c r="F36" s="1298"/>
      <c r="G36" s="1297"/>
      <c r="H36" s="368"/>
      <c r="I36" s="608"/>
      <c r="J36" s="1292" t="s">
        <v>2492</v>
      </c>
      <c r="K36" s="608" t="s">
        <v>2048</v>
      </c>
      <c r="L36" s="608" t="s">
        <v>2188</v>
      </c>
      <c r="M36" s="368"/>
      <c r="N36" s="368"/>
      <c r="O36" s="368"/>
      <c r="Q36" s="368"/>
      <c r="R36" s="1287"/>
    </row>
    <row r="37" spans="2:18">
      <c r="B37" s="1284"/>
      <c r="C37" s="1296"/>
      <c r="D37" s="2863" t="s">
        <v>2189</v>
      </c>
      <c r="E37" s="1297"/>
      <c r="F37" s="1298"/>
      <c r="G37" s="1297"/>
      <c r="H37" s="368"/>
      <c r="I37" s="368"/>
      <c r="J37" s="368">
        <f>214102.146408673*(Unit.ha)</f>
        <v>214102.146408673</v>
      </c>
      <c r="K37" s="368">
        <f ca="1">P12</f>
        <v>213984.72979574677</v>
      </c>
      <c r="L37" s="368">
        <f ca="1">K37-J37</f>
        <v>-117.4166129262303</v>
      </c>
      <c r="M37" s="368"/>
      <c r="N37" s="368"/>
      <c r="O37" s="368"/>
      <c r="Q37" s="368"/>
      <c r="R37" s="1287"/>
    </row>
    <row r="38" spans="2:18">
      <c r="B38" s="1284"/>
      <c r="C38" s="1292"/>
      <c r="D38" s="2863" t="s">
        <v>40</v>
      </c>
      <c r="E38" s="1297"/>
      <c r="F38" s="1298"/>
      <c r="G38" s="1297"/>
      <c r="H38" s="368"/>
      <c r="I38" s="368"/>
      <c r="J38" s="368">
        <f>113186.872761654*(Unit.ha)</f>
        <v>113186.872761654</v>
      </c>
      <c r="K38" s="368">
        <f ca="1">P17</f>
        <v>113186.8727616539</v>
      </c>
      <c r="L38" s="368">
        <f ca="1">K38-J38</f>
        <v>0</v>
      </c>
      <c r="M38" s="368"/>
      <c r="N38" s="368"/>
      <c r="O38" s="368"/>
      <c r="Q38" s="368"/>
      <c r="R38" s="1287"/>
    </row>
    <row r="39" spans="2:18" ht="12" customHeight="1">
      <c r="B39" s="1284"/>
      <c r="C39" s="1298"/>
      <c r="D39" s="2863" t="s">
        <v>2037</v>
      </c>
      <c r="E39" s="1297"/>
      <c r="F39" s="1298"/>
      <c r="G39" s="1297"/>
      <c r="H39" s="368"/>
      <c r="I39" s="368"/>
      <c r="J39" s="368">
        <f>461492.773577439*(Unit.ha)</f>
        <v>461492.77357743902</v>
      </c>
      <c r="K39" s="368">
        <f ca="1">P22</f>
        <v>461492.77357743925</v>
      </c>
      <c r="L39" s="368">
        <f ca="1">K39-J39</f>
        <v>0</v>
      </c>
      <c r="M39" s="368"/>
      <c r="N39" s="368"/>
      <c r="O39" s="368"/>
      <c r="Q39" s="368"/>
      <c r="R39" s="1287"/>
    </row>
    <row r="40" spans="2:18">
      <c r="B40" s="1284"/>
      <c r="C40" s="1296"/>
      <c r="D40" s="2864" t="s">
        <v>103</v>
      </c>
      <c r="E40" s="1297"/>
      <c r="F40" s="1298"/>
      <c r="G40" s="1297"/>
      <c r="H40" s="368"/>
      <c r="I40" s="368"/>
      <c r="J40" s="368">
        <f>788781.792747766*(Unit.ha)</f>
        <v>788781.79274776601</v>
      </c>
      <c r="K40" s="368">
        <f ca="1">SUM(K37:K39)</f>
        <v>788664.37613483984</v>
      </c>
      <c r="L40" s="368">
        <f ca="1">K40-J40</f>
        <v>-117.41661292617209</v>
      </c>
      <c r="M40" s="368"/>
      <c r="N40" s="368"/>
      <c r="O40" s="368"/>
      <c r="P40" s="368"/>
      <c r="Q40" s="368"/>
      <c r="R40" s="1287"/>
    </row>
    <row r="41" spans="2:18">
      <c r="B41" s="1284"/>
      <c r="C41" s="1296"/>
      <c r="D41" s="1296" t="s">
        <v>2440</v>
      </c>
      <c r="E41" s="1297"/>
      <c r="F41" s="1298"/>
      <c r="G41" s="1297"/>
      <c r="H41" s="368"/>
      <c r="I41" s="368"/>
      <c r="J41" s="368"/>
      <c r="K41" s="368">
        <f>3.287*10^6*Unit.km2</f>
        <v>328700000</v>
      </c>
      <c r="L41" s="368"/>
      <c r="M41" s="368"/>
      <c r="N41" s="368"/>
      <c r="O41" s="368"/>
      <c r="P41" s="368"/>
      <c r="Q41" s="368"/>
      <c r="R41" s="1287"/>
    </row>
    <row r="42" spans="2:18">
      <c r="B42" s="1284"/>
      <c r="C42" s="1292"/>
      <c r="D42" s="1293" t="s">
        <v>2473</v>
      </c>
      <c r="E42" s="1288"/>
      <c r="F42" s="1294"/>
      <c r="G42" s="1294"/>
      <c r="H42" s="1294"/>
      <c r="I42" s="1294"/>
      <c r="J42" s="3200">
        <f>J40/K41</f>
        <v>2.3997012252746151E-3</v>
      </c>
      <c r="K42" s="3200">
        <f ca="1">K40/K41</f>
        <v>2.3993440101455427E-3</v>
      </c>
      <c r="L42" s="1294"/>
      <c r="M42" s="1294"/>
      <c r="N42" s="1294"/>
      <c r="O42" s="1294"/>
      <c r="P42" s="1294"/>
      <c r="Q42" s="1295"/>
      <c r="R42" s="1287"/>
    </row>
    <row r="43" spans="2:18" ht="4.5" customHeight="1">
      <c r="B43" s="1284"/>
      <c r="C43" s="1288"/>
      <c r="D43" s="1285"/>
      <c r="E43" s="1285"/>
      <c r="F43" s="1286"/>
      <c r="G43" s="1286"/>
      <c r="H43" s="1286"/>
      <c r="I43" s="1286"/>
      <c r="J43" s="1286"/>
      <c r="K43" s="1286"/>
      <c r="L43" s="1286"/>
      <c r="M43" s="1286"/>
      <c r="N43" s="1286"/>
      <c r="O43" s="1286"/>
      <c r="P43" s="1286"/>
      <c r="Q43" s="1286"/>
      <c r="R43" s="1287"/>
    </row>
    <row r="44" spans="2:18">
      <c r="B44" s="1284"/>
      <c r="C44" s="1296"/>
      <c r="D44" s="368"/>
      <c r="E44" s="1297"/>
      <c r="F44" s="1298"/>
      <c r="G44" s="1297"/>
      <c r="H44" s="368"/>
      <c r="I44" s="368"/>
      <c r="J44" s="368"/>
      <c r="K44" s="3165"/>
      <c r="L44" s="368"/>
      <c r="M44" s="368"/>
      <c r="N44" s="368"/>
      <c r="O44" s="368"/>
      <c r="P44" s="368"/>
      <c r="Q44" s="368"/>
      <c r="R44" s="1287"/>
    </row>
    <row r="45" spans="2:18">
      <c r="B45" s="1284"/>
      <c r="C45" s="1296"/>
      <c r="D45" s="368"/>
      <c r="E45" s="1297"/>
      <c r="F45" s="1298"/>
      <c r="G45" s="1297"/>
      <c r="H45" s="368"/>
      <c r="I45" s="368"/>
      <c r="J45" s="368"/>
      <c r="K45" s="368"/>
      <c r="L45" s="368"/>
      <c r="M45" s="368"/>
      <c r="N45" s="368"/>
      <c r="O45" s="368"/>
      <c r="P45" s="368"/>
      <c r="Q45" s="368"/>
      <c r="R45" s="1287"/>
    </row>
    <row r="46" spans="2:18">
      <c r="B46" s="1284"/>
      <c r="C46" s="1296"/>
      <c r="D46" s="368"/>
      <c r="E46" s="1297"/>
      <c r="F46" s="1298"/>
      <c r="G46" s="1297"/>
      <c r="H46" s="368"/>
      <c r="I46" s="368"/>
      <c r="J46" s="368"/>
      <c r="K46" s="368"/>
      <c r="L46" s="368"/>
      <c r="M46" s="368"/>
      <c r="N46" s="368"/>
      <c r="O46" s="368"/>
      <c r="P46" s="368"/>
      <c r="Q46" s="368"/>
      <c r="R46" s="1287"/>
    </row>
    <row r="47" spans="2:18">
      <c r="B47" s="1284"/>
      <c r="C47" s="1296"/>
      <c r="D47" s="368"/>
      <c r="E47" s="1297"/>
      <c r="F47" s="1298"/>
      <c r="G47" s="1297"/>
      <c r="H47" s="368"/>
      <c r="I47" s="368"/>
      <c r="J47" s="368"/>
      <c r="K47" s="368"/>
      <c r="L47" s="368"/>
      <c r="M47" s="368"/>
      <c r="N47" s="368"/>
      <c r="O47" s="368"/>
      <c r="P47" s="368"/>
      <c r="Q47" s="368"/>
      <c r="R47" s="1287"/>
    </row>
    <row r="48" spans="2:18">
      <c r="B48" s="1284"/>
      <c r="C48" s="1296"/>
      <c r="D48" s="1296"/>
      <c r="E48" s="1297"/>
      <c r="F48" s="1298"/>
      <c r="G48" s="1297"/>
      <c r="H48" s="368"/>
      <c r="I48" s="368"/>
      <c r="J48" s="368"/>
      <c r="K48" s="368"/>
      <c r="L48" s="368"/>
      <c r="M48" s="368"/>
      <c r="N48" s="368"/>
      <c r="O48" s="368"/>
      <c r="P48" s="368"/>
      <c r="Q48" s="368"/>
      <c r="R48" s="1287"/>
    </row>
    <row r="49" spans="2:18">
      <c r="B49" s="1284"/>
      <c r="C49" s="1296"/>
      <c r="D49" s="1296"/>
      <c r="E49" s="1297"/>
      <c r="F49" s="1298"/>
      <c r="G49" s="1297"/>
      <c r="H49" s="368"/>
      <c r="I49" s="368"/>
      <c r="J49" s="368"/>
      <c r="K49" s="368"/>
      <c r="L49" s="368"/>
      <c r="M49" s="368"/>
      <c r="N49" s="368"/>
      <c r="O49" s="368"/>
      <c r="P49" s="368"/>
      <c r="Q49" s="368"/>
      <c r="R49" s="1287"/>
    </row>
    <row r="50" spans="2:18">
      <c r="B50" s="1284"/>
      <c r="C50" s="1296"/>
      <c r="D50" s="1296"/>
      <c r="E50" s="1297"/>
      <c r="F50" s="1298"/>
      <c r="G50" s="1297"/>
      <c r="H50" s="368"/>
      <c r="I50" s="368"/>
      <c r="J50" s="368"/>
      <c r="K50" s="368"/>
      <c r="L50" s="368"/>
      <c r="M50" s="368"/>
      <c r="N50" s="368"/>
      <c r="O50" s="368"/>
      <c r="P50" s="368"/>
      <c r="Q50" s="368"/>
      <c r="R50" s="1287"/>
    </row>
  </sheetData>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F6" activePane="bottomRight" state="frozen"/>
      <selection activeCell="Y9" sqref="Y9"/>
      <selection pane="topRight" activeCell="Y9" sqref="Y9"/>
      <selection pane="bottomLeft" activeCell="Y9" sqref="Y9"/>
      <selection pane="bottomRight" activeCell="I14" sqref="I14"/>
    </sheetView>
  </sheetViews>
  <sheetFormatPr defaultColWidth="8.85546875" defaultRowHeight="12.75" outlineLevelRow="1" outlineLevelCol="2"/>
  <cols>
    <col min="1" max="1" width="6.140625" style="2555" customWidth="1"/>
    <col min="2" max="2" width="1.42578125" style="2555" customWidth="1"/>
    <col min="3" max="3" width="4.42578125" style="621" customWidth="1"/>
    <col min="4" max="4" width="5.140625" style="730" customWidth="1"/>
    <col min="5" max="5" width="41.7109375" style="730" customWidth="1"/>
    <col min="6" max="6" width="1.140625" style="2555"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5"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5" customWidth="1" outlineLevel="1"/>
    <col min="40" max="58" width="10" style="730" customWidth="1" outlineLevel="2"/>
    <col min="59" max="59" width="10" style="730" customWidth="1" outlineLevel="1"/>
    <col min="60" max="60" width="1.140625" style="2555" customWidth="1" outlineLevel="1"/>
    <col min="61" max="62" width="10" style="730" customWidth="1" outlineLevel="2"/>
    <col min="63" max="63" width="10" style="730" customWidth="1" outlineLevel="1"/>
    <col min="64" max="64" width="1.140625" style="2555" customWidth="1" outlineLevel="1"/>
    <col min="65" max="65" width="11" style="730" customWidth="1" outlineLevel="1"/>
    <col min="66" max="66" width="5.28515625" style="730" customWidth="1"/>
    <col min="67" max="67" width="8.85546875" style="2555"/>
    <col min="68" max="111" width="7.42578125" style="2555" customWidth="1"/>
    <col min="112" max="112" width="2.42578125" style="2555" customWidth="1"/>
    <col min="113" max="16384" width="8.85546875" style="2555"/>
  </cols>
  <sheetData>
    <row r="1" spans="1:113" ht="9" customHeight="1"/>
    <row r="2" spans="1:113" ht="21" customHeight="1">
      <c r="D2" s="718"/>
      <c r="E2" s="986">
        <v>2007</v>
      </c>
      <c r="G2" s="2555"/>
      <c r="H2" s="2555"/>
      <c r="I2" s="2555"/>
      <c r="J2" s="2555"/>
      <c r="K2" s="2555"/>
      <c r="L2" s="2555"/>
      <c r="M2" s="2555"/>
      <c r="N2" s="2555"/>
      <c r="O2" s="2555"/>
      <c r="P2" s="2555"/>
      <c r="Q2" s="2555"/>
      <c r="R2" s="2555"/>
      <c r="T2" s="2555"/>
      <c r="U2" s="2555"/>
      <c r="V2" s="2555"/>
      <c r="W2" s="2555"/>
      <c r="X2" s="2555"/>
      <c r="Y2" s="2555"/>
      <c r="Z2" s="2555"/>
      <c r="AA2" s="2555"/>
      <c r="AB2" s="2555"/>
      <c r="AC2" s="2555"/>
      <c r="AD2" s="2555"/>
      <c r="AE2" s="2555"/>
      <c r="AF2" s="2555"/>
      <c r="AG2" s="2555"/>
      <c r="AH2" s="2555"/>
      <c r="AI2" s="2555"/>
      <c r="AJ2" s="2555"/>
      <c r="AK2" s="2555"/>
      <c r="AL2" s="2555"/>
      <c r="AN2" s="2555"/>
      <c r="AO2" s="2555"/>
      <c r="AP2" s="2555"/>
      <c r="AQ2" s="2555"/>
      <c r="AR2" s="2555"/>
      <c r="AS2" s="2555"/>
      <c r="AT2" s="2555"/>
      <c r="AU2" s="2555"/>
      <c r="AV2" s="2555"/>
      <c r="AW2" s="2555"/>
      <c r="AX2" s="2555"/>
      <c r="AY2" s="2555"/>
      <c r="AZ2" s="2555"/>
      <c r="BA2" s="2555"/>
      <c r="BB2" s="2555"/>
      <c r="BC2" s="2555"/>
      <c r="BD2" s="2555"/>
      <c r="BE2" s="2555"/>
      <c r="BF2" s="2555"/>
      <c r="BG2" s="2555"/>
      <c r="BI2" s="2555"/>
      <c r="BJ2" s="2555"/>
      <c r="BK2" s="2555"/>
      <c r="BM2" s="2555"/>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hidden="1"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125.22829189364668</v>
      </c>
      <c r="H10" s="1051">
        <f t="shared" ca="1" si="0"/>
        <v>0</v>
      </c>
      <c r="I10" s="1051">
        <f t="shared" ca="1" si="0"/>
        <v>0</v>
      </c>
      <c r="J10" s="1051">
        <f t="shared" ca="1" si="0"/>
        <v>0</v>
      </c>
      <c r="K10" s="1051">
        <f t="shared" ca="1" si="0"/>
        <v>0</v>
      </c>
      <c r="L10" s="1051">
        <f t="shared" ca="1" si="0"/>
        <v>0</v>
      </c>
      <c r="M10" s="1051">
        <f t="shared" ca="1" si="0"/>
        <v>0</v>
      </c>
      <c r="N10" s="1051">
        <f t="shared" ca="1" si="0"/>
        <v>0</v>
      </c>
      <c r="O10" s="1051">
        <f t="shared" ca="1" si="0"/>
        <v>0</v>
      </c>
      <c r="P10" s="1051">
        <f t="shared" ca="1" si="0"/>
        <v>0</v>
      </c>
      <c r="Q10" s="1051">
        <f t="shared" ca="1" si="0"/>
        <v>0</v>
      </c>
      <c r="R10" s="1051">
        <f ca="1">SUM(G10:Q10)</f>
        <v>125.22829189364668</v>
      </c>
      <c r="T10" s="1053">
        <f t="shared" ref="T10:BF11" ca="1" si="1">IFERROR(INDEX(INDIRECT($C10&amp;".Outputs["&amp;this.year&amp;"]"), MATCH(T$5, INDIRECT($C10&amp;".Outputs[Vector]"), 0)), 0)</f>
        <v>-117.75237224936291</v>
      </c>
      <c r="U10" s="1053">
        <f t="shared" ca="1" si="1"/>
        <v>0</v>
      </c>
      <c r="V10" s="1053">
        <f t="shared" ca="1" si="1"/>
        <v>0</v>
      </c>
      <c r="W10" s="1053">
        <f t="shared" ca="1" si="1"/>
        <v>-7.4759196442837803</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-125.22829189364668</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1.9940071140643392</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1.9940071140643392</v>
      </c>
    </row>
    <row r="11" spans="1:113" s="51" customFormat="1" ht="12.75" hidden="1" customHeight="1" outlineLevel="1">
      <c r="A11" s="1061"/>
      <c r="B11" s="1061"/>
      <c r="C11" s="1048" t="s">
        <v>301</v>
      </c>
      <c r="D11" s="1064" t="str">
        <f>INDEX(Modules[Module], MATCH($C11, Modules[Code], 0))</f>
        <v>Commercial Lighting &amp; Appliances</v>
      </c>
      <c r="E11" s="1064"/>
      <c r="G11" s="1065">
        <f t="shared" ca="1" si="0"/>
        <v>0</v>
      </c>
      <c r="H11" s="1065">
        <f t="shared" ca="1" si="0"/>
        <v>69.837354022093393</v>
      </c>
      <c r="I11" s="1065">
        <f t="shared" ca="1" si="0"/>
        <v>0</v>
      </c>
      <c r="J11" s="1065">
        <f t="shared" ca="1" si="0"/>
        <v>0</v>
      </c>
      <c r="K11" s="1065">
        <f t="shared" ca="1" si="0"/>
        <v>0</v>
      </c>
      <c r="L11" s="1065">
        <f t="shared" ca="1" si="0"/>
        <v>0</v>
      </c>
      <c r="M11" s="1065">
        <f t="shared" ca="1" si="0"/>
        <v>-1.8782351383851339E-2</v>
      </c>
      <c r="N11" s="1065">
        <f t="shared" ca="1" si="0"/>
        <v>0</v>
      </c>
      <c r="O11" s="1065">
        <f t="shared" ca="1" si="0"/>
        <v>0</v>
      </c>
      <c r="P11" s="1065">
        <f t="shared" ca="1" si="0"/>
        <v>0</v>
      </c>
      <c r="Q11" s="1065">
        <f t="shared" ca="1" si="0"/>
        <v>0</v>
      </c>
      <c r="R11" s="1065">
        <f ca="1">SUM(G11:Q11)</f>
        <v>69.818571670709545</v>
      </c>
      <c r="T11" s="1066">
        <f t="shared" ca="1" si="1"/>
        <v>-69.818571670709545</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-69.818571670709545</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ollapsed="1">
      <c r="A12" s="17"/>
      <c r="B12" s="53"/>
      <c r="C12" s="711" t="s">
        <v>196</v>
      </c>
      <c r="D12" s="710" t="str">
        <f>INDEX(Workstreams[Workstream], MATCH($C12, Workstreams[Code], 0))</f>
        <v>Lighting and appliances</v>
      </c>
      <c r="E12" s="41"/>
      <c r="G12" s="1071">
        <f ca="1">G10+G11</f>
        <v>125.22829189364668</v>
      </c>
      <c r="H12" s="1071">
        <f t="shared" ref="H12:Q12" ca="1" si="11">H10+H11</f>
        <v>69.837354022093393</v>
      </c>
      <c r="I12" s="1071">
        <f t="shared" ca="1" si="11"/>
        <v>0</v>
      </c>
      <c r="J12" s="1071">
        <f t="shared" ca="1" si="11"/>
        <v>0</v>
      </c>
      <c r="K12" s="1071">
        <f t="shared" ca="1" si="11"/>
        <v>0</v>
      </c>
      <c r="L12" s="1071">
        <f t="shared" ca="1" si="11"/>
        <v>0</v>
      </c>
      <c r="M12" s="1071">
        <f ca="1">M11+M10</f>
        <v>-1.8782351383851339E-2</v>
      </c>
      <c r="N12" s="1071">
        <f t="shared" ca="1" si="11"/>
        <v>0</v>
      </c>
      <c r="O12" s="1071">
        <f t="shared" ca="1" si="11"/>
        <v>0</v>
      </c>
      <c r="P12" s="1071">
        <f t="shared" ca="1" si="11"/>
        <v>0</v>
      </c>
      <c r="Q12" s="1071">
        <f t="shared" ca="1" si="11"/>
        <v>0</v>
      </c>
      <c r="R12" s="1071">
        <f ca="1">SUM(G12:Q12)</f>
        <v>195.04686356435622</v>
      </c>
      <c r="T12" s="1043">
        <f ca="1">T10+T11</f>
        <v>-187.57094392007247</v>
      </c>
      <c r="U12" s="1043">
        <f t="shared" ref="U12:AK12" ca="1" si="12">U10+U11</f>
        <v>0</v>
      </c>
      <c r="V12" s="1043">
        <f t="shared" ca="1" si="12"/>
        <v>0</v>
      </c>
      <c r="W12" s="1043">
        <f t="shared" ca="1" si="12"/>
        <v>-7.4759196442837803</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-195.04686356435624</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-2.8421709430404007E-14</v>
      </c>
      <c r="BN12" s="1046"/>
      <c r="BO12" s="97"/>
      <c r="BP12" s="1058">
        <f t="shared" ref="BP12:DG12" ca="1" si="14">BP10+BP11</f>
        <v>1.9940071140643392</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1.9940071140643392</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1615.7381002510185</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1615.7381002510185</v>
      </c>
      <c r="T13" s="1066">
        <f t="shared" ref="T13:BF13" ca="1" si="16">IFERROR(INDEX(INDIRECT($C13&amp;".Outputs["&amp;this.year&amp;"]"), MATCH(T$5, INDIRECT($C13&amp;".Outputs[Vector]"), 0)), 0)</f>
        <v>-291.71784851167462</v>
      </c>
      <c r="U13" s="1066">
        <f t="shared" ca="1" si="16"/>
        <v>0</v>
      </c>
      <c r="V13" s="1066">
        <f t="shared" ca="1" si="16"/>
        <v>-612.49419450759206</v>
      </c>
      <c r="W13" s="1066">
        <f t="shared" ca="1" si="16"/>
        <v>-468.75505107960362</v>
      </c>
      <c r="X13" s="1066">
        <f t="shared" ca="1" si="16"/>
        <v>-242.77100615214823</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-1615.7381002510185</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0</v>
      </c>
      <c r="BN13" s="1063"/>
      <c r="BO13" s="97"/>
      <c r="BP13" s="1069">
        <f t="shared" ref="BP13:DG13" ca="1" si="18">IFERROR(SUMIFS(INDIRECT($C13&amp;".Emissions["&amp;this.year&amp;"]"), INDIRECT($C13&amp;".Emissions[GHG]"), BP$6, INDIRECT($C13&amp;".Emissions[IPCC Sector]"), BP$5),0)</f>
        <v>328.16429547908859</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328.16429547908859</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1615.7381002510185</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1615.7381002510185</v>
      </c>
      <c r="T14" s="1043">
        <f t="shared" ref="T14:AK14" ca="1" si="20">T13</f>
        <v>-291.71784851167462</v>
      </c>
      <c r="U14" s="1043">
        <f t="shared" ca="1" si="20"/>
        <v>0</v>
      </c>
      <c r="V14" s="1043">
        <f t="shared" ca="1" si="20"/>
        <v>-612.49419450759206</v>
      </c>
      <c r="W14" s="1043">
        <f t="shared" ca="1" si="20"/>
        <v>-468.75505107960362</v>
      </c>
      <c r="X14" s="1043">
        <f t="shared" ca="1" si="20"/>
        <v>-242.77100615214823</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-1615.7381002510185</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0</v>
      </c>
      <c r="BN14" s="1046"/>
      <c r="BO14" s="97"/>
      <c r="BP14" s="1058">
        <f t="shared" ref="BP14:DG14" ca="1" si="22">BP13</f>
        <v>328.16429547908859</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328.16429547908859</v>
      </c>
    </row>
    <row r="15" spans="1:113" s="51" customFormat="1" ht="12.75" hidden="1"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463.86376980128881</v>
      </c>
      <c r="K15" s="1051">
        <f t="shared" ca="1" si="23"/>
        <v>22.292841450000004</v>
      </c>
      <c r="L15" s="1051">
        <f t="shared" ca="1" si="23"/>
        <v>19.354161061850885</v>
      </c>
      <c r="M15" s="1051">
        <f t="shared" ca="1" si="23"/>
        <v>0</v>
      </c>
      <c r="N15" s="1051">
        <f t="shared" ca="1" si="23"/>
        <v>0</v>
      </c>
      <c r="O15" s="1051">
        <f t="shared" ca="1" si="23"/>
        <v>0</v>
      </c>
      <c r="P15" s="1051">
        <f t="shared" ca="1" si="23"/>
        <v>0</v>
      </c>
      <c r="Q15" s="1051">
        <f t="shared" ca="1" si="23"/>
        <v>0</v>
      </c>
      <c r="R15" s="1071">
        <f t="shared" ref="R15:R23" ca="1" si="24">SUM(G15:Q15)</f>
        <v>505.51077231313974</v>
      </c>
      <c r="T15" s="1053">
        <f t="shared" ref="T15:BF16" ca="1" si="25">IFERROR(INDEX(INDIRECT($C15&amp;".Outputs["&amp;this.year&amp;"]"), MATCH(T$5, INDIRECT($C15&amp;".Outputs[Vector]"), 0)), 0)</f>
        <v>-7.8045578920344294</v>
      </c>
      <c r="U15" s="1053">
        <f t="shared" ca="1" si="25"/>
        <v>0</v>
      </c>
      <c r="V15" s="1053">
        <f t="shared" ca="1" si="25"/>
        <v>0</v>
      </c>
      <c r="W15" s="1053">
        <f t="shared" ca="1" si="25"/>
        <v>-487.95385834742541</v>
      </c>
      <c r="X15" s="1053">
        <f t="shared" ca="1" si="25"/>
        <v>-9.7523560736799499</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-505.5107723131398</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-5.6843418860808015E-14</v>
      </c>
      <c r="BN15" s="1063"/>
      <c r="BO15" s="97"/>
      <c r="BP15" s="1057">
        <f t="shared" ref="BP15:BY16" ca="1" si="30">IFERROR(SUMIFS(INDIRECT($C15&amp;".Emissions["&amp;this.year&amp;"]"), INDIRECT($C15&amp;".Emissions[GHG]"), BP$6, INDIRECT($C15&amp;".Emissions[IPCC Sector]"), BP$5),0)</f>
        <v>132.08920545584482</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132.08920545584482</v>
      </c>
    </row>
    <row r="16" spans="1:113" s="51" customFormat="1" ht="12.75" hidden="1"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323.19778666496734</v>
      </c>
      <c r="K16" s="1051">
        <f t="shared" ca="1" si="23"/>
        <v>18.239597550000006</v>
      </c>
      <c r="L16" s="1051">
        <f t="shared" ca="1" si="23"/>
        <v>0.92430130232096508</v>
      </c>
      <c r="M16" s="1051">
        <f t="shared" ca="1" si="23"/>
        <v>0</v>
      </c>
      <c r="N16" s="1051">
        <f t="shared" ca="1" si="23"/>
        <v>0</v>
      </c>
      <c r="O16" s="1051">
        <f t="shared" ca="1" si="23"/>
        <v>0</v>
      </c>
      <c r="P16" s="1051">
        <f t="shared" ca="1" si="23"/>
        <v>0</v>
      </c>
      <c r="Q16" s="1051">
        <f t="shared" ca="1" si="23"/>
        <v>0</v>
      </c>
      <c r="R16" s="1071">
        <f t="shared" ca="1" si="24"/>
        <v>342.36168551728827</v>
      </c>
      <c r="T16" s="1053">
        <f t="shared" ca="1" si="25"/>
        <v>-6.3710415000000058</v>
      </c>
      <c r="U16" s="1053">
        <f t="shared" ca="1" si="25"/>
        <v>0</v>
      </c>
      <c r="V16" s="1053">
        <f t="shared" ca="1" si="25"/>
        <v>0</v>
      </c>
      <c r="W16" s="1053">
        <f t="shared" ca="1" si="25"/>
        <v>-335.99064401728828</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-342.36168551728827</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0</v>
      </c>
      <c r="BN16" s="1063"/>
      <c r="BO16" s="97"/>
      <c r="BP16" s="1057">
        <f t="shared" ca="1" si="30"/>
        <v>89.616765068067764</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89.616765068067764</v>
      </c>
    </row>
    <row r="17" spans="1:113" s="51" customFormat="1" ht="15.75" collapsed="1">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787.06155646625621</v>
      </c>
      <c r="K17" s="1071">
        <f t="shared" ca="1" si="34"/>
        <v>40.532439000000011</v>
      </c>
      <c r="L17" s="1071">
        <f t="shared" ca="1" si="34"/>
        <v>20.278462364171851</v>
      </c>
      <c r="M17" s="1071">
        <f t="shared" ca="1" si="34"/>
        <v>0</v>
      </c>
      <c r="N17" s="1071">
        <f t="shared" ca="1" si="34"/>
        <v>0</v>
      </c>
      <c r="O17" s="1071">
        <f t="shared" ca="1" si="34"/>
        <v>0</v>
      </c>
      <c r="P17" s="1071">
        <f t="shared" ca="1" si="34"/>
        <v>0</v>
      </c>
      <c r="Q17" s="1071">
        <f t="shared" ca="1" si="34"/>
        <v>0</v>
      </c>
      <c r="R17" s="1071">
        <f t="shared" ca="1" si="24"/>
        <v>847.87245783042817</v>
      </c>
      <c r="T17" s="1043">
        <f ca="1">T15+T16</f>
        <v>-14.175599392034435</v>
      </c>
      <c r="U17" s="1043">
        <f t="shared" ref="U17:AK17" ca="1" si="35">U15+U16</f>
        <v>0</v>
      </c>
      <c r="V17" s="1043">
        <f t="shared" ca="1" si="35"/>
        <v>0</v>
      </c>
      <c r="W17" s="1043">
        <f t="shared" ca="1" si="35"/>
        <v>-823.94450236471368</v>
      </c>
      <c r="X17" s="1043">
        <f t="shared" ca="1" si="35"/>
        <v>-9.7523560736799499</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-847.87245783042806</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1.1368683772161603E-13</v>
      </c>
      <c r="BN17" s="1046"/>
      <c r="BO17" s="97"/>
      <c r="BP17" s="1058">
        <f ca="1">BP15+BP16</f>
        <v>221.70597052391258</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221.70597052391258</v>
      </c>
    </row>
    <row r="18" spans="1:113" s="51" customFormat="1" ht="12.75" hidden="1"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1045.8611113960574</v>
      </c>
      <c r="Q18" s="1065">
        <f t="shared" ca="1" si="38"/>
        <v>0</v>
      </c>
      <c r="R18" s="1071">
        <f t="shared" ca="1" si="24"/>
        <v>1045.8611113960574</v>
      </c>
      <c r="T18" s="1066">
        <f t="shared" ref="T18:BF19" ca="1" si="39">IFERROR(INDEX(INDIRECT($C18&amp;".Outputs["&amp;this.year&amp;"]"), MATCH(T$5, INDIRECT($C18&amp;".Outputs[Vector]"), 0)), 0)</f>
        <v>-0.30660334104356374</v>
      </c>
      <c r="U18" s="1066">
        <f t="shared" ca="1" si="39"/>
        <v>0</v>
      </c>
      <c r="V18" s="1066">
        <f t="shared" ca="1" si="39"/>
        <v>-949.56920087057415</v>
      </c>
      <c r="W18" s="1066">
        <f t="shared" ca="1" si="39"/>
        <v>-84.36768499214196</v>
      </c>
      <c r="X18" s="1066">
        <f t="shared" ca="1" si="39"/>
        <v>-11.617622192297571</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-1045.8611113960574</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0</v>
      </c>
      <c r="BN18" s="1046"/>
      <c r="BO18" s="17"/>
      <c r="BP18" s="1058"/>
      <c r="BQ18" s="1058"/>
      <c r="BR18" s="1058"/>
      <c r="BS18" s="1058"/>
      <c r="BT18" s="1058"/>
      <c r="BU18" s="1058"/>
      <c r="BV18" s="1058"/>
      <c r="BW18" s="1058"/>
      <c r="BX18" s="1058"/>
      <c r="BY18" s="1058"/>
      <c r="BZ18" s="1058"/>
      <c r="CA18" s="1058"/>
      <c r="CB18" s="1058"/>
      <c r="CC18" s="1058"/>
      <c r="CD18" s="1058"/>
      <c r="CE18" s="1058"/>
      <c r="CF18" s="1058"/>
      <c r="CG18" s="1058"/>
      <c r="CH18" s="1058"/>
      <c r="CI18" s="1058"/>
      <c r="CJ18" s="1058"/>
      <c r="CK18" s="1058"/>
      <c r="CL18" s="1058"/>
      <c r="CM18" s="1058"/>
      <c r="CN18" s="1058"/>
      <c r="CO18" s="1058"/>
      <c r="CP18" s="1058"/>
      <c r="CQ18" s="1058"/>
      <c r="CR18" s="1058"/>
      <c r="CS18" s="1058"/>
      <c r="CT18" s="1058"/>
      <c r="CU18" s="1058"/>
      <c r="CV18" s="1058"/>
      <c r="CW18" s="1058"/>
      <c r="CX18" s="1058"/>
      <c r="CY18" s="1058"/>
      <c r="CZ18" s="1058"/>
      <c r="DA18" s="1058"/>
      <c r="DB18" s="1058"/>
      <c r="DC18" s="1058"/>
      <c r="DD18" s="1058"/>
      <c r="DE18" s="1058"/>
      <c r="DF18" s="1058"/>
      <c r="DG18" s="1058"/>
      <c r="DI18" s="1059">
        <f t="shared" si="10"/>
        <v>0</v>
      </c>
    </row>
    <row r="19" spans="1:113" s="51" customFormat="1" ht="12.75" hidden="1"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42.636687837081858</v>
      </c>
      <c r="R19" s="1071">
        <f t="shared" ca="1" si="24"/>
        <v>42.636687837081858</v>
      </c>
      <c r="T19" s="1066">
        <f t="shared" ca="1" si="39"/>
        <v>0</v>
      </c>
      <c r="U19" s="1066">
        <f t="shared" ca="1" si="39"/>
        <v>0</v>
      </c>
      <c r="V19" s="1066">
        <f t="shared" ca="1" si="39"/>
        <v>0</v>
      </c>
      <c r="W19" s="1066">
        <f t="shared" ca="1" si="39"/>
        <v>-32.784320173000594</v>
      </c>
      <c r="X19" s="1066">
        <f t="shared" ca="1" si="39"/>
        <v>-9.8523676640812639</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-42.636687837081858</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0</v>
      </c>
      <c r="BN19" s="1063"/>
      <c r="BO19" s="97"/>
      <c r="BP19" s="1069">
        <f t="shared" ref="BP19:DG19" ca="1" si="42">IFERROR(SUMIFS(INDIRECT($C19&amp;".Emissions["&amp;this.year&amp;"]"), INDIRECT($C19&amp;".Emissions[GHG]"), BP$6, INDIRECT($C19&amp;".Emissions[IPCC Sector]"), BP$5),0)</f>
        <v>10.704467295035755</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10.704467295035755</v>
      </c>
    </row>
    <row r="20" spans="1:113" s="51" customFormat="1" ht="15.75" collapsed="1">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1045.8611113960574</v>
      </c>
      <c r="Q20" s="1071">
        <f t="shared" ca="1" si="43"/>
        <v>42.636687837081858</v>
      </c>
      <c r="R20" s="1071">
        <f t="shared" ca="1" si="24"/>
        <v>1088.4977992331392</v>
      </c>
      <c r="T20" s="1043">
        <f ca="1">T19+T18</f>
        <v>-0.30660334104356374</v>
      </c>
      <c r="U20" s="1043">
        <f t="shared" ref="U20:AK20" ca="1" si="44">U19+U18</f>
        <v>0</v>
      </c>
      <c r="V20" s="1043">
        <f t="shared" ca="1" si="44"/>
        <v>-949.56920087057415</v>
      </c>
      <c r="W20" s="1043">
        <f t="shared" ca="1" si="44"/>
        <v>-117.15200516514255</v>
      </c>
      <c r="X20" s="1043">
        <f t="shared" ca="1" si="44"/>
        <v>-21.469989856378835</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-1088.4977992331389</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2.2737367544323206E-13</v>
      </c>
      <c r="BN20" s="1046"/>
      <c r="BO20" s="97"/>
      <c r="BP20" s="1058">
        <f t="shared" ref="BP20:DG20" ca="1" si="46">BP19</f>
        <v>10.704467295035755</v>
      </c>
      <c r="BQ20" s="1058">
        <f t="shared" ca="1" si="46"/>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10.704467295035755</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177.82856075231598</v>
      </c>
      <c r="O21" s="1065">
        <f t="shared" ca="1" si="47"/>
        <v>0</v>
      </c>
      <c r="P21" s="1065">
        <f t="shared" ca="1" si="47"/>
        <v>0</v>
      </c>
      <c r="Q21" s="1065">
        <f t="shared" ca="1" si="47"/>
        <v>0</v>
      </c>
      <c r="R21" s="1071">
        <f t="shared" ca="1" si="24"/>
        <v>177.82856075231598</v>
      </c>
      <c r="T21" s="1066">
        <f t="shared" ref="T21:BF22" ca="1" si="48">IFERROR(INDEX(INDIRECT($C21&amp;".Outputs["&amp;this.year&amp;"]"), MATCH(T$5, INDIRECT($C21&amp;".Outputs[Vector]"), 0)), 0)</f>
        <v>-99.549000000000007</v>
      </c>
      <c r="U21" s="1066">
        <f t="shared" ca="1" si="48"/>
        <v>0</v>
      </c>
      <c r="V21" s="1066">
        <f t="shared" ca="1" si="48"/>
        <v>0</v>
      </c>
      <c r="W21" s="1066">
        <f t="shared" ca="1" si="48"/>
        <v>-78.279560752315973</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-177.82856075231598</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20.879036754401042</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20.879036754401042</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13.886920800000002</v>
      </c>
      <c r="P22" s="1065">
        <f t="shared" ca="1" si="47"/>
        <v>0</v>
      </c>
      <c r="Q22" s="1065">
        <f t="shared" ca="1" si="47"/>
        <v>0</v>
      </c>
      <c r="R22" s="1071">
        <f t="shared" ca="1" si="24"/>
        <v>13.886920800000002</v>
      </c>
      <c r="T22" s="1066">
        <f t="shared" ca="1" si="48"/>
        <v>-2.3668199999999997</v>
      </c>
      <c r="U22" s="1066">
        <f t="shared" ca="1" si="48"/>
        <v>0</v>
      </c>
      <c r="V22" s="1066">
        <f t="shared" ca="1" si="48"/>
        <v>0</v>
      </c>
      <c r="W22" s="1066">
        <f t="shared" ca="1" si="48"/>
        <v>-11.520100800000002</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0</v>
      </c>
      <c r="AK22" s="1066">
        <f t="shared" ca="1" si="48"/>
        <v>0</v>
      </c>
      <c r="AL22" s="1043">
        <f t="shared" ca="1" si="3"/>
        <v>-13.886920800000002</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3.0726872469131559</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3.0726872469131559</v>
      </c>
    </row>
    <row r="23" spans="1:113" s="51" customFormat="1" ht="15.75">
      <c r="B23" s="53"/>
      <c r="C23" s="1076" t="s">
        <v>1107</v>
      </c>
      <c r="D23" s="1077" t="s">
        <v>1108</v>
      </c>
      <c r="E23" s="1078"/>
      <c r="G23" s="1079">
        <f ca="1">G$9+G$12+G$14+G$17+G$20+G$21+G$22</f>
        <v>125.22829189364668</v>
      </c>
      <c r="H23" s="1079">
        <f t="shared" ref="H23:Q23" ca="1" si="52">H$9+H$12+H$14+H$17+H$20+H$21+H$22</f>
        <v>69.837354022093393</v>
      </c>
      <c r="I23" s="1079">
        <f t="shared" ca="1" si="52"/>
        <v>1615.7381002510185</v>
      </c>
      <c r="J23" s="1079">
        <f t="shared" ca="1" si="52"/>
        <v>787.06155646625621</v>
      </c>
      <c r="K23" s="1079">
        <f t="shared" ca="1" si="52"/>
        <v>40.532439000000011</v>
      </c>
      <c r="L23" s="1079">
        <f t="shared" ca="1" si="52"/>
        <v>20.278462364171851</v>
      </c>
      <c r="M23" s="1079">
        <f ca="1">M$12+M$14+M$17+M$20+M$21+M$22</f>
        <v>-1.8782351383851339E-2</v>
      </c>
      <c r="N23" s="1079">
        <f t="shared" ca="1" si="52"/>
        <v>177.82856075231598</v>
      </c>
      <c r="O23" s="1079">
        <f t="shared" ca="1" si="52"/>
        <v>13.886920800000002</v>
      </c>
      <c r="P23" s="1079">
        <f t="shared" ca="1" si="52"/>
        <v>1045.8611113960574</v>
      </c>
      <c r="Q23" s="1079">
        <f t="shared" ca="1" si="52"/>
        <v>42.636687837081858</v>
      </c>
      <c r="R23" s="2400">
        <f t="shared" ca="1" si="24"/>
        <v>3938.870702431258</v>
      </c>
      <c r="T23" s="1080">
        <f ca="1">T$9+T$12+T$14+T$17+T$20+T$21+T$22</f>
        <v>-595.68681516482502</v>
      </c>
      <c r="U23" s="1080">
        <f t="shared" ref="U23:AK23" ca="1" si="53">U$9+U$12+U$14+U$17+U$20+U$21+U$22</f>
        <v>0</v>
      </c>
      <c r="V23" s="1080">
        <f t="shared" ca="1" si="53"/>
        <v>-1562.0633953781662</v>
      </c>
      <c r="W23" s="1080">
        <f t="shared" ca="1" si="53"/>
        <v>-1507.1271398060596</v>
      </c>
      <c r="X23" s="1080">
        <f t="shared" ca="1" si="53"/>
        <v>-273.99335208220702</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0</v>
      </c>
      <c r="AK23" s="1080">
        <f t="shared" ca="1" si="53"/>
        <v>0</v>
      </c>
      <c r="AL23" s="1080">
        <f t="shared" ca="1" si="3"/>
        <v>-3938.870702431258</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0</v>
      </c>
      <c r="BN23" s="1083"/>
      <c r="BP23" s="1084">
        <f t="shared" ref="BP23:DG23" ca="1" si="55">BP$9+BP$12+BP$14+BP$17+BP$20+BP$21</f>
        <v>583.44777716650231</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583.44777716650231</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9.538388888888889</v>
      </c>
      <c r="V26" s="1073">
        <f t="shared" ca="1" si="59"/>
        <v>-38.153555555555556</v>
      </c>
      <c r="W26" s="1073">
        <f t="shared" ca="1" si="59"/>
        <v>0</v>
      </c>
      <c r="X26" s="1073">
        <f t="shared" ca="1" si="59"/>
        <v>9.1777777777777771</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-9.1777777777777771</v>
      </c>
      <c r="AI26" s="1073">
        <f t="shared" ca="1" si="59"/>
        <v>0</v>
      </c>
      <c r="AJ26" s="1073">
        <f t="shared" ca="1" si="59"/>
        <v>0</v>
      </c>
      <c r="AK26" s="1073">
        <f t="shared" ca="1" si="59"/>
        <v>0</v>
      </c>
      <c r="AL26" s="1066">
        <f t="shared" ref="AL26:AL34" ca="1" si="60">SUM(T26:AK26)</f>
        <v>-28.615166666666667</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28.615166666666667</v>
      </c>
      <c r="BJ26" s="1075">
        <f t="shared" ca="1" si="63"/>
        <v>0</v>
      </c>
      <c r="BK26" s="1045">
        <f t="shared" ca="1" si="56"/>
        <v>28.615166666666667</v>
      </c>
      <c r="BM26" s="1046">
        <f t="shared" ca="1" si="5"/>
        <v>0</v>
      </c>
      <c r="BN26" s="1046"/>
      <c r="BO26" s="17"/>
      <c r="BP26" s="1069">
        <f t="shared" ref="BP26:DG30" ca="1" si="64">IFERROR(SUMIFS(INDIRECT($C26&amp;".Emissions["&amp;this.year&amp;"]"), INDIRECT($C26&amp;".Emissions[GHG]"), BP$6, INDIRECT($C26&amp;".Emissions[IPCC Sector]"), BP$5),0)</f>
        <v>13.24297605734767</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-1.825894736842105</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11.417081320505565</v>
      </c>
    </row>
    <row r="27" spans="1:113" s="1087" customFormat="1" ht="15"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0</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0</v>
      </c>
      <c r="AG27" s="1073">
        <f t="shared" ca="1" si="59"/>
        <v>0</v>
      </c>
      <c r="AH27" s="1073">
        <f t="shared" ca="1" si="59"/>
        <v>0</v>
      </c>
      <c r="AI27" s="1073">
        <f t="shared" ca="1" si="59"/>
        <v>0</v>
      </c>
      <c r="AJ27" s="1073">
        <f t="shared" ca="1" si="59"/>
        <v>0</v>
      </c>
      <c r="AK27" s="1073">
        <f t="shared" ca="1" si="59"/>
        <v>0</v>
      </c>
      <c r="AL27" s="1066">
        <f t="shared" ca="1" si="60"/>
        <v>0</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0</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0</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0</v>
      </c>
    </row>
    <row r="28" spans="1:113" s="51" customFormat="1" ht="12"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0</v>
      </c>
      <c r="AI28" s="1073">
        <f t="shared" ca="1" si="59"/>
        <v>0</v>
      </c>
      <c r="AJ28" s="1073">
        <f t="shared" ca="1" si="59"/>
        <v>0</v>
      </c>
      <c r="AK28" s="1073">
        <f t="shared" ca="1" si="59"/>
        <v>0</v>
      </c>
      <c r="AL28" s="1066">
        <f t="shared" ca="1" si="60"/>
        <v>0</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0</v>
      </c>
      <c r="BG28" s="1067">
        <f t="shared" ca="1" si="62"/>
        <v>0</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0</v>
      </c>
      <c r="AG29" s="1073">
        <f t="shared" ca="1" si="59"/>
        <v>937.23355555555554</v>
      </c>
      <c r="AH29" s="1073">
        <f t="shared" ca="1" si="59"/>
        <v>9.1777777777777771</v>
      </c>
      <c r="AI29" s="1073">
        <f t="shared" ca="1" si="59"/>
        <v>0</v>
      </c>
      <c r="AJ29" s="1073">
        <f t="shared" ca="1" si="59"/>
        <v>0</v>
      </c>
      <c r="AK29" s="1073">
        <f t="shared" ca="1" si="59"/>
        <v>0</v>
      </c>
      <c r="AL29" s="1066">
        <f t="shared" ca="1" si="60"/>
        <v>946.41133333333335</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0</v>
      </c>
      <c r="BF29" s="1074">
        <f t="shared" ca="1" si="66"/>
        <v>-946.41133333333335</v>
      </c>
      <c r="BG29" s="1067">
        <f t="shared" ca="1" si="62"/>
        <v>-946.41133333333335</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-13.24297605734767</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-13.24297605734767</v>
      </c>
    </row>
    <row r="30" spans="1:113" s="51" customFormat="1" ht="12"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937.23355555555554</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-937.23355555555554</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-312.06776774193548</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-312.06776774193548</v>
      </c>
    </row>
    <row r="31" spans="1:113" s="51" customFormat="1" ht="12" customHeight="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9.538388888888889</v>
      </c>
      <c r="V31" s="1073">
        <f t="shared" ca="1" si="68"/>
        <v>899.07999999999993</v>
      </c>
      <c r="W31" s="1073">
        <f t="shared" ca="1" si="68"/>
        <v>0</v>
      </c>
      <c r="X31" s="1073">
        <f t="shared" ca="1" si="68"/>
        <v>9.1777777777777771</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0</v>
      </c>
      <c r="AI31" s="1073">
        <f t="shared" ca="1" si="68"/>
        <v>0</v>
      </c>
      <c r="AJ31" s="1073">
        <f t="shared" ca="1" si="68"/>
        <v>0</v>
      </c>
      <c r="AK31" s="1073">
        <f t="shared" ca="1" si="68"/>
        <v>0</v>
      </c>
      <c r="AL31" s="1066">
        <f t="shared" ca="1" si="60"/>
        <v>917.79616666666664</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0</v>
      </c>
      <c r="BF31" s="1074">
        <f t="shared" ca="1" si="69"/>
        <v>-946.41133333333335</v>
      </c>
      <c r="BG31" s="1067">
        <f t="shared" ca="1" si="62"/>
        <v>-946.41133333333335</v>
      </c>
      <c r="BI31" s="1075">
        <f ca="1">BI28+BI27+BI26+BI29+BI30</f>
        <v>28.615166666666667</v>
      </c>
      <c r="BJ31" s="1075">
        <f ca="1">BJ28+BJ27+BJ26+BJ29+BJ30</f>
        <v>0</v>
      </c>
      <c r="BK31" s="1045">
        <f t="shared" ca="1" si="56"/>
        <v>28.615166666666667</v>
      </c>
      <c r="BM31" s="1096">
        <f t="shared" ca="1" si="5"/>
        <v>-4.2632564145606011E-14</v>
      </c>
      <c r="BN31" s="1046"/>
      <c r="BO31" s="97"/>
      <c r="BP31" s="1069">
        <f ca="1">BP28+BP27+BP26+BP29+BP30</f>
        <v>13.24297605734767</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-327.13663853612525</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-313.89366247877757</v>
      </c>
    </row>
    <row r="32" spans="1:113" s="51" customFormat="1" ht="14.25" hidden="1"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ollapsed="1">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296.5420125</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296.5420125</v>
      </c>
      <c r="AN34" s="1054">
        <f t="shared" ref="AN34:BC36" ca="1" si="86">IFERROR(INDEX(INDIRECT($C34&amp;".Outputs["&amp;this.year&amp;"]"), MATCH(AN$5, INDIRECT($C34&amp;".Outputs[Vector]"), 0)), 0)</f>
        <v>0</v>
      </c>
      <c r="AO34" s="1054">
        <f t="shared" ca="1" si="86"/>
        <v>0</v>
      </c>
      <c r="AP34" s="1054">
        <f t="shared" ca="1" si="86"/>
        <v>-296.5420125</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-296.5420125</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2003.3688000000002</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2003.3688000000002</v>
      </c>
      <c r="AN35" s="1054">
        <f t="shared" ca="1" si="86"/>
        <v>-2003.3688000000002</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-2003.3688000000002</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395.28044</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395.28044</v>
      </c>
      <c r="AN36" s="1054">
        <f t="shared" ca="1" si="86"/>
        <v>0</v>
      </c>
      <c r="AO36" s="1054">
        <f t="shared" ca="1" si="86"/>
        <v>-395.28044</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-395.28044</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2003.3688000000002</v>
      </c>
      <c r="Z37" s="1043">
        <f ca="1">SUM(Z34:Z36)</f>
        <v>395.28044</v>
      </c>
      <c r="AA37" s="1043">
        <f ca="1">SUM(AA34:AA36)</f>
        <v>296.5420125</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2695.1912525000002</v>
      </c>
      <c r="AN37" s="1044">
        <f t="shared" ref="AN37:BF37" ca="1" si="95">SUM(AN34:AN36)</f>
        <v>-2003.3688000000002</v>
      </c>
      <c r="AO37" s="1044">
        <f t="shared" ca="1" si="95"/>
        <v>-395.28044</v>
      </c>
      <c r="AP37" s="1044">
        <f t="shared" ca="1" si="95"/>
        <v>-296.5420125</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-2695.1912525000002</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121.49675999999999</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121.49675999999999</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-121.49675999999999</v>
      </c>
      <c r="BD38" s="1108">
        <f t="shared" ca="1" si="99"/>
        <v>0</v>
      </c>
      <c r="BE38" s="1108">
        <f t="shared" ca="1" si="99"/>
        <v>0</v>
      </c>
      <c r="BF38" s="1108">
        <f t="shared" ca="1" si="99"/>
        <v>0</v>
      </c>
      <c r="BG38" s="1062">
        <f t="shared" ca="1" si="96"/>
        <v>-121.49675999999999</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0</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0</v>
      </c>
      <c r="AK39" s="1106">
        <f t="shared" ca="1" si="99"/>
        <v>0</v>
      </c>
      <c r="AL39" s="1107">
        <f t="shared" ca="1" si="92"/>
        <v>0</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0</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0</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0</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0</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0</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0</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12.437183268</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12.437183268</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-12.437183268</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-12.437183268</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0</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0</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0</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0</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7.0138343880000011</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7.0138343880000011</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-7.0138343880000011</v>
      </c>
      <c r="BD43" s="1108">
        <f t="shared" ca="1" si="99"/>
        <v>0</v>
      </c>
      <c r="BE43" s="1108">
        <f t="shared" ca="1" si="99"/>
        <v>0</v>
      </c>
      <c r="BF43" s="1108">
        <f t="shared" ca="1" si="99"/>
        <v>0</v>
      </c>
      <c r="BG43" s="1044">
        <f t="shared" ca="1" si="96"/>
        <v>-7.0138343880000011</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19.451017656000001</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0</v>
      </c>
      <c r="AK44" s="1043">
        <f t="shared" ca="1" si="110"/>
        <v>0</v>
      </c>
      <c r="AL44" s="1107">
        <f t="shared" ca="1" si="92"/>
        <v>19.451017656000001</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0</v>
      </c>
      <c r="AY44" s="1044">
        <f t="shared" ca="1" si="111"/>
        <v>-12.437183268</v>
      </c>
      <c r="AZ44" s="1044">
        <f t="shared" ca="1" si="111"/>
        <v>0</v>
      </c>
      <c r="BA44" s="1044">
        <f t="shared" ca="1" si="111"/>
        <v>0</v>
      </c>
      <c r="BB44" s="1044">
        <f t="shared" ca="1" si="111"/>
        <v>0</v>
      </c>
      <c r="BC44" s="1044">
        <f t="shared" ca="1" si="111"/>
        <v>-7.0138343880000011</v>
      </c>
      <c r="BD44" s="1044">
        <f t="shared" ca="1" si="111"/>
        <v>0</v>
      </c>
      <c r="BE44" s="1044">
        <f t="shared" ca="1" si="111"/>
        <v>0</v>
      </c>
      <c r="BF44" s="1044">
        <f t="shared" ca="1" si="111"/>
        <v>0</v>
      </c>
      <c r="BG44" s="1044">
        <f t="shared" ca="1" si="111"/>
        <v>-19.451017656000001</v>
      </c>
      <c r="BI44" s="1045">
        <f ca="1">SUM(BI39:BI43)</f>
        <v>0</v>
      </c>
      <c r="BJ44" s="1045">
        <f ca="1">SUM(BJ39:BJ43)</f>
        <v>0</v>
      </c>
      <c r="BK44" s="1045">
        <f ca="1">SUM(BK39:BK43)</f>
        <v>0</v>
      </c>
      <c r="BM44" s="1046">
        <f t="shared" ca="1" si="5"/>
        <v>0</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28.331712000000003</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28.331712000000003</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-80.94774857142859</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-80.94774857142859</v>
      </c>
      <c r="BI45" s="1119">
        <f t="shared" ref="BI45:BJ50" ca="1" si="118">IFERROR(INDEX(INDIRECT($C45&amp;".Outputs["&amp;this.year&amp;"]"), MATCH(BI$5, INDIRECT($C45&amp;".Outputs[Vector]"), 0)), 0)</f>
        <v>52.616036571428587</v>
      </c>
      <c r="BJ45" s="1119">
        <f t="shared" ca="1" si="118"/>
        <v>0</v>
      </c>
      <c r="BK45" s="1045">
        <f ca="1">SUM(BI45:BJ45)</f>
        <v>52.616036571428587</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489.68979840000003</v>
      </c>
      <c r="V46" s="1117">
        <f t="shared" ca="1" si="114"/>
        <v>-1497.5223192660551</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-1007.8325208660551</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965.25079926605508</v>
      </c>
      <c r="BJ46" s="1119">
        <f t="shared" ca="1" si="118"/>
        <v>42.581721600000002</v>
      </c>
      <c r="BK46" s="1045">
        <f ca="1">SUM(BI46:BJ46)</f>
        <v>1007.8325208660551</v>
      </c>
      <c r="BL46" s="51"/>
      <c r="BM46" s="1046">
        <f t="shared" ca="1" si="5"/>
        <v>0</v>
      </c>
      <c r="BN46" s="1063"/>
      <c r="BO46" s="97"/>
      <c r="BP46" s="1057">
        <f t="shared" ca="1" si="119"/>
        <v>519.7851663000888</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519.7851663000888</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64.008837597600007</v>
      </c>
      <c r="V47" s="1117">
        <f t="shared" ca="1" si="114"/>
        <v>0</v>
      </c>
      <c r="W47" s="1117">
        <f t="shared" ca="1" si="114"/>
        <v>0</v>
      </c>
      <c r="X47" s="1117">
        <f t="shared" ca="1" si="114"/>
        <v>-126.8156145541828</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-62.806776956582794</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62.806776956582794</v>
      </c>
      <c r="BJ47" s="1119">
        <f t="shared" ca="1" si="118"/>
        <v>0</v>
      </c>
      <c r="BK47" s="1045">
        <f ca="1">SUM(BI47:BJ47)</f>
        <v>62.806776956582794</v>
      </c>
      <c r="BL47" s="51"/>
      <c r="BM47" s="1046">
        <f t="shared" ca="1" si="5"/>
        <v>0</v>
      </c>
      <c r="BN47" s="1063"/>
      <c r="BO47" s="97"/>
      <c r="BP47" s="1057">
        <f t="shared" ca="1" si="119"/>
        <v>21.223982992888423</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21.223982992888423</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0</v>
      </c>
      <c r="V48" s="1117">
        <f t="shared" ca="1" si="114"/>
        <v>0</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0</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0</v>
      </c>
      <c r="BJ48" s="1119">
        <f t="shared" ca="1" si="118"/>
        <v>0</v>
      </c>
      <c r="BK48" s="1045">
        <f ca="1">SUM(BI48:BJ48)</f>
        <v>0</v>
      </c>
      <c r="BL48" s="51"/>
      <c r="BM48" s="1046">
        <f t="shared" ca="1" si="5"/>
        <v>0</v>
      </c>
      <c r="BN48" s="1063"/>
      <c r="BO48" s="97"/>
      <c r="BP48" s="1057">
        <f t="shared" ca="1" si="119"/>
        <v>0</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0</v>
      </c>
      <c r="DE48" s="1057">
        <f t="shared" ca="1" si="119"/>
        <v>0</v>
      </c>
      <c r="DF48" s="1057">
        <f t="shared" ca="1" si="119"/>
        <v>0</v>
      </c>
      <c r="DG48" s="1057">
        <f t="shared" ca="1" si="119"/>
        <v>0</v>
      </c>
      <c r="DI48" s="1059">
        <f t="shared" ca="1" si="79"/>
        <v>0</v>
      </c>
    </row>
    <row r="49" spans="1:113">
      <c r="A49" s="1087"/>
      <c r="B49" s="1087"/>
      <c r="C49" s="1088" t="s">
        <v>1818</v>
      </c>
      <c r="D49" s="1114" t="s">
        <v>1817</v>
      </c>
      <c r="E49" s="1089"/>
      <c r="T49" s="2362">
        <f ca="1">T23+T33+T37+T38+T44+T45++T46+T47+T48+T31+T61</f>
        <v>-595.68681516482502</v>
      </c>
      <c r="U49" s="2362">
        <f ca="1">U23+U33+U37+U38+U44+U45++U46+U47+U48+U31+U61</f>
        <v>538.43362950178494</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57.253185663040085</v>
      </c>
      <c r="V50" s="1117">
        <f t="shared" ca="1" si="114"/>
        <v>-155.74053094868418</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-98.487345285644096</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95.624686002492098</v>
      </c>
      <c r="BJ50" s="1119">
        <f t="shared" ca="1" si="118"/>
        <v>2.8626592831520044</v>
      </c>
      <c r="BK50" s="1045">
        <f ca="1">SUM(BI50:BJ50)</f>
        <v>98.487345285644096</v>
      </c>
      <c r="BL50" s="51"/>
      <c r="BM50" s="1046">
        <f t="shared" ref="BM50:BM55" ca="1" si="120">R50+AL50+BG50+BK50</f>
        <v>0</v>
      </c>
      <c r="BN50" s="1063"/>
      <c r="BO50" s="97"/>
      <c r="BP50" s="1057">
        <f t="shared" ca="1" si="119"/>
        <v>54.05703590347877</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54.05703590347877</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610.95182166064012</v>
      </c>
      <c r="V51" s="1043">
        <f t="shared" ref="V51:AK51" ca="1" si="122">V46+V47+V48+V50</f>
        <v>-1653.2628502147393</v>
      </c>
      <c r="W51" s="1043">
        <f t="shared" ca="1" si="122"/>
        <v>0</v>
      </c>
      <c r="X51" s="1043">
        <f t="shared" ca="1" si="122"/>
        <v>-126.8156145541828</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-1169.126643108282</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1123.68226222513</v>
      </c>
      <c r="BJ51" s="1045">
        <f ca="1">BJ46+BJ47+BJ48+BJ50</f>
        <v>45.444380883152007</v>
      </c>
      <c r="BK51" s="1045">
        <f ca="1">SUM(BI51:BJ51)</f>
        <v>1169.126643108282</v>
      </c>
      <c r="BM51" s="1046">
        <f t="shared" ca="1" si="120"/>
        <v>0</v>
      </c>
      <c r="BN51" s="1046"/>
      <c r="BO51" s="97"/>
      <c r="BP51" s="1058">
        <f ca="1">BP46+BP47+BP48+BP50</f>
        <v>595.06618519645599</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0</v>
      </c>
      <c r="DE51" s="1058">
        <f t="shared" ca="1" si="124"/>
        <v>0</v>
      </c>
      <c r="DF51" s="1058">
        <f t="shared" ca="1" si="124"/>
        <v>0</v>
      </c>
      <c r="DG51" s="1058">
        <f t="shared" ca="1" si="124"/>
        <v>0</v>
      </c>
      <c r="DI51" s="1059">
        <f ca="1">SUM(BP51:DG51)</f>
        <v>595.06618519645599</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789.76970020552903</v>
      </c>
      <c r="V52" s="1080">
        <f t="shared" ca="1" si="126"/>
        <v>-754.18285021473935</v>
      </c>
      <c r="W52" s="1080">
        <f t="shared" ca="1" si="126"/>
        <v>0</v>
      </c>
      <c r="X52" s="1080">
        <f t="shared" ca="1" si="126"/>
        <v>-117.63783677640502</v>
      </c>
      <c r="Y52" s="1080">
        <f t="shared" ca="1" si="126"/>
        <v>2003.3688000000002</v>
      </c>
      <c r="Z52" s="1080">
        <f t="shared" ca="1" si="126"/>
        <v>395.28044</v>
      </c>
      <c r="AA52" s="1080">
        <f t="shared" ca="1" si="126"/>
        <v>296.5420125</v>
      </c>
      <c r="AB52" s="1080">
        <f t="shared" ca="1" si="126"/>
        <v>0</v>
      </c>
      <c r="AC52" s="1080">
        <f t="shared" ca="1" si="126"/>
        <v>0</v>
      </c>
      <c r="AD52" s="1080">
        <f t="shared" ca="1" si="126"/>
        <v>0</v>
      </c>
      <c r="AE52" s="1080">
        <f t="shared" ca="1" si="126"/>
        <v>0</v>
      </c>
      <c r="AF52" s="1080">
        <f t="shared" ca="1" si="126"/>
        <v>0</v>
      </c>
      <c r="AG52" s="1080">
        <f t="shared" ca="1" si="126"/>
        <v>0</v>
      </c>
      <c r="AH52" s="1080">
        <f t="shared" ca="1" si="126"/>
        <v>0</v>
      </c>
      <c r="AI52" s="1080">
        <f t="shared" ca="1" si="126"/>
        <v>0</v>
      </c>
      <c r="AJ52" s="1080">
        <f t="shared" ca="1" si="126"/>
        <v>0</v>
      </c>
      <c r="AK52" s="1080">
        <f t="shared" ca="1" si="126"/>
        <v>0</v>
      </c>
      <c r="AL52" s="1043">
        <f ca="1">SUM(T52:AK52)</f>
        <v>2613.1402657143849</v>
      </c>
      <c r="AN52" s="2408">
        <f t="shared" ref="AN52:BF52" ca="1" si="127">AN$33+AN$37+AN$38+AN$44+AN$45+AN$51+AN31</f>
        <v>-2003.3688000000002</v>
      </c>
      <c r="AO52" s="2408">
        <f t="shared" ca="1" si="127"/>
        <v>-395.28044</v>
      </c>
      <c r="AP52" s="2408">
        <f t="shared" ca="1" si="127"/>
        <v>-296.5420125</v>
      </c>
      <c r="AQ52" s="2408">
        <f t="shared" ca="1" si="127"/>
        <v>0</v>
      </c>
      <c r="AR52" s="2408">
        <f t="shared" ca="1" si="127"/>
        <v>0</v>
      </c>
      <c r="AS52" s="2408">
        <f t="shared" ca="1" si="127"/>
        <v>0</v>
      </c>
      <c r="AT52" s="2408">
        <f t="shared" ca="1" si="127"/>
        <v>0</v>
      </c>
      <c r="AU52" s="2408">
        <f t="shared" ca="1" si="127"/>
        <v>0</v>
      </c>
      <c r="AV52" s="2408">
        <f t="shared" ca="1" si="127"/>
        <v>0</v>
      </c>
      <c r="AW52" s="2408">
        <f t="shared" ca="1" si="127"/>
        <v>-80.94774857142859</v>
      </c>
      <c r="AX52" s="2408">
        <f t="shared" ca="1" si="127"/>
        <v>0</v>
      </c>
      <c r="AY52" s="2408">
        <f t="shared" ca="1" si="127"/>
        <v>-12.437183268</v>
      </c>
      <c r="AZ52" s="2408">
        <f t="shared" ca="1" si="127"/>
        <v>0</v>
      </c>
      <c r="BA52" s="2408">
        <f t="shared" ca="1" si="127"/>
        <v>0</v>
      </c>
      <c r="BB52" s="2408">
        <f t="shared" ca="1" si="127"/>
        <v>0</v>
      </c>
      <c r="BC52" s="2408">
        <f t="shared" ca="1" si="127"/>
        <v>-128.51059438799999</v>
      </c>
      <c r="BD52" s="2408">
        <f t="shared" ca="1" si="127"/>
        <v>0</v>
      </c>
      <c r="BE52" s="2408">
        <f t="shared" ca="1" si="127"/>
        <v>0</v>
      </c>
      <c r="BF52" s="2408">
        <f t="shared" ca="1" si="127"/>
        <v>-946.41133333333335</v>
      </c>
      <c r="BG52" s="2408">
        <f ca="1">SUM(AN52:BF52)</f>
        <v>-3863.4981120607622</v>
      </c>
      <c r="BI52" s="1082">
        <f ca="1">BI$33+BI$37+BI$38+BI$44+BI$45+BI$51+BI31</f>
        <v>1204.9134654632253</v>
      </c>
      <c r="BJ52" s="1082">
        <f ca="1">BJ$33+BJ$37+BJ$38+BJ$44+BJ$45+BJ$51+BJ31</f>
        <v>45.444380883152007</v>
      </c>
      <c r="BK52" s="1045">
        <f ca="1">SUM(BI52:BJ52)</f>
        <v>1250.3578463463773</v>
      </c>
      <c r="BM52" s="1083">
        <f t="shared" ca="1" si="120"/>
        <v>0</v>
      </c>
      <c r="BN52" s="1083"/>
      <c r="BP52" s="2401">
        <f t="shared" ref="BP52:DG52" ca="1" si="128">BP$33+BP$37+BP$38+BP$44++BP$45+BP$51</f>
        <v>595.06618519645599</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0</v>
      </c>
      <c r="DE52" s="1084">
        <f t="shared" ca="1" si="128"/>
        <v>0</v>
      </c>
      <c r="DF52" s="1084">
        <f t="shared" ca="1" si="128"/>
        <v>0</v>
      </c>
      <c r="DG52" s="1084">
        <f t="shared" ca="1" si="128"/>
        <v>0</v>
      </c>
      <c r="DI52" s="1085">
        <f ca="1">SUM(BP52:DG52)</f>
        <v>595.06618519645599</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1</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1</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-1</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-1</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-595.68681516482502</v>
      </c>
      <c r="U58" s="1093">
        <f ca="1">U$23+U$31+U$33+U$37+U$57+U$38+U$44+U$45</f>
        <v>179.81787854488891</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-195.08288504070401</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-195.08288504070401</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195.08288504070401</v>
      </c>
      <c r="BK59" s="1056">
        <f ca="1">SUM(BI59:BJ59)</f>
        <v>195.08288504070401</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-194.08288504070401</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-194.08288504070401</v>
      </c>
      <c r="AM61" s="51"/>
      <c r="AN61" s="1044">
        <f t="shared" ref="AN61:BF61" ca="1" si="146">AN$57+AN$59+AN$60</f>
        <v>0</v>
      </c>
      <c r="AO61" s="1044">
        <f t="shared" ca="1" si="146"/>
        <v>0</v>
      </c>
      <c r="AP61" s="1044">
        <f t="shared" ca="1" si="146"/>
        <v>0</v>
      </c>
      <c r="AQ61" s="1044">
        <f t="shared" ca="1" si="146"/>
        <v>0</v>
      </c>
      <c r="AR61" s="1044">
        <f t="shared" ca="1" si="146"/>
        <v>-1</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-1</v>
      </c>
      <c r="BH61" s="51"/>
      <c r="BI61" s="1045">
        <f ca="1">BI$57+BI$59+BI$60</f>
        <v>0</v>
      </c>
      <c r="BJ61" s="1045">
        <f ca="1">BJ$57+BJ$59+BJ$60</f>
        <v>195.08288504070401</v>
      </c>
      <c r="BK61" s="1045">
        <f ca="1">SUM(BI61:BJ61)</f>
        <v>195.08288504070401</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-2316.2462455929053</v>
      </c>
      <c r="W63" s="1093">
        <f t="shared" ca="1" si="149"/>
        <v>-1507.1271398060596</v>
      </c>
      <c r="X63" s="1093">
        <f t="shared" ca="1" si="149"/>
        <v>-391.63118885861206</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0</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-595.68681516482502</v>
      </c>
      <c r="U64" s="1093">
        <f ca="1">(U$23+U$52+U$61)</f>
        <v>595.68681516482502</v>
      </c>
      <c r="V64" s="1093">
        <f t="shared" ca="1" si="149"/>
        <v>-2316.2462455929053</v>
      </c>
      <c r="W64" s="1093">
        <f t="shared" ca="1" si="149"/>
        <v>-1507.1271398060596</v>
      </c>
      <c r="X64" s="1093">
        <f t="shared" ca="1" si="149"/>
        <v>-391.63118885861206</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2316.2462455929053</v>
      </c>
      <c r="W65" s="1107">
        <f t="shared" ca="1" si="152"/>
        <v>1507.1271398060596</v>
      </c>
      <c r="X65" s="1107">
        <f t="shared" ca="1" si="152"/>
        <v>391.63118885861206</v>
      </c>
      <c r="Y65" s="1107">
        <f t="shared" ca="1" si="152"/>
        <v>-2316.2462455929053</v>
      </c>
      <c r="Z65" s="1107">
        <f t="shared" ca="1" si="152"/>
        <v>-1612.6260395924837</v>
      </c>
      <c r="AA65" s="1107">
        <f t="shared" ca="1" si="152"/>
        <v>-450.37586718740386</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-164.24357811521531</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164.243578115216</v>
      </c>
      <c r="BK65" s="1110">
        <f ca="1">SUM(BI65:BJ65)</f>
        <v>164.243578115216</v>
      </c>
      <c r="BL65" s="51"/>
      <c r="BM65" s="1046">
        <f t="shared" ref="BM65:BM71" ca="1" si="154">R65+AL65+BG65+BK65</f>
        <v>6.8212102632969618E-13</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0</v>
      </c>
      <c r="V66" s="1140"/>
      <c r="W66" s="1140"/>
      <c r="X66" s="1140"/>
      <c r="Y66" s="1140">
        <f ca="1">-(Y$23+Y$52+Y$61+Y$65)</f>
        <v>312.87744559290513</v>
      </c>
      <c r="Z66" s="1140">
        <f ca="1">-(Z$23+Z$52+Z$61+Z$65)</f>
        <v>1217.3455995924837</v>
      </c>
      <c r="AA66" s="1140">
        <f ca="1">-(AA$23+AA$52+AA$61+AA$65)</f>
        <v>153.83385468740386</v>
      </c>
      <c r="AB66" s="1140"/>
      <c r="AC66" s="1140"/>
      <c r="AD66" s="1140"/>
      <c r="AE66" s="1140"/>
      <c r="AF66" s="1140"/>
      <c r="AG66" s="1140"/>
      <c r="AH66" s="1140"/>
      <c r="AI66" s="1140"/>
      <c r="AJ66" s="1140"/>
      <c r="AK66" s="1140"/>
      <c r="AL66" s="1140">
        <f ca="1">SUM(T66:AK66)</f>
        <v>1684.0568998727927</v>
      </c>
      <c r="AM66" s="51"/>
      <c r="AN66" s="1067"/>
      <c r="AO66" s="1067"/>
      <c r="AP66" s="1067"/>
      <c r="AQ66" s="1067"/>
      <c r="AR66" s="1067">
        <f ca="1">-U66</f>
        <v>0</v>
      </c>
      <c r="AS66" s="1067">
        <f>-W66</f>
        <v>0</v>
      </c>
      <c r="AT66" s="1067">
        <f ca="1">-Y66</f>
        <v>-312.87744559290513</v>
      </c>
      <c r="AU66" s="1067">
        <f ca="1">-Z66</f>
        <v>-1217.3455995924837</v>
      </c>
      <c r="AV66" s="1067">
        <f ca="1">-AA66</f>
        <v>-153.83385468740386</v>
      </c>
      <c r="AW66" s="1067"/>
      <c r="AX66" s="1067"/>
      <c r="AY66" s="1067"/>
      <c r="AZ66" s="1067"/>
      <c r="BA66" s="1067"/>
      <c r="BB66" s="1067"/>
      <c r="BC66" s="1067"/>
      <c r="BD66" s="1067"/>
      <c r="BE66" s="1067"/>
      <c r="BF66" s="1067"/>
      <c r="BG66" s="1067">
        <f ca="1">SUM(AN66:BF66)</f>
        <v>-1684.0568998727927</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0</v>
      </c>
      <c r="V67" s="1043">
        <f t="shared" ca="1" si="160"/>
        <v>2316.2462455929053</v>
      </c>
      <c r="W67" s="1043">
        <f t="shared" ca="1" si="160"/>
        <v>1507.1271398060596</v>
      </c>
      <c r="X67" s="1043">
        <f t="shared" ca="1" si="160"/>
        <v>391.63118885861206</v>
      </c>
      <c r="Y67" s="1043">
        <f t="shared" ca="1" si="160"/>
        <v>-2003.3688000000002</v>
      </c>
      <c r="Z67" s="1043">
        <f t="shared" ca="1" si="160"/>
        <v>-395.28044</v>
      </c>
      <c r="AA67" s="1043">
        <f t="shared" ca="1" si="160"/>
        <v>-296.5420125</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1519.8133217575773</v>
      </c>
      <c r="AN67" s="1044">
        <f t="shared" ref="AN67:BF67" ca="1" si="161">SUM(AN65:AN66)</f>
        <v>0</v>
      </c>
      <c r="AO67" s="1044">
        <f t="shared" ca="1" si="161"/>
        <v>0</v>
      </c>
      <c r="AP67" s="1044">
        <f t="shared" ca="1" si="161"/>
        <v>0</v>
      </c>
      <c r="AQ67" s="1044">
        <f t="shared" ca="1" si="161"/>
        <v>0</v>
      </c>
      <c r="AR67" s="1044">
        <f t="shared" ca="1" si="161"/>
        <v>0</v>
      </c>
      <c r="AS67" s="1044">
        <f t="shared" ca="1" si="161"/>
        <v>0</v>
      </c>
      <c r="AT67" s="1044">
        <f t="shared" ca="1" si="161"/>
        <v>-312.87744559290513</v>
      </c>
      <c r="AU67" s="1044">
        <f t="shared" ca="1" si="161"/>
        <v>-1217.3455995924837</v>
      </c>
      <c r="AV67" s="1044">
        <f t="shared" ca="1" si="161"/>
        <v>-153.83385468740386</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-1684.0568998727927</v>
      </c>
      <c r="BI67" s="1045">
        <f ca="1">SUM(BI65:BI66)</f>
        <v>0</v>
      </c>
      <c r="BJ67" s="1045">
        <f ca="1">SUM(BJ65:BJ66)</f>
        <v>164.243578115216</v>
      </c>
      <c r="BK67" s="1045">
        <f ca="1">SUM(BI67:BJ67)</f>
        <v>164.243578115216</v>
      </c>
      <c r="BM67" s="1046">
        <f t="shared" ca="1" si="154"/>
        <v>6.8212102632969618E-13</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-194.08288504070401</v>
      </c>
      <c r="V68" s="1080">
        <f t="shared" ca="1" si="164"/>
        <v>2316.2462455929053</v>
      </c>
      <c r="W68" s="1080">
        <f t="shared" ca="1" si="164"/>
        <v>1507.1271398060596</v>
      </c>
      <c r="X68" s="1080">
        <f t="shared" ca="1" si="164"/>
        <v>391.63118885861206</v>
      </c>
      <c r="Y68" s="1080">
        <f t="shared" ca="1" si="164"/>
        <v>-2003.3688000000002</v>
      </c>
      <c r="Z68" s="1080">
        <f t="shared" ca="1" si="164"/>
        <v>-395.28044</v>
      </c>
      <c r="AA68" s="1080">
        <f t="shared" ca="1" si="164"/>
        <v>-296.5420125</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1325.7304367168726</v>
      </c>
      <c r="AN68" s="1081">
        <f ca="1">AN$61+AN$67</f>
        <v>0</v>
      </c>
      <c r="AO68" s="1081">
        <f t="shared" ref="AO68:BF68" ca="1" si="165">AO$61+AO$67</f>
        <v>0</v>
      </c>
      <c r="AP68" s="1081">
        <f t="shared" ca="1" si="165"/>
        <v>0</v>
      </c>
      <c r="AQ68" s="1081">
        <f t="shared" ca="1" si="165"/>
        <v>0</v>
      </c>
      <c r="AR68" s="1081">
        <f t="shared" ca="1" si="165"/>
        <v>-1</v>
      </c>
      <c r="AS68" s="1081">
        <f t="shared" ca="1" si="165"/>
        <v>0</v>
      </c>
      <c r="AT68" s="1081">
        <f t="shared" ca="1" si="165"/>
        <v>-312.87744559290513</v>
      </c>
      <c r="AU68" s="1081">
        <f t="shared" ca="1" si="165"/>
        <v>-1217.3455995924837</v>
      </c>
      <c r="AV68" s="1081">
        <f t="shared" ca="1" si="165"/>
        <v>-153.83385468740386</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-1685.0568998727927</v>
      </c>
      <c r="BI68" s="1082">
        <f ca="1">BI$61+BI$67</f>
        <v>0</v>
      </c>
      <c r="BJ68" s="1082">
        <f ca="1">BJ$61+BJ$67</f>
        <v>359.32646315592001</v>
      </c>
      <c r="BK68" s="1082">
        <f ca="1">SUM(BI68:BJ68)</f>
        <v>359.32646315592001</v>
      </c>
      <c r="BM68" s="1083">
        <f t="shared" ca="1" si="154"/>
        <v>0</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125.22829189364668</v>
      </c>
      <c r="H71" s="1143">
        <f t="shared" ca="1" si="167"/>
        <v>69.837354022093393</v>
      </c>
      <c r="I71" s="1143">
        <f t="shared" ca="1" si="167"/>
        <v>1615.7381002510185</v>
      </c>
      <c r="J71" s="1143">
        <f t="shared" ca="1" si="167"/>
        <v>787.06155646625621</v>
      </c>
      <c r="K71" s="1143">
        <f t="shared" ca="1" si="167"/>
        <v>40.532439000000011</v>
      </c>
      <c r="L71" s="1143">
        <f t="shared" ca="1" si="167"/>
        <v>20.278462364171851</v>
      </c>
      <c r="M71" s="1143">
        <f t="shared" ca="1" si="167"/>
        <v>-1.8782351383851339E-2</v>
      </c>
      <c r="N71" s="1143">
        <f t="shared" ca="1" si="167"/>
        <v>177.82856075231598</v>
      </c>
      <c r="O71" s="1143">
        <f t="shared" ca="1" si="167"/>
        <v>13.886920800000002</v>
      </c>
      <c r="P71" s="1143">
        <f t="shared" ca="1" si="167"/>
        <v>1045.8611113960574</v>
      </c>
      <c r="Q71" s="1143">
        <f t="shared" ca="1" si="167"/>
        <v>42.636687837081858</v>
      </c>
      <c r="R71" s="1143">
        <f ca="1">SUM(G71:Q71)</f>
        <v>3938.870702431258</v>
      </c>
      <c r="T71" s="1144">
        <f t="shared" ref="T71:AK71" ca="1" si="168">T$23+T$52+T$68</f>
        <v>-595.68681516482502</v>
      </c>
      <c r="U71" s="1144">
        <f t="shared" ca="1" si="168"/>
        <v>595.68681516482502</v>
      </c>
      <c r="V71" s="1144">
        <f t="shared" ca="1" si="168"/>
        <v>0</v>
      </c>
      <c r="W71" s="1144">
        <f t="shared" ca="1" si="168"/>
        <v>0</v>
      </c>
      <c r="X71" s="1144">
        <f t="shared" ca="1" si="168"/>
        <v>0</v>
      </c>
      <c r="Y71" s="1144">
        <f t="shared" ca="1" si="168"/>
        <v>0</v>
      </c>
      <c r="Z71" s="1144">
        <f t="shared" ca="1" si="168"/>
        <v>0</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0</v>
      </c>
      <c r="AI71" s="1144">
        <f t="shared" ca="1" si="168"/>
        <v>0</v>
      </c>
      <c r="AJ71" s="1144">
        <f t="shared" ca="1" si="168"/>
        <v>0</v>
      </c>
      <c r="AK71" s="1144">
        <f t="shared" ca="1" si="168"/>
        <v>0</v>
      </c>
      <c r="AL71" s="1144">
        <f ca="1">SUM(T71:AK71)</f>
        <v>0</v>
      </c>
      <c r="AN71" s="1145">
        <f t="shared" ref="AN71:BF71" ca="1" si="169">AN$23+AN$52+AN$68</f>
        <v>-2003.3688000000002</v>
      </c>
      <c r="AO71" s="1145">
        <f t="shared" ca="1" si="169"/>
        <v>-395.28044</v>
      </c>
      <c r="AP71" s="1145">
        <f t="shared" ca="1" si="169"/>
        <v>-296.5420125</v>
      </c>
      <c r="AQ71" s="1145">
        <f t="shared" ca="1" si="169"/>
        <v>0</v>
      </c>
      <c r="AR71" s="1145">
        <f t="shared" ca="1" si="169"/>
        <v>-1</v>
      </c>
      <c r="AS71" s="1145">
        <f t="shared" ca="1" si="169"/>
        <v>0</v>
      </c>
      <c r="AT71" s="1145">
        <f t="shared" ca="1" si="169"/>
        <v>-312.87744559290513</v>
      </c>
      <c r="AU71" s="1145">
        <f t="shared" ca="1" si="169"/>
        <v>-1217.3455995924837</v>
      </c>
      <c r="AV71" s="1145">
        <f t="shared" ca="1" si="169"/>
        <v>-153.83385468740386</v>
      </c>
      <c r="AW71" s="1145">
        <f t="shared" ca="1" si="169"/>
        <v>-80.94774857142859</v>
      </c>
      <c r="AX71" s="1145">
        <f t="shared" ca="1" si="169"/>
        <v>0</v>
      </c>
      <c r="AY71" s="1145">
        <f t="shared" ca="1" si="169"/>
        <v>-12.437183268</v>
      </c>
      <c r="AZ71" s="1145">
        <f t="shared" ca="1" si="169"/>
        <v>0</v>
      </c>
      <c r="BA71" s="1145">
        <f t="shared" ca="1" si="169"/>
        <v>0</v>
      </c>
      <c r="BB71" s="1145">
        <f t="shared" ca="1" si="169"/>
        <v>0</v>
      </c>
      <c r="BC71" s="1145">
        <f t="shared" ca="1" si="169"/>
        <v>-128.51059438799999</v>
      </c>
      <c r="BD71" s="1145">
        <f t="shared" ca="1" si="169"/>
        <v>0</v>
      </c>
      <c r="BE71" s="1145">
        <f t="shared" ca="1" si="169"/>
        <v>0</v>
      </c>
      <c r="BF71" s="1145">
        <f t="shared" ca="1" si="169"/>
        <v>-946.41133333333335</v>
      </c>
      <c r="BG71" s="1145">
        <f ca="1">SUM(AN71:BF71)</f>
        <v>-5548.5550119335549</v>
      </c>
      <c r="BI71" s="1146">
        <f ca="1">BI$23+BI$52+BI$68</f>
        <v>1204.9134654632253</v>
      </c>
      <c r="BJ71" s="1146">
        <f ca="1">BJ$23+BJ$52+BJ$68</f>
        <v>404.77084403907202</v>
      </c>
      <c r="BK71" s="1146">
        <f ca="1">SUM(BI71:BJ71)</f>
        <v>1609.6843095022973</v>
      </c>
      <c r="BM71" s="1039">
        <f t="shared" ca="1" si="154"/>
        <v>0</v>
      </c>
      <c r="BN71" s="1039"/>
      <c r="BP71" s="1147">
        <f t="shared" ref="BP71:DG71" ca="1" si="170">BP$23+BP$52+BP$68</f>
        <v>1178.5139623629584</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0</v>
      </c>
      <c r="DE71" s="1147">
        <f t="shared" ca="1" si="170"/>
        <v>0</v>
      </c>
      <c r="DF71" s="1147">
        <f t="shared" ca="1" si="170"/>
        <v>0</v>
      </c>
      <c r="DG71" s="1147">
        <f t="shared" ca="1" si="170"/>
        <v>0</v>
      </c>
      <c r="DI71" s="1085">
        <f ca="1">SUM(BP71:DG71)</f>
        <v>1178.5139623629584</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595.06618519645599</v>
      </c>
    </row>
    <row r="75" spans="2:113">
      <c r="B75" s="2555"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595.68681516482502</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5">
        <f ca="1">DI74/DI75</f>
        <v>0.9989581270685044</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S23" activePane="bottomRight" state="frozen"/>
      <selection activeCell="Y9" sqref="Y9"/>
      <selection pane="topRight" activeCell="Y9" sqref="Y9"/>
      <selection pane="bottomLeft" activeCell="Y9" sqref="Y9"/>
      <selection pane="bottomRight" activeCell="U23" sqref="U23"/>
    </sheetView>
  </sheetViews>
  <sheetFormatPr defaultColWidth="8.85546875" defaultRowHeight="12.75" outlineLevelRow="1" outlineLevelCol="2"/>
  <cols>
    <col min="1" max="1" width="6.140625" style="2555" customWidth="1"/>
    <col min="2" max="2" width="1.42578125" style="2555" customWidth="1"/>
    <col min="3" max="3" width="4.42578125" style="621" customWidth="1"/>
    <col min="4" max="4" width="5.140625" style="730" customWidth="1"/>
    <col min="5" max="5" width="41.7109375" style="730" customWidth="1"/>
    <col min="6" max="6" width="1.140625" style="2555"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5"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5" customWidth="1" outlineLevel="1"/>
    <col min="40" max="58" width="10" style="730" customWidth="1" outlineLevel="2"/>
    <col min="59" max="59" width="10" style="730" customWidth="1" outlineLevel="1"/>
    <col min="60" max="60" width="1.140625" style="2555" customWidth="1" outlineLevel="1"/>
    <col min="61" max="62" width="10" style="730" customWidth="1" outlineLevel="2"/>
    <col min="63" max="63" width="10" style="730" customWidth="1" outlineLevel="1"/>
    <col min="64" max="64" width="1.140625" style="2555" customWidth="1" outlineLevel="1"/>
    <col min="65" max="65" width="11" style="730" customWidth="1" outlineLevel="1"/>
    <col min="66" max="66" width="5.28515625" style="730" customWidth="1"/>
    <col min="67" max="67" width="8.85546875" style="2555"/>
    <col min="68" max="111" width="7.42578125" style="2555" customWidth="1"/>
    <col min="112" max="112" width="2.42578125" style="2555" customWidth="1"/>
    <col min="113" max="16384" width="8.85546875" style="2555"/>
  </cols>
  <sheetData>
    <row r="1" spans="1:113" ht="9" customHeight="1"/>
    <row r="2" spans="1:113" ht="21" customHeight="1">
      <c r="D2" s="718"/>
      <c r="E2" s="986">
        <v>2012</v>
      </c>
      <c r="G2" s="2555"/>
      <c r="H2" s="2555"/>
      <c r="I2" s="2555"/>
      <c r="J2" s="2555"/>
      <c r="K2" s="2555"/>
      <c r="L2" s="2555"/>
      <c r="M2" s="2555"/>
      <c r="N2" s="2555"/>
      <c r="O2" s="2555"/>
      <c r="P2" s="2555"/>
      <c r="Q2" s="2555"/>
      <c r="R2" s="2555"/>
      <c r="T2" s="2555"/>
      <c r="U2" s="2555"/>
      <c r="V2" s="2555"/>
      <c r="W2" s="2555"/>
      <c r="X2" s="2555"/>
      <c r="Y2" s="2555"/>
      <c r="Z2" s="2555"/>
      <c r="AA2" s="2555"/>
      <c r="AB2" s="2555"/>
      <c r="AC2" s="2555"/>
      <c r="AD2" s="2555"/>
      <c r="AE2" s="2555"/>
      <c r="AF2" s="2555"/>
      <c r="AG2" s="2555"/>
      <c r="AH2" s="2555"/>
      <c r="AI2" s="2555"/>
      <c r="AJ2" s="2555"/>
      <c r="AK2" s="2555"/>
      <c r="AL2" s="2555"/>
      <c r="AN2" s="2555"/>
      <c r="AO2" s="2555"/>
      <c r="AP2" s="2555"/>
      <c r="AQ2" s="2555"/>
      <c r="AR2" s="2555"/>
      <c r="AS2" s="2555"/>
      <c r="AT2" s="2555"/>
      <c r="AU2" s="2555"/>
      <c r="AV2" s="2555"/>
      <c r="AW2" s="2555"/>
      <c r="AX2" s="2555"/>
      <c r="AY2" s="2555"/>
      <c r="AZ2" s="2555"/>
      <c r="BA2" s="2555"/>
      <c r="BB2" s="2555"/>
      <c r="BC2" s="2555"/>
      <c r="BD2" s="2555"/>
      <c r="BE2" s="2555"/>
      <c r="BF2" s="2555"/>
      <c r="BG2" s="2555"/>
      <c r="BI2" s="2555"/>
      <c r="BJ2" s="2555"/>
      <c r="BK2" s="2555"/>
      <c r="BM2" s="2555"/>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169.69505456493178</v>
      </c>
      <c r="H10" s="1051">
        <f t="shared" ca="1" si="0"/>
        <v>0</v>
      </c>
      <c r="I10" s="1051">
        <f t="shared" ca="1" si="0"/>
        <v>0</v>
      </c>
      <c r="J10" s="1051">
        <f t="shared" ca="1" si="0"/>
        <v>0</v>
      </c>
      <c r="K10" s="1051">
        <f t="shared" ca="1" si="0"/>
        <v>0</v>
      </c>
      <c r="L10" s="1051">
        <f t="shared" ca="1" si="0"/>
        <v>0</v>
      </c>
      <c r="M10" s="1051">
        <f t="shared" ca="1" si="0"/>
        <v>0</v>
      </c>
      <c r="N10" s="1051">
        <f t="shared" ca="1" si="0"/>
        <v>0</v>
      </c>
      <c r="O10" s="1051">
        <f t="shared" ca="1" si="0"/>
        <v>0</v>
      </c>
      <c r="P10" s="1051">
        <f t="shared" ca="1" si="0"/>
        <v>0</v>
      </c>
      <c r="Q10" s="1051">
        <f t="shared" ca="1" si="0"/>
        <v>0</v>
      </c>
      <c r="R10" s="1051">
        <f ca="1">SUM(G10:Q10)</f>
        <v>169.69505456493178</v>
      </c>
      <c r="T10" s="1053">
        <f t="shared" ref="T10:BF11" ca="1" si="1">IFERROR(INDEX(INDIRECT($C10&amp;".Outputs["&amp;this.year&amp;"]"), MATCH(T$5, INDIRECT($C10&amp;".Outputs[Vector]"), 0)), 0)</f>
        <v>-162.82294056639219</v>
      </c>
      <c r="U10" s="1053">
        <f t="shared" ca="1" si="1"/>
        <v>0</v>
      </c>
      <c r="V10" s="1053">
        <f t="shared" ca="1" si="1"/>
        <v>0</v>
      </c>
      <c r="W10" s="1053">
        <f t="shared" ca="1" si="1"/>
        <v>-6.8721139985395867</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-169.69505456493178</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1.8329576632390179</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1.8329576632390179</v>
      </c>
    </row>
    <row r="11" spans="1:113" s="51" customFormat="1" ht="12.75" customHeight="1" outlineLevel="1">
      <c r="A11" s="1061"/>
      <c r="B11" s="1061"/>
      <c r="C11" s="1048" t="s">
        <v>301</v>
      </c>
      <c r="D11" s="1064" t="str">
        <f>INDEX(Modules[Module], MATCH($C11, Modules[Code], 0))</f>
        <v>Commercial Lighting &amp; Appliances</v>
      </c>
      <c r="E11" s="1064"/>
      <c r="G11" s="1065">
        <f t="shared" ca="1" si="0"/>
        <v>0</v>
      </c>
      <c r="H11" s="1065">
        <f t="shared" ca="1" si="0"/>
        <v>69.837354022093393</v>
      </c>
      <c r="I11" s="1065">
        <f t="shared" ca="1" si="0"/>
        <v>0</v>
      </c>
      <c r="J11" s="1065">
        <f t="shared" ca="1" si="0"/>
        <v>0</v>
      </c>
      <c r="K11" s="1065">
        <f t="shared" ca="1" si="0"/>
        <v>0</v>
      </c>
      <c r="L11" s="1065">
        <f t="shared" ca="1" si="0"/>
        <v>0</v>
      </c>
      <c r="M11" s="1065">
        <f t="shared" ca="1" si="0"/>
        <v>-1.8835814608099886E-2</v>
      </c>
      <c r="N11" s="1065">
        <f t="shared" ca="1" si="0"/>
        <v>0</v>
      </c>
      <c r="O11" s="1065">
        <f t="shared" ca="1" si="0"/>
        <v>0</v>
      </c>
      <c r="P11" s="1065">
        <f t="shared" ca="1" si="0"/>
        <v>0</v>
      </c>
      <c r="Q11" s="1065">
        <f t="shared" ca="1" si="0"/>
        <v>0</v>
      </c>
      <c r="R11" s="1065">
        <f ca="1">SUM(G11:Q11)</f>
        <v>69.818518207485297</v>
      </c>
      <c r="T11" s="1066">
        <f t="shared" ca="1" si="1"/>
        <v>-69.818518207485297</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-69.818518207485297</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 r="A12" s="17"/>
      <c r="B12" s="53"/>
      <c r="C12" s="711" t="s">
        <v>196</v>
      </c>
      <c r="D12" s="710" t="str">
        <f>INDEX(Workstreams[Workstream], MATCH($C12, Workstreams[Code], 0))</f>
        <v>Lighting and appliances</v>
      </c>
      <c r="E12" s="41"/>
      <c r="G12" s="1071">
        <f ca="1">G10+G11</f>
        <v>169.69505456493178</v>
      </c>
      <c r="H12" s="1071">
        <f t="shared" ref="H12:Q12" ca="1" si="11">H10+H11</f>
        <v>69.837354022093393</v>
      </c>
      <c r="I12" s="1071">
        <f t="shared" ca="1" si="11"/>
        <v>0</v>
      </c>
      <c r="J12" s="1071">
        <f t="shared" ca="1" si="11"/>
        <v>0</v>
      </c>
      <c r="K12" s="1071">
        <f t="shared" ca="1" si="11"/>
        <v>0</v>
      </c>
      <c r="L12" s="1071">
        <f t="shared" ca="1" si="11"/>
        <v>0</v>
      </c>
      <c r="M12" s="1071">
        <f ca="1">M11+M10</f>
        <v>-1.8835814608099886E-2</v>
      </c>
      <c r="N12" s="1071">
        <f t="shared" ca="1" si="11"/>
        <v>0</v>
      </c>
      <c r="O12" s="1071">
        <f t="shared" ca="1" si="11"/>
        <v>0</v>
      </c>
      <c r="P12" s="1071">
        <f t="shared" ca="1" si="11"/>
        <v>0</v>
      </c>
      <c r="Q12" s="1071">
        <f t="shared" ca="1" si="11"/>
        <v>0</v>
      </c>
      <c r="R12" s="1071">
        <f ca="1">SUM(G12:Q12)</f>
        <v>239.51357277241706</v>
      </c>
      <c r="T12" s="1043">
        <f ca="1">T10+T11</f>
        <v>-232.6414587738775</v>
      </c>
      <c r="U12" s="1043">
        <f t="shared" ref="U12:AK12" ca="1" si="12">U10+U11</f>
        <v>0</v>
      </c>
      <c r="V12" s="1043">
        <f t="shared" ca="1" si="12"/>
        <v>0</v>
      </c>
      <c r="W12" s="1043">
        <f t="shared" ca="1" si="12"/>
        <v>-6.8721139985395867</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-239.51357277241709</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-2.8421709430404007E-14</v>
      </c>
      <c r="BN12" s="1046"/>
      <c r="BO12" s="97"/>
      <c r="BP12" s="1058">
        <f t="shared" ref="BP12:DG12" ca="1" si="14">BP10+BP11</f>
        <v>1.8329576632390179</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1.8329576632390179</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2278.7991580746871</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2278.7991580746871</v>
      </c>
      <c r="T13" s="1066">
        <f t="shared" ref="T13:BF13" ca="1" si="16">IFERROR(INDEX(INDIRECT($C13&amp;".Outputs["&amp;this.year&amp;"]"), MATCH(T$5, INDIRECT($C13&amp;".Outputs[Vector]"), 0)), 0)</f>
        <v>-401.23500000000001</v>
      </c>
      <c r="U13" s="1066">
        <f t="shared" ca="1" si="16"/>
        <v>0</v>
      </c>
      <c r="V13" s="1066">
        <f t="shared" ca="1" si="16"/>
        <v>-953.66000000000008</v>
      </c>
      <c r="W13" s="1066">
        <f t="shared" ca="1" si="16"/>
        <v>-618.94860000000006</v>
      </c>
      <c r="X13" s="1066">
        <f t="shared" ca="1" si="16"/>
        <v>-304.95555807468668</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-2278.7991580746866</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4.5474735088646412E-13</v>
      </c>
      <c r="BN13" s="1063"/>
      <c r="BO13" s="97"/>
      <c r="BP13" s="1069">
        <f t="shared" ref="BP13:DG13" ca="1" si="18">IFERROR(SUMIFS(INDIRECT($C13&amp;".Emissions["&amp;this.year&amp;"]"), INDIRECT($C13&amp;".Emissions[GHG]"), BP$6, INDIRECT($C13&amp;".Emissions[IPCC Sector]"), BP$5),0)</f>
        <v>489.56499057714643</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489.56499057714643</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2278.7991580746871</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2278.7991580746871</v>
      </c>
      <c r="T14" s="1043">
        <f t="shared" ref="T14:AK14" ca="1" si="20">T13</f>
        <v>-401.23500000000001</v>
      </c>
      <c r="U14" s="1043">
        <f t="shared" ca="1" si="20"/>
        <v>0</v>
      </c>
      <c r="V14" s="1043">
        <f t="shared" ca="1" si="20"/>
        <v>-953.66000000000008</v>
      </c>
      <c r="W14" s="1043">
        <f t="shared" ca="1" si="20"/>
        <v>-618.94860000000006</v>
      </c>
      <c r="X14" s="1043">
        <f t="shared" ca="1" si="20"/>
        <v>-304.95555807468668</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-2278.7991580746866</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4.5474735088646412E-13</v>
      </c>
      <c r="BN14" s="1046"/>
      <c r="BO14" s="97"/>
      <c r="BP14" s="1058">
        <f t="shared" ref="BP14:DG14" ca="1" si="22">BP13</f>
        <v>489.56499057714643</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489.56499057714643</v>
      </c>
    </row>
    <row r="15" spans="1:113" s="51" customFormat="1" ht="12.75" hidden="1"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463.86376980128892</v>
      </c>
      <c r="K15" s="1051">
        <f t="shared" ca="1" si="23"/>
        <v>22.292841450000004</v>
      </c>
      <c r="L15" s="1051">
        <f t="shared" ca="1" si="23"/>
        <v>19.354161061850885</v>
      </c>
      <c r="M15" s="1051">
        <f t="shared" ca="1" si="23"/>
        <v>0</v>
      </c>
      <c r="N15" s="1051">
        <f t="shared" ca="1" si="23"/>
        <v>0</v>
      </c>
      <c r="O15" s="1051">
        <f t="shared" ca="1" si="23"/>
        <v>0</v>
      </c>
      <c r="P15" s="1051">
        <f t="shared" ca="1" si="23"/>
        <v>0</v>
      </c>
      <c r="Q15" s="1051">
        <f t="shared" ca="1" si="23"/>
        <v>0</v>
      </c>
      <c r="R15" s="1071">
        <f t="shared" ref="R15:R23" ca="1" si="24">SUM(G15:Q15)</f>
        <v>505.51077231313985</v>
      </c>
      <c r="T15" s="1053">
        <f t="shared" ref="T15:BF16" ca="1" si="25">IFERROR(INDEX(INDIRECT($C15&amp;".Outputs["&amp;this.year&amp;"]"), MATCH(T$5, INDIRECT($C15&amp;".Outputs[Vector]"), 0)), 0)</f>
        <v>-7.8045578920344294</v>
      </c>
      <c r="U15" s="1053">
        <f t="shared" ca="1" si="25"/>
        <v>0</v>
      </c>
      <c r="V15" s="1053">
        <f t="shared" ca="1" si="25"/>
        <v>0</v>
      </c>
      <c r="W15" s="1053">
        <f t="shared" ca="1" si="25"/>
        <v>-487.95385834742547</v>
      </c>
      <c r="X15" s="1053">
        <f t="shared" ca="1" si="25"/>
        <v>-9.7523560736799499</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-505.51077231313985</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0</v>
      </c>
      <c r="BN15" s="1063"/>
      <c r="BO15" s="97"/>
      <c r="BP15" s="1057">
        <f t="shared" ref="BP15:BY16" ca="1" si="30">IFERROR(SUMIFS(INDIRECT($C15&amp;".Emissions["&amp;this.year&amp;"]"), INDIRECT($C15&amp;".Emissions[GHG]"), BP$6, INDIRECT($C15&amp;".Emissions[IPCC Sector]"), BP$5),0)</f>
        <v>132.08920545584485</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132.08920545584485</v>
      </c>
    </row>
    <row r="16" spans="1:113" s="51" customFormat="1" ht="12.75" hidden="1"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323.19778666496734</v>
      </c>
      <c r="K16" s="1051">
        <f t="shared" ca="1" si="23"/>
        <v>18.239597550000006</v>
      </c>
      <c r="L16" s="1051">
        <f t="shared" ca="1" si="23"/>
        <v>0.92430130232096508</v>
      </c>
      <c r="M16" s="1051">
        <f t="shared" ca="1" si="23"/>
        <v>0</v>
      </c>
      <c r="N16" s="1051">
        <f t="shared" ca="1" si="23"/>
        <v>0</v>
      </c>
      <c r="O16" s="1051">
        <f t="shared" ca="1" si="23"/>
        <v>0</v>
      </c>
      <c r="P16" s="1051">
        <f t="shared" ca="1" si="23"/>
        <v>0</v>
      </c>
      <c r="Q16" s="1051">
        <f t="shared" ca="1" si="23"/>
        <v>0</v>
      </c>
      <c r="R16" s="1071">
        <f t="shared" ca="1" si="24"/>
        <v>342.36168551728827</v>
      </c>
      <c r="T16" s="1053">
        <f t="shared" ca="1" si="25"/>
        <v>-6.3710415000000058</v>
      </c>
      <c r="U16" s="1053">
        <f t="shared" ca="1" si="25"/>
        <v>0</v>
      </c>
      <c r="V16" s="1053">
        <f t="shared" ca="1" si="25"/>
        <v>0</v>
      </c>
      <c r="W16" s="1053">
        <f t="shared" ca="1" si="25"/>
        <v>-335.99064401728828</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-342.36168551728827</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0</v>
      </c>
      <c r="BN16" s="1063"/>
      <c r="BO16" s="97"/>
      <c r="BP16" s="1057">
        <f t="shared" ca="1" si="30"/>
        <v>89.616765068067764</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89.616765068067764</v>
      </c>
    </row>
    <row r="17" spans="1:113" s="51" customFormat="1" ht="15.75" collapsed="1">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787.06155646625621</v>
      </c>
      <c r="K17" s="1071">
        <f t="shared" ca="1" si="34"/>
        <v>40.532439000000011</v>
      </c>
      <c r="L17" s="1071">
        <f t="shared" ca="1" si="34"/>
        <v>20.278462364171851</v>
      </c>
      <c r="M17" s="1071">
        <f t="shared" ca="1" si="34"/>
        <v>0</v>
      </c>
      <c r="N17" s="1071">
        <f t="shared" ca="1" si="34"/>
        <v>0</v>
      </c>
      <c r="O17" s="1071">
        <f t="shared" ca="1" si="34"/>
        <v>0</v>
      </c>
      <c r="P17" s="1071">
        <f t="shared" ca="1" si="34"/>
        <v>0</v>
      </c>
      <c r="Q17" s="1071">
        <f t="shared" ca="1" si="34"/>
        <v>0</v>
      </c>
      <c r="R17" s="1071">
        <f t="shared" ca="1" si="24"/>
        <v>847.87245783042817</v>
      </c>
      <c r="T17" s="1043">
        <f ca="1">T15+T16</f>
        <v>-14.175599392034435</v>
      </c>
      <c r="U17" s="1043">
        <f t="shared" ref="U17:AK17" ca="1" si="35">U15+U16</f>
        <v>0</v>
      </c>
      <c r="V17" s="1043">
        <f t="shared" ca="1" si="35"/>
        <v>0</v>
      </c>
      <c r="W17" s="1043">
        <f t="shared" ca="1" si="35"/>
        <v>-823.9445023647138</v>
      </c>
      <c r="X17" s="1043">
        <f t="shared" ca="1" si="35"/>
        <v>-9.7523560736799499</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-847.87245783042817</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0</v>
      </c>
      <c r="BN17" s="1046"/>
      <c r="BO17" s="97"/>
      <c r="BP17" s="1058">
        <f ca="1">BP15+BP16</f>
        <v>221.70597052391261</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221.70597052391261</v>
      </c>
    </row>
    <row r="18" spans="1:113" s="51" customFormat="1" ht="12.75"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1153.7282449630281</v>
      </c>
      <c r="Q18" s="1065">
        <f t="shared" ca="1" si="38"/>
        <v>0</v>
      </c>
      <c r="R18" s="1071">
        <f t="shared" ca="1" si="24"/>
        <v>1153.7282449630281</v>
      </c>
      <c r="T18" s="1066">
        <f t="shared" ref="T18:BF19" ca="1" si="39">IFERROR(INDEX(INDIRECT($C18&amp;".Outputs["&amp;this.year&amp;"]"), MATCH(T$5, INDIRECT($C18&amp;".Outputs[Vector]"), 0)), 0)</f>
        <v>-0.40568124773609537</v>
      </c>
      <c r="U18" s="1066">
        <f t="shared" ca="1" si="39"/>
        <v>0</v>
      </c>
      <c r="V18" s="1066">
        <f t="shared" ca="1" si="39"/>
        <v>-1020.1110595149701</v>
      </c>
      <c r="W18" s="1066">
        <f t="shared" ca="1" si="39"/>
        <v>-115.26093934117897</v>
      </c>
      <c r="X18" s="1066">
        <f t="shared" ca="1" si="39"/>
        <v>-17.950564859142954</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-1153.7282449630281</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0</v>
      </c>
      <c r="BN18" s="1046"/>
      <c r="BO18" s="17"/>
      <c r="BP18" s="1058"/>
      <c r="BQ18" s="1058"/>
      <c r="BR18" s="1058"/>
      <c r="BS18" s="1058"/>
      <c r="BT18" s="1058"/>
      <c r="BU18" s="1058"/>
      <c r="BV18" s="1058"/>
      <c r="BW18" s="1058"/>
      <c r="BX18" s="1058"/>
      <c r="BY18" s="1058"/>
      <c r="BZ18" s="1058"/>
      <c r="CA18" s="1058"/>
      <c r="CB18" s="1058"/>
      <c r="CC18" s="1058"/>
      <c r="CD18" s="1058"/>
      <c r="CE18" s="1058"/>
      <c r="CF18" s="1058"/>
      <c r="CG18" s="1058"/>
      <c r="CH18" s="1058"/>
      <c r="CI18" s="1058"/>
      <c r="CJ18" s="1058"/>
      <c r="CK18" s="1058"/>
      <c r="CL18" s="1058"/>
      <c r="CM18" s="1058"/>
      <c r="CN18" s="1058"/>
      <c r="CO18" s="1058"/>
      <c r="CP18" s="1058"/>
      <c r="CQ18" s="1058"/>
      <c r="CR18" s="1058"/>
      <c r="CS18" s="1058"/>
      <c r="CT18" s="1058"/>
      <c r="CU18" s="1058"/>
      <c r="CV18" s="1058"/>
      <c r="CW18" s="1058"/>
      <c r="CX18" s="1058"/>
      <c r="CY18" s="1058"/>
      <c r="CZ18" s="1058"/>
      <c r="DA18" s="1058"/>
      <c r="DB18" s="1058"/>
      <c r="DC18" s="1058"/>
      <c r="DD18" s="1058"/>
      <c r="DE18" s="1058"/>
      <c r="DF18" s="1058"/>
      <c r="DG18" s="1058"/>
      <c r="DI18" s="1059">
        <f t="shared" si="10"/>
        <v>0</v>
      </c>
    </row>
    <row r="19" spans="1:113" s="51" customFormat="1" ht="12.75"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64.767224585824962</v>
      </c>
      <c r="R19" s="1071">
        <f t="shared" ca="1" si="24"/>
        <v>64.767224585824962</v>
      </c>
      <c r="T19" s="1066">
        <f t="shared" ca="1" si="39"/>
        <v>0</v>
      </c>
      <c r="U19" s="1066">
        <f t="shared" ca="1" si="39"/>
        <v>0</v>
      </c>
      <c r="V19" s="1066">
        <f t="shared" ca="1" si="39"/>
        <v>0</v>
      </c>
      <c r="W19" s="1066">
        <f t="shared" ca="1" si="39"/>
        <v>-49.805078318337209</v>
      </c>
      <c r="X19" s="1066">
        <f t="shared" ca="1" si="39"/>
        <v>-14.962146267487753</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-64.767224585824962</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0</v>
      </c>
      <c r="BN19" s="1063"/>
      <c r="BO19" s="97"/>
      <c r="BP19" s="1069">
        <f t="shared" ref="BP19:DG19" ca="1" si="42">IFERROR(SUMIFS(INDIRECT($C19&amp;".Emissions["&amp;this.year&amp;"]"), INDIRECT($C19&amp;".Emissions[GHG]"), BP$6, INDIRECT($C19&amp;".Emissions[IPCC Sector]"), BP$5),0)</f>
        <v>16.260888821331829</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16.260888821331829</v>
      </c>
    </row>
    <row r="20" spans="1:113" s="51" customFormat="1" ht="15.75">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1153.7282449630281</v>
      </c>
      <c r="Q20" s="1071">
        <f t="shared" ca="1" si="43"/>
        <v>64.767224585824962</v>
      </c>
      <c r="R20" s="1071">
        <f t="shared" ca="1" si="24"/>
        <v>1218.4954695488532</v>
      </c>
      <c r="T20" s="1043">
        <f ca="1">T19+T18</f>
        <v>-0.40568124773609537</v>
      </c>
      <c r="U20" s="1043">
        <f t="shared" ref="U20:AK20" ca="1" si="44">U19+U18</f>
        <v>0</v>
      </c>
      <c r="V20" s="1043">
        <f t="shared" ca="1" si="44"/>
        <v>-1020.1110595149701</v>
      </c>
      <c r="W20" s="1043">
        <f t="shared" ca="1" si="44"/>
        <v>-165.06601765951618</v>
      </c>
      <c r="X20" s="1043">
        <f t="shared" ca="1" si="44"/>
        <v>-32.912711126630711</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-1218.495469548853</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2.2737367544323206E-13</v>
      </c>
      <c r="BN20" s="1046"/>
      <c r="BO20" s="97"/>
      <c r="BP20" s="1058">
        <f t="shared" ref="BP20:DG20" ca="1" si="46">BP19</f>
        <v>16.260888821331829</v>
      </c>
      <c r="BQ20" s="1058">
        <f t="shared" ca="1" si="46"/>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16.260888821331829</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237.20689383625</v>
      </c>
      <c r="O21" s="1065">
        <f t="shared" ca="1" si="47"/>
        <v>0</v>
      </c>
      <c r="P21" s="1065">
        <f t="shared" ca="1" si="47"/>
        <v>0</v>
      </c>
      <c r="Q21" s="1065">
        <f t="shared" ca="1" si="47"/>
        <v>0</v>
      </c>
      <c r="R21" s="1071">
        <f t="shared" ca="1" si="24"/>
        <v>237.20689383625</v>
      </c>
      <c r="T21" s="1066">
        <f t="shared" ref="T21:BF22" ca="1" si="48">IFERROR(INDEX(INDIRECT($C21&amp;".Outputs["&amp;this.year&amp;"]"), MATCH(T$5, INDIRECT($C21&amp;".Outputs[Vector]"), 0)), 0)</f>
        <v>-135.84360999999998</v>
      </c>
      <c r="U21" s="1066">
        <f t="shared" ca="1" si="48"/>
        <v>0</v>
      </c>
      <c r="V21" s="1066">
        <f t="shared" ca="1" si="48"/>
        <v>0</v>
      </c>
      <c r="W21" s="1066">
        <f t="shared" ca="1" si="48"/>
        <v>-101.36328383625001</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-237.20689383625</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27.03601947205911</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27.03601947205911</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82.680180507719996</v>
      </c>
      <c r="P22" s="1065">
        <f t="shared" ca="1" si="47"/>
        <v>0</v>
      </c>
      <c r="Q22" s="1065">
        <f t="shared" ca="1" si="47"/>
        <v>0</v>
      </c>
      <c r="R22" s="1071">
        <f t="shared" ca="1" si="24"/>
        <v>82.680180507719996</v>
      </c>
      <c r="T22" s="1066">
        <f t="shared" ca="1" si="48"/>
        <v>-14.091612362999999</v>
      </c>
      <c r="U22" s="1066">
        <f t="shared" ca="1" si="48"/>
        <v>0</v>
      </c>
      <c r="V22" s="1066">
        <f t="shared" ca="1" si="48"/>
        <v>0</v>
      </c>
      <c r="W22" s="1066">
        <f t="shared" ca="1" si="48"/>
        <v>-68.58856814472</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0</v>
      </c>
      <c r="AK22" s="1066">
        <f t="shared" ca="1" si="48"/>
        <v>0</v>
      </c>
      <c r="AL22" s="1043">
        <f t="shared" ca="1" si="3"/>
        <v>-82.680180507719996</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18.29421654212566</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18.29421654212566</v>
      </c>
    </row>
    <row r="23" spans="1:113" s="51" customFormat="1" ht="15.75">
      <c r="B23" s="53"/>
      <c r="C23" s="1076" t="s">
        <v>1107</v>
      </c>
      <c r="D23" s="1077" t="s">
        <v>1108</v>
      </c>
      <c r="E23" s="1078"/>
      <c r="G23" s="1079">
        <f ca="1">G$9+G$12+G$14+G$17+G$20+G$21+G$22</f>
        <v>169.69505456493178</v>
      </c>
      <c r="H23" s="1079">
        <f t="shared" ref="H23:Q23" ca="1" si="52">H$9+H$12+H$14+H$17+H$20+H$21+H$22</f>
        <v>69.837354022093393</v>
      </c>
      <c r="I23" s="1079">
        <f t="shared" ca="1" si="52"/>
        <v>2278.7991580746871</v>
      </c>
      <c r="J23" s="1079">
        <f t="shared" ca="1" si="52"/>
        <v>787.06155646625621</v>
      </c>
      <c r="K23" s="1079">
        <f t="shared" ca="1" si="52"/>
        <v>40.532439000000011</v>
      </c>
      <c r="L23" s="1079">
        <f t="shared" ca="1" si="52"/>
        <v>20.278462364171851</v>
      </c>
      <c r="M23" s="1079">
        <f ca="1">M$12+M$14+M$17+M$20+M$21+M$22</f>
        <v>-1.8835814608099886E-2</v>
      </c>
      <c r="N23" s="1079">
        <f t="shared" ca="1" si="52"/>
        <v>237.20689383625</v>
      </c>
      <c r="O23" s="1079">
        <f t="shared" ca="1" si="52"/>
        <v>82.680180507719996</v>
      </c>
      <c r="P23" s="1079">
        <f t="shared" ca="1" si="52"/>
        <v>1153.7282449630281</v>
      </c>
      <c r="Q23" s="1079">
        <f t="shared" ca="1" si="52"/>
        <v>64.767224585824962</v>
      </c>
      <c r="R23" s="2400">
        <f t="shared" ca="1" si="24"/>
        <v>4904.5677325703555</v>
      </c>
      <c r="T23" s="1080">
        <f ca="1">T$9+T$12+T$14+T$17+T$20+T$21+T$22</f>
        <v>-798.39296177664801</v>
      </c>
      <c r="U23" s="1080">
        <f t="shared" ref="U23:AK23" ca="1" si="53">U$9+U$12+U$14+U$17+U$20+U$21+U$22</f>
        <v>0</v>
      </c>
      <c r="V23" s="1080">
        <f t="shared" ca="1" si="53"/>
        <v>-1973.7710595149701</v>
      </c>
      <c r="W23" s="1080">
        <f t="shared" ca="1" si="53"/>
        <v>-1784.7830860037395</v>
      </c>
      <c r="X23" s="1080">
        <f t="shared" ca="1" si="53"/>
        <v>-347.62062527499734</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0</v>
      </c>
      <c r="AK23" s="1080">
        <f t="shared" ca="1" si="53"/>
        <v>0</v>
      </c>
      <c r="AL23" s="1080">
        <f t="shared" ca="1" si="3"/>
        <v>-4904.5677325703546</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9.0949470177292824E-13</v>
      </c>
      <c r="BN23" s="1083"/>
      <c r="BP23" s="1084">
        <f t="shared" ref="BP23:DG23" ca="1" si="55">BP$9+BP$12+BP$14+BP$17+BP$20+BP$21</f>
        <v>756.40082705768907</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756.40082705768907</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9.7454499999999999</v>
      </c>
      <c r="V26" s="1073">
        <f t="shared" ca="1" si="59"/>
        <v>-38.9818</v>
      </c>
      <c r="W26" s="1073">
        <f t="shared" ca="1" si="59"/>
        <v>0</v>
      </c>
      <c r="X26" s="1073">
        <f t="shared" ca="1" si="59"/>
        <v>10.305777777777783</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-10.305777777777783</v>
      </c>
      <c r="AI26" s="1073">
        <f t="shared" ca="1" si="59"/>
        <v>0</v>
      </c>
      <c r="AJ26" s="1073">
        <f t="shared" ca="1" si="59"/>
        <v>0</v>
      </c>
      <c r="AK26" s="1073">
        <f t="shared" ca="1" si="59"/>
        <v>0</v>
      </c>
      <c r="AL26" s="1066">
        <f t="shared" ref="AL26:AL34" ca="1" si="60">SUM(T26:AK26)</f>
        <v>-29.236350000000002</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29.236350000000002</v>
      </c>
      <c r="BJ26" s="1075">
        <f t="shared" ca="1" si="63"/>
        <v>0</v>
      </c>
      <c r="BK26" s="1045">
        <f t="shared" ca="1" si="56"/>
        <v>29.236350000000002</v>
      </c>
      <c r="BM26" s="1046">
        <f t="shared" ca="1" si="5"/>
        <v>0</v>
      </c>
      <c r="BN26" s="1046"/>
      <c r="BO26" s="17"/>
      <c r="BP26" s="1069">
        <f t="shared" ref="BP26:DG30" ca="1" si="64">IFERROR(SUMIFS(INDIRECT($C26&amp;".Emissions["&amp;this.year&amp;"]"), INDIRECT($C26&amp;".Emissions[GHG]"), BP$6, INDIRECT($C26&amp;".Emissions[IPCC Sector]"), BP$5),0)</f>
        <v>13.530457032258065</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-2.0503073684210533</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11.480149663837011</v>
      </c>
    </row>
    <row r="27" spans="1:113" s="1087" customFormat="1" ht="15"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0.13142242804166665</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-0.13142242804166665</v>
      </c>
      <c r="AG27" s="1073">
        <f t="shared" ca="1" si="59"/>
        <v>0</v>
      </c>
      <c r="AH27" s="1073">
        <f t="shared" ca="1" si="59"/>
        <v>0</v>
      </c>
      <c r="AI27" s="1073">
        <f t="shared" ca="1" si="59"/>
        <v>0</v>
      </c>
      <c r="AJ27" s="1073">
        <f t="shared" ca="1" si="59"/>
        <v>0</v>
      </c>
      <c r="AK27" s="1073">
        <f t="shared" ca="1" si="59"/>
        <v>0</v>
      </c>
      <c r="AL27" s="1066">
        <f t="shared" ca="1" si="60"/>
        <v>0</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0</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-3.5053514340950123E-2</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-3.5053514340950123E-2</v>
      </c>
    </row>
    <row r="28" spans="1:113" s="51" customFormat="1" ht="12"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0</v>
      </c>
      <c r="AI28" s="1073">
        <f t="shared" ca="1" si="59"/>
        <v>0</v>
      </c>
      <c r="AJ28" s="1073">
        <f t="shared" ca="1" si="59"/>
        <v>0</v>
      </c>
      <c r="AK28" s="1073">
        <f t="shared" ca="1" si="59"/>
        <v>0</v>
      </c>
      <c r="AL28" s="1066">
        <f t="shared" ca="1" si="60"/>
        <v>0</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0</v>
      </c>
      <c r="BG28" s="1067">
        <f t="shared" ca="1" si="62"/>
        <v>0</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0.13142242804166665</v>
      </c>
      <c r="AG29" s="1073">
        <f t="shared" ca="1" si="59"/>
        <v>948.40980000000002</v>
      </c>
      <c r="AH29" s="1073">
        <f t="shared" ca="1" si="59"/>
        <v>10.305777777777783</v>
      </c>
      <c r="AI29" s="1073">
        <f t="shared" ca="1" si="59"/>
        <v>0</v>
      </c>
      <c r="AJ29" s="1073">
        <f t="shared" ca="1" si="59"/>
        <v>0</v>
      </c>
      <c r="AK29" s="1073">
        <f t="shared" ca="1" si="59"/>
        <v>0</v>
      </c>
      <c r="AL29" s="1066">
        <f t="shared" ca="1" si="60"/>
        <v>958.84700020581943</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-0.13142242804166665</v>
      </c>
      <c r="BF29" s="1074">
        <f t="shared" ca="1" si="66"/>
        <v>-958.71557777777775</v>
      </c>
      <c r="BG29" s="1067">
        <f t="shared" ca="1" si="62"/>
        <v>-958.84700020581943</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-13.530457032258065</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-13.530457032258065</v>
      </c>
    </row>
    <row r="30" spans="1:113" s="51" customFormat="1" ht="12"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948.40980000000002</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-948.40980000000002</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-315.65952516129033</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-315.65952516129033</v>
      </c>
    </row>
    <row r="31" spans="1:113" s="51" customFormat="1" ht="12" customHeight="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9.7454499999999999</v>
      </c>
      <c r="V31" s="1073">
        <f t="shared" ca="1" si="68"/>
        <v>909.428</v>
      </c>
      <c r="W31" s="1073">
        <f t="shared" ca="1" si="68"/>
        <v>0.13142242804166665</v>
      </c>
      <c r="X31" s="1073">
        <f t="shared" ca="1" si="68"/>
        <v>10.305777777777783</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0</v>
      </c>
      <c r="AI31" s="1073">
        <f t="shared" ca="1" si="68"/>
        <v>0</v>
      </c>
      <c r="AJ31" s="1073">
        <f t="shared" ca="1" si="68"/>
        <v>0</v>
      </c>
      <c r="AK31" s="1073">
        <f t="shared" ca="1" si="68"/>
        <v>0</v>
      </c>
      <c r="AL31" s="1066">
        <f t="shared" ca="1" si="60"/>
        <v>929.61065020581941</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-0.13142242804166665</v>
      </c>
      <c r="BF31" s="1074">
        <f t="shared" ca="1" si="69"/>
        <v>-958.71557777777775</v>
      </c>
      <c r="BG31" s="1067">
        <f t="shared" ca="1" si="62"/>
        <v>-958.84700020581943</v>
      </c>
      <c r="BI31" s="1075">
        <f ca="1">BI28+BI27+BI26+BI29+BI30</f>
        <v>29.236350000000002</v>
      </c>
      <c r="BJ31" s="1075">
        <f ca="1">BJ28+BJ27+BJ26+BJ29+BJ30</f>
        <v>0</v>
      </c>
      <c r="BK31" s="1045">
        <f t="shared" ca="1" si="56"/>
        <v>29.236350000000002</v>
      </c>
      <c r="BM31" s="1096">
        <f t="shared" ca="1" si="5"/>
        <v>0</v>
      </c>
      <c r="BN31" s="1046"/>
      <c r="BO31" s="97"/>
      <c r="BP31" s="1069">
        <f ca="1">BP28+BP27+BP26+BP29+BP30</f>
        <v>13.530457032258065</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-331.27534307631038</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-317.74488604405229</v>
      </c>
    </row>
    <row r="32" spans="1:113" s="51" customFormat="1" ht="14.25" hidden="1"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ollapsed="1">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hidden="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449.1920925</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449.1920925</v>
      </c>
      <c r="AN34" s="1054">
        <f t="shared" ref="AN34:BC36" ca="1" si="86">IFERROR(INDEX(INDIRECT($C34&amp;".Outputs["&amp;this.year&amp;"]"), MATCH(AN$5, INDIRECT($C34&amp;".Outputs[Vector]"), 0)), 0)</f>
        <v>0</v>
      </c>
      <c r="AO34" s="1054">
        <f t="shared" ca="1" si="86"/>
        <v>0</v>
      </c>
      <c r="AP34" s="1054">
        <f t="shared" ca="1" si="86"/>
        <v>-449.1920925</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-449.1920925</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hidden="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2704.3935000000001</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2704.3935000000001</v>
      </c>
      <c r="AN35" s="1054">
        <f t="shared" ca="1" si="86"/>
        <v>-2704.3935000000001</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-2704.3935000000001</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hidden="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442.98669999999993</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442.98669999999993</v>
      </c>
      <c r="AN36" s="1054">
        <f t="shared" ca="1" si="86"/>
        <v>0</v>
      </c>
      <c r="AO36" s="1054">
        <f t="shared" ca="1" si="86"/>
        <v>-442.98669999999993</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-442.98669999999993</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ollapsed="1">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2704.3935000000001</v>
      </c>
      <c r="Z37" s="1043">
        <f ca="1">SUM(Z34:Z36)</f>
        <v>442.98669999999993</v>
      </c>
      <c r="AA37" s="1043">
        <f ca="1">SUM(AA34:AA36)</f>
        <v>449.1920925</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3596.5722925</v>
      </c>
      <c r="AN37" s="1044">
        <f t="shared" ref="AN37:BF37" ca="1" si="95">SUM(AN34:AN36)</f>
        <v>-2704.3935000000001</v>
      </c>
      <c r="AO37" s="1044">
        <f t="shared" ca="1" si="95"/>
        <v>-442.98669999999993</v>
      </c>
      <c r="AP37" s="1044">
        <f t="shared" ca="1" si="95"/>
        <v>-449.1920925</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-3596.5722925</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143.76240000000001</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143.76240000000001</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-143.76240000000001</v>
      </c>
      <c r="BD38" s="1108">
        <f t="shared" ca="1" si="99"/>
        <v>0</v>
      </c>
      <c r="BE38" s="1108">
        <f t="shared" ca="1" si="99"/>
        <v>0</v>
      </c>
      <c r="BF38" s="1108">
        <f t="shared" ca="1" si="99"/>
        <v>0</v>
      </c>
      <c r="BG38" s="1062">
        <f t="shared" ca="1" si="96"/>
        <v>-143.76240000000001</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1.56727314</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0</v>
      </c>
      <c r="AK39" s="1106">
        <f t="shared" ca="1" si="99"/>
        <v>0</v>
      </c>
      <c r="AL39" s="1107">
        <f t="shared" ca="1" si="92"/>
        <v>1.56727314</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-1.56727314</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-1.56727314</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0</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0</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0</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0</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18.722249233199999</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18.722249233199999</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-18.722249233199999</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-18.722249233199999</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0</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0</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0</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0</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12.081458988000001</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12.081458988000001</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-12.081458988000001</v>
      </c>
      <c r="BD43" s="1108">
        <f t="shared" ca="1" si="99"/>
        <v>0</v>
      </c>
      <c r="BE43" s="1108">
        <f t="shared" ca="1" si="99"/>
        <v>0</v>
      </c>
      <c r="BF43" s="1108">
        <f t="shared" ca="1" si="99"/>
        <v>0</v>
      </c>
      <c r="BG43" s="1044">
        <f t="shared" ca="1" si="96"/>
        <v>-12.081458988000001</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32.370981361200002</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0</v>
      </c>
      <c r="AK44" s="1043">
        <f t="shared" ca="1" si="110"/>
        <v>0</v>
      </c>
      <c r="AL44" s="1107">
        <f t="shared" ca="1" si="92"/>
        <v>32.370981361200002</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-1.56727314</v>
      </c>
      <c r="AY44" s="1044">
        <f t="shared" ca="1" si="111"/>
        <v>-18.722249233199999</v>
      </c>
      <c r="AZ44" s="1044">
        <f t="shared" ca="1" si="111"/>
        <v>0</v>
      </c>
      <c r="BA44" s="1044">
        <f t="shared" ca="1" si="111"/>
        <v>0</v>
      </c>
      <c r="BB44" s="1044">
        <f t="shared" ca="1" si="111"/>
        <v>0</v>
      </c>
      <c r="BC44" s="1044">
        <f t="shared" ca="1" si="111"/>
        <v>-12.081458988000001</v>
      </c>
      <c r="BD44" s="1044">
        <f t="shared" ca="1" si="111"/>
        <v>0</v>
      </c>
      <c r="BE44" s="1044">
        <f t="shared" ca="1" si="111"/>
        <v>0</v>
      </c>
      <c r="BF44" s="1044">
        <f t="shared" ca="1" si="111"/>
        <v>0</v>
      </c>
      <c r="BG44" s="1044">
        <f t="shared" ca="1" si="111"/>
        <v>-32.370981361200002</v>
      </c>
      <c r="BI44" s="1045">
        <f ca="1">SUM(BI39:BI43)</f>
        <v>0</v>
      </c>
      <c r="BJ44" s="1045">
        <f ca="1">SUM(BJ39:BJ43)</f>
        <v>0</v>
      </c>
      <c r="BK44" s="1045">
        <f ca="1">SUM(BK39:BK43)</f>
        <v>0</v>
      </c>
      <c r="BM44" s="1046">
        <f t="shared" ca="1" si="5"/>
        <v>0</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32.819904000000001</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32.819904000000001</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-93.771154285714289</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-93.771154285714289</v>
      </c>
      <c r="BI45" s="1119">
        <f t="shared" ref="BI45:BJ50" ca="1" si="118">IFERROR(INDEX(INDIRECT($C45&amp;".Outputs["&amp;this.year&amp;"]"), MATCH(BI$5, INDIRECT($C45&amp;".Outputs[Vector]"), 0)), 0)</f>
        <v>60.951250285714288</v>
      </c>
      <c r="BJ45" s="1119">
        <f t="shared" ca="1" si="118"/>
        <v>0</v>
      </c>
      <c r="BK45" s="1045">
        <f ca="1">SUM(BI45:BJ45)</f>
        <v>60.951250285714288</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710.86285644904808</v>
      </c>
      <c r="V46" s="1117">
        <f t="shared" ca="1" si="114"/>
        <v>-2166.9461312698313</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-1456.0832748207831</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1394.2691133904314</v>
      </c>
      <c r="BJ46" s="1119">
        <f t="shared" ca="1" si="118"/>
        <v>61.814161430352009</v>
      </c>
      <c r="BK46" s="1045">
        <f ca="1">SUM(BI46:BJ46)</f>
        <v>1456.0832748207833</v>
      </c>
      <c r="BL46" s="51"/>
      <c r="BM46" s="1046">
        <f t="shared" ca="1" si="5"/>
        <v>0</v>
      </c>
      <c r="BN46" s="1063"/>
      <c r="BO46" s="97"/>
      <c r="BP46" s="1057">
        <f t="shared" ca="1" si="119"/>
        <v>752.14001201494796</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752.14001201494796</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96.596143677000001</v>
      </c>
      <c r="V47" s="1117">
        <f t="shared" ca="1" si="114"/>
        <v>0</v>
      </c>
      <c r="W47" s="1117">
        <f t="shared" ca="1" si="114"/>
        <v>0</v>
      </c>
      <c r="X47" s="1117">
        <f t="shared" ca="1" si="114"/>
        <v>-191.37825000000001</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-94.782106323000008</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94.782106323000008</v>
      </c>
      <c r="BJ47" s="1119">
        <f t="shared" ca="1" si="118"/>
        <v>0</v>
      </c>
      <c r="BK47" s="1045">
        <f ca="1">SUM(BI47:BJ47)</f>
        <v>94.782106323000008</v>
      </c>
      <c r="BL47" s="51"/>
      <c r="BM47" s="1046">
        <f t="shared" ca="1" si="5"/>
        <v>0</v>
      </c>
      <c r="BN47" s="1063"/>
      <c r="BO47" s="97"/>
      <c r="BP47" s="1057">
        <f t="shared" ca="1" si="119"/>
        <v>32.029247640268423</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32.029247640268423</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0</v>
      </c>
      <c r="V48" s="1117">
        <f t="shared" ca="1" si="114"/>
        <v>0</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0</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0</v>
      </c>
      <c r="BJ48" s="1119">
        <f t="shared" ca="1" si="118"/>
        <v>0</v>
      </c>
      <c r="BK48" s="1045">
        <f ca="1">SUM(BI48:BJ48)</f>
        <v>0</v>
      </c>
      <c r="BL48" s="51"/>
      <c r="BM48" s="1046">
        <f t="shared" ca="1" si="5"/>
        <v>0</v>
      </c>
      <c r="BN48" s="1063"/>
      <c r="BO48" s="97"/>
      <c r="BP48" s="1057">
        <f t="shared" ca="1" si="119"/>
        <v>0</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0</v>
      </c>
      <c r="DE48" s="1057">
        <f t="shared" ca="1" si="119"/>
        <v>0</v>
      </c>
      <c r="DF48" s="1057">
        <f t="shared" ca="1" si="119"/>
        <v>0</v>
      </c>
      <c r="DG48" s="1057">
        <f t="shared" ca="1" si="119"/>
        <v>0</v>
      </c>
      <c r="DI48" s="1059">
        <f t="shared" ca="1" si="79"/>
        <v>0</v>
      </c>
    </row>
    <row r="49" spans="1:113">
      <c r="A49" s="1087"/>
      <c r="B49" s="1087"/>
      <c r="C49" s="1088" t="s">
        <v>1818</v>
      </c>
      <c r="D49" s="1114" t="s">
        <v>1817</v>
      </c>
      <c r="E49" s="1089"/>
      <c r="T49" s="2362">
        <f ca="1">T23+T33+T37+T38+T44+T45++T46+T47+T48+T31+T61</f>
        <v>-798.39296177664801</v>
      </c>
      <c r="U49" s="2362">
        <f ca="1">U23+U33+U37+U38+U44+U45++U46+U47+U48+U31+U61</f>
        <v>795.83440987979588</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2.5585518968521228</v>
      </c>
      <c r="V50" s="1117">
        <f t="shared" ca="1" si="114"/>
        <v>-6.9597914292609548</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-4.401239532408832</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4.2733119375662261</v>
      </c>
      <c r="BJ50" s="1119">
        <f t="shared" ca="1" si="118"/>
        <v>0.12792759484260616</v>
      </c>
      <c r="BK50" s="1045">
        <f ca="1">SUM(BI50:BJ50)</f>
        <v>4.401239532408832</v>
      </c>
      <c r="BL50" s="51"/>
      <c r="BM50" s="1046">
        <f t="shared" ref="BM50:BM55" ca="1" si="120">R50+AL50+BG50+BK50</f>
        <v>0</v>
      </c>
      <c r="BN50" s="1063"/>
      <c r="BO50" s="97"/>
      <c r="BP50" s="1057">
        <f t="shared" ca="1" si="119"/>
        <v>2.4157211541563832</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2.4157211541563832</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810.01755202290019</v>
      </c>
      <c r="V51" s="1043">
        <f t="shared" ref="V51:AK51" ca="1" si="122">V46+V47+V48+V50</f>
        <v>-2173.9059226990921</v>
      </c>
      <c r="W51" s="1043">
        <f t="shared" ca="1" si="122"/>
        <v>0</v>
      </c>
      <c r="X51" s="1043">
        <f t="shared" ca="1" si="122"/>
        <v>-191.37825000000001</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-1555.2666206761919</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1493.3245316509976</v>
      </c>
      <c r="BJ51" s="1045">
        <f ca="1">BJ46+BJ47+BJ48+BJ50</f>
        <v>61.942089025194612</v>
      </c>
      <c r="BK51" s="1045">
        <f ca="1">SUM(BI51:BJ51)</f>
        <v>1555.2666206761924</v>
      </c>
      <c r="BM51" s="1046">
        <f t="shared" ca="1" si="120"/>
        <v>0</v>
      </c>
      <c r="BN51" s="1046"/>
      <c r="BO51" s="97"/>
      <c r="BP51" s="1058">
        <f ca="1">BP46+BP47+BP48+BP50</f>
        <v>786.58498080937272</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0</v>
      </c>
      <c r="DE51" s="1058">
        <f t="shared" ca="1" si="124"/>
        <v>0</v>
      </c>
      <c r="DF51" s="1058">
        <f t="shared" ca="1" si="124"/>
        <v>0</v>
      </c>
      <c r="DG51" s="1058">
        <f t="shared" ca="1" si="124"/>
        <v>0</v>
      </c>
      <c r="DI51" s="1059">
        <f ca="1">SUM(BP51:DG51)</f>
        <v>786.58498080937272</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1028.7162873841</v>
      </c>
      <c r="V52" s="1080">
        <f t="shared" ca="1" si="126"/>
        <v>-1264.4779226990922</v>
      </c>
      <c r="W52" s="1080">
        <f t="shared" ca="1" si="126"/>
        <v>0.13142242804166665</v>
      </c>
      <c r="X52" s="1080">
        <f t="shared" ca="1" si="126"/>
        <v>-181.07247222222222</v>
      </c>
      <c r="Y52" s="1080">
        <f t="shared" ca="1" si="126"/>
        <v>2704.3935000000001</v>
      </c>
      <c r="Z52" s="1080">
        <f t="shared" ca="1" si="126"/>
        <v>442.98669999999993</v>
      </c>
      <c r="AA52" s="1080">
        <f t="shared" ca="1" si="126"/>
        <v>449.1920925</v>
      </c>
      <c r="AB52" s="1080">
        <f t="shared" ca="1" si="126"/>
        <v>0</v>
      </c>
      <c r="AC52" s="1080">
        <f t="shared" ca="1" si="126"/>
        <v>0</v>
      </c>
      <c r="AD52" s="1080">
        <f t="shared" ca="1" si="126"/>
        <v>0</v>
      </c>
      <c r="AE52" s="1080">
        <f t="shared" ca="1" si="126"/>
        <v>0</v>
      </c>
      <c r="AF52" s="1080">
        <f t="shared" ca="1" si="126"/>
        <v>0</v>
      </c>
      <c r="AG52" s="1080">
        <f t="shared" ca="1" si="126"/>
        <v>0</v>
      </c>
      <c r="AH52" s="1080">
        <f t="shared" ca="1" si="126"/>
        <v>0</v>
      </c>
      <c r="AI52" s="1080">
        <f t="shared" ca="1" si="126"/>
        <v>0</v>
      </c>
      <c r="AJ52" s="1080">
        <f t="shared" ca="1" si="126"/>
        <v>0</v>
      </c>
      <c r="AK52" s="1080">
        <f t="shared" ca="1" si="126"/>
        <v>0</v>
      </c>
      <c r="AL52" s="1043">
        <f ca="1">SUM(T52:AK52)</f>
        <v>3179.8696073908272</v>
      </c>
      <c r="AN52" s="2408">
        <f t="shared" ref="AN52:BF52" ca="1" si="127">AN$33+AN$37+AN$38+AN$44+AN$45+AN$51+AN31</f>
        <v>-2704.3935000000001</v>
      </c>
      <c r="AO52" s="2408">
        <f t="shared" ca="1" si="127"/>
        <v>-442.98669999999993</v>
      </c>
      <c r="AP52" s="2408">
        <f t="shared" ca="1" si="127"/>
        <v>-449.1920925</v>
      </c>
      <c r="AQ52" s="2408">
        <f t="shared" ca="1" si="127"/>
        <v>0</v>
      </c>
      <c r="AR52" s="2408">
        <f t="shared" ca="1" si="127"/>
        <v>0</v>
      </c>
      <c r="AS52" s="2408">
        <f t="shared" ca="1" si="127"/>
        <v>0</v>
      </c>
      <c r="AT52" s="2408">
        <f t="shared" ca="1" si="127"/>
        <v>0</v>
      </c>
      <c r="AU52" s="2408">
        <f t="shared" ca="1" si="127"/>
        <v>0</v>
      </c>
      <c r="AV52" s="2408">
        <f t="shared" ca="1" si="127"/>
        <v>0</v>
      </c>
      <c r="AW52" s="2408">
        <f t="shared" ca="1" si="127"/>
        <v>-93.771154285714289</v>
      </c>
      <c r="AX52" s="2408">
        <f t="shared" ca="1" si="127"/>
        <v>-1.56727314</v>
      </c>
      <c r="AY52" s="2408">
        <f t="shared" ca="1" si="127"/>
        <v>-18.722249233199999</v>
      </c>
      <c r="AZ52" s="2408">
        <f t="shared" ca="1" si="127"/>
        <v>0</v>
      </c>
      <c r="BA52" s="2408">
        <f t="shared" ca="1" si="127"/>
        <v>0</v>
      </c>
      <c r="BB52" s="2408">
        <f t="shared" ca="1" si="127"/>
        <v>0</v>
      </c>
      <c r="BC52" s="2408">
        <f t="shared" ca="1" si="127"/>
        <v>-155.84385898800002</v>
      </c>
      <c r="BD52" s="2408">
        <f t="shared" ca="1" si="127"/>
        <v>0</v>
      </c>
      <c r="BE52" s="2408">
        <f t="shared" ca="1" si="127"/>
        <v>-0.13142242804166665</v>
      </c>
      <c r="BF52" s="2408">
        <f t="shared" ca="1" si="127"/>
        <v>-958.71557777777775</v>
      </c>
      <c r="BG52" s="2408">
        <f ca="1">SUM(AN52:BF52)</f>
        <v>-4825.3238283527335</v>
      </c>
      <c r="BI52" s="1082">
        <f ca="1">BI$33+BI$37+BI$38+BI$44+BI$45+BI$51+BI31</f>
        <v>1583.5121319367117</v>
      </c>
      <c r="BJ52" s="1082">
        <f ca="1">BJ$33+BJ$37+BJ$38+BJ$44+BJ$45+BJ$51+BJ31</f>
        <v>61.942089025194612</v>
      </c>
      <c r="BK52" s="1045">
        <f ca="1">SUM(BI52:BJ52)</f>
        <v>1645.4542209619065</v>
      </c>
      <c r="BM52" s="1083">
        <f t="shared" ca="1" si="120"/>
        <v>0</v>
      </c>
      <c r="BN52" s="1083"/>
      <c r="BP52" s="2401">
        <f t="shared" ref="BP52:DG52" ca="1" si="128">BP$33+BP$37+BP$38+BP$44++BP$45+BP$51</f>
        <v>786.58498080937272</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0</v>
      </c>
      <c r="DE52" s="1084">
        <f t="shared" ca="1" si="128"/>
        <v>0</v>
      </c>
      <c r="DF52" s="1084">
        <f t="shared" ca="1" si="128"/>
        <v>0</v>
      </c>
      <c r="DG52" s="1084">
        <f t="shared" ca="1" si="128"/>
        <v>0</v>
      </c>
      <c r="DI52" s="1085">
        <f ca="1">SUM(BP52:DG52)</f>
        <v>786.58498080937272</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4</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4</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-4</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-4</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-798.39296177664801</v>
      </c>
      <c r="U58" s="1093">
        <f ca="1">U$23+U$31+U$33+U$37+U$57+U$38+U$44+U$45</f>
        <v>222.69873536120002</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-234.32332560745226</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-234.32332560745226</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234.32332560745238</v>
      </c>
      <c r="BK59" s="1056">
        <f ca="1">SUM(BI59:BJ59)</f>
        <v>234.32332560745238</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-230.32332560745226</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-230.32332560745226</v>
      </c>
      <c r="AM61" s="51"/>
      <c r="AN61" s="1044">
        <f t="shared" ref="AN61:BF61" ca="1" si="146">AN$57+AN$59+AN$60</f>
        <v>0</v>
      </c>
      <c r="AO61" s="1044">
        <f t="shared" ca="1" si="146"/>
        <v>0</v>
      </c>
      <c r="AP61" s="1044">
        <f t="shared" ca="1" si="146"/>
        <v>0</v>
      </c>
      <c r="AQ61" s="1044">
        <f t="shared" ca="1" si="146"/>
        <v>0</v>
      </c>
      <c r="AR61" s="1044">
        <f t="shared" ca="1" si="146"/>
        <v>-4</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-4</v>
      </c>
      <c r="BH61" s="51"/>
      <c r="BI61" s="1045">
        <f ca="1">BI$57+BI$59+BI$60</f>
        <v>0</v>
      </c>
      <c r="BJ61" s="1045">
        <f ca="1">BJ$57+BJ$59+BJ$60</f>
        <v>234.32332560745238</v>
      </c>
      <c r="BK61" s="1045">
        <f ca="1">SUM(BI61:BJ61)</f>
        <v>234.32332560745238</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-3238.2489822140624</v>
      </c>
      <c r="W63" s="1093">
        <f t="shared" ca="1" si="149"/>
        <v>-1784.651663575698</v>
      </c>
      <c r="X63" s="1093">
        <f t="shared" ca="1" si="149"/>
        <v>-528.69309749721958</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0</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-798.39296177664801</v>
      </c>
      <c r="U64" s="1093">
        <f ca="1">(U$23+U$52+U$61)</f>
        <v>798.39296177664778</v>
      </c>
      <c r="V64" s="1093">
        <f t="shared" ca="1" si="149"/>
        <v>-3238.2489822140624</v>
      </c>
      <c r="W64" s="1093">
        <f t="shared" ca="1" si="149"/>
        <v>-1784.651663575698</v>
      </c>
      <c r="X64" s="1093">
        <f t="shared" ca="1" si="149"/>
        <v>-528.69309749721958</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3238.2489822140624</v>
      </c>
      <c r="W65" s="1107">
        <f t="shared" ca="1" si="152"/>
        <v>1784.651663575698</v>
      </c>
      <c r="X65" s="1107">
        <f t="shared" ca="1" si="152"/>
        <v>528.69309749721958</v>
      </c>
      <c r="Y65" s="1107">
        <f t="shared" ca="1" si="152"/>
        <v>-3238.2489822140624</v>
      </c>
      <c r="Z65" s="1107">
        <f t="shared" ca="1" si="152"/>
        <v>-1909.5772800259967</v>
      </c>
      <c r="AA65" s="1107">
        <f t="shared" ca="1" si="152"/>
        <v>-607.99706212180251</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-204.22958107488205</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204.22958107488182</v>
      </c>
      <c r="BK65" s="1110">
        <f ca="1">SUM(BI65:BJ65)</f>
        <v>204.22958107488182</v>
      </c>
      <c r="BL65" s="51"/>
      <c r="BM65" s="1046">
        <f t="shared" ref="BM65:BM71" ca="1" si="154">R65+AL65+BG65+BK65</f>
        <v>-2.2737367544323206E-13</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2.2737367544323206E-13</v>
      </c>
      <c r="V66" s="1140"/>
      <c r="W66" s="1140"/>
      <c r="X66" s="1140"/>
      <c r="Y66" s="1140">
        <f ca="1">-(Y$23+Y$52+Y$61+Y$65)</f>
        <v>533.85548221406225</v>
      </c>
      <c r="Z66" s="1140">
        <f ca="1">-(Z$23+Z$52+Z$61+Z$65)</f>
        <v>1466.5905800259968</v>
      </c>
      <c r="AA66" s="1140">
        <f ca="1">-(AA$23+AA$52+AA$61+AA$65)</f>
        <v>158.80496962180251</v>
      </c>
      <c r="AB66" s="1140"/>
      <c r="AC66" s="1140"/>
      <c r="AD66" s="1140"/>
      <c r="AE66" s="1140"/>
      <c r="AF66" s="1140"/>
      <c r="AG66" s="1140"/>
      <c r="AH66" s="1140"/>
      <c r="AI66" s="1140"/>
      <c r="AJ66" s="1140"/>
      <c r="AK66" s="1140"/>
      <c r="AL66" s="1140">
        <f ca="1">SUM(T66:AK66)</f>
        <v>2159.251031861862</v>
      </c>
      <c r="AM66" s="51"/>
      <c r="AN66" s="1067"/>
      <c r="AO66" s="1067"/>
      <c r="AP66" s="1067"/>
      <c r="AQ66" s="1067"/>
      <c r="AR66" s="1067">
        <f ca="1">-U66</f>
        <v>-2.2737367544323206E-13</v>
      </c>
      <c r="AS66" s="1067">
        <f>-W66</f>
        <v>0</v>
      </c>
      <c r="AT66" s="1067">
        <f ca="1">-Y66</f>
        <v>-533.85548221406225</v>
      </c>
      <c r="AU66" s="1067">
        <f ca="1">-Z66</f>
        <v>-1466.5905800259968</v>
      </c>
      <c r="AV66" s="1067">
        <f ca="1">-AA66</f>
        <v>-158.80496962180251</v>
      </c>
      <c r="AW66" s="1067"/>
      <c r="AX66" s="1067"/>
      <c r="AY66" s="1067"/>
      <c r="AZ66" s="1067"/>
      <c r="BA66" s="1067"/>
      <c r="BB66" s="1067"/>
      <c r="BC66" s="1067"/>
      <c r="BD66" s="1067"/>
      <c r="BE66" s="1067"/>
      <c r="BF66" s="1067"/>
      <c r="BG66" s="1067">
        <f ca="1">SUM(AN66:BF66)</f>
        <v>-2159.251031861862</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2.2737367544323206E-13</v>
      </c>
      <c r="V67" s="1043">
        <f t="shared" ca="1" si="160"/>
        <v>3238.2489822140624</v>
      </c>
      <c r="W67" s="1043">
        <f t="shared" ca="1" si="160"/>
        <v>1784.651663575698</v>
      </c>
      <c r="X67" s="1043">
        <f t="shared" ca="1" si="160"/>
        <v>528.69309749721958</v>
      </c>
      <c r="Y67" s="1043">
        <f t="shared" ca="1" si="160"/>
        <v>-2704.3935000000001</v>
      </c>
      <c r="Z67" s="1043">
        <f t="shared" ca="1" si="160"/>
        <v>-442.98669999999993</v>
      </c>
      <c r="AA67" s="1043">
        <f t="shared" ca="1" si="160"/>
        <v>-449.1920925</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1955.0214507869796</v>
      </c>
      <c r="AN67" s="1044">
        <f t="shared" ref="AN67:BF67" ca="1" si="161">SUM(AN65:AN66)</f>
        <v>0</v>
      </c>
      <c r="AO67" s="1044">
        <f t="shared" ca="1" si="161"/>
        <v>0</v>
      </c>
      <c r="AP67" s="1044">
        <f t="shared" ca="1" si="161"/>
        <v>0</v>
      </c>
      <c r="AQ67" s="1044">
        <f t="shared" ca="1" si="161"/>
        <v>0</v>
      </c>
      <c r="AR67" s="1044">
        <f t="shared" ca="1" si="161"/>
        <v>-2.2737367544323206E-13</v>
      </c>
      <c r="AS67" s="1044">
        <f t="shared" ca="1" si="161"/>
        <v>0</v>
      </c>
      <c r="AT67" s="1044">
        <f t="shared" ca="1" si="161"/>
        <v>-533.85548221406225</v>
      </c>
      <c r="AU67" s="1044">
        <f t="shared" ca="1" si="161"/>
        <v>-1466.5905800259968</v>
      </c>
      <c r="AV67" s="1044">
        <f t="shared" ca="1" si="161"/>
        <v>-158.80496962180251</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-2159.251031861862</v>
      </c>
      <c r="BI67" s="1045">
        <f ca="1">SUM(BI65:BI66)</f>
        <v>0</v>
      </c>
      <c r="BJ67" s="1045">
        <f ca="1">SUM(BJ65:BJ66)</f>
        <v>204.22958107488182</v>
      </c>
      <c r="BK67" s="1045">
        <f ca="1">SUM(BI67:BJ67)</f>
        <v>204.22958107488182</v>
      </c>
      <c r="BM67" s="1046">
        <f t="shared" ca="1" si="154"/>
        <v>-5.6843418860808015E-13</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-230.32332560745203</v>
      </c>
      <c r="V68" s="1080">
        <f t="shared" ca="1" si="164"/>
        <v>3238.2489822140624</v>
      </c>
      <c r="W68" s="1080">
        <f t="shared" ca="1" si="164"/>
        <v>1784.651663575698</v>
      </c>
      <c r="X68" s="1080">
        <f t="shared" ca="1" si="164"/>
        <v>528.69309749721958</v>
      </c>
      <c r="Y68" s="1080">
        <f t="shared" ca="1" si="164"/>
        <v>-2704.3935000000001</v>
      </c>
      <c r="Z68" s="1080">
        <f t="shared" ca="1" si="164"/>
        <v>-442.98669999999993</v>
      </c>
      <c r="AA68" s="1080">
        <f t="shared" ca="1" si="164"/>
        <v>-449.1920925</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1724.6981251795278</v>
      </c>
      <c r="AN68" s="1081">
        <f ca="1">AN$61+AN$67</f>
        <v>0</v>
      </c>
      <c r="AO68" s="1081">
        <f t="shared" ref="AO68:BF68" ca="1" si="165">AO$61+AO$67</f>
        <v>0</v>
      </c>
      <c r="AP68" s="1081">
        <f t="shared" ca="1" si="165"/>
        <v>0</v>
      </c>
      <c r="AQ68" s="1081">
        <f t="shared" ca="1" si="165"/>
        <v>0</v>
      </c>
      <c r="AR68" s="1081">
        <f t="shared" ca="1" si="165"/>
        <v>-4.0000000000002274</v>
      </c>
      <c r="AS68" s="1081">
        <f t="shared" ca="1" si="165"/>
        <v>0</v>
      </c>
      <c r="AT68" s="1081">
        <f t="shared" ca="1" si="165"/>
        <v>-533.85548221406225</v>
      </c>
      <c r="AU68" s="1081">
        <f t="shared" ca="1" si="165"/>
        <v>-1466.5905800259968</v>
      </c>
      <c r="AV68" s="1081">
        <f t="shared" ca="1" si="165"/>
        <v>-158.80496962180251</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-2163.251031861862</v>
      </c>
      <c r="BI68" s="1082">
        <f ca="1">BI$61+BI$67</f>
        <v>0</v>
      </c>
      <c r="BJ68" s="1082">
        <f ca="1">BJ$61+BJ$67</f>
        <v>438.5529066823342</v>
      </c>
      <c r="BK68" s="1082">
        <f ca="1">SUM(BI68:BJ68)</f>
        <v>438.5529066823342</v>
      </c>
      <c r="BM68" s="1083">
        <f t="shared" ca="1" si="154"/>
        <v>0</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169.69505456493178</v>
      </c>
      <c r="H71" s="1143">
        <f t="shared" ca="1" si="167"/>
        <v>69.837354022093393</v>
      </c>
      <c r="I71" s="1143">
        <f t="shared" ca="1" si="167"/>
        <v>2278.7991580746871</v>
      </c>
      <c r="J71" s="1143">
        <f t="shared" ca="1" si="167"/>
        <v>787.06155646625621</v>
      </c>
      <c r="K71" s="1143">
        <f t="shared" ca="1" si="167"/>
        <v>40.532439000000011</v>
      </c>
      <c r="L71" s="1143">
        <f t="shared" ca="1" si="167"/>
        <v>20.278462364171851</v>
      </c>
      <c r="M71" s="1143">
        <f t="shared" ca="1" si="167"/>
        <v>-1.8835814608099886E-2</v>
      </c>
      <c r="N71" s="1143">
        <f t="shared" ca="1" si="167"/>
        <v>237.20689383625</v>
      </c>
      <c r="O71" s="1143">
        <f t="shared" ca="1" si="167"/>
        <v>82.680180507719996</v>
      </c>
      <c r="P71" s="1143">
        <f t="shared" ca="1" si="167"/>
        <v>1153.7282449630281</v>
      </c>
      <c r="Q71" s="1143">
        <f t="shared" ca="1" si="167"/>
        <v>64.767224585824962</v>
      </c>
      <c r="R71" s="1143">
        <f ca="1">SUM(G71:Q71)</f>
        <v>4904.5677325703555</v>
      </c>
      <c r="T71" s="1144">
        <f t="shared" ref="T71:AK71" ca="1" si="168">T$23+T$52+T$68</f>
        <v>-798.39296177664801</v>
      </c>
      <c r="U71" s="1144">
        <f t="shared" ca="1" si="168"/>
        <v>798.39296177664801</v>
      </c>
      <c r="V71" s="1144">
        <f t="shared" ca="1" si="168"/>
        <v>0</v>
      </c>
      <c r="W71" s="1144">
        <f t="shared" ca="1" si="168"/>
        <v>0</v>
      </c>
      <c r="X71" s="1144">
        <f t="shared" ca="1" si="168"/>
        <v>0</v>
      </c>
      <c r="Y71" s="1144">
        <f t="shared" ca="1" si="168"/>
        <v>0</v>
      </c>
      <c r="Z71" s="1144">
        <f t="shared" ca="1" si="168"/>
        <v>0</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0</v>
      </c>
      <c r="AI71" s="1144">
        <f t="shared" ca="1" si="168"/>
        <v>0</v>
      </c>
      <c r="AJ71" s="1144">
        <f t="shared" ca="1" si="168"/>
        <v>0</v>
      </c>
      <c r="AK71" s="1144">
        <f t="shared" ca="1" si="168"/>
        <v>0</v>
      </c>
      <c r="AL71" s="1144">
        <f ca="1">SUM(T71:AK71)</f>
        <v>0</v>
      </c>
      <c r="AN71" s="1145">
        <f t="shared" ref="AN71:BF71" ca="1" si="169">AN$23+AN$52+AN$68</f>
        <v>-2704.3935000000001</v>
      </c>
      <c r="AO71" s="1145">
        <f t="shared" ca="1" si="169"/>
        <v>-442.98669999999993</v>
      </c>
      <c r="AP71" s="1145">
        <f t="shared" ca="1" si="169"/>
        <v>-449.1920925</v>
      </c>
      <c r="AQ71" s="1145">
        <f t="shared" ca="1" si="169"/>
        <v>0</v>
      </c>
      <c r="AR71" s="1145">
        <f t="shared" ca="1" si="169"/>
        <v>-4.0000000000002274</v>
      </c>
      <c r="AS71" s="1145">
        <f t="shared" ca="1" si="169"/>
        <v>0</v>
      </c>
      <c r="AT71" s="1145">
        <f t="shared" ca="1" si="169"/>
        <v>-533.85548221406225</v>
      </c>
      <c r="AU71" s="1145">
        <f t="shared" ca="1" si="169"/>
        <v>-1466.5905800259968</v>
      </c>
      <c r="AV71" s="1145">
        <f t="shared" ca="1" si="169"/>
        <v>-158.80496962180251</v>
      </c>
      <c r="AW71" s="1145">
        <f t="shared" ca="1" si="169"/>
        <v>-93.771154285714289</v>
      </c>
      <c r="AX71" s="1145">
        <f t="shared" ca="1" si="169"/>
        <v>-1.56727314</v>
      </c>
      <c r="AY71" s="1145">
        <f t="shared" ca="1" si="169"/>
        <v>-18.722249233199999</v>
      </c>
      <c r="AZ71" s="1145">
        <f t="shared" ca="1" si="169"/>
        <v>0</v>
      </c>
      <c r="BA71" s="1145">
        <f t="shared" ca="1" si="169"/>
        <v>0</v>
      </c>
      <c r="BB71" s="1145">
        <f t="shared" ca="1" si="169"/>
        <v>0</v>
      </c>
      <c r="BC71" s="1145">
        <f t="shared" ca="1" si="169"/>
        <v>-155.84385898800002</v>
      </c>
      <c r="BD71" s="1145">
        <f t="shared" ca="1" si="169"/>
        <v>0</v>
      </c>
      <c r="BE71" s="1145">
        <f t="shared" ca="1" si="169"/>
        <v>-0.13142242804166665</v>
      </c>
      <c r="BF71" s="1145">
        <f t="shared" ca="1" si="169"/>
        <v>-958.71557777777775</v>
      </c>
      <c r="BG71" s="1145">
        <f ca="1">SUM(AN71:BF71)</f>
        <v>-6988.574860214595</v>
      </c>
      <c r="BI71" s="1146">
        <f ca="1">BI$23+BI$52+BI$68</f>
        <v>1583.5121319367117</v>
      </c>
      <c r="BJ71" s="1146">
        <f ca="1">BJ$23+BJ$52+BJ$68</f>
        <v>500.4949957075288</v>
      </c>
      <c r="BK71" s="1146">
        <f ca="1">SUM(BI71:BJ71)</f>
        <v>2084.0071276442404</v>
      </c>
      <c r="BM71" s="1039">
        <f t="shared" ca="1" si="154"/>
        <v>0</v>
      </c>
      <c r="BN71" s="1039"/>
      <c r="BP71" s="1147">
        <f t="shared" ref="BP71:DG71" ca="1" si="170">BP$23+BP$52+BP$68</f>
        <v>1542.9858078670618</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0</v>
      </c>
      <c r="DE71" s="1147">
        <f t="shared" ca="1" si="170"/>
        <v>0</v>
      </c>
      <c r="DF71" s="1147">
        <f t="shared" ca="1" si="170"/>
        <v>0</v>
      </c>
      <c r="DG71" s="1147">
        <f t="shared" ca="1" si="170"/>
        <v>0</v>
      </c>
      <c r="DI71" s="1085">
        <f ca="1">SUM(BP71:DG71)</f>
        <v>1542.9858078670618</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786.58498080937272</v>
      </c>
    </row>
    <row r="75" spans="2:113">
      <c r="B75" s="2555"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798.39296177664801</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5">
        <f ca="1">DI74/DI75</f>
        <v>0.98521031430312311</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F20" activePane="bottomRight" state="frozen"/>
      <selection activeCell="Y9" sqref="Y9"/>
      <selection pane="topRight" activeCell="Y9" sqref="Y9"/>
      <selection pane="bottomLeft" activeCell="Y9" sqref="Y9"/>
      <selection pane="bottomRight" activeCell="G30" sqref="G30"/>
    </sheetView>
  </sheetViews>
  <sheetFormatPr defaultColWidth="8.85546875" defaultRowHeight="12.75" outlineLevelRow="1" outlineLevelCol="2"/>
  <cols>
    <col min="1" max="1" width="6.140625" style="2555" customWidth="1"/>
    <col min="2" max="2" width="1.42578125" style="2555" customWidth="1"/>
    <col min="3" max="3" width="4.42578125" style="621" customWidth="1"/>
    <col min="4" max="4" width="5.140625" style="730" customWidth="1"/>
    <col min="5" max="5" width="41.7109375" style="730" customWidth="1"/>
    <col min="6" max="6" width="1.140625" style="2555"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5"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5" customWidth="1" outlineLevel="1"/>
    <col min="40" max="58" width="10" style="730" customWidth="1" outlineLevel="2"/>
    <col min="59" max="59" width="10" style="730" customWidth="1" outlineLevel="1"/>
    <col min="60" max="60" width="1.140625" style="2555" customWidth="1" outlineLevel="1"/>
    <col min="61" max="62" width="10" style="730" customWidth="1" outlineLevel="2"/>
    <col min="63" max="63" width="10" style="730" customWidth="1" outlineLevel="1"/>
    <col min="64" max="64" width="1.140625" style="2555" customWidth="1" outlineLevel="1"/>
    <col min="65" max="65" width="11" style="730" customWidth="1" outlineLevel="1"/>
    <col min="66" max="66" width="5.28515625" style="730" customWidth="1"/>
    <col min="67" max="67" width="8.85546875" style="2555"/>
    <col min="68" max="111" width="7.42578125" style="2555" customWidth="1"/>
    <col min="112" max="112" width="2.42578125" style="2555" customWidth="1"/>
    <col min="113" max="16384" width="8.85546875" style="2555"/>
  </cols>
  <sheetData>
    <row r="1" spans="1:113" ht="9" customHeight="1"/>
    <row r="2" spans="1:113" ht="21" customHeight="1">
      <c r="D2" s="718"/>
      <c r="E2" s="986">
        <v>2017</v>
      </c>
      <c r="G2" s="2555"/>
      <c r="H2" s="2555"/>
      <c r="I2" s="2555"/>
      <c r="J2" s="2555"/>
      <c r="K2" s="2555"/>
      <c r="L2" s="2555"/>
      <c r="M2" s="2555"/>
      <c r="N2" s="2555"/>
      <c r="O2" s="2555"/>
      <c r="P2" s="2555"/>
      <c r="Q2" s="2555"/>
      <c r="R2" s="2555"/>
      <c r="T2" s="2555"/>
      <c r="U2" s="2555"/>
      <c r="V2" s="2555"/>
      <c r="W2" s="2555"/>
      <c r="X2" s="2555"/>
      <c r="Y2" s="2555"/>
      <c r="Z2" s="2555"/>
      <c r="AA2" s="2555"/>
      <c r="AB2" s="2555"/>
      <c r="AC2" s="2555"/>
      <c r="AD2" s="2555"/>
      <c r="AE2" s="2555"/>
      <c r="AF2" s="2555"/>
      <c r="AG2" s="2555"/>
      <c r="AH2" s="2555"/>
      <c r="AI2" s="2555"/>
      <c r="AJ2" s="2555"/>
      <c r="AK2" s="2555"/>
      <c r="AL2" s="2555"/>
      <c r="AN2" s="2555"/>
      <c r="AO2" s="2555"/>
      <c r="AP2" s="2555"/>
      <c r="AQ2" s="2555"/>
      <c r="AR2" s="2555"/>
      <c r="AS2" s="2555"/>
      <c r="AT2" s="2555"/>
      <c r="AU2" s="2555"/>
      <c r="AV2" s="2555"/>
      <c r="AW2" s="2555"/>
      <c r="AX2" s="2555"/>
      <c r="AY2" s="2555"/>
      <c r="AZ2" s="2555"/>
      <c r="BA2" s="2555"/>
      <c r="BB2" s="2555"/>
      <c r="BC2" s="2555"/>
      <c r="BD2" s="2555"/>
      <c r="BE2" s="2555"/>
      <c r="BF2" s="2555"/>
      <c r="BG2" s="2555"/>
      <c r="BI2" s="2555"/>
      <c r="BJ2" s="2555"/>
      <c r="BK2" s="2555"/>
      <c r="BM2" s="2555"/>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hidden="1"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300.04431466291476</v>
      </c>
      <c r="H10" s="1051">
        <f t="shared" ca="1" si="0"/>
        <v>0</v>
      </c>
      <c r="I10" s="1051">
        <f t="shared" ca="1" si="0"/>
        <v>0</v>
      </c>
      <c r="J10" s="1051">
        <f t="shared" ca="1" si="0"/>
        <v>0</v>
      </c>
      <c r="K10" s="1051">
        <f t="shared" ca="1" si="0"/>
        <v>0</v>
      </c>
      <c r="L10" s="1051">
        <f t="shared" ca="1" si="0"/>
        <v>0</v>
      </c>
      <c r="M10" s="1051">
        <f t="shared" ca="1" si="0"/>
        <v>5.9190808791918433E-13</v>
      </c>
      <c r="N10" s="1051">
        <f t="shared" ca="1" si="0"/>
        <v>0</v>
      </c>
      <c r="O10" s="1051">
        <f t="shared" ca="1" si="0"/>
        <v>0</v>
      </c>
      <c r="P10" s="1051">
        <f t="shared" ca="1" si="0"/>
        <v>0</v>
      </c>
      <c r="Q10" s="1051">
        <f t="shared" ca="1" si="0"/>
        <v>0</v>
      </c>
      <c r="R10" s="1051">
        <f ca="1">SUM(G10:Q10)</f>
        <v>300.04431466291533</v>
      </c>
      <c r="T10" s="1053">
        <f t="shared" ref="T10:BF11" ca="1" si="1">IFERROR(INDEX(INDIRECT($C10&amp;".Outputs["&amp;this.year&amp;"]"), MATCH(T$5, INDIRECT($C10&amp;".Outputs[Vector]"), 0)), 0)</f>
        <v>-294.19783287152961</v>
      </c>
      <c r="U10" s="1053">
        <f t="shared" ca="1" si="1"/>
        <v>0</v>
      </c>
      <c r="V10" s="1053">
        <f t="shared" ca="1" si="1"/>
        <v>0</v>
      </c>
      <c r="W10" s="1053">
        <f t="shared" ca="1" si="1"/>
        <v>-5.8464817913856937</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-300.04431466291533</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1.5593969490007227</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1.5593969490007227</v>
      </c>
    </row>
    <row r="11" spans="1:113" s="51" customFormat="1" ht="12.75" hidden="1" customHeight="1" outlineLevel="1">
      <c r="A11" s="1061"/>
      <c r="B11" s="1061"/>
      <c r="C11" s="1048" t="s">
        <v>301</v>
      </c>
      <c r="D11" s="1064" t="str">
        <f>INDEX(Modules[Module], MATCH($C11, Modules[Code], 0))</f>
        <v>Commercial Lighting &amp; Appliances</v>
      </c>
      <c r="E11" s="1064"/>
      <c r="G11" s="1065">
        <f t="shared" ca="1" si="0"/>
        <v>0</v>
      </c>
      <c r="H11" s="1065">
        <f t="shared" ca="1" si="0"/>
        <v>115.42859864757057</v>
      </c>
      <c r="I11" s="1065">
        <f t="shared" ca="1" si="0"/>
        <v>0</v>
      </c>
      <c r="J11" s="1065">
        <f t="shared" ca="1" si="0"/>
        <v>0</v>
      </c>
      <c r="K11" s="1065">
        <f t="shared" ca="1" si="0"/>
        <v>0</v>
      </c>
      <c r="L11" s="1065">
        <f t="shared" ca="1" si="0"/>
        <v>0</v>
      </c>
      <c r="M11" s="1065">
        <f t="shared" ca="1" si="0"/>
        <v>-3.3534846537045283E-2</v>
      </c>
      <c r="N11" s="1065">
        <f t="shared" ca="1" si="0"/>
        <v>0</v>
      </c>
      <c r="O11" s="1065">
        <f t="shared" ca="1" si="0"/>
        <v>0</v>
      </c>
      <c r="P11" s="1065">
        <f t="shared" ca="1" si="0"/>
        <v>0</v>
      </c>
      <c r="Q11" s="1065">
        <f t="shared" ca="1" si="0"/>
        <v>0</v>
      </c>
      <c r="R11" s="1065">
        <f ca="1">SUM(G11:Q11)</f>
        <v>115.39506380103352</v>
      </c>
      <c r="T11" s="1066">
        <f t="shared" ca="1" si="1"/>
        <v>-115.39506380103352</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-115.39506380103352</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ollapsed="1">
      <c r="A12" s="17"/>
      <c r="B12" s="53"/>
      <c r="C12" s="711" t="s">
        <v>196</v>
      </c>
      <c r="D12" s="710" t="str">
        <f>INDEX(Workstreams[Workstream], MATCH($C12, Workstreams[Code], 0))</f>
        <v>Lighting and appliances</v>
      </c>
      <c r="E12" s="41"/>
      <c r="G12" s="1071">
        <f ca="1">G10+G11</f>
        <v>300.04431466291476</v>
      </c>
      <c r="H12" s="1071">
        <f t="shared" ref="H12:Q12" ca="1" si="11">H10+H11</f>
        <v>115.42859864757057</v>
      </c>
      <c r="I12" s="1071">
        <f t="shared" ca="1" si="11"/>
        <v>0</v>
      </c>
      <c r="J12" s="1071">
        <f t="shared" ca="1" si="11"/>
        <v>0</v>
      </c>
      <c r="K12" s="1071">
        <f t="shared" ca="1" si="11"/>
        <v>0</v>
      </c>
      <c r="L12" s="1071">
        <f t="shared" ca="1" si="11"/>
        <v>0</v>
      </c>
      <c r="M12" s="1071">
        <f ca="1">M11+M10</f>
        <v>-3.3534846536453375E-2</v>
      </c>
      <c r="N12" s="1071">
        <f t="shared" ca="1" si="11"/>
        <v>0</v>
      </c>
      <c r="O12" s="1071">
        <f t="shared" ca="1" si="11"/>
        <v>0</v>
      </c>
      <c r="P12" s="1071">
        <f t="shared" ca="1" si="11"/>
        <v>0</v>
      </c>
      <c r="Q12" s="1071">
        <f t="shared" ca="1" si="11"/>
        <v>0</v>
      </c>
      <c r="R12" s="1071">
        <f ca="1">SUM(G12:Q12)</f>
        <v>415.43937846394886</v>
      </c>
      <c r="T12" s="1043">
        <f ca="1">T10+T11</f>
        <v>-409.59289667256314</v>
      </c>
      <c r="U12" s="1043">
        <f t="shared" ref="U12:AK12" ca="1" si="12">U10+U11</f>
        <v>0</v>
      </c>
      <c r="V12" s="1043">
        <f t="shared" ca="1" si="12"/>
        <v>0</v>
      </c>
      <c r="W12" s="1043">
        <f t="shared" ca="1" si="12"/>
        <v>-5.8464817913856937</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-415.43937846394886</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0</v>
      </c>
      <c r="BN12" s="1046"/>
      <c r="BO12" s="97"/>
      <c r="BP12" s="1058">
        <f t="shared" ref="BP12:DG12" ca="1" si="14">BP10+BP11</f>
        <v>1.5593969490007227</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1.5593969490007227</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3188.0989682873605</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3188.0989682873605</v>
      </c>
      <c r="T13" s="1066">
        <f t="shared" ref="T13:BF13" ca="1" si="16">IFERROR(INDEX(INDIRECT($C13&amp;".Outputs["&amp;this.year&amp;"]"), MATCH(T$5, INDIRECT($C13&amp;".Outputs[Vector]"), 0)), 0)</f>
        <v>-503.11770614913962</v>
      </c>
      <c r="U13" s="1066">
        <f t="shared" ca="1" si="16"/>
        <v>0</v>
      </c>
      <c r="V13" s="1066">
        <f t="shared" ca="1" si="16"/>
        <v>-1364.656615512903</v>
      </c>
      <c r="W13" s="1066">
        <f t="shared" ca="1" si="16"/>
        <v>-760.59154710694088</v>
      </c>
      <c r="X13" s="1066">
        <f t="shared" ca="1" si="16"/>
        <v>-559.73309951837678</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-3188.0989682873605</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0</v>
      </c>
      <c r="BN13" s="1063"/>
      <c r="BO13" s="97"/>
      <c r="BP13" s="1069">
        <f t="shared" ref="BP13:DG13" ca="1" si="18">IFERROR(SUMIFS(INDIRECT($C13&amp;".Emissions["&amp;this.year&amp;"]"), INDIRECT($C13&amp;".Emissions[GHG]"), BP$6, INDIRECT($C13&amp;".Emissions[IPCC Sector]"), BP$5),0)</f>
        <v>672.74684937462484</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672.74684937462484</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3188.0989682873605</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3188.0989682873605</v>
      </c>
      <c r="T14" s="1043">
        <f t="shared" ref="T14:AK14" ca="1" si="20">T13</f>
        <v>-503.11770614913962</v>
      </c>
      <c r="U14" s="1043">
        <f t="shared" ca="1" si="20"/>
        <v>0</v>
      </c>
      <c r="V14" s="1043">
        <f t="shared" ca="1" si="20"/>
        <v>-1364.656615512903</v>
      </c>
      <c r="W14" s="1043">
        <f t="shared" ca="1" si="20"/>
        <v>-760.59154710694088</v>
      </c>
      <c r="X14" s="1043">
        <f t="shared" ca="1" si="20"/>
        <v>-559.73309951837678</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-3188.0989682873605</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0</v>
      </c>
      <c r="BN14" s="1046"/>
      <c r="BO14" s="97"/>
      <c r="BP14" s="1058">
        <f t="shared" ref="BP14:DG14" ca="1" si="22">BP13</f>
        <v>672.74684937462484</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672.74684937462484</v>
      </c>
    </row>
    <row r="15" spans="1:113" s="51" customFormat="1" ht="12.75" hidden="1"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696.76265793822677</v>
      </c>
      <c r="K15" s="1051">
        <f t="shared" ca="1" si="23"/>
        <v>25.362240117776736</v>
      </c>
      <c r="L15" s="1051">
        <f t="shared" ca="1" si="23"/>
        <v>34.564360976704798</v>
      </c>
      <c r="M15" s="1051">
        <f t="shared" ca="1" si="23"/>
        <v>0</v>
      </c>
      <c r="N15" s="1051">
        <f t="shared" ca="1" si="23"/>
        <v>0</v>
      </c>
      <c r="O15" s="1051">
        <f t="shared" ca="1" si="23"/>
        <v>0</v>
      </c>
      <c r="P15" s="1051">
        <f t="shared" ca="1" si="23"/>
        <v>0</v>
      </c>
      <c r="Q15" s="1051">
        <f t="shared" ca="1" si="23"/>
        <v>0</v>
      </c>
      <c r="R15" s="1071">
        <f t="shared" ref="R15:R23" ca="1" si="24">SUM(G15:Q15)</f>
        <v>756.68925903270838</v>
      </c>
      <c r="T15" s="1053">
        <f t="shared" ref="T15:BF16" ca="1" si="25">IFERROR(INDEX(INDIRECT($C15&amp;".Outputs["&amp;this.year&amp;"]"), MATCH(T$5, INDIRECT($C15&amp;".Outputs[Vector]"), 0)), 0)</f>
        <v>-9.9812057374247392</v>
      </c>
      <c r="U15" s="1053">
        <f t="shared" ca="1" si="25"/>
        <v>0</v>
      </c>
      <c r="V15" s="1053">
        <f t="shared" ca="1" si="25"/>
        <v>0</v>
      </c>
      <c r="W15" s="1053">
        <f t="shared" ca="1" si="25"/>
        <v>-728.28416880173108</v>
      </c>
      <c r="X15" s="1053">
        <f t="shared" ca="1" si="25"/>
        <v>-18.423884493552833</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-756.68925903270861</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-2.2737367544323206E-13</v>
      </c>
      <c r="BN15" s="1063"/>
      <c r="BO15" s="97"/>
      <c r="BP15" s="1057">
        <f t="shared" ref="BP15:BY16" ca="1" si="30">IFERROR(SUMIFS(INDIRECT($C15&amp;".Emissions["&amp;this.year&amp;"]"), INDIRECT($C15&amp;".Emissions[GHG]"), BP$6, INDIRECT($C15&amp;".Emissions[IPCC Sector]"), BP$5),0)</f>
        <v>197.91624246101867</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197.91624246101867</v>
      </c>
    </row>
    <row r="16" spans="1:113" s="51" customFormat="1" ht="12.75" hidden="1"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486.7376926536183</v>
      </c>
      <c r="K16" s="1051">
        <f t="shared" ca="1" si="23"/>
        <v>26.527400397159077</v>
      </c>
      <c r="L16" s="1051">
        <f t="shared" ca="1" si="23"/>
        <v>1.5600362938913694</v>
      </c>
      <c r="M16" s="1051">
        <f t="shared" ca="1" si="23"/>
        <v>0</v>
      </c>
      <c r="N16" s="1051">
        <f t="shared" ca="1" si="23"/>
        <v>0</v>
      </c>
      <c r="O16" s="1051">
        <f t="shared" ca="1" si="23"/>
        <v>0</v>
      </c>
      <c r="P16" s="1051">
        <f t="shared" ca="1" si="23"/>
        <v>0</v>
      </c>
      <c r="Q16" s="1051">
        <f t="shared" ca="1" si="23"/>
        <v>0</v>
      </c>
      <c r="R16" s="1071">
        <f t="shared" ca="1" si="24"/>
        <v>514.82512934466877</v>
      </c>
      <c r="T16" s="1053">
        <f t="shared" ca="1" si="25"/>
        <v>-9.4068797025169406</v>
      </c>
      <c r="U16" s="1053">
        <f t="shared" ca="1" si="25"/>
        <v>0</v>
      </c>
      <c r="V16" s="1053">
        <f t="shared" ca="1" si="25"/>
        <v>0</v>
      </c>
      <c r="W16" s="1053">
        <f t="shared" ca="1" si="25"/>
        <v>-505.41824964215181</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-514.82512934466877</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0</v>
      </c>
      <c r="BN16" s="1063"/>
      <c r="BO16" s="97"/>
      <c r="BP16" s="1057">
        <f t="shared" ca="1" si="30"/>
        <v>134.80717200257564</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134.80717200257564</v>
      </c>
    </row>
    <row r="17" spans="1:113" s="51" customFormat="1" ht="15.75" collapsed="1">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1183.5003505918451</v>
      </c>
      <c r="K17" s="1071">
        <f t="shared" ca="1" si="34"/>
        <v>51.889640514935813</v>
      </c>
      <c r="L17" s="1071">
        <f t="shared" ca="1" si="34"/>
        <v>36.12439727059617</v>
      </c>
      <c r="M17" s="1071">
        <f t="shared" ca="1" si="34"/>
        <v>0</v>
      </c>
      <c r="N17" s="1071">
        <f t="shared" ca="1" si="34"/>
        <v>0</v>
      </c>
      <c r="O17" s="1071">
        <f t="shared" ca="1" si="34"/>
        <v>0</v>
      </c>
      <c r="P17" s="1071">
        <f t="shared" ca="1" si="34"/>
        <v>0</v>
      </c>
      <c r="Q17" s="1071">
        <f t="shared" ca="1" si="34"/>
        <v>0</v>
      </c>
      <c r="R17" s="1071">
        <f t="shared" ca="1" si="24"/>
        <v>1271.5143883773769</v>
      </c>
      <c r="T17" s="1043">
        <f ca="1">T15+T16</f>
        <v>-19.38808543994168</v>
      </c>
      <c r="U17" s="1043">
        <f t="shared" ref="U17:AK17" ca="1" si="35">U15+U16</f>
        <v>0</v>
      </c>
      <c r="V17" s="1043">
        <f t="shared" ca="1" si="35"/>
        <v>0</v>
      </c>
      <c r="W17" s="1043">
        <f t="shared" ca="1" si="35"/>
        <v>-1233.7024184438828</v>
      </c>
      <c r="X17" s="1043">
        <f t="shared" ca="1" si="35"/>
        <v>-18.423884493552833</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-1271.5143883773774</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-4.5474735088646412E-13</v>
      </c>
      <c r="BN17" s="1046"/>
      <c r="BO17" s="97"/>
      <c r="BP17" s="1058">
        <f ca="1">BP15+BP16</f>
        <v>332.72341446359428</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332.72341446359428</v>
      </c>
    </row>
    <row r="18" spans="1:113" s="51" customFormat="1" ht="12.75" hidden="1"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1148.4989388784084</v>
      </c>
      <c r="Q18" s="1065">
        <f t="shared" ca="1" si="38"/>
        <v>0</v>
      </c>
      <c r="R18" s="1071">
        <f t="shared" ca="1" si="24"/>
        <v>1148.4989388784084</v>
      </c>
      <c r="T18" s="1066">
        <f t="shared" ref="T18:BF19" ca="1" si="39">IFERROR(INDEX(INDIRECT($C18&amp;".Outputs["&amp;this.year&amp;"]"), MATCH(T$5, INDIRECT($C18&amp;".Outputs[Vector]"), 0)), 0)</f>
        <v>-1.9119107308416539</v>
      </c>
      <c r="U18" s="1066">
        <f t="shared" ca="1" si="39"/>
        <v>0</v>
      </c>
      <c r="V18" s="1066">
        <f t="shared" ca="1" si="39"/>
        <v>-1001.9366743603108</v>
      </c>
      <c r="W18" s="1066">
        <f t="shared" ca="1" si="39"/>
        <v>-121.91718607358239</v>
      </c>
      <c r="X18" s="1066">
        <f t="shared" ca="1" si="39"/>
        <v>-22.733167713673659</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-1148.4989388784086</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-2.2737367544323206E-13</v>
      </c>
      <c r="BN18" s="1046"/>
      <c r="BO18" s="17"/>
      <c r="BP18" s="1058"/>
      <c r="BQ18" s="1058"/>
      <c r="BR18" s="1058"/>
      <c r="BS18" s="1058"/>
      <c r="BT18" s="1058"/>
      <c r="BU18" s="1058"/>
      <c r="BV18" s="1058"/>
      <c r="BW18" s="1058"/>
      <c r="BX18" s="1058"/>
      <c r="BY18" s="1058"/>
      <c r="BZ18" s="1058"/>
      <c r="CA18" s="1058"/>
      <c r="CB18" s="1058"/>
      <c r="CC18" s="1058"/>
      <c r="CD18" s="1058"/>
      <c r="CE18" s="1058"/>
      <c r="CF18" s="1058"/>
      <c r="CG18" s="1058"/>
      <c r="CH18" s="1058"/>
      <c r="CI18" s="1058"/>
      <c r="CJ18" s="1058"/>
      <c r="CK18" s="1058"/>
      <c r="CL18" s="1058"/>
      <c r="CM18" s="1058"/>
      <c r="CN18" s="1058"/>
      <c r="CO18" s="1058"/>
      <c r="CP18" s="1058"/>
      <c r="CQ18" s="1058"/>
      <c r="CR18" s="1058"/>
      <c r="CS18" s="1058"/>
      <c r="CT18" s="1058"/>
      <c r="CU18" s="1058"/>
      <c r="CV18" s="1058"/>
      <c r="CW18" s="1058"/>
      <c r="CX18" s="1058"/>
      <c r="CY18" s="1058"/>
      <c r="CZ18" s="1058"/>
      <c r="DA18" s="1058"/>
      <c r="DB18" s="1058"/>
      <c r="DC18" s="1058"/>
      <c r="DD18" s="1058"/>
      <c r="DE18" s="1058"/>
      <c r="DF18" s="1058"/>
      <c r="DG18" s="1058"/>
      <c r="DI18" s="1059">
        <f t="shared" si="10"/>
        <v>0</v>
      </c>
    </row>
    <row r="19" spans="1:113" s="51" customFormat="1" ht="12.75" hidden="1"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96.64390987736526</v>
      </c>
      <c r="R19" s="1071">
        <f t="shared" ca="1" si="24"/>
        <v>96.64390987736526</v>
      </c>
      <c r="T19" s="1066">
        <f t="shared" ca="1" si="39"/>
        <v>0</v>
      </c>
      <c r="U19" s="1066">
        <f t="shared" ca="1" si="39"/>
        <v>0</v>
      </c>
      <c r="V19" s="1066">
        <f t="shared" ca="1" si="39"/>
        <v>0</v>
      </c>
      <c r="W19" s="1066">
        <f t="shared" ca="1" si="39"/>
        <v>-73.955471763487466</v>
      </c>
      <c r="X19" s="1066">
        <f t="shared" ca="1" si="39"/>
        <v>-22.688438113877794</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-96.64390987736526</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0</v>
      </c>
      <c r="BN19" s="1063"/>
      <c r="BO19" s="97"/>
      <c r="BP19" s="1069">
        <f t="shared" ref="BP19:DG19" ca="1" si="42">IFERROR(SUMIFS(INDIRECT($C19&amp;".Emissions["&amp;this.year&amp;"]"), INDIRECT($C19&amp;".Emissions[GHG]"), BP$6, INDIRECT($C19&amp;".Emissions[IPCC Sector]"), BP$5),0)</f>
        <v>24.239503543901211</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24.239503543901211</v>
      </c>
    </row>
    <row r="20" spans="1:113" s="51" customFormat="1" ht="15.75" collapsed="1">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1148.4989388784084</v>
      </c>
      <c r="Q20" s="1071">
        <f t="shared" ca="1" si="43"/>
        <v>96.64390987736526</v>
      </c>
      <c r="R20" s="1071">
        <f t="shared" ca="1" si="24"/>
        <v>1245.1428487557737</v>
      </c>
      <c r="T20" s="1043">
        <f ca="1">T19+T18</f>
        <v>-1.9119107308416539</v>
      </c>
      <c r="U20" s="1043">
        <f t="shared" ref="U20:AK20" ca="1" si="44">U19+U18</f>
        <v>0</v>
      </c>
      <c r="V20" s="1043">
        <f t="shared" ca="1" si="44"/>
        <v>-1001.9366743603108</v>
      </c>
      <c r="W20" s="1043">
        <f t="shared" ca="1" si="44"/>
        <v>-195.87265783706985</v>
      </c>
      <c r="X20" s="1043">
        <f t="shared" ca="1" si="44"/>
        <v>-45.421605827551453</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-1245.1428487557739</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-2.2737367544323206E-13</v>
      </c>
      <c r="BN20" s="1046"/>
      <c r="BO20" s="97"/>
      <c r="BP20" s="1058">
        <f t="shared" ref="BP20:DG20" ca="1" si="46">BP19</f>
        <v>24.239503543901211</v>
      </c>
      <c r="BQ20" s="1058">
        <f t="shared" ca="1" si="46"/>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24.239503543901211</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328.28524058963927</v>
      </c>
      <c r="O21" s="1065">
        <f t="shared" ca="1" si="47"/>
        <v>0</v>
      </c>
      <c r="P21" s="1065">
        <f t="shared" ca="1" si="47"/>
        <v>0</v>
      </c>
      <c r="Q21" s="1065">
        <f t="shared" ca="1" si="47"/>
        <v>0</v>
      </c>
      <c r="R21" s="1071">
        <f t="shared" ca="1" si="24"/>
        <v>328.28524058963927</v>
      </c>
      <c r="T21" s="1066">
        <f t="shared" ref="T21:BF22" ca="1" si="48">IFERROR(INDEX(INDIRECT($C21&amp;".Outputs["&amp;this.year&amp;"]"), MATCH(T$5, INDIRECT($C21&amp;".Outputs[Vector]"), 0)), 0)</f>
        <v>-188.77501314929791</v>
      </c>
      <c r="U21" s="1066">
        <f t="shared" ca="1" si="48"/>
        <v>0</v>
      </c>
      <c r="V21" s="1066">
        <f t="shared" ca="1" si="48"/>
        <v>0</v>
      </c>
      <c r="W21" s="1066">
        <f t="shared" ca="1" si="48"/>
        <v>-139.51022744034137</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-328.28524058963927</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37.21072446431117</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37.21072446431117</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99.664904892716379</v>
      </c>
      <c r="P22" s="1065">
        <f t="shared" ca="1" si="47"/>
        <v>0</v>
      </c>
      <c r="Q22" s="1065">
        <f t="shared" ca="1" si="47"/>
        <v>0</v>
      </c>
      <c r="R22" s="1071">
        <f t="shared" ca="1" si="24"/>
        <v>99.664904892716379</v>
      </c>
      <c r="T22" s="1066">
        <f t="shared" ca="1" si="48"/>
        <v>-20.064265232180411</v>
      </c>
      <c r="U22" s="1066">
        <f t="shared" ca="1" si="48"/>
        <v>0</v>
      </c>
      <c r="V22" s="1066">
        <f t="shared" ca="1" si="48"/>
        <v>0</v>
      </c>
      <c r="W22" s="1066">
        <f t="shared" ca="1" si="48"/>
        <v>-79.398613265784363</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-0.20202639475160969</v>
      </c>
      <c r="AK22" s="1066">
        <f t="shared" ca="1" si="48"/>
        <v>0</v>
      </c>
      <c r="AL22" s="1043">
        <f t="shared" ca="1" si="3"/>
        <v>-99.664904892716379</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21.177514905456842</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21.177514905456842</v>
      </c>
    </row>
    <row r="23" spans="1:113" s="51" customFormat="1" ht="15.75">
      <c r="B23" s="53"/>
      <c r="C23" s="1076" t="s">
        <v>1107</v>
      </c>
      <c r="D23" s="1077" t="s">
        <v>1108</v>
      </c>
      <c r="E23" s="1078"/>
      <c r="G23" s="1079">
        <f ca="1">G$9+G$12+G$14+G$17+G$20+G$21+G$22</f>
        <v>300.04431466291476</v>
      </c>
      <c r="H23" s="1079">
        <f t="shared" ref="H23:Q23" ca="1" si="52">H$9+H$12+H$14+H$17+H$20+H$21+H$22</f>
        <v>115.42859864757057</v>
      </c>
      <c r="I23" s="1079">
        <f t="shared" ca="1" si="52"/>
        <v>3188.0989682873605</v>
      </c>
      <c r="J23" s="1079">
        <f t="shared" ca="1" si="52"/>
        <v>1183.5003505918451</v>
      </c>
      <c r="K23" s="1079">
        <f t="shared" ca="1" si="52"/>
        <v>51.889640514935813</v>
      </c>
      <c r="L23" s="1079">
        <f t="shared" ca="1" si="52"/>
        <v>36.12439727059617</v>
      </c>
      <c r="M23" s="1079">
        <f ca="1">M$12+M$14+M$17+M$20+M$21+M$22</f>
        <v>-3.3534846536453375E-2</v>
      </c>
      <c r="N23" s="1079">
        <f t="shared" ca="1" si="52"/>
        <v>328.28524058963927</v>
      </c>
      <c r="O23" s="1079">
        <f t="shared" ca="1" si="52"/>
        <v>99.664904892716379</v>
      </c>
      <c r="P23" s="1079">
        <f t="shared" ca="1" si="52"/>
        <v>1148.4989388784084</v>
      </c>
      <c r="Q23" s="1079">
        <f t="shared" ca="1" si="52"/>
        <v>96.64390987736526</v>
      </c>
      <c r="R23" s="2400">
        <f t="shared" ca="1" si="24"/>
        <v>6548.1457293668163</v>
      </c>
      <c r="T23" s="1080">
        <f ca="1">T$9+T$12+T$14+T$17+T$20+T$21+T$22</f>
        <v>-1142.8498773739643</v>
      </c>
      <c r="U23" s="1080">
        <f t="shared" ref="U23:AK23" ca="1" si="53">U$9+U$12+U$14+U$17+U$20+U$21+U$22</f>
        <v>0</v>
      </c>
      <c r="V23" s="1080">
        <f t="shared" ca="1" si="53"/>
        <v>-2366.593289873214</v>
      </c>
      <c r="W23" s="1080">
        <f t="shared" ca="1" si="53"/>
        <v>-2414.9219458854045</v>
      </c>
      <c r="X23" s="1080">
        <f t="shared" ca="1" si="53"/>
        <v>-623.57858983948108</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-0.20202639475160969</v>
      </c>
      <c r="AK23" s="1080">
        <f t="shared" ca="1" si="53"/>
        <v>0</v>
      </c>
      <c r="AL23" s="1080">
        <f t="shared" ca="1" si="3"/>
        <v>-6548.1457293668145</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1.8189894035458565E-12</v>
      </c>
      <c r="BN23" s="1083"/>
      <c r="BP23" s="1084">
        <f t="shared" ref="BP23:DG23" ca="1" si="55">BP$9+BP$12+BP$14+BP$17+BP$20+BP$21</f>
        <v>1068.4798887954323</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1068.4798887954323</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11.119143750000001</v>
      </c>
      <c r="V26" s="1073">
        <f t="shared" ca="1" si="59"/>
        <v>-44.476575000000004</v>
      </c>
      <c r="W26" s="1073">
        <f t="shared" ca="1" si="59"/>
        <v>0</v>
      </c>
      <c r="X26" s="1073">
        <f t="shared" ca="1" si="59"/>
        <v>11.346016666666671</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-11.346016666666671</v>
      </c>
      <c r="AI26" s="1073">
        <f t="shared" ca="1" si="59"/>
        <v>0</v>
      </c>
      <c r="AJ26" s="1073">
        <f t="shared" ca="1" si="59"/>
        <v>0</v>
      </c>
      <c r="AK26" s="1073">
        <f t="shared" ca="1" si="59"/>
        <v>0</v>
      </c>
      <c r="AL26" s="1066">
        <f t="shared" ref="AL26:AL34" ca="1" si="60">SUM(T26:AK26)</f>
        <v>-33.357431250000005</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33.357431250000005</v>
      </c>
      <c r="BJ26" s="1075">
        <f t="shared" ca="1" si="63"/>
        <v>0</v>
      </c>
      <c r="BK26" s="1045">
        <f t="shared" ca="1" si="56"/>
        <v>33.357431250000005</v>
      </c>
      <c r="BM26" s="1046">
        <f t="shared" ca="1" si="5"/>
        <v>0</v>
      </c>
      <c r="BN26" s="1046"/>
      <c r="BO26" s="17"/>
      <c r="BP26" s="1069">
        <f t="shared" ref="BP26:DG30" ca="1" si="64">IFERROR(SUMIFS(INDIRECT($C26&amp;".Emissions["&amp;this.year&amp;"]"), INDIRECT($C26&amp;".Emissions[GHG]"), BP$6, INDIRECT($C26&amp;".Emissions[IPCC Sector]"), BP$5),0)</f>
        <v>15.437675709677421</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-2.2572601578947378</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13.180415551782684</v>
      </c>
    </row>
    <row r="27" spans="1:113" s="1087" customFormat="1" ht="15"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3.0140876139388606</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-0.21232334500000016</v>
      </c>
      <c r="AG27" s="1073">
        <f t="shared" ca="1" si="59"/>
        <v>-2.8017642689388604</v>
      </c>
      <c r="AH27" s="1073">
        <f t="shared" ca="1" si="59"/>
        <v>0</v>
      </c>
      <c r="AI27" s="1073">
        <f t="shared" ca="1" si="59"/>
        <v>0</v>
      </c>
      <c r="AJ27" s="1073">
        <f t="shared" ca="1" si="59"/>
        <v>0</v>
      </c>
      <c r="AK27" s="1073">
        <f t="shared" ca="1" si="59"/>
        <v>0</v>
      </c>
      <c r="AL27" s="1066">
        <f t="shared" ca="1" si="60"/>
        <v>0</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0</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-0.80392947364044232</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-0.80392947364044232</v>
      </c>
    </row>
    <row r="28" spans="1:113" s="51" customFormat="1" ht="12"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0</v>
      </c>
      <c r="AI28" s="1073">
        <f t="shared" ca="1" si="59"/>
        <v>0</v>
      </c>
      <c r="AJ28" s="1073">
        <f t="shared" ca="1" si="59"/>
        <v>0</v>
      </c>
      <c r="AK28" s="1073">
        <f t="shared" ca="1" si="59"/>
        <v>0</v>
      </c>
      <c r="AL28" s="1066">
        <f t="shared" ca="1" si="60"/>
        <v>0</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0</v>
      </c>
      <c r="BG28" s="1067">
        <f t="shared" ca="1" si="62"/>
        <v>0</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0.21232334500000016</v>
      </c>
      <c r="AG29" s="1073">
        <f t="shared" ca="1" si="59"/>
        <v>950.30667891656753</v>
      </c>
      <c r="AH29" s="1073">
        <f t="shared" ca="1" si="59"/>
        <v>11.346016666666671</v>
      </c>
      <c r="AI29" s="1073">
        <f t="shared" ca="1" si="59"/>
        <v>0</v>
      </c>
      <c r="AJ29" s="1073">
        <f t="shared" ca="1" si="59"/>
        <v>0</v>
      </c>
      <c r="AK29" s="1073">
        <f t="shared" ca="1" si="59"/>
        <v>0</v>
      </c>
      <c r="AL29" s="1066">
        <f t="shared" ca="1" si="60"/>
        <v>961.86501892823412</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-0.21232334500000016</v>
      </c>
      <c r="BF29" s="1074">
        <f t="shared" ca="1" si="66"/>
        <v>-961.65269558323416</v>
      </c>
      <c r="BG29" s="1067">
        <f t="shared" ca="1" si="62"/>
        <v>-961.86501892823412</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-15.437675709677421</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-15.437675709677421</v>
      </c>
    </row>
    <row r="30" spans="1:113" s="51" customFormat="1" ht="12"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947.50491464762865</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-947.50491464762865</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-313.43822369704787</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-313.43822369704787</v>
      </c>
    </row>
    <row r="31" spans="1:113" s="51" customFormat="1" ht="12" customHeight="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11.119143750000001</v>
      </c>
      <c r="V31" s="1073">
        <f t="shared" ca="1" si="68"/>
        <v>903.02833964762863</v>
      </c>
      <c r="W31" s="1073">
        <f t="shared" ca="1" si="68"/>
        <v>3.0140876139388606</v>
      </c>
      <c r="X31" s="1073">
        <f t="shared" ca="1" si="68"/>
        <v>11.346016666666671</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0</v>
      </c>
      <c r="AI31" s="1073">
        <f t="shared" ca="1" si="68"/>
        <v>0</v>
      </c>
      <c r="AJ31" s="1073">
        <f t="shared" ca="1" si="68"/>
        <v>0</v>
      </c>
      <c r="AK31" s="1073">
        <f t="shared" ca="1" si="68"/>
        <v>0</v>
      </c>
      <c r="AL31" s="1066">
        <f t="shared" ca="1" si="60"/>
        <v>928.50758767823413</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-0.21232334500000016</v>
      </c>
      <c r="BF31" s="1074">
        <f t="shared" ca="1" si="69"/>
        <v>-961.65269558323416</v>
      </c>
      <c r="BG31" s="1067">
        <f t="shared" ca="1" si="62"/>
        <v>-961.86501892823412</v>
      </c>
      <c r="BI31" s="1075">
        <f ca="1">BI28+BI27+BI26+BI29+BI30</f>
        <v>33.357431250000005</v>
      </c>
      <c r="BJ31" s="1075">
        <f ca="1">BJ28+BJ27+BJ26+BJ29+BJ30</f>
        <v>0</v>
      </c>
      <c r="BK31" s="1045">
        <f t="shared" ca="1" si="56"/>
        <v>33.357431250000005</v>
      </c>
      <c r="BM31" s="1096">
        <f t="shared" ca="1" si="5"/>
        <v>0</v>
      </c>
      <c r="BN31" s="1046"/>
      <c r="BO31" s="97"/>
      <c r="BP31" s="1069">
        <f ca="1">BP28+BP27+BP26+BP29+BP30</f>
        <v>15.437675709677421</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-331.93708903826047</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-316.49941332858305</v>
      </c>
    </row>
    <row r="32" spans="1:113" s="51" customFormat="1" ht="14.25" hidden="1"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ollapsed="1">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hidden="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507.09261100499998</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507.09261100499998</v>
      </c>
      <c r="AN34" s="1054">
        <f t="shared" ref="AN34:BC36" ca="1" si="86">IFERROR(INDEX(INDIRECT($C34&amp;".Outputs["&amp;this.year&amp;"]"), MATCH(AN$5, INDIRECT($C34&amp;".Outputs[Vector]"), 0)), 0)</f>
        <v>0</v>
      </c>
      <c r="AO34" s="1054">
        <f t="shared" ca="1" si="86"/>
        <v>0</v>
      </c>
      <c r="AP34" s="1054">
        <f t="shared" ca="1" si="86"/>
        <v>-507.09261100499998</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-507.09261100499998</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hidden="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3143.1914134327285</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3143.1914134327285</v>
      </c>
      <c r="AN35" s="1054">
        <f t="shared" ca="1" si="86"/>
        <v>-3143.1914134327285</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-3143.1914134327285</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hidden="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480.4207945988</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480.4207945988</v>
      </c>
      <c r="AN36" s="1054">
        <f t="shared" ca="1" si="86"/>
        <v>0</v>
      </c>
      <c r="AO36" s="1054">
        <f t="shared" ca="1" si="86"/>
        <v>-480.4207945988</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-480.4207945988</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ollapsed="1">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3143.1914134327285</v>
      </c>
      <c r="Z37" s="1043">
        <f ca="1">SUM(Z34:Z36)</f>
        <v>480.4207945988</v>
      </c>
      <c r="AA37" s="1043">
        <f ca="1">SUM(AA34:AA36)</f>
        <v>507.09261100499998</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4130.7048190365285</v>
      </c>
      <c r="AN37" s="1044">
        <f t="shared" ref="AN37:BF37" ca="1" si="95">SUM(AN34:AN36)</f>
        <v>-3143.1914134327285</v>
      </c>
      <c r="AO37" s="1044">
        <f t="shared" ca="1" si="95"/>
        <v>-480.4207945988</v>
      </c>
      <c r="AP37" s="1044">
        <f t="shared" ca="1" si="95"/>
        <v>-507.09261100499998</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-4130.7048190365285</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171.81360000000004</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171.81360000000004</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-171.81360000000004</v>
      </c>
      <c r="BD38" s="1108">
        <f t="shared" ca="1" si="99"/>
        <v>0</v>
      </c>
      <c r="BE38" s="1108">
        <f t="shared" ca="1" si="99"/>
        <v>0</v>
      </c>
      <c r="BF38" s="1108">
        <f t="shared" ca="1" si="99"/>
        <v>0</v>
      </c>
      <c r="BG38" s="1062">
        <f t="shared" ca="1" si="96"/>
        <v>-171.81360000000004</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8.2727459460000006</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0.20202639475160969</v>
      </c>
      <c r="AK39" s="1106">
        <f t="shared" ca="1" si="99"/>
        <v>0</v>
      </c>
      <c r="AL39" s="1107">
        <f t="shared" ca="1" si="92"/>
        <v>8.4747723407516098</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-8.4747723407516098</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-8.4747723407516098</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2.5246079999999997</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2.5246079999999997</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-2.5246079999999997</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-2.5246079999999997</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36.604889233199998</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36.604889233199998</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-36.604889233199998</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-36.604889233199998</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0</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0</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0</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0</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17.604038988000003</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17.604038988000003</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-17.604038988000003</v>
      </c>
      <c r="BD43" s="1108">
        <f t="shared" ca="1" si="99"/>
        <v>0</v>
      </c>
      <c r="BE43" s="1108">
        <f t="shared" ca="1" si="99"/>
        <v>0</v>
      </c>
      <c r="BF43" s="1108">
        <f t="shared" ca="1" si="99"/>
        <v>0</v>
      </c>
      <c r="BG43" s="1044">
        <f t="shared" ca="1" si="96"/>
        <v>-17.604038988000003</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65.006282167199998</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0.20202639475160969</v>
      </c>
      <c r="AK44" s="1043">
        <f t="shared" ca="1" si="110"/>
        <v>0</v>
      </c>
      <c r="AL44" s="1107">
        <f t="shared" ca="1" si="92"/>
        <v>65.208308561951611</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-10.99938034075161</v>
      </c>
      <c r="AY44" s="1044">
        <f t="shared" ca="1" si="111"/>
        <v>-36.604889233199998</v>
      </c>
      <c r="AZ44" s="1044">
        <f t="shared" ca="1" si="111"/>
        <v>0</v>
      </c>
      <c r="BA44" s="1044">
        <f t="shared" ca="1" si="111"/>
        <v>0</v>
      </c>
      <c r="BB44" s="1044">
        <f t="shared" ca="1" si="111"/>
        <v>0</v>
      </c>
      <c r="BC44" s="1044">
        <f t="shared" ca="1" si="111"/>
        <v>-17.604038988000003</v>
      </c>
      <c r="BD44" s="1044">
        <f t="shared" ca="1" si="111"/>
        <v>0</v>
      </c>
      <c r="BE44" s="1044">
        <f t="shared" ca="1" si="111"/>
        <v>0</v>
      </c>
      <c r="BF44" s="1044">
        <f t="shared" ca="1" si="111"/>
        <v>0</v>
      </c>
      <c r="BG44" s="1044">
        <f t="shared" ca="1" si="111"/>
        <v>-65.208308561951611</v>
      </c>
      <c r="BI44" s="1045">
        <f ca="1">SUM(BI39:BI43)</f>
        <v>0</v>
      </c>
      <c r="BJ44" s="1045">
        <f ca="1">SUM(BJ39:BJ43)</f>
        <v>0</v>
      </c>
      <c r="BK44" s="1045">
        <f ca="1">SUM(BK39:BK43)</f>
        <v>0</v>
      </c>
      <c r="BM44" s="1046">
        <f t="shared" ca="1" si="5"/>
        <v>0</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69.987744000000006</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69.987744000000006</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-199.9649828571429</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-199.9649828571429</v>
      </c>
      <c r="BI45" s="1119">
        <f t="shared" ref="BI45:BJ50" ca="1" si="118">IFERROR(INDEX(INDIRECT($C45&amp;".Outputs["&amp;this.year&amp;"]"), MATCH(BI$5, INDIRECT($C45&amp;".Outputs[Vector]"), 0)), 0)</f>
        <v>129.97723885714288</v>
      </c>
      <c r="BJ45" s="1119">
        <f t="shared" ca="1" si="118"/>
        <v>0</v>
      </c>
      <c r="BK45" s="1045">
        <f ca="1">SUM(BI45:BJ45)</f>
        <v>129.97723885714288</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987.43322456128158</v>
      </c>
      <c r="V46" s="1117">
        <f t="shared" ca="1" si="114"/>
        <v>-2956.6067986997264</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-1969.1735741384448</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1883.309815480942</v>
      </c>
      <c r="BJ46" s="1119">
        <f t="shared" ca="1" si="118"/>
        <v>85.863758657502757</v>
      </c>
      <c r="BK46" s="1045">
        <f ca="1">SUM(BI46:BJ46)</f>
        <v>1969.1735741384448</v>
      </c>
      <c r="BL46" s="51"/>
      <c r="BM46" s="1046">
        <f t="shared" ca="1" si="5"/>
        <v>0</v>
      </c>
      <c r="BN46" s="1063"/>
      <c r="BO46" s="97"/>
      <c r="BP46" s="1057">
        <f t="shared" ca="1" si="119"/>
        <v>1026.228682387389</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1026.228682387389</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109.8605340414</v>
      </c>
      <c r="V47" s="1117">
        <f t="shared" ca="1" si="114"/>
        <v>0</v>
      </c>
      <c r="W47" s="1117">
        <f t="shared" ca="1" si="114"/>
        <v>0</v>
      </c>
      <c r="X47" s="1117">
        <f t="shared" ca="1" si="114"/>
        <v>-217.65793072663513</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-107.79739668523513</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107.79739668523513</v>
      </c>
      <c r="BJ47" s="1119">
        <f t="shared" ca="1" si="118"/>
        <v>0</v>
      </c>
      <c r="BK47" s="1045">
        <f ca="1">SUM(BI47:BJ47)</f>
        <v>107.79739668523513</v>
      </c>
      <c r="BL47" s="51"/>
      <c r="BM47" s="1046">
        <f t="shared" ca="1" si="5"/>
        <v>0</v>
      </c>
      <c r="BN47" s="1063"/>
      <c r="BO47" s="97"/>
      <c r="BP47" s="1057">
        <f t="shared" ca="1" si="119"/>
        <v>36.427440234780001</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36.427440234780001</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0</v>
      </c>
      <c r="V48" s="1117">
        <f t="shared" ca="1" si="114"/>
        <v>0</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0</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0</v>
      </c>
      <c r="BJ48" s="1119">
        <f t="shared" ca="1" si="118"/>
        <v>0</v>
      </c>
      <c r="BK48" s="1045">
        <f ca="1">SUM(BI48:BJ48)</f>
        <v>0</v>
      </c>
      <c r="BL48" s="51"/>
      <c r="BM48" s="1046">
        <f t="shared" ca="1" si="5"/>
        <v>0</v>
      </c>
      <c r="BN48" s="1063"/>
      <c r="BO48" s="97"/>
      <c r="BP48" s="1057">
        <f t="shared" ca="1" si="119"/>
        <v>0</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0</v>
      </c>
      <c r="DE48" s="1057">
        <f t="shared" ca="1" si="119"/>
        <v>0</v>
      </c>
      <c r="DF48" s="1057">
        <f t="shared" ca="1" si="119"/>
        <v>0</v>
      </c>
      <c r="DG48" s="1057">
        <f t="shared" ca="1" si="119"/>
        <v>0</v>
      </c>
      <c r="DI48" s="1059">
        <f t="shared" ca="1" si="79"/>
        <v>0</v>
      </c>
    </row>
    <row r="49" spans="1:113">
      <c r="A49" s="1087"/>
      <c r="B49" s="1087"/>
      <c r="C49" s="1088" t="s">
        <v>1818</v>
      </c>
      <c r="D49" s="1114" t="s">
        <v>1817</v>
      </c>
      <c r="E49" s="1089"/>
      <c r="T49" s="2362">
        <f ca="1">T23+T33+T37+T38+T44+T45++T46+T47+T48+T31+T61</f>
        <v>-1142.8498773739643</v>
      </c>
      <c r="U49" s="2362">
        <f ca="1">U23+U33+U37+U38+U44+U45++U46+U47+U48+U31+U61</f>
        <v>1116.1735965815524</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26.676280792411944</v>
      </c>
      <c r="V50" s="1117">
        <f t="shared" ca="1" si="114"/>
        <v>-72.565012518219021</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-45.888731725807077</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44.554917686186485</v>
      </c>
      <c r="BJ50" s="1119">
        <f t="shared" ca="1" si="118"/>
        <v>1.3338140396205973</v>
      </c>
      <c r="BK50" s="1045">
        <f ca="1">SUM(BI50:BJ50)</f>
        <v>45.888731725807084</v>
      </c>
      <c r="BL50" s="51"/>
      <c r="BM50" s="1046">
        <f t="shared" ref="BM50:BM55" ca="1" si="120">R50+AL50+BG50+BK50</f>
        <v>0</v>
      </c>
      <c r="BN50" s="1063"/>
      <c r="BO50" s="97"/>
      <c r="BP50" s="1057">
        <f t="shared" ca="1" si="119"/>
        <v>25.187081764388282</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25.187081764388282</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1123.9700393950934</v>
      </c>
      <c r="V51" s="1043">
        <f t="shared" ref="V51:AK51" ca="1" si="122">V46+V47+V48+V50</f>
        <v>-3029.1718112179456</v>
      </c>
      <c r="W51" s="1043">
        <f t="shared" ca="1" si="122"/>
        <v>0</v>
      </c>
      <c r="X51" s="1043">
        <f t="shared" ca="1" si="122"/>
        <v>-217.65793072663513</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-2122.8597025494873</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2035.6621298523635</v>
      </c>
      <c r="BJ51" s="1045">
        <f ca="1">BJ46+BJ47+BJ48+BJ50</f>
        <v>87.197572697123348</v>
      </c>
      <c r="BK51" s="1045">
        <f ca="1">SUM(BI51:BJ51)</f>
        <v>2122.8597025494869</v>
      </c>
      <c r="BM51" s="1046">
        <f t="shared" ca="1" si="120"/>
        <v>0</v>
      </c>
      <c r="BN51" s="1046"/>
      <c r="BO51" s="97"/>
      <c r="BP51" s="1058">
        <f ca="1">BP46+BP47+BP48+BP50</f>
        <v>1087.8432043865573</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0</v>
      </c>
      <c r="DE51" s="1058">
        <f t="shared" ca="1" si="124"/>
        <v>0</v>
      </c>
      <c r="DF51" s="1058">
        <f t="shared" ca="1" si="124"/>
        <v>0</v>
      </c>
      <c r="DG51" s="1058">
        <f t="shared" ca="1" si="124"/>
        <v>0</v>
      </c>
      <c r="DI51" s="1059">
        <f ca="1">SUM(BP51:DG51)</f>
        <v>1087.8432043865573</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1441.8968093122933</v>
      </c>
      <c r="V52" s="1080">
        <f t="shared" ca="1" si="126"/>
        <v>-2126.1434715703172</v>
      </c>
      <c r="W52" s="1080">
        <f t="shared" ca="1" si="126"/>
        <v>3.0140876139388606</v>
      </c>
      <c r="X52" s="1080">
        <f t="shared" ca="1" si="126"/>
        <v>-206.31191405996844</v>
      </c>
      <c r="Y52" s="1080">
        <f t="shared" ca="1" si="126"/>
        <v>3143.1914134327285</v>
      </c>
      <c r="Z52" s="1080">
        <f t="shared" ca="1" si="126"/>
        <v>480.4207945988</v>
      </c>
      <c r="AA52" s="1080">
        <f t="shared" ca="1" si="126"/>
        <v>507.09261100499998</v>
      </c>
      <c r="AB52" s="1080">
        <f t="shared" ca="1" si="126"/>
        <v>0</v>
      </c>
      <c r="AC52" s="1080">
        <f t="shared" ca="1" si="126"/>
        <v>0</v>
      </c>
      <c r="AD52" s="1080">
        <f t="shared" ca="1" si="126"/>
        <v>0</v>
      </c>
      <c r="AE52" s="1080">
        <f t="shared" ca="1" si="126"/>
        <v>0</v>
      </c>
      <c r="AF52" s="1080">
        <f t="shared" ca="1" si="126"/>
        <v>0</v>
      </c>
      <c r="AG52" s="1080">
        <f t="shared" ca="1" si="126"/>
        <v>0</v>
      </c>
      <c r="AH52" s="1080">
        <f t="shared" ca="1" si="126"/>
        <v>0</v>
      </c>
      <c r="AI52" s="1080">
        <f t="shared" ca="1" si="126"/>
        <v>0</v>
      </c>
      <c r="AJ52" s="1080">
        <f t="shared" ca="1" si="126"/>
        <v>0.20202639475160969</v>
      </c>
      <c r="AK52" s="1080">
        <f t="shared" ca="1" si="126"/>
        <v>0</v>
      </c>
      <c r="AL52" s="1043">
        <f ca="1">SUM(T52:AK52)</f>
        <v>3243.3623567272266</v>
      </c>
      <c r="AN52" s="2408">
        <f t="shared" ref="AN52:BF52" ca="1" si="127">AN$33+AN$37+AN$38+AN$44+AN$45+AN$51+AN31</f>
        <v>-3143.1914134327285</v>
      </c>
      <c r="AO52" s="2408">
        <f t="shared" ca="1" si="127"/>
        <v>-480.4207945988</v>
      </c>
      <c r="AP52" s="2408">
        <f t="shared" ca="1" si="127"/>
        <v>-507.09261100499998</v>
      </c>
      <c r="AQ52" s="2408">
        <f t="shared" ca="1" si="127"/>
        <v>0</v>
      </c>
      <c r="AR52" s="2408">
        <f t="shared" ca="1" si="127"/>
        <v>0</v>
      </c>
      <c r="AS52" s="2408">
        <f t="shared" ca="1" si="127"/>
        <v>0</v>
      </c>
      <c r="AT52" s="2408">
        <f t="shared" ca="1" si="127"/>
        <v>0</v>
      </c>
      <c r="AU52" s="2408">
        <f t="shared" ca="1" si="127"/>
        <v>0</v>
      </c>
      <c r="AV52" s="2408">
        <f t="shared" ca="1" si="127"/>
        <v>0</v>
      </c>
      <c r="AW52" s="2408">
        <f t="shared" ca="1" si="127"/>
        <v>-199.9649828571429</v>
      </c>
      <c r="AX52" s="2408">
        <f t="shared" ca="1" si="127"/>
        <v>-10.99938034075161</v>
      </c>
      <c r="AY52" s="2408">
        <f t="shared" ca="1" si="127"/>
        <v>-36.604889233199998</v>
      </c>
      <c r="AZ52" s="2408">
        <f t="shared" ca="1" si="127"/>
        <v>0</v>
      </c>
      <c r="BA52" s="2408">
        <f t="shared" ca="1" si="127"/>
        <v>0</v>
      </c>
      <c r="BB52" s="2408">
        <f t="shared" ca="1" si="127"/>
        <v>0</v>
      </c>
      <c r="BC52" s="2408">
        <f t="shared" ca="1" si="127"/>
        <v>-189.41763898800005</v>
      </c>
      <c r="BD52" s="2408">
        <f t="shared" ca="1" si="127"/>
        <v>0</v>
      </c>
      <c r="BE52" s="2408">
        <f t="shared" ca="1" si="127"/>
        <v>-0.21232334500000016</v>
      </c>
      <c r="BF52" s="2408">
        <f t="shared" ca="1" si="127"/>
        <v>-961.65269558323416</v>
      </c>
      <c r="BG52" s="2408">
        <f ca="1">SUM(AN52:BF52)</f>
        <v>-5529.5567293838576</v>
      </c>
      <c r="BI52" s="1082">
        <f ca="1">BI$33+BI$37+BI$38+BI$44+BI$45+BI$51+BI31</f>
        <v>2198.9967999595065</v>
      </c>
      <c r="BJ52" s="1082">
        <f ca="1">BJ$33+BJ$37+BJ$38+BJ$44+BJ$45+BJ$51+BJ31</f>
        <v>87.197572697123348</v>
      </c>
      <c r="BK52" s="1045">
        <f ca="1">SUM(BI52:BJ52)</f>
        <v>2286.1943726566296</v>
      </c>
      <c r="BM52" s="1083">
        <f t="shared" ca="1" si="120"/>
        <v>0</v>
      </c>
      <c r="BN52" s="1083"/>
      <c r="BP52" s="2401">
        <f t="shared" ref="BP52:DG52" ca="1" si="128">BP$33+BP$37+BP$38+BP$44++BP$45+BP$51</f>
        <v>1087.8432043865573</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0</v>
      </c>
      <c r="DE52" s="1084">
        <f t="shared" ca="1" si="128"/>
        <v>0</v>
      </c>
      <c r="DF52" s="1084">
        <f t="shared" ca="1" si="128"/>
        <v>0</v>
      </c>
      <c r="DG52" s="1084">
        <f t="shared" ca="1" si="128"/>
        <v>0</v>
      </c>
      <c r="DI52" s="1085">
        <f ca="1">SUM(BP52:DG52)</f>
        <v>1087.8432043865573</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14</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14</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-14</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-14</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-1142.8498773739643</v>
      </c>
      <c r="U58" s="1093">
        <f ca="1">U$23+U$31+U$33+U$37+U$57+U$38+U$44+U$45</f>
        <v>331.92676991720009</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-313.04693193832941</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-313.04693193832941</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313.04693193832941</v>
      </c>
      <c r="BK59" s="1056">
        <f ca="1">SUM(BI59:BJ59)</f>
        <v>313.04693193832941</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-299.04693193832941</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-299.04693193832941</v>
      </c>
      <c r="AM61" s="51"/>
      <c r="AN61" s="1044">
        <f t="shared" ref="AN61:BF61" ca="1" si="146">AN$57+AN$59+AN$60</f>
        <v>0</v>
      </c>
      <c r="AO61" s="1044">
        <f t="shared" ca="1" si="146"/>
        <v>0</v>
      </c>
      <c r="AP61" s="1044">
        <f t="shared" ca="1" si="146"/>
        <v>0</v>
      </c>
      <c r="AQ61" s="1044">
        <f t="shared" ca="1" si="146"/>
        <v>0</v>
      </c>
      <c r="AR61" s="1044">
        <f t="shared" ca="1" si="146"/>
        <v>-14</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-14</v>
      </c>
      <c r="BH61" s="51"/>
      <c r="BI61" s="1045">
        <f ca="1">BI$57+BI$59+BI$60</f>
        <v>0</v>
      </c>
      <c r="BJ61" s="1045">
        <f ca="1">BJ$57+BJ$59+BJ$60</f>
        <v>313.04693193832941</v>
      </c>
      <c r="BK61" s="1045">
        <f ca="1">SUM(BI61:BJ61)</f>
        <v>313.04693193832941</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-4492.7367614435316</v>
      </c>
      <c r="W63" s="1093">
        <f t="shared" ca="1" si="149"/>
        <v>-2411.9078582714656</v>
      </c>
      <c r="X63" s="1093">
        <f t="shared" ca="1" si="149"/>
        <v>-829.89050389944953</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0</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-1142.8498773739643</v>
      </c>
      <c r="U64" s="1093">
        <f ca="1">(U$23+U$52+U$61)</f>
        <v>1142.8498773739639</v>
      </c>
      <c r="V64" s="1093">
        <f t="shared" ca="1" si="149"/>
        <v>-4492.7367614435316</v>
      </c>
      <c r="W64" s="1093">
        <f t="shared" ca="1" si="149"/>
        <v>-2411.9078582714656</v>
      </c>
      <c r="X64" s="1093">
        <f t="shared" ca="1" si="149"/>
        <v>-829.89050389944953</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4492.7367614435316</v>
      </c>
      <c r="W65" s="1107">
        <f t="shared" ca="1" si="152"/>
        <v>2411.9078582714656</v>
      </c>
      <c r="X65" s="1107">
        <f t="shared" ca="1" si="152"/>
        <v>829.89050389944953</v>
      </c>
      <c r="Y65" s="1107">
        <f t="shared" ca="1" si="152"/>
        <v>-4492.7367614435316</v>
      </c>
      <c r="Z65" s="1107">
        <f t="shared" ca="1" si="152"/>
        <v>-2580.7414083504682</v>
      </c>
      <c r="AA65" s="1107">
        <f t="shared" ca="1" si="152"/>
        <v>-954.37407948436692</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-293.31712566391968</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293.31712566392002</v>
      </c>
      <c r="BK65" s="1110">
        <f ca="1">SUM(BI65:BJ65)</f>
        <v>293.31712566392002</v>
      </c>
      <c r="BL65" s="51"/>
      <c r="BM65" s="1046">
        <f t="shared" ref="BM65:BM71" ca="1" si="154">R65+AL65+BG65+BK65</f>
        <v>0</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4.5474735088646412E-13</v>
      </c>
      <c r="V66" s="1140"/>
      <c r="W66" s="1140"/>
      <c r="X66" s="1140"/>
      <c r="Y66" s="1140">
        <f ca="1">-(Y$23+Y$52+Y$61+Y$65)</f>
        <v>1349.5453480108031</v>
      </c>
      <c r="Z66" s="1140">
        <f ca="1">-(Z$23+Z$52+Z$61+Z$65)</f>
        <v>2100.3206137516681</v>
      </c>
      <c r="AA66" s="1140">
        <f ca="1">-(AA$23+AA$52+AA$61+AA$65)</f>
        <v>447.28146847936694</v>
      </c>
      <c r="AB66" s="1140"/>
      <c r="AC66" s="1140"/>
      <c r="AD66" s="1140"/>
      <c r="AE66" s="1140"/>
      <c r="AF66" s="1140"/>
      <c r="AG66" s="1140"/>
      <c r="AH66" s="1140"/>
      <c r="AI66" s="1140"/>
      <c r="AJ66" s="1140"/>
      <c r="AK66" s="1140"/>
      <c r="AL66" s="1140">
        <f ca="1">SUM(T66:AK66)</f>
        <v>3897.1474302418387</v>
      </c>
      <c r="AM66" s="51"/>
      <c r="AN66" s="1067"/>
      <c r="AO66" s="1067"/>
      <c r="AP66" s="1067"/>
      <c r="AQ66" s="1067"/>
      <c r="AR66" s="1067">
        <f ca="1">-U66</f>
        <v>-4.5474735088646412E-13</v>
      </c>
      <c r="AS66" s="1067">
        <f>-W66</f>
        <v>0</v>
      </c>
      <c r="AT66" s="1067">
        <f ca="1">-Y66</f>
        <v>-1349.5453480108031</v>
      </c>
      <c r="AU66" s="1067">
        <f ca="1">-Z66</f>
        <v>-2100.3206137516681</v>
      </c>
      <c r="AV66" s="1067">
        <f ca="1">-AA66</f>
        <v>-447.28146847936694</v>
      </c>
      <c r="AW66" s="1067"/>
      <c r="AX66" s="1067"/>
      <c r="AY66" s="1067"/>
      <c r="AZ66" s="1067"/>
      <c r="BA66" s="1067"/>
      <c r="BB66" s="1067"/>
      <c r="BC66" s="1067"/>
      <c r="BD66" s="1067"/>
      <c r="BE66" s="1067"/>
      <c r="BF66" s="1067"/>
      <c r="BG66" s="1067">
        <f ca="1">SUM(AN66:BF66)</f>
        <v>-3897.1474302418387</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4.5474735088646412E-13</v>
      </c>
      <c r="V67" s="1043">
        <f t="shared" ca="1" si="160"/>
        <v>4492.7367614435316</v>
      </c>
      <c r="W67" s="1043">
        <f t="shared" ca="1" si="160"/>
        <v>2411.9078582714656</v>
      </c>
      <c r="X67" s="1043">
        <f t="shared" ca="1" si="160"/>
        <v>829.89050389944953</v>
      </c>
      <c r="Y67" s="1043">
        <f t="shared" ca="1" si="160"/>
        <v>-3143.1914134327285</v>
      </c>
      <c r="Z67" s="1043">
        <f t="shared" ca="1" si="160"/>
        <v>-480.42079459880006</v>
      </c>
      <c r="AA67" s="1043">
        <f t="shared" ca="1" si="160"/>
        <v>-507.09261100499998</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3603.830304577918</v>
      </c>
      <c r="AN67" s="1044">
        <f t="shared" ref="AN67:BF67" ca="1" si="161">SUM(AN65:AN66)</f>
        <v>0</v>
      </c>
      <c r="AO67" s="1044">
        <f t="shared" ca="1" si="161"/>
        <v>0</v>
      </c>
      <c r="AP67" s="1044">
        <f t="shared" ca="1" si="161"/>
        <v>0</v>
      </c>
      <c r="AQ67" s="1044">
        <f t="shared" ca="1" si="161"/>
        <v>0</v>
      </c>
      <c r="AR67" s="1044">
        <f t="shared" ca="1" si="161"/>
        <v>-4.5474735088646412E-13</v>
      </c>
      <c r="AS67" s="1044">
        <f t="shared" ca="1" si="161"/>
        <v>0</v>
      </c>
      <c r="AT67" s="1044">
        <f t="shared" ca="1" si="161"/>
        <v>-1349.5453480108031</v>
      </c>
      <c r="AU67" s="1044">
        <f t="shared" ca="1" si="161"/>
        <v>-2100.3206137516681</v>
      </c>
      <c r="AV67" s="1044">
        <f t="shared" ca="1" si="161"/>
        <v>-447.28146847936694</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-3897.1474302418387</v>
      </c>
      <c r="BI67" s="1045">
        <f ca="1">SUM(BI65:BI66)</f>
        <v>0</v>
      </c>
      <c r="BJ67" s="1045">
        <f ca="1">SUM(BJ65:BJ66)</f>
        <v>293.31712566392002</v>
      </c>
      <c r="BK67" s="1045">
        <f ca="1">SUM(BI67:BJ67)</f>
        <v>293.31712566392002</v>
      </c>
      <c r="BM67" s="1046">
        <f t="shared" ca="1" si="154"/>
        <v>-6.8212102632969618E-13</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-299.04693193832895</v>
      </c>
      <c r="V68" s="1080">
        <f t="shared" ca="1" si="164"/>
        <v>4492.7367614435316</v>
      </c>
      <c r="W68" s="1080">
        <f t="shared" ca="1" si="164"/>
        <v>2411.9078582714656</v>
      </c>
      <c r="X68" s="1080">
        <f t="shared" ca="1" si="164"/>
        <v>829.89050389944953</v>
      </c>
      <c r="Y68" s="1080">
        <f t="shared" ca="1" si="164"/>
        <v>-3143.1914134327285</v>
      </c>
      <c r="Z68" s="1080">
        <f t="shared" ca="1" si="164"/>
        <v>-480.42079459880006</v>
      </c>
      <c r="AA68" s="1080">
        <f t="shared" ca="1" si="164"/>
        <v>-507.09261100499998</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3304.7833726395897</v>
      </c>
      <c r="AN68" s="1081">
        <f ca="1">AN$61+AN$67</f>
        <v>0</v>
      </c>
      <c r="AO68" s="1081">
        <f t="shared" ref="AO68:BF68" ca="1" si="165">AO$61+AO$67</f>
        <v>0</v>
      </c>
      <c r="AP68" s="1081">
        <f t="shared" ca="1" si="165"/>
        <v>0</v>
      </c>
      <c r="AQ68" s="1081">
        <f t="shared" ca="1" si="165"/>
        <v>0</v>
      </c>
      <c r="AR68" s="1081">
        <f t="shared" ca="1" si="165"/>
        <v>-14.000000000000455</v>
      </c>
      <c r="AS68" s="1081">
        <f t="shared" ca="1" si="165"/>
        <v>0</v>
      </c>
      <c r="AT68" s="1081">
        <f t="shared" ca="1" si="165"/>
        <v>-1349.5453480108031</v>
      </c>
      <c r="AU68" s="1081">
        <f t="shared" ca="1" si="165"/>
        <v>-2100.3206137516681</v>
      </c>
      <c r="AV68" s="1081">
        <f t="shared" ca="1" si="165"/>
        <v>-447.28146847936694</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-3911.1474302418387</v>
      </c>
      <c r="BI68" s="1082">
        <f ca="1">BI$61+BI$67</f>
        <v>0</v>
      </c>
      <c r="BJ68" s="1082">
        <f ca="1">BJ$61+BJ$67</f>
        <v>606.36405760224943</v>
      </c>
      <c r="BK68" s="1082">
        <f ca="1">SUM(BI68:BJ68)</f>
        <v>606.36405760224943</v>
      </c>
      <c r="BM68" s="1083">
        <f t="shared" ca="1" si="154"/>
        <v>0</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300.04431466291476</v>
      </c>
      <c r="H71" s="1143">
        <f t="shared" ca="1" si="167"/>
        <v>115.42859864757057</v>
      </c>
      <c r="I71" s="1143">
        <f t="shared" ca="1" si="167"/>
        <v>3188.0989682873605</v>
      </c>
      <c r="J71" s="1143">
        <f t="shared" ca="1" si="167"/>
        <v>1183.5003505918451</v>
      </c>
      <c r="K71" s="1143">
        <f t="shared" ca="1" si="167"/>
        <v>51.889640514935813</v>
      </c>
      <c r="L71" s="1143">
        <f t="shared" ca="1" si="167"/>
        <v>36.12439727059617</v>
      </c>
      <c r="M71" s="1143">
        <f t="shared" ca="1" si="167"/>
        <v>-3.3534846536453375E-2</v>
      </c>
      <c r="N71" s="1143">
        <f t="shared" ca="1" si="167"/>
        <v>328.28524058963927</v>
      </c>
      <c r="O71" s="1143">
        <f t="shared" ca="1" si="167"/>
        <v>99.664904892716379</v>
      </c>
      <c r="P71" s="1143">
        <f t="shared" ca="1" si="167"/>
        <v>1148.4989388784084</v>
      </c>
      <c r="Q71" s="1143">
        <f t="shared" ca="1" si="167"/>
        <v>96.64390987736526</v>
      </c>
      <c r="R71" s="1143">
        <f ca="1">SUM(G71:Q71)</f>
        <v>6548.1457293668163</v>
      </c>
      <c r="T71" s="1144">
        <f t="shared" ref="T71:AK71" ca="1" si="168">T$23+T$52+T$68</f>
        <v>-1142.8498773739643</v>
      </c>
      <c r="U71" s="1144">
        <f t="shared" ca="1" si="168"/>
        <v>1142.8498773739643</v>
      </c>
      <c r="V71" s="1144">
        <f t="shared" ca="1" si="168"/>
        <v>0</v>
      </c>
      <c r="W71" s="1144">
        <f t="shared" ca="1" si="168"/>
        <v>0</v>
      </c>
      <c r="X71" s="1144">
        <f t="shared" ca="1" si="168"/>
        <v>0</v>
      </c>
      <c r="Y71" s="1144">
        <f t="shared" ca="1" si="168"/>
        <v>0</v>
      </c>
      <c r="Z71" s="1144">
        <f t="shared" ca="1" si="168"/>
        <v>0</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0</v>
      </c>
      <c r="AI71" s="1144">
        <f t="shared" ca="1" si="168"/>
        <v>0</v>
      </c>
      <c r="AJ71" s="1144">
        <f t="shared" ca="1" si="168"/>
        <v>0</v>
      </c>
      <c r="AK71" s="1144">
        <f t="shared" ca="1" si="168"/>
        <v>0</v>
      </c>
      <c r="AL71" s="1144">
        <f ca="1">SUM(T71:AK71)</f>
        <v>0</v>
      </c>
      <c r="AN71" s="1145">
        <f t="shared" ref="AN71:BF71" ca="1" si="169">AN$23+AN$52+AN$68</f>
        <v>-3143.1914134327285</v>
      </c>
      <c r="AO71" s="1145">
        <f t="shared" ca="1" si="169"/>
        <v>-480.4207945988</v>
      </c>
      <c r="AP71" s="1145">
        <f t="shared" ca="1" si="169"/>
        <v>-507.09261100499998</v>
      </c>
      <c r="AQ71" s="1145">
        <f t="shared" ca="1" si="169"/>
        <v>0</v>
      </c>
      <c r="AR71" s="1145">
        <f t="shared" ca="1" si="169"/>
        <v>-14.000000000000455</v>
      </c>
      <c r="AS71" s="1145">
        <f t="shared" ca="1" si="169"/>
        <v>0</v>
      </c>
      <c r="AT71" s="1145">
        <f t="shared" ca="1" si="169"/>
        <v>-1349.5453480108031</v>
      </c>
      <c r="AU71" s="1145">
        <f t="shared" ca="1" si="169"/>
        <v>-2100.3206137516681</v>
      </c>
      <c r="AV71" s="1145">
        <f t="shared" ca="1" si="169"/>
        <v>-447.28146847936694</v>
      </c>
      <c r="AW71" s="1145">
        <f t="shared" ca="1" si="169"/>
        <v>-199.9649828571429</v>
      </c>
      <c r="AX71" s="1145">
        <f t="shared" ca="1" si="169"/>
        <v>-10.99938034075161</v>
      </c>
      <c r="AY71" s="1145">
        <f t="shared" ca="1" si="169"/>
        <v>-36.604889233199998</v>
      </c>
      <c r="AZ71" s="1145">
        <f t="shared" ca="1" si="169"/>
        <v>0</v>
      </c>
      <c r="BA71" s="1145">
        <f t="shared" ca="1" si="169"/>
        <v>0</v>
      </c>
      <c r="BB71" s="1145">
        <f t="shared" ca="1" si="169"/>
        <v>0</v>
      </c>
      <c r="BC71" s="1145">
        <f t="shared" ca="1" si="169"/>
        <v>-189.41763898800005</v>
      </c>
      <c r="BD71" s="1145">
        <f t="shared" ca="1" si="169"/>
        <v>0</v>
      </c>
      <c r="BE71" s="1145">
        <f t="shared" ca="1" si="169"/>
        <v>-0.21232334500000016</v>
      </c>
      <c r="BF71" s="1145">
        <f t="shared" ca="1" si="169"/>
        <v>-961.65269558323416</v>
      </c>
      <c r="BG71" s="1145">
        <f ca="1">SUM(AN71:BF71)</f>
        <v>-9440.7041596256968</v>
      </c>
      <c r="BI71" s="1146">
        <f ca="1">BI$23+BI$52+BI$68</f>
        <v>2198.9967999595065</v>
      </c>
      <c r="BJ71" s="1146">
        <f ca="1">BJ$23+BJ$52+BJ$68</f>
        <v>693.56163029937284</v>
      </c>
      <c r="BK71" s="1146">
        <f ca="1">SUM(BI71:BJ71)</f>
        <v>2892.5584302588795</v>
      </c>
      <c r="BM71" s="1039">
        <f t="shared" ca="1" si="154"/>
        <v>0</v>
      </c>
      <c r="BN71" s="1039"/>
      <c r="BP71" s="1147">
        <f t="shared" ref="BP71:DG71" ca="1" si="170">BP$23+BP$52+BP$68</f>
        <v>2156.3230931819899</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0</v>
      </c>
      <c r="DE71" s="1147">
        <f t="shared" ca="1" si="170"/>
        <v>0</v>
      </c>
      <c r="DF71" s="1147">
        <f t="shared" ca="1" si="170"/>
        <v>0</v>
      </c>
      <c r="DG71" s="1147">
        <f t="shared" ca="1" si="170"/>
        <v>0</v>
      </c>
      <c r="DI71" s="1085">
        <f ca="1">SUM(BP71:DG71)</f>
        <v>2156.3230931819899</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1087.8432043865573</v>
      </c>
    </row>
    <row r="75" spans="2:113">
      <c r="B75" s="2555"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1142.8498773739643</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5">
        <f ca="1">DI74/DI75</f>
        <v>0.95186885515199848</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F6" activePane="bottomRight" state="frozen"/>
      <selection activeCell="Y9" sqref="Y9"/>
      <selection pane="topRight" activeCell="Y9" sqref="Y9"/>
      <selection pane="bottomLeft" activeCell="Y9" sqref="Y9"/>
      <selection pane="bottomRight" activeCell="F6" sqref="F6"/>
    </sheetView>
  </sheetViews>
  <sheetFormatPr defaultColWidth="8.85546875" defaultRowHeight="12.75" outlineLevelRow="1" outlineLevelCol="2"/>
  <cols>
    <col min="1" max="1" width="6.140625" style="2555" customWidth="1"/>
    <col min="2" max="2" width="1.42578125" style="2555" customWidth="1"/>
    <col min="3" max="3" width="4.42578125" style="621" customWidth="1"/>
    <col min="4" max="4" width="5.140625" style="730" customWidth="1"/>
    <col min="5" max="5" width="41.7109375" style="730" customWidth="1"/>
    <col min="6" max="6" width="1.140625" style="2555"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5"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5" customWidth="1" outlineLevel="1"/>
    <col min="40" max="58" width="10" style="730" customWidth="1" outlineLevel="2"/>
    <col min="59" max="59" width="10" style="730" customWidth="1" outlineLevel="1"/>
    <col min="60" max="60" width="1.140625" style="2555" customWidth="1" outlineLevel="1"/>
    <col min="61" max="62" width="10" style="730" customWidth="1" outlineLevel="2"/>
    <col min="63" max="63" width="10" style="730" customWidth="1" outlineLevel="1"/>
    <col min="64" max="64" width="1.140625" style="2555" customWidth="1" outlineLevel="1"/>
    <col min="65" max="65" width="11" style="730" customWidth="1" outlineLevel="1"/>
    <col min="66" max="66" width="5.28515625" style="730" customWidth="1"/>
    <col min="67" max="67" width="8.85546875" style="2555"/>
    <col min="68" max="111" width="7.42578125" style="2555" customWidth="1"/>
    <col min="112" max="112" width="2.42578125" style="2555" customWidth="1"/>
    <col min="113" max="16384" width="8.85546875" style="2555"/>
  </cols>
  <sheetData>
    <row r="1" spans="1:113" ht="9" customHeight="1"/>
    <row r="2" spans="1:113" ht="21" customHeight="1">
      <c r="D2" s="718"/>
      <c r="E2" s="986">
        <v>2022</v>
      </c>
      <c r="G2" s="2555"/>
      <c r="H2" s="2555"/>
      <c r="I2" s="2555"/>
      <c r="J2" s="2555"/>
      <c r="K2" s="2555"/>
      <c r="L2" s="2555"/>
      <c r="M2" s="2555"/>
      <c r="N2" s="2555"/>
      <c r="O2" s="2555"/>
      <c r="P2" s="2555"/>
      <c r="Q2" s="2555"/>
      <c r="R2" s="2555"/>
      <c r="T2" s="2555"/>
      <c r="U2" s="2555"/>
      <c r="V2" s="2555"/>
      <c r="W2" s="2555"/>
      <c r="X2" s="2555"/>
      <c r="Y2" s="2555"/>
      <c r="Z2" s="2555"/>
      <c r="AA2" s="2555"/>
      <c r="AB2" s="2555"/>
      <c r="AC2" s="2555"/>
      <c r="AD2" s="2555"/>
      <c r="AE2" s="2555"/>
      <c r="AF2" s="2555"/>
      <c r="AG2" s="2555"/>
      <c r="AH2" s="2555"/>
      <c r="AI2" s="2555"/>
      <c r="AJ2" s="2555"/>
      <c r="AK2" s="2555"/>
      <c r="AL2" s="2555"/>
      <c r="AN2" s="2555"/>
      <c r="AO2" s="2555"/>
      <c r="AP2" s="2555"/>
      <c r="AQ2" s="2555"/>
      <c r="AR2" s="2555"/>
      <c r="AS2" s="2555"/>
      <c r="AT2" s="2555"/>
      <c r="AU2" s="2555"/>
      <c r="AV2" s="2555"/>
      <c r="AW2" s="2555"/>
      <c r="AX2" s="2555"/>
      <c r="AY2" s="2555"/>
      <c r="AZ2" s="2555"/>
      <c r="BA2" s="2555"/>
      <c r="BB2" s="2555"/>
      <c r="BC2" s="2555"/>
      <c r="BD2" s="2555"/>
      <c r="BE2" s="2555"/>
      <c r="BF2" s="2555"/>
      <c r="BG2" s="2555"/>
      <c r="BI2" s="2555"/>
      <c r="BJ2" s="2555"/>
      <c r="BK2" s="2555"/>
      <c r="BM2" s="2555"/>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hidden="1"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496.30573002834524</v>
      </c>
      <c r="H10" s="1051">
        <f t="shared" ca="1" si="0"/>
        <v>0</v>
      </c>
      <c r="I10" s="1051">
        <f t="shared" ca="1" si="0"/>
        <v>0</v>
      </c>
      <c r="J10" s="1051">
        <f t="shared" ca="1" si="0"/>
        <v>0</v>
      </c>
      <c r="K10" s="1051">
        <f t="shared" ca="1" si="0"/>
        <v>0</v>
      </c>
      <c r="L10" s="1051">
        <f t="shared" ca="1" si="0"/>
        <v>0</v>
      </c>
      <c r="M10" s="1051">
        <f t="shared" ca="1" si="0"/>
        <v>0</v>
      </c>
      <c r="N10" s="1051">
        <f t="shared" ca="1" si="0"/>
        <v>0</v>
      </c>
      <c r="O10" s="1051">
        <f t="shared" ca="1" si="0"/>
        <v>0</v>
      </c>
      <c r="P10" s="1051">
        <f t="shared" ca="1" si="0"/>
        <v>0</v>
      </c>
      <c r="Q10" s="1051">
        <f t="shared" ca="1" si="0"/>
        <v>0</v>
      </c>
      <c r="R10" s="1051">
        <f ca="1">SUM(G10:Q10)</f>
        <v>496.30573002834524</v>
      </c>
      <c r="T10" s="1053">
        <f t="shared" ref="T10:BF11" ca="1" si="1">IFERROR(INDEX(INDIRECT($C10&amp;".Outputs["&amp;this.year&amp;"]"), MATCH(T$5, INDIRECT($C10&amp;".Outputs[Vector]"), 0)), 0)</f>
        <v>-491.61145515036219</v>
      </c>
      <c r="U10" s="1053">
        <f t="shared" ca="1" si="1"/>
        <v>0</v>
      </c>
      <c r="V10" s="1053">
        <f t="shared" ca="1" si="1"/>
        <v>0</v>
      </c>
      <c r="W10" s="1053">
        <f t="shared" ca="1" si="1"/>
        <v>-4.694274877983025</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-496.30573002834524</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1.2520757241189449</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1.2520757241189449</v>
      </c>
    </row>
    <row r="11" spans="1:113" s="51" customFormat="1" ht="12.75" hidden="1" customHeight="1" outlineLevel="1">
      <c r="A11" s="1061"/>
      <c r="B11" s="1061"/>
      <c r="C11" s="1048" t="s">
        <v>301</v>
      </c>
      <c r="D11" s="1064" t="str">
        <f>INDEX(Modules[Module], MATCH($C11, Modules[Code], 0))</f>
        <v>Commercial Lighting &amp; Appliances</v>
      </c>
      <c r="E11" s="1064"/>
      <c r="G11" s="1065">
        <f t="shared" ca="1" si="0"/>
        <v>0</v>
      </c>
      <c r="H11" s="1065">
        <f t="shared" ca="1" si="0"/>
        <v>190.80114950572121</v>
      </c>
      <c r="I11" s="1065">
        <f t="shared" ca="1" si="0"/>
        <v>0</v>
      </c>
      <c r="J11" s="1065">
        <f t="shared" ca="1" si="0"/>
        <v>0</v>
      </c>
      <c r="K11" s="1065">
        <f t="shared" ca="1" si="0"/>
        <v>0</v>
      </c>
      <c r="L11" s="1065">
        <f t="shared" ca="1" si="0"/>
        <v>0</v>
      </c>
      <c r="M11" s="1065">
        <f t="shared" ca="1" si="0"/>
        <v>-6.0794893445987486E-2</v>
      </c>
      <c r="N11" s="1065">
        <f t="shared" ca="1" si="0"/>
        <v>0</v>
      </c>
      <c r="O11" s="1065">
        <f t="shared" ca="1" si="0"/>
        <v>0</v>
      </c>
      <c r="P11" s="1065">
        <f t="shared" ca="1" si="0"/>
        <v>0</v>
      </c>
      <c r="Q11" s="1065">
        <f t="shared" ca="1" si="0"/>
        <v>0</v>
      </c>
      <c r="R11" s="1065">
        <f ca="1">SUM(G11:Q11)</f>
        <v>190.74035461227521</v>
      </c>
      <c r="T11" s="1066">
        <f t="shared" ca="1" si="1"/>
        <v>-190.74035461227521</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-190.74035461227521</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ollapsed="1">
      <c r="A12" s="17"/>
      <c r="B12" s="53"/>
      <c r="C12" s="711" t="s">
        <v>196</v>
      </c>
      <c r="D12" s="710" t="str">
        <f>INDEX(Workstreams[Workstream], MATCH($C12, Workstreams[Code], 0))</f>
        <v>Lighting and appliances</v>
      </c>
      <c r="E12" s="41"/>
      <c r="G12" s="1071">
        <f ca="1">G10+G11</f>
        <v>496.30573002834524</v>
      </c>
      <c r="H12" s="1071">
        <f t="shared" ref="H12:Q12" ca="1" si="11">H10+H11</f>
        <v>190.80114950572121</v>
      </c>
      <c r="I12" s="1071">
        <f t="shared" ca="1" si="11"/>
        <v>0</v>
      </c>
      <c r="J12" s="1071">
        <f t="shared" ca="1" si="11"/>
        <v>0</v>
      </c>
      <c r="K12" s="1071">
        <f t="shared" ca="1" si="11"/>
        <v>0</v>
      </c>
      <c r="L12" s="1071">
        <f t="shared" ca="1" si="11"/>
        <v>0</v>
      </c>
      <c r="M12" s="1071">
        <f ca="1">M11+M10</f>
        <v>-6.0794893445987486E-2</v>
      </c>
      <c r="N12" s="1071">
        <f t="shared" ca="1" si="11"/>
        <v>0</v>
      </c>
      <c r="O12" s="1071">
        <f t="shared" ca="1" si="11"/>
        <v>0</v>
      </c>
      <c r="P12" s="1071">
        <f t="shared" ca="1" si="11"/>
        <v>0</v>
      </c>
      <c r="Q12" s="1071">
        <f t="shared" ca="1" si="11"/>
        <v>0</v>
      </c>
      <c r="R12" s="1071">
        <f ca="1">SUM(G12:Q12)</f>
        <v>687.04608464062051</v>
      </c>
      <c r="T12" s="1043">
        <f ca="1">T10+T11</f>
        <v>-682.35180976263746</v>
      </c>
      <c r="U12" s="1043">
        <f t="shared" ref="U12:AK12" ca="1" si="12">U10+U11</f>
        <v>0</v>
      </c>
      <c r="V12" s="1043">
        <f t="shared" ca="1" si="12"/>
        <v>0</v>
      </c>
      <c r="W12" s="1043">
        <f t="shared" ca="1" si="12"/>
        <v>-4.694274877983025</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-687.04608464062051</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0</v>
      </c>
      <c r="BN12" s="1046"/>
      <c r="BO12" s="97"/>
      <c r="BP12" s="1058">
        <f t="shared" ref="BP12:DG12" ca="1" si="14">BP10+BP11</f>
        <v>1.2520757241189449</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1.2520757241189449</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4295.4614477243704</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4295.4614477243704</v>
      </c>
      <c r="T13" s="1066">
        <f t="shared" ref="T13:BF13" ca="1" si="16">IFERROR(INDEX(INDIRECT($C13&amp;".Outputs["&amp;this.year&amp;"]"), MATCH(T$5, INDIRECT($C13&amp;".Outputs[Vector]"), 0)), 0)</f>
        <v>-638.20622186284686</v>
      </c>
      <c r="U13" s="1066">
        <f t="shared" ca="1" si="16"/>
        <v>0</v>
      </c>
      <c r="V13" s="1066">
        <f t="shared" ca="1" si="16"/>
        <v>-2040.8846856072132</v>
      </c>
      <c r="W13" s="1066">
        <f t="shared" ca="1" si="16"/>
        <v>-940.96734495178282</v>
      </c>
      <c r="X13" s="1066">
        <f t="shared" ca="1" si="16"/>
        <v>-675.40319530252668</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-4295.4614477243695</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9.0949470177292824E-13</v>
      </c>
      <c r="BN13" s="1063"/>
      <c r="BO13" s="97"/>
      <c r="BP13" s="1069">
        <f t="shared" ref="BP13:DG13" ca="1" si="18">IFERROR(SUMIFS(INDIRECT($C13&amp;".Emissions["&amp;this.year&amp;"]"), INDIRECT($C13&amp;".Emissions[GHG]"), BP$6, INDIRECT($C13&amp;".Emissions[IPCC Sector]"), BP$5),0)</f>
        <v>962.11176406640595</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962.11176406640595</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4295.4614477243704</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4295.4614477243704</v>
      </c>
      <c r="T14" s="1043">
        <f t="shared" ref="T14:AK14" ca="1" si="20">T13</f>
        <v>-638.20622186284686</v>
      </c>
      <c r="U14" s="1043">
        <f t="shared" ca="1" si="20"/>
        <v>0</v>
      </c>
      <c r="V14" s="1043">
        <f t="shared" ca="1" si="20"/>
        <v>-2040.8846856072132</v>
      </c>
      <c r="W14" s="1043">
        <f t="shared" ca="1" si="20"/>
        <v>-940.96734495178282</v>
      </c>
      <c r="X14" s="1043">
        <f t="shared" ca="1" si="20"/>
        <v>-675.40319530252668</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-4295.4614477243695</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9.0949470177292824E-13</v>
      </c>
      <c r="BN14" s="1046"/>
      <c r="BO14" s="97"/>
      <c r="BP14" s="1058">
        <f t="shared" ref="BP14:DG14" ca="1" si="22">BP13</f>
        <v>962.11176406640595</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962.11176406640595</v>
      </c>
    </row>
    <row r="15" spans="1:113" s="51" customFormat="1" ht="12.75" hidden="1"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995.2545442620326</v>
      </c>
      <c r="K15" s="1051">
        <f t="shared" ca="1" si="23"/>
        <v>28.096495097638602</v>
      </c>
      <c r="L15" s="1051">
        <f t="shared" ca="1" si="23"/>
        <v>56.648230396135439</v>
      </c>
      <c r="M15" s="1051">
        <f t="shared" ca="1" si="23"/>
        <v>0</v>
      </c>
      <c r="N15" s="1051">
        <f t="shared" ca="1" si="23"/>
        <v>0</v>
      </c>
      <c r="O15" s="1051">
        <f t="shared" ca="1" si="23"/>
        <v>0</v>
      </c>
      <c r="P15" s="1051">
        <f t="shared" ca="1" si="23"/>
        <v>0</v>
      </c>
      <c r="Q15" s="1051">
        <f t="shared" ca="1" si="23"/>
        <v>0</v>
      </c>
      <c r="R15" s="1071">
        <f t="shared" ref="R15:R23" ca="1" si="24">SUM(G15:Q15)</f>
        <v>1079.9992697558066</v>
      </c>
      <c r="T15" s="1053">
        <f t="shared" ref="T15:BF16" ca="1" si="25">IFERROR(INDEX(INDIRECT($C15&amp;".Outputs["&amp;this.year&amp;"]"), MATCH(T$5, INDIRECT($C15&amp;".Outputs[Vector]"), 0)), 0)</f>
        <v>-12.677744583468431</v>
      </c>
      <c r="U15" s="1053">
        <f t="shared" ca="1" si="25"/>
        <v>0</v>
      </c>
      <c r="V15" s="1053">
        <f t="shared" ca="1" si="25"/>
        <v>0</v>
      </c>
      <c r="W15" s="1053">
        <f t="shared" ca="1" si="25"/>
        <v>-1035.2715115724809</v>
      </c>
      <c r="X15" s="1053">
        <f t="shared" ca="1" si="25"/>
        <v>-32.050013599857472</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-1079.9992697558068</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-2.2737367544323206E-13</v>
      </c>
      <c r="BN15" s="1063"/>
      <c r="BO15" s="97"/>
      <c r="BP15" s="1057">
        <f t="shared" ref="BP15:BY16" ca="1" si="30">IFERROR(SUMIFS(INDIRECT($C15&amp;".Emissions["&amp;this.year&amp;"]"), INDIRECT($C15&amp;".Emissions[GHG]"), BP$6, INDIRECT($C15&amp;".Emissions[IPCC Sector]"), BP$5),0)</f>
        <v>282.50801383412971</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282.50801383412971</v>
      </c>
    </row>
    <row r="16" spans="1:113" s="51" customFormat="1" ht="12.75" hidden="1"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706.0577087482327</v>
      </c>
      <c r="K16" s="1051">
        <f t="shared" ca="1" si="23"/>
        <v>36.549559966468983</v>
      </c>
      <c r="L16" s="1051">
        <f t="shared" ca="1" si="23"/>
        <v>2.4889965681514452</v>
      </c>
      <c r="M16" s="1051">
        <f t="shared" ca="1" si="23"/>
        <v>0</v>
      </c>
      <c r="N16" s="1051">
        <f t="shared" ca="1" si="23"/>
        <v>0</v>
      </c>
      <c r="O16" s="1051">
        <f t="shared" ca="1" si="23"/>
        <v>0</v>
      </c>
      <c r="P16" s="1051">
        <f t="shared" ca="1" si="23"/>
        <v>0</v>
      </c>
      <c r="Q16" s="1051">
        <f t="shared" ca="1" si="23"/>
        <v>0</v>
      </c>
      <c r="R16" s="1071">
        <f t="shared" ca="1" si="24"/>
        <v>745.09626528285321</v>
      </c>
      <c r="T16" s="1053">
        <f t="shared" ca="1" si="25"/>
        <v>-13.140797584316113</v>
      </c>
      <c r="U16" s="1053">
        <f t="shared" ca="1" si="25"/>
        <v>0</v>
      </c>
      <c r="V16" s="1053">
        <f t="shared" ca="1" si="25"/>
        <v>0</v>
      </c>
      <c r="W16" s="1053">
        <f t="shared" ca="1" si="25"/>
        <v>-731.95546769853706</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-745.09626528285321</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0</v>
      </c>
      <c r="BN16" s="1063"/>
      <c r="BO16" s="97"/>
      <c r="BP16" s="1057">
        <f t="shared" ca="1" si="30"/>
        <v>195.23008261400358</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195.23008261400358</v>
      </c>
    </row>
    <row r="17" spans="1:113" s="51" customFormat="1" ht="15.75" collapsed="1">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1701.3122530102653</v>
      </c>
      <c r="K17" s="1071">
        <f t="shared" ca="1" si="34"/>
        <v>64.646055064107586</v>
      </c>
      <c r="L17" s="1071">
        <f t="shared" ca="1" si="34"/>
        <v>59.137226964286882</v>
      </c>
      <c r="M17" s="1071">
        <f t="shared" ca="1" si="34"/>
        <v>0</v>
      </c>
      <c r="N17" s="1071">
        <f t="shared" ca="1" si="34"/>
        <v>0</v>
      </c>
      <c r="O17" s="1071">
        <f t="shared" ca="1" si="34"/>
        <v>0</v>
      </c>
      <c r="P17" s="1071">
        <f t="shared" ca="1" si="34"/>
        <v>0</v>
      </c>
      <c r="Q17" s="1071">
        <f t="shared" ca="1" si="34"/>
        <v>0</v>
      </c>
      <c r="R17" s="1071">
        <f t="shared" ca="1" si="24"/>
        <v>1825.0955350386596</v>
      </c>
      <c r="T17" s="1043">
        <f ca="1">T15+T16</f>
        <v>-25.818542167784543</v>
      </c>
      <c r="U17" s="1043">
        <f t="shared" ref="U17:AK17" ca="1" si="35">U15+U16</f>
        <v>0</v>
      </c>
      <c r="V17" s="1043">
        <f t="shared" ca="1" si="35"/>
        <v>0</v>
      </c>
      <c r="W17" s="1043">
        <f t="shared" ca="1" si="35"/>
        <v>-1767.2269792710181</v>
      </c>
      <c r="X17" s="1043">
        <f t="shared" ca="1" si="35"/>
        <v>-32.050013599857472</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-1825.09553503866</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-4.5474735088646412E-13</v>
      </c>
      <c r="BN17" s="1046"/>
      <c r="BO17" s="97"/>
      <c r="BP17" s="1058">
        <f ca="1">BP15+BP16</f>
        <v>477.73809644813332</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477.73809644813332</v>
      </c>
    </row>
    <row r="18" spans="1:113" s="51" customFormat="1" ht="12.75" hidden="1"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1155.9568110410034</v>
      </c>
      <c r="Q18" s="1065">
        <f t="shared" ca="1" si="38"/>
        <v>0</v>
      </c>
      <c r="R18" s="1071">
        <f t="shared" ca="1" si="24"/>
        <v>1155.9568110410034</v>
      </c>
      <c r="T18" s="1066">
        <f t="shared" ref="T18:BF19" ca="1" si="39">IFERROR(INDEX(INDIRECT($C18&amp;".Outputs["&amp;this.year&amp;"]"), MATCH(T$5, INDIRECT($C18&amp;".Outputs[Vector]"), 0)), 0)</f>
        <v>-3.0737404888957927</v>
      </c>
      <c r="U18" s="1066">
        <f t="shared" ca="1" si="39"/>
        <v>0</v>
      </c>
      <c r="V18" s="1066">
        <f t="shared" ca="1" si="39"/>
        <v>-983.74266287146509</v>
      </c>
      <c r="W18" s="1066">
        <f t="shared" ca="1" si="39"/>
        <v>-133.99069806444339</v>
      </c>
      <c r="X18" s="1066">
        <f t="shared" ca="1" si="39"/>
        <v>-35.149709616199118</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-1155.9568110410032</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2.2737367544323206E-13</v>
      </c>
      <c r="BN18" s="1046"/>
      <c r="BO18" s="17"/>
      <c r="BP18" s="1058"/>
      <c r="BQ18" s="1058"/>
      <c r="BR18" s="1058"/>
      <c r="BS18" s="1058"/>
      <c r="BT18" s="1058"/>
      <c r="BU18" s="1058"/>
      <c r="BV18" s="1058"/>
      <c r="BW18" s="1058"/>
      <c r="BX18" s="1058"/>
      <c r="BY18" s="1058"/>
      <c r="BZ18" s="1058"/>
      <c r="CA18" s="1058"/>
      <c r="CB18" s="1058"/>
      <c r="CC18" s="1058"/>
      <c r="CD18" s="1058"/>
      <c r="CE18" s="1058"/>
      <c r="CF18" s="1058"/>
      <c r="CG18" s="1058"/>
      <c r="CH18" s="1058"/>
      <c r="CI18" s="1058"/>
      <c r="CJ18" s="1058"/>
      <c r="CK18" s="1058"/>
      <c r="CL18" s="1058"/>
      <c r="CM18" s="1058"/>
      <c r="CN18" s="1058"/>
      <c r="CO18" s="1058"/>
      <c r="CP18" s="1058"/>
      <c r="CQ18" s="1058"/>
      <c r="CR18" s="1058"/>
      <c r="CS18" s="1058"/>
      <c r="CT18" s="1058"/>
      <c r="CU18" s="1058"/>
      <c r="CV18" s="1058"/>
      <c r="CW18" s="1058"/>
      <c r="CX18" s="1058"/>
      <c r="CY18" s="1058"/>
      <c r="CZ18" s="1058"/>
      <c r="DA18" s="1058"/>
      <c r="DB18" s="1058"/>
      <c r="DC18" s="1058"/>
      <c r="DD18" s="1058"/>
      <c r="DE18" s="1058"/>
      <c r="DF18" s="1058"/>
      <c r="DG18" s="1058"/>
      <c r="DI18" s="1059">
        <f t="shared" si="10"/>
        <v>0</v>
      </c>
    </row>
    <row r="19" spans="1:113" s="51" customFormat="1" ht="12.75" hidden="1"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143.41278923679616</v>
      </c>
      <c r="R19" s="1071">
        <f t="shared" ca="1" si="24"/>
        <v>143.41278923679616</v>
      </c>
      <c r="T19" s="1066">
        <f t="shared" ca="1" si="39"/>
        <v>0</v>
      </c>
      <c r="U19" s="1066">
        <f t="shared" ca="1" si="39"/>
        <v>0</v>
      </c>
      <c r="V19" s="1066">
        <f t="shared" ca="1" si="39"/>
        <v>0</v>
      </c>
      <c r="W19" s="1066">
        <f t="shared" ca="1" si="39"/>
        <v>-109.20969201346757</v>
      </c>
      <c r="X19" s="1066">
        <f t="shared" ca="1" si="39"/>
        <v>-34.203097223328584</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-143.41278923679616</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0</v>
      </c>
      <c r="BN19" s="1063"/>
      <c r="BO19" s="97"/>
      <c r="BP19" s="1069">
        <f t="shared" ref="BP19:DG19" ca="1" si="42">IFERROR(SUMIFS(INDIRECT($C19&amp;".Emissions["&amp;this.year&amp;"]"), INDIRECT($C19&amp;".Emissions[GHG]"), BP$6, INDIRECT($C19&amp;".Emissions[IPCC Sector]"), BP$5),0)</f>
        <v>35.933460950189563</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35.933460950189563</v>
      </c>
    </row>
    <row r="20" spans="1:113" s="51" customFormat="1" ht="15.75" collapsed="1">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1155.9568110410034</v>
      </c>
      <c r="Q20" s="1071">
        <f t="shared" ca="1" si="43"/>
        <v>143.41278923679616</v>
      </c>
      <c r="R20" s="1071">
        <f t="shared" ca="1" si="24"/>
        <v>1299.3696002777997</v>
      </c>
      <c r="T20" s="1043">
        <f ca="1">T19+T18</f>
        <v>-3.0737404888957927</v>
      </c>
      <c r="U20" s="1043">
        <f t="shared" ref="U20:AK20" ca="1" si="44">U19+U18</f>
        <v>0</v>
      </c>
      <c r="V20" s="1043">
        <f t="shared" ca="1" si="44"/>
        <v>-983.74266287146509</v>
      </c>
      <c r="W20" s="1043">
        <f t="shared" ca="1" si="44"/>
        <v>-243.20039007791098</v>
      </c>
      <c r="X20" s="1043">
        <f t="shared" ca="1" si="44"/>
        <v>-69.352806839527702</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-1299.3696002777995</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2.2737367544323206E-13</v>
      </c>
      <c r="BN20" s="1046"/>
      <c r="BO20" s="97"/>
      <c r="BP20" s="1058">
        <f t="shared" ref="BP20:DG20" ca="1" si="46">BP19</f>
        <v>35.933460950189563</v>
      </c>
      <c r="BQ20" s="1058">
        <f t="shared" ca="1" si="46"/>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35.933460950189563</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453.51772092097099</v>
      </c>
      <c r="O21" s="1065">
        <f t="shared" ca="1" si="47"/>
        <v>0</v>
      </c>
      <c r="P21" s="1065">
        <f t="shared" ca="1" si="47"/>
        <v>0</v>
      </c>
      <c r="Q21" s="1065">
        <f t="shared" ca="1" si="47"/>
        <v>0</v>
      </c>
      <c r="R21" s="1071">
        <f t="shared" ca="1" si="24"/>
        <v>453.51772092097099</v>
      </c>
      <c r="T21" s="1066">
        <f t="shared" ref="T21:BF22" ca="1" si="48">IFERROR(INDEX(INDIRECT($C21&amp;".Outputs["&amp;this.year&amp;"]"), MATCH(T$5, INDIRECT($C21&amp;".Outputs[Vector]"), 0)), 0)</f>
        <v>-262.32571067939568</v>
      </c>
      <c r="U21" s="1066">
        <f t="shared" ca="1" si="48"/>
        <v>0</v>
      </c>
      <c r="V21" s="1066">
        <f t="shared" ca="1" si="48"/>
        <v>0</v>
      </c>
      <c r="W21" s="1066">
        <f t="shared" ca="1" si="48"/>
        <v>-191.19201024157528</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-453.51772092097099</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50.995495766927469</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50.995495766927469</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122.4937137883776</v>
      </c>
      <c r="P22" s="1065">
        <f t="shared" ca="1" si="47"/>
        <v>0</v>
      </c>
      <c r="Q22" s="1065">
        <f t="shared" ca="1" si="47"/>
        <v>0</v>
      </c>
      <c r="R22" s="1071">
        <f t="shared" ca="1" si="24"/>
        <v>122.4937137883776</v>
      </c>
      <c r="T22" s="1066">
        <f t="shared" ca="1" si="48"/>
        <v>-28.249080569317663</v>
      </c>
      <c r="U22" s="1066">
        <f t="shared" ca="1" si="48"/>
        <v>0</v>
      </c>
      <c r="V22" s="1066">
        <f t="shared" ca="1" si="48"/>
        <v>0</v>
      </c>
      <c r="W22" s="1066">
        <f t="shared" ca="1" si="48"/>
        <v>-94.00983566627599</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-0.23479755278393905</v>
      </c>
      <c r="AK22" s="1066">
        <f t="shared" ca="1" si="48"/>
        <v>0</v>
      </c>
      <c r="AL22" s="1043">
        <f t="shared" ca="1" si="3"/>
        <v>-122.4937137883776</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25.074678438244892</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25.074678438244892</v>
      </c>
    </row>
    <row r="23" spans="1:113" s="51" customFormat="1" ht="15.75">
      <c r="B23" s="53"/>
      <c r="C23" s="1076" t="s">
        <v>1107</v>
      </c>
      <c r="D23" s="1077" t="s">
        <v>1108</v>
      </c>
      <c r="E23" s="1078"/>
      <c r="G23" s="1079">
        <f ca="1">G$9+G$12+G$14+G$17+G$20+G$21+G$22</f>
        <v>496.30573002834524</v>
      </c>
      <c r="H23" s="1079">
        <f t="shared" ref="H23:Q23" ca="1" si="52">H$9+H$12+H$14+H$17+H$20+H$21+H$22</f>
        <v>190.80114950572121</v>
      </c>
      <c r="I23" s="1079">
        <f t="shared" ca="1" si="52"/>
        <v>4295.4614477243704</v>
      </c>
      <c r="J23" s="1079">
        <f t="shared" ca="1" si="52"/>
        <v>1701.3122530102653</v>
      </c>
      <c r="K23" s="1079">
        <f t="shared" ca="1" si="52"/>
        <v>64.646055064107586</v>
      </c>
      <c r="L23" s="1079">
        <f t="shared" ca="1" si="52"/>
        <v>59.137226964286882</v>
      </c>
      <c r="M23" s="1079">
        <f ca="1">M$12+M$14+M$17+M$20+M$21+M$22</f>
        <v>-6.0794893445987486E-2</v>
      </c>
      <c r="N23" s="1079">
        <f t="shared" ca="1" si="52"/>
        <v>453.51772092097099</v>
      </c>
      <c r="O23" s="1079">
        <f t="shared" ca="1" si="52"/>
        <v>122.4937137883776</v>
      </c>
      <c r="P23" s="1079">
        <f t="shared" ca="1" si="52"/>
        <v>1155.9568110410034</v>
      </c>
      <c r="Q23" s="1079">
        <f t="shared" ca="1" si="52"/>
        <v>143.41278923679616</v>
      </c>
      <c r="R23" s="2400">
        <f t="shared" ca="1" si="24"/>
        <v>8682.9841023907993</v>
      </c>
      <c r="T23" s="1080">
        <f ca="1">T$9+T$12+T$14+T$17+T$20+T$21+T$22</f>
        <v>-1640.0251055308779</v>
      </c>
      <c r="U23" s="1080">
        <f t="shared" ref="U23:AK23" ca="1" si="53">U$9+U$12+U$14+U$17+U$20+U$21+U$22</f>
        <v>0</v>
      </c>
      <c r="V23" s="1080">
        <f t="shared" ca="1" si="53"/>
        <v>-3024.6273484786784</v>
      </c>
      <c r="W23" s="1080">
        <f t="shared" ca="1" si="53"/>
        <v>-3241.2908350865459</v>
      </c>
      <c r="X23" s="1080">
        <f t="shared" ca="1" si="53"/>
        <v>-776.80601574191189</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-0.23479755278393905</v>
      </c>
      <c r="AK23" s="1080">
        <f t="shared" ca="1" si="53"/>
        <v>0</v>
      </c>
      <c r="AL23" s="1080">
        <f t="shared" ca="1" si="3"/>
        <v>-8682.9841023907975</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1.8189894035458565E-12</v>
      </c>
      <c r="BN23" s="1083"/>
      <c r="BP23" s="1084">
        <f t="shared" ref="BP23:DG23" ca="1" si="55">BP$9+BP$12+BP$14+BP$17+BP$20+BP$21</f>
        <v>1528.0308929557752</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1528.0308929557752</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hidden="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12.4928375</v>
      </c>
      <c r="V26" s="1073">
        <f t="shared" ca="1" si="59"/>
        <v>-49.971350000000001</v>
      </c>
      <c r="W26" s="1073">
        <f t="shared" ca="1" si="59"/>
        <v>0</v>
      </c>
      <c r="X26" s="1073">
        <f t="shared" ca="1" si="59"/>
        <v>12.386255555555559</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-12.386255555555559</v>
      </c>
      <c r="AI26" s="1073">
        <f t="shared" ca="1" si="59"/>
        <v>0</v>
      </c>
      <c r="AJ26" s="1073">
        <f t="shared" ca="1" si="59"/>
        <v>0</v>
      </c>
      <c r="AK26" s="1073">
        <f t="shared" ca="1" si="59"/>
        <v>0</v>
      </c>
      <c r="AL26" s="1066">
        <f t="shared" ref="AL26:AL34" ca="1" si="60">SUM(T26:AK26)</f>
        <v>-37.478512500000001</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37.478512500000001</v>
      </c>
      <c r="BJ26" s="1075">
        <f t="shared" ca="1" si="63"/>
        <v>0</v>
      </c>
      <c r="BK26" s="1045">
        <f t="shared" ca="1" si="56"/>
        <v>37.478512500000001</v>
      </c>
      <c r="BM26" s="1046">
        <f t="shared" ca="1" si="5"/>
        <v>0</v>
      </c>
      <c r="BN26" s="1046"/>
      <c r="BO26" s="17"/>
      <c r="BP26" s="1069">
        <f t="shared" ref="BP26:DG30" ca="1" si="64">IFERROR(SUMIFS(INDIRECT($C26&amp;".Emissions["&amp;this.year&amp;"]"), INDIRECT($C26&amp;".Emissions[GHG]"), BP$6, INDIRECT($C26&amp;".Emissions[IPCC Sector]"), BP$5),0)</f>
        <v>17.344894387096776</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-2.4642129473684218</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14.880681439728354</v>
      </c>
    </row>
    <row r="27" spans="1:113" s="1087" customFormat="1" ht="15" hidden="1"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6.6403498055675261</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-0.30591778749999998</v>
      </c>
      <c r="AG27" s="1073">
        <f t="shared" ca="1" si="59"/>
        <v>-6.3344320180675266</v>
      </c>
      <c r="AH27" s="1073">
        <f t="shared" ca="1" si="59"/>
        <v>0</v>
      </c>
      <c r="AI27" s="1073">
        <f t="shared" ca="1" si="59"/>
        <v>0</v>
      </c>
      <c r="AJ27" s="1073">
        <f t="shared" ca="1" si="59"/>
        <v>0</v>
      </c>
      <c r="AK27" s="1073">
        <f t="shared" ca="1" si="59"/>
        <v>0</v>
      </c>
      <c r="AL27" s="1066">
        <f t="shared" ca="1" si="60"/>
        <v>-8.8817841970012523E-16</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-8.8817841970012523E-16</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-1.7711405930241155</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-1.7711405930241155</v>
      </c>
    </row>
    <row r="28" spans="1:113" s="51" customFormat="1" ht="12" hidden="1"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0</v>
      </c>
      <c r="AI28" s="1073">
        <f t="shared" ca="1" si="59"/>
        <v>0</v>
      </c>
      <c r="AJ28" s="1073">
        <f t="shared" ca="1" si="59"/>
        <v>0</v>
      </c>
      <c r="AK28" s="1073">
        <f t="shared" ca="1" si="59"/>
        <v>0</v>
      </c>
      <c r="AL28" s="1066">
        <f t="shared" ca="1" si="60"/>
        <v>0</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0</v>
      </c>
      <c r="BG28" s="1067">
        <f t="shared" ca="1" si="62"/>
        <v>0</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hidden="1"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0.30591778749999998</v>
      </c>
      <c r="AG29" s="1073">
        <f t="shared" ca="1" si="59"/>
        <v>952.97429874113197</v>
      </c>
      <c r="AH29" s="1073">
        <f t="shared" ca="1" si="59"/>
        <v>12.386255555555559</v>
      </c>
      <c r="AI29" s="1073">
        <f t="shared" ca="1" si="59"/>
        <v>0</v>
      </c>
      <c r="AJ29" s="1073">
        <f t="shared" ca="1" si="59"/>
        <v>0</v>
      </c>
      <c r="AK29" s="1073">
        <f t="shared" ca="1" si="59"/>
        <v>0</v>
      </c>
      <c r="AL29" s="1066">
        <f t="shared" ca="1" si="60"/>
        <v>965.66647208418749</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-0.30591778749999998</v>
      </c>
      <c r="BF29" s="1074">
        <f t="shared" ca="1" si="66"/>
        <v>-965.3605542966875</v>
      </c>
      <c r="BG29" s="1067">
        <f t="shared" ca="1" si="62"/>
        <v>-965.66647208418749</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-17.344894387096776</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-17.344894387096776</v>
      </c>
    </row>
    <row r="30" spans="1:113" s="51" customFormat="1" ht="12" hidden="1"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946.63986672306442</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-946.63986672306442</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-311.23074967548945</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-311.23074967548945</v>
      </c>
    </row>
    <row r="31" spans="1:113" s="51" customFormat="1" ht="12" customHeight="1" collapsed="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12.4928375</v>
      </c>
      <c r="V31" s="1073">
        <f t="shared" ca="1" si="68"/>
        <v>896.66851672306439</v>
      </c>
      <c r="W31" s="1073">
        <f t="shared" ca="1" si="68"/>
        <v>6.6403498055675261</v>
      </c>
      <c r="X31" s="1073">
        <f t="shared" ca="1" si="68"/>
        <v>12.386255555555559</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0</v>
      </c>
      <c r="AI31" s="1073">
        <f t="shared" ca="1" si="68"/>
        <v>0</v>
      </c>
      <c r="AJ31" s="1073">
        <f t="shared" ca="1" si="68"/>
        <v>0</v>
      </c>
      <c r="AK31" s="1073">
        <f t="shared" ca="1" si="68"/>
        <v>0</v>
      </c>
      <c r="AL31" s="1066">
        <f t="shared" ca="1" si="60"/>
        <v>928.18795958418741</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-0.30591778749999998</v>
      </c>
      <c r="BF31" s="1074">
        <f t="shared" ca="1" si="69"/>
        <v>-965.3605542966875</v>
      </c>
      <c r="BG31" s="1067">
        <f t="shared" ca="1" si="62"/>
        <v>-965.66647208418749</v>
      </c>
      <c r="BI31" s="1075">
        <f ca="1">BI28+BI27+BI26+BI29+BI30</f>
        <v>37.478512500000001</v>
      </c>
      <c r="BJ31" s="1075">
        <f ca="1">BJ28+BJ27+BJ26+BJ29+BJ30</f>
        <v>0</v>
      </c>
      <c r="BK31" s="1045">
        <f t="shared" ca="1" si="56"/>
        <v>37.478512500000001</v>
      </c>
      <c r="BM31" s="1096">
        <f t="shared" ca="1" si="5"/>
        <v>-7.815970093361102E-14</v>
      </c>
      <c r="BN31" s="1046"/>
      <c r="BO31" s="97"/>
      <c r="BP31" s="1069">
        <f ca="1">BP28+BP27+BP26+BP29+BP30</f>
        <v>17.344894387096776</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-332.81099760297877</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-315.46610321588201</v>
      </c>
    </row>
    <row r="32" spans="1:113" s="51" customFormat="1" ht="14.25" hidden="1"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ollapsed="1">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hidden="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548.56099701000005</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548.56099701000005</v>
      </c>
      <c r="AN34" s="1054">
        <f t="shared" ref="AN34:BC36" ca="1" si="86">IFERROR(INDEX(INDIRECT($C34&amp;".Outputs["&amp;this.year&amp;"]"), MATCH(AN$5, INDIRECT($C34&amp;".Outputs[Vector]"), 0)), 0)</f>
        <v>0</v>
      </c>
      <c r="AO34" s="1054">
        <f t="shared" ca="1" si="86"/>
        <v>0</v>
      </c>
      <c r="AP34" s="1054">
        <f t="shared" ca="1" si="86"/>
        <v>-548.56099701000005</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-548.56099701000005</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hidden="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3584.1507638983121</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3584.1507638983121</v>
      </c>
      <c r="AN35" s="1054">
        <f t="shared" ca="1" si="86"/>
        <v>-3584.1507638983121</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-3584.1507638983121</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hidden="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406.8218875356273</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406.8218875356273</v>
      </c>
      <c r="AN36" s="1054">
        <f t="shared" ca="1" si="86"/>
        <v>0</v>
      </c>
      <c r="AO36" s="1054">
        <f t="shared" ca="1" si="86"/>
        <v>-406.8218875356273</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-406.8218875356273</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ollapsed="1">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3584.1507638983121</v>
      </c>
      <c r="Z37" s="1043">
        <f ca="1">SUM(Z34:Z36)</f>
        <v>406.8218875356273</v>
      </c>
      <c r="AA37" s="1043">
        <f ca="1">SUM(AA34:AA36)</f>
        <v>548.56099701000005</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4539.5336484439395</v>
      </c>
      <c r="AN37" s="1044">
        <f t="shared" ref="AN37:BF37" ca="1" si="95">SUM(AN34:AN36)</f>
        <v>-3584.1507638983121</v>
      </c>
      <c r="AO37" s="1044">
        <f t="shared" ca="1" si="95"/>
        <v>-406.8218875356273</v>
      </c>
      <c r="AP37" s="1044">
        <f t="shared" ca="1" si="95"/>
        <v>-548.56099701000005</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-4539.5336484439395</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171.81360000000004</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171.81360000000004</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-171.81360000000004</v>
      </c>
      <c r="BD38" s="1108">
        <f t="shared" ca="1" si="99"/>
        <v>0</v>
      </c>
      <c r="BE38" s="1108">
        <f t="shared" ca="1" si="99"/>
        <v>0</v>
      </c>
      <c r="BF38" s="1108">
        <f t="shared" ca="1" si="99"/>
        <v>0</v>
      </c>
      <c r="BG38" s="1062">
        <f t="shared" ca="1" si="96"/>
        <v>-171.81360000000004</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18.558353960999998</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0.23479755278393905</v>
      </c>
      <c r="AK39" s="1106">
        <f t="shared" ca="1" si="99"/>
        <v>0</v>
      </c>
      <c r="AL39" s="1107">
        <f t="shared" ca="1" si="92"/>
        <v>18.793151513783936</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-18.793151513783936</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-18.793151513783936</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8.5731479999999998</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8.5731479999999998</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-8.5731479999999998</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-8.5731479999999998</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58.519889233199997</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58.519889233199997</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-58.519889233199997</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-58.519889233199997</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1.4463900000000003</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1.4463900000000003</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-1.4463900000000003</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-1.4463900000000003</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23.937473988000004</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23.937473988000004</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-23.937473988000004</v>
      </c>
      <c r="BD43" s="1108">
        <f t="shared" ca="1" si="99"/>
        <v>0</v>
      </c>
      <c r="BE43" s="1108">
        <f t="shared" ca="1" si="99"/>
        <v>0</v>
      </c>
      <c r="BF43" s="1108">
        <f t="shared" ca="1" si="99"/>
        <v>0</v>
      </c>
      <c r="BG43" s="1044">
        <f t="shared" ca="1" si="96"/>
        <v>-23.937473988000004</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111.03525518219999</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0.23479755278393905</v>
      </c>
      <c r="AK44" s="1043">
        <f t="shared" ca="1" si="110"/>
        <v>0</v>
      </c>
      <c r="AL44" s="1107">
        <f t="shared" ca="1" si="92"/>
        <v>111.27005273498393</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-27.366299513783936</v>
      </c>
      <c r="AY44" s="1044">
        <f t="shared" ca="1" si="111"/>
        <v>-59.966279233199998</v>
      </c>
      <c r="AZ44" s="1044">
        <f t="shared" ca="1" si="111"/>
        <v>0</v>
      </c>
      <c r="BA44" s="1044">
        <f t="shared" ca="1" si="111"/>
        <v>0</v>
      </c>
      <c r="BB44" s="1044">
        <f t="shared" ca="1" si="111"/>
        <v>0</v>
      </c>
      <c r="BC44" s="1044">
        <f t="shared" ca="1" si="111"/>
        <v>-23.937473988000004</v>
      </c>
      <c r="BD44" s="1044">
        <f t="shared" ca="1" si="111"/>
        <v>0</v>
      </c>
      <c r="BE44" s="1044">
        <f t="shared" ca="1" si="111"/>
        <v>0</v>
      </c>
      <c r="BF44" s="1044">
        <f t="shared" ca="1" si="111"/>
        <v>0</v>
      </c>
      <c r="BG44" s="1044">
        <f t="shared" ca="1" si="111"/>
        <v>-111.27005273498393</v>
      </c>
      <c r="BI44" s="1045">
        <f ca="1">SUM(BI39:BI43)</f>
        <v>0</v>
      </c>
      <c r="BJ44" s="1045">
        <f ca="1">SUM(BJ39:BJ43)</f>
        <v>0</v>
      </c>
      <c r="BK44" s="1045">
        <f ca="1">SUM(BK39:BK43)</f>
        <v>0</v>
      </c>
      <c r="BM44" s="1046">
        <f t="shared" ca="1" si="5"/>
        <v>0</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67.743648000000007</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67.743648000000007</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-193.55328000000003</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-193.55328000000003</v>
      </c>
      <c r="BI45" s="1119">
        <f t="shared" ref="BI45:BJ50" ca="1" si="118">IFERROR(INDEX(INDIRECT($C45&amp;".Outputs["&amp;this.year&amp;"]"), MATCH(BI$5, INDIRECT($C45&amp;".Outputs[Vector]"), 0)), 0)</f>
        <v>125.80963200000002</v>
      </c>
      <c r="BJ45" s="1119">
        <f t="shared" ca="1" si="118"/>
        <v>0</v>
      </c>
      <c r="BK45" s="1045">
        <f ca="1">SUM(BI45:BJ45)</f>
        <v>125.80963200000002</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936.05697418960165</v>
      </c>
      <c r="V46" s="1117">
        <f t="shared" ca="1" si="114"/>
        <v>-2799.9029793291684</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-1863.8460051395668</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1782.4497465143841</v>
      </c>
      <c r="BJ46" s="1119">
        <f t="shared" ca="1" si="118"/>
        <v>81.396258625182753</v>
      </c>
      <c r="BK46" s="1045">
        <f ca="1">SUM(BI46:BJ46)</f>
        <v>1863.8460051395668</v>
      </c>
      <c r="BL46" s="51"/>
      <c r="BM46" s="1046">
        <f t="shared" ca="1" si="5"/>
        <v>0</v>
      </c>
      <c r="BN46" s="1063"/>
      <c r="BO46" s="97"/>
      <c r="BP46" s="1057">
        <f t="shared" ca="1" si="119"/>
        <v>971.83729218005976</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971.83729218005976</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109.8605340414</v>
      </c>
      <c r="V47" s="1117">
        <f t="shared" ca="1" si="114"/>
        <v>0</v>
      </c>
      <c r="W47" s="1117">
        <f t="shared" ca="1" si="114"/>
        <v>0</v>
      </c>
      <c r="X47" s="1117">
        <f t="shared" ca="1" si="114"/>
        <v>-217.65793072663513</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-107.79739668523513</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107.79739668523513</v>
      </c>
      <c r="BJ47" s="1119">
        <f t="shared" ca="1" si="118"/>
        <v>0</v>
      </c>
      <c r="BK47" s="1045">
        <f ca="1">SUM(BI47:BJ47)</f>
        <v>107.79739668523513</v>
      </c>
      <c r="BL47" s="51"/>
      <c r="BM47" s="1046">
        <f t="shared" ca="1" si="5"/>
        <v>0</v>
      </c>
      <c r="BN47" s="1063"/>
      <c r="BO47" s="97"/>
      <c r="BP47" s="1057">
        <f t="shared" ca="1" si="119"/>
        <v>36.427440234780001</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36.427440234780001</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0</v>
      </c>
      <c r="V48" s="1117">
        <f t="shared" ca="1" si="114"/>
        <v>0</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0</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0</v>
      </c>
      <c r="BJ48" s="1119">
        <f t="shared" ca="1" si="118"/>
        <v>0</v>
      </c>
      <c r="BK48" s="1045">
        <f ca="1">SUM(BI48:BJ48)</f>
        <v>0</v>
      </c>
      <c r="BL48" s="51"/>
      <c r="BM48" s="1046">
        <f t="shared" ca="1" si="5"/>
        <v>0</v>
      </c>
      <c r="BN48" s="1063"/>
      <c r="BO48" s="97"/>
      <c r="BP48" s="1057">
        <f t="shared" ca="1" si="119"/>
        <v>0</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0</v>
      </c>
      <c r="DE48" s="1057">
        <f t="shared" ca="1" si="119"/>
        <v>0</v>
      </c>
      <c r="DF48" s="1057">
        <f t="shared" ca="1" si="119"/>
        <v>0</v>
      </c>
      <c r="DG48" s="1057">
        <f t="shared" ca="1" si="119"/>
        <v>0</v>
      </c>
      <c r="DI48" s="1059">
        <f t="shared" ca="1" si="79"/>
        <v>0</v>
      </c>
    </row>
    <row r="49" spans="1:113">
      <c r="A49" s="1087"/>
      <c r="B49" s="1087"/>
      <c r="C49" s="1088" t="s">
        <v>1818</v>
      </c>
      <c r="D49" s="1114" t="s">
        <v>1817</v>
      </c>
      <c r="E49" s="1089"/>
      <c r="T49" s="2362">
        <f ca="1">T23+T33+T37+T38+T44+T45++T46+T47+T48+T31+T61</f>
        <v>-1640.0251055308779</v>
      </c>
      <c r="U49" s="2362">
        <f ca="1">U23+U33+U37+U38+U44+U45++U46+U47+U48+U31+U61</f>
        <v>1006.0648213823154</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633.96028414856255</v>
      </c>
      <c r="V50" s="1117">
        <f t="shared" ca="1" si="114"/>
        <v>-1724.5033636165563</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-1090.5430794679937</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1058.8450652605657</v>
      </c>
      <c r="BJ50" s="1119">
        <f t="shared" ca="1" si="118"/>
        <v>31.69801420742813</v>
      </c>
      <c r="BK50" s="1045">
        <f ca="1">SUM(BI50:BJ50)</f>
        <v>1090.5430794679937</v>
      </c>
      <c r="BL50" s="51"/>
      <c r="BM50" s="1046">
        <f t="shared" ref="BM50:BM55" ca="1" si="120">R50+AL50+BG50+BK50</f>
        <v>0</v>
      </c>
      <c r="BN50" s="1063"/>
      <c r="BO50" s="97"/>
      <c r="BP50" s="1057">
        <f t="shared" ca="1" si="119"/>
        <v>598.56955459723054</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598.56955459723054</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1679.8777923795642</v>
      </c>
      <c r="V51" s="1043">
        <f t="shared" ref="V51:AK51" ca="1" si="122">V46+V47+V48+V50</f>
        <v>-4524.4063429457246</v>
      </c>
      <c r="W51" s="1043">
        <f t="shared" ca="1" si="122"/>
        <v>0</v>
      </c>
      <c r="X51" s="1043">
        <f t="shared" ca="1" si="122"/>
        <v>-217.65793072663513</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-3062.1864812927956</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2949.0922084601848</v>
      </c>
      <c r="BJ51" s="1045">
        <f ca="1">BJ46+BJ47+BJ48+BJ50</f>
        <v>113.09427283261088</v>
      </c>
      <c r="BK51" s="1045">
        <f ca="1">SUM(BI51:BJ51)</f>
        <v>3062.1864812927956</v>
      </c>
      <c r="BM51" s="1046">
        <f t="shared" ca="1" si="120"/>
        <v>0</v>
      </c>
      <c r="BN51" s="1046"/>
      <c r="BO51" s="97"/>
      <c r="BP51" s="1058">
        <f ca="1">BP46+BP47+BP48+BP50</f>
        <v>1606.8342870120703</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0</v>
      </c>
      <c r="DE51" s="1058">
        <f t="shared" ca="1" si="124"/>
        <v>0</v>
      </c>
      <c r="DF51" s="1058">
        <f t="shared" ca="1" si="124"/>
        <v>0</v>
      </c>
      <c r="DG51" s="1058">
        <f t="shared" ca="1" si="124"/>
        <v>0</v>
      </c>
      <c r="DI51" s="1059">
        <f ca="1">SUM(BP51:DG51)</f>
        <v>1606.8342870120703</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2042.9631330617642</v>
      </c>
      <c r="V52" s="1080">
        <f t="shared" ca="1" si="126"/>
        <v>-3627.7378262226603</v>
      </c>
      <c r="W52" s="1080">
        <f t="shared" ca="1" si="126"/>
        <v>6.6403498055675261</v>
      </c>
      <c r="X52" s="1080">
        <f t="shared" ca="1" si="126"/>
        <v>-205.27167517107958</v>
      </c>
      <c r="Y52" s="1080">
        <f t="shared" ca="1" si="126"/>
        <v>3584.1507638983121</v>
      </c>
      <c r="Z52" s="1080">
        <f t="shared" ca="1" si="126"/>
        <v>406.8218875356273</v>
      </c>
      <c r="AA52" s="1080">
        <f t="shared" ca="1" si="126"/>
        <v>548.56099701000005</v>
      </c>
      <c r="AB52" s="1080">
        <f t="shared" ca="1" si="126"/>
        <v>0</v>
      </c>
      <c r="AC52" s="1080">
        <f t="shared" ca="1" si="126"/>
        <v>0</v>
      </c>
      <c r="AD52" s="1080">
        <f t="shared" ca="1" si="126"/>
        <v>0</v>
      </c>
      <c r="AE52" s="1080">
        <f t="shared" ca="1" si="126"/>
        <v>0</v>
      </c>
      <c r="AF52" s="1080">
        <f t="shared" ca="1" si="126"/>
        <v>0</v>
      </c>
      <c r="AG52" s="1080">
        <f t="shared" ca="1" si="126"/>
        <v>0</v>
      </c>
      <c r="AH52" s="1080">
        <f t="shared" ca="1" si="126"/>
        <v>0</v>
      </c>
      <c r="AI52" s="1080">
        <f t="shared" ca="1" si="126"/>
        <v>0</v>
      </c>
      <c r="AJ52" s="1080">
        <f t="shared" ca="1" si="126"/>
        <v>0.23479755278393905</v>
      </c>
      <c r="AK52" s="1080">
        <f t="shared" ca="1" si="126"/>
        <v>0</v>
      </c>
      <c r="AL52" s="1043">
        <f ca="1">SUM(T52:AK52)</f>
        <v>2756.3624274703152</v>
      </c>
      <c r="AN52" s="2408">
        <f t="shared" ref="AN52:BF52" ca="1" si="127">AN$33+AN$37+AN$38+AN$44+AN$45+AN$51+AN31</f>
        <v>-3584.1507638983121</v>
      </c>
      <c r="AO52" s="2408">
        <f t="shared" ca="1" si="127"/>
        <v>-406.8218875356273</v>
      </c>
      <c r="AP52" s="2408">
        <f t="shared" ca="1" si="127"/>
        <v>-548.56099701000005</v>
      </c>
      <c r="AQ52" s="2408">
        <f t="shared" ca="1" si="127"/>
        <v>0</v>
      </c>
      <c r="AR52" s="2408">
        <f t="shared" ca="1" si="127"/>
        <v>0</v>
      </c>
      <c r="AS52" s="2408">
        <f t="shared" ca="1" si="127"/>
        <v>0</v>
      </c>
      <c r="AT52" s="2408">
        <f t="shared" ca="1" si="127"/>
        <v>0</v>
      </c>
      <c r="AU52" s="2408">
        <f t="shared" ca="1" si="127"/>
        <v>0</v>
      </c>
      <c r="AV52" s="2408">
        <f t="shared" ca="1" si="127"/>
        <v>0</v>
      </c>
      <c r="AW52" s="2408">
        <f t="shared" ca="1" si="127"/>
        <v>-193.55328000000003</v>
      </c>
      <c r="AX52" s="2408">
        <f t="shared" ca="1" si="127"/>
        <v>-27.366299513783936</v>
      </c>
      <c r="AY52" s="2408">
        <f t="shared" ca="1" si="127"/>
        <v>-59.966279233199998</v>
      </c>
      <c r="AZ52" s="2408">
        <f t="shared" ca="1" si="127"/>
        <v>0</v>
      </c>
      <c r="BA52" s="2408">
        <f t="shared" ca="1" si="127"/>
        <v>0</v>
      </c>
      <c r="BB52" s="2408">
        <f t="shared" ca="1" si="127"/>
        <v>0</v>
      </c>
      <c r="BC52" s="2408">
        <f t="shared" ca="1" si="127"/>
        <v>-195.75107398800003</v>
      </c>
      <c r="BD52" s="2408">
        <f t="shared" ca="1" si="127"/>
        <v>0</v>
      </c>
      <c r="BE52" s="2408">
        <f t="shared" ca="1" si="127"/>
        <v>-0.30591778749999998</v>
      </c>
      <c r="BF52" s="2408">
        <f t="shared" ca="1" si="127"/>
        <v>-965.3605542966875</v>
      </c>
      <c r="BG52" s="2408">
        <f ca="1">SUM(AN52:BF52)</f>
        <v>-5981.8370532631106</v>
      </c>
      <c r="BI52" s="1082">
        <f ca="1">BI$33+BI$37+BI$38+BI$44+BI$45+BI$51+BI31</f>
        <v>3112.3803529601846</v>
      </c>
      <c r="BJ52" s="1082">
        <f ca="1">BJ$33+BJ$37+BJ$38+BJ$44+BJ$45+BJ$51+BJ31</f>
        <v>113.09427283261088</v>
      </c>
      <c r="BK52" s="1045">
        <f ca="1">SUM(BI52:BJ52)</f>
        <v>3225.4746257927955</v>
      </c>
      <c r="BM52" s="1083">
        <f t="shared" ca="1" si="120"/>
        <v>0</v>
      </c>
      <c r="BN52" s="1083"/>
      <c r="BP52" s="2401">
        <f t="shared" ref="BP52:DG52" ca="1" si="128">BP$33+BP$37+BP$38+BP$44++BP$45+BP$51</f>
        <v>1606.8342870120703</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0</v>
      </c>
      <c r="DE52" s="1084">
        <f t="shared" ca="1" si="128"/>
        <v>0</v>
      </c>
      <c r="DF52" s="1084">
        <f t="shared" ca="1" si="128"/>
        <v>0</v>
      </c>
      <c r="DG52" s="1084">
        <f t="shared" ca="1" si="128"/>
        <v>0</v>
      </c>
      <c r="DI52" s="1085">
        <f ca="1">SUM(BP52:DG52)</f>
        <v>1606.8342870120703</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21</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21</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-21</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-21</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-1640.0251055308779</v>
      </c>
      <c r="U58" s="1093">
        <f ca="1">U$23+U$31+U$33+U$37+U$57+U$38+U$44+U$45</f>
        <v>384.08534068220001</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-423.93802753088653</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-423.93802753088653</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423.93802753088642</v>
      </c>
      <c r="BK59" s="1056">
        <f ca="1">SUM(BI59:BJ59)</f>
        <v>423.93802753088642</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-402.93802753088653</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-402.93802753088653</v>
      </c>
      <c r="AM61" s="51"/>
      <c r="AN61" s="1044">
        <f t="shared" ref="AN61:BF61" ca="1" si="146">AN$57+AN$59+AN$60</f>
        <v>0</v>
      </c>
      <c r="AO61" s="1044">
        <f t="shared" ca="1" si="146"/>
        <v>0</v>
      </c>
      <c r="AP61" s="1044">
        <f t="shared" ca="1" si="146"/>
        <v>0</v>
      </c>
      <c r="AQ61" s="1044">
        <f t="shared" ca="1" si="146"/>
        <v>0</v>
      </c>
      <c r="AR61" s="1044">
        <f t="shared" ca="1" si="146"/>
        <v>-21</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-21</v>
      </c>
      <c r="BH61" s="51"/>
      <c r="BI61" s="1045">
        <f ca="1">BI$57+BI$59+BI$60</f>
        <v>0</v>
      </c>
      <c r="BJ61" s="1045">
        <f ca="1">BJ$57+BJ$59+BJ$60</f>
        <v>423.93802753088642</v>
      </c>
      <c r="BK61" s="1045">
        <f ca="1">SUM(BI61:BJ61)</f>
        <v>423.93802753088642</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-6652.3651747013391</v>
      </c>
      <c r="W63" s="1093">
        <f t="shared" ca="1" si="149"/>
        <v>-3234.6504852809785</v>
      </c>
      <c r="X63" s="1093">
        <f t="shared" ca="1" si="149"/>
        <v>-982.07769091299144</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0</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-1640.0251055308779</v>
      </c>
      <c r="U64" s="1093">
        <f ca="1">(U$23+U$52+U$61)</f>
        <v>1640.0251055308777</v>
      </c>
      <c r="V64" s="1093">
        <f t="shared" ca="1" si="149"/>
        <v>-6652.3651747013391</v>
      </c>
      <c r="W64" s="1093">
        <f t="shared" ca="1" si="149"/>
        <v>-3234.6504852809785</v>
      </c>
      <c r="X64" s="1093">
        <f t="shared" ca="1" si="149"/>
        <v>-982.07769091299144</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6652.3651747013391</v>
      </c>
      <c r="W65" s="1107">
        <f t="shared" ca="1" si="152"/>
        <v>3234.6504852809785</v>
      </c>
      <c r="X65" s="1107">
        <f t="shared" ca="1" si="152"/>
        <v>982.07769091299144</v>
      </c>
      <c r="Y65" s="1107">
        <f t="shared" ca="1" si="152"/>
        <v>-6652.3651747013391</v>
      </c>
      <c r="Z65" s="1107">
        <f t="shared" ca="1" si="152"/>
        <v>-3461.0760192506468</v>
      </c>
      <c r="AA65" s="1107">
        <f t="shared" ca="1" si="152"/>
        <v>-1129.3893445499402</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-373.73718760661859</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373.73718760661723</v>
      </c>
      <c r="BK65" s="1110">
        <f ca="1">SUM(BI65:BJ65)</f>
        <v>373.73718760661723</v>
      </c>
      <c r="BL65" s="51"/>
      <c r="BM65" s="1046">
        <f t="shared" ref="BM65:BM71" ca="1" si="154">R65+AL65+BG65+BK65</f>
        <v>-1.3642420526593924E-12</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2.2737367544323206E-13</v>
      </c>
      <c r="V66" s="1140"/>
      <c r="W66" s="1140"/>
      <c r="X66" s="1140"/>
      <c r="Y66" s="1140">
        <f ca="1">-(Y$23+Y$52+Y$61+Y$65)</f>
        <v>3068.214410803027</v>
      </c>
      <c r="Z66" s="1140">
        <f ca="1">-(Z$23+Z$52+Z$61+Z$65)</f>
        <v>3054.2541317150194</v>
      </c>
      <c r="AA66" s="1140">
        <f ca="1">-(AA$23+AA$52+AA$61+AA$65)</f>
        <v>580.82834753994018</v>
      </c>
      <c r="AB66" s="1140"/>
      <c r="AC66" s="1140"/>
      <c r="AD66" s="1140"/>
      <c r="AE66" s="1140"/>
      <c r="AF66" s="1140"/>
      <c r="AG66" s="1140"/>
      <c r="AH66" s="1140"/>
      <c r="AI66" s="1140"/>
      <c r="AJ66" s="1140"/>
      <c r="AK66" s="1140"/>
      <c r="AL66" s="1140">
        <f ca="1">SUM(T66:AK66)</f>
        <v>6703.2968900579872</v>
      </c>
      <c r="AM66" s="51"/>
      <c r="AN66" s="1067"/>
      <c r="AO66" s="1067"/>
      <c r="AP66" s="1067"/>
      <c r="AQ66" s="1067"/>
      <c r="AR66" s="1067">
        <f ca="1">-U66</f>
        <v>-2.2737367544323206E-13</v>
      </c>
      <c r="AS66" s="1067">
        <f>-W66</f>
        <v>0</v>
      </c>
      <c r="AT66" s="1067">
        <f ca="1">-Y66</f>
        <v>-3068.214410803027</v>
      </c>
      <c r="AU66" s="1067">
        <f ca="1">-Z66</f>
        <v>-3054.2541317150194</v>
      </c>
      <c r="AV66" s="1067">
        <f ca="1">-AA66</f>
        <v>-580.82834753994018</v>
      </c>
      <c r="AW66" s="1067"/>
      <c r="AX66" s="1067"/>
      <c r="AY66" s="1067"/>
      <c r="AZ66" s="1067"/>
      <c r="BA66" s="1067"/>
      <c r="BB66" s="1067"/>
      <c r="BC66" s="1067"/>
      <c r="BD66" s="1067"/>
      <c r="BE66" s="1067"/>
      <c r="BF66" s="1067"/>
      <c r="BG66" s="1067">
        <f ca="1">SUM(AN66:BF66)</f>
        <v>-6703.2968900579872</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2.2737367544323206E-13</v>
      </c>
      <c r="V67" s="1043">
        <f t="shared" ca="1" si="160"/>
        <v>6652.3651747013391</v>
      </c>
      <c r="W67" s="1043">
        <f t="shared" ca="1" si="160"/>
        <v>3234.6504852809785</v>
      </c>
      <c r="X67" s="1043">
        <f t="shared" ca="1" si="160"/>
        <v>982.07769091299144</v>
      </c>
      <c r="Y67" s="1043">
        <f t="shared" ca="1" si="160"/>
        <v>-3584.1507638983121</v>
      </c>
      <c r="Z67" s="1043">
        <f t="shared" ca="1" si="160"/>
        <v>-406.82188753562741</v>
      </c>
      <c r="AA67" s="1043">
        <f t="shared" ca="1" si="160"/>
        <v>-548.56099701000005</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6329.5597024513672</v>
      </c>
      <c r="AN67" s="1044">
        <f t="shared" ref="AN67:BF67" ca="1" si="161">SUM(AN65:AN66)</f>
        <v>0</v>
      </c>
      <c r="AO67" s="1044">
        <f t="shared" ca="1" si="161"/>
        <v>0</v>
      </c>
      <c r="AP67" s="1044">
        <f t="shared" ca="1" si="161"/>
        <v>0</v>
      </c>
      <c r="AQ67" s="1044">
        <f t="shared" ca="1" si="161"/>
        <v>0</v>
      </c>
      <c r="AR67" s="1044">
        <f t="shared" ca="1" si="161"/>
        <v>-2.2737367544323206E-13</v>
      </c>
      <c r="AS67" s="1044">
        <f t="shared" ca="1" si="161"/>
        <v>0</v>
      </c>
      <c r="AT67" s="1044">
        <f t="shared" ca="1" si="161"/>
        <v>-3068.214410803027</v>
      </c>
      <c r="AU67" s="1044">
        <f t="shared" ca="1" si="161"/>
        <v>-3054.2541317150194</v>
      </c>
      <c r="AV67" s="1044">
        <f t="shared" ca="1" si="161"/>
        <v>-580.82834753994018</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-6703.2968900579872</v>
      </c>
      <c r="BI67" s="1045">
        <f ca="1">SUM(BI65:BI66)</f>
        <v>0</v>
      </c>
      <c r="BJ67" s="1045">
        <f ca="1">SUM(BJ65:BJ66)</f>
        <v>373.73718760661723</v>
      </c>
      <c r="BK67" s="1045">
        <f ca="1">SUM(BI67:BJ67)</f>
        <v>373.73718760661723</v>
      </c>
      <c r="BM67" s="1046">
        <f t="shared" ca="1" si="154"/>
        <v>-2.7284841053187847E-12</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-402.9380275308863</v>
      </c>
      <c r="V68" s="1080">
        <f t="shared" ca="1" si="164"/>
        <v>6652.3651747013391</v>
      </c>
      <c r="W68" s="1080">
        <f t="shared" ca="1" si="164"/>
        <v>3234.6504852809785</v>
      </c>
      <c r="X68" s="1080">
        <f t="shared" ca="1" si="164"/>
        <v>982.07769091299144</v>
      </c>
      <c r="Y68" s="1080">
        <f t="shared" ca="1" si="164"/>
        <v>-3584.1507638983121</v>
      </c>
      <c r="Z68" s="1080">
        <f t="shared" ca="1" si="164"/>
        <v>-406.82188753562741</v>
      </c>
      <c r="AA68" s="1080">
        <f t="shared" ca="1" si="164"/>
        <v>-548.56099701000005</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5926.6216749204805</v>
      </c>
      <c r="AN68" s="1081">
        <f ca="1">AN$61+AN$67</f>
        <v>0</v>
      </c>
      <c r="AO68" s="1081">
        <f t="shared" ref="AO68:BF68" ca="1" si="165">AO$61+AO$67</f>
        <v>0</v>
      </c>
      <c r="AP68" s="1081">
        <f t="shared" ca="1" si="165"/>
        <v>0</v>
      </c>
      <c r="AQ68" s="1081">
        <f t="shared" ca="1" si="165"/>
        <v>0</v>
      </c>
      <c r="AR68" s="1081">
        <f t="shared" ca="1" si="165"/>
        <v>-21.000000000000227</v>
      </c>
      <c r="AS68" s="1081">
        <f t="shared" ca="1" si="165"/>
        <v>0</v>
      </c>
      <c r="AT68" s="1081">
        <f t="shared" ca="1" si="165"/>
        <v>-3068.214410803027</v>
      </c>
      <c r="AU68" s="1081">
        <f t="shared" ca="1" si="165"/>
        <v>-3054.2541317150194</v>
      </c>
      <c r="AV68" s="1081">
        <f t="shared" ca="1" si="165"/>
        <v>-580.82834753994018</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-6724.2968900579872</v>
      </c>
      <c r="BI68" s="1082">
        <f ca="1">BI$61+BI$67</f>
        <v>0</v>
      </c>
      <c r="BJ68" s="1082">
        <f ca="1">BJ$61+BJ$67</f>
        <v>797.67521513750364</v>
      </c>
      <c r="BK68" s="1082">
        <f ca="1">SUM(BI68:BJ68)</f>
        <v>797.67521513750364</v>
      </c>
      <c r="BM68" s="1083">
        <f t="shared" ca="1" si="154"/>
        <v>-3.0695446184836328E-12</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496.30573002834524</v>
      </c>
      <c r="H71" s="1143">
        <f t="shared" ca="1" si="167"/>
        <v>190.80114950572121</v>
      </c>
      <c r="I71" s="1143">
        <f t="shared" ca="1" si="167"/>
        <v>4295.4614477243704</v>
      </c>
      <c r="J71" s="1143">
        <f t="shared" ca="1" si="167"/>
        <v>1701.3122530102653</v>
      </c>
      <c r="K71" s="1143">
        <f t="shared" ca="1" si="167"/>
        <v>64.646055064107586</v>
      </c>
      <c r="L71" s="1143">
        <f t="shared" ca="1" si="167"/>
        <v>59.137226964286882</v>
      </c>
      <c r="M71" s="1143">
        <f t="shared" ca="1" si="167"/>
        <v>-6.0794893445987486E-2</v>
      </c>
      <c r="N71" s="1143">
        <f t="shared" ca="1" si="167"/>
        <v>453.51772092097099</v>
      </c>
      <c r="O71" s="1143">
        <f t="shared" ca="1" si="167"/>
        <v>122.4937137883776</v>
      </c>
      <c r="P71" s="1143">
        <f t="shared" ca="1" si="167"/>
        <v>1155.9568110410034</v>
      </c>
      <c r="Q71" s="1143">
        <f t="shared" ca="1" si="167"/>
        <v>143.41278923679616</v>
      </c>
      <c r="R71" s="1143">
        <f ca="1">SUM(G71:Q71)</f>
        <v>8682.9841023907993</v>
      </c>
      <c r="T71" s="1144">
        <f t="shared" ref="T71:AK71" ca="1" si="168">T$23+T$52+T$68</f>
        <v>-1640.0251055308779</v>
      </c>
      <c r="U71" s="1144">
        <f t="shared" ca="1" si="168"/>
        <v>1640.0251055308779</v>
      </c>
      <c r="V71" s="1144">
        <f t="shared" ca="1" si="168"/>
        <v>0</v>
      </c>
      <c r="W71" s="1144">
        <f t="shared" ca="1" si="168"/>
        <v>0</v>
      </c>
      <c r="X71" s="1144">
        <f t="shared" ca="1" si="168"/>
        <v>0</v>
      </c>
      <c r="Y71" s="1144">
        <f t="shared" ca="1" si="168"/>
        <v>0</v>
      </c>
      <c r="Z71" s="1144">
        <f t="shared" ca="1" si="168"/>
        <v>0</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0</v>
      </c>
      <c r="AI71" s="1144">
        <f t="shared" ca="1" si="168"/>
        <v>0</v>
      </c>
      <c r="AJ71" s="1144">
        <f t="shared" ca="1" si="168"/>
        <v>0</v>
      </c>
      <c r="AK71" s="1144">
        <f t="shared" ca="1" si="168"/>
        <v>0</v>
      </c>
      <c r="AL71" s="1144">
        <f ca="1">SUM(T71:AK71)</f>
        <v>0</v>
      </c>
      <c r="AN71" s="1145">
        <f t="shared" ref="AN71:BF71" ca="1" si="169">AN$23+AN$52+AN$68</f>
        <v>-3584.1507638983121</v>
      </c>
      <c r="AO71" s="1145">
        <f t="shared" ca="1" si="169"/>
        <v>-406.8218875356273</v>
      </c>
      <c r="AP71" s="1145">
        <f t="shared" ca="1" si="169"/>
        <v>-548.56099701000005</v>
      </c>
      <c r="AQ71" s="1145">
        <f t="shared" ca="1" si="169"/>
        <v>0</v>
      </c>
      <c r="AR71" s="1145">
        <f t="shared" ca="1" si="169"/>
        <v>-21.000000000000227</v>
      </c>
      <c r="AS71" s="1145">
        <f t="shared" ca="1" si="169"/>
        <v>0</v>
      </c>
      <c r="AT71" s="1145">
        <f t="shared" ca="1" si="169"/>
        <v>-3068.214410803027</v>
      </c>
      <c r="AU71" s="1145">
        <f t="shared" ca="1" si="169"/>
        <v>-3054.2541317150194</v>
      </c>
      <c r="AV71" s="1145">
        <f t="shared" ca="1" si="169"/>
        <v>-580.82834753994018</v>
      </c>
      <c r="AW71" s="1145">
        <f t="shared" ca="1" si="169"/>
        <v>-193.55328000000003</v>
      </c>
      <c r="AX71" s="1145">
        <f t="shared" ca="1" si="169"/>
        <v>-27.366299513783936</v>
      </c>
      <c r="AY71" s="1145">
        <f t="shared" ca="1" si="169"/>
        <v>-59.966279233199998</v>
      </c>
      <c r="AZ71" s="1145">
        <f t="shared" ca="1" si="169"/>
        <v>0</v>
      </c>
      <c r="BA71" s="1145">
        <f t="shared" ca="1" si="169"/>
        <v>0</v>
      </c>
      <c r="BB71" s="1145">
        <f t="shared" ca="1" si="169"/>
        <v>0</v>
      </c>
      <c r="BC71" s="1145">
        <f t="shared" ca="1" si="169"/>
        <v>-195.75107398800003</v>
      </c>
      <c r="BD71" s="1145">
        <f t="shared" ca="1" si="169"/>
        <v>0</v>
      </c>
      <c r="BE71" s="1145">
        <f t="shared" ca="1" si="169"/>
        <v>-0.30591778749999998</v>
      </c>
      <c r="BF71" s="1145">
        <f t="shared" ca="1" si="169"/>
        <v>-965.3605542966875</v>
      </c>
      <c r="BG71" s="1145">
        <f ca="1">SUM(AN71:BF71)</f>
        <v>-12706.133943321098</v>
      </c>
      <c r="BI71" s="1146">
        <f ca="1">BI$23+BI$52+BI$68</f>
        <v>3112.3803529601846</v>
      </c>
      <c r="BJ71" s="1146">
        <f ca="1">BJ$23+BJ$52+BJ$68</f>
        <v>910.76948797011448</v>
      </c>
      <c r="BK71" s="1146">
        <f ca="1">SUM(BI71:BJ71)</f>
        <v>4023.149840930299</v>
      </c>
      <c r="BM71" s="1039">
        <f t="shared" ca="1" si="154"/>
        <v>0</v>
      </c>
      <c r="BN71" s="1039"/>
      <c r="BP71" s="1147">
        <f t="shared" ref="BP71:DG71" ca="1" si="170">BP$23+BP$52+BP$68</f>
        <v>3134.8651799678455</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0</v>
      </c>
      <c r="DE71" s="1147">
        <f t="shared" ca="1" si="170"/>
        <v>0</v>
      </c>
      <c r="DF71" s="1147">
        <f t="shared" ca="1" si="170"/>
        <v>0</v>
      </c>
      <c r="DG71" s="1147">
        <f t="shared" ca="1" si="170"/>
        <v>0</v>
      </c>
      <c r="DI71" s="1085">
        <f ca="1">SUM(BP71:DG71)</f>
        <v>3134.8651799678455</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1606.8342870120703</v>
      </c>
    </row>
    <row r="75" spans="2:113">
      <c r="B75" s="2555"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1640.0251055308779</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5">
        <f ca="1">DI74/DI75</f>
        <v>0.97976200583340234</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BC61" activePane="bottomRight" state="frozen"/>
      <selection activeCell="Y9" sqref="Y9"/>
      <selection pane="topRight" activeCell="Y9" sqref="Y9"/>
      <selection pane="bottomLeft" activeCell="Y9" sqref="Y9"/>
      <selection pane="bottomRight" activeCell="BN71" sqref="BN71"/>
    </sheetView>
  </sheetViews>
  <sheetFormatPr defaultColWidth="8.85546875" defaultRowHeight="12.75" outlineLevelRow="1" outlineLevelCol="2"/>
  <cols>
    <col min="1" max="1" width="6.140625" style="2555" customWidth="1"/>
    <col min="2" max="2" width="1.42578125" style="2555" customWidth="1"/>
    <col min="3" max="3" width="4.42578125" style="621" customWidth="1"/>
    <col min="4" max="4" width="5.140625" style="730" customWidth="1"/>
    <col min="5" max="5" width="41.7109375" style="730" customWidth="1"/>
    <col min="6" max="6" width="1.140625" style="2555"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5"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5" customWidth="1" outlineLevel="1"/>
    <col min="40" max="58" width="10" style="730" customWidth="1" outlineLevel="2"/>
    <col min="59" max="59" width="10" style="730" customWidth="1" outlineLevel="1"/>
    <col min="60" max="60" width="1.140625" style="2555" customWidth="1" outlineLevel="1"/>
    <col min="61" max="62" width="10" style="730" customWidth="1" outlineLevel="2"/>
    <col min="63" max="63" width="10" style="730" customWidth="1" outlineLevel="1"/>
    <col min="64" max="64" width="1.140625" style="2555" customWidth="1" outlineLevel="1"/>
    <col min="65" max="65" width="11" style="730" customWidth="1" outlineLevel="1"/>
    <col min="66" max="66" width="5.28515625" style="730" customWidth="1"/>
    <col min="67" max="67" width="8.85546875" style="2555"/>
    <col min="68" max="111" width="7.42578125" style="2555" customWidth="1"/>
    <col min="112" max="112" width="2.42578125" style="2555" customWidth="1"/>
    <col min="113" max="16384" width="8.85546875" style="2555"/>
  </cols>
  <sheetData>
    <row r="1" spans="1:113" ht="9" customHeight="1"/>
    <row r="2" spans="1:113" ht="21" customHeight="1">
      <c r="D2" s="718"/>
      <c r="E2" s="986">
        <v>2027</v>
      </c>
      <c r="G2" s="2555"/>
      <c r="H2" s="2555"/>
      <c r="I2" s="2555"/>
      <c r="J2" s="2555"/>
      <c r="K2" s="2555"/>
      <c r="L2" s="2555"/>
      <c r="M2" s="2555"/>
      <c r="N2" s="2555"/>
      <c r="O2" s="2555"/>
      <c r="P2" s="2555"/>
      <c r="Q2" s="2555"/>
      <c r="R2" s="2555"/>
      <c r="T2" s="2555"/>
      <c r="U2" s="2555"/>
      <c r="V2" s="2555"/>
      <c r="W2" s="2555"/>
      <c r="X2" s="2555"/>
      <c r="Y2" s="2555"/>
      <c r="Z2" s="2555"/>
      <c r="AA2" s="2555"/>
      <c r="AB2" s="2555"/>
      <c r="AC2" s="2555"/>
      <c r="AD2" s="2555"/>
      <c r="AE2" s="2555"/>
      <c r="AF2" s="2555"/>
      <c r="AG2" s="2555"/>
      <c r="AH2" s="2555"/>
      <c r="AI2" s="2555"/>
      <c r="AJ2" s="2555"/>
      <c r="AK2" s="2555"/>
      <c r="AL2" s="2555"/>
      <c r="AN2" s="2555"/>
      <c r="AO2" s="2555"/>
      <c r="AP2" s="2555"/>
      <c r="AQ2" s="2555"/>
      <c r="AR2" s="2555"/>
      <c r="AS2" s="2555"/>
      <c r="AT2" s="2555"/>
      <c r="AU2" s="2555"/>
      <c r="AV2" s="2555"/>
      <c r="AW2" s="2555"/>
      <c r="AX2" s="2555"/>
      <c r="AY2" s="2555"/>
      <c r="AZ2" s="2555"/>
      <c r="BA2" s="2555"/>
      <c r="BB2" s="2555"/>
      <c r="BC2" s="2555"/>
      <c r="BD2" s="2555"/>
      <c r="BE2" s="2555"/>
      <c r="BF2" s="2555"/>
      <c r="BG2" s="2555"/>
      <c r="BI2" s="2555"/>
      <c r="BJ2" s="2555"/>
      <c r="BK2" s="2555"/>
      <c r="BM2" s="2555"/>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hidden="1"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774.27220243376769</v>
      </c>
      <c r="H10" s="1051">
        <f t="shared" ca="1" si="0"/>
        <v>0</v>
      </c>
      <c r="I10" s="1051">
        <f t="shared" ca="1" si="0"/>
        <v>0</v>
      </c>
      <c r="J10" s="1051">
        <f t="shared" ca="1" si="0"/>
        <v>0</v>
      </c>
      <c r="K10" s="1051">
        <f t="shared" ca="1" si="0"/>
        <v>0</v>
      </c>
      <c r="L10" s="1051">
        <f t="shared" ca="1" si="0"/>
        <v>0</v>
      </c>
      <c r="M10" s="1051">
        <f t="shared" ca="1" si="0"/>
        <v>5.4946305628478724E-13</v>
      </c>
      <c r="N10" s="1051">
        <f t="shared" ca="1" si="0"/>
        <v>0</v>
      </c>
      <c r="O10" s="1051">
        <f t="shared" ca="1" si="0"/>
        <v>0</v>
      </c>
      <c r="P10" s="1051">
        <f t="shared" ca="1" si="0"/>
        <v>0</v>
      </c>
      <c r="Q10" s="1051">
        <f t="shared" ca="1" si="0"/>
        <v>0</v>
      </c>
      <c r="R10" s="1051">
        <f ca="1">SUM(G10:Q10)</f>
        <v>774.27220243376826</v>
      </c>
      <c r="T10" s="1053">
        <f t="shared" ref="T10:BF11" ca="1" si="1">IFERROR(INDEX(INDIRECT($C10&amp;".Outputs["&amp;this.year&amp;"]"), MATCH(T$5, INDIRECT($C10&amp;".Outputs[Vector]"), 0)), 0)</f>
        <v>-770.89941292875449</v>
      </c>
      <c r="U10" s="1053">
        <f t="shared" ca="1" si="1"/>
        <v>0</v>
      </c>
      <c r="V10" s="1053">
        <f t="shared" ca="1" si="1"/>
        <v>0</v>
      </c>
      <c r="W10" s="1053">
        <f t="shared" ca="1" si="1"/>
        <v>-3.372789505013718</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-774.27220243376826</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0.89960387313435453</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0.89960387313435453</v>
      </c>
    </row>
    <row r="11" spans="1:113" s="51" customFormat="1" ht="12.75" hidden="1" customHeight="1" outlineLevel="1">
      <c r="A11" s="1061"/>
      <c r="B11" s="1061"/>
      <c r="C11" s="1048" t="s">
        <v>301</v>
      </c>
      <c r="D11" s="1064" t="str">
        <f>INDEX(Modules[Module], MATCH($C11, Modules[Code], 0))</f>
        <v>Commercial Lighting &amp; Appliances</v>
      </c>
      <c r="E11" s="1064"/>
      <c r="G11" s="1065">
        <f t="shared" ca="1" si="0"/>
        <v>0</v>
      </c>
      <c r="H11" s="1065">
        <f t="shared" ca="1" si="0"/>
        <v>315.42107081978503</v>
      </c>
      <c r="I11" s="1065">
        <f t="shared" ca="1" si="0"/>
        <v>0</v>
      </c>
      <c r="J11" s="1065">
        <f t="shared" ca="1" si="0"/>
        <v>0</v>
      </c>
      <c r="K11" s="1065">
        <f t="shared" ca="1" si="0"/>
        <v>0</v>
      </c>
      <c r="L11" s="1065">
        <f t="shared" ca="1" si="0"/>
        <v>0</v>
      </c>
      <c r="M11" s="1065">
        <f t="shared" ca="1" si="0"/>
        <v>-0.1102431734265969</v>
      </c>
      <c r="N11" s="1065">
        <f t="shared" ca="1" si="0"/>
        <v>0</v>
      </c>
      <c r="O11" s="1065">
        <f t="shared" ca="1" si="0"/>
        <v>0</v>
      </c>
      <c r="P11" s="1065">
        <f t="shared" ca="1" si="0"/>
        <v>0</v>
      </c>
      <c r="Q11" s="1065">
        <f t="shared" ca="1" si="0"/>
        <v>0</v>
      </c>
      <c r="R11" s="1065">
        <f ca="1">SUM(G11:Q11)</f>
        <v>315.3108276463584</v>
      </c>
      <c r="T11" s="1066">
        <f t="shared" ca="1" si="1"/>
        <v>-315.3108276463584</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-315.3108276463584</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ollapsed="1">
      <c r="A12" s="17"/>
      <c r="B12" s="53"/>
      <c r="C12" s="711" t="s">
        <v>196</v>
      </c>
      <c r="D12" s="710" t="str">
        <f>INDEX(Workstreams[Workstream], MATCH($C12, Workstreams[Code], 0))</f>
        <v>Lighting and appliances</v>
      </c>
      <c r="E12" s="41"/>
      <c r="G12" s="1071">
        <f ca="1">G10+G11</f>
        <v>774.27220243376769</v>
      </c>
      <c r="H12" s="1071">
        <f t="shared" ref="H12:Q12" ca="1" si="11">H10+H11</f>
        <v>315.42107081978503</v>
      </c>
      <c r="I12" s="1071">
        <f t="shared" ca="1" si="11"/>
        <v>0</v>
      </c>
      <c r="J12" s="1071">
        <f t="shared" ca="1" si="11"/>
        <v>0</v>
      </c>
      <c r="K12" s="1071">
        <f t="shared" ca="1" si="11"/>
        <v>0</v>
      </c>
      <c r="L12" s="1071">
        <f t="shared" ca="1" si="11"/>
        <v>0</v>
      </c>
      <c r="M12" s="1071">
        <f ca="1">M11+M10</f>
        <v>-0.11024317342604743</v>
      </c>
      <c r="N12" s="1071">
        <f t="shared" ca="1" si="11"/>
        <v>0</v>
      </c>
      <c r="O12" s="1071">
        <f t="shared" ca="1" si="11"/>
        <v>0</v>
      </c>
      <c r="P12" s="1071">
        <f t="shared" ca="1" si="11"/>
        <v>0</v>
      </c>
      <c r="Q12" s="1071">
        <f t="shared" ca="1" si="11"/>
        <v>0</v>
      </c>
      <c r="R12" s="1071">
        <f ca="1">SUM(G12:Q12)</f>
        <v>1089.5830300801267</v>
      </c>
      <c r="T12" s="1043">
        <f ca="1">T10+T11</f>
        <v>-1086.2102405751129</v>
      </c>
      <c r="U12" s="1043">
        <f t="shared" ref="U12:AK12" ca="1" si="12">U10+U11</f>
        <v>0</v>
      </c>
      <c r="V12" s="1043">
        <f t="shared" ca="1" si="12"/>
        <v>0</v>
      </c>
      <c r="W12" s="1043">
        <f t="shared" ca="1" si="12"/>
        <v>-3.372789505013718</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-1089.5830300801267</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0</v>
      </c>
      <c r="BN12" s="1046"/>
      <c r="BO12" s="97"/>
      <c r="BP12" s="1058">
        <f t="shared" ref="BP12:DG12" ca="1" si="14">BP10+BP11</f>
        <v>0.89960387313435453</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0.89960387313435453</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5520.8820237437531</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5520.8820237437531</v>
      </c>
      <c r="T13" s="1066">
        <f t="shared" ref="T13:BF13" ca="1" si="16">IFERROR(INDEX(INDIRECT($C13&amp;".Outputs["&amp;this.year&amp;"]"), MATCH(T$5, INDIRECT($C13&amp;".Outputs[Vector]"), 0)), 0)</f>
        <v>-792.48188677491407</v>
      </c>
      <c r="U13" s="1066">
        <f t="shared" ca="1" si="16"/>
        <v>0</v>
      </c>
      <c r="V13" s="1066">
        <f t="shared" ca="1" si="16"/>
        <v>-2811.3453134814672</v>
      </c>
      <c r="W13" s="1066">
        <f t="shared" ca="1" si="16"/>
        <v>-1142.4507584361977</v>
      </c>
      <c r="X13" s="1066">
        <f t="shared" ca="1" si="16"/>
        <v>-774.60406505117362</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-5520.8820237437521</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9.0949470177292824E-13</v>
      </c>
      <c r="BN13" s="1063"/>
      <c r="BO13" s="97"/>
      <c r="BP13" s="1069">
        <f t="shared" ref="BP13:DG13" ca="1" si="18">IFERROR(SUMIFS(INDIRECT($C13&amp;".Emissions["&amp;this.year&amp;"]"), INDIRECT($C13&amp;".Emissions[GHG]"), BP$6, INDIRECT($C13&amp;".Emissions[IPCC Sector]"), BP$5),0)</f>
        <v>1292.1235454326741</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1292.1235454326741</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5520.8820237437531</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5520.8820237437531</v>
      </c>
      <c r="T14" s="1043">
        <f t="shared" ref="T14:AK14" ca="1" si="20">T13</f>
        <v>-792.48188677491407</v>
      </c>
      <c r="U14" s="1043">
        <f t="shared" ca="1" si="20"/>
        <v>0</v>
      </c>
      <c r="V14" s="1043">
        <f t="shared" ca="1" si="20"/>
        <v>-2811.3453134814672</v>
      </c>
      <c r="W14" s="1043">
        <f t="shared" ca="1" si="20"/>
        <v>-1142.4507584361977</v>
      </c>
      <c r="X14" s="1043">
        <f t="shared" ca="1" si="20"/>
        <v>-774.60406505117362</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-5520.8820237437521</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9.0949470177292824E-13</v>
      </c>
      <c r="BN14" s="1046"/>
      <c r="BO14" s="97"/>
      <c r="BP14" s="1058">
        <f t="shared" ref="BP14:DG14" ca="1" si="22">BP13</f>
        <v>1292.1235454326741</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1292.1235454326741</v>
      </c>
    </row>
    <row r="15" spans="1:113" s="51" customFormat="1" ht="12.75" hidden="1"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1318.2795219649072</v>
      </c>
      <c r="K15" s="1051">
        <f t="shared" ca="1" si="23"/>
        <v>29.639376171793376</v>
      </c>
      <c r="L15" s="1051">
        <f t="shared" ca="1" si="23"/>
        <v>84.497546291515135</v>
      </c>
      <c r="M15" s="1051">
        <f t="shared" ca="1" si="23"/>
        <v>0</v>
      </c>
      <c r="N15" s="1051">
        <f t="shared" ca="1" si="23"/>
        <v>0</v>
      </c>
      <c r="O15" s="1051">
        <f t="shared" ca="1" si="23"/>
        <v>0</v>
      </c>
      <c r="P15" s="1051">
        <f t="shared" ca="1" si="23"/>
        <v>0</v>
      </c>
      <c r="Q15" s="1051">
        <f t="shared" ca="1" si="23"/>
        <v>0</v>
      </c>
      <c r="R15" s="1071">
        <f t="shared" ref="R15:R23" ca="1" si="24">SUM(G15:Q15)</f>
        <v>1432.4164444282158</v>
      </c>
      <c r="T15" s="1053">
        <f t="shared" ref="T15:BF16" ca="1" si="25">IFERROR(INDEX(INDIRECT($C15&amp;".Outputs["&amp;this.year&amp;"]"), MATCH(T$5, INDIRECT($C15&amp;".Outputs[Vector]"), 0)), 0)</f>
        <v>-15.183119042462815</v>
      </c>
      <c r="U15" s="1053">
        <f t="shared" ca="1" si="25"/>
        <v>0</v>
      </c>
      <c r="V15" s="1053">
        <f t="shared" ca="1" si="25"/>
        <v>0</v>
      </c>
      <c r="W15" s="1053">
        <f t="shared" ca="1" si="25"/>
        <v>-1366.9218837163678</v>
      </c>
      <c r="X15" s="1053">
        <f t="shared" ca="1" si="25"/>
        <v>-50.311441669385388</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-1432.416444428216</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-2.2737367544323206E-13</v>
      </c>
      <c r="BN15" s="1063"/>
      <c r="BO15" s="97"/>
      <c r="BP15" s="1057">
        <f t="shared" ref="BP15:BY16" ca="1" si="30">IFERROR(SUMIFS(INDIRECT($C15&amp;".Emissions["&amp;this.year&amp;"]"), INDIRECT($C15&amp;".Emissions[GHG]"), BP$6, INDIRECT($C15&amp;".Emissions[IPCC Sector]"), BP$5),0)</f>
        <v>374.60018732986288</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374.60018732986288</v>
      </c>
    </row>
    <row r="16" spans="1:113" s="51" customFormat="1" ht="12.75" hidden="1"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995.76759082397211</v>
      </c>
      <c r="K16" s="1051">
        <f t="shared" ca="1" si="23"/>
        <v>48.663661568261773</v>
      </c>
      <c r="L16" s="1051">
        <f t="shared" ca="1" si="23"/>
        <v>3.8196402664699924</v>
      </c>
      <c r="M16" s="1051">
        <f t="shared" ca="1" si="23"/>
        <v>0</v>
      </c>
      <c r="N16" s="1051">
        <f t="shared" ca="1" si="23"/>
        <v>0</v>
      </c>
      <c r="O16" s="1051">
        <f t="shared" ca="1" si="23"/>
        <v>0</v>
      </c>
      <c r="P16" s="1051">
        <f t="shared" ca="1" si="23"/>
        <v>0</v>
      </c>
      <c r="Q16" s="1051">
        <f t="shared" ca="1" si="23"/>
        <v>0</v>
      </c>
      <c r="R16" s="1071">
        <f t="shared" ca="1" si="24"/>
        <v>1048.2508926587041</v>
      </c>
      <c r="T16" s="1053">
        <f t="shared" ca="1" si="25"/>
        <v>-17.610110958084224</v>
      </c>
      <c r="U16" s="1053">
        <f t="shared" ca="1" si="25"/>
        <v>0</v>
      </c>
      <c r="V16" s="1053">
        <f t="shared" ca="1" si="25"/>
        <v>0</v>
      </c>
      <c r="W16" s="1053">
        <f t="shared" ca="1" si="25"/>
        <v>-1030.6407817006198</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-1048.2508926587041</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0</v>
      </c>
      <c r="BN16" s="1063"/>
      <c r="BO16" s="97"/>
      <c r="BP16" s="1057">
        <f t="shared" ca="1" si="30"/>
        <v>274.89662122401739</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274.89662122401739</v>
      </c>
    </row>
    <row r="17" spans="1:113" s="51" customFormat="1" ht="15.75" collapsed="1">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2314.0471127888795</v>
      </c>
      <c r="K17" s="1071">
        <f t="shared" ca="1" si="34"/>
        <v>78.303037740055146</v>
      </c>
      <c r="L17" s="1071">
        <f t="shared" ca="1" si="34"/>
        <v>88.317186557985124</v>
      </c>
      <c r="M17" s="1071">
        <f t="shared" ca="1" si="34"/>
        <v>0</v>
      </c>
      <c r="N17" s="1071">
        <f t="shared" ca="1" si="34"/>
        <v>0</v>
      </c>
      <c r="O17" s="1071">
        <f t="shared" ca="1" si="34"/>
        <v>0</v>
      </c>
      <c r="P17" s="1071">
        <f t="shared" ca="1" si="34"/>
        <v>0</v>
      </c>
      <c r="Q17" s="1071">
        <f t="shared" ca="1" si="34"/>
        <v>0</v>
      </c>
      <c r="R17" s="1071">
        <f t="shared" ca="1" si="24"/>
        <v>2480.6673370869198</v>
      </c>
      <c r="T17" s="1043">
        <f ca="1">T15+T16</f>
        <v>-32.793230000547041</v>
      </c>
      <c r="U17" s="1043">
        <f t="shared" ref="U17:AK17" ca="1" si="35">U15+U16</f>
        <v>0</v>
      </c>
      <c r="V17" s="1043">
        <f t="shared" ca="1" si="35"/>
        <v>0</v>
      </c>
      <c r="W17" s="1043">
        <f t="shared" ca="1" si="35"/>
        <v>-2397.5626654169873</v>
      </c>
      <c r="X17" s="1043">
        <f t="shared" ca="1" si="35"/>
        <v>-50.311441669385388</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-2480.6673370869194</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4.5474735088646412E-13</v>
      </c>
      <c r="BN17" s="1046"/>
      <c r="BO17" s="97"/>
      <c r="BP17" s="1058">
        <f ca="1">BP15+BP16</f>
        <v>649.49680855388033</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649.49680855388033</v>
      </c>
    </row>
    <row r="18" spans="1:113" s="51" customFormat="1" ht="12.75" hidden="1"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1156.4277437769356</v>
      </c>
      <c r="Q18" s="1065">
        <f t="shared" ca="1" si="38"/>
        <v>0</v>
      </c>
      <c r="R18" s="1071">
        <f t="shared" ca="1" si="24"/>
        <v>1156.4277437769356</v>
      </c>
      <c r="T18" s="1066">
        <f t="shared" ref="T18:BF19" ca="1" si="39">IFERROR(INDEX(INDIRECT($C18&amp;".Outputs["&amp;this.year&amp;"]"), MATCH(T$5, INDIRECT($C18&amp;".Outputs[Vector]"), 0)), 0)</f>
        <v>-5.9878453050571316</v>
      </c>
      <c r="U18" s="1066">
        <f t="shared" ca="1" si="39"/>
        <v>0</v>
      </c>
      <c r="V18" s="1066">
        <f t="shared" ca="1" si="39"/>
        <v>-950.80286163262076</v>
      </c>
      <c r="W18" s="1066">
        <f t="shared" ca="1" si="39"/>
        <v>-143.85796267118636</v>
      </c>
      <c r="X18" s="1066">
        <f t="shared" ca="1" si="39"/>
        <v>-55.779074168071169</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-1156.4277437769356</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0</v>
      </c>
      <c r="BN18" s="1046"/>
      <c r="BO18" s="17"/>
      <c r="BP18" s="1058"/>
      <c r="BQ18" s="1058"/>
      <c r="BR18" s="1058"/>
      <c r="BS18" s="1058"/>
      <c r="BT18" s="1058"/>
      <c r="BU18" s="1058"/>
      <c r="BV18" s="1058"/>
      <c r="BW18" s="1058"/>
      <c r="BX18" s="1058"/>
      <c r="BY18" s="1058"/>
      <c r="BZ18" s="1058"/>
      <c r="CA18" s="1058"/>
      <c r="CB18" s="1058"/>
      <c r="CC18" s="1058"/>
      <c r="CD18" s="1058"/>
      <c r="CE18" s="1058"/>
      <c r="CF18" s="1058"/>
      <c r="CG18" s="1058"/>
      <c r="CH18" s="1058"/>
      <c r="CI18" s="1058"/>
      <c r="CJ18" s="1058"/>
      <c r="CK18" s="1058"/>
      <c r="CL18" s="1058"/>
      <c r="CM18" s="1058"/>
      <c r="CN18" s="1058"/>
      <c r="CO18" s="1058"/>
      <c r="CP18" s="1058"/>
      <c r="CQ18" s="1058"/>
      <c r="CR18" s="1058"/>
      <c r="CS18" s="1058"/>
      <c r="CT18" s="1058"/>
      <c r="CU18" s="1058"/>
      <c r="CV18" s="1058"/>
      <c r="CW18" s="1058"/>
      <c r="CX18" s="1058"/>
      <c r="CY18" s="1058"/>
      <c r="CZ18" s="1058"/>
      <c r="DA18" s="1058"/>
      <c r="DB18" s="1058"/>
      <c r="DC18" s="1058"/>
      <c r="DD18" s="1058"/>
      <c r="DE18" s="1058"/>
      <c r="DF18" s="1058"/>
      <c r="DG18" s="1058"/>
      <c r="DI18" s="1059">
        <f t="shared" si="10"/>
        <v>0</v>
      </c>
    </row>
    <row r="19" spans="1:113" s="51" customFormat="1" ht="12.75" hidden="1"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210.74579320156334</v>
      </c>
      <c r="R19" s="1071">
        <f t="shared" ca="1" si="24"/>
        <v>210.74579320156334</v>
      </c>
      <c r="T19" s="1066">
        <f t="shared" ca="1" si="39"/>
        <v>0</v>
      </c>
      <c r="U19" s="1066">
        <f t="shared" ca="1" si="39"/>
        <v>0</v>
      </c>
      <c r="V19" s="1066">
        <f t="shared" ca="1" si="39"/>
        <v>0</v>
      </c>
      <c r="W19" s="1066">
        <f t="shared" ca="1" si="39"/>
        <v>-159.70175687218008</v>
      </c>
      <c r="X19" s="1066">
        <f t="shared" ca="1" si="39"/>
        <v>-51.044036329383246</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-210.74579320156334</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0</v>
      </c>
      <c r="BN19" s="1063"/>
      <c r="BO19" s="97"/>
      <c r="BP19" s="1069">
        <f t="shared" ref="BP19:DG19" ca="1" si="42">IFERROR(SUMIFS(INDIRECT($C19&amp;".Emissions["&amp;this.year&amp;"]"), INDIRECT($C19&amp;".Emissions[GHG]"), BP$6, INDIRECT($C19&amp;".Emissions[IPCC Sector]"), BP$5),0)</f>
        <v>52.751366453469238</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52.751366453469238</v>
      </c>
    </row>
    <row r="20" spans="1:113" s="51" customFormat="1" ht="15.75" collapsed="1">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1156.4277437769356</v>
      </c>
      <c r="Q20" s="1071">
        <f t="shared" ca="1" si="43"/>
        <v>210.74579320156334</v>
      </c>
      <c r="R20" s="1071">
        <f t="shared" ca="1" si="24"/>
        <v>1367.173536978499</v>
      </c>
      <c r="T20" s="1043">
        <f ca="1">T19+T18</f>
        <v>-5.9878453050571316</v>
      </c>
      <c r="U20" s="1043">
        <f t="shared" ref="U20:AK20" ca="1" si="44">U19+U18</f>
        <v>0</v>
      </c>
      <c r="V20" s="1043">
        <f t="shared" ca="1" si="44"/>
        <v>-950.80286163262076</v>
      </c>
      <c r="W20" s="1043">
        <f t="shared" ca="1" si="44"/>
        <v>-303.55971954336644</v>
      </c>
      <c r="X20" s="1043">
        <f t="shared" ca="1" si="44"/>
        <v>-106.82311049745442</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-1367.1735369784988</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2.2737367544323206E-13</v>
      </c>
      <c r="BN20" s="1046"/>
      <c r="BO20" s="97"/>
      <c r="BP20" s="1058">
        <f t="shared" ref="BP20:DG20" ca="1" si="46">BP19</f>
        <v>52.751366453469238</v>
      </c>
      <c r="BQ20" s="1058">
        <f t="shared" ca="1" si="46"/>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52.751366453469238</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591.38499180914857</v>
      </c>
      <c r="O21" s="1065">
        <f t="shared" ca="1" si="47"/>
        <v>0</v>
      </c>
      <c r="P21" s="1065">
        <f t="shared" ca="1" si="47"/>
        <v>0</v>
      </c>
      <c r="Q21" s="1065">
        <f t="shared" ca="1" si="47"/>
        <v>0</v>
      </c>
      <c r="R21" s="1071">
        <f t="shared" ca="1" si="24"/>
        <v>591.38499180914857</v>
      </c>
      <c r="T21" s="1066">
        <f t="shared" ref="T21:BF22" ca="1" si="48">IFERROR(INDEX(INDIRECT($C21&amp;".Outputs["&amp;this.year&amp;"]"), MATCH(T$5, INDIRECT($C21&amp;".Outputs[Vector]"), 0)), 0)</f>
        <v>-335.74068575957824</v>
      </c>
      <c r="U21" s="1066">
        <f t="shared" ca="1" si="48"/>
        <v>0</v>
      </c>
      <c r="V21" s="1066">
        <f t="shared" ca="1" si="48"/>
        <v>0</v>
      </c>
      <c r="W21" s="1066">
        <f t="shared" ca="1" si="48"/>
        <v>-255.64430604957033</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-591.38499180914857</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68.186469248991159</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68.186469248991159</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159.42605002636802</v>
      </c>
      <c r="P22" s="1065">
        <f t="shared" ca="1" si="47"/>
        <v>0</v>
      </c>
      <c r="Q22" s="1065">
        <f t="shared" ca="1" si="47"/>
        <v>0</v>
      </c>
      <c r="R22" s="1071">
        <f t="shared" ca="1" si="24"/>
        <v>159.42605002636802</v>
      </c>
      <c r="T22" s="1066">
        <f t="shared" ca="1" si="48"/>
        <v>-37.448347295363597</v>
      </c>
      <c r="U22" s="1066">
        <f t="shared" ca="1" si="48"/>
        <v>0</v>
      </c>
      <c r="V22" s="1066">
        <f t="shared" ca="1" si="48"/>
        <v>0</v>
      </c>
      <c r="W22" s="1066">
        <f t="shared" ca="1" si="48"/>
        <v>-121.17523814610375</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-0.80246458490064865</v>
      </c>
      <c r="AK22" s="1066">
        <f t="shared" ca="1" si="48"/>
        <v>0</v>
      </c>
      <c r="AL22" s="1043">
        <f t="shared" ca="1" si="3"/>
        <v>-159.42605002636802</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32.320342968977968</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32.320342968977968</v>
      </c>
    </row>
    <row r="23" spans="1:113" s="51" customFormat="1" ht="15.75">
      <c r="B23" s="53"/>
      <c r="C23" s="1076" t="s">
        <v>1107</v>
      </c>
      <c r="D23" s="1077" t="s">
        <v>1108</v>
      </c>
      <c r="E23" s="1078"/>
      <c r="G23" s="1079">
        <f ca="1">G$9+G$12+G$14+G$17+G$20+G$21+G$22</f>
        <v>774.27220243376769</v>
      </c>
      <c r="H23" s="1079">
        <f t="shared" ref="H23:Q23" ca="1" si="52">H$9+H$12+H$14+H$17+H$20+H$21+H$22</f>
        <v>315.42107081978503</v>
      </c>
      <c r="I23" s="1079">
        <f t="shared" ca="1" si="52"/>
        <v>5520.8820237437531</v>
      </c>
      <c r="J23" s="1079">
        <f t="shared" ca="1" si="52"/>
        <v>2314.0471127888795</v>
      </c>
      <c r="K23" s="1079">
        <f t="shared" ca="1" si="52"/>
        <v>78.303037740055146</v>
      </c>
      <c r="L23" s="1079">
        <f t="shared" ca="1" si="52"/>
        <v>88.317186557985124</v>
      </c>
      <c r="M23" s="1079">
        <f ca="1">M$12+M$14+M$17+M$20+M$21+M$22</f>
        <v>-0.11024317342604743</v>
      </c>
      <c r="N23" s="1079">
        <f t="shared" ca="1" si="52"/>
        <v>591.38499180914857</v>
      </c>
      <c r="O23" s="1079">
        <f t="shared" ca="1" si="52"/>
        <v>159.42605002636802</v>
      </c>
      <c r="P23" s="1079">
        <f t="shared" ca="1" si="52"/>
        <v>1156.4277437769356</v>
      </c>
      <c r="Q23" s="1079">
        <f t="shared" ca="1" si="52"/>
        <v>210.74579320156334</v>
      </c>
      <c r="R23" s="2400">
        <f t="shared" ca="1" si="24"/>
        <v>11209.116969724817</v>
      </c>
      <c r="T23" s="1080">
        <f ca="1">T$9+T$12+T$14+T$17+T$20+T$21+T$22</f>
        <v>-2290.662235710573</v>
      </c>
      <c r="U23" s="1080">
        <f t="shared" ref="U23:AK23" ca="1" si="53">U$9+U$12+U$14+U$17+U$20+U$21+U$22</f>
        <v>0</v>
      </c>
      <c r="V23" s="1080">
        <f t="shared" ca="1" si="53"/>
        <v>-3762.1481751140882</v>
      </c>
      <c r="W23" s="1080">
        <f t="shared" ca="1" si="53"/>
        <v>-4223.7654770972395</v>
      </c>
      <c r="X23" s="1080">
        <f t="shared" ca="1" si="53"/>
        <v>-931.73861721801347</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-0.80246458490064865</v>
      </c>
      <c r="AK23" s="1080">
        <f t="shared" ca="1" si="53"/>
        <v>0</v>
      </c>
      <c r="AL23" s="1080">
        <f t="shared" ca="1" si="3"/>
        <v>-11209.116969724813</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3.637978807091713E-12</v>
      </c>
      <c r="BN23" s="1083"/>
      <c r="BP23" s="1084">
        <f t="shared" ref="BP23:DG23" ca="1" si="55">BP$9+BP$12+BP$14+BP$17+BP$20+BP$21</f>
        <v>2063.4577935621492</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2063.4577935621492</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13.866531250000003</v>
      </c>
      <c r="V26" s="1073">
        <f t="shared" ca="1" si="59"/>
        <v>-55.466125000000012</v>
      </c>
      <c r="W26" s="1073">
        <f t="shared" ca="1" si="59"/>
        <v>0</v>
      </c>
      <c r="X26" s="1073">
        <f t="shared" ca="1" si="59"/>
        <v>13.426494444444447</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-13.426494444444447</v>
      </c>
      <c r="AI26" s="1073">
        <f t="shared" ca="1" si="59"/>
        <v>0</v>
      </c>
      <c r="AJ26" s="1073">
        <f t="shared" ca="1" si="59"/>
        <v>0</v>
      </c>
      <c r="AK26" s="1073">
        <f t="shared" ca="1" si="59"/>
        <v>0</v>
      </c>
      <c r="AL26" s="1066">
        <f t="shared" ref="AL26:AL34" ca="1" si="60">SUM(T26:AK26)</f>
        <v>-41.599593750000011</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41.599593750000011</v>
      </c>
      <c r="BJ26" s="1075">
        <f t="shared" ca="1" si="63"/>
        <v>0</v>
      </c>
      <c r="BK26" s="1045">
        <f t="shared" ca="1" si="56"/>
        <v>41.599593750000011</v>
      </c>
      <c r="BM26" s="1046">
        <f t="shared" ca="1" si="5"/>
        <v>0</v>
      </c>
      <c r="BN26" s="1046"/>
      <c r="BO26" s="17"/>
      <c r="BP26" s="1069">
        <f t="shared" ref="BP26:DG30" ca="1" si="64">IFERROR(SUMIFS(INDIRECT($C26&amp;".Emissions["&amp;this.year&amp;"]"), INDIRECT($C26&amp;".Emissions[GHG]"), BP$6, INDIRECT($C26&amp;".Emissions[IPCC Sector]"), BP$5),0)</f>
        <v>19.252113064516134</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-2.6711657368421058</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16.580947327674028</v>
      </c>
    </row>
    <row r="27" spans="1:113" s="1087" customFormat="1" ht="15"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11.174550655547504</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-0.41826750874999996</v>
      </c>
      <c r="AG27" s="1073">
        <f t="shared" ca="1" si="59"/>
        <v>-10.741007756172506</v>
      </c>
      <c r="AH27" s="1073">
        <f t="shared" ca="1" si="59"/>
        <v>-1.5275390625000003E-2</v>
      </c>
      <c r="AI27" s="1073">
        <f t="shared" ca="1" si="59"/>
        <v>0</v>
      </c>
      <c r="AJ27" s="1073">
        <f t="shared" ca="1" si="59"/>
        <v>0</v>
      </c>
      <c r="AK27" s="1073">
        <f t="shared" ca="1" si="59"/>
        <v>0</v>
      </c>
      <c r="AL27" s="1066">
        <f t="shared" ca="1" si="60"/>
        <v>-1.9498291869979312E-15</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-1.9498291869979312E-15</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-2.9805207337496435</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-2.9805207337496435</v>
      </c>
    </row>
    <row r="28" spans="1:113" s="51" customFormat="1" ht="12"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1.5275390625000003E-2</v>
      </c>
      <c r="AI28" s="1073">
        <f t="shared" ca="1" si="59"/>
        <v>0</v>
      </c>
      <c r="AJ28" s="1073">
        <f t="shared" ca="1" si="59"/>
        <v>0</v>
      </c>
      <c r="AK28" s="1073">
        <f t="shared" ca="1" si="59"/>
        <v>0</v>
      </c>
      <c r="AL28" s="1066">
        <f t="shared" ca="1" si="60"/>
        <v>1.5275390625000003E-2</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-1.5275390625000003E-2</v>
      </c>
      <c r="BG28" s="1067">
        <f t="shared" ca="1" si="62"/>
        <v>-1.5275390625000003E-2</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0.41826750874999996</v>
      </c>
      <c r="AG29" s="1073">
        <f t="shared" ca="1" si="59"/>
        <v>956.55606395344478</v>
      </c>
      <c r="AH29" s="1073">
        <f t="shared" ca="1" si="59"/>
        <v>13.426494444444447</v>
      </c>
      <c r="AI29" s="1073">
        <f t="shared" ca="1" si="59"/>
        <v>0</v>
      </c>
      <c r="AJ29" s="1073">
        <f t="shared" ca="1" si="59"/>
        <v>0</v>
      </c>
      <c r="AK29" s="1073">
        <f t="shared" ca="1" si="59"/>
        <v>0</v>
      </c>
      <c r="AL29" s="1066">
        <f t="shared" ca="1" si="60"/>
        <v>970.40082590663917</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-0.41826750874999996</v>
      </c>
      <c r="BF29" s="1074">
        <f t="shared" ca="1" si="66"/>
        <v>-969.98255839788919</v>
      </c>
      <c r="BG29" s="1067">
        <f t="shared" ca="1" si="62"/>
        <v>-970.40082590663917</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-19.252113064516134</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-19.252113064516134</v>
      </c>
    </row>
    <row r="30" spans="1:113" s="51" customFormat="1" ht="12"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945.81505619727227</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-945.81505619727227</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-309.03724192524675</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-309.03724192524675</v>
      </c>
    </row>
    <row r="31" spans="1:113" s="51" customFormat="1" ht="12" customHeight="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13.866531250000003</v>
      </c>
      <c r="V31" s="1073">
        <f t="shared" ca="1" si="68"/>
        <v>890.34893119727224</v>
      </c>
      <c r="W31" s="1073">
        <f t="shared" ca="1" si="68"/>
        <v>11.174550655547504</v>
      </c>
      <c r="X31" s="1073">
        <f t="shared" ca="1" si="68"/>
        <v>13.426494444444447</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0</v>
      </c>
      <c r="AI31" s="1073">
        <f t="shared" ca="1" si="68"/>
        <v>0</v>
      </c>
      <c r="AJ31" s="1073">
        <f t="shared" ca="1" si="68"/>
        <v>0</v>
      </c>
      <c r="AK31" s="1073">
        <f t="shared" ca="1" si="68"/>
        <v>0</v>
      </c>
      <c r="AL31" s="1066">
        <f t="shared" ca="1" si="60"/>
        <v>928.81650754726411</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-0.41826750874999996</v>
      </c>
      <c r="BF31" s="1074">
        <f t="shared" ca="1" si="69"/>
        <v>-969.99783378851419</v>
      </c>
      <c r="BG31" s="1067">
        <f t="shared" ca="1" si="62"/>
        <v>-970.41610129726416</v>
      </c>
      <c r="BI31" s="1075">
        <f ca="1">BI28+BI27+BI26+BI29+BI30</f>
        <v>41.599593750000011</v>
      </c>
      <c r="BJ31" s="1075">
        <f ca="1">BJ28+BJ27+BJ26+BJ29+BJ30</f>
        <v>0</v>
      </c>
      <c r="BK31" s="1045">
        <f t="shared" ca="1" si="56"/>
        <v>41.599593750000011</v>
      </c>
      <c r="BM31" s="1096">
        <f t="shared" ca="1" si="5"/>
        <v>0</v>
      </c>
      <c r="BN31" s="1046"/>
      <c r="BO31" s="97"/>
      <c r="BP31" s="1069">
        <f ca="1">BP28+BP27+BP26+BP29+BP30</f>
        <v>19.252113064516134</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-333.94104146035465</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-314.6889283958385</v>
      </c>
    </row>
    <row r="32" spans="1:113" s="51" customFormat="1" ht="14.25" hidden="1"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ollapsed="1">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hidden="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586.57321805615095</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586.57321805615095</v>
      </c>
      <c r="AN34" s="1054">
        <f t="shared" ref="AN34:BC36" ca="1" si="86">IFERROR(INDEX(INDIRECT($C34&amp;".Outputs["&amp;this.year&amp;"]"), MATCH(AN$5, INDIRECT($C34&amp;".Outputs[Vector]"), 0)), 0)</f>
        <v>0</v>
      </c>
      <c r="AO34" s="1054">
        <f t="shared" ca="1" si="86"/>
        <v>0</v>
      </c>
      <c r="AP34" s="1054">
        <f t="shared" ca="1" si="86"/>
        <v>-586.57321805615095</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-586.57321805615095</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hidden="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3874.5049279836685</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3874.5049279836685</v>
      </c>
      <c r="AN35" s="1054">
        <f t="shared" ca="1" si="86"/>
        <v>-3874.5049279836685</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-3874.5049279836685</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hidden="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404.69271243177428</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404.69271243177428</v>
      </c>
      <c r="AN36" s="1054">
        <f t="shared" ca="1" si="86"/>
        <v>0</v>
      </c>
      <c r="AO36" s="1054">
        <f t="shared" ca="1" si="86"/>
        <v>-404.69271243177428</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-404.69271243177428</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ollapsed="1">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3874.5049279836685</v>
      </c>
      <c r="Z37" s="1043">
        <f ca="1">SUM(Z34:Z36)</f>
        <v>404.69271243177428</v>
      </c>
      <c r="AA37" s="1043">
        <f ca="1">SUM(AA34:AA36)</f>
        <v>586.57321805615095</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4865.7708584715938</v>
      </c>
      <c r="AN37" s="1044">
        <f t="shared" ref="AN37:BF37" ca="1" si="95">SUM(AN34:AN36)</f>
        <v>-3874.5049279836685</v>
      </c>
      <c r="AO37" s="1044">
        <f t="shared" ca="1" si="95"/>
        <v>-404.69271243177428</v>
      </c>
      <c r="AP37" s="1044">
        <f t="shared" ca="1" si="95"/>
        <v>-586.57321805615095</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-4865.7708584715938</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171.81360000000004</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171.81360000000004</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-171.81360000000004</v>
      </c>
      <c r="BD38" s="1108">
        <f t="shared" ca="1" si="99"/>
        <v>0</v>
      </c>
      <c r="BE38" s="1108">
        <f t="shared" ca="1" si="99"/>
        <v>0</v>
      </c>
      <c r="BF38" s="1108">
        <f t="shared" ca="1" si="99"/>
        <v>0</v>
      </c>
      <c r="BG38" s="1062">
        <f t="shared" ca="1" si="96"/>
        <v>-171.81360000000004</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32.792269185000002</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0.80246458490064865</v>
      </c>
      <c r="AK39" s="1106">
        <f t="shared" ca="1" si="99"/>
        <v>0</v>
      </c>
      <c r="AL39" s="1107">
        <f t="shared" ca="1" si="92"/>
        <v>33.59473376990065</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-33.59473376990065</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-33.59473376990065</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15.638544</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15.638544</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-15.638544</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-15.638544</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81.311489233199993</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81.311489233199993</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-81.311489233199993</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-81.311489233199993</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3.02427</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3.02427</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-3.02427</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-3.02427</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27.750683988000002</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27.750683988000002</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-27.750683988000002</v>
      </c>
      <c r="BD43" s="1108">
        <f t="shared" ca="1" si="99"/>
        <v>0</v>
      </c>
      <c r="BE43" s="1108">
        <f t="shared" ca="1" si="99"/>
        <v>0</v>
      </c>
      <c r="BF43" s="1108">
        <f t="shared" ca="1" si="99"/>
        <v>0</v>
      </c>
      <c r="BG43" s="1044">
        <f t="shared" ca="1" si="96"/>
        <v>-27.750683988000002</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160.51725640619998</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0.80246458490064865</v>
      </c>
      <c r="AK44" s="1043">
        <f t="shared" ca="1" si="110"/>
        <v>0</v>
      </c>
      <c r="AL44" s="1107">
        <f t="shared" ca="1" si="92"/>
        <v>161.31972099110064</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-49.233277769900653</v>
      </c>
      <c r="AY44" s="1044">
        <f t="shared" ca="1" si="111"/>
        <v>-84.335759233199994</v>
      </c>
      <c r="AZ44" s="1044">
        <f t="shared" ca="1" si="111"/>
        <v>0</v>
      </c>
      <c r="BA44" s="1044">
        <f t="shared" ca="1" si="111"/>
        <v>0</v>
      </c>
      <c r="BB44" s="1044">
        <f t="shared" ca="1" si="111"/>
        <v>0</v>
      </c>
      <c r="BC44" s="1044">
        <f t="shared" ca="1" si="111"/>
        <v>-27.750683988000002</v>
      </c>
      <c r="BD44" s="1044">
        <f t="shared" ca="1" si="111"/>
        <v>0</v>
      </c>
      <c r="BE44" s="1044">
        <f t="shared" ca="1" si="111"/>
        <v>0</v>
      </c>
      <c r="BF44" s="1044">
        <f t="shared" ca="1" si="111"/>
        <v>0</v>
      </c>
      <c r="BG44" s="1044">
        <f t="shared" ca="1" si="111"/>
        <v>-161.31972099110064</v>
      </c>
      <c r="BI44" s="1045">
        <f ca="1">SUM(BI39:BI43)</f>
        <v>0</v>
      </c>
      <c r="BJ44" s="1045">
        <f ca="1">SUM(BJ39:BJ43)</f>
        <v>0</v>
      </c>
      <c r="BK44" s="1045">
        <f ca="1">SUM(BK39:BK43)</f>
        <v>0</v>
      </c>
      <c r="BM44" s="1046">
        <f t="shared" ca="1" si="5"/>
        <v>0</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67.743648000000007</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67.743648000000007</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-193.55328000000003</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-193.55328000000003</v>
      </c>
      <c r="BI45" s="1119">
        <f t="shared" ref="BI45:BJ50" ca="1" si="118">IFERROR(INDEX(INDIRECT($C45&amp;".Outputs["&amp;this.year&amp;"]"), MATCH(BI$5, INDIRECT($C45&amp;".Outputs[Vector]"), 0)), 0)</f>
        <v>125.80963200000002</v>
      </c>
      <c r="BJ45" s="1119">
        <f t="shared" ca="1" si="118"/>
        <v>0</v>
      </c>
      <c r="BK45" s="1045">
        <f ca="1">SUM(BI45:BJ45)</f>
        <v>125.80963200000002</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857.50498844560173</v>
      </c>
      <c r="V46" s="1117">
        <f t="shared" ca="1" si="114"/>
        <v>-2559.235856869489</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-1701.7308684238874</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1627.1652172547047</v>
      </c>
      <c r="BJ46" s="1119">
        <f t="shared" ca="1" si="118"/>
        <v>74.565651169182757</v>
      </c>
      <c r="BK46" s="1045">
        <f ca="1">SUM(BI46:BJ46)</f>
        <v>1701.7308684238874</v>
      </c>
      <c r="BL46" s="51"/>
      <c r="BM46" s="1046">
        <f t="shared" ca="1" si="5"/>
        <v>0</v>
      </c>
      <c r="BN46" s="1063"/>
      <c r="BO46" s="97"/>
      <c r="BP46" s="1057">
        <f t="shared" ca="1" si="119"/>
        <v>888.30251031986131</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888.30251031986131</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109.8605340414</v>
      </c>
      <c r="V47" s="1117">
        <f t="shared" ca="1" si="114"/>
        <v>0</v>
      </c>
      <c r="W47" s="1117">
        <f t="shared" ca="1" si="114"/>
        <v>0</v>
      </c>
      <c r="X47" s="1117">
        <f t="shared" ca="1" si="114"/>
        <v>-217.65793072663513</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-107.79739668523513</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107.79739668523513</v>
      </c>
      <c r="BJ47" s="1119">
        <f t="shared" ca="1" si="118"/>
        <v>0</v>
      </c>
      <c r="BK47" s="1045">
        <f ca="1">SUM(BI47:BJ47)</f>
        <v>107.79739668523513</v>
      </c>
      <c r="BL47" s="51"/>
      <c r="BM47" s="1046">
        <f t="shared" ca="1" si="5"/>
        <v>0</v>
      </c>
      <c r="BN47" s="1063"/>
      <c r="BO47" s="97"/>
      <c r="BP47" s="1057">
        <f t="shared" ca="1" si="119"/>
        <v>36.427440234780001</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36.427440234780001</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0</v>
      </c>
      <c r="V48" s="1117">
        <f t="shared" ca="1" si="114"/>
        <v>0</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0</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0</v>
      </c>
      <c r="BJ48" s="1119">
        <f t="shared" ca="1" si="118"/>
        <v>0</v>
      </c>
      <c r="BK48" s="1045">
        <f ca="1">SUM(BI48:BJ48)</f>
        <v>0</v>
      </c>
      <c r="BL48" s="51"/>
      <c r="BM48" s="1046">
        <f t="shared" ca="1" si="5"/>
        <v>0</v>
      </c>
      <c r="BN48" s="1063"/>
      <c r="BO48" s="97"/>
      <c r="BP48" s="1057">
        <f t="shared" ca="1" si="119"/>
        <v>0</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0</v>
      </c>
      <c r="DE48" s="1057">
        <f t="shared" ca="1" si="119"/>
        <v>0</v>
      </c>
      <c r="DF48" s="1057">
        <f t="shared" ca="1" si="119"/>
        <v>0</v>
      </c>
      <c r="DG48" s="1057">
        <f t="shared" ca="1" si="119"/>
        <v>0</v>
      </c>
      <c r="DI48" s="1059">
        <f t="shared" ca="1" si="79"/>
        <v>0</v>
      </c>
    </row>
    <row r="49" spans="1:113">
      <c r="A49" s="1087"/>
      <c r="B49" s="1087"/>
      <c r="C49" s="1088" t="s">
        <v>1818</v>
      </c>
      <c r="D49" s="1114" t="s">
        <v>1817</v>
      </c>
      <c r="E49" s="1089"/>
      <c r="T49" s="2362">
        <f ca="1">T23+T33+T37+T38+T44+T45++T46+T47+T48+T31+T61</f>
        <v>-2290.662235710573</v>
      </c>
      <c r="U49" s="2362">
        <f ca="1">U23+U33+U37+U38+U44+U45++U46+U47+U48+U31+U61</f>
        <v>854.59496183366423</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1436.0672738769088</v>
      </c>
      <c r="V50" s="1117">
        <f t="shared" ca="1" si="114"/>
        <v>-3906.4006154682752</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-2470.3333415913667</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2398.5299778975213</v>
      </c>
      <c r="BJ50" s="1119">
        <f t="shared" ca="1" si="118"/>
        <v>71.803363693845441</v>
      </c>
      <c r="BK50" s="1045">
        <f ca="1">SUM(BI50:BJ50)</f>
        <v>2470.3333415913667</v>
      </c>
      <c r="BL50" s="51"/>
      <c r="BM50" s="1046">
        <f t="shared" ref="BM50:BM55" ca="1" si="120">R50+AL50+BG50+BK50</f>
        <v>0</v>
      </c>
      <c r="BN50" s="1063"/>
      <c r="BO50" s="97"/>
      <c r="BP50" s="1057">
        <f t="shared" ca="1" si="119"/>
        <v>1355.8990523367304</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1355.8990523367304</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2403.4327963639107</v>
      </c>
      <c r="V51" s="1043">
        <f t="shared" ref="V51:AK51" ca="1" si="122">V46+V47+V48+V50</f>
        <v>-6465.6364723377646</v>
      </c>
      <c r="W51" s="1043">
        <f t="shared" ca="1" si="122"/>
        <v>0</v>
      </c>
      <c r="X51" s="1043">
        <f t="shared" ca="1" si="122"/>
        <v>-217.65793072663513</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-4279.8616067004887</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4133.4925918374611</v>
      </c>
      <c r="BJ51" s="1045">
        <f ca="1">BJ46+BJ47+BJ48+BJ50</f>
        <v>146.36901486302821</v>
      </c>
      <c r="BK51" s="1045">
        <f ca="1">SUM(BI51:BJ51)</f>
        <v>4279.8616067004896</v>
      </c>
      <c r="BM51" s="1046">
        <f t="shared" ca="1" si="120"/>
        <v>0</v>
      </c>
      <c r="BN51" s="1046"/>
      <c r="BO51" s="97"/>
      <c r="BP51" s="1058">
        <f ca="1">BP46+BP47+BP48+BP50</f>
        <v>2280.6290028913718</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0</v>
      </c>
      <c r="DE51" s="1058">
        <f t="shared" ca="1" si="124"/>
        <v>0</v>
      </c>
      <c r="DF51" s="1058">
        <f t="shared" ca="1" si="124"/>
        <v>0</v>
      </c>
      <c r="DG51" s="1058">
        <f t="shared" ca="1" si="124"/>
        <v>0</v>
      </c>
      <c r="DI51" s="1059">
        <f ca="1">SUM(BP51:DG51)</f>
        <v>2280.6290028913718</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2817.373832020111</v>
      </c>
      <c r="V52" s="1080">
        <f t="shared" ca="1" si="126"/>
        <v>-5575.2875411404921</v>
      </c>
      <c r="W52" s="1080">
        <f t="shared" ca="1" si="126"/>
        <v>11.174550655547504</v>
      </c>
      <c r="X52" s="1080">
        <f t="shared" ca="1" si="126"/>
        <v>-204.23143628219069</v>
      </c>
      <c r="Y52" s="1080">
        <f t="shared" ca="1" si="126"/>
        <v>3874.5049279836685</v>
      </c>
      <c r="Z52" s="1080">
        <f t="shared" ca="1" si="126"/>
        <v>404.69271243177428</v>
      </c>
      <c r="AA52" s="1080">
        <f t="shared" ca="1" si="126"/>
        <v>586.57321805615095</v>
      </c>
      <c r="AB52" s="1080">
        <f t="shared" ca="1" si="126"/>
        <v>0</v>
      </c>
      <c r="AC52" s="1080">
        <f t="shared" ca="1" si="126"/>
        <v>0</v>
      </c>
      <c r="AD52" s="1080">
        <f t="shared" ca="1" si="126"/>
        <v>0</v>
      </c>
      <c r="AE52" s="1080">
        <f t="shared" ca="1" si="126"/>
        <v>0</v>
      </c>
      <c r="AF52" s="1080">
        <f t="shared" ca="1" si="126"/>
        <v>0</v>
      </c>
      <c r="AG52" s="1080">
        <f t="shared" ca="1" si="126"/>
        <v>0</v>
      </c>
      <c r="AH52" s="1080">
        <f t="shared" ca="1" si="126"/>
        <v>0</v>
      </c>
      <c r="AI52" s="1080">
        <f t="shared" ca="1" si="126"/>
        <v>0</v>
      </c>
      <c r="AJ52" s="1080">
        <f t="shared" ca="1" si="126"/>
        <v>0.80246458490064865</v>
      </c>
      <c r="AK52" s="1080">
        <f t="shared" ca="1" si="126"/>
        <v>0</v>
      </c>
      <c r="AL52" s="1043">
        <f ca="1">SUM(T52:AK52)</f>
        <v>1915.6027283094702</v>
      </c>
      <c r="AN52" s="2408">
        <f t="shared" ref="AN52:BF52" ca="1" si="127">AN$33+AN$37+AN$38+AN$44+AN$45+AN$51+AN31</f>
        <v>-3874.5049279836685</v>
      </c>
      <c r="AO52" s="2408">
        <f t="shared" ca="1" si="127"/>
        <v>-404.69271243177428</v>
      </c>
      <c r="AP52" s="2408">
        <f t="shared" ca="1" si="127"/>
        <v>-586.57321805615095</v>
      </c>
      <c r="AQ52" s="2408">
        <f t="shared" ca="1" si="127"/>
        <v>0</v>
      </c>
      <c r="AR52" s="2408">
        <f t="shared" ca="1" si="127"/>
        <v>0</v>
      </c>
      <c r="AS52" s="2408">
        <f t="shared" ca="1" si="127"/>
        <v>0</v>
      </c>
      <c r="AT52" s="2408">
        <f t="shared" ca="1" si="127"/>
        <v>0</v>
      </c>
      <c r="AU52" s="2408">
        <f t="shared" ca="1" si="127"/>
        <v>0</v>
      </c>
      <c r="AV52" s="2408">
        <f t="shared" ca="1" si="127"/>
        <v>0</v>
      </c>
      <c r="AW52" s="2408">
        <f t="shared" ca="1" si="127"/>
        <v>-193.55328000000003</v>
      </c>
      <c r="AX52" s="2408">
        <f t="shared" ca="1" si="127"/>
        <v>-49.233277769900653</v>
      </c>
      <c r="AY52" s="2408">
        <f t="shared" ca="1" si="127"/>
        <v>-84.335759233199994</v>
      </c>
      <c r="AZ52" s="2408">
        <f t="shared" ca="1" si="127"/>
        <v>0</v>
      </c>
      <c r="BA52" s="2408">
        <f t="shared" ca="1" si="127"/>
        <v>0</v>
      </c>
      <c r="BB52" s="2408">
        <f t="shared" ca="1" si="127"/>
        <v>0</v>
      </c>
      <c r="BC52" s="2408">
        <f t="shared" ca="1" si="127"/>
        <v>-199.56428398800003</v>
      </c>
      <c r="BD52" s="2408">
        <f t="shared" ca="1" si="127"/>
        <v>0</v>
      </c>
      <c r="BE52" s="2408">
        <f t="shared" ca="1" si="127"/>
        <v>-0.41826750874999996</v>
      </c>
      <c r="BF52" s="2408">
        <f t="shared" ca="1" si="127"/>
        <v>-969.99783378851419</v>
      </c>
      <c r="BG52" s="2408">
        <f ca="1">SUM(AN52:BF52)</f>
        <v>-6362.8735607599592</v>
      </c>
      <c r="BI52" s="1082">
        <f ca="1">BI$33+BI$37+BI$38+BI$44+BI$45+BI$51+BI31</f>
        <v>4300.9018175874617</v>
      </c>
      <c r="BJ52" s="1082">
        <f ca="1">BJ$33+BJ$37+BJ$38+BJ$44+BJ$45+BJ$51+BJ31</f>
        <v>146.36901486302821</v>
      </c>
      <c r="BK52" s="1045">
        <f ca="1">SUM(BI52:BJ52)</f>
        <v>4447.2708324504902</v>
      </c>
      <c r="BM52" s="1083">
        <f t="shared" ca="1" si="120"/>
        <v>0</v>
      </c>
      <c r="BN52" s="1083"/>
      <c r="BP52" s="2401">
        <f t="shared" ref="BP52:DG52" ca="1" si="128">BP$33+BP$37+BP$38+BP$44++BP$45+BP$51</f>
        <v>2280.6290028913718</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0</v>
      </c>
      <c r="DE52" s="1084">
        <f t="shared" ca="1" si="128"/>
        <v>0</v>
      </c>
      <c r="DF52" s="1084">
        <f t="shared" ca="1" si="128"/>
        <v>0</v>
      </c>
      <c r="DG52" s="1084">
        <f t="shared" ca="1" si="128"/>
        <v>0</v>
      </c>
      <c r="DI52" s="1085">
        <f ca="1">SUM(BP52:DG52)</f>
        <v>2280.6290028913718</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31</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31</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-31</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-31</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-2290.662235710573</v>
      </c>
      <c r="U58" s="1093">
        <f ca="1">U$23+U$31+U$33+U$37+U$57+U$38+U$44+U$45</f>
        <v>444.94103565620003</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-557.71159630953753</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-557.71159630953753</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557.71159630953764</v>
      </c>
      <c r="BK59" s="1056">
        <f ca="1">SUM(BI59:BJ59)</f>
        <v>557.71159630953764</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-526.71159630953753</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-526.71159630953753</v>
      </c>
      <c r="AM61" s="51"/>
      <c r="AN61" s="1044">
        <f t="shared" ref="AN61:BF61" ca="1" si="146">AN$57+AN$59+AN$60</f>
        <v>0</v>
      </c>
      <c r="AO61" s="1044">
        <f t="shared" ca="1" si="146"/>
        <v>0</v>
      </c>
      <c r="AP61" s="1044">
        <f t="shared" ca="1" si="146"/>
        <v>0</v>
      </c>
      <c r="AQ61" s="1044">
        <f t="shared" ca="1" si="146"/>
        <v>0</v>
      </c>
      <c r="AR61" s="1044">
        <f t="shared" ca="1" si="146"/>
        <v>-31</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-31</v>
      </c>
      <c r="BH61" s="51"/>
      <c r="BI61" s="1045">
        <f ca="1">BI$57+BI$59+BI$60</f>
        <v>0</v>
      </c>
      <c r="BJ61" s="1045">
        <f ca="1">BJ$57+BJ$59+BJ$60</f>
        <v>557.71159630953764</v>
      </c>
      <c r="BK61" s="1045">
        <f ca="1">SUM(BI61:BJ61)</f>
        <v>557.71159630953764</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-9337.4357162545803</v>
      </c>
      <c r="W63" s="1093">
        <f t="shared" ca="1" si="149"/>
        <v>-4212.5909264416923</v>
      </c>
      <c r="X63" s="1093">
        <f t="shared" ca="1" si="149"/>
        <v>-1135.9700535002041</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0</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-2290.662235710573</v>
      </c>
      <c r="U64" s="1093">
        <f ca="1">(U$23+U$52+U$61)</f>
        <v>2290.6622357105734</v>
      </c>
      <c r="V64" s="1093">
        <f t="shared" ca="1" si="149"/>
        <v>-9337.4357162545803</v>
      </c>
      <c r="W64" s="1093">
        <f t="shared" ca="1" si="149"/>
        <v>-4212.5909264416923</v>
      </c>
      <c r="X64" s="1093">
        <f t="shared" ca="1" si="149"/>
        <v>-1135.9700535002041</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9337.4357162545803</v>
      </c>
      <c r="W65" s="1107">
        <f t="shared" ca="1" si="152"/>
        <v>4212.5909264416923</v>
      </c>
      <c r="X65" s="1107">
        <f t="shared" ca="1" si="152"/>
        <v>1135.9700535002041</v>
      </c>
      <c r="Y65" s="1107">
        <f t="shared" ca="1" si="152"/>
        <v>-9337.4357162545803</v>
      </c>
      <c r="Z65" s="1107">
        <f t="shared" ca="1" si="152"/>
        <v>-4507.4722912926109</v>
      </c>
      <c r="AA65" s="1107">
        <f t="shared" ca="1" si="152"/>
        <v>-1306.3655615252346</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-465.27687287594745</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465.2768728759491</v>
      </c>
      <c r="BK65" s="1110">
        <f ca="1">SUM(BI65:BJ65)</f>
        <v>465.2768728759491</v>
      </c>
      <c r="BL65" s="51"/>
      <c r="BM65" s="1046">
        <f t="shared" ref="BM65:BM71" ca="1" si="154">R65+AL65+BG65+BK65</f>
        <v>1.6484591469634324E-12</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-4.5474735088646412E-13</v>
      </c>
      <c r="V66" s="1140"/>
      <c r="W66" s="1140"/>
      <c r="X66" s="1140"/>
      <c r="Y66" s="1140">
        <f ca="1">-(Y$23+Y$52+Y$61+Y$65)</f>
        <v>5462.9307882709118</v>
      </c>
      <c r="Z66" s="1140">
        <f ca="1">-(Z$23+Z$52+Z$61+Z$65)</f>
        <v>4102.7795788608364</v>
      </c>
      <c r="AA66" s="1140">
        <f ca="1">-(AA$23+AA$52+AA$61+AA$65)</f>
        <v>719.79234346908368</v>
      </c>
      <c r="AB66" s="1140"/>
      <c r="AC66" s="1140"/>
      <c r="AD66" s="1140"/>
      <c r="AE66" s="1140"/>
      <c r="AF66" s="1140"/>
      <c r="AG66" s="1140"/>
      <c r="AH66" s="1140"/>
      <c r="AI66" s="1140"/>
      <c r="AJ66" s="1140"/>
      <c r="AK66" s="1140"/>
      <c r="AL66" s="1140">
        <f ca="1">SUM(T66:AK66)</f>
        <v>10285.502710600831</v>
      </c>
      <c r="AM66" s="51"/>
      <c r="AN66" s="1067"/>
      <c r="AO66" s="1067"/>
      <c r="AP66" s="1067"/>
      <c r="AQ66" s="1067"/>
      <c r="AR66" s="1067">
        <f ca="1">-U66</f>
        <v>4.5474735088646412E-13</v>
      </c>
      <c r="AS66" s="1067">
        <f>-W66</f>
        <v>0</v>
      </c>
      <c r="AT66" s="1067">
        <f ca="1">-Y66</f>
        <v>-5462.9307882709118</v>
      </c>
      <c r="AU66" s="1067">
        <f ca="1">-Z66</f>
        <v>-4102.7795788608364</v>
      </c>
      <c r="AV66" s="1067">
        <f ca="1">-AA66</f>
        <v>-719.79234346908368</v>
      </c>
      <c r="AW66" s="1067"/>
      <c r="AX66" s="1067"/>
      <c r="AY66" s="1067"/>
      <c r="AZ66" s="1067"/>
      <c r="BA66" s="1067"/>
      <c r="BB66" s="1067"/>
      <c r="BC66" s="1067"/>
      <c r="BD66" s="1067"/>
      <c r="BE66" s="1067"/>
      <c r="BF66" s="1067"/>
      <c r="BG66" s="1067">
        <f ca="1">SUM(AN66:BF66)</f>
        <v>-10285.502710600831</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-4.5474735088646412E-13</v>
      </c>
      <c r="V67" s="1043">
        <f t="shared" ca="1" si="160"/>
        <v>9337.4357162545803</v>
      </c>
      <c r="W67" s="1043">
        <f t="shared" ca="1" si="160"/>
        <v>4212.5909264416923</v>
      </c>
      <c r="X67" s="1043">
        <f t="shared" ca="1" si="160"/>
        <v>1135.9700535002041</v>
      </c>
      <c r="Y67" s="1043">
        <f t="shared" ca="1" si="160"/>
        <v>-3874.5049279836685</v>
      </c>
      <c r="Z67" s="1043">
        <f t="shared" ca="1" si="160"/>
        <v>-404.69271243177445</v>
      </c>
      <c r="AA67" s="1043">
        <f t="shared" ca="1" si="160"/>
        <v>-586.57321805615095</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9820.2258377248854</v>
      </c>
      <c r="AN67" s="1044">
        <f t="shared" ref="AN67:BF67" ca="1" si="161">SUM(AN65:AN66)</f>
        <v>0</v>
      </c>
      <c r="AO67" s="1044">
        <f t="shared" ca="1" si="161"/>
        <v>0</v>
      </c>
      <c r="AP67" s="1044">
        <f t="shared" ca="1" si="161"/>
        <v>0</v>
      </c>
      <c r="AQ67" s="1044">
        <f t="shared" ca="1" si="161"/>
        <v>0</v>
      </c>
      <c r="AR67" s="1044">
        <f t="shared" ca="1" si="161"/>
        <v>4.5474735088646412E-13</v>
      </c>
      <c r="AS67" s="1044">
        <f t="shared" ca="1" si="161"/>
        <v>0</v>
      </c>
      <c r="AT67" s="1044">
        <f t="shared" ca="1" si="161"/>
        <v>-5462.9307882709118</v>
      </c>
      <c r="AU67" s="1044">
        <f t="shared" ca="1" si="161"/>
        <v>-4102.7795788608364</v>
      </c>
      <c r="AV67" s="1044">
        <f t="shared" ca="1" si="161"/>
        <v>-719.79234346908368</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-10285.502710600831</v>
      </c>
      <c r="BI67" s="1045">
        <f ca="1">SUM(BI65:BI66)</f>
        <v>0</v>
      </c>
      <c r="BJ67" s="1045">
        <f ca="1">SUM(BJ65:BJ66)</f>
        <v>465.2768728759491</v>
      </c>
      <c r="BK67" s="1045">
        <f ca="1">SUM(BI67:BJ67)</f>
        <v>465.2768728759491</v>
      </c>
      <c r="BM67" s="1046">
        <f t="shared" ca="1" si="154"/>
        <v>3.4674485505092889E-12</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-526.71159630953798</v>
      </c>
      <c r="V68" s="1080">
        <f t="shared" ca="1" si="164"/>
        <v>9337.4357162545803</v>
      </c>
      <c r="W68" s="1080">
        <f t="shared" ca="1" si="164"/>
        <v>4212.5909264416923</v>
      </c>
      <c r="X68" s="1080">
        <f t="shared" ca="1" si="164"/>
        <v>1135.9700535002041</v>
      </c>
      <c r="Y68" s="1080">
        <f t="shared" ca="1" si="164"/>
        <v>-3874.5049279836685</v>
      </c>
      <c r="Z68" s="1080">
        <f t="shared" ca="1" si="164"/>
        <v>-404.69271243177445</v>
      </c>
      <c r="AA68" s="1080">
        <f t="shared" ca="1" si="164"/>
        <v>-586.57321805615095</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9293.514241415347</v>
      </c>
      <c r="AN68" s="1081">
        <f ca="1">AN$61+AN$67</f>
        <v>0</v>
      </c>
      <c r="AO68" s="1081">
        <f t="shared" ref="AO68:BF68" ca="1" si="165">AO$61+AO$67</f>
        <v>0</v>
      </c>
      <c r="AP68" s="1081">
        <f t="shared" ca="1" si="165"/>
        <v>0</v>
      </c>
      <c r="AQ68" s="1081">
        <f t="shared" ca="1" si="165"/>
        <v>0</v>
      </c>
      <c r="AR68" s="1081">
        <f t="shared" ca="1" si="165"/>
        <v>-30.999999999999545</v>
      </c>
      <c r="AS68" s="1081">
        <f t="shared" ca="1" si="165"/>
        <v>0</v>
      </c>
      <c r="AT68" s="1081">
        <f t="shared" ca="1" si="165"/>
        <v>-5462.9307882709118</v>
      </c>
      <c r="AU68" s="1081">
        <f t="shared" ca="1" si="165"/>
        <v>-4102.7795788608364</v>
      </c>
      <c r="AV68" s="1081">
        <f t="shared" ca="1" si="165"/>
        <v>-719.79234346908368</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-10316.502710600831</v>
      </c>
      <c r="BI68" s="1082">
        <f ca="1">BI$61+BI$67</f>
        <v>0</v>
      </c>
      <c r="BJ68" s="1082">
        <f ca="1">BJ$61+BJ$67</f>
        <v>1022.9884691854868</v>
      </c>
      <c r="BK68" s="1082">
        <f ca="1">SUM(BI68:BJ68)</f>
        <v>1022.9884691854868</v>
      </c>
      <c r="BM68" s="1083">
        <f t="shared" ca="1" si="154"/>
        <v>2.7284841053187847E-12</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774.27220243376769</v>
      </c>
      <c r="H71" s="1143">
        <f t="shared" ca="1" si="167"/>
        <v>315.42107081978503</v>
      </c>
      <c r="I71" s="1143">
        <f t="shared" ca="1" si="167"/>
        <v>5520.8820237437531</v>
      </c>
      <c r="J71" s="1143">
        <f t="shared" ca="1" si="167"/>
        <v>2314.0471127888795</v>
      </c>
      <c r="K71" s="1143">
        <f t="shared" ca="1" si="167"/>
        <v>78.303037740055146</v>
      </c>
      <c r="L71" s="1143">
        <f t="shared" ca="1" si="167"/>
        <v>88.317186557985124</v>
      </c>
      <c r="M71" s="1143">
        <f t="shared" ca="1" si="167"/>
        <v>-0.11024317342604743</v>
      </c>
      <c r="N71" s="1143">
        <f t="shared" ca="1" si="167"/>
        <v>591.38499180914857</v>
      </c>
      <c r="O71" s="1143">
        <f t="shared" ca="1" si="167"/>
        <v>159.42605002636802</v>
      </c>
      <c r="P71" s="1143">
        <f t="shared" ca="1" si="167"/>
        <v>1156.4277437769356</v>
      </c>
      <c r="Q71" s="1143">
        <f t="shared" ca="1" si="167"/>
        <v>210.74579320156334</v>
      </c>
      <c r="R71" s="1143">
        <f ca="1">SUM(G71:Q71)</f>
        <v>11209.116969724817</v>
      </c>
      <c r="T71" s="1144">
        <f t="shared" ref="T71:AK71" ca="1" si="168">T$23+T$52+T$68</f>
        <v>-2290.662235710573</v>
      </c>
      <c r="U71" s="1144">
        <f t="shared" ca="1" si="168"/>
        <v>2290.662235710573</v>
      </c>
      <c r="V71" s="1144">
        <f t="shared" ca="1" si="168"/>
        <v>0</v>
      </c>
      <c r="W71" s="1144">
        <f t="shared" ca="1" si="168"/>
        <v>0</v>
      </c>
      <c r="X71" s="1144">
        <f t="shared" ca="1" si="168"/>
        <v>0</v>
      </c>
      <c r="Y71" s="1144">
        <f t="shared" ca="1" si="168"/>
        <v>0</v>
      </c>
      <c r="Z71" s="1144">
        <f t="shared" ca="1" si="168"/>
        <v>0</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0</v>
      </c>
      <c r="AI71" s="1144">
        <f t="shared" ca="1" si="168"/>
        <v>0</v>
      </c>
      <c r="AJ71" s="1144">
        <f t="shared" ca="1" si="168"/>
        <v>0</v>
      </c>
      <c r="AK71" s="1144">
        <f t="shared" ca="1" si="168"/>
        <v>0</v>
      </c>
      <c r="AL71" s="1144">
        <f ca="1">SUM(T71:AK71)</f>
        <v>0</v>
      </c>
      <c r="AN71" s="1145">
        <f t="shared" ref="AN71:BF71" ca="1" si="169">AN$23+AN$52+AN$68</f>
        <v>-3874.5049279836685</v>
      </c>
      <c r="AO71" s="1145">
        <f t="shared" ca="1" si="169"/>
        <v>-404.69271243177428</v>
      </c>
      <c r="AP71" s="1145">
        <f t="shared" ca="1" si="169"/>
        <v>-586.57321805615095</v>
      </c>
      <c r="AQ71" s="1145">
        <f t="shared" ca="1" si="169"/>
        <v>0</v>
      </c>
      <c r="AR71" s="1145">
        <f t="shared" ca="1" si="169"/>
        <v>-30.999999999999545</v>
      </c>
      <c r="AS71" s="1145">
        <f t="shared" ca="1" si="169"/>
        <v>0</v>
      </c>
      <c r="AT71" s="1145">
        <f t="shared" ca="1" si="169"/>
        <v>-5462.9307882709118</v>
      </c>
      <c r="AU71" s="1145">
        <f t="shared" ca="1" si="169"/>
        <v>-4102.7795788608364</v>
      </c>
      <c r="AV71" s="1145">
        <f t="shared" ca="1" si="169"/>
        <v>-719.79234346908368</v>
      </c>
      <c r="AW71" s="1145">
        <f t="shared" ca="1" si="169"/>
        <v>-193.55328000000003</v>
      </c>
      <c r="AX71" s="1145">
        <f t="shared" ca="1" si="169"/>
        <v>-49.233277769900653</v>
      </c>
      <c r="AY71" s="1145">
        <f t="shared" ca="1" si="169"/>
        <v>-84.335759233199994</v>
      </c>
      <c r="AZ71" s="1145">
        <f t="shared" ca="1" si="169"/>
        <v>0</v>
      </c>
      <c r="BA71" s="1145">
        <f t="shared" ca="1" si="169"/>
        <v>0</v>
      </c>
      <c r="BB71" s="1145">
        <f t="shared" ca="1" si="169"/>
        <v>0</v>
      </c>
      <c r="BC71" s="1145">
        <f t="shared" ca="1" si="169"/>
        <v>-199.56428398800003</v>
      </c>
      <c r="BD71" s="1145">
        <f t="shared" ca="1" si="169"/>
        <v>0</v>
      </c>
      <c r="BE71" s="1145">
        <f t="shared" ca="1" si="169"/>
        <v>-0.41826750874999996</v>
      </c>
      <c r="BF71" s="1145">
        <f t="shared" ca="1" si="169"/>
        <v>-969.99783378851419</v>
      </c>
      <c r="BG71" s="3166">
        <f ca="1">SUM(AN71:BF71)</f>
        <v>-16679.37627136079</v>
      </c>
      <c r="BI71" s="1146">
        <f ca="1">BI$23+BI$52+BI$68</f>
        <v>4300.9018175874617</v>
      </c>
      <c r="BJ71" s="1146">
        <f ca="1">BJ$23+BJ$52+BJ$68</f>
        <v>1169.3574840485151</v>
      </c>
      <c r="BK71" s="1146">
        <f ca="1">SUM(BI71:BJ71)</f>
        <v>5470.259301635977</v>
      </c>
      <c r="BM71" s="1039">
        <f t="shared" ca="1" si="154"/>
        <v>0</v>
      </c>
      <c r="BN71" s="1039"/>
      <c r="BP71" s="1147">
        <f t="shared" ref="BP71:DG71" ca="1" si="170">BP$23+BP$52+BP$68</f>
        <v>4344.0867964535209</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0</v>
      </c>
      <c r="DE71" s="1147">
        <f t="shared" ca="1" si="170"/>
        <v>0</v>
      </c>
      <c r="DF71" s="1147">
        <f t="shared" ca="1" si="170"/>
        <v>0</v>
      </c>
      <c r="DG71" s="1147">
        <f t="shared" ca="1" si="170"/>
        <v>0</v>
      </c>
      <c r="DI71" s="1085">
        <f ca="1">SUM(BP71:DG71)</f>
        <v>4344.0867964535209</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2280.6290028913718</v>
      </c>
    </row>
    <row r="75" spans="2:113">
      <c r="B75" s="2555"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2290.6622357105734</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5">
        <f ca="1">DI74/DI75</f>
        <v>0.99561994227573702</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AY70" activePane="bottomRight" state="frozen"/>
      <selection activeCell="Y9" sqref="Y9"/>
      <selection pane="topRight" activeCell="Y9" sqref="Y9"/>
      <selection pane="bottomLeft" activeCell="Y9" sqref="Y9"/>
      <selection pane="bottomRight" activeCell="BG71" sqref="BG71"/>
    </sheetView>
  </sheetViews>
  <sheetFormatPr defaultColWidth="8.85546875" defaultRowHeight="12.75" outlineLevelRow="1" outlineLevelCol="2"/>
  <cols>
    <col min="1" max="1" width="6.140625" style="2555" customWidth="1"/>
    <col min="2" max="2" width="1.42578125" style="2555" customWidth="1"/>
    <col min="3" max="3" width="4.42578125" style="621" customWidth="1"/>
    <col min="4" max="4" width="5.140625" style="730" customWidth="1"/>
    <col min="5" max="5" width="41.7109375" style="730" customWidth="1"/>
    <col min="6" max="6" width="1.140625" style="2555"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5"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5" customWidth="1" outlineLevel="1"/>
    <col min="40" max="58" width="10" style="730" customWidth="1" outlineLevel="2"/>
    <col min="59" max="59" width="10" style="730" customWidth="1" outlineLevel="1"/>
    <col min="60" max="60" width="1.140625" style="2555" customWidth="1" outlineLevel="1"/>
    <col min="61" max="62" width="10" style="730" customWidth="1" outlineLevel="2"/>
    <col min="63" max="63" width="10" style="730" customWidth="1" outlineLevel="1"/>
    <col min="64" max="64" width="1.140625" style="2555" customWidth="1" outlineLevel="1"/>
    <col min="65" max="65" width="11" style="730" customWidth="1" outlineLevel="1"/>
    <col min="66" max="66" width="5.28515625" style="730" customWidth="1"/>
    <col min="67" max="67" width="8.85546875" style="2555"/>
    <col min="68" max="111" width="7.42578125" style="2555" customWidth="1"/>
    <col min="112" max="112" width="2.42578125" style="2555" customWidth="1"/>
    <col min="113" max="16384" width="8.85546875" style="2555"/>
  </cols>
  <sheetData>
    <row r="1" spans="1:113" ht="9" customHeight="1"/>
    <row r="2" spans="1:113" ht="21" customHeight="1">
      <c r="D2" s="718"/>
      <c r="E2" s="986">
        <v>2032</v>
      </c>
      <c r="G2" s="2555"/>
      <c r="H2" s="2555"/>
      <c r="I2" s="2555"/>
      <c r="J2" s="2555"/>
      <c r="K2" s="2555"/>
      <c r="L2" s="2555"/>
      <c r="M2" s="2555"/>
      <c r="N2" s="2555"/>
      <c r="O2" s="2555"/>
      <c r="P2" s="2555"/>
      <c r="Q2" s="2555"/>
      <c r="R2" s="2555"/>
      <c r="T2" s="2555"/>
      <c r="U2" s="2555"/>
      <c r="V2" s="2555"/>
      <c r="W2" s="2555"/>
      <c r="X2" s="2555"/>
      <c r="Y2" s="2555"/>
      <c r="Z2" s="2555"/>
      <c r="AA2" s="2555"/>
      <c r="AB2" s="2555"/>
      <c r="AC2" s="2555"/>
      <c r="AD2" s="2555"/>
      <c r="AE2" s="2555"/>
      <c r="AF2" s="2555"/>
      <c r="AG2" s="2555"/>
      <c r="AH2" s="2555"/>
      <c r="AI2" s="2555"/>
      <c r="AJ2" s="2555"/>
      <c r="AK2" s="2555"/>
      <c r="AL2" s="2555"/>
      <c r="AN2" s="2555"/>
      <c r="AO2" s="2555"/>
      <c r="AP2" s="2555"/>
      <c r="AQ2" s="2555"/>
      <c r="AR2" s="2555"/>
      <c r="AS2" s="2555"/>
      <c r="AT2" s="2555"/>
      <c r="AU2" s="2555"/>
      <c r="AV2" s="2555"/>
      <c r="AW2" s="2555"/>
      <c r="AX2" s="2555"/>
      <c r="AY2" s="2555"/>
      <c r="AZ2" s="2555"/>
      <c r="BA2" s="2555"/>
      <c r="BB2" s="2555"/>
      <c r="BC2" s="2555"/>
      <c r="BD2" s="2555"/>
      <c r="BE2" s="2555"/>
      <c r="BF2" s="2555"/>
      <c r="BG2" s="2555"/>
      <c r="BI2" s="2555"/>
      <c r="BJ2" s="2555"/>
      <c r="BK2" s="2555"/>
      <c r="BM2" s="2555"/>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hidden="1"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1159.8318853695678</v>
      </c>
      <c r="H10" s="1051">
        <f t="shared" ca="1" si="0"/>
        <v>0</v>
      </c>
      <c r="I10" s="1051">
        <f t="shared" ca="1" si="0"/>
        <v>0</v>
      </c>
      <c r="J10" s="1051">
        <f t="shared" ca="1" si="0"/>
        <v>0</v>
      </c>
      <c r="K10" s="1051">
        <f t="shared" ca="1" si="0"/>
        <v>0</v>
      </c>
      <c r="L10" s="1051">
        <f t="shared" ca="1" si="0"/>
        <v>0</v>
      </c>
      <c r="M10" s="1051">
        <f t="shared" ca="1" si="0"/>
        <v>0</v>
      </c>
      <c r="N10" s="1051">
        <f t="shared" ca="1" si="0"/>
        <v>0</v>
      </c>
      <c r="O10" s="1051">
        <f t="shared" ca="1" si="0"/>
        <v>0</v>
      </c>
      <c r="P10" s="1051">
        <f t="shared" ca="1" si="0"/>
        <v>0</v>
      </c>
      <c r="Q10" s="1051">
        <f t="shared" ca="1" si="0"/>
        <v>0</v>
      </c>
      <c r="R10" s="1051">
        <f ca="1">SUM(G10:Q10)</f>
        <v>1159.8318853695678</v>
      </c>
      <c r="T10" s="1053">
        <f t="shared" ref="T10:BF11" ca="1" si="1">IFERROR(INDEX(INDIRECT($C10&amp;".Outputs["&amp;this.year&amp;"]"), MATCH(T$5, INDIRECT($C10&amp;".Outputs[Vector]"), 0)), 0)</f>
        <v>-1157.9120424167459</v>
      </c>
      <c r="U10" s="1053">
        <f t="shared" ca="1" si="1"/>
        <v>0</v>
      </c>
      <c r="V10" s="1053">
        <f t="shared" ca="1" si="1"/>
        <v>0</v>
      </c>
      <c r="W10" s="1053">
        <f t="shared" ca="1" si="1"/>
        <v>-1.9198429528219716</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-1159.8318853695678</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0.51206817193927345</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0.51206817193927345</v>
      </c>
    </row>
    <row r="11" spans="1:113" s="51" customFormat="1" ht="12.75" hidden="1" customHeight="1" outlineLevel="1">
      <c r="A11" s="1061"/>
      <c r="B11" s="1061"/>
      <c r="C11" s="1048" t="s">
        <v>301</v>
      </c>
      <c r="D11" s="1064" t="str">
        <f>INDEX(Modules[Module], MATCH($C11, Modules[Code], 0))</f>
        <v>Commercial Lighting &amp; Appliances</v>
      </c>
      <c r="E11" s="1064"/>
      <c r="G11" s="1065">
        <f t="shared" ca="1" si="0"/>
        <v>0</v>
      </c>
      <c r="H11" s="1065">
        <f t="shared" ca="1" si="0"/>
        <v>521.48617151177393</v>
      </c>
      <c r="I11" s="1065">
        <f t="shared" ca="1" si="0"/>
        <v>0</v>
      </c>
      <c r="J11" s="1065">
        <f t="shared" ca="1" si="0"/>
        <v>0</v>
      </c>
      <c r="K11" s="1065">
        <f t="shared" ca="1" si="0"/>
        <v>0</v>
      </c>
      <c r="L11" s="1065">
        <f t="shared" ca="1" si="0"/>
        <v>0</v>
      </c>
      <c r="M11" s="1065">
        <f t="shared" ca="1" si="0"/>
        <v>-0.20356103070805628</v>
      </c>
      <c r="N11" s="1065">
        <f t="shared" ca="1" si="0"/>
        <v>0</v>
      </c>
      <c r="O11" s="1065">
        <f t="shared" ca="1" si="0"/>
        <v>0</v>
      </c>
      <c r="P11" s="1065">
        <f t="shared" ca="1" si="0"/>
        <v>0</v>
      </c>
      <c r="Q11" s="1065">
        <f t="shared" ca="1" si="0"/>
        <v>0</v>
      </c>
      <c r="R11" s="1065">
        <f ca="1">SUM(G11:Q11)</f>
        <v>521.28261048106583</v>
      </c>
      <c r="T11" s="1066">
        <f t="shared" ca="1" si="1"/>
        <v>-521.28261048106583</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-521.28261048106583</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ollapsed="1">
      <c r="A12" s="17"/>
      <c r="B12" s="53"/>
      <c r="C12" s="711" t="s">
        <v>196</v>
      </c>
      <c r="D12" s="710" t="str">
        <f>INDEX(Workstreams[Workstream], MATCH($C12, Workstreams[Code], 0))</f>
        <v>Lighting and appliances</v>
      </c>
      <c r="E12" s="41"/>
      <c r="G12" s="1071">
        <f ca="1">G10+G11</f>
        <v>1159.8318853695678</v>
      </c>
      <c r="H12" s="1071">
        <f t="shared" ref="H12:Q12" ca="1" si="11">H10+H11</f>
        <v>521.48617151177393</v>
      </c>
      <c r="I12" s="1071">
        <f t="shared" ca="1" si="11"/>
        <v>0</v>
      </c>
      <c r="J12" s="1071">
        <f t="shared" ca="1" si="11"/>
        <v>0</v>
      </c>
      <c r="K12" s="1071">
        <f t="shared" ca="1" si="11"/>
        <v>0</v>
      </c>
      <c r="L12" s="1071">
        <f t="shared" ca="1" si="11"/>
        <v>0</v>
      </c>
      <c r="M12" s="1071">
        <f ca="1">M11+M10</f>
        <v>-0.20356103070805628</v>
      </c>
      <c r="N12" s="1071">
        <f t="shared" ca="1" si="11"/>
        <v>0</v>
      </c>
      <c r="O12" s="1071">
        <f t="shared" ca="1" si="11"/>
        <v>0</v>
      </c>
      <c r="P12" s="1071">
        <f t="shared" ca="1" si="11"/>
        <v>0</v>
      </c>
      <c r="Q12" s="1071">
        <f t="shared" ca="1" si="11"/>
        <v>0</v>
      </c>
      <c r="R12" s="1071">
        <f ca="1">SUM(G12:Q12)</f>
        <v>1681.1144958506338</v>
      </c>
      <c r="T12" s="1043">
        <f ca="1">T10+T11</f>
        <v>-1679.1946528978117</v>
      </c>
      <c r="U12" s="1043">
        <f t="shared" ref="U12:AK12" ca="1" si="12">U10+U11</f>
        <v>0</v>
      </c>
      <c r="V12" s="1043">
        <f t="shared" ca="1" si="12"/>
        <v>0</v>
      </c>
      <c r="W12" s="1043">
        <f t="shared" ca="1" si="12"/>
        <v>-1.9198429528219716</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-1681.1144958506336</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2.2737367544323206E-13</v>
      </c>
      <c r="BN12" s="1046"/>
      <c r="BO12" s="97"/>
      <c r="BP12" s="1058">
        <f t="shared" ref="BP12:DG12" ca="1" si="14">BP10+BP11</f>
        <v>0.51206817193927345</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0.51206817193927345</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6883.4692319432552</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6883.4692319432552</v>
      </c>
      <c r="T13" s="1066">
        <f t="shared" ref="T13:BF13" ca="1" si="16">IFERROR(INDEX(INDIRECT($C13&amp;".Outputs["&amp;this.year&amp;"]"), MATCH(T$5, INDIRECT($C13&amp;".Outputs[Vector]"), 0)), 0)</f>
        <v>-966.17848871674005</v>
      </c>
      <c r="U13" s="1066">
        <f t="shared" ca="1" si="16"/>
        <v>0</v>
      </c>
      <c r="V13" s="1066">
        <f t="shared" ca="1" si="16"/>
        <v>-3663.8496331879392</v>
      </c>
      <c r="W13" s="1066">
        <f t="shared" ca="1" si="16"/>
        <v>-1365.3410997753347</v>
      </c>
      <c r="X13" s="1066">
        <f t="shared" ca="1" si="16"/>
        <v>-888.10001026324187</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-6883.4692319432552</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0</v>
      </c>
      <c r="BN13" s="1063"/>
      <c r="BO13" s="97"/>
      <c r="BP13" s="1069">
        <f t="shared" ref="BP13:DG13" ca="1" si="18">IFERROR(SUMIFS(INDIRECT($C13&amp;".Emissions["&amp;this.year&amp;"]"), INDIRECT($C13&amp;".Emissions[GHG]"), BP$6, INDIRECT($C13&amp;".Emissions[IPCC Sector]"), BP$5),0)</f>
        <v>1658.6672221486294</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1658.6672221486294</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6883.4692319432552</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6883.4692319432552</v>
      </c>
      <c r="T14" s="1043">
        <f t="shared" ref="T14:AK14" ca="1" si="20">T13</f>
        <v>-966.17848871674005</v>
      </c>
      <c r="U14" s="1043">
        <f t="shared" ca="1" si="20"/>
        <v>0</v>
      </c>
      <c r="V14" s="1043">
        <f t="shared" ca="1" si="20"/>
        <v>-3663.8496331879392</v>
      </c>
      <c r="W14" s="1043">
        <f t="shared" ca="1" si="20"/>
        <v>-1365.3410997753347</v>
      </c>
      <c r="X14" s="1043">
        <f t="shared" ca="1" si="20"/>
        <v>-888.10001026324187</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-6883.4692319432552</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0</v>
      </c>
      <c r="BN14" s="1046"/>
      <c r="BO14" s="97"/>
      <c r="BP14" s="1058">
        <f t="shared" ref="BP14:DG14" ca="1" si="22">BP13</f>
        <v>1658.6672221486294</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1658.6672221486294</v>
      </c>
    </row>
    <row r="15" spans="1:113" s="51" customFormat="1" ht="12.75"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1701.0214711970098</v>
      </c>
      <c r="K15" s="1051">
        <f t="shared" ca="1" si="23"/>
        <v>30.482222596462059</v>
      </c>
      <c r="L15" s="1051">
        <f t="shared" ca="1" si="23"/>
        <v>119.05137810641801</v>
      </c>
      <c r="M15" s="1051">
        <f t="shared" ca="1" si="23"/>
        <v>0</v>
      </c>
      <c r="N15" s="1051">
        <f t="shared" ca="1" si="23"/>
        <v>0</v>
      </c>
      <c r="O15" s="1051">
        <f t="shared" ca="1" si="23"/>
        <v>0</v>
      </c>
      <c r="P15" s="1051">
        <f t="shared" ca="1" si="23"/>
        <v>0</v>
      </c>
      <c r="Q15" s="1051">
        <f t="shared" ca="1" si="23"/>
        <v>0</v>
      </c>
      <c r="R15" s="1071">
        <f t="shared" ref="R15:R23" ca="1" si="24">SUM(G15:Q15)</f>
        <v>1850.5550718998898</v>
      </c>
      <c r="T15" s="1053">
        <f t="shared" ref="T15:BF16" ca="1" si="25">IFERROR(INDEX(INDIRECT($C15&amp;".Outputs["&amp;this.year&amp;"]"), MATCH(T$5, INDIRECT($C15&amp;".Outputs[Vector]"), 0)), 0)</f>
        <v>-17.97800145980359</v>
      </c>
      <c r="U15" s="1053">
        <f t="shared" ca="1" si="25"/>
        <v>0</v>
      </c>
      <c r="V15" s="1053">
        <f t="shared" ca="1" si="25"/>
        <v>0</v>
      </c>
      <c r="W15" s="1053">
        <f t="shared" ca="1" si="25"/>
        <v>-1757.3509465010493</v>
      </c>
      <c r="X15" s="1053">
        <f t="shared" ca="1" si="25"/>
        <v>-75.226123939036739</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-1850.5550718998898</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0</v>
      </c>
      <c r="BN15" s="1063"/>
      <c r="BO15" s="97"/>
      <c r="BP15" s="1057">
        <f t="shared" ref="BP15:BY16" ca="1" si="30">IFERROR(SUMIFS(INDIRECT($C15&amp;".Emissions["&amp;this.year&amp;"]"), INDIRECT($C15&amp;".Emissions[GHG]"), BP$6, INDIRECT($C15&amp;".Emissions[IPCC Sector]"), BP$5),0)</f>
        <v>483.69369511613525</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483.69369511613525</v>
      </c>
    </row>
    <row r="16" spans="1:113" s="51" customFormat="1" ht="12.75"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1368.4775777163456</v>
      </c>
      <c r="K16" s="1051">
        <f t="shared" ca="1" si="23"/>
        <v>63.202755276848862</v>
      </c>
      <c r="L16" s="1051">
        <f t="shared" ca="1" si="23"/>
        <v>5.698196091007186</v>
      </c>
      <c r="M16" s="1051">
        <f t="shared" ca="1" si="23"/>
        <v>0</v>
      </c>
      <c r="N16" s="1051">
        <f t="shared" ca="1" si="23"/>
        <v>0</v>
      </c>
      <c r="O16" s="1051">
        <f t="shared" ca="1" si="23"/>
        <v>0</v>
      </c>
      <c r="P16" s="1051">
        <f t="shared" ca="1" si="23"/>
        <v>0</v>
      </c>
      <c r="Q16" s="1051">
        <f t="shared" ca="1" si="23"/>
        <v>0</v>
      </c>
      <c r="R16" s="1071">
        <f t="shared" ca="1" si="24"/>
        <v>1437.3785290842018</v>
      </c>
      <c r="T16" s="1053">
        <f t="shared" ca="1" si="25"/>
        <v>-22.892634286083435</v>
      </c>
      <c r="U16" s="1053">
        <f t="shared" ca="1" si="25"/>
        <v>0</v>
      </c>
      <c r="V16" s="1053">
        <f t="shared" ca="1" si="25"/>
        <v>0</v>
      </c>
      <c r="W16" s="1053">
        <f t="shared" ca="1" si="25"/>
        <v>-1414.4858947981184</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-1437.3785290842018</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0</v>
      </c>
      <c r="BN16" s="1063"/>
      <c r="BO16" s="97"/>
      <c r="BP16" s="1057">
        <f t="shared" ca="1" si="30"/>
        <v>377.27732120926589</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377.27732120926589</v>
      </c>
    </row>
    <row r="17" spans="1:113" s="51" customFormat="1" ht="15.75">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3069.4990489133552</v>
      </c>
      <c r="K17" s="1071">
        <f t="shared" ca="1" si="34"/>
        <v>93.684977873310913</v>
      </c>
      <c r="L17" s="1071">
        <f t="shared" ca="1" si="34"/>
        <v>124.7495741974252</v>
      </c>
      <c r="M17" s="1071">
        <f t="shared" ca="1" si="34"/>
        <v>0</v>
      </c>
      <c r="N17" s="1071">
        <f t="shared" ca="1" si="34"/>
        <v>0</v>
      </c>
      <c r="O17" s="1071">
        <f t="shared" ca="1" si="34"/>
        <v>0</v>
      </c>
      <c r="P17" s="1071">
        <f t="shared" ca="1" si="34"/>
        <v>0</v>
      </c>
      <c r="Q17" s="1071">
        <f t="shared" ca="1" si="34"/>
        <v>0</v>
      </c>
      <c r="R17" s="1071">
        <f t="shared" ca="1" si="24"/>
        <v>3287.9336009840913</v>
      </c>
      <c r="T17" s="1043">
        <f ca="1">T15+T16</f>
        <v>-40.870635745887029</v>
      </c>
      <c r="U17" s="1043">
        <f t="shared" ref="U17:AK17" ca="1" si="35">U15+U16</f>
        <v>0</v>
      </c>
      <c r="V17" s="1043">
        <f t="shared" ca="1" si="35"/>
        <v>0</v>
      </c>
      <c r="W17" s="1043">
        <f t="shared" ca="1" si="35"/>
        <v>-3171.8368412991676</v>
      </c>
      <c r="X17" s="1043">
        <f t="shared" ca="1" si="35"/>
        <v>-75.226123939036739</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-3287.9336009840913</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0</v>
      </c>
      <c r="BN17" s="1046"/>
      <c r="BO17" s="97"/>
      <c r="BP17" s="1058">
        <f ca="1">BP15+BP16</f>
        <v>860.97101632540114</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860.97101632540114</v>
      </c>
    </row>
    <row r="18" spans="1:113" s="51" customFormat="1" ht="12.75"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1145.5431763602155</v>
      </c>
      <c r="Q18" s="1065">
        <f t="shared" ca="1" si="38"/>
        <v>0</v>
      </c>
      <c r="R18" s="1071">
        <f t="shared" ca="1" si="24"/>
        <v>1145.5431763602155</v>
      </c>
      <c r="T18" s="1066">
        <f t="shared" ref="T18:BF19" ca="1" si="39">IFERROR(INDEX(INDIRECT($C18&amp;".Outputs["&amp;this.year&amp;"]"), MATCH(T$5, INDIRECT($C18&amp;".Outputs[Vector]"), 0)), 0)</f>
        <v>-10.924338830969084</v>
      </c>
      <c r="U18" s="1066">
        <f t="shared" ca="1" si="39"/>
        <v>0</v>
      </c>
      <c r="V18" s="1066">
        <f t="shared" ca="1" si="39"/>
        <v>-905.63902530628877</v>
      </c>
      <c r="W18" s="1066">
        <f t="shared" ca="1" si="39"/>
        <v>-145.62250980264776</v>
      </c>
      <c r="X18" s="1066">
        <f t="shared" ca="1" si="39"/>
        <v>-83.357302420309878</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-1145.5431763602155</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0</v>
      </c>
      <c r="BN18" s="1046"/>
      <c r="BO18" s="17"/>
      <c r="BP18" s="1069">
        <f t="shared" ref="BP18:DG19" ca="1" si="42">IFERROR(SUMIFS(INDIRECT($C18&amp;".Emissions["&amp;this.year&amp;"]"), INDIRECT($C18&amp;".Emissions[GHG]"), BP$6, INDIRECT($C18&amp;".Emissions[IPCC Sector]"), BP$5),0)</f>
        <v>118.29377719395299</v>
      </c>
      <c r="BQ18" s="1070">
        <f t="shared" ca="1" si="42"/>
        <v>0</v>
      </c>
      <c r="BR18" s="1070">
        <f t="shared" ca="1" si="42"/>
        <v>0</v>
      </c>
      <c r="BS18" s="1070">
        <f t="shared" ca="1" si="42"/>
        <v>0</v>
      </c>
      <c r="BT18" s="1070">
        <f t="shared" ca="1" si="42"/>
        <v>0</v>
      </c>
      <c r="BU18" s="1070">
        <f t="shared" ca="1" si="42"/>
        <v>0</v>
      </c>
      <c r="BV18" s="1070">
        <f t="shared" ca="1" si="42"/>
        <v>0</v>
      </c>
      <c r="BW18" s="1070">
        <f t="shared" ca="1" si="42"/>
        <v>0</v>
      </c>
      <c r="BX18" s="1070">
        <f t="shared" ca="1" si="42"/>
        <v>0</v>
      </c>
      <c r="BY18" s="1070">
        <f t="shared" ca="1" si="42"/>
        <v>0</v>
      </c>
      <c r="BZ18" s="1070">
        <f t="shared" ca="1" si="42"/>
        <v>0</v>
      </c>
      <c r="CA18" s="1070">
        <f t="shared" ca="1" si="42"/>
        <v>0</v>
      </c>
      <c r="CB18" s="1070">
        <f t="shared" ca="1" si="42"/>
        <v>0</v>
      </c>
      <c r="CC18" s="1070">
        <f t="shared" ca="1" si="42"/>
        <v>0</v>
      </c>
      <c r="CD18" s="1070">
        <f t="shared" ca="1" si="42"/>
        <v>0</v>
      </c>
      <c r="CE18" s="1070">
        <f t="shared" ca="1" si="42"/>
        <v>0</v>
      </c>
      <c r="CF18" s="1070">
        <f t="shared" ca="1" si="42"/>
        <v>0</v>
      </c>
      <c r="CG18" s="1070">
        <f t="shared" ca="1" si="42"/>
        <v>0</v>
      </c>
      <c r="CH18" s="1070">
        <f t="shared" ca="1" si="42"/>
        <v>0</v>
      </c>
      <c r="CI18" s="1070">
        <f t="shared" ca="1" si="42"/>
        <v>0</v>
      </c>
      <c r="CJ18" s="1070">
        <f t="shared" ca="1" si="42"/>
        <v>0</v>
      </c>
      <c r="CK18" s="1070">
        <f t="shared" ca="1" si="42"/>
        <v>0</v>
      </c>
      <c r="CL18" s="1070">
        <f t="shared" ca="1" si="42"/>
        <v>0</v>
      </c>
      <c r="CM18" s="1070">
        <f t="shared" ca="1" si="42"/>
        <v>0</v>
      </c>
      <c r="CN18" s="1070">
        <f t="shared" ca="1" si="42"/>
        <v>0</v>
      </c>
      <c r="CO18" s="1070">
        <f t="shared" ca="1" si="42"/>
        <v>0</v>
      </c>
      <c r="CP18" s="1070">
        <f t="shared" ca="1" si="42"/>
        <v>0</v>
      </c>
      <c r="CQ18" s="1070">
        <f t="shared" ca="1" si="42"/>
        <v>0</v>
      </c>
      <c r="CR18" s="1070">
        <f t="shared" ca="1" si="42"/>
        <v>0</v>
      </c>
      <c r="CS18" s="1070">
        <f t="shared" ca="1" si="42"/>
        <v>0</v>
      </c>
      <c r="CT18" s="1070">
        <f t="shared" ca="1" si="42"/>
        <v>0</v>
      </c>
      <c r="CU18" s="1070">
        <f t="shared" ca="1" si="42"/>
        <v>0</v>
      </c>
      <c r="CV18" s="1070">
        <f t="shared" ca="1" si="42"/>
        <v>0</v>
      </c>
      <c r="CW18" s="1070">
        <f t="shared" ca="1" si="42"/>
        <v>0</v>
      </c>
      <c r="CX18" s="1070">
        <f t="shared" ca="1" si="42"/>
        <v>0</v>
      </c>
      <c r="CY18" s="1070">
        <f t="shared" ca="1" si="42"/>
        <v>0</v>
      </c>
      <c r="CZ18" s="1070">
        <f t="shared" ca="1" si="42"/>
        <v>0</v>
      </c>
      <c r="DA18" s="1070">
        <f t="shared" ca="1" si="42"/>
        <v>0</v>
      </c>
      <c r="DB18" s="1070">
        <f t="shared" ca="1" si="42"/>
        <v>0</v>
      </c>
      <c r="DC18" s="1070">
        <f t="shared" ca="1" si="42"/>
        <v>0</v>
      </c>
      <c r="DD18" s="1070">
        <f t="shared" ca="1" si="42"/>
        <v>0</v>
      </c>
      <c r="DE18" s="1070">
        <f t="shared" ca="1" si="42"/>
        <v>0</v>
      </c>
      <c r="DF18" s="1070">
        <f t="shared" ca="1" si="42"/>
        <v>0</v>
      </c>
      <c r="DG18" s="1070">
        <f t="shared" ca="1" si="42"/>
        <v>0</v>
      </c>
      <c r="DI18" s="1059">
        <f t="shared" ca="1" si="10"/>
        <v>118.29377719395299</v>
      </c>
    </row>
    <row r="19" spans="1:113" s="51" customFormat="1" ht="12.75"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308.34342741085425</v>
      </c>
      <c r="R19" s="1071">
        <f t="shared" ca="1" si="24"/>
        <v>308.34342741085425</v>
      </c>
      <c r="T19" s="1066">
        <f t="shared" ca="1" si="39"/>
        <v>0</v>
      </c>
      <c r="U19" s="1066">
        <f t="shared" ca="1" si="39"/>
        <v>0</v>
      </c>
      <c r="V19" s="1066">
        <f t="shared" ca="1" si="39"/>
        <v>0</v>
      </c>
      <c r="W19" s="1066">
        <f t="shared" ca="1" si="39"/>
        <v>-232.52141376533132</v>
      </c>
      <c r="X19" s="1066">
        <f t="shared" ca="1" si="39"/>
        <v>-75.822013645522929</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-308.34342741085425</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0</v>
      </c>
      <c r="BN19" s="1063"/>
      <c r="BO19" s="97"/>
      <c r="BP19" s="1069">
        <f t="shared" ca="1" si="42"/>
        <v>77.10362924911702</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77.10362924911702</v>
      </c>
    </row>
    <row r="20" spans="1:113" s="51" customFormat="1" ht="15.75">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1145.5431763602155</v>
      </c>
      <c r="Q20" s="1071">
        <f t="shared" ca="1" si="43"/>
        <v>308.34342741085425</v>
      </c>
      <c r="R20" s="1071">
        <f t="shared" ca="1" si="24"/>
        <v>1453.8866037710698</v>
      </c>
      <c r="T20" s="1043">
        <f ca="1">T19+T18</f>
        <v>-10.924338830969084</v>
      </c>
      <c r="U20" s="1043">
        <f t="shared" ref="U20:AK20" ca="1" si="44">U19+U18</f>
        <v>0</v>
      </c>
      <c r="V20" s="1043">
        <f t="shared" ca="1" si="44"/>
        <v>-905.63902530628877</v>
      </c>
      <c r="W20" s="1043">
        <f t="shared" ca="1" si="44"/>
        <v>-378.14392356797907</v>
      </c>
      <c r="X20" s="1043">
        <f t="shared" ca="1" si="44"/>
        <v>-159.17931606583281</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-1453.8866037710698</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0</v>
      </c>
      <c r="BN20" s="1046"/>
      <c r="BO20" s="97"/>
      <c r="BP20" s="1058">
        <f ca="1">BP19+BP18</f>
        <v>195.39740644307</v>
      </c>
      <c r="BQ20" s="1058">
        <f t="shared" ref="BQ20:DG20" ca="1" si="46">BQ19+BQ18</f>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195.39740644307</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750.10240185765565</v>
      </c>
      <c r="O21" s="1065">
        <f t="shared" ca="1" si="47"/>
        <v>0</v>
      </c>
      <c r="P21" s="1065">
        <f t="shared" ca="1" si="47"/>
        <v>0</v>
      </c>
      <c r="Q21" s="1065">
        <f t="shared" ca="1" si="47"/>
        <v>0</v>
      </c>
      <c r="R21" s="1071">
        <f t="shared" ca="1" si="24"/>
        <v>750.10240185765565</v>
      </c>
      <c r="T21" s="1066">
        <f t="shared" ref="T21:BF22" ca="1" si="48">IFERROR(INDEX(INDIRECT($C21&amp;".Outputs["&amp;this.year&amp;"]"), MATCH(T$5, INDIRECT($C21&amp;".Outputs[Vector]"), 0)), 0)</f>
        <v>-428.7780628500808</v>
      </c>
      <c r="U21" s="1066">
        <f t="shared" ca="1" si="48"/>
        <v>0</v>
      </c>
      <c r="V21" s="1066">
        <f t="shared" ca="1" si="48"/>
        <v>0</v>
      </c>
      <c r="W21" s="1066">
        <f t="shared" ca="1" si="48"/>
        <v>-321.32433900757485</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-750.10240185765565</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85.704909681985981</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85.704909681985981</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182.09914419246934</v>
      </c>
      <c r="P22" s="1065">
        <f t="shared" ca="1" si="47"/>
        <v>0</v>
      </c>
      <c r="Q22" s="1065">
        <f t="shared" ca="1" si="47"/>
        <v>0</v>
      </c>
      <c r="R22" s="1071">
        <f t="shared" ca="1" si="24"/>
        <v>182.09914419246934</v>
      </c>
      <c r="T22" s="1066">
        <f t="shared" ca="1" si="48"/>
        <v>-44.542199023321331</v>
      </c>
      <c r="U22" s="1066">
        <f t="shared" ca="1" si="48"/>
        <v>0</v>
      </c>
      <c r="V22" s="1066">
        <f t="shared" ca="1" si="48"/>
        <v>0</v>
      </c>
      <c r="W22" s="1066">
        <f t="shared" ca="1" si="48"/>
        <v>-136.7065940968846</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-0.85035107226340734</v>
      </c>
      <c r="AK22" s="1066">
        <f t="shared" ca="1" si="48"/>
        <v>0</v>
      </c>
      <c r="AL22" s="1043">
        <f t="shared" ca="1" si="3"/>
        <v>-182.09914419246934</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36.462928193339295</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36.462928193339295</v>
      </c>
    </row>
    <row r="23" spans="1:113" s="51" customFormat="1" ht="15.75">
      <c r="B23" s="53"/>
      <c r="C23" s="1076" t="s">
        <v>1107</v>
      </c>
      <c r="D23" s="1077" t="s">
        <v>1108</v>
      </c>
      <c r="E23" s="1078"/>
      <c r="G23" s="1079">
        <f ca="1">G$9+G$12+G$14+G$17+G$20+G$21+G$22</f>
        <v>1159.8318853695678</v>
      </c>
      <c r="H23" s="1079">
        <f t="shared" ref="H23:Q23" ca="1" si="52">H$9+H$12+H$14+H$17+H$20+H$21+H$22</f>
        <v>521.48617151177393</v>
      </c>
      <c r="I23" s="1079">
        <f t="shared" ca="1" si="52"/>
        <v>6883.4692319432552</v>
      </c>
      <c r="J23" s="1079">
        <f t="shared" ca="1" si="52"/>
        <v>3069.4990489133552</v>
      </c>
      <c r="K23" s="1079">
        <f t="shared" ca="1" si="52"/>
        <v>93.684977873310913</v>
      </c>
      <c r="L23" s="1079">
        <f t="shared" ca="1" si="52"/>
        <v>124.7495741974252</v>
      </c>
      <c r="M23" s="1079">
        <f ca="1">M$12+M$14+M$17+M$20+M$21+M$22</f>
        <v>-0.20356103070805628</v>
      </c>
      <c r="N23" s="1079">
        <f t="shared" ca="1" si="52"/>
        <v>750.10240185765565</v>
      </c>
      <c r="O23" s="1079">
        <f t="shared" ca="1" si="52"/>
        <v>182.09914419246934</v>
      </c>
      <c r="P23" s="1079">
        <f t="shared" ca="1" si="52"/>
        <v>1145.5431763602155</v>
      </c>
      <c r="Q23" s="1079">
        <f t="shared" ca="1" si="52"/>
        <v>308.34342741085425</v>
      </c>
      <c r="R23" s="2400">
        <f t="shared" ca="1" si="24"/>
        <v>14238.605478599173</v>
      </c>
      <c r="T23" s="1080">
        <f ca="1">T$9+T$12+T$14+T$17+T$20+T$21+T$22</f>
        <v>-3170.4883780648101</v>
      </c>
      <c r="U23" s="1080">
        <f t="shared" ref="U23:AK23" ca="1" si="53">U$9+U$12+U$14+U$17+U$20+U$21+U$22</f>
        <v>0</v>
      </c>
      <c r="V23" s="1080">
        <f t="shared" ca="1" si="53"/>
        <v>-4569.4886584942278</v>
      </c>
      <c r="W23" s="1080">
        <f t="shared" ca="1" si="53"/>
        <v>-5375.2726406997626</v>
      </c>
      <c r="X23" s="1080">
        <f t="shared" ca="1" si="53"/>
        <v>-1122.5054502681114</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-0.85035107226340734</v>
      </c>
      <c r="AK23" s="1080">
        <f t="shared" ca="1" si="53"/>
        <v>0</v>
      </c>
      <c r="AL23" s="1080">
        <f t="shared" ca="1" si="3"/>
        <v>-14238.605478599175</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-1.8189894035458565E-12</v>
      </c>
      <c r="BN23" s="1083"/>
      <c r="BP23" s="2401">
        <f t="shared" ref="BP23:DG23" ca="1" si="55">BP$9+BP$12+BP$14+BP$17+BP$20+BP$21</f>
        <v>2801.2526227710259</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2801.2526227710259</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15.240225000000006</v>
      </c>
      <c r="V26" s="1073">
        <f t="shared" ca="1" si="59"/>
        <v>-60.960900000000024</v>
      </c>
      <c r="W26" s="1073">
        <f t="shared" ca="1" si="59"/>
        <v>0</v>
      </c>
      <c r="X26" s="1073">
        <f t="shared" ca="1" si="59"/>
        <v>14.466733333333337</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-14.466733333333337</v>
      </c>
      <c r="AI26" s="1073">
        <f t="shared" ca="1" si="59"/>
        <v>0</v>
      </c>
      <c r="AJ26" s="1073">
        <f t="shared" ca="1" si="59"/>
        <v>0</v>
      </c>
      <c r="AK26" s="1073">
        <f t="shared" ca="1" si="59"/>
        <v>0</v>
      </c>
      <c r="AL26" s="1066">
        <f t="shared" ref="AL26:AL34" ca="1" si="60">SUM(T26:AK26)</f>
        <v>-45.720675000000014</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45.720675000000014</v>
      </c>
      <c r="BJ26" s="1075">
        <f t="shared" ca="1" si="63"/>
        <v>0</v>
      </c>
      <c r="BK26" s="1045">
        <f t="shared" ca="1" si="56"/>
        <v>45.720675000000014</v>
      </c>
      <c r="BM26" s="1046">
        <f t="shared" ca="1" si="5"/>
        <v>0</v>
      </c>
      <c r="BN26" s="1046"/>
      <c r="BO26" s="17"/>
      <c r="BP26" s="1069">
        <f t="shared" ref="BP26:DG30" ca="1" si="64">IFERROR(SUMIFS(INDIRECT($C26&amp;".Emissions["&amp;this.year&amp;"]"), INDIRECT($C26&amp;".Emissions[GHG]"), BP$6, INDIRECT($C26&amp;".Emissions[IPCC Sector]"), BP$5),0)</f>
        <v>21.159331741935492</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-2.8781185263157902</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18.281213215619701</v>
      </c>
    </row>
    <row r="27" spans="1:113" s="1087" customFormat="1" ht="15"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16.858011722794185</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-0.51589118749999996</v>
      </c>
      <c r="AG27" s="1073">
        <f t="shared" ca="1" si="59"/>
        <v>-16.189366629044187</v>
      </c>
      <c r="AH27" s="1073">
        <f t="shared" ca="1" si="59"/>
        <v>-0.15275390625000002</v>
      </c>
      <c r="AI27" s="1073">
        <f t="shared" ca="1" si="59"/>
        <v>0</v>
      </c>
      <c r="AJ27" s="1073">
        <f t="shared" ca="1" si="59"/>
        <v>0</v>
      </c>
      <c r="AK27" s="1073">
        <f t="shared" ca="1" si="59"/>
        <v>0</v>
      </c>
      <c r="AL27" s="1066">
        <f t="shared" ca="1" si="60"/>
        <v>-1.7208456881689926E-15</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-1.7208456881689926E-15</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-4.4964361448071841</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-4.4964361448071841</v>
      </c>
    </row>
    <row r="28" spans="1:113" s="51" customFormat="1" ht="12"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0.15275390625000002</v>
      </c>
      <c r="AI28" s="1073">
        <f t="shared" ca="1" si="59"/>
        <v>0</v>
      </c>
      <c r="AJ28" s="1073">
        <f t="shared" ca="1" si="59"/>
        <v>0</v>
      </c>
      <c r="AK28" s="1073">
        <f t="shared" ca="1" si="59"/>
        <v>0</v>
      </c>
      <c r="AL28" s="1066">
        <f t="shared" ca="1" si="60"/>
        <v>0.15275390625000002</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-0.15275390625000002</v>
      </c>
      <c r="BG28" s="1067">
        <f t="shared" ca="1" si="62"/>
        <v>-0.15275390625000002</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0.51589118749999996</v>
      </c>
      <c r="AG29" s="1073">
        <f t="shared" ca="1" si="59"/>
        <v>961.22025368600248</v>
      </c>
      <c r="AH29" s="1073">
        <f t="shared" ca="1" si="59"/>
        <v>14.466733333333337</v>
      </c>
      <c r="AI29" s="1073">
        <f t="shared" ca="1" si="59"/>
        <v>0</v>
      </c>
      <c r="AJ29" s="1073">
        <f t="shared" ca="1" si="59"/>
        <v>0</v>
      </c>
      <c r="AK29" s="1073">
        <f t="shared" ca="1" si="59"/>
        <v>0</v>
      </c>
      <c r="AL29" s="1066">
        <f t="shared" ca="1" si="60"/>
        <v>976.20287820683575</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-0.51589118749999996</v>
      </c>
      <c r="BF29" s="1074">
        <f t="shared" ca="1" si="66"/>
        <v>-975.68698701933579</v>
      </c>
      <c r="BG29" s="1067">
        <f t="shared" ca="1" si="62"/>
        <v>-976.20287820683575</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-21.159331741935492</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-21.159331741935492</v>
      </c>
    </row>
    <row r="30" spans="1:113" s="51" customFormat="1" ht="12"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945.03088705695825</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-945.03088705695825</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-306.85784066880228</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-306.85784066880228</v>
      </c>
    </row>
    <row r="31" spans="1:113" s="51" customFormat="1" ht="12" customHeight="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15.240225000000006</v>
      </c>
      <c r="V31" s="1073">
        <f t="shared" ca="1" si="68"/>
        <v>884.06998705695821</v>
      </c>
      <c r="W31" s="1073">
        <f t="shared" ca="1" si="68"/>
        <v>16.858011722794185</v>
      </c>
      <c r="X31" s="1073">
        <f t="shared" ca="1" si="68"/>
        <v>14.466733333333337</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0</v>
      </c>
      <c r="AI31" s="1073">
        <f t="shared" ca="1" si="68"/>
        <v>0</v>
      </c>
      <c r="AJ31" s="1073">
        <f t="shared" ca="1" si="68"/>
        <v>0</v>
      </c>
      <c r="AK31" s="1073">
        <f t="shared" ca="1" si="68"/>
        <v>0</v>
      </c>
      <c r="AL31" s="1066">
        <f t="shared" ca="1" si="60"/>
        <v>930.63495711308576</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-0.51589118749999996</v>
      </c>
      <c r="BF31" s="1074">
        <f t="shared" ca="1" si="69"/>
        <v>-975.83974092558583</v>
      </c>
      <c r="BG31" s="1067">
        <f t="shared" ca="1" si="62"/>
        <v>-976.35563211308579</v>
      </c>
      <c r="BI31" s="1075">
        <f ca="1">BI28+BI27+BI26+BI29+BI30</f>
        <v>45.720675000000014</v>
      </c>
      <c r="BJ31" s="1075">
        <f ca="1">BJ28+BJ27+BJ26+BJ29+BJ30</f>
        <v>0</v>
      </c>
      <c r="BK31" s="1045">
        <f t="shared" ca="1" si="56"/>
        <v>45.720675000000014</v>
      </c>
      <c r="BM31" s="1096">
        <f t="shared" ca="1" si="5"/>
        <v>0</v>
      </c>
      <c r="BN31" s="1046"/>
      <c r="BO31" s="97"/>
      <c r="BP31" s="1069">
        <f ca="1">BP28+BP27+BP26+BP29+BP30</f>
        <v>21.159331741935492</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-335.39172708186072</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-314.23239533992523</v>
      </c>
    </row>
    <row r="32" spans="1:113" s="51" customFormat="1" ht="14.25"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hidden="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641.54155989156084</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641.54155989156084</v>
      </c>
      <c r="AN34" s="1054">
        <f t="shared" ref="AN34:BC36" ca="1" si="86">IFERROR(INDEX(INDIRECT($C34&amp;".Outputs["&amp;this.year&amp;"]"), MATCH(AN$5, INDIRECT($C34&amp;".Outputs[Vector]"), 0)), 0)</f>
        <v>0</v>
      </c>
      <c r="AO34" s="1054">
        <f t="shared" ca="1" si="86"/>
        <v>0</v>
      </c>
      <c r="AP34" s="1054">
        <f t="shared" ca="1" si="86"/>
        <v>-641.54155989156084</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-641.54155989156084</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hidden="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3958.482454759453</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3958.482454759453</v>
      </c>
      <c r="AN35" s="1054">
        <f t="shared" ca="1" si="86"/>
        <v>-3958.482454759453</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-3958.482454759453</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hidden="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402.83638767071136</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402.83638767071136</v>
      </c>
      <c r="AN36" s="1054">
        <f t="shared" ca="1" si="86"/>
        <v>0</v>
      </c>
      <c r="AO36" s="1054">
        <f t="shared" ca="1" si="86"/>
        <v>-402.83638767071136</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-402.83638767071136</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ollapsed="1">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3958.482454759453</v>
      </c>
      <c r="Z37" s="1043">
        <f ca="1">SUM(Z34:Z36)</f>
        <v>402.83638767071136</v>
      </c>
      <c r="AA37" s="1043">
        <f ca="1">SUM(AA34:AA36)</f>
        <v>641.54155989156084</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5002.8604023217249</v>
      </c>
      <c r="AN37" s="1044">
        <f t="shared" ref="AN37:BF37" ca="1" si="95">SUM(AN34:AN36)</f>
        <v>-3958.482454759453</v>
      </c>
      <c r="AO37" s="1044">
        <f t="shared" ca="1" si="95"/>
        <v>-402.83638767071136</v>
      </c>
      <c r="AP37" s="1044">
        <f t="shared" ca="1" si="95"/>
        <v>-641.54155989156084</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-5002.8604023217249</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171.81360000000004</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171.81360000000004</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-171.81360000000004</v>
      </c>
      <c r="BD38" s="1108">
        <f t="shared" ca="1" si="99"/>
        <v>0</v>
      </c>
      <c r="BE38" s="1108">
        <f t="shared" ca="1" si="99"/>
        <v>0</v>
      </c>
      <c r="BF38" s="1108">
        <f t="shared" ca="1" si="99"/>
        <v>0</v>
      </c>
      <c r="BG38" s="1062">
        <f t="shared" ca="1" si="96"/>
        <v>-171.81360000000004</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47.823373215000004</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0.85035107226340734</v>
      </c>
      <c r="AK39" s="1106">
        <f t="shared" ca="1" si="99"/>
        <v>0</v>
      </c>
      <c r="AL39" s="1107">
        <f t="shared" ca="1" si="92"/>
        <v>48.673724287263411</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-48.673724287263411</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-48.673724287263411</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25.719444000000003</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25.719444000000003</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-25.719444000000003</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-25.719444000000003</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110.89673923319999</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110.89673923319999</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-110.89673923319999</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-110.89673923319999</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4.6021499999999991</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4.6021499999999991</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-4.6021499999999991</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-4.6021499999999991</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31.651553988000003</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31.651553988000003</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-31.651553988000003</v>
      </c>
      <c r="BD43" s="1108">
        <f t="shared" ca="1" si="99"/>
        <v>0</v>
      </c>
      <c r="BE43" s="1108">
        <f t="shared" ca="1" si="99"/>
        <v>0</v>
      </c>
      <c r="BF43" s="1108">
        <f t="shared" ca="1" si="99"/>
        <v>0</v>
      </c>
      <c r="BG43" s="1044">
        <f t="shared" ca="1" si="96"/>
        <v>-31.651553988000003</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220.69326043619998</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0.85035107226340734</v>
      </c>
      <c r="AK44" s="1043">
        <f t="shared" ca="1" si="110"/>
        <v>0</v>
      </c>
      <c r="AL44" s="1107">
        <f t="shared" ca="1" si="92"/>
        <v>221.54361150846339</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-74.393168287263421</v>
      </c>
      <c r="AY44" s="1044">
        <f t="shared" ca="1" si="111"/>
        <v>-115.49888923319999</v>
      </c>
      <c r="AZ44" s="1044">
        <f t="shared" ca="1" si="111"/>
        <v>0</v>
      </c>
      <c r="BA44" s="1044">
        <f t="shared" ca="1" si="111"/>
        <v>0</v>
      </c>
      <c r="BB44" s="1044">
        <f t="shared" ca="1" si="111"/>
        <v>0</v>
      </c>
      <c r="BC44" s="1044">
        <f t="shared" ca="1" si="111"/>
        <v>-31.651553988000003</v>
      </c>
      <c r="BD44" s="1044">
        <f t="shared" ca="1" si="111"/>
        <v>0</v>
      </c>
      <c r="BE44" s="1044">
        <f t="shared" ca="1" si="111"/>
        <v>0</v>
      </c>
      <c r="BF44" s="1044">
        <f t="shared" ca="1" si="111"/>
        <v>0</v>
      </c>
      <c r="BG44" s="1044">
        <f t="shared" ca="1" si="111"/>
        <v>-221.54361150846341</v>
      </c>
      <c r="BI44" s="1045">
        <f ca="1">SUM(BI39:BI43)</f>
        <v>0</v>
      </c>
      <c r="BJ44" s="1045">
        <f ca="1">SUM(BJ39:BJ43)</f>
        <v>0</v>
      </c>
      <c r="BK44" s="1045">
        <f ca="1">SUM(BK39:BK43)</f>
        <v>0</v>
      </c>
      <c r="BM44" s="1046">
        <f t="shared" ca="1" si="5"/>
        <v>-2.8421709430404007E-14</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66.341088000000013</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66.341088000000013</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-189.54596571428576</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-189.54596571428576</v>
      </c>
      <c r="BI45" s="1119">
        <f t="shared" ref="BI45:BJ50" ca="1" si="118">IFERROR(INDEX(INDIRECT($C45&amp;".Outputs["&amp;this.year&amp;"]"), MATCH(BI$5, INDIRECT($C45&amp;".Outputs[Vector]"), 0)), 0)</f>
        <v>123.20487771428574</v>
      </c>
      <c r="BJ45" s="1119">
        <f t="shared" ca="1" si="118"/>
        <v>0</v>
      </c>
      <c r="BK45" s="1045">
        <f ca="1">SUM(BI45:BJ45)</f>
        <v>123.20487771428574</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774.08352476560174</v>
      </c>
      <c r="V46" s="1117">
        <f t="shared" ca="1" si="114"/>
        <v>-2304.0805300950419</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-1529.9970053294401</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1462.6853944802574</v>
      </c>
      <c r="BJ46" s="1119">
        <f t="shared" ca="1" si="118"/>
        <v>67.311610849182756</v>
      </c>
      <c r="BK46" s="1045">
        <f ca="1">SUM(BI46:BJ46)</f>
        <v>1529.9970053294401</v>
      </c>
      <c r="BL46" s="51"/>
      <c r="BM46" s="1046">
        <f t="shared" ca="1" si="5"/>
        <v>0</v>
      </c>
      <c r="BN46" s="1063"/>
      <c r="BO46" s="97"/>
      <c r="BP46" s="1057">
        <f t="shared" ca="1" si="119"/>
        <v>799.73891947815002</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799.73891947815002</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109.8605340414</v>
      </c>
      <c r="V47" s="1117">
        <f t="shared" ca="1" si="114"/>
        <v>0</v>
      </c>
      <c r="W47" s="1117">
        <f t="shared" ca="1" si="114"/>
        <v>0</v>
      </c>
      <c r="X47" s="1117">
        <f t="shared" ca="1" si="114"/>
        <v>-217.65793072663513</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-107.79739668523513</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107.79739668523513</v>
      </c>
      <c r="BJ47" s="1119">
        <f t="shared" ca="1" si="118"/>
        <v>0</v>
      </c>
      <c r="BK47" s="1045">
        <f ca="1">SUM(BI47:BJ47)</f>
        <v>107.79739668523513</v>
      </c>
      <c r="BL47" s="51"/>
      <c r="BM47" s="1046">
        <f t="shared" ca="1" si="5"/>
        <v>0</v>
      </c>
      <c r="BN47" s="1063"/>
      <c r="BO47" s="97"/>
      <c r="BP47" s="1057">
        <f t="shared" ca="1" si="119"/>
        <v>36.427440234780001</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36.427440234780001</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2.5772040000000001</v>
      </c>
      <c r="V48" s="1117">
        <f t="shared" ca="1" si="114"/>
        <v>-19.175625</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-16.598421000000002</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13.039425000000001</v>
      </c>
      <c r="BJ48" s="1119">
        <f t="shared" ca="1" si="118"/>
        <v>3.558996</v>
      </c>
      <c r="BK48" s="1045">
        <f ca="1">SUM(BI48:BJ48)</f>
        <v>16.598421000000002</v>
      </c>
      <c r="BL48" s="51"/>
      <c r="BM48" s="1046">
        <f t="shared" ca="1" si="5"/>
        <v>0</v>
      </c>
      <c r="BN48" s="1063"/>
      <c r="BO48" s="97"/>
      <c r="BP48" s="1057">
        <f t="shared" ca="1" si="119"/>
        <v>6.655797580645161</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-5.9902178225806457</v>
      </c>
      <c r="DE48" s="1057">
        <f t="shared" ca="1" si="119"/>
        <v>0</v>
      </c>
      <c r="DF48" s="1057">
        <f t="shared" ca="1" si="119"/>
        <v>0</v>
      </c>
      <c r="DG48" s="1057">
        <f t="shared" ca="1" si="119"/>
        <v>0</v>
      </c>
      <c r="DI48" s="1059">
        <f t="shared" ca="1" si="79"/>
        <v>0.6655797580645153</v>
      </c>
    </row>
    <row r="49" spans="1:113">
      <c r="A49" s="1087"/>
      <c r="B49" s="1087"/>
      <c r="C49" s="1088" t="s">
        <v>1818</v>
      </c>
      <c r="D49" s="1114" t="s">
        <v>1817</v>
      </c>
      <c r="E49" s="1089"/>
      <c r="T49" s="2362">
        <f ca="1">T23+T33+T37+T38+T44+T45++T46+T47+T48+T31+T61</f>
        <v>-3170.4883780648101</v>
      </c>
      <c r="U49" s="2362">
        <f ca="1">U23+U33+U37+U38+U44+U45++U46+U47+U48+U31+U61</f>
        <v>670.97433590323612</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2499.5140421615743</v>
      </c>
      <c r="V50" s="1117">
        <f t="shared" ca="1" si="114"/>
        <v>-6799.1962286778571</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-4299.6821865162829</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4174.7064844082042</v>
      </c>
      <c r="BJ50" s="1119">
        <f t="shared" ca="1" si="118"/>
        <v>124.97570210807872</v>
      </c>
      <c r="BK50" s="1045">
        <f ca="1">SUM(BI50:BJ50)</f>
        <v>4299.6821865162829</v>
      </c>
      <c r="BL50" s="51"/>
      <c r="BM50" s="1046">
        <f t="shared" ref="BM50:BM55" ca="1" si="120">R50+AL50+BG50+BK50</f>
        <v>0</v>
      </c>
      <c r="BN50" s="1063"/>
      <c r="BO50" s="97"/>
      <c r="BP50" s="1057">
        <f t="shared" ca="1" si="119"/>
        <v>2359.979078083024</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2359.979078083024</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3386.0353049685759</v>
      </c>
      <c r="V51" s="1043">
        <f t="shared" ref="V51:AK51" ca="1" si="122">V46+V47+V48+V50</f>
        <v>-9122.4523837728993</v>
      </c>
      <c r="W51" s="1043">
        <f t="shared" ca="1" si="122"/>
        <v>0</v>
      </c>
      <c r="X51" s="1043">
        <f t="shared" ca="1" si="122"/>
        <v>-217.65793072663513</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-5954.0750095309577</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5758.2287005736962</v>
      </c>
      <c r="BJ51" s="1045">
        <f ca="1">BJ46+BJ47+BJ48+BJ50</f>
        <v>195.84630895726147</v>
      </c>
      <c r="BK51" s="1045">
        <f ca="1">SUM(BI51:BJ51)</f>
        <v>5954.0750095309577</v>
      </c>
      <c r="BM51" s="1046">
        <f t="shared" ca="1" si="120"/>
        <v>0</v>
      </c>
      <c r="BN51" s="1046"/>
      <c r="BO51" s="97"/>
      <c r="BP51" s="1058">
        <f ca="1">BP46+BP47+BP48+BP50</f>
        <v>3202.8012353765989</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-5.9902178225806457</v>
      </c>
      <c r="DE51" s="1058">
        <f t="shared" ca="1" si="124"/>
        <v>0</v>
      </c>
      <c r="DF51" s="1058">
        <f t="shared" ca="1" si="124"/>
        <v>0</v>
      </c>
      <c r="DG51" s="1058">
        <f t="shared" ca="1" si="124"/>
        <v>0</v>
      </c>
      <c r="DI51" s="1059">
        <f ca="1">SUM(BP51:DG51)</f>
        <v>3196.8110175540182</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3860.1234784047761</v>
      </c>
      <c r="V52" s="1080">
        <f t="shared" ca="1" si="126"/>
        <v>-8238.3823967159406</v>
      </c>
      <c r="W52" s="1080">
        <f t="shared" ca="1" si="126"/>
        <v>16.858011722794185</v>
      </c>
      <c r="X52" s="1080">
        <f t="shared" ca="1" si="126"/>
        <v>-203.19119739330179</v>
      </c>
      <c r="Y52" s="1080">
        <f t="shared" ca="1" si="126"/>
        <v>3958.482454759453</v>
      </c>
      <c r="Z52" s="1080">
        <f t="shared" ca="1" si="126"/>
        <v>402.83638767071136</v>
      </c>
      <c r="AA52" s="1080">
        <f t="shared" ca="1" si="126"/>
        <v>641.54155989156084</v>
      </c>
      <c r="AB52" s="1080">
        <f t="shared" ca="1" si="126"/>
        <v>0</v>
      </c>
      <c r="AC52" s="1080">
        <f t="shared" ca="1" si="126"/>
        <v>0</v>
      </c>
      <c r="AD52" s="1080">
        <f t="shared" ca="1" si="126"/>
        <v>0</v>
      </c>
      <c r="AE52" s="1080">
        <f t="shared" ca="1" si="126"/>
        <v>0</v>
      </c>
      <c r="AF52" s="1080">
        <f t="shared" ca="1" si="126"/>
        <v>0</v>
      </c>
      <c r="AG52" s="1080">
        <f t="shared" ca="1" si="126"/>
        <v>0</v>
      </c>
      <c r="AH52" s="1080">
        <f t="shared" ca="1" si="126"/>
        <v>0</v>
      </c>
      <c r="AI52" s="1080">
        <f t="shared" ca="1" si="126"/>
        <v>0</v>
      </c>
      <c r="AJ52" s="1080">
        <f t="shared" ca="1" si="126"/>
        <v>0.85035107226340734</v>
      </c>
      <c r="AK52" s="1080">
        <f t="shared" ca="1" si="126"/>
        <v>0</v>
      </c>
      <c r="AL52" s="1043">
        <f ca="1">SUM(T52:AK52)</f>
        <v>439.11864941231556</v>
      </c>
      <c r="AN52" s="2408">
        <f t="shared" ref="AN52:BF52" ca="1" si="127">AN$33+AN$37+AN$38+AN$44+AN$45+AN$51+AN31</f>
        <v>-3958.482454759453</v>
      </c>
      <c r="AO52" s="2408">
        <f t="shared" ca="1" si="127"/>
        <v>-402.83638767071136</v>
      </c>
      <c r="AP52" s="2408">
        <f t="shared" ca="1" si="127"/>
        <v>-641.54155989156084</v>
      </c>
      <c r="AQ52" s="2408">
        <f t="shared" ca="1" si="127"/>
        <v>0</v>
      </c>
      <c r="AR52" s="2408">
        <f t="shared" ca="1" si="127"/>
        <v>0</v>
      </c>
      <c r="AS52" s="2408">
        <f t="shared" ca="1" si="127"/>
        <v>0</v>
      </c>
      <c r="AT52" s="2408">
        <f t="shared" ca="1" si="127"/>
        <v>0</v>
      </c>
      <c r="AU52" s="2408">
        <f t="shared" ca="1" si="127"/>
        <v>0</v>
      </c>
      <c r="AV52" s="2408">
        <f t="shared" ca="1" si="127"/>
        <v>0</v>
      </c>
      <c r="AW52" s="2408">
        <f t="shared" ca="1" si="127"/>
        <v>-189.54596571428576</v>
      </c>
      <c r="AX52" s="2408">
        <f t="shared" ca="1" si="127"/>
        <v>-74.393168287263421</v>
      </c>
      <c r="AY52" s="2408">
        <f t="shared" ca="1" si="127"/>
        <v>-115.49888923319999</v>
      </c>
      <c r="AZ52" s="2408">
        <f t="shared" ca="1" si="127"/>
        <v>0</v>
      </c>
      <c r="BA52" s="2408">
        <f t="shared" ca="1" si="127"/>
        <v>0</v>
      </c>
      <c r="BB52" s="2408">
        <f t="shared" ca="1" si="127"/>
        <v>0</v>
      </c>
      <c r="BC52" s="2408">
        <f t="shared" ca="1" si="127"/>
        <v>-203.46515398800005</v>
      </c>
      <c r="BD52" s="2408">
        <f t="shared" ca="1" si="127"/>
        <v>0</v>
      </c>
      <c r="BE52" s="2408">
        <f t="shared" ca="1" si="127"/>
        <v>-0.51589118749999996</v>
      </c>
      <c r="BF52" s="2408">
        <f t="shared" ca="1" si="127"/>
        <v>-975.83974092558583</v>
      </c>
      <c r="BG52" s="2408">
        <f ca="1">SUM(AN52:BF52)</f>
        <v>-6562.1192116575594</v>
      </c>
      <c r="BI52" s="1082">
        <f ca="1">BI$33+BI$37+BI$38+BI$44+BI$45+BI$51+BI31</f>
        <v>5927.1542532879812</v>
      </c>
      <c r="BJ52" s="1082">
        <f ca="1">BJ$33+BJ$37+BJ$38+BJ$44+BJ$45+BJ$51+BJ31</f>
        <v>195.84630895726147</v>
      </c>
      <c r="BK52" s="1045">
        <f ca="1">SUM(BI52:BJ52)</f>
        <v>6123.0005622452427</v>
      </c>
      <c r="BM52" s="1083">
        <f t="shared" ca="1" si="120"/>
        <v>0</v>
      </c>
      <c r="BN52" s="1083"/>
      <c r="BP52" s="2401">
        <f t="shared" ref="BP52:DG52" ca="1" si="128">BP$33+BP$37+BP$38+BP$44++BP$45+BP$51</f>
        <v>3202.8012353765989</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-5.9902178225806457</v>
      </c>
      <c r="DE52" s="1084">
        <f t="shared" ca="1" si="128"/>
        <v>0</v>
      </c>
      <c r="DF52" s="1084">
        <f t="shared" ca="1" si="128"/>
        <v>0</v>
      </c>
      <c r="DG52" s="1084">
        <f t="shared" ca="1" si="128"/>
        <v>0</v>
      </c>
      <c r="DI52" s="1085">
        <f ca="1">SUM(BP52:DG52)</f>
        <v>3196.8110175540182</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40</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40</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-40</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-40</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-3170.4883780648101</v>
      </c>
      <c r="U58" s="1093">
        <f ca="1">U$23+U$31+U$33+U$37+U$57+U$38+U$44+U$45</f>
        <v>514.08817343620001</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-729.63510033996545</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-729.63510033996545</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729.63510033996545</v>
      </c>
      <c r="BK59" s="1056">
        <f ca="1">SUM(BI59:BJ59)</f>
        <v>729.63510033996545</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-689.63510033996545</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-689.63510033996545</v>
      </c>
      <c r="AM61" s="51"/>
      <c r="AN61" s="1044">
        <f t="shared" ref="AN61:BF61" ca="1" si="146">AN$57+AN$59+AN$60</f>
        <v>0</v>
      </c>
      <c r="AO61" s="1044">
        <f t="shared" ca="1" si="146"/>
        <v>0</v>
      </c>
      <c r="AP61" s="1044">
        <f t="shared" ca="1" si="146"/>
        <v>0</v>
      </c>
      <c r="AQ61" s="1044">
        <f t="shared" ca="1" si="146"/>
        <v>0</v>
      </c>
      <c r="AR61" s="1044">
        <f t="shared" ca="1" si="146"/>
        <v>-40</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-40</v>
      </c>
      <c r="BH61" s="51"/>
      <c r="BI61" s="1045">
        <f ca="1">BI$57+BI$59+BI$60</f>
        <v>0</v>
      </c>
      <c r="BJ61" s="1045">
        <f ca="1">BJ$57+BJ$59+BJ$60</f>
        <v>729.63510033996545</v>
      </c>
      <c r="BK61" s="1045">
        <f ca="1">SUM(BI61:BJ61)</f>
        <v>729.63510033996545</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-12807.871055210169</v>
      </c>
      <c r="W63" s="1093">
        <f t="shared" ca="1" si="149"/>
        <v>-5358.4146289769687</v>
      </c>
      <c r="X63" s="1093">
        <f t="shared" ca="1" si="149"/>
        <v>-1325.6966476614132</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0</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-3170.4883780648101</v>
      </c>
      <c r="U64" s="1093">
        <f ca="1">(U$23+U$52+U$61)</f>
        <v>3170.4883780648106</v>
      </c>
      <c r="V64" s="1093">
        <f t="shared" ca="1" si="149"/>
        <v>-12807.871055210169</v>
      </c>
      <c r="W64" s="1093">
        <f t="shared" ca="1" si="149"/>
        <v>-5358.4146289769687</v>
      </c>
      <c r="X64" s="1093">
        <f t="shared" ca="1" si="149"/>
        <v>-1325.6966476614132</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12807.871055210169</v>
      </c>
      <c r="W65" s="1107">
        <f t="shared" ca="1" si="152"/>
        <v>5358.4146289769687</v>
      </c>
      <c r="X65" s="1107">
        <f t="shared" ca="1" si="152"/>
        <v>1325.6966476614132</v>
      </c>
      <c r="Y65" s="1107">
        <f t="shared" ca="1" si="152"/>
        <v>-12807.871055210169</v>
      </c>
      <c r="Z65" s="1107">
        <f t="shared" ca="1" si="152"/>
        <v>-5733.5036530053567</v>
      </c>
      <c r="AA65" s="1107">
        <f t="shared" ca="1" si="152"/>
        <v>-1524.5511448106251</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-573.94352117759695</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573.94352117759979</v>
      </c>
      <c r="BK65" s="1110">
        <f ca="1">SUM(BI65:BJ65)</f>
        <v>573.94352117759979</v>
      </c>
      <c r="BL65" s="51"/>
      <c r="BM65" s="1046">
        <f t="shared" ref="BM65:BM71" ca="1" si="154">R65+AL65+BG65+BK65</f>
        <v>2.8421709430404007E-12</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-4.5474735088646412E-13</v>
      </c>
      <c r="V66" s="1140"/>
      <c r="W66" s="1140"/>
      <c r="X66" s="1140"/>
      <c r="Y66" s="1140">
        <f ca="1">-(Y$23+Y$52+Y$61+Y$65)</f>
        <v>8849.3886004507167</v>
      </c>
      <c r="Z66" s="1140">
        <f ca="1">-(Z$23+Z$52+Z$61+Z$65)</f>
        <v>5330.667265334645</v>
      </c>
      <c r="AA66" s="1140">
        <f ca="1">-(AA$23+AA$52+AA$61+AA$65)</f>
        <v>883.00958491906431</v>
      </c>
      <c r="AB66" s="1140"/>
      <c r="AC66" s="1140"/>
      <c r="AD66" s="1140"/>
      <c r="AE66" s="1140"/>
      <c r="AF66" s="1140"/>
      <c r="AG66" s="1140"/>
      <c r="AH66" s="1140"/>
      <c r="AI66" s="1140"/>
      <c r="AJ66" s="1140"/>
      <c r="AK66" s="1140"/>
      <c r="AL66" s="1140">
        <f ca="1">SUM(T66:AK66)</f>
        <v>15063.065450704426</v>
      </c>
      <c r="AM66" s="51"/>
      <c r="AN66" s="1067"/>
      <c r="AO66" s="1067"/>
      <c r="AP66" s="1067"/>
      <c r="AQ66" s="1067"/>
      <c r="AR66" s="1067">
        <f ca="1">-U66</f>
        <v>4.5474735088646412E-13</v>
      </c>
      <c r="AS66" s="1067">
        <f>-W66</f>
        <v>0</v>
      </c>
      <c r="AT66" s="1067">
        <f ca="1">-Y66</f>
        <v>-8849.3886004507167</v>
      </c>
      <c r="AU66" s="1067">
        <f ca="1">-Z66</f>
        <v>-5330.667265334645</v>
      </c>
      <c r="AV66" s="1067">
        <f ca="1">-AA66</f>
        <v>-883.00958491906431</v>
      </c>
      <c r="AW66" s="1067"/>
      <c r="AX66" s="1067"/>
      <c r="AY66" s="1067"/>
      <c r="AZ66" s="1067"/>
      <c r="BA66" s="1067"/>
      <c r="BB66" s="1067"/>
      <c r="BC66" s="1067"/>
      <c r="BD66" s="1067"/>
      <c r="BE66" s="1067"/>
      <c r="BF66" s="1067"/>
      <c r="BG66" s="1067">
        <f ca="1">SUM(AN66:BF66)</f>
        <v>-15063.065450704426</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-4.5474735088646412E-13</v>
      </c>
      <c r="V67" s="1043">
        <f t="shared" ca="1" si="160"/>
        <v>12807.871055210169</v>
      </c>
      <c r="W67" s="1043">
        <f t="shared" ca="1" si="160"/>
        <v>5358.4146289769687</v>
      </c>
      <c r="X67" s="1043">
        <f t="shared" ca="1" si="160"/>
        <v>1325.6966476614132</v>
      </c>
      <c r="Y67" s="1043">
        <f t="shared" ca="1" si="160"/>
        <v>-3958.4824547594526</v>
      </c>
      <c r="Z67" s="1043">
        <f t="shared" ca="1" si="160"/>
        <v>-402.8363876707117</v>
      </c>
      <c r="AA67" s="1043">
        <f t="shared" ca="1" si="160"/>
        <v>-641.54155989156084</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14489.121929526829</v>
      </c>
      <c r="AN67" s="1044">
        <f t="shared" ref="AN67:BF67" ca="1" si="161">SUM(AN65:AN66)</f>
        <v>0</v>
      </c>
      <c r="AO67" s="1044">
        <f t="shared" ca="1" si="161"/>
        <v>0</v>
      </c>
      <c r="AP67" s="1044">
        <f t="shared" ca="1" si="161"/>
        <v>0</v>
      </c>
      <c r="AQ67" s="1044">
        <f t="shared" ca="1" si="161"/>
        <v>0</v>
      </c>
      <c r="AR67" s="1044">
        <f t="shared" ca="1" si="161"/>
        <v>4.5474735088646412E-13</v>
      </c>
      <c r="AS67" s="1044">
        <f t="shared" ca="1" si="161"/>
        <v>0</v>
      </c>
      <c r="AT67" s="1044">
        <f t="shared" ca="1" si="161"/>
        <v>-8849.3886004507167</v>
      </c>
      <c r="AU67" s="1044">
        <f t="shared" ca="1" si="161"/>
        <v>-5330.667265334645</v>
      </c>
      <c r="AV67" s="1044">
        <f t="shared" ca="1" si="161"/>
        <v>-883.00958491906431</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-15063.065450704426</v>
      </c>
      <c r="BI67" s="1045">
        <f ca="1">SUM(BI65:BI66)</f>
        <v>0</v>
      </c>
      <c r="BJ67" s="1045">
        <f ca="1">SUM(BJ65:BJ66)</f>
        <v>573.94352117759979</v>
      </c>
      <c r="BK67" s="1045">
        <f ca="1">SUM(BI67:BJ67)</f>
        <v>573.94352117759979</v>
      </c>
      <c r="BM67" s="1046">
        <f t="shared" ca="1" si="154"/>
        <v>3.5242919693700969E-12</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-689.6351003399659</v>
      </c>
      <c r="V68" s="1080">
        <f t="shared" ca="1" si="164"/>
        <v>12807.871055210169</v>
      </c>
      <c r="W68" s="1080">
        <f t="shared" ca="1" si="164"/>
        <v>5358.4146289769687</v>
      </c>
      <c r="X68" s="1080">
        <f t="shared" ca="1" si="164"/>
        <v>1325.6966476614132</v>
      </c>
      <c r="Y68" s="1080">
        <f t="shared" ca="1" si="164"/>
        <v>-3958.4824547594526</v>
      </c>
      <c r="Z68" s="1080">
        <f t="shared" ca="1" si="164"/>
        <v>-402.8363876707117</v>
      </c>
      <c r="AA68" s="1080">
        <f t="shared" ca="1" si="164"/>
        <v>-641.54155989156084</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13799.486829186861</v>
      </c>
      <c r="AN68" s="1081">
        <f ca="1">AN$61+AN$67</f>
        <v>0</v>
      </c>
      <c r="AO68" s="1081">
        <f t="shared" ref="AO68:BF68" ca="1" si="165">AO$61+AO$67</f>
        <v>0</v>
      </c>
      <c r="AP68" s="1081">
        <f t="shared" ca="1" si="165"/>
        <v>0</v>
      </c>
      <c r="AQ68" s="1081">
        <f t="shared" ca="1" si="165"/>
        <v>0</v>
      </c>
      <c r="AR68" s="1081">
        <f t="shared" ca="1" si="165"/>
        <v>-39.999999999999545</v>
      </c>
      <c r="AS68" s="1081">
        <f t="shared" ca="1" si="165"/>
        <v>0</v>
      </c>
      <c r="AT68" s="1081">
        <f t="shared" ca="1" si="165"/>
        <v>-8849.3886004507167</v>
      </c>
      <c r="AU68" s="1081">
        <f t="shared" ca="1" si="165"/>
        <v>-5330.667265334645</v>
      </c>
      <c r="AV68" s="1081">
        <f t="shared" ca="1" si="165"/>
        <v>-883.00958491906431</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-15103.065450704426</v>
      </c>
      <c r="BI68" s="1082">
        <f ca="1">BI$61+BI$67</f>
        <v>0</v>
      </c>
      <c r="BJ68" s="1082">
        <f ca="1">BJ$61+BJ$67</f>
        <v>1303.5786215175654</v>
      </c>
      <c r="BK68" s="1082">
        <f ca="1">SUM(BI68:BJ68)</f>
        <v>1303.5786215175654</v>
      </c>
      <c r="BM68" s="1083">
        <f t="shared" ca="1" si="154"/>
        <v>0</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1159.8318853695678</v>
      </c>
      <c r="H71" s="1143">
        <f t="shared" ca="1" si="167"/>
        <v>521.48617151177393</v>
      </c>
      <c r="I71" s="1143">
        <f t="shared" ca="1" si="167"/>
        <v>6883.4692319432552</v>
      </c>
      <c r="J71" s="1143">
        <f t="shared" ca="1" si="167"/>
        <v>3069.4990489133552</v>
      </c>
      <c r="K71" s="1143">
        <f t="shared" ca="1" si="167"/>
        <v>93.684977873310913</v>
      </c>
      <c r="L71" s="1143">
        <f t="shared" ca="1" si="167"/>
        <v>124.7495741974252</v>
      </c>
      <c r="M71" s="1143">
        <f t="shared" ca="1" si="167"/>
        <v>-0.20356103070805628</v>
      </c>
      <c r="N71" s="1143">
        <f t="shared" ca="1" si="167"/>
        <v>750.10240185765565</v>
      </c>
      <c r="O71" s="1143">
        <f t="shared" ca="1" si="167"/>
        <v>182.09914419246934</v>
      </c>
      <c r="P71" s="1143">
        <f t="shared" ca="1" si="167"/>
        <v>1145.5431763602155</v>
      </c>
      <c r="Q71" s="1143">
        <f t="shared" ca="1" si="167"/>
        <v>308.34342741085425</v>
      </c>
      <c r="R71" s="1143">
        <f ca="1">SUM(G71:Q71)</f>
        <v>14238.605478599173</v>
      </c>
      <c r="T71" s="1144">
        <f t="shared" ref="T71:AK71" ca="1" si="168">T$23+T$52+T$68</f>
        <v>-3170.4883780648101</v>
      </c>
      <c r="U71" s="1144">
        <f t="shared" ca="1" si="168"/>
        <v>3170.4883780648101</v>
      </c>
      <c r="V71" s="1144">
        <f t="shared" ca="1" si="168"/>
        <v>0</v>
      </c>
      <c r="W71" s="1144">
        <f t="shared" ca="1" si="168"/>
        <v>0</v>
      </c>
      <c r="X71" s="1144">
        <f t="shared" ca="1" si="168"/>
        <v>0</v>
      </c>
      <c r="Y71" s="1144">
        <f t="shared" ca="1" si="168"/>
        <v>0</v>
      </c>
      <c r="Z71" s="1144">
        <f t="shared" ca="1" si="168"/>
        <v>0</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0</v>
      </c>
      <c r="AI71" s="1144">
        <f t="shared" ca="1" si="168"/>
        <v>0</v>
      </c>
      <c r="AJ71" s="1144">
        <f t="shared" ca="1" si="168"/>
        <v>0</v>
      </c>
      <c r="AK71" s="1144">
        <f t="shared" ca="1" si="168"/>
        <v>0</v>
      </c>
      <c r="AL71" s="1144">
        <f ca="1">SUM(T71:AK71)</f>
        <v>0</v>
      </c>
      <c r="AN71" s="1145">
        <f t="shared" ref="AN71:BF71" ca="1" si="169">AN$23+AN$52+AN$68</f>
        <v>-3958.482454759453</v>
      </c>
      <c r="AO71" s="1145">
        <f t="shared" ca="1" si="169"/>
        <v>-402.83638767071136</v>
      </c>
      <c r="AP71" s="1145">
        <f t="shared" ca="1" si="169"/>
        <v>-641.54155989156084</v>
      </c>
      <c r="AQ71" s="1145">
        <f t="shared" ca="1" si="169"/>
        <v>0</v>
      </c>
      <c r="AR71" s="1145">
        <f t="shared" ca="1" si="169"/>
        <v>-39.999999999999545</v>
      </c>
      <c r="AS71" s="1145">
        <f t="shared" ca="1" si="169"/>
        <v>0</v>
      </c>
      <c r="AT71" s="1145">
        <f t="shared" ca="1" si="169"/>
        <v>-8849.3886004507167</v>
      </c>
      <c r="AU71" s="1145">
        <f t="shared" ca="1" si="169"/>
        <v>-5330.667265334645</v>
      </c>
      <c r="AV71" s="1145">
        <f t="shared" ca="1" si="169"/>
        <v>-883.00958491906431</v>
      </c>
      <c r="AW71" s="1145">
        <f t="shared" ca="1" si="169"/>
        <v>-189.54596571428576</v>
      </c>
      <c r="AX71" s="1145">
        <f t="shared" ca="1" si="169"/>
        <v>-74.393168287263421</v>
      </c>
      <c r="AY71" s="1145">
        <f t="shared" ca="1" si="169"/>
        <v>-115.49888923319999</v>
      </c>
      <c r="AZ71" s="1145">
        <f t="shared" ca="1" si="169"/>
        <v>0</v>
      </c>
      <c r="BA71" s="1145">
        <f t="shared" ca="1" si="169"/>
        <v>0</v>
      </c>
      <c r="BB71" s="1145">
        <f t="shared" ca="1" si="169"/>
        <v>0</v>
      </c>
      <c r="BC71" s="1145">
        <f t="shared" ca="1" si="169"/>
        <v>-203.46515398800005</v>
      </c>
      <c r="BD71" s="1145">
        <f t="shared" ca="1" si="169"/>
        <v>0</v>
      </c>
      <c r="BE71" s="1145">
        <f t="shared" ca="1" si="169"/>
        <v>-0.51589118749999996</v>
      </c>
      <c r="BF71" s="1145">
        <f t="shared" ca="1" si="169"/>
        <v>-975.83974092558583</v>
      </c>
      <c r="BG71" s="3166">
        <f ca="1">SUM(AN71:BF71)</f>
        <v>-21665.184662361989</v>
      </c>
      <c r="BI71" s="1146">
        <f ca="1">BI$23+BI$52+BI$68</f>
        <v>5927.1542532879812</v>
      </c>
      <c r="BJ71" s="1146">
        <f ca="1">BJ$23+BJ$52+BJ$68</f>
        <v>1499.4249304748269</v>
      </c>
      <c r="BK71" s="1146">
        <f ca="1">SUM(BI71:BJ71)</f>
        <v>7426.5791837628076</v>
      </c>
      <c r="BM71" s="1039">
        <f t="shared" ca="1" si="154"/>
        <v>-9.0949470177292824E-12</v>
      </c>
      <c r="BN71" s="1039"/>
      <c r="BP71" s="2480">
        <f t="shared" ref="BP71:DG71" ca="1" si="170">BP$23+BP$52+BP$68</f>
        <v>6004.0538581476249</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-5.9902178225806457</v>
      </c>
      <c r="DE71" s="1147">
        <f t="shared" ca="1" si="170"/>
        <v>0</v>
      </c>
      <c r="DF71" s="1147">
        <f t="shared" ca="1" si="170"/>
        <v>0</v>
      </c>
      <c r="DG71" s="1147">
        <f t="shared" ca="1" si="170"/>
        <v>0</v>
      </c>
      <c r="DI71" s="1085">
        <f ca="1">SUM(BP71:DG71)</f>
        <v>5998.0636403250446</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3196.8110175540182</v>
      </c>
    </row>
    <row r="75" spans="2:113">
      <c r="B75" s="2555"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3170.4883780648106</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5">
        <f ca="1">DI74/DI75</f>
        <v>1.0083023926759429</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F6" activePane="bottomRight" state="frozen"/>
      <selection activeCell="Y9" sqref="Y9"/>
      <selection pane="topRight" activeCell="Y9" sqref="Y9"/>
      <selection pane="bottomLeft" activeCell="Y9" sqref="Y9"/>
      <selection pane="bottomRight" activeCell="F6" sqref="F6"/>
    </sheetView>
  </sheetViews>
  <sheetFormatPr defaultColWidth="8.85546875" defaultRowHeight="12.75" outlineLevelRow="1" outlineLevelCol="2"/>
  <cols>
    <col min="1" max="1" width="6.140625" style="2555" customWidth="1"/>
    <col min="2" max="2" width="1.42578125" style="2555" customWidth="1"/>
    <col min="3" max="3" width="4.42578125" style="621" customWidth="1"/>
    <col min="4" max="4" width="5.140625" style="730" customWidth="1"/>
    <col min="5" max="5" width="41.7109375" style="730" customWidth="1"/>
    <col min="6" max="6" width="1.140625" style="2555"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5"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5" customWidth="1" outlineLevel="1"/>
    <col min="40" max="58" width="10" style="730" customWidth="1" outlineLevel="2"/>
    <col min="59" max="59" width="10" style="730" customWidth="1" outlineLevel="1"/>
    <col min="60" max="60" width="1.140625" style="2555" customWidth="1" outlineLevel="1"/>
    <col min="61" max="62" width="10" style="730" customWidth="1" outlineLevel="2"/>
    <col min="63" max="63" width="10" style="730" customWidth="1" outlineLevel="1"/>
    <col min="64" max="64" width="1.140625" style="2555" customWidth="1" outlineLevel="1"/>
    <col min="65" max="65" width="11" style="730" customWidth="1" outlineLevel="1"/>
    <col min="66" max="66" width="5.28515625" style="730" customWidth="1"/>
    <col min="67" max="67" width="8.85546875" style="2555"/>
    <col min="68" max="111" width="7.42578125" style="2555" customWidth="1"/>
    <col min="112" max="112" width="2.42578125" style="2555" customWidth="1"/>
    <col min="113" max="16384" width="8.85546875" style="2555"/>
  </cols>
  <sheetData>
    <row r="1" spans="1:113" ht="9" customHeight="1"/>
    <row r="2" spans="1:113" ht="21" customHeight="1">
      <c r="D2" s="718"/>
      <c r="E2" s="986">
        <v>2037</v>
      </c>
      <c r="G2" s="2555"/>
      <c r="H2" s="2555"/>
      <c r="I2" s="2555"/>
      <c r="J2" s="2555"/>
      <c r="K2" s="2555"/>
      <c r="L2" s="2555"/>
      <c r="M2" s="2555"/>
      <c r="N2" s="2555"/>
      <c r="O2" s="2555"/>
      <c r="P2" s="2555"/>
      <c r="Q2" s="2555"/>
      <c r="R2" s="2555"/>
      <c r="T2" s="2555"/>
      <c r="U2" s="2555"/>
      <c r="V2" s="2555"/>
      <c r="W2" s="2555"/>
      <c r="X2" s="2555"/>
      <c r="Y2" s="2555"/>
      <c r="Z2" s="2555"/>
      <c r="AA2" s="2555"/>
      <c r="AB2" s="2555"/>
      <c r="AC2" s="2555"/>
      <c r="AD2" s="2555"/>
      <c r="AE2" s="2555"/>
      <c r="AF2" s="2555"/>
      <c r="AG2" s="2555"/>
      <c r="AH2" s="2555"/>
      <c r="AI2" s="2555"/>
      <c r="AJ2" s="2555"/>
      <c r="AK2" s="2555"/>
      <c r="AL2" s="2555"/>
      <c r="AN2" s="2555"/>
      <c r="AO2" s="2555"/>
      <c r="AP2" s="2555"/>
      <c r="AQ2" s="2555"/>
      <c r="AR2" s="2555"/>
      <c r="AS2" s="2555"/>
      <c r="AT2" s="2555"/>
      <c r="AU2" s="2555"/>
      <c r="AV2" s="2555"/>
      <c r="AW2" s="2555"/>
      <c r="AX2" s="2555"/>
      <c r="AY2" s="2555"/>
      <c r="AZ2" s="2555"/>
      <c r="BA2" s="2555"/>
      <c r="BB2" s="2555"/>
      <c r="BC2" s="2555"/>
      <c r="BD2" s="2555"/>
      <c r="BE2" s="2555"/>
      <c r="BF2" s="2555"/>
      <c r="BG2" s="2555"/>
      <c r="BI2" s="2555"/>
      <c r="BJ2" s="2555"/>
      <c r="BK2" s="2555"/>
      <c r="BM2" s="2555"/>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hidden="1"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1453.7842020047071</v>
      </c>
      <c r="H10" s="1051">
        <f t="shared" ca="1" si="0"/>
        <v>0</v>
      </c>
      <c r="I10" s="1051">
        <f t="shared" ca="1" si="0"/>
        <v>0</v>
      </c>
      <c r="J10" s="1051">
        <f t="shared" ca="1" si="0"/>
        <v>0</v>
      </c>
      <c r="K10" s="1051">
        <f t="shared" ca="1" si="0"/>
        <v>0</v>
      </c>
      <c r="L10" s="1051">
        <f t="shared" ca="1" si="0"/>
        <v>0</v>
      </c>
      <c r="M10" s="1051">
        <f t="shared" ca="1" si="0"/>
        <v>-1.641352825785818E-12</v>
      </c>
      <c r="N10" s="1051">
        <f t="shared" ca="1" si="0"/>
        <v>0</v>
      </c>
      <c r="O10" s="1051">
        <f t="shared" ca="1" si="0"/>
        <v>0</v>
      </c>
      <c r="P10" s="1051">
        <f t="shared" ca="1" si="0"/>
        <v>0</v>
      </c>
      <c r="Q10" s="1051">
        <f t="shared" ca="1" si="0"/>
        <v>0</v>
      </c>
      <c r="R10" s="1051">
        <f ca="1">SUM(G10:Q10)</f>
        <v>1453.7842020047055</v>
      </c>
      <c r="T10" s="1053">
        <f t="shared" ref="T10:BF11" ca="1" si="1">IFERROR(INDEX(INDIRECT($C10&amp;".Outputs["&amp;this.year&amp;"]"), MATCH(T$5, INDIRECT($C10&amp;".Outputs[Vector]"), 0)), 0)</f>
        <v>-1452.2441557318687</v>
      </c>
      <c r="U10" s="1053">
        <f t="shared" ca="1" si="1"/>
        <v>0</v>
      </c>
      <c r="V10" s="1053">
        <f t="shared" ca="1" si="1"/>
        <v>0</v>
      </c>
      <c r="W10" s="1053">
        <f t="shared" ca="1" si="1"/>
        <v>-1.5400462728367814</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-1453.7842020047055</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0.41076728618570002</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0.41076728618570002</v>
      </c>
    </row>
    <row r="11" spans="1:113" s="51" customFormat="1" ht="12.75" hidden="1" customHeight="1" outlineLevel="1">
      <c r="A11" s="1061"/>
      <c r="B11" s="1061"/>
      <c r="C11" s="1048" t="s">
        <v>301</v>
      </c>
      <c r="D11" s="1064" t="str">
        <f>INDEX(Modules[Module], MATCH($C11, Modules[Code], 0))</f>
        <v>Commercial Lighting &amp; Appliances</v>
      </c>
      <c r="E11" s="1064"/>
      <c r="G11" s="1065">
        <f t="shared" ca="1" si="0"/>
        <v>0</v>
      </c>
      <c r="H11" s="1065">
        <f t="shared" ca="1" si="0"/>
        <v>689.67530682847894</v>
      </c>
      <c r="I11" s="1065">
        <f t="shared" ca="1" si="0"/>
        <v>0</v>
      </c>
      <c r="J11" s="1065">
        <f t="shared" ca="1" si="0"/>
        <v>0</v>
      </c>
      <c r="K11" s="1065">
        <f t="shared" ca="1" si="0"/>
        <v>0</v>
      </c>
      <c r="L11" s="1065">
        <f t="shared" ca="1" si="0"/>
        <v>0</v>
      </c>
      <c r="M11" s="1065">
        <f t="shared" ca="1" si="0"/>
        <v>-0.27020046957224875</v>
      </c>
      <c r="N11" s="1065">
        <f t="shared" ca="1" si="0"/>
        <v>0</v>
      </c>
      <c r="O11" s="1065">
        <f t="shared" ca="1" si="0"/>
        <v>0</v>
      </c>
      <c r="P11" s="1065">
        <f t="shared" ca="1" si="0"/>
        <v>0</v>
      </c>
      <c r="Q11" s="1065">
        <f t="shared" ca="1" si="0"/>
        <v>0</v>
      </c>
      <c r="R11" s="1065">
        <f ca="1">SUM(G11:Q11)</f>
        <v>689.40510635890666</v>
      </c>
      <c r="T11" s="1066">
        <f t="shared" ca="1" si="1"/>
        <v>-689.40510635890666</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-689.40510635890666</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ollapsed="1">
      <c r="A12" s="17"/>
      <c r="B12" s="53"/>
      <c r="C12" s="711" t="s">
        <v>196</v>
      </c>
      <c r="D12" s="710" t="str">
        <f>INDEX(Workstreams[Workstream], MATCH($C12, Workstreams[Code], 0))</f>
        <v>Lighting and appliances</v>
      </c>
      <c r="E12" s="41"/>
      <c r="G12" s="1071">
        <f ca="1">G10+G11</f>
        <v>1453.7842020047071</v>
      </c>
      <c r="H12" s="1071">
        <f t="shared" ref="H12:Q12" ca="1" si="11">H10+H11</f>
        <v>689.67530682847894</v>
      </c>
      <c r="I12" s="1071">
        <f t="shared" ca="1" si="11"/>
        <v>0</v>
      </c>
      <c r="J12" s="1071">
        <f t="shared" ca="1" si="11"/>
        <v>0</v>
      </c>
      <c r="K12" s="1071">
        <f t="shared" ca="1" si="11"/>
        <v>0</v>
      </c>
      <c r="L12" s="1071">
        <f t="shared" ca="1" si="11"/>
        <v>0</v>
      </c>
      <c r="M12" s="1071">
        <f ca="1">M11+M10</f>
        <v>-0.2702004695738901</v>
      </c>
      <c r="N12" s="1071">
        <f t="shared" ca="1" si="11"/>
        <v>0</v>
      </c>
      <c r="O12" s="1071">
        <f t="shared" ca="1" si="11"/>
        <v>0</v>
      </c>
      <c r="P12" s="1071">
        <f t="shared" ca="1" si="11"/>
        <v>0</v>
      </c>
      <c r="Q12" s="1071">
        <f t="shared" ca="1" si="11"/>
        <v>0</v>
      </c>
      <c r="R12" s="1071">
        <f ca="1">SUM(G12:Q12)</f>
        <v>2143.1893083636123</v>
      </c>
      <c r="T12" s="1043">
        <f ca="1">T10+T11</f>
        <v>-2141.6492620907752</v>
      </c>
      <c r="U12" s="1043">
        <f t="shared" ref="U12:AK12" ca="1" si="12">U10+U11</f>
        <v>0</v>
      </c>
      <c r="V12" s="1043">
        <f t="shared" ca="1" si="12"/>
        <v>0</v>
      </c>
      <c r="W12" s="1043">
        <f t="shared" ca="1" si="12"/>
        <v>-1.5400462728367814</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-2143.1893083636119</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4.5474735088646412E-13</v>
      </c>
      <c r="BN12" s="1046"/>
      <c r="BO12" s="97"/>
      <c r="BP12" s="1058">
        <f t="shared" ref="BP12:DG12" ca="1" si="14">BP10+BP11</f>
        <v>0.41076728618570002</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0.41076728618570002</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8404.5908555044025</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8404.5908555044025</v>
      </c>
      <c r="T13" s="1066">
        <f t="shared" ref="T13:BF13" ca="1" si="16">IFERROR(INDEX(INDIRECT($C13&amp;".Outputs["&amp;this.year&amp;"]"), MATCH(T$5, INDIRECT($C13&amp;".Outputs[Vector]"), 0)), 0)</f>
        <v>-1200.6228340761327</v>
      </c>
      <c r="U13" s="1066">
        <f t="shared" ca="1" si="16"/>
        <v>0</v>
      </c>
      <c r="V13" s="1066">
        <f t="shared" ca="1" si="16"/>
        <v>-4522.4757347137111</v>
      </c>
      <c r="W13" s="1066">
        <f t="shared" ca="1" si="16"/>
        <v>-1660.8529028400133</v>
      </c>
      <c r="X13" s="1066">
        <f t="shared" ca="1" si="16"/>
        <v>-1020.6393838745473</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-8404.5908555044043</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-1.8189894035458565E-12</v>
      </c>
      <c r="BN13" s="1063"/>
      <c r="BO13" s="97"/>
      <c r="BP13" s="1069">
        <f t="shared" ref="BP13:DG13" ca="1" si="18">IFERROR(SUMIFS(INDIRECT($C13&amp;".Emissions["&amp;this.year&amp;"]"), INDIRECT($C13&amp;".Emissions[GHG]"), BP$6, INDIRECT($C13&amp;".Emissions[IPCC Sector]"), BP$5),0)</f>
        <v>2050.5808851882398</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2050.5808851882398</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8404.5908555044025</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8404.5908555044025</v>
      </c>
      <c r="T14" s="1043">
        <f t="shared" ref="T14:AK14" ca="1" si="20">T13</f>
        <v>-1200.6228340761327</v>
      </c>
      <c r="U14" s="1043">
        <f t="shared" ca="1" si="20"/>
        <v>0</v>
      </c>
      <c r="V14" s="1043">
        <f t="shared" ca="1" si="20"/>
        <v>-4522.4757347137111</v>
      </c>
      <c r="W14" s="1043">
        <f t="shared" ca="1" si="20"/>
        <v>-1660.8529028400133</v>
      </c>
      <c r="X14" s="1043">
        <f t="shared" ca="1" si="20"/>
        <v>-1020.6393838745473</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-8404.5908555044043</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-1.8189894035458565E-12</v>
      </c>
      <c r="BN14" s="1046"/>
      <c r="BO14" s="97"/>
      <c r="BP14" s="1058">
        <f t="shared" ref="BP14:DG14" ca="1" si="22">BP13</f>
        <v>2050.5808851882398</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2050.5808851882398</v>
      </c>
    </row>
    <row r="15" spans="1:113" s="51" customFormat="1" ht="12.75" hidden="1"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2115.5698045469726</v>
      </c>
      <c r="K15" s="1051">
        <f t="shared" ca="1" si="23"/>
        <v>30.708667102940403</v>
      </c>
      <c r="L15" s="1051">
        <f t="shared" ca="1" si="23"/>
        <v>159.65898118426375</v>
      </c>
      <c r="M15" s="1051">
        <f t="shared" ca="1" si="23"/>
        <v>0</v>
      </c>
      <c r="N15" s="1051">
        <f t="shared" ca="1" si="23"/>
        <v>0</v>
      </c>
      <c r="O15" s="1051">
        <f t="shared" ca="1" si="23"/>
        <v>0</v>
      </c>
      <c r="P15" s="1051">
        <f t="shared" ca="1" si="23"/>
        <v>0</v>
      </c>
      <c r="Q15" s="1051">
        <f t="shared" ca="1" si="23"/>
        <v>0</v>
      </c>
      <c r="R15" s="1071">
        <f t="shared" ref="R15:R23" ca="1" si="24">SUM(G15:Q15)</f>
        <v>2305.9374528341768</v>
      </c>
      <c r="T15" s="1053">
        <f t="shared" ref="T15:BF16" ca="1" si="25">IFERROR(INDEX(INDIRECT($C15&amp;".Outputs["&amp;this.year&amp;"]"), MATCH(T$5, INDIRECT($C15&amp;".Outputs[Vector]"), 0)), 0)</f>
        <v>-20.996398618954622</v>
      </c>
      <c r="U15" s="1053">
        <f t="shared" ca="1" si="25"/>
        <v>0</v>
      </c>
      <c r="V15" s="1053">
        <f t="shared" ca="1" si="25"/>
        <v>0</v>
      </c>
      <c r="W15" s="1053">
        <f t="shared" ca="1" si="25"/>
        <v>-2179.7104078870507</v>
      </c>
      <c r="X15" s="1053">
        <f t="shared" ca="1" si="25"/>
        <v>-105.23064632817186</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-2305.9374528341773</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-4.5474735088646412E-13</v>
      </c>
      <c r="BN15" s="1063"/>
      <c r="BO15" s="97"/>
      <c r="BP15" s="1057">
        <f t="shared" ref="BP15:BY16" ca="1" si="30">IFERROR(SUMIFS(INDIRECT($C15&amp;".Emissions["&amp;this.year&amp;"]"), INDIRECT($C15&amp;".Emissions[GHG]"), BP$6, INDIRECT($C15&amp;".Emissions[IPCC Sector]"), BP$5),0)</f>
        <v>602.31641650693882</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602.31641650693882</v>
      </c>
    </row>
    <row r="16" spans="1:113" s="51" customFormat="1" ht="12.75" hidden="1"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1824.2064854275384</v>
      </c>
      <c r="K16" s="1051">
        <f t="shared" ca="1" si="23"/>
        <v>80.273291333364881</v>
      </c>
      <c r="L16" s="1051">
        <f t="shared" ca="1" si="23"/>
        <v>8.2046087392231186</v>
      </c>
      <c r="M16" s="1051">
        <f t="shared" ca="1" si="23"/>
        <v>0</v>
      </c>
      <c r="N16" s="1051">
        <f t="shared" ca="1" si="23"/>
        <v>0</v>
      </c>
      <c r="O16" s="1051">
        <f t="shared" ca="1" si="23"/>
        <v>0</v>
      </c>
      <c r="P16" s="1051">
        <f t="shared" ca="1" si="23"/>
        <v>0</v>
      </c>
      <c r="Q16" s="1051">
        <f t="shared" ca="1" si="23"/>
        <v>0</v>
      </c>
      <c r="R16" s="1071">
        <f t="shared" ca="1" si="24"/>
        <v>1912.6843855001264</v>
      </c>
      <c r="T16" s="1053">
        <f t="shared" ca="1" si="25"/>
        <v>-28.404926019576415</v>
      </c>
      <c r="U16" s="1053">
        <f t="shared" ca="1" si="25"/>
        <v>0</v>
      </c>
      <c r="V16" s="1053">
        <f t="shared" ca="1" si="25"/>
        <v>0</v>
      </c>
      <c r="W16" s="1053">
        <f t="shared" ca="1" si="25"/>
        <v>-1884.27945948055</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-1912.6843855001264</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0</v>
      </c>
      <c r="BN16" s="1063"/>
      <c r="BO16" s="97"/>
      <c r="BP16" s="1057">
        <f t="shared" ca="1" si="30"/>
        <v>502.58253510822573</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502.58253510822573</v>
      </c>
    </row>
    <row r="17" spans="1:113" s="51" customFormat="1" ht="15.75" collapsed="1">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3939.7762899745112</v>
      </c>
      <c r="K17" s="1071">
        <f t="shared" ca="1" si="34"/>
        <v>110.98195843630529</v>
      </c>
      <c r="L17" s="1071">
        <f t="shared" ca="1" si="34"/>
        <v>167.86358992348687</v>
      </c>
      <c r="M17" s="1071">
        <f t="shared" ca="1" si="34"/>
        <v>0</v>
      </c>
      <c r="N17" s="1071">
        <f t="shared" ca="1" si="34"/>
        <v>0</v>
      </c>
      <c r="O17" s="1071">
        <f t="shared" ca="1" si="34"/>
        <v>0</v>
      </c>
      <c r="P17" s="1071">
        <f t="shared" ca="1" si="34"/>
        <v>0</v>
      </c>
      <c r="Q17" s="1071">
        <f t="shared" ca="1" si="34"/>
        <v>0</v>
      </c>
      <c r="R17" s="1071">
        <f t="shared" ca="1" si="24"/>
        <v>4218.6218383343039</v>
      </c>
      <c r="T17" s="1043">
        <f ca="1">T15+T16</f>
        <v>-49.401324638531037</v>
      </c>
      <c r="U17" s="1043">
        <f t="shared" ref="U17:AK17" ca="1" si="35">U15+U16</f>
        <v>0</v>
      </c>
      <c r="V17" s="1043">
        <f t="shared" ca="1" si="35"/>
        <v>0</v>
      </c>
      <c r="W17" s="1043">
        <f t="shared" ca="1" si="35"/>
        <v>-4063.9898673676007</v>
      </c>
      <c r="X17" s="1043">
        <f t="shared" ca="1" si="35"/>
        <v>-105.23064632817186</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-4218.6218383343039</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0</v>
      </c>
      <c r="BN17" s="1046"/>
      <c r="BO17" s="97"/>
      <c r="BP17" s="1058">
        <f ca="1">BP15+BP16</f>
        <v>1104.8989516151646</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1104.8989516151646</v>
      </c>
    </row>
    <row r="18" spans="1:113" s="51" customFormat="1" ht="12.75" hidden="1"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1128.6766748639811</v>
      </c>
      <c r="Q18" s="1065">
        <f t="shared" ca="1" si="38"/>
        <v>0</v>
      </c>
      <c r="R18" s="1071">
        <f t="shared" ca="1" si="24"/>
        <v>1128.6766748639811</v>
      </c>
      <c r="T18" s="1066">
        <f t="shared" ref="T18:BF19" ca="1" si="39">IFERROR(INDEX(INDIRECT($C18&amp;".Outputs["&amp;this.year&amp;"]"), MATCH(T$5, INDIRECT($C18&amp;".Outputs[Vector]"), 0)), 0)</f>
        <v>-14.605179460099949</v>
      </c>
      <c r="U18" s="1066">
        <f t="shared" ca="1" si="39"/>
        <v>0</v>
      </c>
      <c r="V18" s="1066">
        <f t="shared" ca="1" si="39"/>
        <v>-853.57505154297087</v>
      </c>
      <c r="W18" s="1066">
        <f t="shared" ca="1" si="39"/>
        <v>-151.58706976333906</v>
      </c>
      <c r="X18" s="1066">
        <f t="shared" ca="1" si="39"/>
        <v>-108.90937409757123</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-1128.6766748639811</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0</v>
      </c>
      <c r="BN18" s="1046"/>
      <c r="BO18" s="17"/>
      <c r="BP18" s="1058"/>
      <c r="BQ18" s="1058"/>
      <c r="BR18" s="1058"/>
      <c r="BS18" s="1058"/>
      <c r="BT18" s="1058"/>
      <c r="BU18" s="1058"/>
      <c r="BV18" s="1058"/>
      <c r="BW18" s="1058"/>
      <c r="BX18" s="1058"/>
      <c r="BY18" s="1058"/>
      <c r="BZ18" s="1058"/>
      <c r="CA18" s="1058"/>
      <c r="CB18" s="1058"/>
      <c r="CC18" s="1058"/>
      <c r="CD18" s="1058"/>
      <c r="CE18" s="1058"/>
      <c r="CF18" s="1058"/>
      <c r="CG18" s="1058"/>
      <c r="CH18" s="1058"/>
      <c r="CI18" s="1058"/>
      <c r="CJ18" s="1058"/>
      <c r="CK18" s="1058"/>
      <c r="CL18" s="1058"/>
      <c r="CM18" s="1058"/>
      <c r="CN18" s="1058"/>
      <c r="CO18" s="1058"/>
      <c r="CP18" s="1058"/>
      <c r="CQ18" s="1058"/>
      <c r="CR18" s="1058"/>
      <c r="CS18" s="1058"/>
      <c r="CT18" s="1058"/>
      <c r="CU18" s="1058"/>
      <c r="CV18" s="1058"/>
      <c r="CW18" s="1058"/>
      <c r="CX18" s="1058"/>
      <c r="CY18" s="1058"/>
      <c r="CZ18" s="1058"/>
      <c r="DA18" s="1058"/>
      <c r="DB18" s="1058"/>
      <c r="DC18" s="1058"/>
      <c r="DD18" s="1058"/>
      <c r="DE18" s="1058"/>
      <c r="DF18" s="1058"/>
      <c r="DG18" s="1058"/>
      <c r="DI18" s="1059">
        <f t="shared" si="10"/>
        <v>0</v>
      </c>
    </row>
    <row r="19" spans="1:113" s="51" customFormat="1" ht="12.75" hidden="1"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412.63306124605418</v>
      </c>
      <c r="R19" s="1071">
        <f t="shared" ca="1" si="24"/>
        <v>412.63306124605418</v>
      </c>
      <c r="T19" s="1066">
        <f t="shared" ca="1" si="39"/>
        <v>0</v>
      </c>
      <c r="U19" s="1066">
        <f t="shared" ca="1" si="39"/>
        <v>0</v>
      </c>
      <c r="V19" s="1066">
        <f t="shared" ca="1" si="39"/>
        <v>0</v>
      </c>
      <c r="W19" s="1066">
        <f t="shared" ca="1" si="39"/>
        <v>-309.64905641872139</v>
      </c>
      <c r="X19" s="1066">
        <f t="shared" ca="1" si="39"/>
        <v>-102.98400482733283</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-412.63306124605424</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-5.6843418860808015E-14</v>
      </c>
      <c r="BN19" s="1063"/>
      <c r="BO19" s="97"/>
      <c r="BP19" s="1069">
        <f t="shared" ref="BP19:DG19" ca="1" si="42">IFERROR(SUMIFS(INDIRECT($C19&amp;".Emissions["&amp;this.year&amp;"]"), INDIRECT($C19&amp;".Emissions[GHG]"), BP$6, INDIRECT($C19&amp;".Emissions[IPCC Sector]"), BP$5),0)</f>
        <v>103.07922847908272</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103.07922847908272</v>
      </c>
    </row>
    <row r="20" spans="1:113" s="51" customFormat="1" ht="15.75" collapsed="1">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1128.6766748639811</v>
      </c>
      <c r="Q20" s="1071">
        <f t="shared" ca="1" si="43"/>
        <v>412.63306124605418</v>
      </c>
      <c r="R20" s="1071">
        <f t="shared" ca="1" si="24"/>
        <v>1541.3097361100354</v>
      </c>
      <c r="T20" s="1043">
        <f ca="1">T19+T18</f>
        <v>-14.605179460099949</v>
      </c>
      <c r="U20" s="1043">
        <f t="shared" ref="U20:AK20" ca="1" si="44">U19+U18</f>
        <v>0</v>
      </c>
      <c r="V20" s="1043">
        <f t="shared" ca="1" si="44"/>
        <v>-853.57505154297087</v>
      </c>
      <c r="W20" s="1043">
        <f t="shared" ca="1" si="44"/>
        <v>-461.23612618206045</v>
      </c>
      <c r="X20" s="1043">
        <f t="shared" ca="1" si="44"/>
        <v>-211.89337892490406</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-1541.3097361100354</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0</v>
      </c>
      <c r="BN20" s="1046"/>
      <c r="BO20" s="97"/>
      <c r="BP20" s="1058">
        <f t="shared" ref="BP20:DG20" ca="1" si="46">BP19</f>
        <v>103.07922847908272</v>
      </c>
      <c r="BQ20" s="1058">
        <f t="shared" ca="1" si="46"/>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103.07922847908272</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850.28842752484661</v>
      </c>
      <c r="O21" s="1065">
        <f t="shared" ca="1" si="47"/>
        <v>0</v>
      </c>
      <c r="P21" s="1065">
        <f t="shared" ca="1" si="47"/>
        <v>0</v>
      </c>
      <c r="Q21" s="1065">
        <f t="shared" ca="1" si="47"/>
        <v>0</v>
      </c>
      <c r="R21" s="1071">
        <f t="shared" ca="1" si="24"/>
        <v>850.28842752484661</v>
      </c>
      <c r="T21" s="1066">
        <f t="shared" ref="T21:BF22" ca="1" si="48">IFERROR(INDEX(INDIRECT($C21&amp;".Outputs["&amp;this.year&amp;"]"), MATCH(T$5, INDIRECT($C21&amp;".Outputs[Vector]"), 0)), 0)</f>
        <v>-506.91064092382578</v>
      </c>
      <c r="U21" s="1066">
        <f t="shared" ca="1" si="48"/>
        <v>0</v>
      </c>
      <c r="V21" s="1066">
        <f t="shared" ca="1" si="48"/>
        <v>0</v>
      </c>
      <c r="W21" s="1066">
        <f t="shared" ca="1" si="48"/>
        <v>-343.37778660102089</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-850.28842752484661</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91.587093210349664</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91.587093210349664</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192.06311941056913</v>
      </c>
      <c r="P22" s="1065">
        <f t="shared" ca="1" si="47"/>
        <v>0</v>
      </c>
      <c r="Q22" s="1065">
        <f t="shared" ca="1" si="47"/>
        <v>0</v>
      </c>
      <c r="R22" s="1071">
        <f t="shared" ca="1" si="24"/>
        <v>192.06311941056913</v>
      </c>
      <c r="T22" s="1066">
        <f t="shared" ca="1" si="48"/>
        <v>-57.224138138960534</v>
      </c>
      <c r="U22" s="1066">
        <f t="shared" ca="1" si="48"/>
        <v>0</v>
      </c>
      <c r="V22" s="1066">
        <f t="shared" ca="1" si="48"/>
        <v>0</v>
      </c>
      <c r="W22" s="1066">
        <f t="shared" ca="1" si="48"/>
        <v>-132.98203904060921</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-1.8569422309993817</v>
      </c>
      <c r="AK22" s="1066">
        <f t="shared" ca="1" si="48"/>
        <v>0</v>
      </c>
      <c r="AL22" s="1043">
        <f t="shared" ca="1" si="3"/>
        <v>-192.06311941056913</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35.469500008939789</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35.469500008939789</v>
      </c>
    </row>
    <row r="23" spans="1:113" s="51" customFormat="1" ht="15.75">
      <c r="B23" s="53"/>
      <c r="C23" s="1076" t="s">
        <v>1107</v>
      </c>
      <c r="D23" s="1077" t="s">
        <v>1108</v>
      </c>
      <c r="E23" s="1078"/>
      <c r="G23" s="1079">
        <f ca="1">G$9+G$12+G$14+G$17+G$20+G$21+G$22</f>
        <v>1453.7842020047071</v>
      </c>
      <c r="H23" s="1079">
        <f t="shared" ref="H23:Q23" ca="1" si="52">H$9+H$12+H$14+H$17+H$20+H$21+H$22</f>
        <v>689.67530682847894</v>
      </c>
      <c r="I23" s="1079">
        <f t="shared" ca="1" si="52"/>
        <v>8404.5908555044025</v>
      </c>
      <c r="J23" s="1079">
        <f t="shared" ca="1" si="52"/>
        <v>3939.7762899745112</v>
      </c>
      <c r="K23" s="1079">
        <f t="shared" ca="1" si="52"/>
        <v>110.98195843630529</v>
      </c>
      <c r="L23" s="1079">
        <f t="shared" ca="1" si="52"/>
        <v>167.86358992348687</v>
      </c>
      <c r="M23" s="1079">
        <f ca="1">M$12+M$14+M$17+M$20+M$21+M$22</f>
        <v>-0.2702004695738901</v>
      </c>
      <c r="N23" s="1079">
        <f t="shared" ca="1" si="52"/>
        <v>850.28842752484661</v>
      </c>
      <c r="O23" s="1079">
        <f t="shared" ca="1" si="52"/>
        <v>192.06311941056913</v>
      </c>
      <c r="P23" s="1079">
        <f t="shared" ca="1" si="52"/>
        <v>1128.6766748639811</v>
      </c>
      <c r="Q23" s="1079">
        <f t="shared" ca="1" si="52"/>
        <v>412.63306124605418</v>
      </c>
      <c r="R23" s="2400">
        <f t="shared" ca="1" si="24"/>
        <v>17350.063285247768</v>
      </c>
      <c r="T23" s="1080">
        <f ca="1">T$9+T$12+T$14+T$17+T$20+T$21+T$22</f>
        <v>-3970.4133793283249</v>
      </c>
      <c r="U23" s="1080">
        <f t="shared" ref="U23:AK23" ca="1" si="53">U$9+U$12+U$14+U$17+U$20+U$21+U$22</f>
        <v>0</v>
      </c>
      <c r="V23" s="1080">
        <f t="shared" ca="1" si="53"/>
        <v>-5376.0507862566819</v>
      </c>
      <c r="W23" s="1080">
        <f t="shared" ca="1" si="53"/>
        <v>-6663.9787683041413</v>
      </c>
      <c r="X23" s="1080">
        <f t="shared" ca="1" si="53"/>
        <v>-1337.7634091276232</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-1.8569422309993817</v>
      </c>
      <c r="AK23" s="1080">
        <f t="shared" ca="1" si="53"/>
        <v>0</v>
      </c>
      <c r="AL23" s="1080">
        <f t="shared" ca="1" si="3"/>
        <v>-17350.063285247768</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0</v>
      </c>
      <c r="BN23" s="1083"/>
      <c r="BP23" s="2401">
        <f t="shared" ref="BP23:DG23" ca="1" si="55">BP$9+BP$12+BP$14+BP$17+BP$20+BP$21</f>
        <v>3350.5569257790225</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3350.5569257790225</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16.613918750000003</v>
      </c>
      <c r="V26" s="1073">
        <f t="shared" ca="1" si="59"/>
        <v>-66.455675000000014</v>
      </c>
      <c r="W26" s="1073">
        <f t="shared" ca="1" si="59"/>
        <v>0</v>
      </c>
      <c r="X26" s="1073">
        <f t="shared" ca="1" si="59"/>
        <v>14.832036478670412</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-14.832036478670412</v>
      </c>
      <c r="AI26" s="1073">
        <f t="shared" ca="1" si="59"/>
        <v>0</v>
      </c>
      <c r="AJ26" s="1073">
        <f t="shared" ca="1" si="59"/>
        <v>0</v>
      </c>
      <c r="AK26" s="1073">
        <f t="shared" ca="1" si="59"/>
        <v>0</v>
      </c>
      <c r="AL26" s="1066">
        <f t="shared" ref="AL26:AL34" ca="1" si="60">SUM(T26:AK26)</f>
        <v>-49.84175625000001</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49.84175625000001</v>
      </c>
      <c r="BJ26" s="1075">
        <f t="shared" ca="1" si="63"/>
        <v>0</v>
      </c>
      <c r="BK26" s="1045">
        <f t="shared" ca="1" si="56"/>
        <v>49.84175625000001</v>
      </c>
      <c r="BM26" s="1046">
        <f t="shared" ca="1" si="5"/>
        <v>0</v>
      </c>
      <c r="BN26" s="1046"/>
      <c r="BO26" s="17"/>
      <c r="BP26" s="1069">
        <f t="shared" ref="BP26:DG30" ca="1" si="64">IFERROR(SUMIFS(INDIRECT($C26&amp;".Emissions["&amp;this.year&amp;"]"), INDIRECT($C26&amp;".Emissions[GHG]"), BP$6, INDIRECT($C26&amp;".Emissions[IPCC Sector]"), BP$5),0)</f>
        <v>23.066550419354844</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-2.9507946257565343</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20.115755793598311</v>
      </c>
    </row>
    <row r="27" spans="1:113" s="1087" customFormat="1" ht="15"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23.81237420320716</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-0.63055692916666661</v>
      </c>
      <c r="AG27" s="1073">
        <f t="shared" ca="1" si="59"/>
        <v>-22.876309461540494</v>
      </c>
      <c r="AH27" s="1073">
        <f t="shared" ca="1" si="59"/>
        <v>-0.30550781250000003</v>
      </c>
      <c r="AI27" s="1073">
        <f t="shared" ca="1" si="59"/>
        <v>0</v>
      </c>
      <c r="AJ27" s="1073">
        <f t="shared" ca="1" si="59"/>
        <v>0</v>
      </c>
      <c r="AK27" s="1073">
        <f t="shared" ca="1" si="59"/>
        <v>0</v>
      </c>
      <c r="AL27" s="1066">
        <f t="shared" ca="1" si="60"/>
        <v>1.1102230246251565E-16</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1.1102230246251565E-16</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-6.3513314512767494</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-6.3513314512767494</v>
      </c>
    </row>
    <row r="28" spans="1:113" s="51" customFormat="1" ht="12"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0.30550781250000003</v>
      </c>
      <c r="AI28" s="1073">
        <f t="shared" ca="1" si="59"/>
        <v>0</v>
      </c>
      <c r="AJ28" s="1073">
        <f t="shared" ca="1" si="59"/>
        <v>0</v>
      </c>
      <c r="AK28" s="1073">
        <f t="shared" ca="1" si="59"/>
        <v>0</v>
      </c>
      <c r="AL28" s="1066">
        <f t="shared" ca="1" si="60"/>
        <v>0.30550781250000003</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-0.30550781250000003</v>
      </c>
      <c r="BG28" s="1067">
        <f t="shared" ca="1" si="62"/>
        <v>-0.30550781250000003</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0.63055692916666661</v>
      </c>
      <c r="AG29" s="1073">
        <f t="shared" ca="1" si="59"/>
        <v>967.16407680642772</v>
      </c>
      <c r="AH29" s="1073">
        <f t="shared" ca="1" si="59"/>
        <v>14.832036478670412</v>
      </c>
      <c r="AI29" s="1073">
        <f t="shared" ca="1" si="59"/>
        <v>0</v>
      </c>
      <c r="AJ29" s="1073">
        <f t="shared" ca="1" si="59"/>
        <v>0</v>
      </c>
      <c r="AK29" s="1073">
        <f t="shared" ca="1" si="59"/>
        <v>0</v>
      </c>
      <c r="AL29" s="1066">
        <f t="shared" ca="1" si="60"/>
        <v>982.62667021426478</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-0.63055692916666661</v>
      </c>
      <c r="BF29" s="1074">
        <f t="shared" ca="1" si="66"/>
        <v>-981.99611328509809</v>
      </c>
      <c r="BG29" s="1067">
        <f t="shared" ca="1" si="62"/>
        <v>-982.62667021426478</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-23.066550419354844</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-23.066550419354844</v>
      </c>
    </row>
    <row r="30" spans="1:113" s="51" customFormat="1" ht="12"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944.28776734488724</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-944.28776734488724</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-304.69268753648345</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-304.69268753648345</v>
      </c>
    </row>
    <row r="31" spans="1:113" s="51" customFormat="1" ht="12" customHeight="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16.613918750000003</v>
      </c>
      <c r="V31" s="1073">
        <f t="shared" ca="1" si="68"/>
        <v>877.8320923448872</v>
      </c>
      <c r="W31" s="1073">
        <f t="shared" ca="1" si="68"/>
        <v>23.81237420320716</v>
      </c>
      <c r="X31" s="1073">
        <f t="shared" ca="1" si="68"/>
        <v>14.832036478670412</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0</v>
      </c>
      <c r="AI31" s="1073">
        <f t="shared" ca="1" si="68"/>
        <v>0</v>
      </c>
      <c r="AJ31" s="1073">
        <f t="shared" ca="1" si="68"/>
        <v>0</v>
      </c>
      <c r="AK31" s="1073">
        <f t="shared" ca="1" si="68"/>
        <v>0</v>
      </c>
      <c r="AL31" s="1066">
        <f t="shared" ca="1" si="60"/>
        <v>933.09042177676474</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-0.63055692916666661</v>
      </c>
      <c r="BF31" s="1074">
        <f t="shared" ca="1" si="69"/>
        <v>-982.30162109759806</v>
      </c>
      <c r="BG31" s="1067">
        <f t="shared" ca="1" si="62"/>
        <v>-982.93217802676475</v>
      </c>
      <c r="BI31" s="1075">
        <f ca="1">BI28+BI27+BI26+BI29+BI30</f>
        <v>49.84175625000001</v>
      </c>
      <c r="BJ31" s="1075">
        <f ca="1">BJ28+BJ27+BJ26+BJ29+BJ30</f>
        <v>0</v>
      </c>
      <c r="BK31" s="1045">
        <f t="shared" ca="1" si="56"/>
        <v>49.84175625000001</v>
      </c>
      <c r="BM31" s="1096">
        <f t="shared" ca="1" si="5"/>
        <v>0</v>
      </c>
      <c r="BN31" s="1046"/>
      <c r="BO31" s="97"/>
      <c r="BP31" s="1069">
        <f ca="1">BP28+BP27+BP26+BP29+BP30</f>
        <v>23.066550419354844</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-337.06136403287155</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-313.99481361351673</v>
      </c>
    </row>
    <row r="32" spans="1:113" s="51" customFormat="1" ht="14.25" hidden="1"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ollapsed="1">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hidden="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680.54187544379761</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680.54187544379761</v>
      </c>
      <c r="AN34" s="1054">
        <f t="shared" ref="AN34:BC36" ca="1" si="86">IFERROR(INDEX(INDIRECT($C34&amp;".Outputs["&amp;this.year&amp;"]"), MATCH(AN$5, INDIRECT($C34&amp;".Outputs[Vector]"), 0)), 0)</f>
        <v>0</v>
      </c>
      <c r="AO34" s="1054">
        <f t="shared" ca="1" si="86"/>
        <v>0</v>
      </c>
      <c r="AP34" s="1054">
        <f t="shared" ca="1" si="86"/>
        <v>-680.54187544379761</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-680.54187544379761</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hidden="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4025.5714811854732</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4025.5714811854732</v>
      </c>
      <c r="AN35" s="1054">
        <f t="shared" ca="1" si="86"/>
        <v>-4025.5714811854732</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-4025.5714811854732</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hidden="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401.68501767071086</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401.68501767071086</v>
      </c>
      <c r="AN36" s="1054">
        <f t="shared" ca="1" si="86"/>
        <v>0</v>
      </c>
      <c r="AO36" s="1054">
        <f t="shared" ca="1" si="86"/>
        <v>-401.68501767071086</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-401.68501767071086</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ollapsed="1">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4025.5714811854732</v>
      </c>
      <c r="Z37" s="1043">
        <f ca="1">SUM(Z34:Z36)</f>
        <v>401.68501767071086</v>
      </c>
      <c r="AA37" s="1043">
        <f ca="1">SUM(AA34:AA36)</f>
        <v>680.54187544379761</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5107.7983742999822</v>
      </c>
      <c r="AN37" s="1044">
        <f t="shared" ref="AN37:BF37" ca="1" si="95">SUM(AN34:AN36)</f>
        <v>-4025.5714811854732</v>
      </c>
      <c r="AO37" s="1044">
        <f t="shared" ca="1" si="95"/>
        <v>-401.68501767071086</v>
      </c>
      <c r="AP37" s="1044">
        <f t="shared" ca="1" si="95"/>
        <v>-680.54187544379761</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-5107.7983742999822</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171.81360000000004</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171.81360000000004</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-171.81360000000004</v>
      </c>
      <c r="BD38" s="1108">
        <f t="shared" ca="1" si="99"/>
        <v>0</v>
      </c>
      <c r="BE38" s="1108">
        <f t="shared" ca="1" si="99"/>
        <v>0</v>
      </c>
      <c r="BF38" s="1108">
        <f t="shared" ca="1" si="99"/>
        <v>0</v>
      </c>
      <c r="BG38" s="1062">
        <f t="shared" ca="1" si="96"/>
        <v>-171.81360000000004</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60.992995229999998</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1.8569422309993817</v>
      </c>
      <c r="AK39" s="1106">
        <f t="shared" ca="1" si="99"/>
        <v>0</v>
      </c>
      <c r="AL39" s="1107">
        <f t="shared" ca="1" si="92"/>
        <v>62.849937460999378</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-62.849937460999378</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-62.849937460999378</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33.784163999999997</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33.784163999999997</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-33.784163999999997</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-33.784163999999997</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129.14055596519998</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129.14055596519998</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-129.14055596519998</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-129.14055596519998</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7.8455700000000004</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7.8455700000000004</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-7.8455700000000004</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-7.8455700000000004</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33.623903988000002</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33.623903988000002</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-33.623903988000002</v>
      </c>
      <c r="BD43" s="1108">
        <f t="shared" ca="1" si="99"/>
        <v>0</v>
      </c>
      <c r="BE43" s="1108">
        <f t="shared" ca="1" si="99"/>
        <v>0</v>
      </c>
      <c r="BF43" s="1108">
        <f t="shared" ca="1" si="99"/>
        <v>0</v>
      </c>
      <c r="BG43" s="1044">
        <f t="shared" ca="1" si="96"/>
        <v>-33.623903988000002</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265.38718918320001</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1.8569422309993817</v>
      </c>
      <c r="AK44" s="1043">
        <f t="shared" ca="1" si="110"/>
        <v>0</v>
      </c>
      <c r="AL44" s="1107">
        <f t="shared" ca="1" si="92"/>
        <v>267.24413141419939</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-96.634101460999375</v>
      </c>
      <c r="AY44" s="1044">
        <f t="shared" ca="1" si="111"/>
        <v>-136.98612596519999</v>
      </c>
      <c r="AZ44" s="1044">
        <f t="shared" ca="1" si="111"/>
        <v>0</v>
      </c>
      <c r="BA44" s="1044">
        <f t="shared" ca="1" si="111"/>
        <v>0</v>
      </c>
      <c r="BB44" s="1044">
        <f t="shared" ca="1" si="111"/>
        <v>0</v>
      </c>
      <c r="BC44" s="1044">
        <f t="shared" ca="1" si="111"/>
        <v>-33.623903988000002</v>
      </c>
      <c r="BD44" s="1044">
        <f t="shared" ca="1" si="111"/>
        <v>0</v>
      </c>
      <c r="BE44" s="1044">
        <f t="shared" ca="1" si="111"/>
        <v>0</v>
      </c>
      <c r="BF44" s="1044">
        <f t="shared" ca="1" si="111"/>
        <v>0</v>
      </c>
      <c r="BG44" s="1044">
        <f t="shared" ca="1" si="111"/>
        <v>-267.24413141419939</v>
      </c>
      <c r="BI44" s="1045">
        <f ca="1">SUM(BI39:BI43)</f>
        <v>0</v>
      </c>
      <c r="BJ44" s="1045">
        <f ca="1">SUM(BJ39:BJ43)</f>
        <v>0</v>
      </c>
      <c r="BK44" s="1045">
        <f ca="1">SUM(BK39:BK43)</f>
        <v>0</v>
      </c>
      <c r="BM44" s="1046">
        <f t="shared" ca="1" si="5"/>
        <v>0</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63.255456000000002</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63.255456000000002</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-180.72987428571432</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-180.72987428571432</v>
      </c>
      <c r="BI45" s="1119">
        <f t="shared" ref="BI45:BJ50" ca="1" si="118">IFERROR(INDEX(INDIRECT($C45&amp;".Outputs["&amp;this.year&amp;"]"), MATCH(BI$5, INDIRECT($C45&amp;".Outputs[Vector]"), 0)), 0)</f>
        <v>117.47441828571431</v>
      </c>
      <c r="BJ45" s="1119">
        <f t="shared" ca="1" si="118"/>
        <v>0</v>
      </c>
      <c r="BK45" s="1045">
        <f ca="1">SUM(BI45:BJ45)</f>
        <v>117.47441828571431</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711.69800024920607</v>
      </c>
      <c r="V46" s="1117">
        <f t="shared" ca="1" si="114"/>
        <v>-2113.0673891828305</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-1401.3693889336246</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1339.4826063032588</v>
      </c>
      <c r="BJ46" s="1119">
        <f t="shared" ca="1" si="118"/>
        <v>61.886782630365744</v>
      </c>
      <c r="BK46" s="1045">
        <f ca="1">SUM(BI46:BJ46)</f>
        <v>1401.3693889336246</v>
      </c>
      <c r="BL46" s="51"/>
      <c r="BM46" s="1046">
        <f t="shared" ca="1" si="5"/>
        <v>0</v>
      </c>
      <c r="BN46" s="1063"/>
      <c r="BO46" s="97"/>
      <c r="BP46" s="1057">
        <f t="shared" ca="1" si="119"/>
        <v>733.4388744389438</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733.4388744389438</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109.8605340414</v>
      </c>
      <c r="V47" s="1117">
        <f t="shared" ca="1" si="114"/>
        <v>0</v>
      </c>
      <c r="W47" s="1117">
        <f t="shared" ca="1" si="114"/>
        <v>0</v>
      </c>
      <c r="X47" s="1117">
        <f t="shared" ca="1" si="114"/>
        <v>-217.65793072663513</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-107.79739668523513</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107.79739668523513</v>
      </c>
      <c r="BJ47" s="1119">
        <f t="shared" ca="1" si="118"/>
        <v>0</v>
      </c>
      <c r="BK47" s="1045">
        <f ca="1">SUM(BI47:BJ47)</f>
        <v>107.79739668523513</v>
      </c>
      <c r="BL47" s="51"/>
      <c r="BM47" s="1046">
        <f t="shared" ca="1" si="5"/>
        <v>0</v>
      </c>
      <c r="BN47" s="1063"/>
      <c r="BO47" s="97"/>
      <c r="BP47" s="1057">
        <f t="shared" ca="1" si="119"/>
        <v>36.427440234780001</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36.427440234780001</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6.1362000000000005</v>
      </c>
      <c r="V48" s="1117">
        <f t="shared" ca="1" si="114"/>
        <v>-38.35125</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-32.215049999999998</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26.078849999999996</v>
      </c>
      <c r="BJ48" s="1119">
        <f t="shared" ca="1" si="118"/>
        <v>6.1362000000000005</v>
      </c>
      <c r="BK48" s="1045">
        <f ca="1">SUM(BI48:BJ48)</f>
        <v>32.215049999999998</v>
      </c>
      <c r="BL48" s="51"/>
      <c r="BM48" s="1046">
        <f t="shared" ca="1" si="5"/>
        <v>0</v>
      </c>
      <c r="BN48" s="1063"/>
      <c r="BO48" s="97"/>
      <c r="BP48" s="1057">
        <f t="shared" ca="1" si="119"/>
        <v>13.311595161290324</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-11.98043564516129</v>
      </c>
      <c r="DE48" s="1057">
        <f t="shared" ca="1" si="119"/>
        <v>0</v>
      </c>
      <c r="DF48" s="1057">
        <f t="shared" ca="1" si="119"/>
        <v>0</v>
      </c>
      <c r="DG48" s="1057">
        <f t="shared" ca="1" si="119"/>
        <v>0</v>
      </c>
      <c r="DI48" s="1059">
        <f t="shared" ca="1" si="79"/>
        <v>1.3311595161290342</v>
      </c>
    </row>
    <row r="49" spans="1:113">
      <c r="A49" s="1087"/>
      <c r="B49" s="1087"/>
      <c r="C49" s="1088" t="s">
        <v>1818</v>
      </c>
      <c r="D49" s="1114" t="s">
        <v>1817</v>
      </c>
      <c r="E49" s="1089"/>
      <c r="T49" s="2362">
        <f ca="1">T23+T33+T37+T38+T44+T45++T46+T47+T48+T31+T61</f>
        <v>-3970.4133793283249</v>
      </c>
      <c r="U49" s="2362">
        <f ca="1">U23+U33+U37+U38+U44+U45++U46+U47+U48+U31+U61</f>
        <v>527.8727580038892</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3442.540621324436</v>
      </c>
      <c r="V50" s="1117">
        <f t="shared" ca="1" si="114"/>
        <v>-9364.4239699239824</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-5921.8833485995465</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5749.7563175333244</v>
      </c>
      <c r="BJ50" s="1119">
        <f t="shared" ca="1" si="118"/>
        <v>172.1270310662218</v>
      </c>
      <c r="BK50" s="1045">
        <f ca="1">SUM(BI50:BJ50)</f>
        <v>5921.8833485995465</v>
      </c>
      <c r="BL50" s="51"/>
      <c r="BM50" s="1046">
        <f t="shared" ref="BM50:BM55" ca="1" si="120">R50+AL50+BG50+BK50</f>
        <v>0</v>
      </c>
      <c r="BN50" s="1063"/>
      <c r="BO50" s="97"/>
      <c r="BP50" s="1057">
        <f t="shared" ca="1" si="119"/>
        <v>3250.3613521413567</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3250.3613521413567</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4270.235355615042</v>
      </c>
      <c r="V51" s="1043">
        <f t="shared" ref="V51:AK51" ca="1" si="122">V46+V47+V48+V50</f>
        <v>-11515.842609106814</v>
      </c>
      <c r="W51" s="1043">
        <f t="shared" ca="1" si="122"/>
        <v>0</v>
      </c>
      <c r="X51" s="1043">
        <f t="shared" ca="1" si="122"/>
        <v>-217.65793072663513</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-7463.2651842184068</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7223.1151705218181</v>
      </c>
      <c r="BJ51" s="1045">
        <f ca="1">BJ46+BJ47+BJ48+BJ50</f>
        <v>240.15001369658756</v>
      </c>
      <c r="BK51" s="1045">
        <f ca="1">SUM(BI51:BJ51)</f>
        <v>7463.2651842184059</v>
      </c>
      <c r="BM51" s="1046">
        <f t="shared" ca="1" si="120"/>
        <v>0</v>
      </c>
      <c r="BN51" s="1046"/>
      <c r="BO51" s="97"/>
      <c r="BP51" s="1058">
        <f ca="1">BP46+BP47+BP48+BP50</f>
        <v>4033.5392619763707</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-11.98043564516129</v>
      </c>
      <c r="DE51" s="1058">
        <f t="shared" ca="1" si="124"/>
        <v>0</v>
      </c>
      <c r="DF51" s="1058">
        <f t="shared" ca="1" si="124"/>
        <v>0</v>
      </c>
      <c r="DG51" s="1058">
        <f t="shared" ca="1" si="124"/>
        <v>0</v>
      </c>
      <c r="DI51" s="1059">
        <f ca="1">SUM(BP51:DG51)</f>
        <v>4021.5588263312093</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4787.305519548242</v>
      </c>
      <c r="V52" s="1080">
        <f t="shared" ca="1" si="126"/>
        <v>-10638.010516761928</v>
      </c>
      <c r="W52" s="1080">
        <f t="shared" ca="1" si="126"/>
        <v>23.81237420320716</v>
      </c>
      <c r="X52" s="1080">
        <f t="shared" ca="1" si="126"/>
        <v>-202.82589424796473</v>
      </c>
      <c r="Y52" s="1080">
        <f t="shared" ca="1" si="126"/>
        <v>4025.5714811854732</v>
      </c>
      <c r="Z52" s="1080">
        <f t="shared" ca="1" si="126"/>
        <v>401.68501767071086</v>
      </c>
      <c r="AA52" s="1080">
        <f t="shared" ca="1" si="126"/>
        <v>680.54187544379761</v>
      </c>
      <c r="AB52" s="1080">
        <f t="shared" ca="1" si="126"/>
        <v>0</v>
      </c>
      <c r="AC52" s="1080">
        <f t="shared" ca="1" si="126"/>
        <v>0</v>
      </c>
      <c r="AD52" s="1080">
        <f t="shared" ca="1" si="126"/>
        <v>0</v>
      </c>
      <c r="AE52" s="1080">
        <f t="shared" ca="1" si="126"/>
        <v>0</v>
      </c>
      <c r="AF52" s="1080">
        <f t="shared" ca="1" si="126"/>
        <v>0</v>
      </c>
      <c r="AG52" s="1080">
        <f t="shared" ca="1" si="126"/>
        <v>0</v>
      </c>
      <c r="AH52" s="1080">
        <f t="shared" ca="1" si="126"/>
        <v>0</v>
      </c>
      <c r="AI52" s="1080">
        <f t="shared" ca="1" si="126"/>
        <v>0</v>
      </c>
      <c r="AJ52" s="1080">
        <f t="shared" ca="1" si="126"/>
        <v>1.8569422309993817</v>
      </c>
      <c r="AK52" s="1080">
        <f t="shared" ca="1" si="126"/>
        <v>0</v>
      </c>
      <c r="AL52" s="1043">
        <f ca="1">SUM(T52:AK52)</f>
        <v>-920.06320072746223</v>
      </c>
      <c r="AN52" s="2408">
        <f t="shared" ref="AN52:BF52" ca="1" si="127">AN$33+AN$37+AN$38+AN$44+AN$45+AN$51+AN31</f>
        <v>-4025.5714811854732</v>
      </c>
      <c r="AO52" s="2408">
        <f t="shared" ca="1" si="127"/>
        <v>-401.68501767071086</v>
      </c>
      <c r="AP52" s="2408">
        <f t="shared" ca="1" si="127"/>
        <v>-680.54187544379761</v>
      </c>
      <c r="AQ52" s="2408">
        <f t="shared" ca="1" si="127"/>
        <v>0</v>
      </c>
      <c r="AR52" s="2408">
        <f t="shared" ca="1" si="127"/>
        <v>0</v>
      </c>
      <c r="AS52" s="2408">
        <f t="shared" ca="1" si="127"/>
        <v>0</v>
      </c>
      <c r="AT52" s="2408">
        <f t="shared" ca="1" si="127"/>
        <v>0</v>
      </c>
      <c r="AU52" s="2408">
        <f t="shared" ca="1" si="127"/>
        <v>0</v>
      </c>
      <c r="AV52" s="2408">
        <f t="shared" ca="1" si="127"/>
        <v>0</v>
      </c>
      <c r="AW52" s="2408">
        <f t="shared" ca="1" si="127"/>
        <v>-180.72987428571432</v>
      </c>
      <c r="AX52" s="2408">
        <f t="shared" ca="1" si="127"/>
        <v>-96.634101460999375</v>
      </c>
      <c r="AY52" s="2408">
        <f t="shared" ca="1" si="127"/>
        <v>-136.98612596519999</v>
      </c>
      <c r="AZ52" s="2408">
        <f t="shared" ca="1" si="127"/>
        <v>0</v>
      </c>
      <c r="BA52" s="2408">
        <f t="shared" ca="1" si="127"/>
        <v>0</v>
      </c>
      <c r="BB52" s="2408">
        <f t="shared" ca="1" si="127"/>
        <v>0</v>
      </c>
      <c r="BC52" s="2408">
        <f t="shared" ca="1" si="127"/>
        <v>-205.43750398800003</v>
      </c>
      <c r="BD52" s="2408">
        <f t="shared" ca="1" si="127"/>
        <v>0</v>
      </c>
      <c r="BE52" s="2408">
        <f t="shared" ca="1" si="127"/>
        <v>-0.63055692916666661</v>
      </c>
      <c r="BF52" s="2408">
        <f t="shared" ca="1" si="127"/>
        <v>-982.30162109759806</v>
      </c>
      <c r="BG52" s="2408">
        <f ca="1">SUM(AN52:BF52)</f>
        <v>-6710.5181580266608</v>
      </c>
      <c r="BI52" s="1082">
        <f ca="1">BI$33+BI$37+BI$38+BI$44+BI$45+BI$51+BI31</f>
        <v>7390.4313450575319</v>
      </c>
      <c r="BJ52" s="1082">
        <f ca="1">BJ$33+BJ$37+BJ$38+BJ$44+BJ$45+BJ$51+BJ31</f>
        <v>240.15001369658756</v>
      </c>
      <c r="BK52" s="1045">
        <f ca="1">SUM(BI52:BJ52)</f>
        <v>7630.5813587541197</v>
      </c>
      <c r="BM52" s="1083">
        <f t="shared" ca="1" si="120"/>
        <v>0</v>
      </c>
      <c r="BN52" s="1083"/>
      <c r="BP52" s="2401">
        <f t="shared" ref="BP52:DG52" ca="1" si="128">BP$33+BP$37+BP$38+BP$44++BP$45+BP$51</f>
        <v>4033.5392619763707</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-11.98043564516129</v>
      </c>
      <c r="DE52" s="1084">
        <f t="shared" ca="1" si="128"/>
        <v>0</v>
      </c>
      <c r="DF52" s="1084">
        <f t="shared" ca="1" si="128"/>
        <v>0</v>
      </c>
      <c r="DG52" s="1084">
        <f t="shared" ca="1" si="128"/>
        <v>0</v>
      </c>
      <c r="DI52" s="1085">
        <f ca="1">SUM(BP52:DG52)</f>
        <v>4021.5588263312093</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49</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49</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-49</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-49</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-3970.4133793283249</v>
      </c>
      <c r="U58" s="1093">
        <f ca="1">U$23+U$31+U$33+U$37+U$57+U$38+U$44+U$45</f>
        <v>566.07016393320009</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-865.89214021991711</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-865.89214021991711</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865.89214021991711</v>
      </c>
      <c r="BK59" s="1056">
        <f ca="1">SUM(BI59:BJ59)</f>
        <v>865.89214021991711</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-816.89214021991711</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-816.89214021991711</v>
      </c>
      <c r="AM61" s="51"/>
      <c r="AN61" s="1044">
        <f t="shared" ref="AN61:BF61" ca="1" si="146">AN$57+AN$59+AN$60</f>
        <v>0</v>
      </c>
      <c r="AO61" s="1044">
        <f t="shared" ca="1" si="146"/>
        <v>0</v>
      </c>
      <c r="AP61" s="1044">
        <f t="shared" ca="1" si="146"/>
        <v>0</v>
      </c>
      <c r="AQ61" s="1044">
        <f t="shared" ca="1" si="146"/>
        <v>0</v>
      </c>
      <c r="AR61" s="1044">
        <f t="shared" ca="1" si="146"/>
        <v>-49</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-49</v>
      </c>
      <c r="BH61" s="51"/>
      <c r="BI61" s="1045">
        <f ca="1">BI$57+BI$59+BI$60</f>
        <v>0</v>
      </c>
      <c r="BJ61" s="1045">
        <f ca="1">BJ$57+BJ$59+BJ$60</f>
        <v>865.89214021991711</v>
      </c>
      <c r="BK61" s="1045">
        <f ca="1">SUM(BI61:BJ61)</f>
        <v>865.89214021991711</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-16014.06130301861</v>
      </c>
      <c r="W63" s="1093">
        <f t="shared" ca="1" si="149"/>
        <v>-6640.1663941009338</v>
      </c>
      <c r="X63" s="1093">
        <f t="shared" ca="1" si="149"/>
        <v>-1540.5893033755879</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0</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-3970.4133793283249</v>
      </c>
      <c r="U64" s="1093">
        <f ca="1">(U$23+U$52+U$61)</f>
        <v>3970.4133793283249</v>
      </c>
      <c r="V64" s="1093">
        <f t="shared" ca="1" si="149"/>
        <v>-16014.06130301861</v>
      </c>
      <c r="W64" s="1093">
        <f t="shared" ca="1" si="149"/>
        <v>-6640.1663941009338</v>
      </c>
      <c r="X64" s="1093">
        <f t="shared" ca="1" si="149"/>
        <v>-1540.5893033755879</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16014.06130301861</v>
      </c>
      <c r="W65" s="1107">
        <f t="shared" ca="1" si="152"/>
        <v>6640.1663941009338</v>
      </c>
      <c r="X65" s="1107">
        <f t="shared" ca="1" si="152"/>
        <v>1540.5893033755879</v>
      </c>
      <c r="Y65" s="1107">
        <f t="shared" ca="1" si="152"/>
        <v>-16014.06130301861</v>
      </c>
      <c r="Z65" s="1107">
        <f t="shared" ca="1" si="152"/>
        <v>-7104.9780416879994</v>
      </c>
      <c r="AA65" s="1107">
        <f t="shared" ca="1" si="152"/>
        <v>-1771.6776988819261</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-695.90004309340065</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695.90004309340361</v>
      </c>
      <c r="BK65" s="1110">
        <f ca="1">SUM(BI65:BJ65)</f>
        <v>695.90004309340361</v>
      </c>
      <c r="BL65" s="51"/>
      <c r="BM65" s="1046">
        <f t="shared" ref="BM65:BM71" ca="1" si="154">R65+AL65+BG65+BK65</f>
        <v>2.9558577807620168E-12</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0</v>
      </c>
      <c r="V66" s="1140"/>
      <c r="W66" s="1140"/>
      <c r="X66" s="1140"/>
      <c r="Y66" s="1140">
        <f ca="1">-(Y$23+Y$52+Y$61+Y$65)</f>
        <v>11988.489821833136</v>
      </c>
      <c r="Z66" s="1140">
        <f ca="1">-(Z$23+Z$52+Z$61+Z$65)</f>
        <v>6703.2930240172882</v>
      </c>
      <c r="AA66" s="1140">
        <f ca="1">-(AA$23+AA$52+AA$61+AA$65)</f>
        <v>1091.1358234381285</v>
      </c>
      <c r="AB66" s="1140"/>
      <c r="AC66" s="1140"/>
      <c r="AD66" s="1140"/>
      <c r="AE66" s="1140"/>
      <c r="AF66" s="1140"/>
      <c r="AG66" s="1140"/>
      <c r="AH66" s="1140"/>
      <c r="AI66" s="1140"/>
      <c r="AJ66" s="1140"/>
      <c r="AK66" s="1140"/>
      <c r="AL66" s="1140">
        <f ca="1">SUM(T66:AK66)</f>
        <v>19782.918669288552</v>
      </c>
      <c r="AM66" s="51"/>
      <c r="AN66" s="1067"/>
      <c r="AO66" s="1067"/>
      <c r="AP66" s="1067"/>
      <c r="AQ66" s="1067"/>
      <c r="AR66" s="1067">
        <f ca="1">-U66</f>
        <v>0</v>
      </c>
      <c r="AS66" s="1067">
        <f>-W66</f>
        <v>0</v>
      </c>
      <c r="AT66" s="1067">
        <f ca="1">-Y66</f>
        <v>-11988.489821833136</v>
      </c>
      <c r="AU66" s="1067">
        <f ca="1">-Z66</f>
        <v>-6703.2930240172882</v>
      </c>
      <c r="AV66" s="1067">
        <f ca="1">-AA66</f>
        <v>-1091.1358234381285</v>
      </c>
      <c r="AW66" s="1067"/>
      <c r="AX66" s="1067"/>
      <c r="AY66" s="1067"/>
      <c r="AZ66" s="1067"/>
      <c r="BA66" s="1067"/>
      <c r="BB66" s="1067"/>
      <c r="BC66" s="1067"/>
      <c r="BD66" s="1067"/>
      <c r="BE66" s="1067"/>
      <c r="BF66" s="1067"/>
      <c r="BG66" s="1067">
        <f ca="1">SUM(AN66:BF66)</f>
        <v>-19782.918669288552</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0</v>
      </c>
      <c r="V67" s="1043">
        <f t="shared" ca="1" si="160"/>
        <v>16014.06130301861</v>
      </c>
      <c r="W67" s="1043">
        <f t="shared" ca="1" si="160"/>
        <v>6640.1663941009338</v>
      </c>
      <c r="X67" s="1043">
        <f t="shared" ca="1" si="160"/>
        <v>1540.5893033755879</v>
      </c>
      <c r="Y67" s="1043">
        <f t="shared" ca="1" si="160"/>
        <v>-4025.5714811854741</v>
      </c>
      <c r="Z67" s="1043">
        <f t="shared" ca="1" si="160"/>
        <v>-401.6850176707112</v>
      </c>
      <c r="AA67" s="1043">
        <f t="shared" ca="1" si="160"/>
        <v>-680.54187544379761</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19087.018626195153</v>
      </c>
      <c r="AN67" s="1044">
        <f t="shared" ref="AN67:BF67" ca="1" si="161">SUM(AN65:AN66)</f>
        <v>0</v>
      </c>
      <c r="AO67" s="1044">
        <f t="shared" ca="1" si="161"/>
        <v>0</v>
      </c>
      <c r="AP67" s="1044">
        <f t="shared" ca="1" si="161"/>
        <v>0</v>
      </c>
      <c r="AQ67" s="1044">
        <f t="shared" ca="1" si="161"/>
        <v>0</v>
      </c>
      <c r="AR67" s="1044">
        <f t="shared" ca="1" si="161"/>
        <v>0</v>
      </c>
      <c r="AS67" s="1044">
        <f t="shared" ca="1" si="161"/>
        <v>0</v>
      </c>
      <c r="AT67" s="1044">
        <f t="shared" ca="1" si="161"/>
        <v>-11988.489821833136</v>
      </c>
      <c r="AU67" s="1044">
        <f t="shared" ca="1" si="161"/>
        <v>-6703.2930240172882</v>
      </c>
      <c r="AV67" s="1044">
        <f t="shared" ca="1" si="161"/>
        <v>-1091.1358234381285</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-19782.918669288552</v>
      </c>
      <c r="BI67" s="1045">
        <f ca="1">SUM(BI65:BI66)</f>
        <v>0</v>
      </c>
      <c r="BJ67" s="1045">
        <f ca="1">SUM(BJ65:BJ66)</f>
        <v>695.90004309340361</v>
      </c>
      <c r="BK67" s="1045">
        <f ca="1">SUM(BI67:BJ67)</f>
        <v>695.90004309340361</v>
      </c>
      <c r="BM67" s="1046">
        <f t="shared" ca="1" si="154"/>
        <v>4.3200998334214091E-12</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-816.89214021991711</v>
      </c>
      <c r="V68" s="1080">
        <f t="shared" ca="1" si="164"/>
        <v>16014.06130301861</v>
      </c>
      <c r="W68" s="1080">
        <f t="shared" ca="1" si="164"/>
        <v>6640.1663941009338</v>
      </c>
      <c r="X68" s="1080">
        <f t="shared" ca="1" si="164"/>
        <v>1540.5893033755879</v>
      </c>
      <c r="Y68" s="1080">
        <f t="shared" ca="1" si="164"/>
        <v>-4025.5714811854741</v>
      </c>
      <c r="Z68" s="1080">
        <f t="shared" ca="1" si="164"/>
        <v>-401.6850176707112</v>
      </c>
      <c r="AA68" s="1080">
        <f t="shared" ca="1" si="164"/>
        <v>-680.54187544379761</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18270.126485975234</v>
      </c>
      <c r="AN68" s="1081">
        <f ca="1">AN$61+AN$67</f>
        <v>0</v>
      </c>
      <c r="AO68" s="1081">
        <f t="shared" ref="AO68:BF68" ca="1" si="165">AO$61+AO$67</f>
        <v>0</v>
      </c>
      <c r="AP68" s="1081">
        <f t="shared" ca="1" si="165"/>
        <v>0</v>
      </c>
      <c r="AQ68" s="1081">
        <f t="shared" ca="1" si="165"/>
        <v>0</v>
      </c>
      <c r="AR68" s="1081">
        <f t="shared" ca="1" si="165"/>
        <v>-49</v>
      </c>
      <c r="AS68" s="1081">
        <f t="shared" ca="1" si="165"/>
        <v>0</v>
      </c>
      <c r="AT68" s="1081">
        <f t="shared" ca="1" si="165"/>
        <v>-11988.489821833136</v>
      </c>
      <c r="AU68" s="1081">
        <f t="shared" ca="1" si="165"/>
        <v>-6703.2930240172882</v>
      </c>
      <c r="AV68" s="1081">
        <f t="shared" ca="1" si="165"/>
        <v>-1091.1358234381285</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-19831.918669288552</v>
      </c>
      <c r="BI68" s="1082">
        <f ca="1">BI$61+BI$67</f>
        <v>0</v>
      </c>
      <c r="BJ68" s="1082">
        <f ca="1">BJ$61+BJ$67</f>
        <v>1561.7921833133207</v>
      </c>
      <c r="BK68" s="1082">
        <f ca="1">SUM(BI68:BJ68)</f>
        <v>1561.7921833133207</v>
      </c>
      <c r="BM68" s="1083">
        <f t="shared" ca="1" si="154"/>
        <v>2.0463630789890885E-12</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1453.7842020047071</v>
      </c>
      <c r="H71" s="1143">
        <f t="shared" ca="1" si="167"/>
        <v>689.67530682847894</v>
      </c>
      <c r="I71" s="1143">
        <f t="shared" ca="1" si="167"/>
        <v>8404.5908555044025</v>
      </c>
      <c r="J71" s="1143">
        <f t="shared" ca="1" si="167"/>
        <v>3939.7762899745112</v>
      </c>
      <c r="K71" s="1143">
        <f t="shared" ca="1" si="167"/>
        <v>110.98195843630529</v>
      </c>
      <c r="L71" s="1143">
        <f t="shared" ca="1" si="167"/>
        <v>167.86358992348687</v>
      </c>
      <c r="M71" s="1143">
        <f t="shared" ca="1" si="167"/>
        <v>-0.2702004695738901</v>
      </c>
      <c r="N71" s="1143">
        <f t="shared" ca="1" si="167"/>
        <v>850.28842752484661</v>
      </c>
      <c r="O71" s="1143">
        <f t="shared" ca="1" si="167"/>
        <v>192.06311941056913</v>
      </c>
      <c r="P71" s="1143">
        <f t="shared" ca="1" si="167"/>
        <v>1128.6766748639811</v>
      </c>
      <c r="Q71" s="1143">
        <f t="shared" ca="1" si="167"/>
        <v>412.63306124605418</v>
      </c>
      <c r="R71" s="1143">
        <f ca="1">SUM(G71:Q71)</f>
        <v>17350.063285247768</v>
      </c>
      <c r="T71" s="1144">
        <f t="shared" ref="T71:AK71" ca="1" si="168">T$23+T$52+T$68</f>
        <v>-3970.4133793283249</v>
      </c>
      <c r="U71" s="1144">
        <f t="shared" ca="1" si="168"/>
        <v>3970.4133793283249</v>
      </c>
      <c r="V71" s="1144">
        <f t="shared" ca="1" si="168"/>
        <v>0</v>
      </c>
      <c r="W71" s="1144">
        <f t="shared" ca="1" si="168"/>
        <v>0</v>
      </c>
      <c r="X71" s="1144">
        <f t="shared" ca="1" si="168"/>
        <v>0</v>
      </c>
      <c r="Y71" s="1144">
        <f t="shared" ca="1" si="168"/>
        <v>0</v>
      </c>
      <c r="Z71" s="1144">
        <f t="shared" ca="1" si="168"/>
        <v>0</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0</v>
      </c>
      <c r="AI71" s="1144">
        <f t="shared" ca="1" si="168"/>
        <v>0</v>
      </c>
      <c r="AJ71" s="1144">
        <f t="shared" ca="1" si="168"/>
        <v>0</v>
      </c>
      <c r="AK71" s="1144">
        <f t="shared" ca="1" si="168"/>
        <v>0</v>
      </c>
      <c r="AL71" s="1144">
        <f ca="1">SUM(T71:AK71)</f>
        <v>0</v>
      </c>
      <c r="AN71" s="1145">
        <f t="shared" ref="AN71:BF71" ca="1" si="169">AN$23+AN$52+AN$68</f>
        <v>-4025.5714811854732</v>
      </c>
      <c r="AO71" s="1145">
        <f t="shared" ca="1" si="169"/>
        <v>-401.68501767071086</v>
      </c>
      <c r="AP71" s="1145">
        <f t="shared" ca="1" si="169"/>
        <v>-680.54187544379761</v>
      </c>
      <c r="AQ71" s="1145">
        <f t="shared" ca="1" si="169"/>
        <v>0</v>
      </c>
      <c r="AR71" s="1145">
        <f t="shared" ca="1" si="169"/>
        <v>-49</v>
      </c>
      <c r="AS71" s="1145">
        <f t="shared" ca="1" si="169"/>
        <v>0</v>
      </c>
      <c r="AT71" s="1145">
        <f t="shared" ca="1" si="169"/>
        <v>-11988.489821833136</v>
      </c>
      <c r="AU71" s="1145">
        <f t="shared" ca="1" si="169"/>
        <v>-6703.2930240172882</v>
      </c>
      <c r="AV71" s="1145">
        <f t="shared" ca="1" si="169"/>
        <v>-1091.1358234381285</v>
      </c>
      <c r="AW71" s="1145">
        <f t="shared" ca="1" si="169"/>
        <v>-180.72987428571432</v>
      </c>
      <c r="AX71" s="1145">
        <f t="shared" ca="1" si="169"/>
        <v>-96.634101460999375</v>
      </c>
      <c r="AY71" s="1145">
        <f t="shared" ca="1" si="169"/>
        <v>-136.98612596519999</v>
      </c>
      <c r="AZ71" s="1145">
        <f t="shared" ca="1" si="169"/>
        <v>0</v>
      </c>
      <c r="BA71" s="1145">
        <f t="shared" ca="1" si="169"/>
        <v>0</v>
      </c>
      <c r="BB71" s="1145">
        <f t="shared" ca="1" si="169"/>
        <v>0</v>
      </c>
      <c r="BC71" s="1145">
        <f t="shared" ca="1" si="169"/>
        <v>-205.43750398800003</v>
      </c>
      <c r="BD71" s="1145">
        <f t="shared" ca="1" si="169"/>
        <v>0</v>
      </c>
      <c r="BE71" s="1145">
        <f t="shared" ca="1" si="169"/>
        <v>-0.63055692916666661</v>
      </c>
      <c r="BF71" s="1145">
        <f t="shared" ca="1" si="169"/>
        <v>-982.30162109759806</v>
      </c>
      <c r="BG71" s="1145">
        <f ca="1">SUM(AN71:BF71)</f>
        <v>-26542.436827315214</v>
      </c>
      <c r="BI71" s="1146">
        <f ca="1">BI$23+BI$52+BI$68</f>
        <v>7390.4313450575319</v>
      </c>
      <c r="BJ71" s="1146">
        <f ca="1">BJ$23+BJ$52+BJ$68</f>
        <v>1801.9421970099083</v>
      </c>
      <c r="BK71" s="1146">
        <f ca="1">SUM(BI71:BJ71)</f>
        <v>9192.3735420674402</v>
      </c>
      <c r="BM71" s="1039">
        <f t="shared" ca="1" si="154"/>
        <v>0</v>
      </c>
      <c r="BN71" s="1039"/>
      <c r="BP71" s="2480">
        <f t="shared" ref="BP71:DG71" ca="1" si="170">BP$23+BP$52+BP$68</f>
        <v>7384.0961877553927</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-11.98043564516129</v>
      </c>
      <c r="DE71" s="1147">
        <f t="shared" ca="1" si="170"/>
        <v>0</v>
      </c>
      <c r="DF71" s="1147">
        <f t="shared" ca="1" si="170"/>
        <v>0</v>
      </c>
      <c r="DG71" s="1147">
        <f t="shared" ca="1" si="170"/>
        <v>0</v>
      </c>
      <c r="DI71" s="1085">
        <f ca="1">SUM(BP71:DG71)</f>
        <v>7372.1157521102314</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4021.5588263312093</v>
      </c>
    </row>
    <row r="75" spans="2:113">
      <c r="B75" s="2555"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3970.4133793283249</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5">
        <f ca="1">DI74/DI75</f>
        <v>1.0128816428206617</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xl/worksheets/sheet60.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F6" activePane="bottomRight" state="frozen"/>
      <selection activeCell="Y9" sqref="Y9"/>
      <selection pane="topRight" activeCell="Y9" sqref="Y9"/>
      <selection pane="bottomLeft" activeCell="Y9" sqref="Y9"/>
      <selection pane="bottomRight" activeCell="F6" sqref="F6"/>
    </sheetView>
  </sheetViews>
  <sheetFormatPr defaultColWidth="8.85546875" defaultRowHeight="12.75" outlineLevelRow="1" outlineLevelCol="2"/>
  <cols>
    <col min="1" max="1" width="6.140625" style="2555" customWidth="1"/>
    <col min="2" max="2" width="1.42578125" style="2555" customWidth="1"/>
    <col min="3" max="3" width="4.42578125" style="621" customWidth="1"/>
    <col min="4" max="4" width="5.140625" style="730" customWidth="1"/>
    <col min="5" max="5" width="41.7109375" style="730" customWidth="1"/>
    <col min="6" max="6" width="1.140625" style="2555"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5"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5" customWidth="1" outlineLevel="1"/>
    <col min="40" max="58" width="10" style="730" customWidth="1" outlineLevel="2"/>
    <col min="59" max="59" width="10" style="730" customWidth="1" outlineLevel="1"/>
    <col min="60" max="60" width="1.140625" style="2555" customWidth="1" outlineLevel="1"/>
    <col min="61" max="62" width="10" style="730" customWidth="1" outlineLevel="2"/>
    <col min="63" max="63" width="10" style="730" customWidth="1" outlineLevel="1"/>
    <col min="64" max="64" width="1.140625" style="2555" customWidth="1" outlineLevel="1"/>
    <col min="65" max="65" width="11" style="730" customWidth="1" outlineLevel="1"/>
    <col min="66" max="66" width="5.28515625" style="730" customWidth="1"/>
    <col min="67" max="67" width="8.85546875" style="2555"/>
    <col min="68" max="111" width="7.42578125" style="2555" customWidth="1"/>
    <col min="112" max="112" width="2.42578125" style="2555" customWidth="1"/>
    <col min="113" max="16384" width="8.85546875" style="2555"/>
  </cols>
  <sheetData>
    <row r="1" spans="1:113" ht="9" customHeight="1"/>
    <row r="2" spans="1:113" ht="21" customHeight="1">
      <c r="D2" s="718"/>
      <c r="E2" s="986">
        <v>2042</v>
      </c>
      <c r="G2" s="2555"/>
      <c r="H2" s="2555"/>
      <c r="I2" s="2555"/>
      <c r="J2" s="2555"/>
      <c r="K2" s="2555"/>
      <c r="L2" s="2555"/>
      <c r="M2" s="2555"/>
      <c r="N2" s="2555"/>
      <c r="O2" s="2555"/>
      <c r="P2" s="2555"/>
      <c r="Q2" s="2555"/>
      <c r="R2" s="2555"/>
      <c r="T2" s="2555"/>
      <c r="U2" s="2555"/>
      <c r="V2" s="2555"/>
      <c r="W2" s="2555"/>
      <c r="X2" s="2555"/>
      <c r="Y2" s="2555"/>
      <c r="Z2" s="2555"/>
      <c r="AA2" s="2555"/>
      <c r="AB2" s="2555"/>
      <c r="AC2" s="2555"/>
      <c r="AD2" s="2555"/>
      <c r="AE2" s="2555"/>
      <c r="AF2" s="2555"/>
      <c r="AG2" s="2555"/>
      <c r="AH2" s="2555"/>
      <c r="AI2" s="2555"/>
      <c r="AJ2" s="2555"/>
      <c r="AK2" s="2555"/>
      <c r="AL2" s="2555"/>
      <c r="AN2" s="2555"/>
      <c r="AO2" s="2555"/>
      <c r="AP2" s="2555"/>
      <c r="AQ2" s="2555"/>
      <c r="AR2" s="2555"/>
      <c r="AS2" s="2555"/>
      <c r="AT2" s="2555"/>
      <c r="AU2" s="2555"/>
      <c r="AV2" s="2555"/>
      <c r="AW2" s="2555"/>
      <c r="AX2" s="2555"/>
      <c r="AY2" s="2555"/>
      <c r="AZ2" s="2555"/>
      <c r="BA2" s="2555"/>
      <c r="BB2" s="2555"/>
      <c r="BC2" s="2555"/>
      <c r="BD2" s="2555"/>
      <c r="BE2" s="2555"/>
      <c r="BF2" s="2555"/>
      <c r="BG2" s="2555"/>
      <c r="BI2" s="2555"/>
      <c r="BJ2" s="2555"/>
      <c r="BK2" s="2555"/>
      <c r="BM2" s="2555"/>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hidden="1"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1804.4491932933804</v>
      </c>
      <c r="H10" s="1051">
        <f t="shared" ca="1" si="0"/>
        <v>0</v>
      </c>
      <c r="I10" s="1051">
        <f t="shared" ca="1" si="0"/>
        <v>0</v>
      </c>
      <c r="J10" s="1051">
        <f t="shared" ca="1" si="0"/>
        <v>0</v>
      </c>
      <c r="K10" s="1051">
        <f t="shared" ca="1" si="0"/>
        <v>0</v>
      </c>
      <c r="L10" s="1051">
        <f t="shared" ca="1" si="0"/>
        <v>0</v>
      </c>
      <c r="M10" s="1051">
        <f t="shared" ca="1" si="0"/>
        <v>2.6703459443438968E-12</v>
      </c>
      <c r="N10" s="1051">
        <f t="shared" ca="1" si="0"/>
        <v>0</v>
      </c>
      <c r="O10" s="1051">
        <f t="shared" ca="1" si="0"/>
        <v>0</v>
      </c>
      <c r="P10" s="1051">
        <f t="shared" ca="1" si="0"/>
        <v>0</v>
      </c>
      <c r="Q10" s="1051">
        <f t="shared" ca="1" si="0"/>
        <v>0</v>
      </c>
      <c r="R10" s="1051">
        <f ca="1">SUM(G10:Q10)</f>
        <v>1804.4491932933831</v>
      </c>
      <c r="T10" s="1053">
        <f t="shared" ref="T10:BF11" ca="1" si="1">IFERROR(INDEX(INDIRECT($C10&amp;".Outputs["&amp;this.year&amp;"]"), MATCH(T$5, INDIRECT($C10&amp;".Outputs[Vector]"), 0)), 0)</f>
        <v>-1803.3634131162555</v>
      </c>
      <c r="U10" s="1053">
        <f t="shared" ca="1" si="1"/>
        <v>0</v>
      </c>
      <c r="V10" s="1053">
        <f t="shared" ca="1" si="1"/>
        <v>0</v>
      </c>
      <c r="W10" s="1053">
        <f t="shared" ca="1" si="1"/>
        <v>-1.0857801771275235</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-1804.4491932933831</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0.28960362076092644</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0.28960362076092644</v>
      </c>
    </row>
    <row r="11" spans="1:113" s="51" customFormat="1" ht="12.75" hidden="1" customHeight="1" outlineLevel="1">
      <c r="A11" s="1061"/>
      <c r="B11" s="1061"/>
      <c r="C11" s="1048" t="s">
        <v>301</v>
      </c>
      <c r="D11" s="1064" t="str">
        <f>INDEX(Modules[Module], MATCH($C11, Modules[Code], 0))</f>
        <v>Commercial Lighting &amp; Appliances</v>
      </c>
      <c r="E11" s="1064"/>
      <c r="G11" s="1065">
        <f t="shared" ca="1" si="0"/>
        <v>0</v>
      </c>
      <c r="H11" s="1065">
        <f t="shared" ca="1" si="0"/>
        <v>912.10861348452363</v>
      </c>
      <c r="I11" s="1065">
        <f t="shared" ca="1" si="0"/>
        <v>0</v>
      </c>
      <c r="J11" s="1065">
        <f t="shared" ca="1" si="0"/>
        <v>0</v>
      </c>
      <c r="K11" s="1065">
        <f t="shared" ca="1" si="0"/>
        <v>0</v>
      </c>
      <c r="L11" s="1065">
        <f t="shared" ca="1" si="0"/>
        <v>0</v>
      </c>
      <c r="M11" s="1065">
        <f t="shared" ca="1" si="0"/>
        <v>-0.3587109280985778</v>
      </c>
      <c r="N11" s="1065">
        <f t="shared" ca="1" si="0"/>
        <v>0</v>
      </c>
      <c r="O11" s="1065">
        <f t="shared" ca="1" si="0"/>
        <v>0</v>
      </c>
      <c r="P11" s="1065">
        <f t="shared" ca="1" si="0"/>
        <v>0</v>
      </c>
      <c r="Q11" s="1065">
        <f t="shared" ca="1" si="0"/>
        <v>0</v>
      </c>
      <c r="R11" s="1065">
        <f ca="1">SUM(G11:Q11)</f>
        <v>911.74990255642501</v>
      </c>
      <c r="T11" s="1066">
        <f t="shared" ca="1" si="1"/>
        <v>-911.74990255642501</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-911.74990255642501</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ollapsed="1">
      <c r="A12" s="17"/>
      <c r="B12" s="53"/>
      <c r="C12" s="711" t="s">
        <v>196</v>
      </c>
      <c r="D12" s="710" t="str">
        <f>INDEX(Workstreams[Workstream], MATCH($C12, Workstreams[Code], 0))</f>
        <v>Lighting and appliances</v>
      </c>
      <c r="E12" s="41"/>
      <c r="G12" s="1071">
        <f ca="1">G10+G11</f>
        <v>1804.4491932933804</v>
      </c>
      <c r="H12" s="1071">
        <f t="shared" ref="H12:Q12" ca="1" si="11">H10+H11</f>
        <v>912.10861348452363</v>
      </c>
      <c r="I12" s="1071">
        <f t="shared" ca="1" si="11"/>
        <v>0</v>
      </c>
      <c r="J12" s="1071">
        <f t="shared" ca="1" si="11"/>
        <v>0</v>
      </c>
      <c r="K12" s="1071">
        <f t="shared" ca="1" si="11"/>
        <v>0</v>
      </c>
      <c r="L12" s="1071">
        <f t="shared" ca="1" si="11"/>
        <v>0</v>
      </c>
      <c r="M12" s="1071">
        <f ca="1">M11+M10</f>
        <v>-0.35871092809590743</v>
      </c>
      <c r="N12" s="1071">
        <f t="shared" ca="1" si="11"/>
        <v>0</v>
      </c>
      <c r="O12" s="1071">
        <f t="shared" ca="1" si="11"/>
        <v>0</v>
      </c>
      <c r="P12" s="1071">
        <f t="shared" ca="1" si="11"/>
        <v>0</v>
      </c>
      <c r="Q12" s="1071">
        <f t="shared" ca="1" si="11"/>
        <v>0</v>
      </c>
      <c r="R12" s="1071">
        <f ca="1">SUM(G12:Q12)</f>
        <v>2716.1990958498081</v>
      </c>
      <c r="T12" s="1043">
        <f ca="1">T10+T11</f>
        <v>-2715.1133156726805</v>
      </c>
      <c r="U12" s="1043">
        <f t="shared" ref="U12:AK12" ca="1" si="12">U10+U11</f>
        <v>0</v>
      </c>
      <c r="V12" s="1043">
        <f t="shared" ca="1" si="12"/>
        <v>0</v>
      </c>
      <c r="W12" s="1043">
        <f t="shared" ca="1" si="12"/>
        <v>-1.0857801771275235</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-2716.1990958498081</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0</v>
      </c>
      <c r="BN12" s="1046"/>
      <c r="BO12" s="97"/>
      <c r="BP12" s="1058">
        <f t="shared" ref="BP12:DG12" ca="1" si="14">BP10+BP11</f>
        <v>0.28960362076092644</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0.28960362076092644</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9897.3852759882448</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9897.3852759882448</v>
      </c>
      <c r="T13" s="1066">
        <f t="shared" ref="T13:BF13" ca="1" si="16">IFERROR(INDEX(INDIRECT($C13&amp;".Outputs["&amp;this.year&amp;"]"), MATCH(T$5, INDIRECT($C13&amp;".Outputs[Vector]"), 0)), 0)</f>
        <v>-1462.2792945499318</v>
      </c>
      <c r="U13" s="1066">
        <f t="shared" ca="1" si="16"/>
        <v>0</v>
      </c>
      <c r="V13" s="1066">
        <f t="shared" ca="1" si="16"/>
        <v>-5293.5715129730197</v>
      </c>
      <c r="W13" s="1066">
        <f t="shared" ca="1" si="16"/>
        <v>-1986.4480076110492</v>
      </c>
      <c r="X13" s="1066">
        <f t="shared" ca="1" si="16"/>
        <v>-1155.0864608542438</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-9897.3852759882429</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1.8189894035458565E-12</v>
      </c>
      <c r="BN13" s="1063"/>
      <c r="BO13" s="97"/>
      <c r="BP13" s="1069">
        <f t="shared" ref="BP13:DG13" ca="1" si="18">IFERROR(SUMIFS(INDIRECT($C13&amp;".Emissions["&amp;this.year&amp;"]"), INDIRECT($C13&amp;".Emissions[GHG]"), BP$6, INDIRECT($C13&amp;".Emissions[IPCC Sector]"), BP$5),0)</f>
        <v>2422.048591683993</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2422.048591683993</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9897.3852759882448</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9897.3852759882448</v>
      </c>
      <c r="T14" s="1043">
        <f t="shared" ref="T14:AK14" ca="1" si="20">T13</f>
        <v>-1462.2792945499318</v>
      </c>
      <c r="U14" s="1043">
        <f t="shared" ca="1" si="20"/>
        <v>0</v>
      </c>
      <c r="V14" s="1043">
        <f t="shared" ca="1" si="20"/>
        <v>-5293.5715129730197</v>
      </c>
      <c r="W14" s="1043">
        <f t="shared" ca="1" si="20"/>
        <v>-1986.4480076110492</v>
      </c>
      <c r="X14" s="1043">
        <f t="shared" ca="1" si="20"/>
        <v>-1155.0864608542438</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-9897.3852759882429</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1.8189894035458565E-12</v>
      </c>
      <c r="BN14" s="1046"/>
      <c r="BO14" s="97"/>
      <c r="BP14" s="1058">
        <f t="shared" ref="BP14:DG14" ca="1" si="22">BP13</f>
        <v>2422.048591683993</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2422.048591683993</v>
      </c>
    </row>
    <row r="15" spans="1:113" s="51" customFormat="1" ht="12.75" hidden="1"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2561.3538477320626</v>
      </c>
      <c r="K15" s="1051">
        <f t="shared" ca="1" si="23"/>
        <v>30.184551374315241</v>
      </c>
      <c r="L15" s="1051">
        <f t="shared" ca="1" si="23"/>
        <v>203.15945707769581</v>
      </c>
      <c r="M15" s="1051">
        <f t="shared" ca="1" si="23"/>
        <v>0</v>
      </c>
      <c r="N15" s="1051">
        <f t="shared" ca="1" si="23"/>
        <v>0</v>
      </c>
      <c r="O15" s="1051">
        <f t="shared" ca="1" si="23"/>
        <v>0</v>
      </c>
      <c r="P15" s="1051">
        <f t="shared" ca="1" si="23"/>
        <v>0</v>
      </c>
      <c r="Q15" s="1051">
        <f t="shared" ca="1" si="23"/>
        <v>0</v>
      </c>
      <c r="R15" s="1071">
        <f t="shared" ref="R15:R23" ca="1" si="24">SUM(G15:Q15)</f>
        <v>2794.6978561840733</v>
      </c>
      <c r="T15" s="1053">
        <f t="shared" ref="T15:BF16" ca="1" si="25">IFERROR(INDEX(INDIRECT($C15&amp;".Outputs["&amp;this.year&amp;"]"), MATCH(T$5, INDIRECT($C15&amp;".Outputs[Vector]"), 0)), 0)</f>
        <v>-23.918000610343412</v>
      </c>
      <c r="U15" s="1053">
        <f t="shared" ca="1" si="25"/>
        <v>0</v>
      </c>
      <c r="V15" s="1053">
        <f t="shared" ca="1" si="25"/>
        <v>0</v>
      </c>
      <c r="W15" s="1053">
        <f t="shared" ca="1" si="25"/>
        <v>-2630.5760186566213</v>
      </c>
      <c r="X15" s="1053">
        <f t="shared" ca="1" si="25"/>
        <v>-140.20383691710919</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-2794.6978561840738</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-4.5474735088646412E-13</v>
      </c>
      <c r="BN15" s="1063"/>
      <c r="BO15" s="97"/>
      <c r="BP15" s="1057">
        <f t="shared" ref="BP15:BY16" ca="1" si="30">IFERROR(SUMIFS(INDIRECT($C15&amp;".Emissions["&amp;this.year&amp;"]"), INDIRECT($C15&amp;".Emissions[GHG]"), BP$6, INDIRECT($C15&amp;".Emissions[IPCC Sector]"), BP$5),0)</f>
        <v>729.53091525470302</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729.53091525470302</v>
      </c>
    </row>
    <row r="16" spans="1:113" s="51" customFormat="1" ht="12.75" hidden="1"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2214.0199153391532</v>
      </c>
      <c r="K16" s="1051">
        <f t="shared" ca="1" si="23"/>
        <v>89.345515885146042</v>
      </c>
      <c r="L16" s="1051">
        <f t="shared" ca="1" si="23"/>
        <v>10.351751028603708</v>
      </c>
      <c r="M16" s="1051">
        <f t="shared" ca="1" si="23"/>
        <v>0</v>
      </c>
      <c r="N16" s="1051">
        <f t="shared" ca="1" si="23"/>
        <v>0</v>
      </c>
      <c r="O16" s="1051">
        <f t="shared" ca="1" si="23"/>
        <v>0</v>
      </c>
      <c r="P16" s="1051">
        <f t="shared" ca="1" si="23"/>
        <v>0</v>
      </c>
      <c r="Q16" s="1051">
        <f t="shared" ca="1" si="23"/>
        <v>0</v>
      </c>
      <c r="R16" s="1071">
        <f t="shared" ca="1" si="24"/>
        <v>2313.7171822529031</v>
      </c>
      <c r="T16" s="1053">
        <f t="shared" ca="1" si="25"/>
        <v>-30.876418737637415</v>
      </c>
      <c r="U16" s="1053">
        <f t="shared" ca="1" si="25"/>
        <v>0</v>
      </c>
      <c r="V16" s="1053">
        <f t="shared" ca="1" si="25"/>
        <v>0</v>
      </c>
      <c r="W16" s="1053">
        <f t="shared" ca="1" si="25"/>
        <v>-2282.8407635152657</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-2313.7171822529031</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0</v>
      </c>
      <c r="BN16" s="1063"/>
      <c r="BO16" s="97"/>
      <c r="BP16" s="1057">
        <f t="shared" ca="1" si="30"/>
        <v>608.88839625316882</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608.88839625316882</v>
      </c>
    </row>
    <row r="17" spans="1:113" s="51" customFormat="1" ht="15.75" collapsed="1">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4775.3737630712158</v>
      </c>
      <c r="K17" s="1071">
        <f t="shared" ca="1" si="34"/>
        <v>119.53006725946128</v>
      </c>
      <c r="L17" s="1071">
        <f t="shared" ca="1" si="34"/>
        <v>213.51120810629951</v>
      </c>
      <c r="M17" s="1071">
        <f t="shared" ca="1" si="34"/>
        <v>0</v>
      </c>
      <c r="N17" s="1071">
        <f t="shared" ca="1" si="34"/>
        <v>0</v>
      </c>
      <c r="O17" s="1071">
        <f t="shared" ca="1" si="34"/>
        <v>0</v>
      </c>
      <c r="P17" s="1071">
        <f t="shared" ca="1" si="34"/>
        <v>0</v>
      </c>
      <c r="Q17" s="1071">
        <f t="shared" ca="1" si="34"/>
        <v>0</v>
      </c>
      <c r="R17" s="1071">
        <f t="shared" ca="1" si="24"/>
        <v>5108.4150384369768</v>
      </c>
      <c r="T17" s="1043">
        <f ca="1">T15+T16</f>
        <v>-54.794419347980828</v>
      </c>
      <c r="U17" s="1043">
        <f t="shared" ref="U17:AK17" ca="1" si="35">U15+U16</f>
        <v>0</v>
      </c>
      <c r="V17" s="1043">
        <f t="shared" ca="1" si="35"/>
        <v>0</v>
      </c>
      <c r="W17" s="1043">
        <f t="shared" ca="1" si="35"/>
        <v>-4913.4167821718875</v>
      </c>
      <c r="X17" s="1043">
        <f t="shared" ca="1" si="35"/>
        <v>-140.20383691710919</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-5108.4150384369777</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-9.0949470177292824E-13</v>
      </c>
      <c r="BN17" s="1046"/>
      <c r="BO17" s="97"/>
      <c r="BP17" s="1058">
        <f ca="1">BP15+BP16</f>
        <v>1338.419311507872</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1338.419311507872</v>
      </c>
    </row>
    <row r="18" spans="1:113" s="51" customFormat="1" ht="12.75"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1099.7850738372154</v>
      </c>
      <c r="Q18" s="1065">
        <f t="shared" ca="1" si="38"/>
        <v>0</v>
      </c>
      <c r="R18" s="1071">
        <f t="shared" ca="1" si="24"/>
        <v>1099.7850738372154</v>
      </c>
      <c r="T18" s="1066">
        <f t="shared" ref="T18:BF19" ca="1" si="39">IFERROR(INDEX(INDIRECT($C18&amp;".Outputs["&amp;this.year&amp;"]"), MATCH(T$5, INDIRECT($C18&amp;".Outputs[Vector]"), 0)), 0)</f>
        <v>-19.221420721203312</v>
      </c>
      <c r="U18" s="1066">
        <f t="shared" ca="1" si="39"/>
        <v>0</v>
      </c>
      <c r="V18" s="1066">
        <f t="shared" ca="1" si="39"/>
        <v>-783.70254050190999</v>
      </c>
      <c r="W18" s="1066">
        <f t="shared" ca="1" si="39"/>
        <v>-154.73277065468869</v>
      </c>
      <c r="X18" s="1066">
        <f t="shared" ca="1" si="39"/>
        <v>-142.1283419594134</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-1099.7850738372154</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0</v>
      </c>
      <c r="BN18" s="1046"/>
      <c r="BO18" s="17"/>
      <c r="BP18" s="1058"/>
      <c r="BQ18" s="1058"/>
      <c r="BR18" s="1058"/>
      <c r="BS18" s="1058"/>
      <c r="BT18" s="1058"/>
      <c r="BU18" s="1058"/>
      <c r="BV18" s="1058"/>
      <c r="BW18" s="1058"/>
      <c r="BX18" s="1058"/>
      <c r="BY18" s="1058"/>
      <c r="BZ18" s="1058"/>
      <c r="CA18" s="1058"/>
      <c r="CB18" s="1058"/>
      <c r="CC18" s="1058"/>
      <c r="CD18" s="1058"/>
      <c r="CE18" s="1058"/>
      <c r="CF18" s="1058"/>
      <c r="CG18" s="1058"/>
      <c r="CH18" s="1058"/>
      <c r="CI18" s="1058"/>
      <c r="CJ18" s="1058"/>
      <c r="CK18" s="1058"/>
      <c r="CL18" s="1058"/>
      <c r="CM18" s="1058"/>
      <c r="CN18" s="1058"/>
      <c r="CO18" s="1058"/>
      <c r="CP18" s="1058"/>
      <c r="CQ18" s="1058"/>
      <c r="CR18" s="1058"/>
      <c r="CS18" s="1058"/>
      <c r="CT18" s="1058"/>
      <c r="CU18" s="1058"/>
      <c r="CV18" s="1058"/>
      <c r="CW18" s="1058"/>
      <c r="CX18" s="1058"/>
      <c r="CY18" s="1058"/>
      <c r="CZ18" s="1058"/>
      <c r="DA18" s="1058"/>
      <c r="DB18" s="1058"/>
      <c r="DC18" s="1058"/>
      <c r="DD18" s="1058"/>
      <c r="DE18" s="1058"/>
      <c r="DF18" s="1058"/>
      <c r="DG18" s="1058"/>
      <c r="DI18" s="1059">
        <f t="shared" si="10"/>
        <v>0</v>
      </c>
    </row>
    <row r="19" spans="1:113" s="51" customFormat="1" ht="12.75"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552.19611672285725</v>
      </c>
      <c r="R19" s="1071">
        <f t="shared" ca="1" si="24"/>
        <v>552.19611672285725</v>
      </c>
      <c r="T19" s="1066">
        <f t="shared" ca="1" si="39"/>
        <v>0</v>
      </c>
      <c r="U19" s="1066">
        <f t="shared" ca="1" si="39"/>
        <v>0</v>
      </c>
      <c r="V19" s="1066">
        <f t="shared" ca="1" si="39"/>
        <v>0</v>
      </c>
      <c r="W19" s="1066">
        <f t="shared" ca="1" si="39"/>
        <v>-412.36003423655632</v>
      </c>
      <c r="X19" s="1066">
        <f t="shared" ca="1" si="39"/>
        <v>-139.83608248630094</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-552.19611672285725</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0</v>
      </c>
      <c r="BN19" s="1063"/>
      <c r="BO19" s="97"/>
      <c r="BP19" s="1069">
        <f t="shared" ref="BP19:DG19" ca="1" si="42">IFERROR(SUMIFS(INDIRECT($C19&amp;".Emissions["&amp;this.year&amp;"]"), INDIRECT($C19&amp;".Emissions[GHG]"), BP$6, INDIRECT($C19&amp;".Emissions[IPCC Sector]"), BP$5),0)</f>
        <v>137.80633413788036</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137.80633413788036</v>
      </c>
    </row>
    <row r="20" spans="1:113" s="51" customFormat="1" ht="15.75">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1099.7850738372154</v>
      </c>
      <c r="Q20" s="1071">
        <f t="shared" ca="1" si="43"/>
        <v>552.19611672285725</v>
      </c>
      <c r="R20" s="1071">
        <f t="shared" ca="1" si="24"/>
        <v>1651.9811905600727</v>
      </c>
      <c r="T20" s="1043">
        <f ca="1">T19+T18</f>
        <v>-19.221420721203312</v>
      </c>
      <c r="U20" s="1043">
        <f t="shared" ref="U20:AK20" ca="1" si="44">U19+U18</f>
        <v>0</v>
      </c>
      <c r="V20" s="1043">
        <f t="shared" ca="1" si="44"/>
        <v>-783.70254050190999</v>
      </c>
      <c r="W20" s="1043">
        <f t="shared" ca="1" si="44"/>
        <v>-567.09280489124501</v>
      </c>
      <c r="X20" s="1043">
        <f t="shared" ca="1" si="44"/>
        <v>-281.96442444571437</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-1651.9811905600727</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0</v>
      </c>
      <c r="BN20" s="1046"/>
      <c r="BO20" s="97"/>
      <c r="BP20" s="1058">
        <f t="shared" ref="BP20:DG20" ca="1" si="46">BP19</f>
        <v>137.80633413788036</v>
      </c>
      <c r="BQ20" s="1058">
        <f t="shared" ca="1" si="46"/>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137.80633413788036</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969.30878318682096</v>
      </c>
      <c r="O21" s="1065">
        <f t="shared" ca="1" si="47"/>
        <v>0</v>
      </c>
      <c r="P21" s="1065">
        <f t="shared" ca="1" si="47"/>
        <v>0</v>
      </c>
      <c r="Q21" s="1065">
        <f t="shared" ca="1" si="47"/>
        <v>0</v>
      </c>
      <c r="R21" s="1071">
        <f t="shared" ca="1" si="24"/>
        <v>969.30878318682096</v>
      </c>
      <c r="T21" s="1066">
        <f t="shared" ref="T21:BF22" ca="1" si="48">IFERROR(INDEX(INDIRECT($C21&amp;".Outputs["&amp;this.year&amp;"]"), MATCH(T$5, INDIRECT($C21&amp;".Outputs[Vector]"), 0)), 0)</f>
        <v>-599.26784878596698</v>
      </c>
      <c r="U21" s="1066">
        <f t="shared" ca="1" si="48"/>
        <v>0</v>
      </c>
      <c r="V21" s="1066">
        <f t="shared" ca="1" si="48"/>
        <v>0</v>
      </c>
      <c r="W21" s="1066">
        <f t="shared" ca="1" si="48"/>
        <v>-370.04093440085398</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-969.30878318682096</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98.698794368998193</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98.698794368998193</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201.26218130858288</v>
      </c>
      <c r="P22" s="1065">
        <f t="shared" ca="1" si="47"/>
        <v>0</v>
      </c>
      <c r="Q22" s="1065">
        <f t="shared" ca="1" si="47"/>
        <v>0</v>
      </c>
      <c r="R22" s="1071">
        <f t="shared" ca="1" si="24"/>
        <v>201.26218130858288</v>
      </c>
      <c r="T22" s="1066">
        <f t="shared" ca="1" si="48"/>
        <v>-63.627974159380635</v>
      </c>
      <c r="U22" s="1066">
        <f t="shared" ca="1" si="48"/>
        <v>0</v>
      </c>
      <c r="V22" s="1066">
        <f t="shared" ca="1" si="48"/>
        <v>0</v>
      </c>
      <c r="W22" s="1066">
        <f t="shared" ca="1" si="48"/>
        <v>-135.83602527078497</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-1.7981818784172785</v>
      </c>
      <c r="AK22" s="1066">
        <f t="shared" ca="1" si="48"/>
        <v>0</v>
      </c>
      <c r="AL22" s="1043">
        <f t="shared" ca="1" si="3"/>
        <v>-201.26218130858288</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36.23072660274935</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36.23072660274935</v>
      </c>
    </row>
    <row r="23" spans="1:113" s="51" customFormat="1" ht="15.75">
      <c r="B23" s="53"/>
      <c r="C23" s="1076" t="s">
        <v>1107</v>
      </c>
      <c r="D23" s="1077" t="s">
        <v>1108</v>
      </c>
      <c r="E23" s="1078"/>
      <c r="G23" s="1079">
        <f ca="1">G$9+G$12+G$14+G$17+G$20+G$21+G$22</f>
        <v>1804.4491932933804</v>
      </c>
      <c r="H23" s="1079">
        <f t="shared" ref="H23:Q23" ca="1" si="52">H$9+H$12+H$14+H$17+H$20+H$21+H$22</f>
        <v>912.10861348452363</v>
      </c>
      <c r="I23" s="1079">
        <f t="shared" ca="1" si="52"/>
        <v>9897.3852759882448</v>
      </c>
      <c r="J23" s="1079">
        <f t="shared" ca="1" si="52"/>
        <v>4775.3737630712158</v>
      </c>
      <c r="K23" s="1079">
        <f t="shared" ca="1" si="52"/>
        <v>119.53006725946128</v>
      </c>
      <c r="L23" s="1079">
        <f t="shared" ca="1" si="52"/>
        <v>213.51120810629951</v>
      </c>
      <c r="M23" s="1079">
        <f ca="1">M$12+M$14+M$17+M$20+M$21+M$22</f>
        <v>-0.35871092809590743</v>
      </c>
      <c r="N23" s="1079">
        <f t="shared" ca="1" si="52"/>
        <v>969.30878318682096</v>
      </c>
      <c r="O23" s="1079">
        <f t="shared" ca="1" si="52"/>
        <v>201.26218130858288</v>
      </c>
      <c r="P23" s="1079">
        <f t="shared" ca="1" si="52"/>
        <v>1099.7850738372154</v>
      </c>
      <c r="Q23" s="1079">
        <f t="shared" ca="1" si="52"/>
        <v>552.19611672285725</v>
      </c>
      <c r="R23" s="2400">
        <f t="shared" ca="1" si="24"/>
        <v>20544.551565330505</v>
      </c>
      <c r="T23" s="1080">
        <f ca="1">T$9+T$12+T$14+T$17+T$20+T$21+T$22</f>
        <v>-4914.3042732371441</v>
      </c>
      <c r="U23" s="1080">
        <f t="shared" ref="U23:AK23" ca="1" si="53">U$9+U$12+U$14+U$17+U$20+U$21+U$22</f>
        <v>0</v>
      </c>
      <c r="V23" s="1080">
        <f t="shared" ca="1" si="53"/>
        <v>-6077.27405347493</v>
      </c>
      <c r="W23" s="1080">
        <f t="shared" ca="1" si="53"/>
        <v>-7973.920334522948</v>
      </c>
      <c r="X23" s="1080">
        <f t="shared" ca="1" si="53"/>
        <v>-1577.2547222170674</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-1.7981818784172785</v>
      </c>
      <c r="AK23" s="1080">
        <f t="shared" ca="1" si="53"/>
        <v>0</v>
      </c>
      <c r="AL23" s="1080">
        <f t="shared" ca="1" si="3"/>
        <v>-20544.551565330508</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-3.637978807091713E-12</v>
      </c>
      <c r="BN23" s="1083"/>
      <c r="BP23" s="1084">
        <f t="shared" ref="BP23:DG23" ca="1" si="55">BP$9+BP$12+BP$14+BP$17+BP$20+BP$21</f>
        <v>3997.2626353195042</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3997.2626353195042</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17.987612500000004</v>
      </c>
      <c r="V26" s="1073">
        <f t="shared" ca="1" si="59"/>
        <v>-71.950450000000018</v>
      </c>
      <c r="W26" s="1073">
        <f t="shared" ca="1" si="59"/>
        <v>0</v>
      </c>
      <c r="X26" s="1073">
        <f t="shared" ca="1" si="59"/>
        <v>15.206563986198885</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-15.206563986198885</v>
      </c>
      <c r="AI26" s="1073">
        <f t="shared" ca="1" si="59"/>
        <v>0</v>
      </c>
      <c r="AJ26" s="1073">
        <f t="shared" ca="1" si="59"/>
        <v>0</v>
      </c>
      <c r="AK26" s="1073">
        <f t="shared" ca="1" si="59"/>
        <v>0</v>
      </c>
      <c r="AL26" s="1066">
        <f t="shared" ref="AL26:AL34" ca="1" si="60">SUM(T26:AK26)</f>
        <v>-53.962837500000013</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53.962837500000013</v>
      </c>
      <c r="BJ26" s="1075">
        <f t="shared" ca="1" si="63"/>
        <v>0</v>
      </c>
      <c r="BK26" s="1045">
        <f t="shared" ca="1" si="56"/>
        <v>53.962837500000013</v>
      </c>
      <c r="BM26" s="1046">
        <f t="shared" ca="1" si="5"/>
        <v>0</v>
      </c>
      <c r="BN26" s="1046"/>
      <c r="BO26" s="17"/>
      <c r="BP26" s="1069">
        <f t="shared" ref="BP26:DG30" ca="1" si="64">IFERROR(SUMIFS(INDIRECT($C26&amp;".Emissions["&amp;this.year&amp;"]"), INDIRECT($C26&amp;".Emissions[GHG]"), BP$6, INDIRECT($C26&amp;".Emissions[IPCC Sector]"), BP$5),0)</f>
        <v>24.973769096774202</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-3.02530588778062</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21.94846320899358</v>
      </c>
    </row>
    <row r="27" spans="1:113" s="1087" customFormat="1" ht="15"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32.28279205089418</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-0.79227782291666671</v>
      </c>
      <c r="AG27" s="1073">
        <f t="shared" ca="1" si="59"/>
        <v>-31.032252509227515</v>
      </c>
      <c r="AH27" s="1073">
        <f t="shared" ca="1" si="59"/>
        <v>-0.45826171874999999</v>
      </c>
      <c r="AI27" s="1073">
        <f t="shared" ca="1" si="59"/>
        <v>0</v>
      </c>
      <c r="AJ27" s="1073">
        <f t="shared" ca="1" si="59"/>
        <v>0</v>
      </c>
      <c r="AK27" s="1073">
        <f t="shared" ca="1" si="59"/>
        <v>0</v>
      </c>
      <c r="AL27" s="1066">
        <f t="shared" ca="1" si="60"/>
        <v>-1.5543122344752192E-15</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-1.5543122344752192E-15</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-8.6105950938842426</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-8.6105950938842426</v>
      </c>
    </row>
    <row r="28" spans="1:113" s="51" customFormat="1" ht="12"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0.45826171874999999</v>
      </c>
      <c r="AI28" s="1073">
        <f t="shared" ca="1" si="59"/>
        <v>0</v>
      </c>
      <c r="AJ28" s="1073">
        <f t="shared" ca="1" si="59"/>
        <v>0</v>
      </c>
      <c r="AK28" s="1073">
        <f t="shared" ca="1" si="59"/>
        <v>0</v>
      </c>
      <c r="AL28" s="1066">
        <f t="shared" ca="1" si="60"/>
        <v>0.45826171874999999</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-0.45826171874999999</v>
      </c>
      <c r="BG28" s="1067">
        <f t="shared" ca="1" si="62"/>
        <v>-0.45826171874999999</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0.79227782291666671</v>
      </c>
      <c r="AG29" s="1073">
        <f t="shared" ca="1" si="59"/>
        <v>971.00570250922794</v>
      </c>
      <c r="AH29" s="1073">
        <f t="shared" ca="1" si="59"/>
        <v>15.206563986198885</v>
      </c>
      <c r="AI29" s="1073">
        <f t="shared" ca="1" si="59"/>
        <v>0</v>
      </c>
      <c r="AJ29" s="1073">
        <f t="shared" ca="1" si="59"/>
        <v>0</v>
      </c>
      <c r="AK29" s="1073">
        <f t="shared" ca="1" si="59"/>
        <v>0</v>
      </c>
      <c r="AL29" s="1066">
        <f t="shared" ca="1" si="60"/>
        <v>987.00454431834339</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-0.79227782291666671</v>
      </c>
      <c r="BF29" s="1074">
        <f t="shared" ca="1" si="66"/>
        <v>-986.21226649542677</v>
      </c>
      <c r="BG29" s="1067">
        <f t="shared" ca="1" si="62"/>
        <v>-987.00454431834339</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-24.973769096774202</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-24.973769096774202</v>
      </c>
    </row>
    <row r="30" spans="1:113" s="51" customFormat="1" ht="12"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939.97345000000041</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-939.97345000000041</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-301.28798322580661</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-301.28798322580661</v>
      </c>
    </row>
    <row r="31" spans="1:113" s="51" customFormat="1" ht="12" customHeight="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17.987612500000004</v>
      </c>
      <c r="V31" s="1073">
        <f t="shared" ca="1" si="68"/>
        <v>868.02300000000037</v>
      </c>
      <c r="W31" s="1073">
        <f t="shared" ca="1" si="68"/>
        <v>32.28279205089418</v>
      </c>
      <c r="X31" s="1073">
        <f t="shared" ca="1" si="68"/>
        <v>15.206563986198885</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0</v>
      </c>
      <c r="AI31" s="1073">
        <f t="shared" ca="1" si="68"/>
        <v>0</v>
      </c>
      <c r="AJ31" s="1073">
        <f t="shared" ca="1" si="68"/>
        <v>0</v>
      </c>
      <c r="AK31" s="1073">
        <f t="shared" ca="1" si="68"/>
        <v>0</v>
      </c>
      <c r="AL31" s="1066">
        <f t="shared" ca="1" si="60"/>
        <v>933.49996853709331</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-0.79227782291666671</v>
      </c>
      <c r="BF31" s="1074">
        <f t="shared" ca="1" si="69"/>
        <v>-986.67052821417678</v>
      </c>
      <c r="BG31" s="1067">
        <f t="shared" ca="1" si="62"/>
        <v>-987.4628060370934</v>
      </c>
      <c r="BI31" s="1075">
        <f ca="1">BI28+BI27+BI26+BI29+BI30</f>
        <v>53.962837500000013</v>
      </c>
      <c r="BJ31" s="1075">
        <f ca="1">BJ28+BJ27+BJ26+BJ29+BJ30</f>
        <v>0</v>
      </c>
      <c r="BK31" s="1045">
        <f t="shared" ca="1" si="56"/>
        <v>53.962837500000013</v>
      </c>
      <c r="BM31" s="1096">
        <f t="shared" ca="1" si="5"/>
        <v>-7.815970093361102E-14</v>
      </c>
      <c r="BN31" s="1046"/>
      <c r="BO31" s="97"/>
      <c r="BP31" s="1069">
        <f ca="1">BP28+BP27+BP26+BP29+BP30</f>
        <v>24.973769096774202</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-337.89765330424569</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-312.92388420747147</v>
      </c>
    </row>
    <row r="32" spans="1:113" s="51" customFormat="1" ht="14.25" hidden="1"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ollapsed="1">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hidden="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722.92972840858988</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722.92972840858988</v>
      </c>
      <c r="AN34" s="1054">
        <f t="shared" ref="AN34:BC36" ca="1" si="86">IFERROR(INDEX(INDIRECT($C34&amp;".Outputs["&amp;this.year&amp;"]"), MATCH(AN$5, INDIRECT($C34&amp;".Outputs[Vector]"), 0)), 0)</f>
        <v>0</v>
      </c>
      <c r="AO34" s="1054">
        <f t="shared" ca="1" si="86"/>
        <v>0</v>
      </c>
      <c r="AP34" s="1054">
        <f t="shared" ca="1" si="86"/>
        <v>-722.92972840858988</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-722.92972840858988</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hidden="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3406.6022071917232</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3406.6022071917232</v>
      </c>
      <c r="AN35" s="1054">
        <f t="shared" ca="1" si="86"/>
        <v>-3406.6022071917232</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-3406.6022071917232</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hidden="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401.13024685060918</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401.13024685060918</v>
      </c>
      <c r="AN36" s="1054">
        <f t="shared" ca="1" si="86"/>
        <v>0</v>
      </c>
      <c r="AO36" s="1054">
        <f t="shared" ca="1" si="86"/>
        <v>-401.13024685060918</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-401.13024685060918</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ollapsed="1">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3406.6022071917232</v>
      </c>
      <c r="Z37" s="1043">
        <f ca="1">SUM(Z34:Z36)</f>
        <v>401.13024685060918</v>
      </c>
      <c r="AA37" s="1043">
        <f ca="1">SUM(AA34:AA36)</f>
        <v>722.92972840858988</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4530.662182450922</v>
      </c>
      <c r="AN37" s="1044">
        <f t="shared" ref="AN37:BF37" ca="1" si="95">SUM(AN34:AN36)</f>
        <v>-3406.6022071917232</v>
      </c>
      <c r="AO37" s="1044">
        <f t="shared" ca="1" si="95"/>
        <v>-401.13024685060918</v>
      </c>
      <c r="AP37" s="1044">
        <f t="shared" ca="1" si="95"/>
        <v>-722.92972840858988</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-4530.662182450922</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171.81360000000004</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171.81360000000004</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-171.81360000000004</v>
      </c>
      <c r="BD38" s="1108">
        <f t="shared" ca="1" si="99"/>
        <v>0</v>
      </c>
      <c r="BE38" s="1108">
        <f t="shared" ca="1" si="99"/>
        <v>0</v>
      </c>
      <c r="BF38" s="1108">
        <f t="shared" ca="1" si="99"/>
        <v>0</v>
      </c>
      <c r="BG38" s="1062">
        <f t="shared" ca="1" si="96"/>
        <v>-171.81360000000004</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69.119910000000004</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1.7981818784172785</v>
      </c>
      <c r="AK39" s="1106">
        <f t="shared" ca="1" si="99"/>
        <v>0</v>
      </c>
      <c r="AL39" s="1107">
        <f t="shared" ca="1" si="92"/>
        <v>70.918091878417286</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-70.918091878417286</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-70.918091878417286</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37.816524000000008</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37.816524000000008</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-37.816524000000008</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-37.816524000000008</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139.86152999999999</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139.86152999999999</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-139.86152999999999</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-139.86152999999999</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11.176649999999999</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11.176649999999999</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-11.176649999999999</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-11.176649999999999</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33.902259552000004</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33.902259552000004</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-33.902259552000004</v>
      </c>
      <c r="BD43" s="1108">
        <f t="shared" ca="1" si="99"/>
        <v>0</v>
      </c>
      <c r="BE43" s="1108">
        <f t="shared" ca="1" si="99"/>
        <v>0</v>
      </c>
      <c r="BF43" s="1108">
        <f t="shared" ca="1" si="99"/>
        <v>0</v>
      </c>
      <c r="BG43" s="1044">
        <f t="shared" ca="1" si="96"/>
        <v>-33.902259552000004</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291.87687355200001</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1.7981818784172785</v>
      </c>
      <c r="AK44" s="1043">
        <f t="shared" ca="1" si="110"/>
        <v>0</v>
      </c>
      <c r="AL44" s="1107">
        <f t="shared" ca="1" si="92"/>
        <v>293.67505543041727</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-108.73461587841729</v>
      </c>
      <c r="AY44" s="1044">
        <f t="shared" ca="1" si="111"/>
        <v>-151.03817999999998</v>
      </c>
      <c r="AZ44" s="1044">
        <f t="shared" ca="1" si="111"/>
        <v>0</v>
      </c>
      <c r="BA44" s="1044">
        <f t="shared" ca="1" si="111"/>
        <v>0</v>
      </c>
      <c r="BB44" s="1044">
        <f t="shared" ca="1" si="111"/>
        <v>0</v>
      </c>
      <c r="BC44" s="1044">
        <f t="shared" ca="1" si="111"/>
        <v>-33.902259552000004</v>
      </c>
      <c r="BD44" s="1044">
        <f t="shared" ca="1" si="111"/>
        <v>0</v>
      </c>
      <c r="BE44" s="1044">
        <f t="shared" ca="1" si="111"/>
        <v>0</v>
      </c>
      <c r="BF44" s="1044">
        <f t="shared" ca="1" si="111"/>
        <v>0</v>
      </c>
      <c r="BG44" s="1044">
        <f t="shared" ca="1" si="111"/>
        <v>-293.67505543041727</v>
      </c>
      <c r="BI44" s="1045">
        <f ca="1">SUM(BI39:BI43)</f>
        <v>0</v>
      </c>
      <c r="BJ44" s="1045">
        <f ca="1">SUM(BJ39:BJ43)</f>
        <v>0</v>
      </c>
      <c r="BK44" s="1045">
        <f ca="1">SUM(BK39:BK43)</f>
        <v>0</v>
      </c>
      <c r="BM44" s="1046">
        <f t="shared" ca="1" si="5"/>
        <v>0</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61.712640000000007</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61.712640000000007</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-176.3218285714286</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-176.3218285714286</v>
      </c>
      <c r="BI45" s="1119">
        <f t="shared" ref="BI45:BJ50" ca="1" si="118">IFERROR(INDEX(INDIRECT($C45&amp;".Outputs["&amp;this.year&amp;"]"), MATCH(BI$5, INDIRECT($C45&amp;".Outputs[Vector]"), 0)), 0)</f>
        <v>114.60918857142859</v>
      </c>
      <c r="BJ45" s="1119">
        <f t="shared" ca="1" si="118"/>
        <v>0</v>
      </c>
      <c r="BK45" s="1045">
        <f ca="1">SUM(BI45:BJ45)</f>
        <v>114.60918857142859</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631.66170278920595</v>
      </c>
      <c r="V46" s="1117">
        <f t="shared" ca="1" si="114"/>
        <v>-1871.0380974250572</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-1239.3763946358513</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1184.4492900454857</v>
      </c>
      <c r="BJ46" s="1119">
        <f t="shared" ca="1" si="118"/>
        <v>54.927104590365737</v>
      </c>
      <c r="BK46" s="1045">
        <f ca="1">SUM(BI46:BJ46)</f>
        <v>1239.3763946358515</v>
      </c>
      <c r="BL46" s="51"/>
      <c r="BM46" s="1046">
        <f t="shared" ca="1" si="5"/>
        <v>0</v>
      </c>
      <c r="BN46" s="1063"/>
      <c r="BO46" s="97"/>
      <c r="BP46" s="1057">
        <f t="shared" ca="1" si="119"/>
        <v>649.43128800947147</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649.43128800947147</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109.8605340414</v>
      </c>
      <c r="V47" s="1117">
        <f t="shared" ca="1" si="114"/>
        <v>0</v>
      </c>
      <c r="W47" s="1117">
        <f t="shared" ca="1" si="114"/>
        <v>0</v>
      </c>
      <c r="X47" s="1117">
        <f t="shared" ca="1" si="114"/>
        <v>-217.65793072663513</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-107.79739668523513</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107.79739668523513</v>
      </c>
      <c r="BJ47" s="1119">
        <f t="shared" ca="1" si="118"/>
        <v>0</v>
      </c>
      <c r="BK47" s="1045">
        <f ca="1">SUM(BI47:BJ47)</f>
        <v>107.79739668523513</v>
      </c>
      <c r="BL47" s="51"/>
      <c r="BM47" s="1046">
        <f t="shared" ca="1" si="5"/>
        <v>0</v>
      </c>
      <c r="BN47" s="1063"/>
      <c r="BO47" s="97"/>
      <c r="BP47" s="1057">
        <f t="shared" ca="1" si="119"/>
        <v>36.427440234780001</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36.427440234780001</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14.358708</v>
      </c>
      <c r="V48" s="1117">
        <f t="shared" ca="1" si="114"/>
        <v>-92.972727272727269</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-78.614019272727262</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62.291727272727258</v>
      </c>
      <c r="BJ48" s="1119">
        <f t="shared" ca="1" si="118"/>
        <v>16.322292000000001</v>
      </c>
      <c r="BK48" s="1045">
        <f ca="1">SUM(BI48:BJ48)</f>
        <v>78.614019272727262</v>
      </c>
      <c r="BL48" s="51"/>
      <c r="BM48" s="1046">
        <f t="shared" ca="1" si="5"/>
        <v>0</v>
      </c>
      <c r="BN48" s="1063"/>
      <c r="BO48" s="97"/>
      <c r="BP48" s="1057">
        <f t="shared" ca="1" si="119"/>
        <v>32.270533724340176</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-29.043480351906162</v>
      </c>
      <c r="DE48" s="1057">
        <f t="shared" ca="1" si="119"/>
        <v>0</v>
      </c>
      <c r="DF48" s="1057">
        <f t="shared" ca="1" si="119"/>
        <v>0</v>
      </c>
      <c r="DG48" s="1057">
        <f t="shared" ca="1" si="119"/>
        <v>0</v>
      </c>
      <c r="DI48" s="1059">
        <f t="shared" ca="1" si="79"/>
        <v>3.227053372434014</v>
      </c>
    </row>
    <row r="49" spans="1:113">
      <c r="A49" s="1087"/>
      <c r="B49" s="1087"/>
      <c r="C49" s="1088" t="s">
        <v>1818</v>
      </c>
      <c r="D49" s="1114" t="s">
        <v>1817</v>
      </c>
      <c r="E49" s="1089"/>
      <c r="T49" s="2362">
        <f ca="1">T23+T33+T37+T38+T44+T45++T46+T47+T48+T31+T61</f>
        <v>-4914.3042732371441</v>
      </c>
      <c r="U49" s="2362">
        <f ca="1">U23+U33+U37+U38+U44+U45++U46+U47+U48+U31+U61</f>
        <v>375.41816352598084</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4538.886109711163</v>
      </c>
      <c r="V50" s="1117">
        <f t="shared" ca="1" si="114"/>
        <v>-12346.710920198761</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-7807.8248104875975</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7580.8805050020392</v>
      </c>
      <c r="BJ50" s="1119">
        <f t="shared" ca="1" si="118"/>
        <v>226.94430548555817</v>
      </c>
      <c r="BK50" s="1045">
        <f ca="1">SUM(BI50:BJ50)</f>
        <v>7807.8248104875975</v>
      </c>
      <c r="BL50" s="51"/>
      <c r="BM50" s="1046">
        <f t="shared" ref="BM50:BM55" ca="1" si="120">R50+AL50+BG50+BK50</f>
        <v>0</v>
      </c>
      <c r="BN50" s="1063"/>
      <c r="BO50" s="97"/>
      <c r="BP50" s="1057">
        <f t="shared" ca="1" si="119"/>
        <v>4285.5035323012471</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4285.5035323012471</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5294.7670545417686</v>
      </c>
      <c r="V51" s="1043">
        <f t="shared" ref="V51:AK51" ca="1" si="122">V46+V47+V48+V50</f>
        <v>-14310.721744896546</v>
      </c>
      <c r="W51" s="1043">
        <f t="shared" ca="1" si="122"/>
        <v>0</v>
      </c>
      <c r="X51" s="1043">
        <f t="shared" ca="1" si="122"/>
        <v>-217.65793072663513</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-9233.6126210814127</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8935.4189190054876</v>
      </c>
      <c r="BJ51" s="1045">
        <f ca="1">BJ46+BJ47+BJ48+BJ50</f>
        <v>298.19370207592391</v>
      </c>
      <c r="BK51" s="1045">
        <f ca="1">SUM(BI51:BJ51)</f>
        <v>9233.6126210814109</v>
      </c>
      <c r="BM51" s="1046">
        <f t="shared" ca="1" si="120"/>
        <v>0</v>
      </c>
      <c r="BN51" s="1046"/>
      <c r="BO51" s="97"/>
      <c r="BP51" s="1058">
        <f ca="1">BP46+BP47+BP48+BP50</f>
        <v>5003.632794269839</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-29.043480351906162</v>
      </c>
      <c r="DE51" s="1058">
        <f t="shared" ca="1" si="124"/>
        <v>0</v>
      </c>
      <c r="DF51" s="1058">
        <f t="shared" ca="1" si="124"/>
        <v>0</v>
      </c>
      <c r="DG51" s="1058">
        <f t="shared" ca="1" si="124"/>
        <v>0</v>
      </c>
      <c r="DI51" s="1059">
        <f ca="1">SUM(BP51:DG51)</f>
        <v>4974.5893139179325</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5838.1577805937686</v>
      </c>
      <c r="V52" s="1080">
        <f t="shared" ca="1" si="126"/>
        <v>-13442.698744896545</v>
      </c>
      <c r="W52" s="1080">
        <f t="shared" ca="1" si="126"/>
        <v>32.28279205089418</v>
      </c>
      <c r="X52" s="1080">
        <f t="shared" ca="1" si="126"/>
        <v>-202.45136674043624</v>
      </c>
      <c r="Y52" s="1080">
        <f t="shared" ca="1" si="126"/>
        <v>3406.6022071917232</v>
      </c>
      <c r="Z52" s="1080">
        <f t="shared" ca="1" si="126"/>
        <v>401.13024685060918</v>
      </c>
      <c r="AA52" s="1080">
        <f t="shared" ca="1" si="126"/>
        <v>722.92972840858988</v>
      </c>
      <c r="AB52" s="1080">
        <f t="shared" ca="1" si="126"/>
        <v>0</v>
      </c>
      <c r="AC52" s="1080">
        <f t="shared" ca="1" si="126"/>
        <v>0</v>
      </c>
      <c r="AD52" s="1080">
        <f t="shared" ca="1" si="126"/>
        <v>0</v>
      </c>
      <c r="AE52" s="1080">
        <f t="shared" ca="1" si="126"/>
        <v>0</v>
      </c>
      <c r="AF52" s="1080">
        <f t="shared" ca="1" si="126"/>
        <v>0</v>
      </c>
      <c r="AG52" s="1080">
        <f t="shared" ca="1" si="126"/>
        <v>0</v>
      </c>
      <c r="AH52" s="1080">
        <f t="shared" ca="1" si="126"/>
        <v>0</v>
      </c>
      <c r="AI52" s="1080">
        <f t="shared" ca="1" si="126"/>
        <v>0</v>
      </c>
      <c r="AJ52" s="1080">
        <f t="shared" ca="1" si="126"/>
        <v>1.7981818784172785</v>
      </c>
      <c r="AK52" s="1080">
        <f t="shared" ca="1" si="126"/>
        <v>0</v>
      </c>
      <c r="AL52" s="1043">
        <f ca="1">SUM(T52:AK52)</f>
        <v>-3242.2491746629785</v>
      </c>
      <c r="AN52" s="2408">
        <f t="shared" ref="AN52:BF52" ca="1" si="127">AN$33+AN$37+AN$38+AN$44+AN$45+AN$51+AN31</f>
        <v>-3406.6022071917232</v>
      </c>
      <c r="AO52" s="2408">
        <f t="shared" ca="1" si="127"/>
        <v>-401.13024685060918</v>
      </c>
      <c r="AP52" s="2408">
        <f t="shared" ca="1" si="127"/>
        <v>-722.92972840858988</v>
      </c>
      <c r="AQ52" s="2408">
        <f t="shared" ca="1" si="127"/>
        <v>0</v>
      </c>
      <c r="AR52" s="2408">
        <f t="shared" ca="1" si="127"/>
        <v>0</v>
      </c>
      <c r="AS52" s="2408">
        <f t="shared" ca="1" si="127"/>
        <v>0</v>
      </c>
      <c r="AT52" s="2408">
        <f t="shared" ca="1" si="127"/>
        <v>0</v>
      </c>
      <c r="AU52" s="2408">
        <f t="shared" ca="1" si="127"/>
        <v>0</v>
      </c>
      <c r="AV52" s="2408">
        <f t="shared" ca="1" si="127"/>
        <v>0</v>
      </c>
      <c r="AW52" s="2408">
        <f t="shared" ca="1" si="127"/>
        <v>-176.3218285714286</v>
      </c>
      <c r="AX52" s="2408">
        <f t="shared" ca="1" si="127"/>
        <v>-108.73461587841729</v>
      </c>
      <c r="AY52" s="2408">
        <f t="shared" ca="1" si="127"/>
        <v>-151.03817999999998</v>
      </c>
      <c r="AZ52" s="2408">
        <f t="shared" ca="1" si="127"/>
        <v>0</v>
      </c>
      <c r="BA52" s="2408">
        <f t="shared" ca="1" si="127"/>
        <v>0</v>
      </c>
      <c r="BB52" s="2408">
        <f t="shared" ca="1" si="127"/>
        <v>0</v>
      </c>
      <c r="BC52" s="2408">
        <f t="shared" ca="1" si="127"/>
        <v>-205.71585955200004</v>
      </c>
      <c r="BD52" s="2408">
        <f t="shared" ca="1" si="127"/>
        <v>0</v>
      </c>
      <c r="BE52" s="2408">
        <f t="shared" ca="1" si="127"/>
        <v>-0.79227782291666671</v>
      </c>
      <c r="BF52" s="2408">
        <f t="shared" ca="1" si="127"/>
        <v>-986.67052821417678</v>
      </c>
      <c r="BG52" s="2408">
        <f ca="1">SUM(AN52:BF52)</f>
        <v>-6159.9354724898612</v>
      </c>
      <c r="BI52" s="1082">
        <f ca="1">BI$33+BI$37+BI$38+BI$44+BI$45+BI$51+BI31</f>
        <v>9103.9909450769155</v>
      </c>
      <c r="BJ52" s="1082">
        <f ca="1">BJ$33+BJ$37+BJ$38+BJ$44+BJ$45+BJ$51+BJ31</f>
        <v>298.19370207592391</v>
      </c>
      <c r="BK52" s="1045">
        <f ca="1">SUM(BI52:BJ52)</f>
        <v>9402.1846471528388</v>
      </c>
      <c r="BM52" s="1083">
        <f t="shared" ca="1" si="120"/>
        <v>0</v>
      </c>
      <c r="BN52" s="1083"/>
      <c r="BP52" s="2401">
        <f t="shared" ref="BP52:DG52" ca="1" si="128">BP$33+BP$37+BP$38+BP$44++BP$45+BP$51</f>
        <v>5003.632794269839</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-29.043480351906162</v>
      </c>
      <c r="DE52" s="1084">
        <f t="shared" ca="1" si="128"/>
        <v>0</v>
      </c>
      <c r="DF52" s="1084">
        <f t="shared" ca="1" si="128"/>
        <v>0</v>
      </c>
      <c r="DG52" s="1084">
        <f t="shared" ca="1" si="128"/>
        <v>0</v>
      </c>
      <c r="DI52" s="1085">
        <f ca="1">SUM(BP52:DG52)</f>
        <v>4974.5893139179325</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55</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55</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-55</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-55</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-4914.3042732371441</v>
      </c>
      <c r="U58" s="1093">
        <f ca="1">U$23+U$31+U$33+U$37+U$57+U$38+U$44+U$45</f>
        <v>598.39072605199999</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-978.85350735662541</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-978.85350735662541</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978.85350735662507</v>
      </c>
      <c r="BK59" s="1056">
        <f ca="1">SUM(BI59:BJ59)</f>
        <v>978.85350735662507</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-923.85350735662541</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-923.85350735662541</v>
      </c>
      <c r="AM61" s="51"/>
      <c r="AN61" s="1044">
        <f t="shared" ref="AN61:BF61" ca="1" si="146">AN$57+AN$59+AN$60</f>
        <v>0</v>
      </c>
      <c r="AO61" s="1044">
        <f t="shared" ca="1" si="146"/>
        <v>0</v>
      </c>
      <c r="AP61" s="1044">
        <f t="shared" ca="1" si="146"/>
        <v>0</v>
      </c>
      <c r="AQ61" s="1044">
        <f t="shared" ca="1" si="146"/>
        <v>0</v>
      </c>
      <c r="AR61" s="1044">
        <f t="shared" ca="1" si="146"/>
        <v>-55</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-55</v>
      </c>
      <c r="BH61" s="51"/>
      <c r="BI61" s="1045">
        <f ca="1">BI$57+BI$59+BI$60</f>
        <v>0</v>
      </c>
      <c r="BJ61" s="1045">
        <f ca="1">BJ$57+BJ$59+BJ$60</f>
        <v>978.85350735662507</v>
      </c>
      <c r="BK61" s="1045">
        <f ca="1">SUM(BI61:BJ61)</f>
        <v>978.85350735662507</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-19519.972798371477</v>
      </c>
      <c r="W63" s="1093">
        <f t="shared" ca="1" si="149"/>
        <v>-7941.6375424720536</v>
      </c>
      <c r="X63" s="1093">
        <f t="shared" ca="1" si="149"/>
        <v>-1779.7060889575037</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0</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-4914.3042732371441</v>
      </c>
      <c r="U64" s="1093">
        <f ca="1">(U$23+U$52+U$61)</f>
        <v>4914.3042732371432</v>
      </c>
      <c r="V64" s="1093">
        <f t="shared" ca="1" si="149"/>
        <v>-19519.972798371477</v>
      </c>
      <c r="W64" s="1093">
        <f t="shared" ca="1" si="149"/>
        <v>-7941.6375424720536</v>
      </c>
      <c r="X64" s="1093">
        <f t="shared" ca="1" si="149"/>
        <v>-1779.7060889575037</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19519.972798371477</v>
      </c>
      <c r="W65" s="1107">
        <f t="shared" ca="1" si="152"/>
        <v>7941.6375424720536</v>
      </c>
      <c r="X65" s="1107">
        <f t="shared" ca="1" si="152"/>
        <v>1779.7060889575037</v>
      </c>
      <c r="Y65" s="1107">
        <f t="shared" ca="1" si="152"/>
        <v>-19519.972798371477</v>
      </c>
      <c r="Z65" s="1107">
        <f t="shared" ca="1" si="152"/>
        <v>-8497.5521704450966</v>
      </c>
      <c r="AA65" s="1107">
        <f t="shared" ca="1" si="152"/>
        <v>-2046.6620023011292</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-822.8705413166681</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822.87054131666935</v>
      </c>
      <c r="BK65" s="1110">
        <f ca="1">SUM(BI65:BJ65)</f>
        <v>822.87054131666935</v>
      </c>
      <c r="BL65" s="51"/>
      <c r="BM65" s="1046">
        <f t="shared" ref="BM65:BM71" ca="1" si="154">R65+AL65+BG65+BK65</f>
        <v>1.2505552149377763E-12</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9.0949470177292824E-13</v>
      </c>
      <c r="V66" s="1140"/>
      <c r="W66" s="1140"/>
      <c r="X66" s="1140"/>
      <c r="Y66" s="1140">
        <f ca="1">-(Y$23+Y$52+Y$61+Y$65)</f>
        <v>16113.370591179753</v>
      </c>
      <c r="Z66" s="1140">
        <f ca="1">-(Z$23+Z$52+Z$61+Z$65)</f>
        <v>8096.4219235944875</v>
      </c>
      <c r="AA66" s="1140">
        <f ca="1">-(AA$23+AA$52+AA$61+AA$65)</f>
        <v>1323.7322738925393</v>
      </c>
      <c r="AB66" s="1140"/>
      <c r="AC66" s="1140"/>
      <c r="AD66" s="1140"/>
      <c r="AE66" s="1140"/>
      <c r="AF66" s="1140"/>
      <c r="AG66" s="1140"/>
      <c r="AH66" s="1140"/>
      <c r="AI66" s="1140"/>
      <c r="AJ66" s="1140"/>
      <c r="AK66" s="1140"/>
      <c r="AL66" s="1140">
        <f ca="1">SUM(T66:AK66)</f>
        <v>25533.524788666782</v>
      </c>
      <c r="AM66" s="51"/>
      <c r="AN66" s="1067"/>
      <c r="AO66" s="1067"/>
      <c r="AP66" s="1067"/>
      <c r="AQ66" s="1067"/>
      <c r="AR66" s="1067">
        <f ca="1">-U66</f>
        <v>-9.0949470177292824E-13</v>
      </c>
      <c r="AS66" s="1067">
        <f>-W66</f>
        <v>0</v>
      </c>
      <c r="AT66" s="1067">
        <f ca="1">-Y66</f>
        <v>-16113.370591179753</v>
      </c>
      <c r="AU66" s="1067">
        <f ca="1">-Z66</f>
        <v>-8096.4219235944875</v>
      </c>
      <c r="AV66" s="1067">
        <f ca="1">-AA66</f>
        <v>-1323.7322738925393</v>
      </c>
      <c r="AW66" s="1067"/>
      <c r="AX66" s="1067"/>
      <c r="AY66" s="1067"/>
      <c r="AZ66" s="1067"/>
      <c r="BA66" s="1067"/>
      <c r="BB66" s="1067"/>
      <c r="BC66" s="1067"/>
      <c r="BD66" s="1067"/>
      <c r="BE66" s="1067"/>
      <c r="BF66" s="1067"/>
      <c r="BG66" s="1067">
        <f ca="1">SUM(AN66:BF66)</f>
        <v>-25533.524788666782</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9.0949470177292824E-13</v>
      </c>
      <c r="V67" s="1043">
        <f t="shared" ca="1" si="160"/>
        <v>19519.972798371477</v>
      </c>
      <c r="W67" s="1043">
        <f t="shared" ca="1" si="160"/>
        <v>7941.6375424720536</v>
      </c>
      <c r="X67" s="1043">
        <f t="shared" ca="1" si="160"/>
        <v>1779.7060889575037</v>
      </c>
      <c r="Y67" s="1043">
        <f t="shared" ca="1" si="160"/>
        <v>-3406.6022071917232</v>
      </c>
      <c r="Z67" s="1043">
        <f t="shared" ca="1" si="160"/>
        <v>-401.13024685060918</v>
      </c>
      <c r="AA67" s="1043">
        <f t="shared" ca="1" si="160"/>
        <v>-722.92972840858988</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24710.65424735011</v>
      </c>
      <c r="AN67" s="1044">
        <f t="shared" ref="AN67:BF67" ca="1" si="161">SUM(AN65:AN66)</f>
        <v>0</v>
      </c>
      <c r="AO67" s="1044">
        <f t="shared" ca="1" si="161"/>
        <v>0</v>
      </c>
      <c r="AP67" s="1044">
        <f t="shared" ca="1" si="161"/>
        <v>0</v>
      </c>
      <c r="AQ67" s="1044">
        <f t="shared" ca="1" si="161"/>
        <v>0</v>
      </c>
      <c r="AR67" s="1044">
        <f t="shared" ca="1" si="161"/>
        <v>-9.0949470177292824E-13</v>
      </c>
      <c r="AS67" s="1044">
        <f t="shared" ca="1" si="161"/>
        <v>0</v>
      </c>
      <c r="AT67" s="1044">
        <f t="shared" ca="1" si="161"/>
        <v>-16113.370591179753</v>
      </c>
      <c r="AU67" s="1044">
        <f t="shared" ca="1" si="161"/>
        <v>-8096.4219235944875</v>
      </c>
      <c r="AV67" s="1044">
        <f t="shared" ca="1" si="161"/>
        <v>-1323.7322738925393</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-25533.524788666782</v>
      </c>
      <c r="BI67" s="1045">
        <f ca="1">SUM(BI65:BI66)</f>
        <v>0</v>
      </c>
      <c r="BJ67" s="1045">
        <f ca="1">SUM(BJ65:BJ66)</f>
        <v>822.87054131666935</v>
      </c>
      <c r="BK67" s="1045">
        <f ca="1">SUM(BI67:BJ67)</f>
        <v>822.87054131666935</v>
      </c>
      <c r="BM67" s="1046">
        <f t="shared" ca="1" si="154"/>
        <v>-2.3874235921539366E-12</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-923.8535073566245</v>
      </c>
      <c r="V68" s="1080">
        <f t="shared" ca="1" si="164"/>
        <v>19519.972798371477</v>
      </c>
      <c r="W68" s="1080">
        <f t="shared" ca="1" si="164"/>
        <v>7941.6375424720536</v>
      </c>
      <c r="X68" s="1080">
        <f t="shared" ca="1" si="164"/>
        <v>1779.7060889575037</v>
      </c>
      <c r="Y68" s="1080">
        <f t="shared" ca="1" si="164"/>
        <v>-3406.6022071917232</v>
      </c>
      <c r="Z68" s="1080">
        <f t="shared" ca="1" si="164"/>
        <v>-401.13024685060918</v>
      </c>
      <c r="AA68" s="1080">
        <f t="shared" ca="1" si="164"/>
        <v>-722.92972840858988</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23786.800739993487</v>
      </c>
      <c r="AN68" s="1081">
        <f ca="1">AN$61+AN$67</f>
        <v>0</v>
      </c>
      <c r="AO68" s="1081">
        <f t="shared" ref="AO68:BF68" ca="1" si="165">AO$61+AO$67</f>
        <v>0</v>
      </c>
      <c r="AP68" s="1081">
        <f t="shared" ca="1" si="165"/>
        <v>0</v>
      </c>
      <c r="AQ68" s="1081">
        <f t="shared" ca="1" si="165"/>
        <v>0</v>
      </c>
      <c r="AR68" s="1081">
        <f t="shared" ca="1" si="165"/>
        <v>-55.000000000000909</v>
      </c>
      <c r="AS68" s="1081">
        <f t="shared" ca="1" si="165"/>
        <v>0</v>
      </c>
      <c r="AT68" s="1081">
        <f t="shared" ca="1" si="165"/>
        <v>-16113.370591179753</v>
      </c>
      <c r="AU68" s="1081">
        <f t="shared" ca="1" si="165"/>
        <v>-8096.4219235944875</v>
      </c>
      <c r="AV68" s="1081">
        <f t="shared" ca="1" si="165"/>
        <v>-1323.7322738925393</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-25588.524788666782</v>
      </c>
      <c r="BI68" s="1082">
        <f ca="1">BI$61+BI$67</f>
        <v>0</v>
      </c>
      <c r="BJ68" s="1082">
        <f ca="1">BJ$61+BJ$67</f>
        <v>1801.7240486732944</v>
      </c>
      <c r="BK68" s="1082">
        <f ca="1">SUM(BI68:BJ68)</f>
        <v>1801.7240486732944</v>
      </c>
      <c r="BM68" s="1083">
        <f t="shared" ca="1" si="154"/>
        <v>0</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1804.4491932933804</v>
      </c>
      <c r="H71" s="1143">
        <f t="shared" ca="1" si="167"/>
        <v>912.10861348452363</v>
      </c>
      <c r="I71" s="1143">
        <f t="shared" ca="1" si="167"/>
        <v>9897.3852759882448</v>
      </c>
      <c r="J71" s="1143">
        <f t="shared" ca="1" si="167"/>
        <v>4775.3737630712158</v>
      </c>
      <c r="K71" s="1143">
        <f t="shared" ca="1" si="167"/>
        <v>119.53006725946128</v>
      </c>
      <c r="L71" s="1143">
        <f t="shared" ca="1" si="167"/>
        <v>213.51120810629951</v>
      </c>
      <c r="M71" s="1143">
        <f t="shared" ca="1" si="167"/>
        <v>-0.35871092809590743</v>
      </c>
      <c r="N71" s="1143">
        <f t="shared" ca="1" si="167"/>
        <v>969.30878318682096</v>
      </c>
      <c r="O71" s="1143">
        <f t="shared" ca="1" si="167"/>
        <v>201.26218130858288</v>
      </c>
      <c r="P71" s="1143">
        <f t="shared" ca="1" si="167"/>
        <v>1099.7850738372154</v>
      </c>
      <c r="Q71" s="1143">
        <f t="shared" ca="1" si="167"/>
        <v>552.19611672285725</v>
      </c>
      <c r="R71" s="1143">
        <f ca="1">SUM(G71:Q71)</f>
        <v>20544.551565330505</v>
      </c>
      <c r="T71" s="1144">
        <f t="shared" ref="T71:AK71" ca="1" si="168">T$23+T$52+T$68</f>
        <v>-4914.3042732371441</v>
      </c>
      <c r="U71" s="1144">
        <f t="shared" ca="1" si="168"/>
        <v>4914.3042732371441</v>
      </c>
      <c r="V71" s="1144">
        <f t="shared" ca="1" si="168"/>
        <v>0</v>
      </c>
      <c r="W71" s="1144">
        <f t="shared" ca="1" si="168"/>
        <v>0</v>
      </c>
      <c r="X71" s="1144">
        <f t="shared" ca="1" si="168"/>
        <v>0</v>
      </c>
      <c r="Y71" s="1144">
        <f t="shared" ca="1" si="168"/>
        <v>0</v>
      </c>
      <c r="Z71" s="1144">
        <f t="shared" ca="1" si="168"/>
        <v>0</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0</v>
      </c>
      <c r="AI71" s="1144">
        <f t="shared" ca="1" si="168"/>
        <v>0</v>
      </c>
      <c r="AJ71" s="1144">
        <f t="shared" ca="1" si="168"/>
        <v>0</v>
      </c>
      <c r="AK71" s="1144">
        <f t="shared" ca="1" si="168"/>
        <v>0</v>
      </c>
      <c r="AL71" s="1144">
        <f ca="1">SUM(T71:AK71)</f>
        <v>0</v>
      </c>
      <c r="AN71" s="1145">
        <f t="shared" ref="AN71:BF71" ca="1" si="169">AN$23+AN$52+AN$68</f>
        <v>-3406.6022071917232</v>
      </c>
      <c r="AO71" s="1145">
        <f t="shared" ca="1" si="169"/>
        <v>-401.13024685060918</v>
      </c>
      <c r="AP71" s="1145">
        <f t="shared" ca="1" si="169"/>
        <v>-722.92972840858988</v>
      </c>
      <c r="AQ71" s="1145">
        <f t="shared" ca="1" si="169"/>
        <v>0</v>
      </c>
      <c r="AR71" s="1145">
        <f t="shared" ca="1" si="169"/>
        <v>-55.000000000000909</v>
      </c>
      <c r="AS71" s="1145">
        <f t="shared" ca="1" si="169"/>
        <v>0</v>
      </c>
      <c r="AT71" s="1145">
        <f t="shared" ca="1" si="169"/>
        <v>-16113.370591179753</v>
      </c>
      <c r="AU71" s="1145">
        <f t="shared" ca="1" si="169"/>
        <v>-8096.4219235944875</v>
      </c>
      <c r="AV71" s="1145">
        <f t="shared" ca="1" si="169"/>
        <v>-1323.7322738925393</v>
      </c>
      <c r="AW71" s="1145">
        <f t="shared" ca="1" si="169"/>
        <v>-176.3218285714286</v>
      </c>
      <c r="AX71" s="1145">
        <f t="shared" ca="1" si="169"/>
        <v>-108.73461587841729</v>
      </c>
      <c r="AY71" s="1145">
        <f t="shared" ca="1" si="169"/>
        <v>-151.03817999999998</v>
      </c>
      <c r="AZ71" s="1145">
        <f t="shared" ca="1" si="169"/>
        <v>0</v>
      </c>
      <c r="BA71" s="1145">
        <f t="shared" ca="1" si="169"/>
        <v>0</v>
      </c>
      <c r="BB71" s="1145">
        <f t="shared" ca="1" si="169"/>
        <v>0</v>
      </c>
      <c r="BC71" s="1145">
        <f t="shared" ca="1" si="169"/>
        <v>-205.71585955200004</v>
      </c>
      <c r="BD71" s="1145">
        <f t="shared" ca="1" si="169"/>
        <v>0</v>
      </c>
      <c r="BE71" s="1145">
        <f t="shared" ca="1" si="169"/>
        <v>-0.79227782291666671</v>
      </c>
      <c r="BF71" s="1145">
        <f t="shared" ca="1" si="169"/>
        <v>-986.67052821417678</v>
      </c>
      <c r="BG71" s="1145">
        <f ca="1">SUM(AN71:BF71)</f>
        <v>-31748.460261156641</v>
      </c>
      <c r="BI71" s="1146">
        <f ca="1">BI$23+BI$52+BI$68</f>
        <v>9103.9909450769155</v>
      </c>
      <c r="BJ71" s="1146">
        <f ca="1">BJ$23+BJ$52+BJ$68</f>
        <v>2099.9177507492182</v>
      </c>
      <c r="BK71" s="1146">
        <f ca="1">SUM(BI71:BJ71)</f>
        <v>11203.908695826134</v>
      </c>
      <c r="BM71" s="1039">
        <f t="shared" ca="1" si="154"/>
        <v>0</v>
      </c>
      <c r="BN71" s="1039"/>
      <c r="BP71" s="1147">
        <f t="shared" ref="BP71:DG71" ca="1" si="170">BP$23+BP$52+BP$68</f>
        <v>9000.8954295893436</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-29.043480351906162</v>
      </c>
      <c r="DE71" s="1147">
        <f t="shared" ca="1" si="170"/>
        <v>0</v>
      </c>
      <c r="DF71" s="1147">
        <f t="shared" ca="1" si="170"/>
        <v>0</v>
      </c>
      <c r="DG71" s="1147">
        <f t="shared" ca="1" si="170"/>
        <v>0</v>
      </c>
      <c r="DI71" s="1085">
        <f ca="1">SUM(BP71:DG71)</f>
        <v>8971.851949237438</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4974.5893139179325</v>
      </c>
    </row>
    <row r="75" spans="2:113">
      <c r="B75" s="2555"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4914.3042732371441</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5">
        <f ca="1">DI74/DI75</f>
        <v>1.0122672584620158</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xl/worksheets/sheet61.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R14" activePane="bottomRight" state="frozen"/>
      <selection activeCell="Y9" sqref="Y9"/>
      <selection pane="topRight" activeCell="Y9" sqref="Y9"/>
      <selection pane="bottomLeft" activeCell="Y9" sqref="Y9"/>
      <selection pane="bottomRight" activeCell="R26" sqref="R26"/>
    </sheetView>
  </sheetViews>
  <sheetFormatPr defaultColWidth="8.85546875" defaultRowHeight="12.75" outlineLevelRow="1" outlineLevelCol="2"/>
  <cols>
    <col min="1" max="1" width="6.140625" style="2555" customWidth="1"/>
    <col min="2" max="2" width="1.42578125" style="2555" customWidth="1"/>
    <col min="3" max="3" width="4.42578125" style="621" customWidth="1"/>
    <col min="4" max="4" width="5.140625" style="730" customWidth="1"/>
    <col min="5" max="5" width="41.7109375" style="730" customWidth="1"/>
    <col min="6" max="6" width="1.140625" style="2555"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5"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5" customWidth="1" outlineLevel="1"/>
    <col min="40" max="58" width="10" style="730" customWidth="1" outlineLevel="2"/>
    <col min="59" max="59" width="10" style="730" customWidth="1" outlineLevel="1"/>
    <col min="60" max="60" width="1.140625" style="2555" customWidth="1" outlineLevel="1"/>
    <col min="61" max="62" width="10" style="730" customWidth="1" outlineLevel="2"/>
    <col min="63" max="63" width="10" style="730" customWidth="1" outlineLevel="1"/>
    <col min="64" max="64" width="1.140625" style="2555" customWidth="1" outlineLevel="1"/>
    <col min="65" max="65" width="11" style="730" customWidth="1" outlineLevel="1"/>
    <col min="66" max="66" width="5.28515625" style="730" customWidth="1"/>
    <col min="67" max="67" width="8.85546875" style="2555"/>
    <col min="68" max="111" width="7.42578125" style="2555" customWidth="1"/>
    <col min="112" max="112" width="2.42578125" style="2555" customWidth="1"/>
    <col min="113" max="16384" width="8.85546875" style="2555"/>
  </cols>
  <sheetData>
    <row r="1" spans="1:113" ht="9" customHeight="1"/>
    <row r="2" spans="1:113" ht="21" customHeight="1">
      <c r="D2" s="718"/>
      <c r="E2" s="986">
        <v>2047</v>
      </c>
      <c r="G2" s="2555"/>
      <c r="H2" s="2555"/>
      <c r="I2" s="2555"/>
      <c r="J2" s="2555"/>
      <c r="K2" s="2555"/>
      <c r="L2" s="2555"/>
      <c r="M2" s="2555"/>
      <c r="N2" s="2555"/>
      <c r="O2" s="2555"/>
      <c r="P2" s="2555"/>
      <c r="Q2" s="2555"/>
      <c r="R2" s="2555"/>
      <c r="T2" s="2555"/>
      <c r="U2" s="2555"/>
      <c r="V2" s="2555"/>
      <c r="W2" s="2555"/>
      <c r="X2" s="2555"/>
      <c r="Y2" s="2555"/>
      <c r="Z2" s="2555"/>
      <c r="AA2" s="2555"/>
      <c r="AB2" s="2555"/>
      <c r="AC2" s="2555"/>
      <c r="AD2" s="2555"/>
      <c r="AE2" s="2555"/>
      <c r="AF2" s="2555"/>
      <c r="AG2" s="2555"/>
      <c r="AH2" s="2555"/>
      <c r="AI2" s="2555"/>
      <c r="AJ2" s="2555"/>
      <c r="AK2" s="2555"/>
      <c r="AL2" s="2555"/>
      <c r="AN2" s="2555"/>
      <c r="AO2" s="2555"/>
      <c r="AP2" s="2555"/>
      <c r="AQ2" s="2555"/>
      <c r="AR2" s="2555"/>
      <c r="AS2" s="2555"/>
      <c r="AT2" s="2555"/>
      <c r="AU2" s="2555"/>
      <c r="AV2" s="2555"/>
      <c r="AW2" s="2555"/>
      <c r="AX2" s="2555"/>
      <c r="AY2" s="2555"/>
      <c r="AZ2" s="2555"/>
      <c r="BA2" s="2555"/>
      <c r="BB2" s="2555"/>
      <c r="BC2" s="2555"/>
      <c r="BD2" s="2555"/>
      <c r="BE2" s="2555"/>
      <c r="BF2" s="2555"/>
      <c r="BG2" s="2555"/>
      <c r="BI2" s="2555"/>
      <c r="BJ2" s="2555"/>
      <c r="BK2" s="2555"/>
      <c r="BM2" s="2555"/>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hidden="1"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2204.4681998125216</v>
      </c>
      <c r="H10" s="1051">
        <f t="shared" ca="1" si="0"/>
        <v>0</v>
      </c>
      <c r="I10" s="1051">
        <f t="shared" ca="1" si="0"/>
        <v>0</v>
      </c>
      <c r="J10" s="1051">
        <f t="shared" ca="1" si="0"/>
        <v>0</v>
      </c>
      <c r="K10" s="1051">
        <f t="shared" ca="1" si="0"/>
        <v>0</v>
      </c>
      <c r="L10" s="1051">
        <f t="shared" ca="1" si="0"/>
        <v>0</v>
      </c>
      <c r="M10" s="1051">
        <f t="shared" ca="1" si="0"/>
        <v>-3.0901058749774097E-12</v>
      </c>
      <c r="N10" s="1051">
        <f t="shared" ca="1" si="0"/>
        <v>0</v>
      </c>
      <c r="O10" s="1051">
        <f t="shared" ca="1" si="0"/>
        <v>0</v>
      </c>
      <c r="P10" s="1051">
        <f t="shared" ca="1" si="0"/>
        <v>0</v>
      </c>
      <c r="Q10" s="1051">
        <f t="shared" ca="1" si="0"/>
        <v>0</v>
      </c>
      <c r="R10" s="1051">
        <f ca="1">SUM(G10:Q10)</f>
        <v>2204.4681998125184</v>
      </c>
      <c r="T10" s="1053">
        <f t="shared" ref="T10:BF11" ca="1" si="1">IFERROR(INDEX(INDIRECT($C10&amp;".Outputs["&amp;this.year&amp;"]"), MATCH(T$5, INDIRECT($C10&amp;".Outputs[Vector]"), 0)), 0)</f>
        <v>-2203.8937916546888</v>
      </c>
      <c r="U10" s="1053">
        <f t="shared" ca="1" si="1"/>
        <v>0</v>
      </c>
      <c r="V10" s="1053">
        <f t="shared" ca="1" si="1"/>
        <v>0</v>
      </c>
      <c r="W10" s="1053">
        <f t="shared" ca="1" si="1"/>
        <v>-0.57440815782971422</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-2204.4681998125184</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0.15320843556214719</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0.15320843556214719</v>
      </c>
    </row>
    <row r="11" spans="1:113" s="51" customFormat="1" ht="12.75" hidden="1" customHeight="1" outlineLevel="1">
      <c r="A11" s="1061"/>
      <c r="B11" s="1061"/>
      <c r="C11" s="1048" t="s">
        <v>301</v>
      </c>
      <c r="D11" s="1064" t="str">
        <f>INDEX(Modules[Module], MATCH($C11, Modules[Code], 0))</f>
        <v>Commercial Lighting &amp; Appliances</v>
      </c>
      <c r="E11" s="1064"/>
      <c r="G11" s="1065">
        <f t="shared" ca="1" si="0"/>
        <v>0</v>
      </c>
      <c r="H11" s="1065">
        <f t="shared" ca="1" si="0"/>
        <v>970.55849777696983</v>
      </c>
      <c r="I11" s="1065">
        <f t="shared" ca="1" si="0"/>
        <v>0</v>
      </c>
      <c r="J11" s="1065">
        <f t="shared" ca="1" si="0"/>
        <v>0</v>
      </c>
      <c r="K11" s="1065">
        <f t="shared" ca="1" si="0"/>
        <v>0</v>
      </c>
      <c r="L11" s="1065">
        <f t="shared" ca="1" si="0"/>
        <v>0</v>
      </c>
      <c r="M11" s="1065">
        <f t="shared" ca="1" si="0"/>
        <v>-0.38321313705478538</v>
      </c>
      <c r="N11" s="1065">
        <f t="shared" ca="1" si="0"/>
        <v>0</v>
      </c>
      <c r="O11" s="1065">
        <f t="shared" ca="1" si="0"/>
        <v>0</v>
      </c>
      <c r="P11" s="1065">
        <f t="shared" ca="1" si="0"/>
        <v>0</v>
      </c>
      <c r="Q11" s="1065">
        <f t="shared" ca="1" si="0"/>
        <v>0</v>
      </c>
      <c r="R11" s="1065">
        <f ca="1">SUM(G11:Q11)</f>
        <v>970.17528463991505</v>
      </c>
      <c r="T11" s="1066">
        <f t="shared" ca="1" si="1"/>
        <v>-970.17528463991505</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-970.17528463991505</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ollapsed="1">
      <c r="A12" s="17"/>
      <c r="B12" s="53"/>
      <c r="C12" s="711" t="s">
        <v>196</v>
      </c>
      <c r="D12" s="710" t="str">
        <f>INDEX(Workstreams[Workstream], MATCH($C12, Workstreams[Code], 0))</f>
        <v>Lighting and appliances</v>
      </c>
      <c r="E12" s="41"/>
      <c r="G12" s="1071">
        <f ca="1">G10+G11</f>
        <v>2204.4681998125216</v>
      </c>
      <c r="H12" s="1071">
        <f t="shared" ref="H12:Q12" ca="1" si="11">H10+H11</f>
        <v>970.55849777696983</v>
      </c>
      <c r="I12" s="1071">
        <f t="shared" ca="1" si="11"/>
        <v>0</v>
      </c>
      <c r="J12" s="1071">
        <f t="shared" ca="1" si="11"/>
        <v>0</v>
      </c>
      <c r="K12" s="1071">
        <f t="shared" ca="1" si="11"/>
        <v>0</v>
      </c>
      <c r="L12" s="1071">
        <f t="shared" ca="1" si="11"/>
        <v>0</v>
      </c>
      <c r="M12" s="1071">
        <f ca="1">M11+M10</f>
        <v>-0.38321313705787546</v>
      </c>
      <c r="N12" s="1071">
        <f t="shared" ca="1" si="11"/>
        <v>0</v>
      </c>
      <c r="O12" s="1071">
        <f t="shared" ca="1" si="11"/>
        <v>0</v>
      </c>
      <c r="P12" s="1071">
        <f t="shared" ca="1" si="11"/>
        <v>0</v>
      </c>
      <c r="Q12" s="1071">
        <f t="shared" ca="1" si="11"/>
        <v>0</v>
      </c>
      <c r="R12" s="1071">
        <f ca="1">SUM(G12:Q12)</f>
        <v>3174.6434844524338</v>
      </c>
      <c r="T12" s="1043">
        <f ca="1">T10+T11</f>
        <v>-3174.0690762946037</v>
      </c>
      <c r="U12" s="1043">
        <f t="shared" ref="U12:AK12" ca="1" si="12">U10+U11</f>
        <v>0</v>
      </c>
      <c r="V12" s="1043">
        <f t="shared" ca="1" si="12"/>
        <v>0</v>
      </c>
      <c r="W12" s="1043">
        <f t="shared" ca="1" si="12"/>
        <v>-0.57440815782971422</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-3174.6434844524333</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4.5474735088646412E-13</v>
      </c>
      <c r="BN12" s="1046"/>
      <c r="BO12" s="97"/>
      <c r="BP12" s="1058">
        <f t="shared" ref="BP12:DG12" ca="1" si="14">BP10+BP11</f>
        <v>0.15320843556214719</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0.15320843556214719</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11326.434333202775</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11326.434333202775</v>
      </c>
      <c r="T13" s="1066">
        <f t="shared" ref="T13:BF13" ca="1" si="16">IFERROR(INDEX(INDIRECT($C13&amp;".Outputs["&amp;this.year&amp;"]"), MATCH(T$5, INDIRECT($C13&amp;".Outputs[Vector]"), 0)), 0)</f>
        <v>-1752.1756493279522</v>
      </c>
      <c r="U13" s="1066">
        <f t="shared" ca="1" si="16"/>
        <v>0</v>
      </c>
      <c r="V13" s="1066">
        <f t="shared" ca="1" si="16"/>
        <v>-5938.2192854719196</v>
      </c>
      <c r="W13" s="1066">
        <f t="shared" ca="1" si="16"/>
        <v>-2346.3301688333609</v>
      </c>
      <c r="X13" s="1066">
        <f t="shared" ca="1" si="16"/>
        <v>-1289.7092295695406</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-11326.434333202773</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1.8189894035458565E-12</v>
      </c>
      <c r="BN13" s="1063"/>
      <c r="BO13" s="97"/>
      <c r="BP13" s="1069">
        <f t="shared" ref="BP13:DG13" ca="1" si="18">IFERROR(SUMIFS(INDIRECT($C13&amp;".Emissions["&amp;this.year&amp;"]"), INDIRECT($C13&amp;".Emissions[GHG]"), BP$6, INDIRECT($C13&amp;".Emissions[IPCC Sector]"), BP$5),0)</f>
        <v>2759.715439515016</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2759.715439515016</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11326.434333202775</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11326.434333202775</v>
      </c>
      <c r="T14" s="1043">
        <f t="shared" ref="T14:AK14" ca="1" si="20">T13</f>
        <v>-1752.1756493279522</v>
      </c>
      <c r="U14" s="1043">
        <f t="shared" ca="1" si="20"/>
        <v>0</v>
      </c>
      <c r="V14" s="1043">
        <f t="shared" ca="1" si="20"/>
        <v>-5938.2192854719196</v>
      </c>
      <c r="W14" s="1043">
        <f t="shared" ca="1" si="20"/>
        <v>-2346.3301688333609</v>
      </c>
      <c r="X14" s="1043">
        <f t="shared" ca="1" si="20"/>
        <v>-1289.7092295695406</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-11326.434333202773</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1.8189894035458565E-12</v>
      </c>
      <c r="BN14" s="1046"/>
      <c r="BO14" s="97"/>
      <c r="BP14" s="1058">
        <f t="shared" ref="BP14:DG14" ca="1" si="22">BP13</f>
        <v>2759.715439515016</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2759.715439515016</v>
      </c>
    </row>
    <row r="15" spans="1:113" s="51" customFormat="1" ht="12.75" hidden="1"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3051.0813827291713</v>
      </c>
      <c r="K15" s="1051">
        <f t="shared" ca="1" si="23"/>
        <v>29.566786587961545</v>
      </c>
      <c r="L15" s="1051">
        <f t="shared" ca="1" si="23"/>
        <v>251.90606931336461</v>
      </c>
      <c r="M15" s="1051">
        <f t="shared" ca="1" si="23"/>
        <v>0</v>
      </c>
      <c r="N15" s="1051">
        <f t="shared" ca="1" si="23"/>
        <v>0</v>
      </c>
      <c r="O15" s="1051">
        <f t="shared" ca="1" si="23"/>
        <v>0</v>
      </c>
      <c r="P15" s="1051">
        <f t="shared" ca="1" si="23"/>
        <v>0</v>
      </c>
      <c r="Q15" s="1051">
        <f t="shared" ca="1" si="23"/>
        <v>0</v>
      </c>
      <c r="R15" s="1071">
        <f t="shared" ref="R15:R23" ca="1" si="24">SUM(G15:Q15)</f>
        <v>3332.5542386304974</v>
      </c>
      <c r="T15" s="1053">
        <f t="shared" ref="T15:BF16" ca="1" si="25">IFERROR(INDEX(INDIRECT($C15&amp;".Outputs["&amp;this.year&amp;"]"), MATCH(T$5, INDIRECT($C15&amp;".Outputs[Vector]"), 0)), 0)</f>
        <v>-26.470016839940651</v>
      </c>
      <c r="U15" s="1053">
        <f t="shared" ca="1" si="25"/>
        <v>0</v>
      </c>
      <c r="V15" s="1053">
        <f t="shared" ca="1" si="25"/>
        <v>0</v>
      </c>
      <c r="W15" s="1053">
        <f t="shared" ca="1" si="25"/>
        <v>-3124.8905105864601</v>
      </c>
      <c r="X15" s="1053">
        <f t="shared" ca="1" si="25"/>
        <v>-181.1937112040963</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-3332.5542386304974</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0</v>
      </c>
      <c r="BN15" s="1063"/>
      <c r="BO15" s="97"/>
      <c r="BP15" s="1057">
        <f t="shared" ref="BP15:BY16" ca="1" si="30">IFERROR(SUMIFS(INDIRECT($C15&amp;".Emissions["&amp;this.year&amp;"]"), INDIRECT($C15&amp;".Emissions[GHG]"), BP$6, INDIRECT($C15&amp;".Emissions[IPCC Sector]"), BP$5),0)</f>
        <v>869.53127632109579</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869.53127632109579</v>
      </c>
    </row>
    <row r="16" spans="1:113" s="51" customFormat="1" ht="12.75" hidden="1"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2640.4920628985246</v>
      </c>
      <c r="K16" s="1051">
        <f t="shared" ca="1" si="23"/>
        <v>99.241112119679599</v>
      </c>
      <c r="L16" s="1051">
        <f t="shared" ca="1" si="23"/>
        <v>13.041009566969963</v>
      </c>
      <c r="M16" s="1051">
        <f t="shared" ca="1" si="23"/>
        <v>0</v>
      </c>
      <c r="N16" s="1051">
        <f t="shared" ca="1" si="23"/>
        <v>0</v>
      </c>
      <c r="O16" s="1051">
        <f t="shared" ca="1" si="23"/>
        <v>0</v>
      </c>
      <c r="P16" s="1051">
        <f t="shared" ca="1" si="23"/>
        <v>0</v>
      </c>
      <c r="Q16" s="1051">
        <f t="shared" ca="1" si="23"/>
        <v>0</v>
      </c>
      <c r="R16" s="1071">
        <f t="shared" ca="1" si="24"/>
        <v>2752.7741845851742</v>
      </c>
      <c r="T16" s="1053">
        <f t="shared" ca="1" si="25"/>
        <v>-33.484784986368169</v>
      </c>
      <c r="U16" s="1053">
        <f t="shared" ca="1" si="25"/>
        <v>0</v>
      </c>
      <c r="V16" s="1053">
        <f t="shared" ca="1" si="25"/>
        <v>0</v>
      </c>
      <c r="W16" s="1053">
        <f t="shared" ca="1" si="25"/>
        <v>-2719.2893995988056</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-2752.7741845851738</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4.5474735088646412E-13</v>
      </c>
      <c r="BN16" s="1063"/>
      <c r="BO16" s="97"/>
      <c r="BP16" s="1057">
        <f t="shared" ca="1" si="30"/>
        <v>725.29971776057573</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725.29971776057573</v>
      </c>
    </row>
    <row r="17" spans="1:113" s="51" customFormat="1" ht="15.75" collapsed="1">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5691.5734456276959</v>
      </c>
      <c r="K17" s="1071">
        <f t="shared" ca="1" si="34"/>
        <v>128.80789870764113</v>
      </c>
      <c r="L17" s="1071">
        <f t="shared" ca="1" si="34"/>
        <v>264.94707888033457</v>
      </c>
      <c r="M17" s="1071">
        <f t="shared" ca="1" si="34"/>
        <v>0</v>
      </c>
      <c r="N17" s="1071">
        <f t="shared" ca="1" si="34"/>
        <v>0</v>
      </c>
      <c r="O17" s="1071">
        <f t="shared" ca="1" si="34"/>
        <v>0</v>
      </c>
      <c r="P17" s="1071">
        <f t="shared" ca="1" si="34"/>
        <v>0</v>
      </c>
      <c r="Q17" s="1071">
        <f t="shared" ca="1" si="34"/>
        <v>0</v>
      </c>
      <c r="R17" s="1071">
        <f t="shared" ca="1" si="24"/>
        <v>6085.328423215672</v>
      </c>
      <c r="T17" s="1043">
        <f ca="1">T15+T16</f>
        <v>-59.954801826308824</v>
      </c>
      <c r="U17" s="1043">
        <f t="shared" ref="U17:AK17" ca="1" si="35">U15+U16</f>
        <v>0</v>
      </c>
      <c r="V17" s="1043">
        <f t="shared" ca="1" si="35"/>
        <v>0</v>
      </c>
      <c r="W17" s="1043">
        <f t="shared" ca="1" si="35"/>
        <v>-5844.1799101852657</v>
      </c>
      <c r="X17" s="1043">
        <f t="shared" ca="1" si="35"/>
        <v>-181.1937112040963</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-6085.3284232156702</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1.8189894035458565E-12</v>
      </c>
      <c r="BN17" s="1046"/>
      <c r="BO17" s="97"/>
      <c r="BP17" s="1058">
        <f ca="1">BP15+BP16</f>
        <v>1594.8309940816716</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1594.8309940816716</v>
      </c>
    </row>
    <row r="18" spans="1:113" s="51" customFormat="1" ht="12.75" hidden="1"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1069.2095057928398</v>
      </c>
      <c r="Q18" s="1065">
        <f t="shared" ca="1" si="38"/>
        <v>0</v>
      </c>
      <c r="R18" s="1071">
        <f t="shared" ca="1" si="24"/>
        <v>1069.2095057928398</v>
      </c>
      <c r="T18" s="1066">
        <f t="shared" ref="T18:BF19" ca="1" si="39">IFERROR(INDEX(INDIRECT($C18&amp;".Outputs["&amp;this.year&amp;"]"), MATCH(T$5, INDIRECT($C18&amp;".Outputs[Vector]"), 0)), 0)</f>
        <v>-25.37842895536987</v>
      </c>
      <c r="U18" s="1066">
        <f t="shared" ca="1" si="39"/>
        <v>0</v>
      </c>
      <c r="V18" s="1066">
        <f t="shared" ca="1" si="39"/>
        <v>-703.50687543202605</v>
      </c>
      <c r="W18" s="1066">
        <f t="shared" ca="1" si="39"/>
        <v>-162.78318176908735</v>
      </c>
      <c r="X18" s="1066">
        <f t="shared" ca="1" si="39"/>
        <v>-177.54101963635659</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-1069.2095057928398</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0</v>
      </c>
      <c r="BN18" s="1046"/>
      <c r="BO18" s="17"/>
      <c r="BP18" s="1058"/>
      <c r="BQ18" s="1058"/>
      <c r="BR18" s="1058"/>
      <c r="BS18" s="1058"/>
      <c r="BT18" s="1058"/>
      <c r="BU18" s="1058"/>
      <c r="BV18" s="1058"/>
      <c r="BW18" s="1058"/>
      <c r="BX18" s="1058"/>
      <c r="BY18" s="1058"/>
      <c r="BZ18" s="1058"/>
      <c r="CA18" s="1058"/>
      <c r="CB18" s="1058"/>
      <c r="CC18" s="1058"/>
      <c r="CD18" s="1058"/>
      <c r="CE18" s="1058"/>
      <c r="CF18" s="1058"/>
      <c r="CG18" s="1058"/>
      <c r="CH18" s="1058"/>
      <c r="CI18" s="1058"/>
      <c r="CJ18" s="1058"/>
      <c r="CK18" s="1058"/>
      <c r="CL18" s="1058"/>
      <c r="CM18" s="1058"/>
      <c r="CN18" s="1058"/>
      <c r="CO18" s="1058"/>
      <c r="CP18" s="1058"/>
      <c r="CQ18" s="1058"/>
      <c r="CR18" s="1058"/>
      <c r="CS18" s="1058"/>
      <c r="CT18" s="1058"/>
      <c r="CU18" s="1058"/>
      <c r="CV18" s="1058"/>
      <c r="CW18" s="1058"/>
      <c r="CX18" s="1058"/>
      <c r="CY18" s="1058"/>
      <c r="CZ18" s="1058"/>
      <c r="DA18" s="1058"/>
      <c r="DB18" s="1058"/>
      <c r="DC18" s="1058"/>
      <c r="DD18" s="1058"/>
      <c r="DE18" s="1058"/>
      <c r="DF18" s="1058"/>
      <c r="DG18" s="1058"/>
      <c r="DI18" s="1059">
        <f t="shared" si="10"/>
        <v>0</v>
      </c>
    </row>
    <row r="19" spans="1:113" s="51" customFormat="1" ht="12.75" hidden="1"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738.96296724992294</v>
      </c>
      <c r="R19" s="1071">
        <f t="shared" ca="1" si="24"/>
        <v>738.96296724992294</v>
      </c>
      <c r="T19" s="1066">
        <f t="shared" ca="1" si="39"/>
        <v>0</v>
      </c>
      <c r="U19" s="1066">
        <f t="shared" ca="1" si="39"/>
        <v>0</v>
      </c>
      <c r="V19" s="1066">
        <f t="shared" ca="1" si="39"/>
        <v>0</v>
      </c>
      <c r="W19" s="1066">
        <f t="shared" ca="1" si="39"/>
        <v>-549.14037136815</v>
      </c>
      <c r="X19" s="1066">
        <f t="shared" ca="1" si="39"/>
        <v>-189.82259588177294</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-738.96296724992294</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0</v>
      </c>
      <c r="BN19" s="1063"/>
      <c r="BO19" s="97"/>
      <c r="BP19" s="1069">
        <f t="shared" ref="BP19:DG19" ca="1" si="42">IFERROR(SUMIFS(INDIRECT($C19&amp;".Emissions["&amp;this.year&amp;"]"), INDIRECT($C19&amp;".Emissions[GHG]"), BP$6, INDIRECT($C19&amp;".Emissions[IPCC Sector]"), BP$5),0)</f>
        <v>184.23361666422136</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184.23361666422136</v>
      </c>
    </row>
    <row r="20" spans="1:113" s="51" customFormat="1" ht="15.75" collapsed="1">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1069.2095057928398</v>
      </c>
      <c r="Q20" s="1071">
        <f t="shared" ca="1" si="43"/>
        <v>738.96296724992294</v>
      </c>
      <c r="R20" s="1071">
        <f t="shared" ca="1" si="24"/>
        <v>1808.1724730427627</v>
      </c>
      <c r="T20" s="1043">
        <f ca="1">T19+T18</f>
        <v>-25.37842895536987</v>
      </c>
      <c r="U20" s="1043">
        <f t="shared" ref="U20:AK20" ca="1" si="44">U19+U18</f>
        <v>0</v>
      </c>
      <c r="V20" s="1043">
        <f t="shared" ca="1" si="44"/>
        <v>-703.50687543202605</v>
      </c>
      <c r="W20" s="1043">
        <f t="shared" ca="1" si="44"/>
        <v>-711.92355313723738</v>
      </c>
      <c r="X20" s="1043">
        <f t="shared" ca="1" si="44"/>
        <v>-367.36361551812956</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-1808.1724730427629</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-2.2737367544323206E-13</v>
      </c>
      <c r="BN20" s="1046"/>
      <c r="BO20" s="97"/>
      <c r="BP20" s="1058">
        <f t="shared" ref="BP20:DG20" ca="1" si="46">BP19</f>
        <v>184.23361666422136</v>
      </c>
      <c r="BQ20" s="1058">
        <f t="shared" ca="1" si="46"/>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184.23361666422136</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1047.8059052018175</v>
      </c>
      <c r="O21" s="1065">
        <f t="shared" ca="1" si="47"/>
        <v>0</v>
      </c>
      <c r="P21" s="1065">
        <f t="shared" ca="1" si="47"/>
        <v>0</v>
      </c>
      <c r="Q21" s="1065">
        <f t="shared" ca="1" si="47"/>
        <v>0</v>
      </c>
      <c r="R21" s="1071">
        <f t="shared" ca="1" si="24"/>
        <v>1047.8059052018175</v>
      </c>
      <c r="T21" s="1066">
        <f t="shared" ref="T21:BF22" ca="1" si="48">IFERROR(INDEX(INDIRECT($C21&amp;".Outputs["&amp;this.year&amp;"]"), MATCH(T$5, INDIRECT($C21&amp;".Outputs[Vector]"), 0)), 0)</f>
        <v>-658.56749564700988</v>
      </c>
      <c r="U21" s="1066">
        <f t="shared" ca="1" si="48"/>
        <v>0</v>
      </c>
      <c r="V21" s="1066">
        <f t="shared" ca="1" si="48"/>
        <v>0</v>
      </c>
      <c r="W21" s="1066">
        <f t="shared" ca="1" si="48"/>
        <v>-389.2384095548075</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-1047.8059052018175</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103.819221533879</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103.819221533879</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236.97670613572353</v>
      </c>
      <c r="P22" s="1065">
        <f t="shared" ca="1" si="47"/>
        <v>0</v>
      </c>
      <c r="Q22" s="1065">
        <f t="shared" ca="1" si="47"/>
        <v>0</v>
      </c>
      <c r="R22" s="1071">
        <f t="shared" ca="1" si="24"/>
        <v>236.97670613572353</v>
      </c>
      <c r="T22" s="1066">
        <f t="shared" ca="1" si="48"/>
        <v>-77.413159434842669</v>
      </c>
      <c r="U22" s="1066">
        <f t="shared" ca="1" si="48"/>
        <v>0</v>
      </c>
      <c r="V22" s="1066">
        <f t="shared" ca="1" si="48"/>
        <v>0</v>
      </c>
      <c r="W22" s="1066">
        <f t="shared" ca="1" si="48"/>
        <v>-156.19775716023554</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-3.3657895406453329</v>
      </c>
      <c r="AK22" s="1066">
        <f t="shared" ca="1" si="48"/>
        <v>0</v>
      </c>
      <c r="AL22" s="1043">
        <f t="shared" ca="1" si="3"/>
        <v>-236.97670613572353</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41.661688969135909</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41.661688969135909</v>
      </c>
    </row>
    <row r="23" spans="1:113" s="51" customFormat="1" ht="15.75">
      <c r="B23" s="53"/>
      <c r="C23" s="1076" t="s">
        <v>1107</v>
      </c>
      <c r="D23" s="1077" t="s">
        <v>1108</v>
      </c>
      <c r="E23" s="1078"/>
      <c r="G23" s="1079">
        <f ca="1">G$9+G$12+G$14+G$17+G$20+G$21+G$22</f>
        <v>2204.4681998125216</v>
      </c>
      <c r="H23" s="1079">
        <f t="shared" ref="H23:Q23" ca="1" si="52">H$9+H$12+H$14+H$17+H$20+H$21+H$22</f>
        <v>970.55849777696983</v>
      </c>
      <c r="I23" s="1079">
        <f t="shared" ca="1" si="52"/>
        <v>11326.434333202775</v>
      </c>
      <c r="J23" s="1079">
        <f t="shared" ca="1" si="52"/>
        <v>5691.5734456276959</v>
      </c>
      <c r="K23" s="1079">
        <f t="shared" ca="1" si="52"/>
        <v>128.80789870764113</v>
      </c>
      <c r="L23" s="1079">
        <f t="shared" ca="1" si="52"/>
        <v>264.94707888033457</v>
      </c>
      <c r="M23" s="1079">
        <f ca="1">M$12+M$14+M$17+M$20+M$21+M$22</f>
        <v>-0.38321313705787546</v>
      </c>
      <c r="N23" s="1079">
        <f t="shared" ca="1" si="52"/>
        <v>1047.8059052018175</v>
      </c>
      <c r="O23" s="1079">
        <f t="shared" ca="1" si="52"/>
        <v>236.97670613572353</v>
      </c>
      <c r="P23" s="1079">
        <f t="shared" ca="1" si="52"/>
        <v>1069.2095057928398</v>
      </c>
      <c r="Q23" s="1079">
        <f t="shared" ca="1" si="52"/>
        <v>738.96296724992294</v>
      </c>
      <c r="R23" s="2400">
        <f t="shared" ca="1" si="24"/>
        <v>23679.361325251179</v>
      </c>
      <c r="T23" s="1080">
        <f ca="1">T$9+T$12+T$14+T$17+T$20+T$21+T$22</f>
        <v>-5747.5586114860871</v>
      </c>
      <c r="U23" s="1080">
        <f t="shared" ref="U23:AK23" ca="1" si="53">U$9+U$12+U$14+U$17+U$20+U$21+U$22</f>
        <v>0</v>
      </c>
      <c r="V23" s="1080">
        <f t="shared" ca="1" si="53"/>
        <v>-6641.726160903946</v>
      </c>
      <c r="W23" s="1080">
        <f t="shared" ca="1" si="53"/>
        <v>-9448.4442070287369</v>
      </c>
      <c r="X23" s="1080">
        <f t="shared" ca="1" si="53"/>
        <v>-1838.2665562917666</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-3.3657895406453329</v>
      </c>
      <c r="AK23" s="1080">
        <f t="shared" ca="1" si="53"/>
        <v>0</v>
      </c>
      <c r="AL23" s="1080">
        <f t="shared" ca="1" si="3"/>
        <v>-23679.361325251186</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-7.2759576141834259E-12</v>
      </c>
      <c r="BN23" s="1083"/>
      <c r="BP23" s="1084">
        <f t="shared" ref="BP23:DG23" ca="1" si="55">BP$9+BP$12+BP$14+BP$17+BP$20+BP$21</f>
        <v>4642.7524802303506</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4642.7524802303506</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19.361306250000005</v>
      </c>
      <c r="V26" s="1073">
        <f t="shared" ca="1" si="59"/>
        <v>-77.445225000000022</v>
      </c>
      <c r="W26" s="1073">
        <f t="shared" ca="1" si="59"/>
        <v>0</v>
      </c>
      <c r="X26" s="1073">
        <f t="shared" ca="1" si="59"/>
        <v>15.590548782623422</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-15.590548782623422</v>
      </c>
      <c r="AI26" s="1073">
        <f t="shared" ca="1" si="59"/>
        <v>0</v>
      </c>
      <c r="AJ26" s="1073">
        <f t="shared" ca="1" si="59"/>
        <v>0</v>
      </c>
      <c r="AK26" s="1073">
        <f t="shared" ca="1" si="59"/>
        <v>0</v>
      </c>
      <c r="AL26" s="1066">
        <f t="shared" ref="AL26:AL34" ca="1" si="60">SUM(T26:AK26)</f>
        <v>-58.083918750000016</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58.083918750000016</v>
      </c>
      <c r="BJ26" s="1075">
        <f t="shared" ca="1" si="63"/>
        <v>0</v>
      </c>
      <c r="BK26" s="1045">
        <f t="shared" ca="1" si="56"/>
        <v>58.083918750000016</v>
      </c>
      <c r="BM26" s="1046">
        <f t="shared" ca="1" si="5"/>
        <v>0</v>
      </c>
      <c r="BN26" s="1046"/>
      <c r="BO26" s="17"/>
      <c r="BP26" s="1069">
        <f t="shared" ref="BP26:DG30" ca="1" si="64">IFERROR(SUMIFS(INDIRECT($C26&amp;".Emissions["&amp;this.year&amp;"]"), INDIRECT($C26&amp;".Emissions[GHG]"), BP$6, INDIRECT($C26&amp;".Emissions[IPCC Sector]"), BP$5),0)</f>
        <v>26.880987774193557</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-3.1016986525429755</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23.779289121650582</v>
      </c>
    </row>
    <row r="27" spans="1:113" s="1087" customFormat="1" ht="15"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42.443260246537498</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-0.90559611458333333</v>
      </c>
      <c r="AG27" s="1073">
        <f t="shared" ca="1" si="59"/>
        <v>-40.926648506954166</v>
      </c>
      <c r="AH27" s="1073">
        <f t="shared" ca="1" si="59"/>
        <v>-0.61101562500000006</v>
      </c>
      <c r="AI27" s="1073">
        <f t="shared" ca="1" si="59"/>
        <v>0</v>
      </c>
      <c r="AJ27" s="1073">
        <f t="shared" ca="1" si="59"/>
        <v>0</v>
      </c>
      <c r="AK27" s="1073">
        <f t="shared" ca="1" si="59"/>
        <v>0</v>
      </c>
      <c r="AL27" s="1066">
        <f t="shared" ca="1" si="60"/>
        <v>2.2204460492503131E-16</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2.2204460492503131E-16</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-11.320635708061848</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-11.320635708061848</v>
      </c>
    </row>
    <row r="28" spans="1:113" s="51" customFormat="1" ht="12"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0.61101562500000006</v>
      </c>
      <c r="AI28" s="1073">
        <f t="shared" ca="1" si="59"/>
        <v>0</v>
      </c>
      <c r="AJ28" s="1073">
        <f t="shared" ca="1" si="59"/>
        <v>0</v>
      </c>
      <c r="AK28" s="1073">
        <f t="shared" ca="1" si="59"/>
        <v>0</v>
      </c>
      <c r="AL28" s="1066">
        <f t="shared" ca="1" si="60"/>
        <v>0.61101562500000006</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-0.61101562500000006</v>
      </c>
      <c r="BG28" s="1067">
        <f t="shared" ca="1" si="62"/>
        <v>-0.61101562500000006</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0.90559611458333333</v>
      </c>
      <c r="AG29" s="1073">
        <f t="shared" ca="1" si="59"/>
        <v>976.0273735069544</v>
      </c>
      <c r="AH29" s="1073">
        <f t="shared" ca="1" si="59"/>
        <v>15.590548782623422</v>
      </c>
      <c r="AI29" s="1073">
        <f t="shared" ca="1" si="59"/>
        <v>0</v>
      </c>
      <c r="AJ29" s="1073">
        <f t="shared" ca="1" si="59"/>
        <v>0</v>
      </c>
      <c r="AK29" s="1073">
        <f t="shared" ca="1" si="59"/>
        <v>0</v>
      </c>
      <c r="AL29" s="1066">
        <f t="shared" ca="1" si="60"/>
        <v>992.52351840416111</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-0.90559611458333333</v>
      </c>
      <c r="BF29" s="1074">
        <f t="shared" ca="1" si="66"/>
        <v>-991.61792228957779</v>
      </c>
      <c r="BG29" s="1067">
        <f t="shared" ca="1" si="62"/>
        <v>-992.52351840416111</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-26.880987774193557</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-26.880987774193557</v>
      </c>
    </row>
    <row r="30" spans="1:113" s="51" customFormat="1" ht="12"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935.10072500000024</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-935.10072500000024</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-297.68945741935494</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-297.68945741935494</v>
      </c>
    </row>
    <row r="31" spans="1:113" s="51" customFormat="1" ht="12" customHeight="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19.361306250000005</v>
      </c>
      <c r="V31" s="1073">
        <f t="shared" ca="1" si="68"/>
        <v>857.65550000000019</v>
      </c>
      <c r="W31" s="1073">
        <f t="shared" ca="1" si="68"/>
        <v>42.443260246537498</v>
      </c>
      <c r="X31" s="1073">
        <f t="shared" ca="1" si="68"/>
        <v>15.590548782623422</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0</v>
      </c>
      <c r="AI31" s="1073">
        <f t="shared" ca="1" si="68"/>
        <v>0</v>
      </c>
      <c r="AJ31" s="1073">
        <f t="shared" ca="1" si="68"/>
        <v>0</v>
      </c>
      <c r="AK31" s="1073">
        <f t="shared" ca="1" si="68"/>
        <v>0</v>
      </c>
      <c r="AL31" s="1066">
        <f t="shared" ca="1" si="60"/>
        <v>935.05061527916109</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-0.90559611458333333</v>
      </c>
      <c r="BF31" s="1074">
        <f t="shared" ca="1" si="69"/>
        <v>-992.22893791457784</v>
      </c>
      <c r="BG31" s="1067">
        <f t="shared" ca="1" si="62"/>
        <v>-993.13453402916116</v>
      </c>
      <c r="BI31" s="1075">
        <f ca="1">BI28+BI27+BI26+BI29+BI30</f>
        <v>58.083918750000016</v>
      </c>
      <c r="BJ31" s="1075">
        <f ca="1">BJ28+BJ27+BJ26+BJ29+BJ30</f>
        <v>0</v>
      </c>
      <c r="BK31" s="1045">
        <f t="shared" ca="1" si="56"/>
        <v>58.083918750000016</v>
      </c>
      <c r="BM31" s="1096">
        <f t="shared" ca="1" si="5"/>
        <v>0</v>
      </c>
      <c r="BN31" s="1046"/>
      <c r="BO31" s="97"/>
      <c r="BP31" s="1069">
        <f ca="1">BP28+BP27+BP26+BP29+BP30</f>
        <v>26.880987774193557</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-338.99277955415334</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-312.11179177995979</v>
      </c>
    </row>
    <row r="32" spans="1:113" s="51" customFormat="1" ht="14.25" hidden="1"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ollapsed="1">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hidden="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769.07133311204609</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769.07133311204609</v>
      </c>
      <c r="AN34" s="1054">
        <f t="shared" ref="AN34:BC36" ca="1" si="86">IFERROR(INDEX(INDIRECT($C34&amp;".Outputs["&amp;this.year&amp;"]"), MATCH(AN$5, INDIRECT($C34&amp;".Outputs[Vector]"), 0)), 0)</f>
        <v>0</v>
      </c>
      <c r="AO34" s="1054">
        <f t="shared" ca="1" si="86"/>
        <v>0</v>
      </c>
      <c r="AP34" s="1054">
        <f t="shared" ca="1" si="86"/>
        <v>-769.07133311204609</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-769.07133311204609</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hidden="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2878.2636796999973</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2878.2636796999973</v>
      </c>
      <c r="AN35" s="1054">
        <f t="shared" ca="1" si="86"/>
        <v>-2878.2636796999973</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-2878.2636796999973</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hidden="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401.18988105870324</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401.18988105870324</v>
      </c>
      <c r="AN36" s="1054">
        <f t="shared" ca="1" si="86"/>
        <v>0</v>
      </c>
      <c r="AO36" s="1054">
        <f t="shared" ca="1" si="86"/>
        <v>-401.18988105870324</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-401.18988105870324</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ollapsed="1">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2878.2636796999973</v>
      </c>
      <c r="Z37" s="1043">
        <f ca="1">SUM(Z34:Z36)</f>
        <v>401.18988105870324</v>
      </c>
      <c r="AA37" s="1043">
        <f ca="1">SUM(AA34:AA36)</f>
        <v>769.07133311204609</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4048.5248938707464</v>
      </c>
      <c r="AN37" s="1044">
        <f t="shared" ref="AN37:BF37" ca="1" si="95">SUM(AN34:AN36)</f>
        <v>-2878.2636796999973</v>
      </c>
      <c r="AO37" s="1044">
        <f t="shared" ca="1" si="95"/>
        <v>-401.18988105870324</v>
      </c>
      <c r="AP37" s="1044">
        <f t="shared" ca="1" si="95"/>
        <v>-769.07133311204609</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-4048.5248938707464</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171.81360000000004</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171.81360000000004</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-171.81360000000004</v>
      </c>
      <c r="BD38" s="1108">
        <f t="shared" ca="1" si="99"/>
        <v>0</v>
      </c>
      <c r="BE38" s="1108">
        <f t="shared" ca="1" si="99"/>
        <v>0</v>
      </c>
      <c r="BF38" s="1108">
        <f t="shared" ca="1" si="99"/>
        <v>0</v>
      </c>
      <c r="BG38" s="1062">
        <f t="shared" ca="1" si="96"/>
        <v>-171.81360000000004</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68.111819999999994</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3.3657895406453329</v>
      </c>
      <c r="AK39" s="1106">
        <f t="shared" ca="1" si="99"/>
        <v>0</v>
      </c>
      <c r="AL39" s="1107">
        <f t="shared" ca="1" si="92"/>
        <v>71.477609540645332</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-71.477609540645332</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-71.477609540645332</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35.291916000000001</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35.291916000000001</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-35.291916000000001</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-35.291916000000001</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148.27688999999998</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148.27688999999998</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-148.27688999999998</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-148.27688999999998</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12.88602</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12.88602</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-12.88602</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-12.88602</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34.790711183999996</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34.790711183999996</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-34.790711183999996</v>
      </c>
      <c r="BD43" s="1108">
        <f t="shared" ca="1" si="99"/>
        <v>0</v>
      </c>
      <c r="BE43" s="1108">
        <f t="shared" ca="1" si="99"/>
        <v>0</v>
      </c>
      <c r="BF43" s="1108">
        <f t="shared" ca="1" si="99"/>
        <v>0</v>
      </c>
      <c r="BG43" s="1044">
        <f t="shared" ca="1" si="96"/>
        <v>-34.790711183999996</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299.35735718399991</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3.3657895406453329</v>
      </c>
      <c r="AK44" s="1043">
        <f t="shared" ca="1" si="110"/>
        <v>0</v>
      </c>
      <c r="AL44" s="1107">
        <f t="shared" ca="1" si="92"/>
        <v>302.72314672464523</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-106.76952554064533</v>
      </c>
      <c r="AY44" s="1044">
        <f t="shared" ca="1" si="111"/>
        <v>-161.16290999999998</v>
      </c>
      <c r="AZ44" s="1044">
        <f t="shared" ca="1" si="111"/>
        <v>0</v>
      </c>
      <c r="BA44" s="1044">
        <f t="shared" ca="1" si="111"/>
        <v>0</v>
      </c>
      <c r="BB44" s="1044">
        <f t="shared" ca="1" si="111"/>
        <v>0</v>
      </c>
      <c r="BC44" s="1044">
        <f t="shared" ca="1" si="111"/>
        <v>-34.790711183999996</v>
      </c>
      <c r="BD44" s="1044">
        <f t="shared" ca="1" si="111"/>
        <v>0</v>
      </c>
      <c r="BE44" s="1044">
        <f t="shared" ca="1" si="111"/>
        <v>0</v>
      </c>
      <c r="BF44" s="1044">
        <f t="shared" ca="1" si="111"/>
        <v>0</v>
      </c>
      <c r="BG44" s="1044">
        <f t="shared" ca="1" si="111"/>
        <v>-302.72314672464529</v>
      </c>
      <c r="BI44" s="1045">
        <f ca="1">SUM(BI39:BI43)</f>
        <v>0</v>
      </c>
      <c r="BJ44" s="1045">
        <f ca="1">SUM(BJ39:BJ43)</f>
        <v>0</v>
      </c>
      <c r="BK44" s="1045">
        <f ca="1">SUM(BK39:BK43)</f>
        <v>0</v>
      </c>
      <c r="BM44" s="1046">
        <f t="shared" ca="1" si="5"/>
        <v>-5.6843418860808015E-14</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58.627007999999996</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58.627007999999996</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-167.50573714285716</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-167.50573714285716</v>
      </c>
      <c r="BI45" s="1119">
        <f t="shared" ref="BI45:BJ50" ca="1" si="118">IFERROR(INDEX(INDIRECT($C45&amp;".Outputs["&amp;this.year&amp;"]"), MATCH(BI$5, INDIRECT($C45&amp;".Outputs[Vector]"), 0)), 0)</f>
        <v>108.87872914285717</v>
      </c>
      <c r="BJ45" s="1119">
        <f t="shared" ca="1" si="118"/>
        <v>0</v>
      </c>
      <c r="BK45" s="1045">
        <f ca="1">SUM(BI45:BJ45)</f>
        <v>108.87872914285717</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563.12045398120586</v>
      </c>
      <c r="V46" s="1117">
        <f t="shared" ca="1" si="114"/>
        <v>-1660.8551476437221</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-1097.7346936625163</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1048.7676976641505</v>
      </c>
      <c r="BJ46" s="1119">
        <f t="shared" ca="1" si="118"/>
        <v>48.966995998365732</v>
      </c>
      <c r="BK46" s="1045">
        <f ca="1">SUM(BI46:BJ46)</f>
        <v>1097.7346936625163</v>
      </c>
      <c r="BL46" s="51"/>
      <c r="BM46" s="1046">
        <f t="shared" ca="1" si="5"/>
        <v>0</v>
      </c>
      <c r="BN46" s="1063"/>
      <c r="BO46" s="97"/>
      <c r="BP46" s="1057">
        <f t="shared" ca="1" si="119"/>
        <v>576.47746414988546</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576.47746414988546</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109.8605340414</v>
      </c>
      <c r="V47" s="1117">
        <f t="shared" ca="1" si="114"/>
        <v>0</v>
      </c>
      <c r="W47" s="1117">
        <f t="shared" ca="1" si="114"/>
        <v>0</v>
      </c>
      <c r="X47" s="1117">
        <f t="shared" ca="1" si="114"/>
        <v>-217.65793072663513</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-107.79739668523513</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107.79739668523513</v>
      </c>
      <c r="BJ47" s="1119">
        <f t="shared" ca="1" si="118"/>
        <v>0</v>
      </c>
      <c r="BK47" s="1045">
        <f ca="1">SUM(BI47:BJ47)</f>
        <v>107.79739668523513</v>
      </c>
      <c r="BL47" s="51"/>
      <c r="BM47" s="1046">
        <f t="shared" ca="1" si="5"/>
        <v>0</v>
      </c>
      <c r="BN47" s="1063"/>
      <c r="BO47" s="97"/>
      <c r="BP47" s="1057">
        <f t="shared" ca="1" si="119"/>
        <v>36.427440234780001</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36.427440234780001</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19.513116000000004</v>
      </c>
      <c r="V48" s="1117">
        <f t="shared" ca="1" si="114"/>
        <v>-130.16181818181821</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-110.64870218181821</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87.208418181818203</v>
      </c>
      <c r="BJ48" s="1119">
        <f t="shared" ca="1" si="118"/>
        <v>23.440284000000002</v>
      </c>
      <c r="BK48" s="1045">
        <f ca="1">SUM(BI48:BJ48)</f>
        <v>110.64870218181821</v>
      </c>
      <c r="BL48" s="51"/>
      <c r="BM48" s="1046">
        <f t="shared" ca="1" si="5"/>
        <v>0</v>
      </c>
      <c r="BN48" s="1063"/>
      <c r="BO48" s="97"/>
      <c r="BP48" s="1057">
        <f t="shared" ca="1" si="119"/>
        <v>45.178747214076253</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-40.660872492668624</v>
      </c>
      <c r="DE48" s="1057">
        <f t="shared" ca="1" si="119"/>
        <v>0</v>
      </c>
      <c r="DF48" s="1057">
        <f t="shared" ca="1" si="119"/>
        <v>0</v>
      </c>
      <c r="DG48" s="1057">
        <f t="shared" ca="1" si="119"/>
        <v>0</v>
      </c>
      <c r="DI48" s="1059">
        <f t="shared" ca="1" si="79"/>
        <v>4.5178747214076296</v>
      </c>
    </row>
    <row r="49" spans="1:113">
      <c r="A49" s="1087"/>
      <c r="B49" s="1087"/>
      <c r="C49" s="1088" t="s">
        <v>1818</v>
      </c>
      <c r="D49" s="1114" t="s">
        <v>1817</v>
      </c>
      <c r="E49" s="1089"/>
      <c r="T49" s="2362">
        <f ca="1">T23+T33+T37+T38+T44+T45++T46+T47+T48+T31+T61</f>
        <v>-5747.5586114860871</v>
      </c>
      <c r="U49" s="2362">
        <f ca="1">U23+U33+U37+U38+U44+U45++U46+U47+U48+U31+U61</f>
        <v>206.43882204537817</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5541.1197894407087</v>
      </c>
      <c r="V50" s="1117">
        <f t="shared" ca="1" si="114"/>
        <v>-15072.994245887938</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-9531.874456447229</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9254.8184669751936</v>
      </c>
      <c r="BJ50" s="1119">
        <f t="shared" ca="1" si="118"/>
        <v>277.05598947203544</v>
      </c>
      <c r="BK50" s="1045">
        <f ca="1">SUM(BI50:BJ50)</f>
        <v>9531.874456447229</v>
      </c>
      <c r="BL50" s="51"/>
      <c r="BM50" s="1046">
        <f t="shared" ref="BM50:BM55" ca="1" si="120">R50+AL50+BG50+BK50</f>
        <v>0</v>
      </c>
      <c r="BN50" s="1063"/>
      <c r="BO50" s="97"/>
      <c r="BP50" s="1057">
        <f t="shared" ca="1" si="119"/>
        <v>5231.78768018562</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5231.78768018562</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6233.6138934633145</v>
      </c>
      <c r="V51" s="1043">
        <f t="shared" ref="V51:AK51" ca="1" si="122">V46+V47+V48+V50</f>
        <v>-16864.011211713478</v>
      </c>
      <c r="W51" s="1043">
        <f t="shared" ca="1" si="122"/>
        <v>0</v>
      </c>
      <c r="X51" s="1043">
        <f t="shared" ca="1" si="122"/>
        <v>-217.65793072663513</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-10848.055248976798</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10498.591979506396</v>
      </c>
      <c r="BJ51" s="1045">
        <f ca="1">BJ46+BJ47+BJ48+BJ50</f>
        <v>349.4632694704012</v>
      </c>
      <c r="BK51" s="1045">
        <f ca="1">SUM(BI51:BJ51)</f>
        <v>10848.055248976798</v>
      </c>
      <c r="BM51" s="1046">
        <f t="shared" ca="1" si="120"/>
        <v>0</v>
      </c>
      <c r="BN51" s="1046"/>
      <c r="BO51" s="97"/>
      <c r="BP51" s="1058">
        <f ca="1">BP46+BP47+BP48+BP50</f>
        <v>5889.8713317843612</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-40.660872492668624</v>
      </c>
      <c r="DE51" s="1058">
        <f t="shared" ca="1" si="124"/>
        <v>0</v>
      </c>
      <c r="DF51" s="1058">
        <f t="shared" ca="1" si="124"/>
        <v>0</v>
      </c>
      <c r="DG51" s="1058">
        <f t="shared" ca="1" si="124"/>
        <v>0</v>
      </c>
      <c r="DI51" s="1059">
        <f ca="1">SUM(BP51:DG51)</f>
        <v>5849.210459291693</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6782.773164897314</v>
      </c>
      <c r="V52" s="1080">
        <f t="shared" ca="1" si="126"/>
        <v>-16006.355711713477</v>
      </c>
      <c r="W52" s="1080">
        <f t="shared" ca="1" si="126"/>
        <v>42.443260246537498</v>
      </c>
      <c r="X52" s="1080">
        <f t="shared" ca="1" si="126"/>
        <v>-202.06738194401171</v>
      </c>
      <c r="Y52" s="1080">
        <f t="shared" ca="1" si="126"/>
        <v>2878.2636796999973</v>
      </c>
      <c r="Z52" s="1080">
        <f t="shared" ca="1" si="126"/>
        <v>401.18988105870324</v>
      </c>
      <c r="AA52" s="1080">
        <f t="shared" ca="1" si="126"/>
        <v>769.07133311204609</v>
      </c>
      <c r="AB52" s="1080">
        <f t="shared" ca="1" si="126"/>
        <v>0</v>
      </c>
      <c r="AC52" s="1080">
        <f t="shared" ca="1" si="126"/>
        <v>0</v>
      </c>
      <c r="AD52" s="1080">
        <f t="shared" ca="1" si="126"/>
        <v>0</v>
      </c>
      <c r="AE52" s="1080">
        <f t="shared" ca="1" si="126"/>
        <v>0</v>
      </c>
      <c r="AF52" s="1080">
        <f t="shared" ca="1" si="126"/>
        <v>0</v>
      </c>
      <c r="AG52" s="1080">
        <f t="shared" ca="1" si="126"/>
        <v>0</v>
      </c>
      <c r="AH52" s="1080">
        <f t="shared" ca="1" si="126"/>
        <v>0</v>
      </c>
      <c r="AI52" s="1080">
        <f t="shared" ca="1" si="126"/>
        <v>0</v>
      </c>
      <c r="AJ52" s="1080">
        <f t="shared" ca="1" si="126"/>
        <v>3.3657895406453329</v>
      </c>
      <c r="AK52" s="1080">
        <f t="shared" ca="1" si="126"/>
        <v>0</v>
      </c>
      <c r="AL52" s="1043">
        <f ca="1">SUM(T52:AK52)</f>
        <v>-5331.3159851022474</v>
      </c>
      <c r="AN52" s="2408">
        <f t="shared" ref="AN52:BF52" ca="1" si="127">AN$33+AN$37+AN$38+AN$44+AN$45+AN$51+AN31</f>
        <v>-2878.2636796999973</v>
      </c>
      <c r="AO52" s="2408">
        <f t="shared" ca="1" si="127"/>
        <v>-401.18988105870324</v>
      </c>
      <c r="AP52" s="2408">
        <f t="shared" ca="1" si="127"/>
        <v>-769.07133311204609</v>
      </c>
      <c r="AQ52" s="2408">
        <f t="shared" ca="1" si="127"/>
        <v>0</v>
      </c>
      <c r="AR52" s="2408">
        <f t="shared" ca="1" si="127"/>
        <v>0</v>
      </c>
      <c r="AS52" s="2408">
        <f t="shared" ca="1" si="127"/>
        <v>0</v>
      </c>
      <c r="AT52" s="2408">
        <f t="shared" ca="1" si="127"/>
        <v>0</v>
      </c>
      <c r="AU52" s="2408">
        <f t="shared" ca="1" si="127"/>
        <v>0</v>
      </c>
      <c r="AV52" s="2408">
        <f t="shared" ca="1" si="127"/>
        <v>0</v>
      </c>
      <c r="AW52" s="2408">
        <f t="shared" ca="1" si="127"/>
        <v>-167.50573714285716</v>
      </c>
      <c r="AX52" s="2408">
        <f t="shared" ca="1" si="127"/>
        <v>-106.76952554064533</v>
      </c>
      <c r="AY52" s="2408">
        <f t="shared" ca="1" si="127"/>
        <v>-161.16290999999998</v>
      </c>
      <c r="AZ52" s="2408">
        <f t="shared" ca="1" si="127"/>
        <v>0</v>
      </c>
      <c r="BA52" s="2408">
        <f t="shared" ca="1" si="127"/>
        <v>0</v>
      </c>
      <c r="BB52" s="2408">
        <f t="shared" ca="1" si="127"/>
        <v>0</v>
      </c>
      <c r="BC52" s="2408">
        <f t="shared" ca="1" si="127"/>
        <v>-206.60431118400004</v>
      </c>
      <c r="BD52" s="2408">
        <f t="shared" ca="1" si="127"/>
        <v>0</v>
      </c>
      <c r="BE52" s="2408">
        <f t="shared" ca="1" si="127"/>
        <v>-0.90559611458333333</v>
      </c>
      <c r="BF52" s="2408">
        <f t="shared" ca="1" si="127"/>
        <v>-992.22893791457784</v>
      </c>
      <c r="BG52" s="2408">
        <f ca="1">SUM(AN52:BF52)</f>
        <v>-5683.7019117674099</v>
      </c>
      <c r="BI52" s="1082">
        <f ca="1">BI$33+BI$37+BI$38+BI$44+BI$45+BI$51+BI31</f>
        <v>10665.554627399255</v>
      </c>
      <c r="BJ52" s="1082">
        <f ca="1">BJ$33+BJ$37+BJ$38+BJ$44+BJ$45+BJ$51+BJ31</f>
        <v>349.4632694704012</v>
      </c>
      <c r="BK52" s="1045">
        <f ca="1">SUM(BI52:BJ52)</f>
        <v>11015.017896869656</v>
      </c>
      <c r="BM52" s="1083">
        <f t="shared" ca="1" si="120"/>
        <v>0</v>
      </c>
      <c r="BN52" s="1083"/>
      <c r="BP52" s="2401">
        <f t="shared" ref="BP52:DG52" ca="1" si="128">BP$33+BP$37+BP$38+BP$44++BP$45+BP$51</f>
        <v>5889.8713317843612</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-40.660872492668624</v>
      </c>
      <c r="DE52" s="1084">
        <f t="shared" ca="1" si="128"/>
        <v>0</v>
      </c>
      <c r="DF52" s="1084">
        <f t="shared" ca="1" si="128"/>
        <v>0</v>
      </c>
      <c r="DG52" s="1084">
        <f t="shared" ca="1" si="128"/>
        <v>0</v>
      </c>
      <c r="DI52" s="1085">
        <f ca="1">SUM(BP52:DG52)</f>
        <v>5849.210459291693</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55</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55</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-55</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-55</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-5747.5586114860871</v>
      </c>
      <c r="U58" s="1093">
        <f ca="1">U$23+U$31+U$33+U$37+U$57+U$38+U$44+U$45</f>
        <v>604.15927143400006</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-1090.2145534112278</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-1090.2145534112278</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1090.2145534112278</v>
      </c>
      <c r="BK59" s="1056">
        <f ca="1">SUM(BI59:BJ59)</f>
        <v>1090.2145534112278</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-1035.2145534112278</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-1035.2145534112278</v>
      </c>
      <c r="AM61" s="51"/>
      <c r="AN61" s="1044">
        <f t="shared" ref="AN61:BF61" ca="1" si="146">AN$57+AN$59+AN$60</f>
        <v>0</v>
      </c>
      <c r="AO61" s="1044">
        <f t="shared" ca="1" si="146"/>
        <v>0</v>
      </c>
      <c r="AP61" s="1044">
        <f t="shared" ca="1" si="146"/>
        <v>0</v>
      </c>
      <c r="AQ61" s="1044">
        <f t="shared" ca="1" si="146"/>
        <v>0</v>
      </c>
      <c r="AR61" s="1044">
        <f t="shared" ca="1" si="146"/>
        <v>-55</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-55</v>
      </c>
      <c r="BH61" s="51"/>
      <c r="BI61" s="1045">
        <f ca="1">BI$57+BI$59+BI$60</f>
        <v>0</v>
      </c>
      <c r="BJ61" s="1045">
        <f ca="1">BJ$57+BJ$59+BJ$60</f>
        <v>1090.2145534112278</v>
      </c>
      <c r="BK61" s="1045">
        <f ca="1">SUM(BI61:BJ61)</f>
        <v>1090.2145534112278</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-22648.081872617422</v>
      </c>
      <c r="W63" s="1093">
        <f t="shared" ca="1" si="149"/>
        <v>-9406.0009467822001</v>
      </c>
      <c r="X63" s="1093">
        <f t="shared" ca="1" si="149"/>
        <v>-2040.3339382357783</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0</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-5747.5586114860871</v>
      </c>
      <c r="U64" s="1093">
        <f ca="1">(U$23+U$52+U$61)</f>
        <v>5747.5586114860862</v>
      </c>
      <c r="V64" s="1093">
        <f t="shared" ca="1" si="149"/>
        <v>-22648.081872617422</v>
      </c>
      <c r="W64" s="1093">
        <f t="shared" ca="1" si="149"/>
        <v>-9406.0009467822001</v>
      </c>
      <c r="X64" s="1093">
        <f t="shared" ca="1" si="149"/>
        <v>-2040.3339382357783</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22648.081872617422</v>
      </c>
      <c r="W65" s="1107">
        <f t="shared" ca="1" si="152"/>
        <v>9406.0009467822001</v>
      </c>
      <c r="X65" s="1107">
        <f t="shared" ca="1" si="152"/>
        <v>2040.3339382357783</v>
      </c>
      <c r="Y65" s="1107">
        <f t="shared" ca="1" si="152"/>
        <v>-22648.081872617422</v>
      </c>
      <c r="Z65" s="1107">
        <f t="shared" ca="1" si="152"/>
        <v>-10064.421013056954</v>
      </c>
      <c r="AA65" s="1107">
        <f t="shared" ca="1" si="152"/>
        <v>-2346.3840289711452</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-964.47015701011969</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964.47015701012083</v>
      </c>
      <c r="BK65" s="1110">
        <f ca="1">SUM(BI65:BJ65)</f>
        <v>964.47015701012083</v>
      </c>
      <c r="BL65" s="51"/>
      <c r="BM65" s="1046">
        <f t="shared" ref="BM65:BM71" ca="1" si="154">R65+AL65+BG65+BK65</f>
        <v>1.1368683772161603E-12</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9.0949470177292824E-13</v>
      </c>
      <c r="V66" s="1140"/>
      <c r="W66" s="1140"/>
      <c r="X66" s="1140"/>
      <c r="Y66" s="1140">
        <f ca="1">-(Y$23+Y$52+Y$61+Y$65)</f>
        <v>19769.818192917424</v>
      </c>
      <c r="Z66" s="1140">
        <f ca="1">-(Z$23+Z$52+Z$61+Z$65)</f>
        <v>9663.2311319982509</v>
      </c>
      <c r="AA66" s="1140">
        <f ca="1">-(AA$23+AA$52+AA$61+AA$65)</f>
        <v>1577.3126958590992</v>
      </c>
      <c r="AB66" s="1140"/>
      <c r="AC66" s="1140"/>
      <c r="AD66" s="1140"/>
      <c r="AE66" s="1140"/>
      <c r="AF66" s="1140"/>
      <c r="AG66" s="1140"/>
      <c r="AH66" s="1140"/>
      <c r="AI66" s="1140"/>
      <c r="AJ66" s="1140"/>
      <c r="AK66" s="1140"/>
      <c r="AL66" s="1140">
        <f ca="1">SUM(T66:AK66)</f>
        <v>31010.362020774774</v>
      </c>
      <c r="AM66" s="51"/>
      <c r="AN66" s="1067"/>
      <c r="AO66" s="1067"/>
      <c r="AP66" s="1067"/>
      <c r="AQ66" s="1067"/>
      <c r="AR66" s="1067">
        <f ca="1">-U66</f>
        <v>-9.0949470177292824E-13</v>
      </c>
      <c r="AS66" s="1067">
        <f>-W66</f>
        <v>0</v>
      </c>
      <c r="AT66" s="1067">
        <f ca="1">-Y66</f>
        <v>-19769.818192917424</v>
      </c>
      <c r="AU66" s="1067">
        <f ca="1">-Z66</f>
        <v>-9663.2311319982509</v>
      </c>
      <c r="AV66" s="1067">
        <f ca="1">-AA66</f>
        <v>-1577.3126958590992</v>
      </c>
      <c r="AW66" s="1067"/>
      <c r="AX66" s="1067"/>
      <c r="AY66" s="1067"/>
      <c r="AZ66" s="1067"/>
      <c r="BA66" s="1067"/>
      <c r="BB66" s="1067"/>
      <c r="BC66" s="1067"/>
      <c r="BD66" s="1067"/>
      <c r="BE66" s="1067"/>
      <c r="BF66" s="1067"/>
      <c r="BG66" s="1067">
        <f ca="1">SUM(AN66:BF66)</f>
        <v>-31010.362020774774</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9.0949470177292824E-13</v>
      </c>
      <c r="V67" s="1043">
        <f t="shared" ca="1" si="160"/>
        <v>22648.081872617422</v>
      </c>
      <c r="W67" s="1043">
        <f t="shared" ca="1" si="160"/>
        <v>9406.0009467822001</v>
      </c>
      <c r="X67" s="1043">
        <f t="shared" ca="1" si="160"/>
        <v>2040.3339382357783</v>
      </c>
      <c r="Y67" s="1043">
        <f t="shared" ca="1" si="160"/>
        <v>-2878.2636796999977</v>
      </c>
      <c r="Z67" s="1043">
        <f t="shared" ca="1" si="160"/>
        <v>-401.18988105870267</v>
      </c>
      <c r="AA67" s="1043">
        <f t="shared" ca="1" si="160"/>
        <v>-769.07133311204598</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30045.891863764653</v>
      </c>
      <c r="AN67" s="1044">
        <f t="shared" ref="AN67:BF67" ca="1" si="161">SUM(AN65:AN66)</f>
        <v>0</v>
      </c>
      <c r="AO67" s="1044">
        <f t="shared" ca="1" si="161"/>
        <v>0</v>
      </c>
      <c r="AP67" s="1044">
        <f t="shared" ca="1" si="161"/>
        <v>0</v>
      </c>
      <c r="AQ67" s="1044">
        <f t="shared" ca="1" si="161"/>
        <v>0</v>
      </c>
      <c r="AR67" s="1044">
        <f t="shared" ca="1" si="161"/>
        <v>-9.0949470177292824E-13</v>
      </c>
      <c r="AS67" s="1044">
        <f t="shared" ca="1" si="161"/>
        <v>0</v>
      </c>
      <c r="AT67" s="1044">
        <f t="shared" ca="1" si="161"/>
        <v>-19769.818192917424</v>
      </c>
      <c r="AU67" s="1044">
        <f t="shared" ca="1" si="161"/>
        <v>-9663.2311319982509</v>
      </c>
      <c r="AV67" s="1044">
        <f t="shared" ca="1" si="161"/>
        <v>-1577.3126958590992</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-31010.362020774774</v>
      </c>
      <c r="BI67" s="1045">
        <f ca="1">SUM(BI65:BI66)</f>
        <v>0</v>
      </c>
      <c r="BJ67" s="1045">
        <f ca="1">SUM(BJ65:BJ66)</f>
        <v>964.47015701012083</v>
      </c>
      <c r="BK67" s="1045">
        <f ca="1">SUM(BI67:BJ67)</f>
        <v>964.47015701012083</v>
      </c>
      <c r="BM67" s="1046">
        <f t="shared" ca="1" si="154"/>
        <v>0</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-1035.2145534112269</v>
      </c>
      <c r="V68" s="1080">
        <f t="shared" ca="1" si="164"/>
        <v>22648.081872617422</v>
      </c>
      <c r="W68" s="1080">
        <f t="shared" ca="1" si="164"/>
        <v>9406.0009467822001</v>
      </c>
      <c r="X68" s="1080">
        <f t="shared" ca="1" si="164"/>
        <v>2040.3339382357783</v>
      </c>
      <c r="Y68" s="1080">
        <f t="shared" ca="1" si="164"/>
        <v>-2878.2636796999977</v>
      </c>
      <c r="Z68" s="1080">
        <f t="shared" ca="1" si="164"/>
        <v>-401.18988105870267</v>
      </c>
      <c r="AA68" s="1080">
        <f t="shared" ca="1" si="164"/>
        <v>-769.07133311204598</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29010.677310353425</v>
      </c>
      <c r="AN68" s="1081">
        <f ca="1">AN$61+AN$67</f>
        <v>0</v>
      </c>
      <c r="AO68" s="1081">
        <f t="shared" ref="AO68:BF68" ca="1" si="165">AO$61+AO$67</f>
        <v>0</v>
      </c>
      <c r="AP68" s="1081">
        <f t="shared" ca="1" si="165"/>
        <v>0</v>
      </c>
      <c r="AQ68" s="1081">
        <f t="shared" ca="1" si="165"/>
        <v>0</v>
      </c>
      <c r="AR68" s="1081">
        <f t="shared" ca="1" si="165"/>
        <v>-55.000000000000909</v>
      </c>
      <c r="AS68" s="1081">
        <f t="shared" ca="1" si="165"/>
        <v>0</v>
      </c>
      <c r="AT68" s="1081">
        <f t="shared" ca="1" si="165"/>
        <v>-19769.818192917424</v>
      </c>
      <c r="AU68" s="1081">
        <f t="shared" ca="1" si="165"/>
        <v>-9663.2311319982509</v>
      </c>
      <c r="AV68" s="1081">
        <f t="shared" ca="1" si="165"/>
        <v>-1577.3126958590992</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-31065.362020774774</v>
      </c>
      <c r="BI68" s="1082">
        <f ca="1">BI$61+BI$67</f>
        <v>0</v>
      </c>
      <c r="BJ68" s="1082">
        <f ca="1">BJ$61+BJ$67</f>
        <v>2054.6847104213484</v>
      </c>
      <c r="BK68" s="1082">
        <f ca="1">SUM(BI68:BJ68)</f>
        <v>2054.6847104213484</v>
      </c>
      <c r="BM68" s="1083">
        <f t="shared" ca="1" si="154"/>
        <v>0</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2204.4681998125216</v>
      </c>
      <c r="H71" s="1143">
        <f t="shared" ca="1" si="167"/>
        <v>970.55849777696983</v>
      </c>
      <c r="I71" s="1143">
        <f t="shared" ca="1" si="167"/>
        <v>11326.434333202775</v>
      </c>
      <c r="J71" s="1143">
        <f t="shared" ca="1" si="167"/>
        <v>5691.5734456276959</v>
      </c>
      <c r="K71" s="1143">
        <f t="shared" ca="1" si="167"/>
        <v>128.80789870764113</v>
      </c>
      <c r="L71" s="1143">
        <f t="shared" ca="1" si="167"/>
        <v>264.94707888033457</v>
      </c>
      <c r="M71" s="1143">
        <f t="shared" ca="1" si="167"/>
        <v>-0.38321313705787546</v>
      </c>
      <c r="N71" s="1143">
        <f t="shared" ca="1" si="167"/>
        <v>1047.8059052018175</v>
      </c>
      <c r="O71" s="1143">
        <f t="shared" ca="1" si="167"/>
        <v>236.97670613572353</v>
      </c>
      <c r="P71" s="1143">
        <f t="shared" ca="1" si="167"/>
        <v>1069.2095057928398</v>
      </c>
      <c r="Q71" s="1143">
        <f t="shared" ca="1" si="167"/>
        <v>738.96296724992294</v>
      </c>
      <c r="R71" s="1143">
        <f ca="1">SUM(G71:Q71)</f>
        <v>23679.361325251179</v>
      </c>
      <c r="T71" s="1144">
        <f t="shared" ref="T71:AK71" ca="1" si="168">T$23+T$52+T$68</f>
        <v>-5747.5586114860871</v>
      </c>
      <c r="U71" s="1144">
        <f t="shared" ca="1" si="168"/>
        <v>5747.5586114860871</v>
      </c>
      <c r="V71" s="1144">
        <f t="shared" ca="1" si="168"/>
        <v>0</v>
      </c>
      <c r="W71" s="1144">
        <f t="shared" ca="1" si="168"/>
        <v>0</v>
      </c>
      <c r="X71" s="1144">
        <f t="shared" ca="1" si="168"/>
        <v>0</v>
      </c>
      <c r="Y71" s="1144">
        <f t="shared" ca="1" si="168"/>
        <v>0</v>
      </c>
      <c r="Z71" s="1144">
        <f t="shared" ca="1" si="168"/>
        <v>5.6843418860808015E-13</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0</v>
      </c>
      <c r="AI71" s="1144">
        <f t="shared" ca="1" si="168"/>
        <v>0</v>
      </c>
      <c r="AJ71" s="1144">
        <f t="shared" ca="1" si="168"/>
        <v>0</v>
      </c>
      <c r="AK71" s="1144">
        <f t="shared" ca="1" si="168"/>
        <v>0</v>
      </c>
      <c r="AL71" s="1144">
        <f ca="1">SUM(T71:AK71)</f>
        <v>5.6843418860808015E-13</v>
      </c>
      <c r="AN71" s="1145">
        <f t="shared" ref="AN71:BF71" ca="1" si="169">AN$23+AN$52+AN$68</f>
        <v>-2878.2636796999973</v>
      </c>
      <c r="AO71" s="1145">
        <f t="shared" ca="1" si="169"/>
        <v>-401.18988105870324</v>
      </c>
      <c r="AP71" s="1145">
        <f t="shared" ca="1" si="169"/>
        <v>-769.07133311204609</v>
      </c>
      <c r="AQ71" s="1145">
        <f t="shared" ca="1" si="169"/>
        <v>0</v>
      </c>
      <c r="AR71" s="1145">
        <f t="shared" ca="1" si="169"/>
        <v>-55.000000000000909</v>
      </c>
      <c r="AS71" s="1145">
        <f t="shared" ca="1" si="169"/>
        <v>0</v>
      </c>
      <c r="AT71" s="1145">
        <f t="shared" ca="1" si="169"/>
        <v>-19769.818192917424</v>
      </c>
      <c r="AU71" s="1145">
        <f t="shared" ca="1" si="169"/>
        <v>-9663.2311319982509</v>
      </c>
      <c r="AV71" s="1145">
        <f t="shared" ca="1" si="169"/>
        <v>-1577.3126958590992</v>
      </c>
      <c r="AW71" s="1145">
        <f t="shared" ca="1" si="169"/>
        <v>-167.50573714285716</v>
      </c>
      <c r="AX71" s="1145">
        <f t="shared" ca="1" si="169"/>
        <v>-106.76952554064533</v>
      </c>
      <c r="AY71" s="1145">
        <f t="shared" ca="1" si="169"/>
        <v>-161.16290999999998</v>
      </c>
      <c r="AZ71" s="1145">
        <f t="shared" ca="1" si="169"/>
        <v>0</v>
      </c>
      <c r="BA71" s="1145">
        <f t="shared" ca="1" si="169"/>
        <v>0</v>
      </c>
      <c r="BB71" s="1145">
        <f t="shared" ca="1" si="169"/>
        <v>0</v>
      </c>
      <c r="BC71" s="1145">
        <f t="shared" ca="1" si="169"/>
        <v>-206.60431118400004</v>
      </c>
      <c r="BD71" s="1145">
        <f t="shared" ca="1" si="169"/>
        <v>0</v>
      </c>
      <c r="BE71" s="1145">
        <f t="shared" ca="1" si="169"/>
        <v>-0.90559611458333333</v>
      </c>
      <c r="BF71" s="1145">
        <f t="shared" ca="1" si="169"/>
        <v>-992.22893791457784</v>
      </c>
      <c r="BG71" s="1145">
        <f ca="1">SUM(AN71:BF71)</f>
        <v>-36749.063932542187</v>
      </c>
      <c r="BI71" s="1146">
        <f ca="1">BI$23+BI$52+BI$68</f>
        <v>10665.554627399255</v>
      </c>
      <c r="BJ71" s="1146">
        <f ca="1">BJ$23+BJ$52+BJ$68</f>
        <v>2404.1479798917499</v>
      </c>
      <c r="BK71" s="1146">
        <f ca="1">SUM(BI71:BJ71)</f>
        <v>13069.702607291005</v>
      </c>
      <c r="BM71" s="1039">
        <f t="shared" ca="1" si="154"/>
        <v>0</v>
      </c>
      <c r="BN71" s="1039"/>
      <c r="BP71" s="1147">
        <f t="shared" ref="BP71:DG71" ca="1" si="170">BP$23+BP$52+BP$68</f>
        <v>10532.623812014712</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-40.660872492668624</v>
      </c>
      <c r="DE71" s="1147">
        <f t="shared" ca="1" si="170"/>
        <v>0</v>
      </c>
      <c r="DF71" s="1147">
        <f t="shared" ca="1" si="170"/>
        <v>0</v>
      </c>
      <c r="DG71" s="1147">
        <f t="shared" ca="1" si="170"/>
        <v>0</v>
      </c>
      <c r="DI71" s="1085">
        <f ca="1">SUM(BP71:DG71)</f>
        <v>10491.962939522044</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5849.210459291693</v>
      </c>
    </row>
    <row r="75" spans="2:113">
      <c r="B75" s="2555"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5747.5586114860871</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5">
        <f ca="1">DI74/DI75</f>
        <v>1.0176860915524135</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xl/worksheets/sheet62.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F6" activePane="bottomRight" state="frozen"/>
      <selection activeCell="Y9" sqref="Y9"/>
      <selection pane="topRight" activeCell="Y9" sqref="Y9"/>
      <selection pane="bottomLeft" activeCell="Y9" sqref="Y9"/>
      <selection pane="bottomRight" activeCell="F6" sqref="F6"/>
    </sheetView>
  </sheetViews>
  <sheetFormatPr defaultColWidth="8.85546875" defaultRowHeight="12.75" outlineLevelRow="1" outlineLevelCol="2"/>
  <cols>
    <col min="1" max="1" width="6.140625" style="2555" customWidth="1"/>
    <col min="2" max="2" width="1.42578125" style="2555" customWidth="1"/>
    <col min="3" max="3" width="4.42578125" style="621" customWidth="1"/>
    <col min="4" max="4" width="5.140625" style="730" customWidth="1"/>
    <col min="5" max="5" width="41.7109375" style="730" customWidth="1"/>
    <col min="6" max="6" width="1.140625" style="2555"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5"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5" customWidth="1" outlineLevel="1"/>
    <col min="40" max="58" width="10" style="730" customWidth="1" outlineLevel="2"/>
    <col min="59" max="59" width="10" style="730" customWidth="1" outlineLevel="1"/>
    <col min="60" max="60" width="1.140625" style="2555" customWidth="1" outlineLevel="1"/>
    <col min="61" max="62" width="10" style="730" customWidth="1" outlineLevel="2"/>
    <col min="63" max="63" width="10" style="730" customWidth="1" outlineLevel="1"/>
    <col min="64" max="64" width="1.140625" style="2555" customWidth="1" outlineLevel="1"/>
    <col min="65" max="65" width="11" style="730" customWidth="1" outlineLevel="1"/>
    <col min="66" max="66" width="5.28515625" style="730" customWidth="1"/>
    <col min="67" max="67" width="8.85546875" style="2555"/>
    <col min="68" max="111" width="7.42578125" style="2555" customWidth="1"/>
    <col min="112" max="112" width="2.42578125" style="2555" customWidth="1"/>
    <col min="113" max="16384" width="8.85546875" style="2555"/>
  </cols>
  <sheetData>
    <row r="1" spans="1:113" ht="9" customHeight="1"/>
    <row r="2" spans="1:113" ht="21" customHeight="1">
      <c r="D2" s="718"/>
      <c r="E2" s="986">
        <v>2052</v>
      </c>
      <c r="G2" s="2555"/>
      <c r="H2" s="2555"/>
      <c r="I2" s="2555"/>
      <c r="J2" s="2555"/>
      <c r="K2" s="2555"/>
      <c r="L2" s="2555"/>
      <c r="M2" s="2555"/>
      <c r="N2" s="2555"/>
      <c r="O2" s="2555"/>
      <c r="P2" s="2555"/>
      <c r="Q2" s="2555"/>
      <c r="R2" s="2555"/>
      <c r="T2" s="2555"/>
      <c r="U2" s="2555"/>
      <c r="V2" s="2555"/>
      <c r="W2" s="2555"/>
      <c r="X2" s="2555"/>
      <c r="Y2" s="2555"/>
      <c r="Z2" s="2555"/>
      <c r="AA2" s="2555"/>
      <c r="AB2" s="2555"/>
      <c r="AC2" s="2555"/>
      <c r="AD2" s="2555"/>
      <c r="AE2" s="2555"/>
      <c r="AF2" s="2555"/>
      <c r="AG2" s="2555"/>
      <c r="AH2" s="2555"/>
      <c r="AI2" s="2555"/>
      <c r="AJ2" s="2555"/>
      <c r="AK2" s="2555"/>
      <c r="AL2" s="2555"/>
      <c r="AN2" s="2555"/>
      <c r="AO2" s="2555"/>
      <c r="AP2" s="2555"/>
      <c r="AQ2" s="2555"/>
      <c r="AR2" s="2555"/>
      <c r="AS2" s="2555"/>
      <c r="AT2" s="2555"/>
      <c r="AU2" s="2555"/>
      <c r="AV2" s="2555"/>
      <c r="AW2" s="2555"/>
      <c r="AX2" s="2555"/>
      <c r="AY2" s="2555"/>
      <c r="AZ2" s="2555"/>
      <c r="BA2" s="2555"/>
      <c r="BB2" s="2555"/>
      <c r="BC2" s="2555"/>
      <c r="BD2" s="2555"/>
      <c r="BE2" s="2555"/>
      <c r="BF2" s="2555"/>
      <c r="BG2" s="2555"/>
      <c r="BI2" s="2555"/>
      <c r="BJ2" s="2555"/>
      <c r="BK2" s="2555"/>
      <c r="BM2" s="2555"/>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hidden="1"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2671.8455088986261</v>
      </c>
      <c r="H10" s="1051">
        <f t="shared" ca="1" si="0"/>
        <v>0</v>
      </c>
      <c r="I10" s="1051">
        <f t="shared" ca="1" si="0"/>
        <v>0</v>
      </c>
      <c r="J10" s="1051">
        <f t="shared" ca="1" si="0"/>
        <v>0</v>
      </c>
      <c r="K10" s="1051">
        <f t="shared" ca="1" si="0"/>
        <v>0</v>
      </c>
      <c r="L10" s="1051">
        <f t="shared" ca="1" si="0"/>
        <v>0</v>
      </c>
      <c r="M10" s="1051">
        <f t="shared" ca="1" si="0"/>
        <v>5.5110135597591092E-12</v>
      </c>
      <c r="N10" s="1051">
        <f t="shared" ca="1" si="0"/>
        <v>0</v>
      </c>
      <c r="O10" s="1051">
        <f t="shared" ca="1" si="0"/>
        <v>0</v>
      </c>
      <c r="P10" s="1051">
        <f t="shared" ca="1" si="0"/>
        <v>0</v>
      </c>
      <c r="Q10" s="1051">
        <f t="shared" ca="1" si="0"/>
        <v>0</v>
      </c>
      <c r="R10" s="1051">
        <f ca="1">SUM(G10:Q10)</f>
        <v>2671.8455088986316</v>
      </c>
      <c r="T10" s="1053">
        <f t="shared" ref="T10:BF11" ca="1" si="1">IFERROR(INDEX(INDIRECT($C10&amp;".Outputs["&amp;this.year&amp;"]"), MATCH(T$5, INDIRECT($C10&amp;".Outputs[Vector]"), 0)), 0)</f>
        <v>-2671.8455088986316</v>
      </c>
      <c r="U10" s="1053">
        <f t="shared" ca="1" si="1"/>
        <v>0</v>
      </c>
      <c r="V10" s="1053">
        <f t="shared" ca="1" si="1"/>
        <v>0</v>
      </c>
      <c r="W10" s="1053">
        <f t="shared" ca="1" si="1"/>
        <v>0</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-2671.8455088986316</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0</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0</v>
      </c>
    </row>
    <row r="11" spans="1:113" s="51" customFormat="1" ht="12.75" hidden="1" customHeight="1" outlineLevel="1">
      <c r="A11" s="1061"/>
      <c r="B11" s="1061"/>
      <c r="C11" s="1048" t="s">
        <v>301</v>
      </c>
      <c r="D11" s="1064" t="str">
        <f>INDEX(Modules[Module], MATCH($C11, Modules[Code], 0))</f>
        <v>Commercial Lighting &amp; Appliances</v>
      </c>
      <c r="E11" s="1064"/>
      <c r="G11" s="1065">
        <f t="shared" ca="1" si="0"/>
        <v>0</v>
      </c>
      <c r="H11" s="1065">
        <f t="shared" ca="1" si="0"/>
        <v>1032.7539765340366</v>
      </c>
      <c r="I11" s="1065">
        <f t="shared" ca="1" si="0"/>
        <v>0</v>
      </c>
      <c r="J11" s="1065">
        <f t="shared" ca="1" si="0"/>
        <v>0</v>
      </c>
      <c r="K11" s="1065">
        <f t="shared" ca="1" si="0"/>
        <v>0</v>
      </c>
      <c r="L11" s="1065">
        <f t="shared" ca="1" si="0"/>
        <v>0</v>
      </c>
      <c r="M11" s="1065">
        <f t="shared" ca="1" si="0"/>
        <v>-0.40944569734431091</v>
      </c>
      <c r="N11" s="1065">
        <f t="shared" ca="1" si="0"/>
        <v>0</v>
      </c>
      <c r="O11" s="1065">
        <f t="shared" ca="1" si="0"/>
        <v>0</v>
      </c>
      <c r="P11" s="1065">
        <f t="shared" ca="1" si="0"/>
        <v>0</v>
      </c>
      <c r="Q11" s="1065">
        <f t="shared" ca="1" si="0"/>
        <v>0</v>
      </c>
      <c r="R11" s="1065">
        <f ca="1">SUM(G11:Q11)</f>
        <v>1032.3445308366922</v>
      </c>
      <c r="T11" s="1066">
        <f t="shared" ca="1" si="1"/>
        <v>-1032.3445308366922</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-1032.3445308366922</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ollapsed="1">
      <c r="A12" s="17"/>
      <c r="B12" s="53"/>
      <c r="C12" s="711" t="s">
        <v>196</v>
      </c>
      <c r="D12" s="710" t="str">
        <f>INDEX(Workstreams[Workstream], MATCH($C12, Workstreams[Code], 0))</f>
        <v>Lighting and appliances</v>
      </c>
      <c r="E12" s="41"/>
      <c r="G12" s="1071">
        <f ca="1">G10+G11</f>
        <v>2671.8455088986261</v>
      </c>
      <c r="H12" s="1071">
        <f t="shared" ref="H12:Q12" ca="1" si="11">H10+H11</f>
        <v>1032.7539765340366</v>
      </c>
      <c r="I12" s="1071">
        <f t="shared" ca="1" si="11"/>
        <v>0</v>
      </c>
      <c r="J12" s="1071">
        <f t="shared" ca="1" si="11"/>
        <v>0</v>
      </c>
      <c r="K12" s="1071">
        <f t="shared" ca="1" si="11"/>
        <v>0</v>
      </c>
      <c r="L12" s="1071">
        <f t="shared" ca="1" si="11"/>
        <v>0</v>
      </c>
      <c r="M12" s="1071">
        <f ca="1">M11+M10</f>
        <v>-0.40944569733879987</v>
      </c>
      <c r="N12" s="1071">
        <f t="shared" ca="1" si="11"/>
        <v>0</v>
      </c>
      <c r="O12" s="1071">
        <f t="shared" ca="1" si="11"/>
        <v>0</v>
      </c>
      <c r="P12" s="1071">
        <f t="shared" ca="1" si="11"/>
        <v>0</v>
      </c>
      <c r="Q12" s="1071">
        <f t="shared" ca="1" si="11"/>
        <v>0</v>
      </c>
      <c r="R12" s="1071">
        <f ca="1">SUM(G12:Q12)</f>
        <v>3704.1900397353238</v>
      </c>
      <c r="T12" s="1043">
        <f ca="1">T10+T11</f>
        <v>-3704.1900397353238</v>
      </c>
      <c r="U12" s="1043">
        <f t="shared" ref="U12:AK12" ca="1" si="12">U10+U11</f>
        <v>0</v>
      </c>
      <c r="V12" s="1043">
        <f t="shared" ca="1" si="12"/>
        <v>0</v>
      </c>
      <c r="W12" s="1043">
        <f t="shared" ca="1" si="12"/>
        <v>0</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-3704.1900397353238</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0</v>
      </c>
      <c r="BN12" s="1046"/>
      <c r="BO12" s="97"/>
      <c r="BP12" s="1058">
        <f t="shared" ref="BP12:DG12" ca="1" si="14">BP10+BP11</f>
        <v>0</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0</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12793.271831310853</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12793.271831310853</v>
      </c>
      <c r="T13" s="1066">
        <f t="shared" ref="T13:BF13" ca="1" si="16">IFERROR(INDEX(INDIRECT($C13&amp;".Outputs["&amp;this.year&amp;"]"), MATCH(T$5, INDIRECT($C13&amp;".Outputs[Vector]"), 0)), 0)</f>
        <v>-2061.261323802787</v>
      </c>
      <c r="U13" s="1066">
        <f t="shared" ca="1" si="16"/>
        <v>0</v>
      </c>
      <c r="V13" s="1066">
        <f t="shared" ca="1" si="16"/>
        <v>-6573.3999411380282</v>
      </c>
      <c r="W13" s="1066">
        <f t="shared" ca="1" si="16"/>
        <v>-2729.4564074690747</v>
      </c>
      <c r="X13" s="1066">
        <f t="shared" ca="1" si="16"/>
        <v>-1429.1541589009614</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-12793.271831310853</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0</v>
      </c>
      <c r="BN13" s="1063"/>
      <c r="BO13" s="97"/>
      <c r="BP13" s="1069">
        <f t="shared" ref="BP13:DG13" ca="1" si="18">IFERROR(SUMIFS(INDIRECT($C13&amp;".Emissions["&amp;this.year&amp;"]"), INDIRECT($C13&amp;".Emissions[GHG]"), BP$6, INDIRECT($C13&amp;".Emissions[IPCC Sector]"), BP$5),0)</f>
        <v>3101.3573292036504</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3101.3573292036504</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12793.271831310853</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12793.271831310853</v>
      </c>
      <c r="T14" s="1043">
        <f t="shared" ref="T14:AK14" ca="1" si="20">T13</f>
        <v>-2061.261323802787</v>
      </c>
      <c r="U14" s="1043">
        <f t="shared" ca="1" si="20"/>
        <v>0</v>
      </c>
      <c r="V14" s="1043">
        <f t="shared" ca="1" si="20"/>
        <v>-6573.3999411380282</v>
      </c>
      <c r="W14" s="1043">
        <f t="shared" ca="1" si="20"/>
        <v>-2729.4564074690747</v>
      </c>
      <c r="X14" s="1043">
        <f t="shared" ca="1" si="20"/>
        <v>-1429.1541589009614</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-12793.271831310853</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0</v>
      </c>
      <c r="BN14" s="1046"/>
      <c r="BO14" s="97"/>
      <c r="BP14" s="1058">
        <f t="shared" ref="BP14:DG14" ca="1" si="22">BP13</f>
        <v>3101.3573292036504</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3101.3573292036504</v>
      </c>
    </row>
    <row r="15" spans="1:113" s="51" customFormat="1" ht="12.75" hidden="1"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3523.2171279720242</v>
      </c>
      <c r="K15" s="1051">
        <f t="shared" ca="1" si="23"/>
        <v>28.836046604250264</v>
      </c>
      <c r="L15" s="1051">
        <f t="shared" ca="1" si="23"/>
        <v>308.54143863315306</v>
      </c>
      <c r="M15" s="1051">
        <f t="shared" ca="1" si="23"/>
        <v>0</v>
      </c>
      <c r="N15" s="1051">
        <f t="shared" ca="1" si="23"/>
        <v>0</v>
      </c>
      <c r="O15" s="1051">
        <f t="shared" ca="1" si="23"/>
        <v>0</v>
      </c>
      <c r="P15" s="1051">
        <f t="shared" ca="1" si="23"/>
        <v>0</v>
      </c>
      <c r="Q15" s="1051">
        <f t="shared" ca="1" si="23"/>
        <v>0</v>
      </c>
      <c r="R15" s="1071">
        <f t="shared" ref="R15:R23" ca="1" si="24">SUM(G15:Q15)</f>
        <v>3860.5946132094277</v>
      </c>
      <c r="T15" s="1053">
        <f t="shared" ref="T15:BF16" ca="1" si="25">IFERROR(INDEX(INDIRECT($C15&amp;".Outputs["&amp;this.year&amp;"]"), MATCH(T$5, INDIRECT($C15&amp;".Outputs[Vector]"), 0)), 0)</f>
        <v>-28.239990009727272</v>
      </c>
      <c r="U15" s="1053">
        <f t="shared" ca="1" si="25"/>
        <v>0</v>
      </c>
      <c r="V15" s="1053">
        <f t="shared" ca="1" si="25"/>
        <v>0</v>
      </c>
      <c r="W15" s="1053">
        <f t="shared" ca="1" si="25"/>
        <v>-3607.3775359599595</v>
      </c>
      <c r="X15" s="1053">
        <f t="shared" ca="1" si="25"/>
        <v>-224.97708723974054</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-3860.5946132094273</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4.5474735088646412E-13</v>
      </c>
      <c r="BN15" s="1063"/>
      <c r="BO15" s="97"/>
      <c r="BP15" s="1057">
        <f t="shared" ref="BP15:BY16" ca="1" si="30">IFERROR(SUMIFS(INDIRECT($C15&amp;".Emissions["&amp;this.year&amp;"]"), INDIRECT($C15&amp;".Emissions[GHG]"), BP$6, INDIRECT($C15&amp;".Emissions[IPCC Sector]"), BP$5),0)</f>
        <v>1006.9327281413277</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1006.9327281413277</v>
      </c>
    </row>
    <row r="16" spans="1:113" s="51" customFormat="1" ht="12.75" hidden="1"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3084.8058002968705</v>
      </c>
      <c r="K16" s="1051">
        <f t="shared" ca="1" si="23"/>
        <v>109.15138474398897</v>
      </c>
      <c r="L16" s="1051">
        <f t="shared" ca="1" si="23"/>
        <v>16.286177175741408</v>
      </c>
      <c r="M16" s="1051">
        <f t="shared" ca="1" si="23"/>
        <v>0</v>
      </c>
      <c r="N16" s="1051">
        <f t="shared" ca="1" si="23"/>
        <v>0</v>
      </c>
      <c r="O16" s="1051">
        <f t="shared" ca="1" si="23"/>
        <v>0</v>
      </c>
      <c r="P16" s="1051">
        <f t="shared" ca="1" si="23"/>
        <v>0</v>
      </c>
      <c r="Q16" s="1051">
        <f t="shared" ca="1" si="23"/>
        <v>0</v>
      </c>
      <c r="R16" s="1071">
        <f t="shared" ca="1" si="24"/>
        <v>3210.2433622166013</v>
      </c>
      <c r="T16" s="1053">
        <f t="shared" ca="1" si="25"/>
        <v>-35.946658228245852</v>
      </c>
      <c r="U16" s="1053">
        <f t="shared" ca="1" si="25"/>
        <v>0</v>
      </c>
      <c r="V16" s="1053">
        <f t="shared" ca="1" si="25"/>
        <v>0</v>
      </c>
      <c r="W16" s="1053">
        <f t="shared" ca="1" si="25"/>
        <v>-3174.2967039883551</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-3210.2433622166009</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4.5474735088646412E-13</v>
      </c>
      <c r="BN16" s="1063"/>
      <c r="BO16" s="97"/>
      <c r="BP16" s="1057">
        <f t="shared" ca="1" si="30"/>
        <v>846.6610813217435</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846.6610813217435</v>
      </c>
    </row>
    <row r="17" spans="1:113" s="51" customFormat="1" ht="15.75" collapsed="1">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6608.0229282688942</v>
      </c>
      <c r="K17" s="1071">
        <f t="shared" ca="1" si="34"/>
        <v>137.98743134823923</v>
      </c>
      <c r="L17" s="1071">
        <f t="shared" ca="1" si="34"/>
        <v>324.82761580889445</v>
      </c>
      <c r="M17" s="1071">
        <f t="shared" ca="1" si="34"/>
        <v>0</v>
      </c>
      <c r="N17" s="1071">
        <f t="shared" ca="1" si="34"/>
        <v>0</v>
      </c>
      <c r="O17" s="1071">
        <f t="shared" ca="1" si="34"/>
        <v>0</v>
      </c>
      <c r="P17" s="1071">
        <f t="shared" ca="1" si="34"/>
        <v>0</v>
      </c>
      <c r="Q17" s="1071">
        <f t="shared" ca="1" si="34"/>
        <v>0</v>
      </c>
      <c r="R17" s="1071">
        <f t="shared" ca="1" si="24"/>
        <v>7070.8379754260286</v>
      </c>
      <c r="T17" s="1043">
        <f ca="1">T15+T16</f>
        <v>-64.186648237973117</v>
      </c>
      <c r="U17" s="1043">
        <f t="shared" ref="U17:AK17" ca="1" si="35">U15+U16</f>
        <v>0</v>
      </c>
      <c r="V17" s="1043">
        <f t="shared" ca="1" si="35"/>
        <v>0</v>
      </c>
      <c r="W17" s="1043">
        <f t="shared" ca="1" si="35"/>
        <v>-6781.6742399483146</v>
      </c>
      <c r="X17" s="1043">
        <f t="shared" ca="1" si="35"/>
        <v>-224.97708723974054</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-7070.8379754260277</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9.0949470177292824E-13</v>
      </c>
      <c r="BN17" s="1046"/>
      <c r="BO17" s="97"/>
      <c r="BP17" s="1058">
        <f ca="1">BP15+BP16</f>
        <v>1853.5938094630712</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1853.5938094630712</v>
      </c>
    </row>
    <row r="18" spans="1:113" s="51" customFormat="1" ht="12.75" hidden="1"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1079.9753438946816</v>
      </c>
      <c r="Q18" s="1065">
        <f t="shared" ca="1" si="38"/>
        <v>0</v>
      </c>
      <c r="R18" s="1071">
        <f t="shared" ca="1" si="24"/>
        <v>1079.9753438946816</v>
      </c>
      <c r="T18" s="1066">
        <f t="shared" ref="T18:BF19" ca="1" si="39">IFERROR(INDEX(INDIRECT($C18&amp;".Outputs["&amp;this.year&amp;"]"), MATCH(T$5, INDIRECT($C18&amp;".Outputs[Vector]"), 0)), 0)</f>
        <v>-29.2476501509129</v>
      </c>
      <c r="U18" s="1066">
        <f t="shared" ca="1" si="39"/>
        <v>0</v>
      </c>
      <c r="V18" s="1066">
        <f t="shared" ca="1" si="39"/>
        <v>-655.18062965232855</v>
      </c>
      <c r="W18" s="1066">
        <f t="shared" ca="1" si="39"/>
        <v>-176.20665024072537</v>
      </c>
      <c r="X18" s="1066">
        <f t="shared" ca="1" si="39"/>
        <v>-219.3404138507149</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-1079.9753438946818</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-2.2737367544323206E-13</v>
      </c>
      <c r="BN18" s="1046"/>
      <c r="BO18" s="17"/>
      <c r="BP18" s="1058"/>
      <c r="BQ18" s="1058"/>
      <c r="BR18" s="1058"/>
      <c r="BS18" s="1058"/>
      <c r="BT18" s="1058"/>
      <c r="BU18" s="1058"/>
      <c r="BV18" s="1058"/>
      <c r="BW18" s="1058"/>
      <c r="BX18" s="1058"/>
      <c r="BY18" s="1058"/>
      <c r="BZ18" s="1058"/>
      <c r="CA18" s="1058"/>
      <c r="CB18" s="1058"/>
      <c r="CC18" s="1058"/>
      <c r="CD18" s="1058"/>
      <c r="CE18" s="1058"/>
      <c r="CF18" s="1058"/>
      <c r="CG18" s="1058"/>
      <c r="CH18" s="1058"/>
      <c r="CI18" s="1058"/>
      <c r="CJ18" s="1058"/>
      <c r="CK18" s="1058"/>
      <c r="CL18" s="1058"/>
      <c r="CM18" s="1058"/>
      <c r="CN18" s="1058"/>
      <c r="CO18" s="1058"/>
      <c r="CP18" s="1058"/>
      <c r="CQ18" s="1058"/>
      <c r="CR18" s="1058"/>
      <c r="CS18" s="1058"/>
      <c r="CT18" s="1058"/>
      <c r="CU18" s="1058"/>
      <c r="CV18" s="1058"/>
      <c r="CW18" s="1058"/>
      <c r="CX18" s="1058"/>
      <c r="CY18" s="1058"/>
      <c r="CZ18" s="1058"/>
      <c r="DA18" s="1058"/>
      <c r="DB18" s="1058"/>
      <c r="DC18" s="1058"/>
      <c r="DD18" s="1058"/>
      <c r="DE18" s="1058"/>
      <c r="DF18" s="1058"/>
      <c r="DG18" s="1058"/>
      <c r="DI18" s="1059">
        <f t="shared" si="10"/>
        <v>0</v>
      </c>
    </row>
    <row r="19" spans="1:113" s="51" customFormat="1" ht="12.75" hidden="1"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988.89914367303845</v>
      </c>
      <c r="R19" s="1071">
        <f t="shared" ca="1" si="24"/>
        <v>988.89914367303845</v>
      </c>
      <c r="T19" s="1066">
        <f t="shared" ca="1" si="39"/>
        <v>0</v>
      </c>
      <c r="U19" s="1066">
        <f t="shared" ca="1" si="39"/>
        <v>0</v>
      </c>
      <c r="V19" s="1066">
        <f t="shared" ca="1" si="39"/>
        <v>0</v>
      </c>
      <c r="W19" s="1066">
        <f t="shared" ca="1" si="39"/>
        <v>-731.29091674620997</v>
      </c>
      <c r="X19" s="1066">
        <f t="shared" ca="1" si="39"/>
        <v>-257.60822692682848</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-988.89914367303845</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0</v>
      </c>
      <c r="BN19" s="1063"/>
      <c r="BO19" s="97"/>
      <c r="BP19" s="1069">
        <f t="shared" ref="BP19:DG19" ca="1" si="42">IFERROR(SUMIFS(INDIRECT($C19&amp;".Emissions["&amp;this.year&amp;"]"), INDIRECT($C19&amp;".Emissions[GHG]"), BP$6, INDIRECT($C19&amp;".Emissions[IPCC Sector]"), BP$5),0)</f>
        <v>246.3033097633579</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246.3033097633579</v>
      </c>
    </row>
    <row r="20" spans="1:113" s="51" customFormat="1" ht="15.75" collapsed="1">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1079.9753438946816</v>
      </c>
      <c r="Q20" s="1071">
        <f t="shared" ca="1" si="43"/>
        <v>988.89914367303845</v>
      </c>
      <c r="R20" s="1071">
        <f t="shared" ca="1" si="24"/>
        <v>2068.8744875677203</v>
      </c>
      <c r="T20" s="1043">
        <f ca="1">T19+T18</f>
        <v>-29.2476501509129</v>
      </c>
      <c r="U20" s="1043">
        <f t="shared" ref="U20:AK20" ca="1" si="44">U19+U18</f>
        <v>0</v>
      </c>
      <c r="V20" s="1043">
        <f t="shared" ca="1" si="44"/>
        <v>-655.18062965232855</v>
      </c>
      <c r="W20" s="1043">
        <f t="shared" ca="1" si="44"/>
        <v>-907.49756698693534</v>
      </c>
      <c r="X20" s="1043">
        <f t="shared" ca="1" si="44"/>
        <v>-476.94864077754335</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-2068.8744875677203</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0</v>
      </c>
      <c r="BN20" s="1046"/>
      <c r="BO20" s="97"/>
      <c r="BP20" s="1058">
        <f t="shared" ref="BP20:DG20" ca="1" si="46">BP19</f>
        <v>246.3033097633579</v>
      </c>
      <c r="BQ20" s="1058">
        <f t="shared" ca="1" si="46"/>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246.3033097633579</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1134.4954568667354</v>
      </c>
      <c r="O21" s="1065">
        <f t="shared" ca="1" si="47"/>
        <v>0</v>
      </c>
      <c r="P21" s="1065">
        <f t="shared" ca="1" si="47"/>
        <v>0</v>
      </c>
      <c r="Q21" s="1065">
        <f t="shared" ca="1" si="47"/>
        <v>0</v>
      </c>
      <c r="R21" s="1071">
        <f t="shared" ca="1" si="24"/>
        <v>1134.4954568667354</v>
      </c>
      <c r="T21" s="1066">
        <f t="shared" ref="T21:BF22" ca="1" si="48">IFERROR(INDEX(INDIRECT($C21&amp;".Outputs["&amp;this.year&amp;"]"), MATCH(T$5, INDIRECT($C21&amp;".Outputs[Vector]"), 0)), 0)</f>
        <v>-723.71929535837114</v>
      </c>
      <c r="U21" s="1066">
        <f t="shared" ca="1" si="48"/>
        <v>0</v>
      </c>
      <c r="V21" s="1066">
        <f t="shared" ca="1" si="48"/>
        <v>0</v>
      </c>
      <c r="W21" s="1066">
        <f t="shared" ca="1" si="48"/>
        <v>-410.77616150836423</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-1134.4954568667354</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109.56385666370986</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109.56385666370986</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299.8511332140688</v>
      </c>
      <c r="P22" s="1065">
        <f t="shared" ca="1" si="47"/>
        <v>0</v>
      </c>
      <c r="Q22" s="1065">
        <f t="shared" ca="1" si="47"/>
        <v>0</v>
      </c>
      <c r="R22" s="1071">
        <f t="shared" ca="1" si="24"/>
        <v>299.8511332140688</v>
      </c>
      <c r="T22" s="1066">
        <f t="shared" ca="1" si="48"/>
        <v>-97.952342914769488</v>
      </c>
      <c r="U22" s="1066">
        <f t="shared" ca="1" si="48"/>
        <v>0</v>
      </c>
      <c r="V22" s="1066">
        <f t="shared" ca="1" si="48"/>
        <v>0</v>
      </c>
      <c r="W22" s="1066">
        <f t="shared" ca="1" si="48"/>
        <v>-197.63999278126585</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-4.2587975180334565</v>
      </c>
      <c r="AK22" s="1066">
        <f t="shared" ca="1" si="48"/>
        <v>0</v>
      </c>
      <c r="AL22" s="1043">
        <f t="shared" ca="1" si="3"/>
        <v>-299.8511332140688</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52.715327395312691</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52.715327395312691</v>
      </c>
    </row>
    <row r="23" spans="1:113" s="51" customFormat="1" ht="15.75">
      <c r="B23" s="53"/>
      <c r="C23" s="1076" t="s">
        <v>1107</v>
      </c>
      <c r="D23" s="1077" t="s">
        <v>1108</v>
      </c>
      <c r="E23" s="1078"/>
      <c r="G23" s="1079">
        <f ca="1">G$9+G$12+G$14+G$17+G$20+G$21+G$22</f>
        <v>2671.8455088986261</v>
      </c>
      <c r="H23" s="1079">
        <f t="shared" ref="H23:Q23" ca="1" si="52">H$9+H$12+H$14+H$17+H$20+H$21+H$22</f>
        <v>1032.7539765340366</v>
      </c>
      <c r="I23" s="1079">
        <f t="shared" ca="1" si="52"/>
        <v>12793.271831310853</v>
      </c>
      <c r="J23" s="1079">
        <f t="shared" ca="1" si="52"/>
        <v>6608.0229282688942</v>
      </c>
      <c r="K23" s="1079">
        <f t="shared" ca="1" si="52"/>
        <v>137.98743134823923</v>
      </c>
      <c r="L23" s="1079">
        <f t="shared" ca="1" si="52"/>
        <v>324.82761580889445</v>
      </c>
      <c r="M23" s="1079">
        <f ca="1">M$12+M$14+M$17+M$20+M$21+M$22</f>
        <v>-0.40944569733879987</v>
      </c>
      <c r="N23" s="1079">
        <f t="shared" ca="1" si="52"/>
        <v>1134.4954568667354</v>
      </c>
      <c r="O23" s="1079">
        <f t="shared" ca="1" si="52"/>
        <v>299.8511332140688</v>
      </c>
      <c r="P23" s="1079">
        <f t="shared" ca="1" si="52"/>
        <v>1079.9753438946816</v>
      </c>
      <c r="Q23" s="1079">
        <f t="shared" ca="1" si="52"/>
        <v>988.89914367303845</v>
      </c>
      <c r="R23" s="2400">
        <f t="shared" ca="1" si="24"/>
        <v>27071.52092412073</v>
      </c>
      <c r="T23" s="1080">
        <f ca="1">T$9+T$12+T$14+T$17+T$20+T$21+T$22</f>
        <v>-6680.5573002001365</v>
      </c>
      <c r="U23" s="1080">
        <f t="shared" ref="U23:AK23" ca="1" si="53">U$9+U$12+U$14+U$17+U$20+U$21+U$22</f>
        <v>0</v>
      </c>
      <c r="V23" s="1080">
        <f t="shared" ca="1" si="53"/>
        <v>-7228.5805707903564</v>
      </c>
      <c r="W23" s="1080">
        <f t="shared" ca="1" si="53"/>
        <v>-11027.044368693952</v>
      </c>
      <c r="X23" s="1080">
        <f t="shared" ca="1" si="53"/>
        <v>-2131.0798869182454</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-4.2587975180334565</v>
      </c>
      <c r="AK23" s="1080">
        <f t="shared" ca="1" si="53"/>
        <v>0</v>
      </c>
      <c r="AL23" s="1080">
        <f t="shared" ca="1" si="3"/>
        <v>-27071.520924120723</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7.2759576141834259E-12</v>
      </c>
      <c r="BN23" s="1083"/>
      <c r="BP23" s="1084">
        <f t="shared" ref="BP23:DG23" ca="1" si="55">BP$9+BP$12+BP$14+BP$17+BP$20+BP$21</f>
        <v>5310.8183050937896</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5310.8183050937896</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20.735000000000003</v>
      </c>
      <c r="V26" s="1073">
        <f t="shared" ca="1" si="59"/>
        <v>-82.940000000000012</v>
      </c>
      <c r="W26" s="1073">
        <f t="shared" ca="1" si="59"/>
        <v>0</v>
      </c>
      <c r="X26" s="1073">
        <f t="shared" ca="1" si="59"/>
        <v>15.984229676339865</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-15.984229676339865</v>
      </c>
      <c r="AI26" s="1073">
        <f t="shared" ca="1" si="59"/>
        <v>0</v>
      </c>
      <c r="AJ26" s="1073">
        <f t="shared" ca="1" si="59"/>
        <v>0</v>
      </c>
      <c r="AK26" s="1073">
        <f t="shared" ca="1" si="59"/>
        <v>0</v>
      </c>
      <c r="AL26" s="1066">
        <f t="shared" ref="AL26:AL34" ca="1" si="60">SUM(T26:AK26)</f>
        <v>-62.205000000000013</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62.205000000000013</v>
      </c>
      <c r="BJ26" s="1075">
        <f t="shared" ca="1" si="63"/>
        <v>0</v>
      </c>
      <c r="BK26" s="1045">
        <f t="shared" ca="1" si="56"/>
        <v>62.205000000000013</v>
      </c>
      <c r="BM26" s="1046">
        <f t="shared" ca="1" si="5"/>
        <v>0</v>
      </c>
      <c r="BN26" s="1046"/>
      <c r="BO26" s="17"/>
      <c r="BP26" s="1069">
        <f t="shared" ref="BP26:DG30" ca="1" si="64">IFERROR(SUMIFS(INDIRECT($C26&amp;".Emissions["&amp;this.year&amp;"]"), INDIRECT($C26&amp;".Emissions[GHG]"), BP$6, INDIRECT($C26&amp;".Emissions[IPCC Sector]"), BP$5),0)</f>
        <v>28.788206451612908</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-3.1800204303455097</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25.608186021267397</v>
      </c>
    </row>
    <row r="27" spans="1:113" s="1087" customFormat="1" ht="15"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54.656933937500007</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-1.01891440625</v>
      </c>
      <c r="AG27" s="1073">
        <f t="shared" ca="1" si="59"/>
        <v>-52.874250000000011</v>
      </c>
      <c r="AH27" s="1073">
        <f t="shared" ca="1" si="59"/>
        <v>-0.76376953125000002</v>
      </c>
      <c r="AI27" s="1073">
        <f t="shared" ca="1" si="59"/>
        <v>0</v>
      </c>
      <c r="AJ27" s="1073">
        <f t="shared" ca="1" si="59"/>
        <v>0</v>
      </c>
      <c r="AK27" s="1073">
        <f t="shared" ca="1" si="59"/>
        <v>0</v>
      </c>
      <c r="AL27" s="1066">
        <f t="shared" ca="1" si="60"/>
        <v>-1.4432899320127035E-15</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-1.4432899320127035E-15</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-14.578315483587705</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-14.578315483587705</v>
      </c>
    </row>
    <row r="28" spans="1:113" s="51" customFormat="1" ht="12"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0.76376953125000002</v>
      </c>
      <c r="AI28" s="1073">
        <f t="shared" ca="1" si="59"/>
        <v>0</v>
      </c>
      <c r="AJ28" s="1073">
        <f t="shared" ca="1" si="59"/>
        <v>0</v>
      </c>
      <c r="AK28" s="1073">
        <f t="shared" ca="1" si="59"/>
        <v>0</v>
      </c>
      <c r="AL28" s="1066">
        <f t="shared" ca="1" si="60"/>
        <v>0.76376953125000002</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-0.76376953125000002</v>
      </c>
      <c r="BG28" s="1067">
        <f t="shared" ca="1" si="62"/>
        <v>-0.76376953125000002</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1.01891440625</v>
      </c>
      <c r="AG29" s="1073">
        <f t="shared" ca="1" si="59"/>
        <v>983.10225000000003</v>
      </c>
      <c r="AH29" s="1073">
        <f t="shared" ca="1" si="59"/>
        <v>15.984229676339865</v>
      </c>
      <c r="AI29" s="1073">
        <f t="shared" ca="1" si="59"/>
        <v>0</v>
      </c>
      <c r="AJ29" s="1073">
        <f t="shared" ca="1" si="59"/>
        <v>0</v>
      </c>
      <c r="AK29" s="1073">
        <f t="shared" ca="1" si="59"/>
        <v>0</v>
      </c>
      <c r="AL29" s="1066">
        <f t="shared" ca="1" si="60"/>
        <v>1000.1053940825899</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-1.01891440625</v>
      </c>
      <c r="BF29" s="1074">
        <f t="shared" ca="1" si="66"/>
        <v>-999.08647967633988</v>
      </c>
      <c r="BG29" s="1067">
        <f t="shared" ca="1" si="62"/>
        <v>-1000.1053940825899</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-28.788206451612908</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-28.788206451612908</v>
      </c>
    </row>
    <row r="30" spans="1:113" s="51" customFormat="1" ht="12"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930.22800000000007</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-930.22800000000007</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-294.09093161290326</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-294.09093161290326</v>
      </c>
    </row>
    <row r="31" spans="1:113" s="51" customFormat="1" ht="12" customHeight="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20.735000000000003</v>
      </c>
      <c r="V31" s="1073">
        <f t="shared" ca="1" si="68"/>
        <v>847.28800000000001</v>
      </c>
      <c r="W31" s="1073">
        <f t="shared" ca="1" si="68"/>
        <v>54.656933937500007</v>
      </c>
      <c r="X31" s="1073">
        <f t="shared" ca="1" si="68"/>
        <v>15.984229676339865</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1.7763568394002505E-15</v>
      </c>
      <c r="AI31" s="1073">
        <f t="shared" ca="1" si="68"/>
        <v>0</v>
      </c>
      <c r="AJ31" s="1073">
        <f t="shared" ca="1" si="68"/>
        <v>0</v>
      </c>
      <c r="AK31" s="1073">
        <f t="shared" ca="1" si="68"/>
        <v>0</v>
      </c>
      <c r="AL31" s="1066">
        <f t="shared" ca="1" si="60"/>
        <v>938.66416361383983</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-1.01891440625</v>
      </c>
      <c r="BF31" s="1074">
        <f t="shared" ca="1" si="69"/>
        <v>-999.85024920758985</v>
      </c>
      <c r="BG31" s="1067">
        <f t="shared" ca="1" si="62"/>
        <v>-1000.8691636138399</v>
      </c>
      <c r="BI31" s="1075">
        <f ca="1">BI28+BI27+BI26+BI29+BI30</f>
        <v>62.205000000000013</v>
      </c>
      <c r="BJ31" s="1075">
        <f ca="1">BJ28+BJ27+BJ26+BJ29+BJ30</f>
        <v>0</v>
      </c>
      <c r="BK31" s="1045">
        <f t="shared" ca="1" si="56"/>
        <v>62.205000000000013</v>
      </c>
      <c r="BM31" s="1096">
        <f t="shared" ca="1" si="5"/>
        <v>0</v>
      </c>
      <c r="BN31" s="1046"/>
      <c r="BO31" s="97"/>
      <c r="BP31" s="1069">
        <f ca="1">BP28+BP27+BP26+BP29+BP30</f>
        <v>28.788206451612908</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-340.63747397844941</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-311.84926752683651</v>
      </c>
    </row>
    <row r="32" spans="1:113" s="51" customFormat="1" ht="14.25" hidden="1"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ollapsed="1">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hidden="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803.22299999999996</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803.22299999999996</v>
      </c>
      <c r="AN34" s="1054">
        <f t="shared" ref="AN34:BC36" ca="1" si="86">IFERROR(INDEX(INDIRECT($C34&amp;".Outputs["&amp;this.year&amp;"]"), MATCH(AN$5, INDIRECT($C34&amp;".Outputs[Vector]"), 0)), 0)</f>
        <v>0</v>
      </c>
      <c r="AO34" s="1054">
        <f t="shared" ca="1" si="86"/>
        <v>0</v>
      </c>
      <c r="AP34" s="1054">
        <f t="shared" ca="1" si="86"/>
        <v>-803.22299999999996</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-803.22299999999996</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hidden="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2435.1118288080042</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2435.1118288080042</v>
      </c>
      <c r="AN35" s="1054">
        <f t="shared" ca="1" si="86"/>
        <v>-2435.1118288080042</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-2435.1118288080042</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hidden="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401.88812295573837</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401.88812295573837</v>
      </c>
      <c r="AN36" s="1054">
        <f t="shared" ca="1" si="86"/>
        <v>0</v>
      </c>
      <c r="AO36" s="1054">
        <f t="shared" ca="1" si="86"/>
        <v>-401.88812295573837</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-401.88812295573837</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ollapsed="1">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2435.1118288080042</v>
      </c>
      <c r="Z37" s="1043">
        <f ca="1">SUM(Z34:Z36)</f>
        <v>401.88812295573837</v>
      </c>
      <c r="AA37" s="1043">
        <f ca="1">SUM(AA34:AA36)</f>
        <v>803.22299999999996</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3640.2229517637425</v>
      </c>
      <c r="AN37" s="1044">
        <f t="shared" ref="AN37:BF37" ca="1" si="95">SUM(AN34:AN36)</f>
        <v>-2435.1118288080042</v>
      </c>
      <c r="AO37" s="1044">
        <f t="shared" ca="1" si="95"/>
        <v>-401.88812295573837</v>
      </c>
      <c r="AP37" s="1044">
        <f t="shared" ca="1" si="95"/>
        <v>-803.22299999999996</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-3640.2229517637425</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171.81360000000004</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171.81360000000004</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-171.81360000000004</v>
      </c>
      <c r="BD38" s="1108">
        <f t="shared" ca="1" si="99"/>
        <v>0</v>
      </c>
      <c r="BE38" s="1108">
        <f t="shared" ca="1" si="99"/>
        <v>0</v>
      </c>
      <c r="BF38" s="1108">
        <f t="shared" ca="1" si="99"/>
        <v>0</v>
      </c>
      <c r="BG38" s="1062">
        <f t="shared" ca="1" si="96"/>
        <v>-171.81360000000004</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59.608800000000002</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4.2587975180334565</v>
      </c>
      <c r="AK39" s="1106">
        <f t="shared" ca="1" si="99"/>
        <v>0</v>
      </c>
      <c r="AL39" s="1107">
        <f t="shared" ca="1" si="92"/>
        <v>63.867597518033456</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-63.867597518033456</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-63.867597518033456</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29.243376000000001</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29.243376000000001</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-29.243376000000001</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-29.243376000000001</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148.80284999999998</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148.80284999999998</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-148.80284999999998</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-148.80284999999998</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13.148999999999999</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13.148999999999999</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-13.148999999999999</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-13.148999999999999</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35.382416183999993</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35.382416183999993</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-35.382416183999993</v>
      </c>
      <c r="BD43" s="1108">
        <f t="shared" ca="1" si="99"/>
        <v>0</v>
      </c>
      <c r="BE43" s="1108">
        <f t="shared" ca="1" si="99"/>
        <v>0</v>
      </c>
      <c r="BF43" s="1108">
        <f t="shared" ca="1" si="99"/>
        <v>0</v>
      </c>
      <c r="BG43" s="1044">
        <f t="shared" ca="1" si="96"/>
        <v>-35.382416183999993</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286.18644218399993</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4.2587975180334565</v>
      </c>
      <c r="AK44" s="1043">
        <f t="shared" ca="1" si="110"/>
        <v>0</v>
      </c>
      <c r="AL44" s="1107">
        <f t="shared" ca="1" si="92"/>
        <v>290.4452397020334</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-93.110973518033461</v>
      </c>
      <c r="AY44" s="1044">
        <f t="shared" ca="1" si="111"/>
        <v>-161.95184999999998</v>
      </c>
      <c r="AZ44" s="1044">
        <f t="shared" ca="1" si="111"/>
        <v>0</v>
      </c>
      <c r="BA44" s="1044">
        <f t="shared" ca="1" si="111"/>
        <v>0</v>
      </c>
      <c r="BB44" s="1044">
        <f t="shared" ca="1" si="111"/>
        <v>0</v>
      </c>
      <c r="BC44" s="1044">
        <f t="shared" ca="1" si="111"/>
        <v>-35.382416183999993</v>
      </c>
      <c r="BD44" s="1044">
        <f t="shared" ca="1" si="111"/>
        <v>0</v>
      </c>
      <c r="BE44" s="1044">
        <f t="shared" ca="1" si="111"/>
        <v>0</v>
      </c>
      <c r="BF44" s="1044">
        <f t="shared" ca="1" si="111"/>
        <v>0</v>
      </c>
      <c r="BG44" s="1044">
        <f t="shared" ca="1" si="111"/>
        <v>-290.4452397020334</v>
      </c>
      <c r="BI44" s="1045">
        <f ca="1">SUM(BI39:BI43)</f>
        <v>0</v>
      </c>
      <c r="BJ44" s="1045">
        <f ca="1">SUM(BJ39:BJ43)</f>
        <v>0</v>
      </c>
      <c r="BK44" s="1045">
        <f ca="1">SUM(BK39:BK43)</f>
        <v>0</v>
      </c>
      <c r="BM44" s="1046">
        <f t="shared" ca="1" si="5"/>
        <v>0</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58.627007999999996</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58.627007999999996</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-167.50573714285716</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-167.50573714285716</v>
      </c>
      <c r="BI45" s="1119">
        <f t="shared" ref="BI45:BJ50" ca="1" si="118">IFERROR(INDEX(INDIRECT($C45&amp;".Outputs["&amp;this.year&amp;"]"), MATCH(BI$5, INDIRECT($C45&amp;".Outputs[Vector]"), 0)), 0)</f>
        <v>108.87872914285717</v>
      </c>
      <c r="BJ45" s="1119">
        <f t="shared" ca="1" si="118"/>
        <v>0</v>
      </c>
      <c r="BK45" s="1045">
        <f ca="1">SUM(BI45:BJ45)</f>
        <v>108.87872914285717</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336.94328475400596</v>
      </c>
      <c r="V46" s="1117">
        <f t="shared" ca="1" si="114"/>
        <v>-965.35535549211716</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-628.4120707381112</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599.11265467254543</v>
      </c>
      <c r="BJ46" s="1119">
        <f t="shared" ca="1" si="118"/>
        <v>29.299416065565733</v>
      </c>
      <c r="BK46" s="1045">
        <f ca="1">SUM(BI46:BJ46)</f>
        <v>628.4120707381112</v>
      </c>
      <c r="BL46" s="51"/>
      <c r="BM46" s="1046">
        <f t="shared" ca="1" si="5"/>
        <v>0</v>
      </c>
      <c r="BN46" s="1063"/>
      <c r="BO46" s="97"/>
      <c r="BP46" s="1057">
        <f t="shared" ca="1" si="119"/>
        <v>335.07172984178004</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335.07172984178004</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109.8605340414</v>
      </c>
      <c r="V47" s="1117">
        <f t="shared" ca="1" si="114"/>
        <v>0</v>
      </c>
      <c r="W47" s="1117">
        <f t="shared" ca="1" si="114"/>
        <v>0</v>
      </c>
      <c r="X47" s="1117">
        <f t="shared" ca="1" si="114"/>
        <v>-217.65793072663513</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-107.79739668523513</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107.79739668523513</v>
      </c>
      <c r="BJ47" s="1119">
        <f t="shared" ca="1" si="118"/>
        <v>0</v>
      </c>
      <c r="BK47" s="1045">
        <f ca="1">SUM(BI47:BJ47)</f>
        <v>107.79739668523513</v>
      </c>
      <c r="BL47" s="51"/>
      <c r="BM47" s="1046">
        <f t="shared" ca="1" si="5"/>
        <v>0</v>
      </c>
      <c r="BN47" s="1063"/>
      <c r="BO47" s="97"/>
      <c r="BP47" s="1057">
        <f t="shared" ca="1" si="119"/>
        <v>36.427440234780001</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36.427440234780001</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27.244728000000002</v>
      </c>
      <c r="V48" s="1117">
        <f t="shared" ca="1" si="114"/>
        <v>-180.47647058823529</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-153.23174258823528</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119.11447058823528</v>
      </c>
      <c r="BJ48" s="1119">
        <f t="shared" ca="1" si="118"/>
        <v>34.117272</v>
      </c>
      <c r="BK48" s="1045">
        <f ca="1">SUM(BI48:BJ48)</f>
        <v>153.23174258823528</v>
      </c>
      <c r="BL48" s="51"/>
      <c r="BM48" s="1046">
        <f t="shared" ca="1" si="5"/>
        <v>0</v>
      </c>
      <c r="BN48" s="1063"/>
      <c r="BO48" s="97"/>
      <c r="BP48" s="1057">
        <f t="shared" ca="1" si="119"/>
        <v>62.642800759013284</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-56.378520683111951</v>
      </c>
      <c r="DE48" s="1057">
        <f t="shared" ca="1" si="119"/>
        <v>0</v>
      </c>
      <c r="DF48" s="1057">
        <f t="shared" ca="1" si="119"/>
        <v>0</v>
      </c>
      <c r="DG48" s="1057">
        <f t="shared" ca="1" si="119"/>
        <v>0</v>
      </c>
      <c r="DI48" s="1059">
        <f t="shared" ca="1" si="79"/>
        <v>6.2642800759013326</v>
      </c>
    </row>
    <row r="49" spans="1:113">
      <c r="A49" s="1087"/>
      <c r="B49" s="1087"/>
      <c r="C49" s="1088" t="s">
        <v>1818</v>
      </c>
      <c r="D49" s="1114" t="s">
        <v>1817</v>
      </c>
      <c r="E49" s="1089"/>
      <c r="T49" s="2362">
        <f ca="1">T23+T33+T37+T38+T44+T45++T46+T47+T48+T31+T61</f>
        <v>-6680.5573002001365</v>
      </c>
      <c r="U49" s="2362">
        <f ca="1">U23+U33+U37+U38+U44+U45++U46+U47+U48+U31+U61</f>
        <v>-160.70154743603996</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6841.2588476361761</v>
      </c>
      <c r="V50" s="1117">
        <f t="shared" ca="1" si="114"/>
        <v>-18609.641943051774</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-11768.383095415598</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11426.320153033788</v>
      </c>
      <c r="BJ50" s="1119">
        <f t="shared" ca="1" si="118"/>
        <v>342.06294238180885</v>
      </c>
      <c r="BK50" s="1045">
        <f ca="1">SUM(BI50:BJ50)</f>
        <v>11768.383095415596</v>
      </c>
      <c r="BL50" s="51"/>
      <c r="BM50" s="1046">
        <f t="shared" ref="BM50:BM55" ca="1" si="120">R50+AL50+BG50+BK50</f>
        <v>0</v>
      </c>
      <c r="BN50" s="1063"/>
      <c r="BO50" s="97"/>
      <c r="BP50" s="1057">
        <f t="shared" ca="1" si="119"/>
        <v>6459.3466873302286</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6459.3466873302286</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7315.307394431582</v>
      </c>
      <c r="V51" s="1043">
        <f t="shared" ref="V51:AK51" ca="1" si="122">V46+V47+V48+V50</f>
        <v>-19755.473769132128</v>
      </c>
      <c r="W51" s="1043">
        <f t="shared" ca="1" si="122"/>
        <v>0</v>
      </c>
      <c r="X51" s="1043">
        <f t="shared" ca="1" si="122"/>
        <v>-217.65793072663513</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-12657.824305427181</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12252.344674979804</v>
      </c>
      <c r="BJ51" s="1045">
        <f ca="1">BJ46+BJ47+BJ48+BJ50</f>
        <v>405.47963044737457</v>
      </c>
      <c r="BK51" s="1045">
        <f ca="1">SUM(BI51:BJ51)</f>
        <v>12657.824305427179</v>
      </c>
      <c r="BM51" s="1046">
        <f t="shared" ca="1" si="120"/>
        <v>0</v>
      </c>
      <c r="BN51" s="1046"/>
      <c r="BO51" s="97"/>
      <c r="BP51" s="1058">
        <f ca="1">BP46+BP47+BP48+BP50</f>
        <v>6893.488658165802</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-56.378520683111951</v>
      </c>
      <c r="DE51" s="1058">
        <f t="shared" ca="1" si="124"/>
        <v>0</v>
      </c>
      <c r="DF51" s="1058">
        <f t="shared" ca="1" si="124"/>
        <v>0</v>
      </c>
      <c r="DG51" s="1058">
        <f t="shared" ca="1" si="124"/>
        <v>0</v>
      </c>
      <c r="DI51" s="1059">
        <f ca="1">SUM(BP51:DG51)</f>
        <v>6837.1101374826903</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7852.6694446155816</v>
      </c>
      <c r="V52" s="1080">
        <f t="shared" ca="1" si="126"/>
        <v>-18908.185769132127</v>
      </c>
      <c r="W52" s="1080">
        <f t="shared" ca="1" si="126"/>
        <v>54.656933937500007</v>
      </c>
      <c r="X52" s="1080">
        <f t="shared" ca="1" si="126"/>
        <v>-201.67370105029528</v>
      </c>
      <c r="Y52" s="1080">
        <f t="shared" ca="1" si="126"/>
        <v>2435.1118288080042</v>
      </c>
      <c r="Z52" s="1080">
        <f t="shared" ca="1" si="126"/>
        <v>401.88812295573837</v>
      </c>
      <c r="AA52" s="1080">
        <f t="shared" ca="1" si="126"/>
        <v>803.22299999999996</v>
      </c>
      <c r="AB52" s="1080">
        <f t="shared" ca="1" si="126"/>
        <v>0</v>
      </c>
      <c r="AC52" s="1080">
        <f t="shared" ca="1" si="126"/>
        <v>0</v>
      </c>
      <c r="AD52" s="1080">
        <f t="shared" ca="1" si="126"/>
        <v>0</v>
      </c>
      <c r="AE52" s="1080">
        <f t="shared" ca="1" si="126"/>
        <v>0</v>
      </c>
      <c r="AF52" s="1080">
        <f t="shared" ca="1" si="126"/>
        <v>0</v>
      </c>
      <c r="AG52" s="1080">
        <f t="shared" ca="1" si="126"/>
        <v>0</v>
      </c>
      <c r="AH52" s="1080">
        <f t="shared" ca="1" si="126"/>
        <v>1.7763568394002505E-15</v>
      </c>
      <c r="AI52" s="1080">
        <f t="shared" ca="1" si="126"/>
        <v>0</v>
      </c>
      <c r="AJ52" s="1080">
        <f t="shared" ca="1" si="126"/>
        <v>4.2587975180334565</v>
      </c>
      <c r="AK52" s="1080">
        <f t="shared" ca="1" si="126"/>
        <v>0</v>
      </c>
      <c r="AL52" s="1043">
        <f ca="1">SUM(T52:AK52)</f>
        <v>-7558.0513423475631</v>
      </c>
      <c r="AN52" s="2408">
        <f t="shared" ref="AN52:BF52" ca="1" si="127">AN$33+AN$37+AN$38+AN$44+AN$45+AN$51+AN31</f>
        <v>-2435.1118288080042</v>
      </c>
      <c r="AO52" s="2408">
        <f t="shared" ca="1" si="127"/>
        <v>-401.88812295573837</v>
      </c>
      <c r="AP52" s="2408">
        <f t="shared" ca="1" si="127"/>
        <v>-803.22299999999996</v>
      </c>
      <c r="AQ52" s="2408">
        <f t="shared" ca="1" si="127"/>
        <v>0</v>
      </c>
      <c r="AR52" s="2408">
        <f t="shared" ca="1" si="127"/>
        <v>0</v>
      </c>
      <c r="AS52" s="2408">
        <f t="shared" ca="1" si="127"/>
        <v>0</v>
      </c>
      <c r="AT52" s="2408">
        <f t="shared" ca="1" si="127"/>
        <v>0</v>
      </c>
      <c r="AU52" s="2408">
        <f t="shared" ca="1" si="127"/>
        <v>0</v>
      </c>
      <c r="AV52" s="2408">
        <f t="shared" ca="1" si="127"/>
        <v>0</v>
      </c>
      <c r="AW52" s="2408">
        <f t="shared" ca="1" si="127"/>
        <v>-167.50573714285716</v>
      </c>
      <c r="AX52" s="2408">
        <f t="shared" ca="1" si="127"/>
        <v>-93.110973518033461</v>
      </c>
      <c r="AY52" s="2408">
        <f t="shared" ca="1" si="127"/>
        <v>-161.95184999999998</v>
      </c>
      <c r="AZ52" s="2408">
        <f t="shared" ca="1" si="127"/>
        <v>0</v>
      </c>
      <c r="BA52" s="2408">
        <f t="shared" ca="1" si="127"/>
        <v>0</v>
      </c>
      <c r="BB52" s="2408">
        <f t="shared" ca="1" si="127"/>
        <v>0</v>
      </c>
      <c r="BC52" s="2408">
        <f t="shared" ca="1" si="127"/>
        <v>-207.19601618400003</v>
      </c>
      <c r="BD52" s="2408">
        <f t="shared" ca="1" si="127"/>
        <v>0</v>
      </c>
      <c r="BE52" s="2408">
        <f t="shared" ca="1" si="127"/>
        <v>-1.01891440625</v>
      </c>
      <c r="BF52" s="2408">
        <f t="shared" ca="1" si="127"/>
        <v>-999.85024920758985</v>
      </c>
      <c r="BG52" s="2408">
        <f ca="1">SUM(AN52:BF52)</f>
        <v>-5270.8566922224718</v>
      </c>
      <c r="BI52" s="1082">
        <f ca="1">BI$33+BI$37+BI$38+BI$44+BI$45+BI$51+BI31</f>
        <v>12423.428404122662</v>
      </c>
      <c r="BJ52" s="1082">
        <f ca="1">BJ$33+BJ$37+BJ$38+BJ$44+BJ$45+BJ$51+BJ31</f>
        <v>405.47963044737457</v>
      </c>
      <c r="BK52" s="1045">
        <f ca="1">SUM(BI52:BJ52)</f>
        <v>12828.908034570037</v>
      </c>
      <c r="BM52" s="1083">
        <f t="shared" ca="1" si="120"/>
        <v>0</v>
      </c>
      <c r="BN52" s="1083"/>
      <c r="BP52" s="2401">
        <f t="shared" ref="BP52:DG52" ca="1" si="128">BP$33+BP$37+BP$38+BP$44++BP$45+BP$51</f>
        <v>6893.488658165802</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-56.378520683111951</v>
      </c>
      <c r="DE52" s="1084">
        <f t="shared" ca="1" si="128"/>
        <v>0</v>
      </c>
      <c r="DF52" s="1084">
        <f t="shared" ca="1" si="128"/>
        <v>0</v>
      </c>
      <c r="DG52" s="1084">
        <f t="shared" ca="1" si="128"/>
        <v>0</v>
      </c>
      <c r="DI52" s="1085">
        <f ca="1">SUM(BP52:DG52)</f>
        <v>6837.1101374826903</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55</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55</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-55</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-55</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-6680.5573002001365</v>
      </c>
      <c r="U58" s="1093">
        <f ca="1">U$23+U$31+U$33+U$37+U$57+U$38+U$44+U$45</f>
        <v>592.36205018399994</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-1227.112144415446</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-1227.112144415446</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1227.1121444154462</v>
      </c>
      <c r="BK59" s="1056">
        <f ca="1">SUM(BI59:BJ59)</f>
        <v>1227.1121444154462</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-1172.112144415446</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-1172.112144415446</v>
      </c>
      <c r="AM61" s="51"/>
      <c r="AN61" s="1044">
        <f t="shared" ref="AN61:BF61" ca="1" si="146">AN$57+AN$59+AN$60</f>
        <v>0</v>
      </c>
      <c r="AO61" s="1044">
        <f t="shared" ca="1" si="146"/>
        <v>0</v>
      </c>
      <c r="AP61" s="1044">
        <f t="shared" ca="1" si="146"/>
        <v>0</v>
      </c>
      <c r="AQ61" s="1044">
        <f t="shared" ca="1" si="146"/>
        <v>0</v>
      </c>
      <c r="AR61" s="1044">
        <f t="shared" ca="1" si="146"/>
        <v>-55</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-55</v>
      </c>
      <c r="BH61" s="51"/>
      <c r="BI61" s="1045">
        <f ca="1">BI$57+BI$59+BI$60</f>
        <v>0</v>
      </c>
      <c r="BJ61" s="1045">
        <f ca="1">BJ$57+BJ$59+BJ$60</f>
        <v>1227.1121444154462</v>
      </c>
      <c r="BK61" s="1045">
        <f ca="1">SUM(BI61:BJ61)</f>
        <v>1227.1121444154462</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-26136.766339922484</v>
      </c>
      <c r="W63" s="1093">
        <f t="shared" ca="1" si="149"/>
        <v>-10972.387434756452</v>
      </c>
      <c r="X63" s="1093">
        <f t="shared" ca="1" si="149"/>
        <v>-2332.7535879685406</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1.7763568394002505E-15</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-6680.5573002001365</v>
      </c>
      <c r="U64" s="1093">
        <f ca="1">(U$23+U$52+U$61)</f>
        <v>6680.5573002001356</v>
      </c>
      <c r="V64" s="1093">
        <f t="shared" ca="1" si="149"/>
        <v>-26136.766339922484</v>
      </c>
      <c r="W64" s="1093">
        <f t="shared" ca="1" si="149"/>
        <v>-10972.387434756452</v>
      </c>
      <c r="X64" s="1093">
        <f t="shared" ca="1" si="149"/>
        <v>-2332.7535879685406</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26136.766339922484</v>
      </c>
      <c r="W65" s="1107">
        <f t="shared" ca="1" si="152"/>
        <v>10972.387434756452</v>
      </c>
      <c r="X65" s="1107">
        <f t="shared" ca="1" si="152"/>
        <v>2332.7535879685406</v>
      </c>
      <c r="Y65" s="1107">
        <f t="shared" ca="1" si="152"/>
        <v>-26136.766339922484</v>
      </c>
      <c r="Z65" s="1107">
        <f t="shared" ca="1" si="152"/>
        <v>-11740.454555189404</v>
      </c>
      <c r="AA65" s="1107">
        <f t="shared" ca="1" si="152"/>
        <v>-2682.6666261638215</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-1117.9801586282315</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1117.9801586282329</v>
      </c>
      <c r="BK65" s="1110">
        <f ca="1">SUM(BI65:BJ65)</f>
        <v>1117.9801586282329</v>
      </c>
      <c r="BL65" s="51"/>
      <c r="BM65" s="1046">
        <f t="shared" ref="BM65:BM71" ca="1" si="154">R65+AL65+BG65+BK65</f>
        <v>0</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9.0949470177292824E-13</v>
      </c>
      <c r="V66" s="1140"/>
      <c r="W66" s="1140"/>
      <c r="X66" s="1140"/>
      <c r="Y66" s="1140">
        <f ca="1">-(Y$23+Y$52+Y$61+Y$65)</f>
        <v>23701.654511114481</v>
      </c>
      <c r="Z66" s="1140">
        <f ca="1">-(Z$23+Z$52+Z$61+Z$65)</f>
        <v>11338.566432233665</v>
      </c>
      <c r="AA66" s="1140">
        <f ca="1">-(AA$23+AA$52+AA$61+AA$65)</f>
        <v>1879.4436261638216</v>
      </c>
      <c r="AB66" s="1140"/>
      <c r="AC66" s="1140"/>
      <c r="AD66" s="1140"/>
      <c r="AE66" s="1140"/>
      <c r="AF66" s="1140"/>
      <c r="AG66" s="1140"/>
      <c r="AH66" s="1140"/>
      <c r="AI66" s="1140"/>
      <c r="AJ66" s="1140"/>
      <c r="AK66" s="1140"/>
      <c r="AL66" s="1140">
        <f ca="1">SUM(T66:AK66)</f>
        <v>36919.664569511966</v>
      </c>
      <c r="AM66" s="51"/>
      <c r="AN66" s="1067"/>
      <c r="AO66" s="1067"/>
      <c r="AP66" s="1067"/>
      <c r="AQ66" s="1067"/>
      <c r="AR66" s="1067">
        <f ca="1">-U66</f>
        <v>-9.0949470177292824E-13</v>
      </c>
      <c r="AS66" s="1067">
        <f>-W66</f>
        <v>0</v>
      </c>
      <c r="AT66" s="1067">
        <f ca="1">-Y66</f>
        <v>-23701.654511114481</v>
      </c>
      <c r="AU66" s="1067">
        <f ca="1">-Z66</f>
        <v>-11338.566432233665</v>
      </c>
      <c r="AV66" s="1067">
        <f ca="1">-AA66</f>
        <v>-1879.4436261638216</v>
      </c>
      <c r="AW66" s="1067"/>
      <c r="AX66" s="1067"/>
      <c r="AY66" s="1067"/>
      <c r="AZ66" s="1067"/>
      <c r="BA66" s="1067"/>
      <c r="BB66" s="1067"/>
      <c r="BC66" s="1067"/>
      <c r="BD66" s="1067"/>
      <c r="BE66" s="1067"/>
      <c r="BF66" s="1067"/>
      <c r="BG66" s="1067">
        <f ca="1">SUM(AN66:BF66)</f>
        <v>-36919.664569511966</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9.0949470177292824E-13</v>
      </c>
      <c r="V67" s="1043">
        <f t="shared" ca="1" si="160"/>
        <v>26136.766339922484</v>
      </c>
      <c r="W67" s="1043">
        <f t="shared" ca="1" si="160"/>
        <v>10972.387434756452</v>
      </c>
      <c r="X67" s="1043">
        <f t="shared" ca="1" si="160"/>
        <v>2332.7535879685406</v>
      </c>
      <c r="Y67" s="1043">
        <f t="shared" ca="1" si="160"/>
        <v>-2435.1118288080033</v>
      </c>
      <c r="Z67" s="1043">
        <f t="shared" ca="1" si="160"/>
        <v>-401.88812295573916</v>
      </c>
      <c r="AA67" s="1043">
        <f t="shared" ca="1" si="160"/>
        <v>-803.22299999999996</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35801.684410883739</v>
      </c>
      <c r="AN67" s="1044">
        <f t="shared" ref="AN67:BF67" ca="1" si="161">SUM(AN65:AN66)</f>
        <v>0</v>
      </c>
      <c r="AO67" s="1044">
        <f t="shared" ca="1" si="161"/>
        <v>0</v>
      </c>
      <c r="AP67" s="1044">
        <f t="shared" ca="1" si="161"/>
        <v>0</v>
      </c>
      <c r="AQ67" s="1044">
        <f t="shared" ca="1" si="161"/>
        <v>0</v>
      </c>
      <c r="AR67" s="1044">
        <f t="shared" ca="1" si="161"/>
        <v>-9.0949470177292824E-13</v>
      </c>
      <c r="AS67" s="1044">
        <f t="shared" ca="1" si="161"/>
        <v>0</v>
      </c>
      <c r="AT67" s="1044">
        <f t="shared" ca="1" si="161"/>
        <v>-23701.654511114481</v>
      </c>
      <c r="AU67" s="1044">
        <f t="shared" ca="1" si="161"/>
        <v>-11338.566432233665</v>
      </c>
      <c r="AV67" s="1044">
        <f t="shared" ca="1" si="161"/>
        <v>-1879.4436261638216</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-36919.664569511966</v>
      </c>
      <c r="BI67" s="1045">
        <f ca="1">SUM(BI65:BI66)</f>
        <v>0</v>
      </c>
      <c r="BJ67" s="1045">
        <f ca="1">SUM(BJ65:BJ66)</f>
        <v>1117.9801586282329</v>
      </c>
      <c r="BK67" s="1045">
        <f ca="1">SUM(BI67:BJ67)</f>
        <v>1117.9801586282329</v>
      </c>
      <c r="BM67" s="1046">
        <f t="shared" ca="1" si="154"/>
        <v>6.3664629124104977E-12</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-1172.1121444154451</v>
      </c>
      <c r="V68" s="1080">
        <f t="shared" ca="1" si="164"/>
        <v>26136.766339922484</v>
      </c>
      <c r="W68" s="1080">
        <f t="shared" ca="1" si="164"/>
        <v>10972.387434756452</v>
      </c>
      <c r="X68" s="1080">
        <f t="shared" ca="1" si="164"/>
        <v>2332.7535879685406</v>
      </c>
      <c r="Y68" s="1080">
        <f t="shared" ca="1" si="164"/>
        <v>-2435.1118288080033</v>
      </c>
      <c r="Z68" s="1080">
        <f t="shared" ca="1" si="164"/>
        <v>-401.88812295573916</v>
      </c>
      <c r="AA68" s="1080">
        <f t="shared" ca="1" si="164"/>
        <v>-803.22299999999996</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34629.572266468291</v>
      </c>
      <c r="AN68" s="1081">
        <f ca="1">AN$61+AN$67</f>
        <v>0</v>
      </c>
      <c r="AO68" s="1081">
        <f t="shared" ref="AO68:BF68" ca="1" si="165">AO$61+AO$67</f>
        <v>0</v>
      </c>
      <c r="AP68" s="1081">
        <f t="shared" ca="1" si="165"/>
        <v>0</v>
      </c>
      <c r="AQ68" s="1081">
        <f t="shared" ca="1" si="165"/>
        <v>0</v>
      </c>
      <c r="AR68" s="1081">
        <f t="shared" ca="1" si="165"/>
        <v>-55.000000000000909</v>
      </c>
      <c r="AS68" s="1081">
        <f t="shared" ca="1" si="165"/>
        <v>0</v>
      </c>
      <c r="AT68" s="1081">
        <f t="shared" ca="1" si="165"/>
        <v>-23701.654511114481</v>
      </c>
      <c r="AU68" s="1081">
        <f t="shared" ca="1" si="165"/>
        <v>-11338.566432233665</v>
      </c>
      <c r="AV68" s="1081">
        <f t="shared" ca="1" si="165"/>
        <v>-1879.4436261638216</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-36974.664569511966</v>
      </c>
      <c r="BI68" s="1082">
        <f ca="1">BI$61+BI$67</f>
        <v>0</v>
      </c>
      <c r="BJ68" s="1082">
        <f ca="1">BJ$61+BJ$67</f>
        <v>2345.0923030436788</v>
      </c>
      <c r="BK68" s="1082">
        <f ca="1">SUM(BI68:BJ68)</f>
        <v>2345.0923030436788</v>
      </c>
      <c r="BM68" s="1083">
        <f t="shared" ca="1" si="154"/>
        <v>3.637978807091713E-12</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2671.8455088986261</v>
      </c>
      <c r="H71" s="1143">
        <f t="shared" ca="1" si="167"/>
        <v>1032.7539765340366</v>
      </c>
      <c r="I71" s="1143">
        <f t="shared" ca="1" si="167"/>
        <v>12793.271831310853</v>
      </c>
      <c r="J71" s="1143">
        <f t="shared" ca="1" si="167"/>
        <v>6608.0229282688942</v>
      </c>
      <c r="K71" s="1143">
        <f t="shared" ca="1" si="167"/>
        <v>137.98743134823923</v>
      </c>
      <c r="L71" s="1143">
        <f t="shared" ca="1" si="167"/>
        <v>324.82761580889445</v>
      </c>
      <c r="M71" s="1143">
        <f t="shared" ca="1" si="167"/>
        <v>-0.40944569733879987</v>
      </c>
      <c r="N71" s="1143">
        <f t="shared" ca="1" si="167"/>
        <v>1134.4954568667354</v>
      </c>
      <c r="O71" s="1143">
        <f t="shared" ca="1" si="167"/>
        <v>299.8511332140688</v>
      </c>
      <c r="P71" s="1143">
        <f t="shared" ca="1" si="167"/>
        <v>1079.9753438946816</v>
      </c>
      <c r="Q71" s="1143">
        <f t="shared" ca="1" si="167"/>
        <v>988.89914367303845</v>
      </c>
      <c r="R71" s="1143">
        <f ca="1">SUM(G71:Q71)</f>
        <v>27071.52092412073</v>
      </c>
      <c r="T71" s="1144">
        <f t="shared" ref="T71:AK71" ca="1" si="168">T$23+T$52+T$68</f>
        <v>-6680.5573002001365</v>
      </c>
      <c r="U71" s="1144">
        <f t="shared" ca="1" si="168"/>
        <v>6680.5573002001365</v>
      </c>
      <c r="V71" s="1144">
        <f t="shared" ca="1" si="168"/>
        <v>0</v>
      </c>
      <c r="W71" s="1144">
        <f t="shared" ca="1" si="168"/>
        <v>0</v>
      </c>
      <c r="X71" s="1144">
        <f t="shared" ca="1" si="168"/>
        <v>0</v>
      </c>
      <c r="Y71" s="1144">
        <f t="shared" ca="1" si="168"/>
        <v>0</v>
      </c>
      <c r="Z71" s="1144">
        <f t="shared" ca="1" si="168"/>
        <v>-7.9580786405131221E-13</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1.7763568394002505E-15</v>
      </c>
      <c r="AI71" s="1144">
        <f t="shared" ca="1" si="168"/>
        <v>0</v>
      </c>
      <c r="AJ71" s="1144">
        <f t="shared" ca="1" si="168"/>
        <v>0</v>
      </c>
      <c r="AK71" s="1144">
        <f t="shared" ca="1" si="168"/>
        <v>0</v>
      </c>
      <c r="AL71" s="1144">
        <f ca="1">SUM(T71:AK71)</f>
        <v>-7.9403150721191196E-13</v>
      </c>
      <c r="AN71" s="1145">
        <f t="shared" ref="AN71:BF71" ca="1" si="169">AN$23+AN$52+AN$68</f>
        <v>-2435.1118288080042</v>
      </c>
      <c r="AO71" s="1145">
        <f t="shared" ca="1" si="169"/>
        <v>-401.88812295573837</v>
      </c>
      <c r="AP71" s="1145">
        <f t="shared" ca="1" si="169"/>
        <v>-803.22299999999996</v>
      </c>
      <c r="AQ71" s="1145">
        <f t="shared" ca="1" si="169"/>
        <v>0</v>
      </c>
      <c r="AR71" s="1145">
        <f t="shared" ca="1" si="169"/>
        <v>-55.000000000000909</v>
      </c>
      <c r="AS71" s="1145">
        <f t="shared" ca="1" si="169"/>
        <v>0</v>
      </c>
      <c r="AT71" s="1145">
        <f t="shared" ca="1" si="169"/>
        <v>-23701.654511114481</v>
      </c>
      <c r="AU71" s="1145">
        <f t="shared" ca="1" si="169"/>
        <v>-11338.566432233665</v>
      </c>
      <c r="AV71" s="1145">
        <f t="shared" ca="1" si="169"/>
        <v>-1879.4436261638216</v>
      </c>
      <c r="AW71" s="1145">
        <f t="shared" ca="1" si="169"/>
        <v>-167.50573714285716</v>
      </c>
      <c r="AX71" s="1145">
        <f t="shared" ca="1" si="169"/>
        <v>-93.110973518033461</v>
      </c>
      <c r="AY71" s="1145">
        <f t="shared" ca="1" si="169"/>
        <v>-161.95184999999998</v>
      </c>
      <c r="AZ71" s="1145">
        <f t="shared" ca="1" si="169"/>
        <v>0</v>
      </c>
      <c r="BA71" s="1145">
        <f t="shared" ca="1" si="169"/>
        <v>0</v>
      </c>
      <c r="BB71" s="1145">
        <f t="shared" ca="1" si="169"/>
        <v>0</v>
      </c>
      <c r="BC71" s="1145">
        <f t="shared" ca="1" si="169"/>
        <v>-207.19601618400003</v>
      </c>
      <c r="BD71" s="1145">
        <f t="shared" ca="1" si="169"/>
        <v>0</v>
      </c>
      <c r="BE71" s="1145">
        <f t="shared" ca="1" si="169"/>
        <v>-1.01891440625</v>
      </c>
      <c r="BF71" s="1145">
        <f t="shared" ca="1" si="169"/>
        <v>-999.85024920758985</v>
      </c>
      <c r="BG71" s="1145">
        <f ca="1">SUM(AN71:BF71)</f>
        <v>-42245.521261734444</v>
      </c>
      <c r="BI71" s="1146">
        <f ca="1">BI$23+BI$52+BI$68</f>
        <v>12423.428404122662</v>
      </c>
      <c r="BJ71" s="1146">
        <f ca="1">BJ$23+BJ$52+BJ$68</f>
        <v>2750.5719334910536</v>
      </c>
      <c r="BK71" s="1146">
        <f ca="1">SUM(BI71:BJ71)</f>
        <v>15174.000337613716</v>
      </c>
      <c r="BM71" s="1039">
        <f t="shared" ca="1" si="154"/>
        <v>0</v>
      </c>
      <c r="BN71" s="1039"/>
      <c r="BP71" s="1147">
        <f t="shared" ref="BP71:DG71" ca="1" si="170">BP$23+BP$52+BP$68</f>
        <v>12204.306963259591</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-56.378520683111951</v>
      </c>
      <c r="DE71" s="1147">
        <f t="shared" ca="1" si="170"/>
        <v>0</v>
      </c>
      <c r="DF71" s="1147">
        <f t="shared" ca="1" si="170"/>
        <v>0</v>
      </c>
      <c r="DG71" s="1147">
        <f t="shared" ca="1" si="170"/>
        <v>0</v>
      </c>
      <c r="DI71" s="1085">
        <f ca="1">SUM(BP71:DG71)</f>
        <v>12147.928442576478</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6837.1101374826903</v>
      </c>
    </row>
    <row r="75" spans="2:113">
      <c r="B75" s="2555"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6680.5573002001365</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5">
        <f ca="1">DI74/DI75</f>
        <v>1.0234340984213792</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62</vt:i4>
      </vt:variant>
      <vt:variant>
        <vt:lpstr>Named Ranges</vt:lpstr>
      </vt:variant>
      <vt:variant>
        <vt:i4>281</vt:i4>
      </vt:variant>
    </vt:vector>
  </HeadingPairs>
  <TitlesOfParts>
    <vt:vector size="343" baseType="lpstr">
      <vt:lpstr>I.a</vt:lpstr>
      <vt:lpstr>I.b</vt:lpstr>
      <vt:lpstr>I.c</vt:lpstr>
      <vt:lpstr>I.d</vt:lpstr>
      <vt:lpstr>II</vt:lpstr>
      <vt:lpstr>III</vt:lpstr>
      <vt:lpstr>IV.a</vt:lpstr>
      <vt:lpstr>IV.b</vt:lpstr>
      <vt:lpstr>IV.c.1</vt:lpstr>
      <vt:lpstr>IV.c.2</vt:lpstr>
      <vt:lpstr>IV.d</vt:lpstr>
      <vt:lpstr>V.a</vt:lpstr>
      <vt:lpstr>V.b</vt:lpstr>
      <vt:lpstr>V.c</vt:lpstr>
      <vt:lpstr>V.d</vt:lpstr>
      <vt:lpstr>V.e</vt:lpstr>
      <vt:lpstr>VI</vt:lpstr>
      <vt:lpstr>VII.a</vt:lpstr>
      <vt:lpstr>VII.b</vt:lpstr>
      <vt:lpstr>IX</vt:lpstr>
      <vt:lpstr>X.a</vt:lpstr>
      <vt:lpstr>X.b</vt:lpstr>
      <vt:lpstr>XII.a</vt:lpstr>
      <vt:lpstr>XII.b</vt:lpstr>
      <vt:lpstr>XIII.a</vt:lpstr>
      <vt:lpstr>XIII.b</vt:lpstr>
      <vt:lpstr>XIV</vt:lpstr>
      <vt:lpstr>XV.a</vt:lpstr>
      <vt:lpstr>XV.b</vt:lpstr>
      <vt:lpstr>XV.c</vt:lpstr>
      <vt:lpstr>XVI</vt:lpstr>
      <vt:lpstr>XVII.a</vt:lpstr>
      <vt:lpstr>XVII.b</vt:lpstr>
      <vt:lpstr>Preferences</vt:lpstr>
      <vt:lpstr>Land &amp; Emissions</vt:lpstr>
      <vt:lpstr>Demand-Generation</vt:lpstr>
      <vt:lpstr>Demand-Supply</vt:lpstr>
      <vt:lpstr>Cost and Energy Security</vt:lpstr>
      <vt:lpstr>Charts</vt:lpstr>
      <vt:lpstr>Intermediate output</vt:lpstr>
      <vt:lpstr>Control</vt:lpstr>
      <vt:lpstr>Sheet1</vt:lpstr>
      <vt:lpstr>Pathways</vt:lpstr>
      <vt:lpstr>XI</vt:lpstr>
      <vt:lpstr>Oil Story</vt:lpstr>
      <vt:lpstr>2012 Baseline</vt:lpstr>
      <vt:lpstr>Conversions</vt:lpstr>
      <vt:lpstr>Global assumptions</vt:lpstr>
      <vt:lpstr>Constants</vt:lpstr>
      <vt:lpstr>Structure of the model</vt:lpstr>
      <vt:lpstr>Flows</vt:lpstr>
      <vt:lpstr>Land Use</vt:lpstr>
      <vt:lpstr>2007</vt:lpstr>
      <vt:lpstr>2012</vt:lpstr>
      <vt:lpstr>2017</vt:lpstr>
      <vt:lpstr>2022</vt:lpstr>
      <vt:lpstr>2027</vt:lpstr>
      <vt:lpstr>2032</vt:lpstr>
      <vt:lpstr>2037</vt:lpstr>
      <vt:lpstr>2042</vt:lpstr>
      <vt:lpstr>2047</vt:lpstr>
      <vt:lpstr>2052</vt:lpstr>
      <vt:lpstr>'Land &amp; Emissions'!CHart1</vt:lpstr>
      <vt:lpstr>Constants.Density.Diesel</vt:lpstr>
      <vt:lpstr>Constants.Density.Ethanol</vt:lpstr>
      <vt:lpstr>Constants.Density.JetFuel</vt:lpstr>
      <vt:lpstr>Constants.Density.MotorSpirit</vt:lpstr>
      <vt:lpstr>Constants.GCV.LandfillGas</vt:lpstr>
      <vt:lpstr>Conversion.to.annual.energy</vt:lpstr>
      <vt:lpstr>Conversion.to.average.power</vt:lpstr>
      <vt:lpstr>Conversion.to.energy.per.second</vt:lpstr>
      <vt:lpstr>Conversion.UKgallons.to.litres</vt:lpstr>
      <vt:lpstr>Conversion.USgallons.to.litres</vt:lpstr>
      <vt:lpstr>Conversions.Area.m2</vt:lpstr>
      <vt:lpstr>Conversions.Area.Units</vt:lpstr>
      <vt:lpstr>Conversions.Energy.Joules</vt:lpstr>
      <vt:lpstr>Conversions.Energy.Units</vt:lpstr>
      <vt:lpstr>Conversions.Money.GBP</vt:lpstr>
      <vt:lpstr>Conversions.Money.Units</vt:lpstr>
      <vt:lpstr>Conversions.Power.Units</vt:lpstr>
      <vt:lpstr>Conversions.Power.Watts</vt:lpstr>
      <vt:lpstr>cost.FinanceCosttable</vt:lpstr>
      <vt:lpstr>discount_factors</vt:lpstr>
      <vt:lpstr>Discount_rate</vt:lpstr>
      <vt:lpstr>EF.BlastFurnaceGas.CO2</vt:lpstr>
      <vt:lpstr>EF.Diesel.CH4</vt:lpstr>
      <vt:lpstr>EF.Diesel.CO2</vt:lpstr>
      <vt:lpstr>EF.Diesel.N2O</vt:lpstr>
      <vt:lpstr>EF.IndustrialCoal.CH4</vt:lpstr>
      <vt:lpstr>EF.IndustrialCoal.CO2</vt:lpstr>
      <vt:lpstr>EF.IndustrialCoal.N2O</vt:lpstr>
      <vt:lpstr>EF.NaturalGas.CH4</vt:lpstr>
      <vt:lpstr>EF.NaturalGas.CO2</vt:lpstr>
      <vt:lpstr>EF.NaturalGas.N2O</vt:lpstr>
      <vt:lpstr>Euro2002_</vt:lpstr>
      <vt:lpstr>GBP</vt:lpstr>
      <vt:lpstr>GGBP</vt:lpstr>
      <vt:lpstr>Global.UKIncidentSolarEnergy</vt:lpstr>
      <vt:lpstr>Global.UKIncidentSolarEnergy_SouthFacing</vt:lpstr>
      <vt:lpstr>GWP.CH4</vt:lpstr>
      <vt:lpstr>GWP.N2O</vt:lpstr>
      <vt:lpstr>I.01</vt:lpstr>
      <vt:lpstr>I.a.scenario</vt:lpstr>
      <vt:lpstr>I.b.scenario</vt:lpstr>
      <vt:lpstr>I.b.scenario.efficiency</vt:lpstr>
      <vt:lpstr>I.c.scenario</vt:lpstr>
      <vt:lpstr>I.c.scenario.fuelmix</vt:lpstr>
      <vt:lpstr>II.scenario</vt:lpstr>
      <vt:lpstr>III.scenario</vt:lpstr>
      <vt:lpstr>INR</vt:lpstr>
      <vt:lpstr>INRCr</vt:lpstr>
      <vt:lpstr>INRLac</vt:lpstr>
      <vt:lpstr>INRm</vt:lpstr>
      <vt:lpstr>IV.a.scenario</vt:lpstr>
      <vt:lpstr>IV.b.scenario</vt:lpstr>
      <vt:lpstr>IV.c.1.scenario</vt:lpstr>
      <vt:lpstr>iv.c.2.scenario</vt:lpstr>
      <vt:lpstr>IV.d.scenario</vt:lpstr>
      <vt:lpstr>IX.scenario.commercial</vt:lpstr>
      <vt:lpstr>IX.scenario.households</vt:lpstr>
      <vt:lpstr>kGBP</vt:lpstr>
      <vt:lpstr>MGBP</vt:lpstr>
      <vt:lpstr>Minesize.xv.b</vt:lpstr>
      <vt:lpstr>Money.Unit</vt:lpstr>
      <vt:lpstr>Peak_Electricity_Generation_Capacity</vt:lpstr>
      <vt:lpstr>plantsize.I.b</vt:lpstr>
      <vt:lpstr>Plantsize.II</vt:lpstr>
      <vt:lpstr>Plantsize.III</vt:lpstr>
      <vt:lpstr>plantsize.iv.a</vt:lpstr>
      <vt:lpstr>plantsize.iv.b</vt:lpstr>
      <vt:lpstr>Plantsize.iv.c.1</vt:lpstr>
      <vt:lpstr>plantsize.iv.c.2</vt:lpstr>
      <vt:lpstr>plantsize.iv.d</vt:lpstr>
      <vt:lpstr>Preferences.AreaUnits</vt:lpstr>
      <vt:lpstr>preferences.energyunits</vt:lpstr>
      <vt:lpstr>Preferences.moneyunits</vt:lpstr>
      <vt:lpstr>Preferences.PowerUnits</vt:lpstr>
      <vt:lpstr>Preferences.Unit.Energy</vt:lpstr>
      <vt:lpstr>Preferences.Unit.Power</vt:lpstr>
      <vt:lpstr>Price1990</vt:lpstr>
      <vt:lpstr>Price1991</vt:lpstr>
      <vt:lpstr>Price1992</vt:lpstr>
      <vt:lpstr>Price1993</vt:lpstr>
      <vt:lpstr>Price1994</vt:lpstr>
      <vt:lpstr>Price1995</vt:lpstr>
      <vt:lpstr>Price1996</vt:lpstr>
      <vt:lpstr>Price1997</vt:lpstr>
      <vt:lpstr>Price1998</vt:lpstr>
      <vt:lpstr>Price1999</vt:lpstr>
      <vt:lpstr>Price2000</vt:lpstr>
      <vt:lpstr>Price2001</vt:lpstr>
      <vt:lpstr>Price2002</vt:lpstr>
      <vt:lpstr>Price2003</vt:lpstr>
      <vt:lpstr>Price2004</vt:lpstr>
      <vt:lpstr>Price2005</vt:lpstr>
      <vt:lpstr>Price2006</vt:lpstr>
      <vt:lpstr>Price2007</vt:lpstr>
      <vt:lpstr>Price2008</vt:lpstr>
      <vt:lpstr>Price2009</vt:lpstr>
      <vt:lpstr>Price2010</vt:lpstr>
      <vt:lpstr>Price2011</vt:lpstr>
      <vt:lpstr>TGBP</vt:lpstr>
      <vt:lpstr>'2007'!this.year</vt:lpstr>
      <vt:lpstr>'2012'!this.year</vt:lpstr>
      <vt:lpstr>'2017'!this.year</vt:lpstr>
      <vt:lpstr>'2022'!this.year</vt:lpstr>
      <vt:lpstr>'2027'!this.year</vt:lpstr>
      <vt:lpstr>'2032'!this.year</vt:lpstr>
      <vt:lpstr>'2037'!this.year</vt:lpstr>
      <vt:lpstr>'2042'!this.year</vt:lpstr>
      <vt:lpstr>'2047'!this.year</vt:lpstr>
      <vt:lpstr>'2052'!this.year</vt:lpstr>
      <vt:lpstr>Unit.acre</vt:lpstr>
      <vt:lpstr>unit.bcm</vt:lpstr>
      <vt:lpstr>Unit.boe</vt:lpstr>
      <vt:lpstr>unit.btce</vt:lpstr>
      <vt:lpstr>Unit.Btu</vt:lpstr>
      <vt:lpstr>Unit.calorie</vt:lpstr>
      <vt:lpstr>Unit.day</vt:lpstr>
      <vt:lpstr>unit.df</vt:lpstr>
      <vt:lpstr>Unit.GJ</vt:lpstr>
      <vt:lpstr>Unit.GW</vt:lpstr>
      <vt:lpstr>Unit.GWh</vt:lpstr>
      <vt:lpstr>Unit.GWyear</vt:lpstr>
      <vt:lpstr>Unit.ha</vt:lpstr>
      <vt:lpstr>Unit.hour</vt:lpstr>
      <vt:lpstr>Unit.J</vt:lpstr>
      <vt:lpstr>unit.kgb</vt:lpstr>
      <vt:lpstr>unit.kgce</vt:lpstr>
      <vt:lpstr>unit.kglpge</vt:lpstr>
      <vt:lpstr>Unit.km2</vt:lpstr>
      <vt:lpstr>Unit.ktoe</vt:lpstr>
      <vt:lpstr>Unit.kW</vt:lpstr>
      <vt:lpstr>Unit.kWh</vt:lpstr>
      <vt:lpstr>Unit.kWh.p.d</vt:lpstr>
      <vt:lpstr>unit.latfe</vt:lpstr>
      <vt:lpstr>unit.lcng</vt:lpstr>
      <vt:lpstr>unit.lde</vt:lpstr>
      <vt:lpstr>unit.lke</vt:lpstr>
      <vt:lpstr>unit.llpg</vt:lpstr>
      <vt:lpstr>unit.lpe</vt:lpstr>
      <vt:lpstr>Unit.m2</vt:lpstr>
      <vt:lpstr>Unit.Mboe</vt:lpstr>
      <vt:lpstr>Unit.mcm.d</vt:lpstr>
      <vt:lpstr>Unit.Mha</vt:lpstr>
      <vt:lpstr>Unit.minute</vt:lpstr>
      <vt:lpstr>Unit.MJ</vt:lpstr>
      <vt:lpstr>unit.mmbtu</vt:lpstr>
      <vt:lpstr>unit.mmscm</vt:lpstr>
      <vt:lpstr>unit.mtbe</vt:lpstr>
      <vt:lpstr>Unit.Mtce</vt:lpstr>
      <vt:lpstr>unit.mtde</vt:lpstr>
      <vt:lpstr>unit.mtge</vt:lpstr>
      <vt:lpstr>unit.mtle</vt:lpstr>
      <vt:lpstr>Unit.Mtoe</vt:lpstr>
      <vt:lpstr>Unit.Mtoe.y</vt:lpstr>
      <vt:lpstr>Unit.MW</vt:lpstr>
      <vt:lpstr>Unit.MWh</vt:lpstr>
      <vt:lpstr>Unit.PJ</vt:lpstr>
      <vt:lpstr>unit.scm</vt:lpstr>
      <vt:lpstr>unit.scmb</vt:lpstr>
      <vt:lpstr>unit.tbe</vt:lpstr>
      <vt:lpstr>unit.tce</vt:lpstr>
      <vt:lpstr>Unit.therm</vt:lpstr>
      <vt:lpstr>Unit.TJ</vt:lpstr>
      <vt:lpstr>unit.tlpge</vt:lpstr>
      <vt:lpstr>Unit.toe</vt:lpstr>
      <vt:lpstr>Unit.TWh</vt:lpstr>
      <vt:lpstr>Unit.W</vt:lpstr>
      <vt:lpstr>Unit.Wales</vt:lpstr>
      <vt:lpstr>unit.wh</vt:lpstr>
      <vt:lpstr>Unit.year</vt:lpstr>
      <vt:lpstr>Unit.year.h</vt:lpstr>
      <vt:lpstr>USD_Bn</vt:lpstr>
      <vt:lpstr>USD_trn</vt:lpstr>
      <vt:lpstr>USD2009_</vt:lpstr>
      <vt:lpstr>USD2010_</vt:lpstr>
      <vt:lpstr>USD2012_</vt:lpstr>
      <vt:lpstr>V.a.fuelsplit</vt:lpstr>
      <vt:lpstr>V.a.scnenario</vt:lpstr>
      <vt:lpstr>V.b.scenario</vt:lpstr>
      <vt:lpstr>V.c.scenario</vt:lpstr>
      <vt:lpstr>VI.a.scenario</vt:lpstr>
      <vt:lpstr>VII.a.scenario</vt:lpstr>
      <vt:lpstr>VII.b.scenario</vt:lpstr>
      <vt:lpstr>X.a.efficiency</vt:lpstr>
      <vt:lpstr>X.b.scenario.efficiency</vt:lpstr>
      <vt:lpstr>XI.multiplier</vt:lpstr>
      <vt:lpstr>XI.scenario</vt:lpstr>
      <vt:lpstr>XII.a.scenario</vt:lpstr>
      <vt:lpstr>XII.a.scenario.EVs</vt:lpstr>
      <vt:lpstr>XII.a.scenario.mode</vt:lpstr>
      <vt:lpstr>XII.a.scenario.pub_pri</vt:lpstr>
      <vt:lpstr>XII.b.mode</vt:lpstr>
      <vt:lpstr>XII.b.scenario</vt:lpstr>
      <vt:lpstr>XIII.a.scenario.fuelsplit</vt:lpstr>
      <vt:lpstr>XIII.b.scenario.fuelsplit</vt:lpstr>
      <vt:lpstr>XIV.scenario</vt:lpstr>
      <vt:lpstr>XIV.scenario.fuelsplit</vt:lpstr>
      <vt:lpstr>xv.a.scenario</vt:lpstr>
      <vt:lpstr>xv.b.scenario</vt:lpstr>
      <vt:lpstr>XV.c.scenario</vt:lpstr>
      <vt:lpstr>xvi.scenario.fuelsplit</vt:lpstr>
      <vt:lpstr>'2007'!year.emissions</vt:lpstr>
      <vt:lpstr>'2012'!year.emissions</vt:lpstr>
      <vt:lpstr>'2017'!year.emissions</vt:lpstr>
      <vt:lpstr>'2022'!year.emissions</vt:lpstr>
      <vt:lpstr>'2027'!year.emissions</vt:lpstr>
      <vt:lpstr>'2032'!year.emissions</vt:lpstr>
      <vt:lpstr>'2037'!year.emissions</vt:lpstr>
      <vt:lpstr>'2042'!year.emissions</vt:lpstr>
      <vt:lpstr>'2047'!year.emissions</vt:lpstr>
      <vt:lpstr>'2052'!year.emissions</vt:lpstr>
      <vt:lpstr>'2007'!year.emissionsBySector</vt:lpstr>
      <vt:lpstr>'2012'!year.emissionsBySector</vt:lpstr>
      <vt:lpstr>'2017'!year.emissionsBySector</vt:lpstr>
      <vt:lpstr>'2022'!year.emissionsBySector</vt:lpstr>
      <vt:lpstr>'2027'!year.emissionsBySector</vt:lpstr>
      <vt:lpstr>'2032'!year.emissionsBySector</vt:lpstr>
      <vt:lpstr>'2037'!year.emissionsBySector</vt:lpstr>
      <vt:lpstr>'2042'!year.emissionsBySector</vt:lpstr>
      <vt:lpstr>'2047'!year.emissionsBySector</vt:lpstr>
      <vt:lpstr>'2052'!year.emissionsBySector</vt:lpstr>
      <vt:lpstr>'2007'!year.GHG</vt:lpstr>
      <vt:lpstr>'2012'!year.GHG</vt:lpstr>
      <vt:lpstr>'2017'!year.GHG</vt:lpstr>
      <vt:lpstr>'2022'!year.GHG</vt:lpstr>
      <vt:lpstr>'2027'!year.GHG</vt:lpstr>
      <vt:lpstr>'2032'!year.GHG</vt:lpstr>
      <vt:lpstr>'2037'!year.GHG</vt:lpstr>
      <vt:lpstr>'2042'!year.GHG</vt:lpstr>
      <vt:lpstr>'2047'!year.GHG</vt:lpstr>
      <vt:lpstr>'2052'!year.GHG</vt:lpstr>
      <vt:lpstr>'2007'!year.IPCC</vt:lpstr>
      <vt:lpstr>'2012'!year.IPCC</vt:lpstr>
      <vt:lpstr>'2017'!year.IPCC</vt:lpstr>
      <vt:lpstr>'2022'!year.IPCC</vt:lpstr>
      <vt:lpstr>'2027'!year.IPCC</vt:lpstr>
      <vt:lpstr>'2032'!year.IPCC</vt:lpstr>
      <vt:lpstr>'2037'!year.IPCC</vt:lpstr>
      <vt:lpstr>'2042'!year.IPCC</vt:lpstr>
      <vt:lpstr>'2047'!year.IPCC</vt:lpstr>
      <vt:lpstr>'2052'!year.IPCC</vt:lpstr>
      <vt:lpstr>'2007'!year.matrix</vt:lpstr>
      <vt:lpstr>'2012'!year.matrix</vt:lpstr>
      <vt:lpstr>'2017'!year.matrix</vt:lpstr>
      <vt:lpstr>'2022'!year.matrix</vt:lpstr>
      <vt:lpstr>'2027'!year.matrix</vt:lpstr>
      <vt:lpstr>'2032'!year.matrix</vt:lpstr>
      <vt:lpstr>'2037'!year.matrix</vt:lpstr>
      <vt:lpstr>'2042'!year.matrix</vt:lpstr>
      <vt:lpstr>'2047'!year.matrix</vt:lpstr>
      <vt:lpstr>'2052'!year.matrix</vt:lpstr>
      <vt:lpstr>'2007'!year.Modules</vt:lpstr>
      <vt:lpstr>'2012'!year.Modules</vt:lpstr>
      <vt:lpstr>'2017'!year.Modules</vt:lpstr>
      <vt:lpstr>'2022'!year.Modules</vt:lpstr>
      <vt:lpstr>'2027'!year.Modules</vt:lpstr>
      <vt:lpstr>'2032'!year.Modules</vt:lpstr>
      <vt:lpstr>'2037'!year.Modules</vt:lpstr>
      <vt:lpstr>'2042'!year.Modules</vt:lpstr>
      <vt:lpstr>'2047'!year.Modules</vt:lpstr>
      <vt:lpstr>'2052'!year.Modules</vt:lpstr>
      <vt:lpstr>'2007'!year.Netbalance</vt:lpstr>
      <vt:lpstr>'2012'!year.Netbalance</vt:lpstr>
      <vt:lpstr>'2017'!year.Netbalance</vt:lpstr>
      <vt:lpstr>'2022'!year.Netbalance</vt:lpstr>
      <vt:lpstr>'2027'!year.Netbalance</vt:lpstr>
      <vt:lpstr>'2032'!year.Netbalance</vt:lpstr>
      <vt:lpstr>'2037'!year.Netbalance</vt:lpstr>
      <vt:lpstr>'2042'!year.Netbalance</vt:lpstr>
      <vt:lpstr>'2047'!year.Netbalance</vt:lpstr>
      <vt:lpstr>'2052'!year.Netbalance</vt:lpstr>
      <vt:lpstr>'2007'!year.vectors</vt:lpstr>
      <vt:lpstr>'2012'!year.vectors</vt:lpstr>
      <vt:lpstr>'2017'!year.vectors</vt:lpstr>
      <vt:lpstr>'2022'!year.vectors</vt:lpstr>
      <vt:lpstr>'2027'!year.vectors</vt:lpstr>
      <vt:lpstr>'2032'!year.vectors</vt:lpstr>
      <vt:lpstr>'2037'!year.vectors</vt:lpstr>
      <vt:lpstr>'2042'!year.vectors</vt:lpstr>
      <vt:lpstr>'2047'!year.vectors</vt:lpstr>
      <vt:lpstr>'2052'!year.vectors</vt:lpstr>
    </vt:vector>
  </TitlesOfParts>
  <Company>Defra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Geddes</dc:creator>
  <cp:lastModifiedBy>Astha Ummat</cp:lastModifiedBy>
  <cp:lastPrinted>2011-10-20T09:16:03Z</cp:lastPrinted>
  <dcterms:created xsi:type="dcterms:W3CDTF">2009-09-22T13:50:50Z</dcterms:created>
  <dcterms:modified xsi:type="dcterms:W3CDTF">2014-02-25T11:46:51Z</dcterms:modified>
</cp:coreProperties>
</file>